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engin-storage.m.storage.umich.edu\engin-storage\KENCY\windat.V2\Desktop\"/>
    </mc:Choice>
  </mc:AlternateContent>
  <bookViews>
    <workbookView xWindow="10395" yWindow="-105" windowWidth="14850" windowHeight="12735"/>
  </bookViews>
  <sheets>
    <sheet name="Municipals" sheetId="2" r:id="rId1"/>
    <sheet name="Context" sheetId="3" r:id="rId2"/>
  </sheets>
  <calcPr calcId="162913"/>
</workbook>
</file>

<file path=xl/calcChain.xml><?xml version="1.0" encoding="utf-8"?>
<calcChain xmlns="http://schemas.openxmlformats.org/spreadsheetml/2006/main">
  <c r="I2531" i="2" l="1"/>
  <c r="I2529" i="2"/>
  <c r="I2527" i="2"/>
  <c r="I2525" i="2"/>
  <c r="I2523" i="2"/>
  <c r="I2521" i="2"/>
  <c r="I2519" i="2"/>
  <c r="I2517" i="2"/>
  <c r="I2515" i="2"/>
  <c r="I2513" i="2"/>
  <c r="I2511" i="2"/>
  <c r="I2509" i="2"/>
  <c r="I2507" i="2"/>
  <c r="I2505" i="2"/>
  <c r="I2503" i="2"/>
  <c r="I2501" i="2"/>
  <c r="I2499" i="2"/>
  <c r="I2497" i="2"/>
  <c r="I2495" i="2"/>
  <c r="I2493" i="2"/>
  <c r="I2491" i="2"/>
  <c r="I2489" i="2"/>
  <c r="I2487" i="2"/>
  <c r="I2485" i="2"/>
  <c r="I2483" i="2"/>
  <c r="I2532" i="2"/>
  <c r="I2530" i="2"/>
  <c r="I2528" i="2"/>
  <c r="I2526" i="2"/>
  <c r="I2524" i="2"/>
  <c r="I2522" i="2"/>
  <c r="I2520" i="2"/>
  <c r="I2518" i="2"/>
  <c r="I2516" i="2"/>
  <c r="I2514" i="2"/>
  <c r="I2512" i="2"/>
  <c r="I2510" i="2"/>
  <c r="I2508" i="2"/>
  <c r="I2506" i="2"/>
  <c r="I2504" i="2"/>
  <c r="I2502" i="2"/>
  <c r="I2500" i="2"/>
  <c r="I2498" i="2"/>
  <c r="I2496" i="2"/>
  <c r="I2494" i="2"/>
  <c r="I2492" i="2"/>
  <c r="I2490" i="2"/>
  <c r="I2488" i="2"/>
  <c r="I2486" i="2"/>
  <c r="I2484" i="2"/>
  <c r="I2482" i="2"/>
  <c r="I2480" i="2"/>
  <c r="I2478" i="2"/>
  <c r="I2476" i="2"/>
  <c r="I2474" i="2"/>
  <c r="I2472" i="2"/>
  <c r="I2470" i="2"/>
  <c r="I2468" i="2"/>
  <c r="I2453" i="2"/>
  <c r="I2452" i="2"/>
  <c r="I2448" i="2"/>
  <c r="I2446" i="2"/>
  <c r="I2481" i="2"/>
  <c r="I2479" i="2"/>
  <c r="I2477" i="2"/>
  <c r="I2475" i="2"/>
  <c r="I2473" i="2"/>
  <c r="I2471" i="2"/>
  <c r="I2466" i="2"/>
  <c r="I2465" i="2"/>
  <c r="I2451" i="2"/>
  <c r="I2469" i="2"/>
  <c r="I2458" i="2"/>
  <c r="I2460" i="2"/>
  <c r="I2450" i="2"/>
  <c r="I2459" i="2"/>
  <c r="I2457" i="2"/>
  <c r="I2456" i="2"/>
  <c r="I2467" i="2"/>
  <c r="I2447" i="2"/>
  <c r="I2445" i="2"/>
  <c r="I2443" i="2"/>
  <c r="I2441" i="2"/>
  <c r="I2439" i="2"/>
  <c r="I2437" i="2"/>
  <c r="I2435" i="2"/>
  <c r="I2433" i="2"/>
  <c r="I2431" i="2"/>
  <c r="I2429" i="2"/>
  <c r="I2427" i="2"/>
  <c r="I2425" i="2"/>
  <c r="I2423" i="2"/>
  <c r="I2421" i="2"/>
  <c r="I2419" i="2"/>
  <c r="I2417" i="2"/>
  <c r="I2415" i="2"/>
  <c r="I2413" i="2"/>
  <c r="I2411" i="2"/>
  <c r="I2409" i="2"/>
  <c r="I2462" i="2"/>
  <c r="I2461" i="2"/>
  <c r="I2455" i="2"/>
  <c r="I2454" i="2"/>
  <c r="I2449" i="2"/>
  <c r="I2438" i="2"/>
  <c r="I2430" i="2"/>
  <c r="I2422" i="2"/>
  <c r="I2414" i="2"/>
  <c r="I2464" i="2"/>
  <c r="I2444" i="2"/>
  <c r="I2436" i="2"/>
  <c r="I2428" i="2"/>
  <c r="I2420" i="2"/>
  <c r="I2412" i="2"/>
  <c r="I2463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442" i="2"/>
  <c r="I2434" i="2"/>
  <c r="I2426" i="2"/>
  <c r="I2418" i="2"/>
  <c r="I2410" i="2"/>
  <c r="I2407" i="2"/>
  <c r="I2390" i="2"/>
  <c r="I2440" i="2"/>
  <c r="I2432" i="2"/>
  <c r="I2424" i="2"/>
  <c r="I2416" i="2"/>
  <c r="I2408" i="2"/>
  <c r="I2388" i="2"/>
  <c r="I2384" i="2"/>
  <c r="I2376" i="2"/>
  <c r="I2368" i="2"/>
  <c r="I2364" i="2"/>
  <c r="I2379" i="2"/>
  <c r="I2371" i="2"/>
  <c r="I2365" i="2"/>
  <c r="I2387" i="2"/>
  <c r="I2335" i="2"/>
  <c r="I2329" i="2"/>
  <c r="I2380" i="2"/>
  <c r="I2372" i="2"/>
  <c r="I2369" i="2"/>
  <c r="I2357" i="2"/>
  <c r="I2345" i="2"/>
  <c r="I2336" i="2"/>
  <c r="I2385" i="2"/>
  <c r="I2374" i="2"/>
  <c r="I2362" i="2"/>
  <c r="I2355" i="2"/>
  <c r="I2337" i="2"/>
  <c r="I2324" i="2"/>
  <c r="I2316" i="2"/>
  <c r="I2353" i="2"/>
  <c r="I2343" i="2"/>
  <c r="I2338" i="2"/>
  <c r="I2323" i="2"/>
  <c r="I2315" i="2"/>
  <c r="I2310" i="2"/>
  <c r="I2306" i="2"/>
  <c r="I2302" i="2"/>
  <c r="I2298" i="2"/>
  <c r="I2294" i="2"/>
  <c r="I2290" i="2"/>
  <c r="I2286" i="2"/>
  <c r="I2358" i="2"/>
  <c r="I2346" i="2"/>
  <c r="I2339" i="2"/>
  <c r="I2322" i="2"/>
  <c r="I2351" i="2"/>
  <c r="I2378" i="2"/>
  <c r="I2367" i="2"/>
  <c r="I2354" i="2"/>
  <c r="I2332" i="2"/>
  <c r="I2331" i="2"/>
  <c r="I2386" i="2"/>
  <c r="I2375" i="2"/>
  <c r="I2359" i="2"/>
  <c r="I2347" i="2"/>
  <c r="I2341" i="2"/>
  <c r="I2330" i="2"/>
  <c r="I2328" i="2"/>
  <c r="I2319" i="2"/>
  <c r="I2312" i="2"/>
  <c r="I2308" i="2"/>
  <c r="I2304" i="2"/>
  <c r="I2300" i="2"/>
  <c r="I2296" i="2"/>
  <c r="I2292" i="2"/>
  <c r="I2288" i="2"/>
  <c r="I2383" i="2"/>
  <c r="I2370" i="2"/>
  <c r="I2340" i="2"/>
  <c r="I2311" i="2"/>
  <c r="I2303" i="2"/>
  <c r="I2287" i="2"/>
  <c r="I2285" i="2"/>
  <c r="I2325" i="2"/>
  <c r="I2305" i="2"/>
  <c r="I2289" i="2"/>
  <c r="I2389" i="2"/>
  <c r="I2382" i="2"/>
  <c r="I2334" i="2"/>
  <c r="I2327" i="2"/>
  <c r="I2363" i="2"/>
  <c r="I2307" i="2"/>
  <c r="I2291" i="2"/>
  <c r="I2284" i="2"/>
  <c r="I2280" i="2"/>
  <c r="I2276" i="2"/>
  <c r="I2272" i="2"/>
  <c r="I2268" i="2"/>
  <c r="I2264" i="2"/>
  <c r="I2381" i="2"/>
  <c r="I2350" i="2"/>
  <c r="I2318" i="2"/>
  <c r="I2293" i="2"/>
  <c r="I2342" i="2"/>
  <c r="I2320" i="2"/>
  <c r="I2309" i="2"/>
  <c r="I2373" i="2"/>
  <c r="I2313" i="2"/>
  <c r="I2295" i="2"/>
  <c r="I2283" i="2"/>
  <c r="I2279" i="2"/>
  <c r="I2275" i="2"/>
  <c r="I2271" i="2"/>
  <c r="I2267" i="2"/>
  <c r="I2263" i="2"/>
  <c r="I2366" i="2"/>
  <c r="I2349" i="2"/>
  <c r="I2333" i="2"/>
  <c r="I2326" i="2"/>
  <c r="I2297" i="2"/>
  <c r="I2361" i="2"/>
  <c r="I2344" i="2"/>
  <c r="I2299" i="2"/>
  <c r="I2282" i="2"/>
  <c r="I2356" i="2"/>
  <c r="I2352" i="2"/>
  <c r="I2348" i="2"/>
  <c r="I2314" i="2"/>
  <c r="I2301" i="2"/>
  <c r="I2274" i="2"/>
  <c r="I2226" i="2"/>
  <c r="I2216" i="2"/>
  <c r="I2214" i="2"/>
  <c r="I2212" i="2"/>
  <c r="I2210" i="2"/>
  <c r="I2208" i="2"/>
  <c r="I2206" i="2"/>
  <c r="I2204" i="2"/>
  <c r="I2202" i="2"/>
  <c r="I2200" i="2"/>
  <c r="I2198" i="2"/>
  <c r="I2196" i="2"/>
  <c r="I2194" i="2"/>
  <c r="I2192" i="2"/>
  <c r="I2190" i="2"/>
  <c r="I2188" i="2"/>
  <c r="I2186" i="2"/>
  <c r="I2184" i="2"/>
  <c r="I2182" i="2"/>
  <c r="I2180" i="2"/>
  <c r="I2178" i="2"/>
  <c r="I2176" i="2"/>
  <c r="I2278" i="2"/>
  <c r="I2258" i="2"/>
  <c r="I2250" i="2"/>
  <c r="I2242" i="2"/>
  <c r="I2377" i="2"/>
  <c r="I2259" i="2"/>
  <c r="I2251" i="2"/>
  <c r="I2243" i="2"/>
  <c r="I2225" i="2"/>
  <c r="I2221" i="2"/>
  <c r="I2218" i="2"/>
  <c r="I2260" i="2"/>
  <c r="I2252" i="2"/>
  <c r="I2244" i="2"/>
  <c r="I2224" i="2"/>
  <c r="I2360" i="2"/>
  <c r="I2253" i="2"/>
  <c r="I2245" i="2"/>
  <c r="I2321" i="2"/>
  <c r="I2261" i="2"/>
  <c r="I2220" i="2"/>
  <c r="I2215" i="2"/>
  <c r="I2213" i="2"/>
  <c r="I2211" i="2"/>
  <c r="I2209" i="2"/>
  <c r="I2207" i="2"/>
  <c r="I2205" i="2"/>
  <c r="I2203" i="2"/>
  <c r="I2201" i="2"/>
  <c r="I2199" i="2"/>
  <c r="I2197" i="2"/>
  <c r="I2195" i="2"/>
  <c r="I2193" i="2"/>
  <c r="I2191" i="2"/>
  <c r="I2189" i="2"/>
  <c r="I2187" i="2"/>
  <c r="I2185" i="2"/>
  <c r="I2183" i="2"/>
  <c r="I2181" i="2"/>
  <c r="I2179" i="2"/>
  <c r="I2177" i="2"/>
  <c r="I2175" i="2"/>
  <c r="I2173" i="2"/>
  <c r="I2171" i="2"/>
  <c r="I2169" i="2"/>
  <c r="I2167" i="2"/>
  <c r="I2165" i="2"/>
  <c r="I2163" i="2"/>
  <c r="I2161" i="2"/>
  <c r="I2159" i="2"/>
  <c r="I2157" i="2"/>
  <c r="I2281" i="2"/>
  <c r="I2265" i="2"/>
  <c r="I2254" i="2"/>
  <c r="I2246" i="2"/>
  <c r="I2317" i="2"/>
  <c r="I2269" i="2"/>
  <c r="I2255" i="2"/>
  <c r="I2247" i="2"/>
  <c r="I2239" i="2"/>
  <c r="I2238" i="2"/>
  <c r="I2237" i="2"/>
  <c r="I2236" i="2"/>
  <c r="I2235" i="2"/>
  <c r="I2234" i="2"/>
  <c r="I2233" i="2"/>
  <c r="I2232" i="2"/>
  <c r="I2231" i="2"/>
  <c r="I2230" i="2"/>
  <c r="I2229" i="2"/>
  <c r="I2223" i="2"/>
  <c r="I2217" i="2"/>
  <c r="I2273" i="2"/>
  <c r="I2262" i="2"/>
  <c r="I2228" i="2"/>
  <c r="I2277" i="2"/>
  <c r="I2266" i="2"/>
  <c r="I2256" i="2"/>
  <c r="I2248" i="2"/>
  <c r="I2240" i="2"/>
  <c r="I2222" i="2"/>
  <c r="I2170" i="2"/>
  <c r="I2162" i="2"/>
  <c r="I2227" i="2"/>
  <c r="I2154" i="2"/>
  <c r="I2150" i="2"/>
  <c r="I2146" i="2"/>
  <c r="I2142" i="2"/>
  <c r="I2138" i="2"/>
  <c r="I2134" i="2"/>
  <c r="I2130" i="2"/>
  <c r="I2126" i="2"/>
  <c r="I2122" i="2"/>
  <c r="I2168" i="2"/>
  <c r="I2160" i="2"/>
  <c r="I2249" i="2"/>
  <c r="I2119" i="2"/>
  <c r="I2174" i="2"/>
  <c r="I2166" i="2"/>
  <c r="I2158" i="2"/>
  <c r="I2152" i="2"/>
  <c r="I2148" i="2"/>
  <c r="I2144" i="2"/>
  <c r="I2140" i="2"/>
  <c r="I2136" i="2"/>
  <c r="I2132" i="2"/>
  <c r="I2128" i="2"/>
  <c r="I2124" i="2"/>
  <c r="I2257" i="2"/>
  <c r="I2172" i="2"/>
  <c r="I2164" i="2"/>
  <c r="I2156" i="2"/>
  <c r="I2270" i="2"/>
  <c r="I2153" i="2"/>
  <c r="I2151" i="2"/>
  <c r="I2149" i="2"/>
  <c r="I2147" i="2"/>
  <c r="I2125" i="2"/>
  <c r="I2114" i="2"/>
  <c r="I2110" i="2"/>
  <c r="I2241" i="2"/>
  <c r="I2145" i="2"/>
  <c r="I2143" i="2"/>
  <c r="I2121" i="2"/>
  <c r="I2120" i="2"/>
  <c r="I2118" i="2"/>
  <c r="I2107" i="2"/>
  <c r="I2105" i="2"/>
  <c r="I2103" i="2"/>
  <c r="I2101" i="2"/>
  <c r="I2099" i="2"/>
  <c r="I2097" i="2"/>
  <c r="I2095" i="2"/>
  <c r="I2093" i="2"/>
  <c r="I2091" i="2"/>
  <c r="I2089" i="2"/>
  <c r="I2087" i="2"/>
  <c r="I2085" i="2"/>
  <c r="I2083" i="2"/>
  <c r="I2081" i="2"/>
  <c r="I2079" i="2"/>
  <c r="I2077" i="2"/>
  <c r="I2075" i="2"/>
  <c r="I2073" i="2"/>
  <c r="I2071" i="2"/>
  <c r="I2069" i="2"/>
  <c r="I2067" i="2"/>
  <c r="I2065" i="2"/>
  <c r="I2063" i="2"/>
  <c r="I2061" i="2"/>
  <c r="I2059" i="2"/>
  <c r="I2057" i="2"/>
  <c r="I2055" i="2"/>
  <c r="I2053" i="2"/>
  <c r="I2051" i="2"/>
  <c r="I2049" i="2"/>
  <c r="I2047" i="2"/>
  <c r="I2045" i="2"/>
  <c r="I2043" i="2"/>
  <c r="I2041" i="2"/>
  <c r="I2039" i="2"/>
  <c r="I2037" i="2"/>
  <c r="I2035" i="2"/>
  <c r="I2033" i="2"/>
  <c r="I2031" i="2"/>
  <c r="I2029" i="2"/>
  <c r="I2027" i="2"/>
  <c r="I2025" i="2"/>
  <c r="I2023" i="2"/>
  <c r="I2021" i="2"/>
  <c r="I2019" i="2"/>
  <c r="I2141" i="2"/>
  <c r="I2139" i="2"/>
  <c r="I2117" i="2"/>
  <c r="I2113" i="2"/>
  <c r="I2219" i="2"/>
  <c r="I2137" i="2"/>
  <c r="I2135" i="2"/>
  <c r="I2109" i="2"/>
  <c r="I2133" i="2"/>
  <c r="I2131" i="2"/>
  <c r="I2129" i="2"/>
  <c r="I2123" i="2"/>
  <c r="I2116" i="2"/>
  <c r="I2112" i="2"/>
  <c r="I2106" i="2"/>
  <c r="I2104" i="2"/>
  <c r="I2102" i="2"/>
  <c r="I2100" i="2"/>
  <c r="I2098" i="2"/>
  <c r="I2096" i="2"/>
  <c r="I2094" i="2"/>
  <c r="I2092" i="2"/>
  <c r="I2090" i="2"/>
  <c r="I2115" i="2"/>
  <c r="I2111" i="2"/>
  <c r="I2108" i="2"/>
  <c r="I2127" i="2"/>
  <c r="I2050" i="2"/>
  <c r="I2042" i="2"/>
  <c r="I2155" i="2"/>
  <c r="I2034" i="2"/>
  <c r="I2032" i="2"/>
  <c r="I2030" i="2"/>
  <c r="I2028" i="2"/>
  <c r="I2026" i="2"/>
  <c r="I2024" i="2"/>
  <c r="I2022" i="2"/>
  <c r="I2020" i="2"/>
  <c r="I2084" i="2"/>
  <c r="I2076" i="2"/>
  <c r="I2068" i="2"/>
  <c r="I2060" i="2"/>
  <c r="I2014" i="2"/>
  <c r="I2011" i="2"/>
  <c r="I2009" i="2"/>
  <c r="I2007" i="2"/>
  <c r="I2005" i="2"/>
  <c r="I2003" i="2"/>
  <c r="I2001" i="2"/>
  <c r="I1999" i="2"/>
  <c r="I1997" i="2"/>
  <c r="I1995" i="2"/>
  <c r="I1993" i="2"/>
  <c r="I1991" i="2"/>
  <c r="I1989" i="2"/>
  <c r="I1987" i="2"/>
  <c r="I1985" i="2"/>
  <c r="I1983" i="2"/>
  <c r="I1981" i="2"/>
  <c r="I1979" i="2"/>
  <c r="I1977" i="2"/>
  <c r="I1975" i="2"/>
  <c r="I1973" i="2"/>
  <c r="I1971" i="2"/>
  <c r="I1969" i="2"/>
  <c r="I1967" i="2"/>
  <c r="I1965" i="2"/>
  <c r="I1963" i="2"/>
  <c r="I1961" i="2"/>
  <c r="I1959" i="2"/>
  <c r="I1957" i="2"/>
  <c r="I1955" i="2"/>
  <c r="I1953" i="2"/>
  <c r="I1951" i="2"/>
  <c r="I1949" i="2"/>
  <c r="I1947" i="2"/>
  <c r="I1945" i="2"/>
  <c r="I1943" i="2"/>
  <c r="I1941" i="2"/>
  <c r="I1939" i="2"/>
  <c r="I1937" i="2"/>
  <c r="I1935" i="2"/>
  <c r="I1933" i="2"/>
  <c r="I1931" i="2"/>
  <c r="I1929" i="2"/>
  <c r="I1927" i="2"/>
  <c r="I1925" i="2"/>
  <c r="I1923" i="2"/>
  <c r="I2052" i="2"/>
  <c r="I2044" i="2"/>
  <c r="I2036" i="2"/>
  <c r="I2018" i="2"/>
  <c r="I2082" i="2"/>
  <c r="I2074" i="2"/>
  <c r="I2066" i="2"/>
  <c r="I2058" i="2"/>
  <c r="I2017" i="2"/>
  <c r="I2013" i="2"/>
  <c r="I2054" i="2"/>
  <c r="I2046" i="2"/>
  <c r="I2038" i="2"/>
  <c r="I2088" i="2"/>
  <c r="I2080" i="2"/>
  <c r="I2072" i="2"/>
  <c r="I2064" i="2"/>
  <c r="I2016" i="2"/>
  <c r="I2012" i="2"/>
  <c r="I2010" i="2"/>
  <c r="I2008" i="2"/>
  <c r="I2006" i="2"/>
  <c r="I2004" i="2"/>
  <c r="I2002" i="2"/>
  <c r="I2000" i="2"/>
  <c r="I1998" i="2"/>
  <c r="I1996" i="2"/>
  <c r="I1994" i="2"/>
  <c r="I1992" i="2"/>
  <c r="I1990" i="2"/>
  <c r="I1988" i="2"/>
  <c r="I1986" i="2"/>
  <c r="I1984" i="2"/>
  <c r="I1982" i="2"/>
  <c r="I1980" i="2"/>
  <c r="I1978" i="2"/>
  <c r="I1976" i="2"/>
  <c r="I1974" i="2"/>
  <c r="I1972" i="2"/>
  <c r="I1970" i="2"/>
  <c r="I1968" i="2"/>
  <c r="I1966" i="2"/>
  <c r="I1964" i="2"/>
  <c r="I1962" i="2"/>
  <c r="I1960" i="2"/>
  <c r="I1958" i="2"/>
  <c r="I1956" i="2"/>
  <c r="I1954" i="2"/>
  <c r="I1952" i="2"/>
  <c r="I1950" i="2"/>
  <c r="I1948" i="2"/>
  <c r="I1946" i="2"/>
  <c r="I1944" i="2"/>
  <c r="I1942" i="2"/>
  <c r="I1940" i="2"/>
  <c r="I1938" i="2"/>
  <c r="I1936" i="2"/>
  <c r="I1934" i="2"/>
  <c r="I1932" i="2"/>
  <c r="I1930" i="2"/>
  <c r="I1928" i="2"/>
  <c r="I1926" i="2"/>
  <c r="I2056" i="2"/>
  <c r="I2048" i="2"/>
  <c r="I2040" i="2"/>
  <c r="I2062" i="2"/>
  <c r="I2078" i="2"/>
  <c r="I1917" i="2"/>
  <c r="I1915" i="2"/>
  <c r="I1913" i="2"/>
  <c r="I1911" i="2"/>
  <c r="I1909" i="2"/>
  <c r="I1907" i="2"/>
  <c r="I1905" i="2"/>
  <c r="I1903" i="2"/>
  <c r="I1901" i="2"/>
  <c r="I1899" i="2"/>
  <c r="I1897" i="2"/>
  <c r="I1895" i="2"/>
  <c r="I1893" i="2"/>
  <c r="I1891" i="2"/>
  <c r="I1889" i="2"/>
  <c r="I1887" i="2"/>
  <c r="I1885" i="2"/>
  <c r="I1883" i="2"/>
  <c r="I1881" i="2"/>
  <c r="I1879" i="2"/>
  <c r="I1877" i="2"/>
  <c r="I1875" i="2"/>
  <c r="I1873" i="2"/>
  <c r="I1871" i="2"/>
  <c r="I1869" i="2"/>
  <c r="I1867" i="2"/>
  <c r="I1865" i="2"/>
  <c r="I1863" i="2"/>
  <c r="I1861" i="2"/>
  <c r="I1859" i="2"/>
  <c r="I1857" i="2"/>
  <c r="I1855" i="2"/>
  <c r="I1853" i="2"/>
  <c r="I1851" i="2"/>
  <c r="I1849" i="2"/>
  <c r="I1847" i="2"/>
  <c r="I1845" i="2"/>
  <c r="I1843" i="2"/>
  <c r="I1841" i="2"/>
  <c r="I1839" i="2"/>
  <c r="I1837" i="2"/>
  <c r="I1835" i="2"/>
  <c r="I1833" i="2"/>
  <c r="I1831" i="2"/>
  <c r="I1829" i="2"/>
  <c r="I1827" i="2"/>
  <c r="I1825" i="2"/>
  <c r="I1823" i="2"/>
  <c r="I1821" i="2"/>
  <c r="I1819" i="2"/>
  <c r="I1817" i="2"/>
  <c r="I1815" i="2"/>
  <c r="I1813" i="2"/>
  <c r="I1811" i="2"/>
  <c r="I1809" i="2"/>
  <c r="I1807" i="2"/>
  <c r="I1805" i="2"/>
  <c r="I1803" i="2"/>
  <c r="I1801" i="2"/>
  <c r="I1799" i="2"/>
  <c r="I1797" i="2"/>
  <c r="I1795" i="2"/>
  <c r="I1793" i="2"/>
  <c r="I1791" i="2"/>
  <c r="I1789" i="2"/>
  <c r="I1787" i="2"/>
  <c r="I1785" i="2"/>
  <c r="I1922" i="2"/>
  <c r="I1919" i="2"/>
  <c r="I2070" i="2"/>
  <c r="I2015" i="2"/>
  <c r="I1921" i="2"/>
  <c r="I1918" i="2"/>
  <c r="I1916" i="2"/>
  <c r="I1914" i="2"/>
  <c r="I1912" i="2"/>
  <c r="I1910" i="2"/>
  <c r="I1908" i="2"/>
  <c r="I1906" i="2"/>
  <c r="I1904" i="2"/>
  <c r="I1902" i="2"/>
  <c r="I1900" i="2"/>
  <c r="I1898" i="2"/>
  <c r="I1896" i="2"/>
  <c r="I1894" i="2"/>
  <c r="I1892" i="2"/>
  <c r="I1890" i="2"/>
  <c r="I1888" i="2"/>
  <c r="I1886" i="2"/>
  <c r="I1884" i="2"/>
  <c r="I1882" i="2"/>
  <c r="I1880" i="2"/>
  <c r="I1878" i="2"/>
  <c r="I1876" i="2"/>
  <c r="I1874" i="2"/>
  <c r="I1872" i="2"/>
  <c r="I1870" i="2"/>
  <c r="I1868" i="2"/>
  <c r="I1866" i="2"/>
  <c r="I1864" i="2"/>
  <c r="I1862" i="2"/>
  <c r="I1860" i="2"/>
  <c r="I1858" i="2"/>
  <c r="I1856" i="2"/>
  <c r="I1854" i="2"/>
  <c r="I1852" i="2"/>
  <c r="I1850" i="2"/>
  <c r="I1848" i="2"/>
  <c r="I1846" i="2"/>
  <c r="I2086" i="2"/>
  <c r="I1828" i="2"/>
  <c r="I1842" i="2"/>
  <c r="I1834" i="2"/>
  <c r="I1822" i="2"/>
  <c r="I1840" i="2"/>
  <c r="I1832" i="2"/>
  <c r="I1814" i="2"/>
  <c r="I1812" i="2"/>
  <c r="I1810" i="2"/>
  <c r="I1808" i="2"/>
  <c r="I1806" i="2"/>
  <c r="I1804" i="2"/>
  <c r="I1802" i="2"/>
  <c r="I1800" i="2"/>
  <c r="I1798" i="2"/>
  <c r="I1796" i="2"/>
  <c r="I1794" i="2"/>
  <c r="I1792" i="2"/>
  <c r="I1790" i="2"/>
  <c r="I1788" i="2"/>
  <c r="I1786" i="2"/>
  <c r="I1920" i="2"/>
  <c r="I1836" i="2"/>
  <c r="I1844" i="2"/>
  <c r="I1830" i="2"/>
  <c r="I1826" i="2"/>
  <c r="I1784" i="2"/>
  <c r="I1717" i="2"/>
  <c r="I1716" i="2"/>
  <c r="I1709" i="2"/>
  <c r="I1708" i="2"/>
  <c r="I1701" i="2"/>
  <c r="I1700" i="2"/>
  <c r="I1838" i="2"/>
  <c r="I1824" i="2"/>
  <c r="I1676" i="2"/>
  <c r="I1715" i="2"/>
  <c r="I1714" i="2"/>
  <c r="I1707" i="2"/>
  <c r="I1706" i="2"/>
  <c r="I1699" i="2"/>
  <c r="I1698" i="2"/>
  <c r="I1691" i="2"/>
  <c r="I1690" i="2"/>
  <c r="I1683" i="2"/>
  <c r="I1682" i="2"/>
  <c r="I1666" i="2"/>
  <c r="I1664" i="2"/>
  <c r="I1662" i="2"/>
  <c r="I1660" i="2"/>
  <c r="I1658" i="2"/>
  <c r="I1656" i="2"/>
  <c r="I1654" i="2"/>
  <c r="I1652" i="2"/>
  <c r="I1650" i="2"/>
  <c r="I1648" i="2"/>
  <c r="I1646" i="2"/>
  <c r="I1644" i="2"/>
  <c r="I1642" i="2"/>
  <c r="I1640" i="2"/>
  <c r="I1638" i="2"/>
  <c r="I1636" i="2"/>
  <c r="I1634" i="2"/>
  <c r="I1632" i="2"/>
  <c r="I1630" i="2"/>
  <c r="I1628" i="2"/>
  <c r="I1626" i="2"/>
  <c r="I1624" i="2"/>
  <c r="I1780" i="2"/>
  <c r="I1778" i="2"/>
  <c r="I1776" i="2"/>
  <c r="I1774" i="2"/>
  <c r="I1772" i="2"/>
  <c r="I1770" i="2"/>
  <c r="I1768" i="2"/>
  <c r="I1766" i="2"/>
  <c r="I1764" i="2"/>
  <c r="I1762" i="2"/>
  <c r="I1760" i="2"/>
  <c r="I1758" i="2"/>
  <c r="I1756" i="2"/>
  <c r="I1754" i="2"/>
  <c r="I1752" i="2"/>
  <c r="I1750" i="2"/>
  <c r="I1748" i="2"/>
  <c r="I1746" i="2"/>
  <c r="I1744" i="2"/>
  <c r="I1742" i="2"/>
  <c r="I1740" i="2"/>
  <c r="I1738" i="2"/>
  <c r="I1736" i="2"/>
  <c r="I1734" i="2"/>
  <c r="I1732" i="2"/>
  <c r="I1730" i="2"/>
  <c r="I1728" i="2"/>
  <c r="I1726" i="2"/>
  <c r="I1724" i="2"/>
  <c r="I1722" i="2"/>
  <c r="I1668" i="2"/>
  <c r="I1924" i="2"/>
  <c r="I1779" i="2"/>
  <c r="I1777" i="2"/>
  <c r="I1775" i="2"/>
  <c r="I1773" i="2"/>
  <c r="I1771" i="2"/>
  <c r="I1769" i="2"/>
  <c r="I1767" i="2"/>
  <c r="I1765" i="2"/>
  <c r="I1763" i="2"/>
  <c r="I1761" i="2"/>
  <c r="I1759" i="2"/>
  <c r="I1757" i="2"/>
  <c r="I1755" i="2"/>
  <c r="I1753" i="2"/>
  <c r="I1751" i="2"/>
  <c r="I1749" i="2"/>
  <c r="I1747" i="2"/>
  <c r="I1745" i="2"/>
  <c r="I1743" i="2"/>
  <c r="I1741" i="2"/>
  <c r="I1739" i="2"/>
  <c r="I1737" i="2"/>
  <c r="I1735" i="2"/>
  <c r="I1733" i="2"/>
  <c r="I1731" i="2"/>
  <c r="I1729" i="2"/>
  <c r="I1727" i="2"/>
  <c r="I1725" i="2"/>
  <c r="I1723" i="2"/>
  <c r="I1721" i="2"/>
  <c r="I1720" i="2"/>
  <c r="I1713" i="2"/>
  <c r="I1712" i="2"/>
  <c r="I1705" i="2"/>
  <c r="I1704" i="2"/>
  <c r="I1697" i="2"/>
  <c r="I1696" i="2"/>
  <c r="I1689" i="2"/>
  <c r="I1688" i="2"/>
  <c r="I1681" i="2"/>
  <c r="I1680" i="2"/>
  <c r="I1675" i="2"/>
  <c r="I1671" i="2"/>
  <c r="I1816" i="2"/>
  <c r="I1783" i="2"/>
  <c r="I1719" i="2"/>
  <c r="I1718" i="2"/>
  <c r="I1711" i="2"/>
  <c r="I1710" i="2"/>
  <c r="I1703" i="2"/>
  <c r="I1702" i="2"/>
  <c r="I1695" i="2"/>
  <c r="I1694" i="2"/>
  <c r="I1687" i="2"/>
  <c r="I1686" i="2"/>
  <c r="I1679" i="2"/>
  <c r="I1678" i="2"/>
  <c r="I1667" i="2"/>
  <c r="I1665" i="2"/>
  <c r="I1663" i="2"/>
  <c r="I1661" i="2"/>
  <c r="I1659" i="2"/>
  <c r="I1657" i="2"/>
  <c r="I1655" i="2"/>
  <c r="I1653" i="2"/>
  <c r="I1651" i="2"/>
  <c r="I1649" i="2"/>
  <c r="I1647" i="2"/>
  <c r="I1645" i="2"/>
  <c r="I1643" i="2"/>
  <c r="I1641" i="2"/>
  <c r="I1639" i="2"/>
  <c r="I1637" i="2"/>
  <c r="I1635" i="2"/>
  <c r="I1633" i="2"/>
  <c r="I1631" i="2"/>
  <c r="I1629" i="2"/>
  <c r="I1627" i="2"/>
  <c r="I1625" i="2"/>
  <c r="I1623" i="2"/>
  <c r="I1621" i="2"/>
  <c r="I1619" i="2"/>
  <c r="I1617" i="2"/>
  <c r="I1615" i="2"/>
  <c r="I1613" i="2"/>
  <c r="I1692" i="2"/>
  <c r="I1684" i="2"/>
  <c r="I1605" i="2"/>
  <c r="I1610" i="2"/>
  <c r="I1602" i="2"/>
  <c r="I1820" i="2"/>
  <c r="I1597" i="2"/>
  <c r="I1595" i="2"/>
  <c r="I1593" i="2"/>
  <c r="I1591" i="2"/>
  <c r="I1589" i="2"/>
  <c r="I1587" i="2"/>
  <c r="I1585" i="2"/>
  <c r="I1583" i="2"/>
  <c r="I1581" i="2"/>
  <c r="I1579" i="2"/>
  <c r="I1577" i="2"/>
  <c r="I1575" i="2"/>
  <c r="I1573" i="2"/>
  <c r="I1607" i="2"/>
  <c r="I1599" i="2"/>
  <c r="I1782" i="2"/>
  <c r="I1673" i="2"/>
  <c r="I1612" i="2"/>
  <c r="I1604" i="2"/>
  <c r="I1818" i="2"/>
  <c r="I1669" i="2"/>
  <c r="I1674" i="2"/>
  <c r="I1611" i="2"/>
  <c r="I1603" i="2"/>
  <c r="I1672" i="2"/>
  <c r="I1670" i="2"/>
  <c r="I1614" i="2"/>
  <c r="I1608" i="2"/>
  <c r="I1600" i="2"/>
  <c r="I1781" i="2"/>
  <c r="I1618" i="2"/>
  <c r="I1606" i="2"/>
  <c r="I1677" i="2"/>
  <c r="I1596" i="2"/>
  <c r="I1588" i="2"/>
  <c r="I1578" i="2"/>
  <c r="I1576" i="2"/>
  <c r="I1601" i="2"/>
  <c r="I1580" i="2"/>
  <c r="I1574" i="2"/>
  <c r="I1685" i="2"/>
  <c r="I1620" i="2"/>
  <c r="I1594" i="2"/>
  <c r="I1586" i="2"/>
  <c r="I1570" i="2"/>
  <c r="I1568" i="2"/>
  <c r="I1566" i="2"/>
  <c r="I1564" i="2"/>
  <c r="I1562" i="2"/>
  <c r="I1560" i="2"/>
  <c r="I1558" i="2"/>
  <c r="I1556" i="2"/>
  <c r="I1554" i="2"/>
  <c r="I1552" i="2"/>
  <c r="I1550" i="2"/>
  <c r="I1548" i="2"/>
  <c r="I1546" i="2"/>
  <c r="I1544" i="2"/>
  <c r="I1542" i="2"/>
  <c r="I1540" i="2"/>
  <c r="I1538" i="2"/>
  <c r="I1536" i="2"/>
  <c r="I1534" i="2"/>
  <c r="I1532" i="2"/>
  <c r="I1530" i="2"/>
  <c r="I1528" i="2"/>
  <c r="I1526" i="2"/>
  <c r="I1524" i="2"/>
  <c r="I1522" i="2"/>
  <c r="I1520" i="2"/>
  <c r="I1518" i="2"/>
  <c r="I1516" i="2"/>
  <c r="I1514" i="2"/>
  <c r="I1512" i="2"/>
  <c r="I1510" i="2"/>
  <c r="I1508" i="2"/>
  <c r="I1506" i="2"/>
  <c r="I1504" i="2"/>
  <c r="I1502" i="2"/>
  <c r="I1500" i="2"/>
  <c r="I1498" i="2"/>
  <c r="I1496" i="2"/>
  <c r="I1494" i="2"/>
  <c r="I1492" i="2"/>
  <c r="I1490" i="2"/>
  <c r="I1488" i="2"/>
  <c r="I1486" i="2"/>
  <c r="I1484" i="2"/>
  <c r="I1482" i="2"/>
  <c r="I1480" i="2"/>
  <c r="I1478" i="2"/>
  <c r="I1476" i="2"/>
  <c r="I1474" i="2"/>
  <c r="I1472" i="2"/>
  <c r="I1470" i="2"/>
  <c r="I1572" i="2"/>
  <c r="I1622" i="2"/>
  <c r="I1616" i="2"/>
  <c r="I1592" i="2"/>
  <c r="I1584" i="2"/>
  <c r="I1598" i="2"/>
  <c r="I1590" i="2"/>
  <c r="I1582" i="2"/>
  <c r="I1571" i="2"/>
  <c r="I1569" i="2"/>
  <c r="I1567" i="2"/>
  <c r="I1565" i="2"/>
  <c r="I1563" i="2"/>
  <c r="I1561" i="2"/>
  <c r="I1559" i="2"/>
  <c r="I1557" i="2"/>
  <c r="I1555" i="2"/>
  <c r="I1553" i="2"/>
  <c r="I1551" i="2"/>
  <c r="I1549" i="2"/>
  <c r="I1547" i="2"/>
  <c r="I1545" i="2"/>
  <c r="I1543" i="2"/>
  <c r="I1541" i="2"/>
  <c r="I1539" i="2"/>
  <c r="I1537" i="2"/>
  <c r="I1535" i="2"/>
  <c r="I1533" i="2"/>
  <c r="I1531" i="2"/>
  <c r="I1529" i="2"/>
  <c r="I1527" i="2"/>
  <c r="I1525" i="2"/>
  <c r="I1523" i="2"/>
  <c r="I1521" i="2"/>
  <c r="I1519" i="2"/>
  <c r="I1517" i="2"/>
  <c r="I1515" i="2"/>
  <c r="I1513" i="2"/>
  <c r="I1511" i="2"/>
  <c r="I1509" i="2"/>
  <c r="I1507" i="2"/>
  <c r="I1505" i="2"/>
  <c r="I1503" i="2"/>
  <c r="I1501" i="2"/>
  <c r="I1499" i="2"/>
  <c r="I1497" i="2"/>
  <c r="I1495" i="2"/>
  <c r="I1493" i="2"/>
  <c r="I1491" i="2"/>
  <c r="I1489" i="2"/>
  <c r="I1487" i="2"/>
  <c r="I1485" i="2"/>
  <c r="I1483" i="2"/>
  <c r="I1481" i="2"/>
  <c r="I1479" i="2"/>
  <c r="I1477" i="2"/>
  <c r="I1475" i="2"/>
  <c r="I1473" i="2"/>
  <c r="I1471" i="2"/>
  <c r="I1469" i="2"/>
  <c r="I1467" i="2"/>
  <c r="I1465" i="2"/>
  <c r="I1463" i="2"/>
  <c r="I1461" i="2"/>
  <c r="I1459" i="2"/>
  <c r="I1457" i="2"/>
  <c r="I1455" i="2"/>
  <c r="I1453" i="2"/>
  <c r="I1451" i="2"/>
  <c r="I1449" i="2"/>
  <c r="I1447" i="2"/>
  <c r="I1445" i="2"/>
  <c r="I1693" i="2"/>
  <c r="I1443" i="2"/>
  <c r="I1430" i="2"/>
  <c r="I1428" i="2"/>
  <c r="I1426" i="2"/>
  <c r="I1424" i="2"/>
  <c r="I1422" i="2"/>
  <c r="I1420" i="2"/>
  <c r="I1418" i="2"/>
  <c r="I1416" i="2"/>
  <c r="I1414" i="2"/>
  <c r="I1412" i="2"/>
  <c r="I1410" i="2"/>
  <c r="I1408" i="2"/>
  <c r="I1406" i="2"/>
  <c r="I1404" i="2"/>
  <c r="I1402" i="2"/>
  <c r="I1400" i="2"/>
  <c r="I1398" i="2"/>
  <c r="I1396" i="2"/>
  <c r="I1394" i="2"/>
  <c r="I1392" i="2"/>
  <c r="I1390" i="2"/>
  <c r="I1388" i="2"/>
  <c r="I1386" i="2"/>
  <c r="I1384" i="2"/>
  <c r="I1382" i="2"/>
  <c r="I1380" i="2"/>
  <c r="I1378" i="2"/>
  <c r="I1376" i="2"/>
  <c r="I1374" i="2"/>
  <c r="I1372" i="2"/>
  <c r="I1370" i="2"/>
  <c r="I1368" i="2"/>
  <c r="I1366" i="2"/>
  <c r="I1364" i="2"/>
  <c r="I1362" i="2"/>
  <c r="I1360" i="2"/>
  <c r="I1358" i="2"/>
  <c r="I1356" i="2"/>
  <c r="I1354" i="2"/>
  <c r="I1352" i="2"/>
  <c r="I1350" i="2"/>
  <c r="I1348" i="2"/>
  <c r="I1346" i="2"/>
  <c r="I1344" i="2"/>
  <c r="I1342" i="2"/>
  <c r="I1340" i="2"/>
  <c r="I1338" i="2"/>
  <c r="I1336" i="2"/>
  <c r="I1334" i="2"/>
  <c r="I1332" i="2"/>
  <c r="I1330" i="2"/>
  <c r="I1328" i="2"/>
  <c r="I1326" i="2"/>
  <c r="I1324" i="2"/>
  <c r="I1322" i="2"/>
  <c r="I1320" i="2"/>
  <c r="I1318" i="2"/>
  <c r="I1316" i="2"/>
  <c r="I1314" i="2"/>
  <c r="I1312" i="2"/>
  <c r="I1310" i="2"/>
  <c r="I1468" i="2"/>
  <c r="I1460" i="2"/>
  <c r="I1452" i="2"/>
  <c r="I1444" i="2"/>
  <c r="I1432" i="2"/>
  <c r="I1440" i="2"/>
  <c r="I1439" i="2"/>
  <c r="I1438" i="2"/>
  <c r="I1437" i="2"/>
  <c r="I1436" i="2"/>
  <c r="I1435" i="2"/>
  <c r="I1466" i="2"/>
  <c r="I1458" i="2"/>
  <c r="I1450" i="2"/>
  <c r="I1434" i="2"/>
  <c r="I1441" i="2"/>
  <c r="I1431" i="2"/>
  <c r="I1429" i="2"/>
  <c r="I1427" i="2"/>
  <c r="I1425" i="2"/>
  <c r="I1423" i="2"/>
  <c r="I1421" i="2"/>
  <c r="I1419" i="2"/>
  <c r="I1417" i="2"/>
  <c r="I1415" i="2"/>
  <c r="I1413" i="2"/>
  <c r="I1411" i="2"/>
  <c r="I1409" i="2"/>
  <c r="I1407" i="2"/>
  <c r="I1405" i="2"/>
  <c r="I1403" i="2"/>
  <c r="I1401" i="2"/>
  <c r="I1399" i="2"/>
  <c r="I1397" i="2"/>
  <c r="I1395" i="2"/>
  <c r="I1393" i="2"/>
  <c r="I1391" i="2"/>
  <c r="I1389" i="2"/>
  <c r="I1387" i="2"/>
  <c r="I1385" i="2"/>
  <c r="I1383" i="2"/>
  <c r="I1381" i="2"/>
  <c r="I1379" i="2"/>
  <c r="I1377" i="2"/>
  <c r="I1375" i="2"/>
  <c r="I1373" i="2"/>
  <c r="I1371" i="2"/>
  <c r="I1369" i="2"/>
  <c r="I1367" i="2"/>
  <c r="I1365" i="2"/>
  <c r="I1363" i="2"/>
  <c r="I1361" i="2"/>
  <c r="I1359" i="2"/>
  <c r="I1357" i="2"/>
  <c r="I1355" i="2"/>
  <c r="I1353" i="2"/>
  <c r="I1351" i="2"/>
  <c r="I1349" i="2"/>
  <c r="I1347" i="2"/>
  <c r="I1345" i="2"/>
  <c r="I1464" i="2"/>
  <c r="I1456" i="2"/>
  <c r="I1448" i="2"/>
  <c r="I1442" i="2"/>
  <c r="I1609" i="2"/>
  <c r="I1337" i="2"/>
  <c r="I1329" i="2"/>
  <c r="I1321" i="2"/>
  <c r="I1308" i="2"/>
  <c r="I1433" i="2"/>
  <c r="I1313" i="2"/>
  <c r="I1305" i="2"/>
  <c r="I1446" i="2"/>
  <c r="I1339" i="2"/>
  <c r="I1331" i="2"/>
  <c r="I1323" i="2"/>
  <c r="I1454" i="2"/>
  <c r="I1307" i="2"/>
  <c r="I1462" i="2"/>
  <c r="I1341" i="2"/>
  <c r="I1333" i="2"/>
  <c r="I1325" i="2"/>
  <c r="I1304" i="2"/>
  <c r="I1302" i="2"/>
  <c r="I1300" i="2"/>
  <c r="I1298" i="2"/>
  <c r="I1296" i="2"/>
  <c r="I1294" i="2"/>
  <c r="I1292" i="2"/>
  <c r="I1290" i="2"/>
  <c r="I1288" i="2"/>
  <c r="I1286" i="2"/>
  <c r="I1284" i="2"/>
  <c r="I1282" i="2"/>
  <c r="I1280" i="2"/>
  <c r="I1278" i="2"/>
  <c r="I1276" i="2"/>
  <c r="I1274" i="2"/>
  <c r="I1272" i="2"/>
  <c r="I1270" i="2"/>
  <c r="I1268" i="2"/>
  <c r="I1266" i="2"/>
  <c r="I1264" i="2"/>
  <c r="I1262" i="2"/>
  <c r="I1260" i="2"/>
  <c r="I1258" i="2"/>
  <c r="I1256" i="2"/>
  <c r="I1254" i="2"/>
  <c r="I1252" i="2"/>
  <c r="I1250" i="2"/>
  <c r="I1248" i="2"/>
  <c r="I1246" i="2"/>
  <c r="I1244" i="2"/>
  <c r="I1242" i="2"/>
  <c r="I1240" i="2"/>
  <c r="I1238" i="2"/>
  <c r="I1236" i="2"/>
  <c r="I1234" i="2"/>
  <c r="I1232" i="2"/>
  <c r="I1230" i="2"/>
  <c r="I1228" i="2"/>
  <c r="I1226" i="2"/>
  <c r="I1224" i="2"/>
  <c r="I1317" i="2"/>
  <c r="I1343" i="2"/>
  <c r="I1335" i="2"/>
  <c r="I1327" i="2"/>
  <c r="I1319" i="2"/>
  <c r="I1309" i="2"/>
  <c r="I1306" i="2"/>
  <c r="I1303" i="2"/>
  <c r="I1295" i="2"/>
  <c r="I1287" i="2"/>
  <c r="I1279" i="2"/>
  <c r="I1271" i="2"/>
  <c r="I1263" i="2"/>
  <c r="I1255" i="2"/>
  <c r="I1247" i="2"/>
  <c r="I1239" i="2"/>
  <c r="I1231" i="2"/>
  <c r="I1203" i="2"/>
  <c r="I1183" i="2"/>
  <c r="I1223" i="2"/>
  <c r="I1221" i="2"/>
  <c r="I1219" i="2"/>
  <c r="I1217" i="2"/>
  <c r="I1215" i="2"/>
  <c r="I1213" i="2"/>
  <c r="I1211" i="2"/>
  <c r="I1206" i="2"/>
  <c r="I1200" i="2"/>
  <c r="I1196" i="2"/>
  <c r="I1192" i="2"/>
  <c r="I1188" i="2"/>
  <c r="I1184" i="2"/>
  <c r="I1170" i="2"/>
  <c r="I1168" i="2"/>
  <c r="I1166" i="2"/>
  <c r="I1164" i="2"/>
  <c r="I1162" i="2"/>
  <c r="I1160" i="2"/>
  <c r="I1158" i="2"/>
  <c r="I1156" i="2"/>
  <c r="I1154" i="2"/>
  <c r="I1152" i="2"/>
  <c r="I1150" i="2"/>
  <c r="I1148" i="2"/>
  <c r="I1146" i="2"/>
  <c r="I1144" i="2"/>
  <c r="I1142" i="2"/>
  <c r="I1140" i="2"/>
  <c r="I1138" i="2"/>
  <c r="I1136" i="2"/>
  <c r="I1134" i="2"/>
  <c r="I1132" i="2"/>
  <c r="I1130" i="2"/>
  <c r="I1128" i="2"/>
  <c r="I1126" i="2"/>
  <c r="I1124" i="2"/>
  <c r="I1122" i="2"/>
  <c r="I1120" i="2"/>
  <c r="I1118" i="2"/>
  <c r="I1116" i="2"/>
  <c r="I1114" i="2"/>
  <c r="I1112" i="2"/>
  <c r="I1110" i="2"/>
  <c r="I1108" i="2"/>
  <c r="I1106" i="2"/>
  <c r="I1104" i="2"/>
  <c r="I1102" i="2"/>
  <c r="I1100" i="2"/>
  <c r="I1098" i="2"/>
  <c r="I1096" i="2"/>
  <c r="I1094" i="2"/>
  <c r="I1092" i="2"/>
  <c r="I1090" i="2"/>
  <c r="I1088" i="2"/>
  <c r="I1086" i="2"/>
  <c r="I1084" i="2"/>
  <c r="I1082" i="2"/>
  <c r="I1080" i="2"/>
  <c r="I1078" i="2"/>
  <c r="I1076" i="2"/>
  <c r="I1074" i="2"/>
  <c r="I1072" i="2"/>
  <c r="I1070" i="2"/>
  <c r="I1068" i="2"/>
  <c r="I1066" i="2"/>
  <c r="I1064" i="2"/>
  <c r="I1297" i="2"/>
  <c r="I1289" i="2"/>
  <c r="I1281" i="2"/>
  <c r="I1273" i="2"/>
  <c r="I1265" i="2"/>
  <c r="I1257" i="2"/>
  <c r="I1249" i="2"/>
  <c r="I1241" i="2"/>
  <c r="I1233" i="2"/>
  <c r="I1225" i="2"/>
  <c r="I1209" i="2"/>
  <c r="I1172" i="2"/>
  <c r="I1315" i="2"/>
  <c r="I1204" i="2"/>
  <c r="I1201" i="2"/>
  <c r="I1197" i="2"/>
  <c r="I1193" i="2"/>
  <c r="I1189" i="2"/>
  <c r="I1185" i="2"/>
  <c r="I1299" i="2"/>
  <c r="I1291" i="2"/>
  <c r="I1283" i="2"/>
  <c r="I1275" i="2"/>
  <c r="I1267" i="2"/>
  <c r="I1259" i="2"/>
  <c r="I1251" i="2"/>
  <c r="I1243" i="2"/>
  <c r="I1235" i="2"/>
  <c r="I1227" i="2"/>
  <c r="I1222" i="2"/>
  <c r="I1220" i="2"/>
  <c r="I1218" i="2"/>
  <c r="I1216" i="2"/>
  <c r="I1214" i="2"/>
  <c r="I1212" i="2"/>
  <c r="I1207" i="2"/>
  <c r="I1210" i="2"/>
  <c r="I1202" i="2"/>
  <c r="I1198" i="2"/>
  <c r="I1194" i="2"/>
  <c r="I1190" i="2"/>
  <c r="I1186" i="2"/>
  <c r="I1171" i="2"/>
  <c r="I1169" i="2"/>
  <c r="I1167" i="2"/>
  <c r="I1165" i="2"/>
  <c r="I1163" i="2"/>
  <c r="I1161" i="2"/>
  <c r="I1159" i="2"/>
  <c r="I1157" i="2"/>
  <c r="I1155" i="2"/>
  <c r="I1153" i="2"/>
  <c r="I1151" i="2"/>
  <c r="I1149" i="2"/>
  <c r="I1147" i="2"/>
  <c r="I1145" i="2"/>
  <c r="I1143" i="2"/>
  <c r="I1141" i="2"/>
  <c r="I1139" i="2"/>
  <c r="I1137" i="2"/>
  <c r="I1135" i="2"/>
  <c r="I1133" i="2"/>
  <c r="I1131" i="2"/>
  <c r="I1129" i="2"/>
  <c r="I1127" i="2"/>
  <c r="I1125" i="2"/>
  <c r="I1123" i="2"/>
  <c r="I1121" i="2"/>
  <c r="I1119" i="2"/>
  <c r="I1117" i="2"/>
  <c r="I1115" i="2"/>
  <c r="I1113" i="2"/>
  <c r="I1111" i="2"/>
  <c r="I1109" i="2"/>
  <c r="I1107" i="2"/>
  <c r="I1105" i="2"/>
  <c r="I1103" i="2"/>
  <c r="I1101" i="2"/>
  <c r="I1099" i="2"/>
  <c r="I1097" i="2"/>
  <c r="I1095" i="2"/>
  <c r="I1093" i="2"/>
  <c r="I1091" i="2"/>
  <c r="I1089" i="2"/>
  <c r="I1087" i="2"/>
  <c r="I1085" i="2"/>
  <c r="I1083" i="2"/>
  <c r="I1081" i="2"/>
  <c r="I1301" i="2"/>
  <c r="I1293" i="2"/>
  <c r="I1285" i="2"/>
  <c r="I1277" i="2"/>
  <c r="I1269" i="2"/>
  <c r="I1261" i="2"/>
  <c r="I1253" i="2"/>
  <c r="I1245" i="2"/>
  <c r="I1237" i="2"/>
  <c r="I1229" i="2"/>
  <c r="I1205" i="2"/>
  <c r="I1181" i="2"/>
  <c r="I1180" i="2"/>
  <c r="I1179" i="2"/>
  <c r="I1178" i="2"/>
  <c r="I1177" i="2"/>
  <c r="I1176" i="2"/>
  <c r="I1175" i="2"/>
  <c r="I1174" i="2"/>
  <c r="I1053" i="2"/>
  <c r="I1182" i="2"/>
  <c r="I1077" i="2"/>
  <c r="I1075" i="2"/>
  <c r="I1073" i="2"/>
  <c r="I1071" i="2"/>
  <c r="I1069" i="2"/>
  <c r="I1067" i="2"/>
  <c r="I1065" i="2"/>
  <c r="I1063" i="2"/>
  <c r="I1050" i="2"/>
  <c r="I1062" i="2"/>
  <c r="I1056" i="2"/>
  <c r="I1311" i="2"/>
  <c r="I1079" i="2"/>
  <c r="I1047" i="2"/>
  <c r="I1045" i="2"/>
  <c r="I1043" i="2"/>
  <c r="I1041" i="2"/>
  <c r="I1039" i="2"/>
  <c r="I1037" i="2"/>
  <c r="I1035" i="2"/>
  <c r="I1033" i="2"/>
  <c r="I1031" i="2"/>
  <c r="I1029" i="2"/>
  <c r="I1027" i="2"/>
  <c r="I1025" i="2"/>
  <c r="I1023" i="2"/>
  <c r="I1021" i="2"/>
  <c r="I1019" i="2"/>
  <c r="I1017" i="2"/>
  <c r="I1015" i="2"/>
  <c r="I1013" i="2"/>
  <c r="I1011" i="2"/>
  <c r="I1009" i="2"/>
  <c r="I1007" i="2"/>
  <c r="I1005" i="2"/>
  <c r="I1003" i="2"/>
  <c r="I1001" i="2"/>
  <c r="I999" i="2"/>
  <c r="I997" i="2"/>
  <c r="I995" i="2"/>
  <c r="I993" i="2"/>
  <c r="I991" i="2"/>
  <c r="I1195" i="2"/>
  <c r="I1187" i="2"/>
  <c r="I1061" i="2"/>
  <c r="I1052" i="2"/>
  <c r="I1060" i="2"/>
  <c r="I1055" i="2"/>
  <c r="I1049" i="2"/>
  <c r="I1173" i="2"/>
  <c r="I1059" i="2"/>
  <c r="I1058" i="2"/>
  <c r="I1054" i="2"/>
  <c r="I1044" i="2"/>
  <c r="I1036" i="2"/>
  <c r="I1028" i="2"/>
  <c r="I1020" i="2"/>
  <c r="I1012" i="2"/>
  <c r="I1004" i="2"/>
  <c r="I962" i="2"/>
  <c r="I935" i="2"/>
  <c r="I1199" i="2"/>
  <c r="I996" i="2"/>
  <c r="I994" i="2"/>
  <c r="I992" i="2"/>
  <c r="I990" i="2"/>
  <c r="I986" i="2"/>
  <c r="I982" i="2"/>
  <c r="I978" i="2"/>
  <c r="I974" i="2"/>
  <c r="I970" i="2"/>
  <c r="I963" i="2"/>
  <c r="I934" i="2"/>
  <c r="I930" i="2"/>
  <c r="I927" i="2"/>
  <c r="I925" i="2"/>
  <c r="I923" i="2"/>
  <c r="I921" i="2"/>
  <c r="I919" i="2"/>
  <c r="I917" i="2"/>
  <c r="I915" i="2"/>
  <c r="I913" i="2"/>
  <c r="I911" i="2"/>
  <c r="I909" i="2"/>
  <c r="I907" i="2"/>
  <c r="I905" i="2"/>
  <c r="I903" i="2"/>
  <c r="I901" i="2"/>
  <c r="I899" i="2"/>
  <c r="I897" i="2"/>
  <c r="I895" i="2"/>
  <c r="I893" i="2"/>
  <c r="I891" i="2"/>
  <c r="I889" i="2"/>
  <c r="I887" i="2"/>
  <c r="I885" i="2"/>
  <c r="I883" i="2"/>
  <c r="I881" i="2"/>
  <c r="I879" i="2"/>
  <c r="I877" i="2"/>
  <c r="I875" i="2"/>
  <c r="I873" i="2"/>
  <c r="I871" i="2"/>
  <c r="I869" i="2"/>
  <c r="I867" i="2"/>
  <c r="I865" i="2"/>
  <c r="I863" i="2"/>
  <c r="I861" i="2"/>
  <c r="I859" i="2"/>
  <c r="I857" i="2"/>
  <c r="I855" i="2"/>
  <c r="I853" i="2"/>
  <c r="I851" i="2"/>
  <c r="I849" i="2"/>
  <c r="I847" i="2"/>
  <c r="I845" i="2"/>
  <c r="I843" i="2"/>
  <c r="I841" i="2"/>
  <c r="I1046" i="2"/>
  <c r="I1038" i="2"/>
  <c r="I1030" i="2"/>
  <c r="I1022" i="2"/>
  <c r="I1014" i="2"/>
  <c r="I1006" i="2"/>
  <c r="I998" i="2"/>
  <c r="I964" i="2"/>
  <c r="I1191" i="2"/>
  <c r="I987" i="2"/>
  <c r="I983" i="2"/>
  <c r="I979" i="2"/>
  <c r="I975" i="2"/>
  <c r="I971" i="2"/>
  <c r="I965" i="2"/>
  <c r="I933" i="2"/>
  <c r="I929" i="2"/>
  <c r="I1051" i="2"/>
  <c r="I1040" i="2"/>
  <c r="I1032" i="2"/>
  <c r="I1024" i="2"/>
  <c r="I1016" i="2"/>
  <c r="I1008" i="2"/>
  <c r="I1000" i="2"/>
  <c r="I966" i="2"/>
  <c r="I1048" i="2"/>
  <c r="I988" i="2"/>
  <c r="I984" i="2"/>
  <c r="I980" i="2"/>
  <c r="I976" i="2"/>
  <c r="I972" i="2"/>
  <c r="I1057" i="2"/>
  <c r="I1208" i="2"/>
  <c r="I977" i="2"/>
  <c r="I958" i="2"/>
  <c r="I954" i="2"/>
  <c r="I950" i="2"/>
  <c r="I946" i="2"/>
  <c r="I942" i="2"/>
  <c r="I938" i="2"/>
  <c r="I931" i="2"/>
  <c r="I858" i="2"/>
  <c r="I850" i="2"/>
  <c r="I828" i="2"/>
  <c r="I922" i="2"/>
  <c r="I914" i="2"/>
  <c r="I906" i="2"/>
  <c r="I898" i="2"/>
  <c r="I890" i="2"/>
  <c r="I882" i="2"/>
  <c r="I874" i="2"/>
  <c r="I866" i="2"/>
  <c r="I842" i="2"/>
  <c r="I1002" i="2"/>
  <c r="I827" i="2"/>
  <c r="I981" i="2"/>
  <c r="I961" i="2"/>
  <c r="I957" i="2"/>
  <c r="I953" i="2"/>
  <c r="I949" i="2"/>
  <c r="I945" i="2"/>
  <c r="I941" i="2"/>
  <c r="I937" i="2"/>
  <c r="I856" i="2"/>
  <c r="I848" i="2"/>
  <c r="I1042" i="2"/>
  <c r="I1026" i="2"/>
  <c r="I924" i="2"/>
  <c r="I916" i="2"/>
  <c r="I908" i="2"/>
  <c r="I900" i="2"/>
  <c r="I892" i="2"/>
  <c r="I884" i="2"/>
  <c r="I876" i="2"/>
  <c r="I868" i="2"/>
  <c r="I823" i="2"/>
  <c r="I821" i="2"/>
  <c r="I819" i="2"/>
  <c r="I817" i="2"/>
  <c r="I815" i="2"/>
  <c r="I813" i="2"/>
  <c r="I811" i="2"/>
  <c r="I809" i="2"/>
  <c r="I807" i="2"/>
  <c r="I805" i="2"/>
  <c r="I803" i="2"/>
  <c r="I801" i="2"/>
  <c r="I799" i="2"/>
  <c r="I797" i="2"/>
  <c r="I795" i="2"/>
  <c r="I793" i="2"/>
  <c r="I791" i="2"/>
  <c r="I789" i="2"/>
  <c r="I787" i="2"/>
  <c r="I785" i="2"/>
  <c r="I783" i="2"/>
  <c r="I781" i="2"/>
  <c r="I779" i="2"/>
  <c r="I777" i="2"/>
  <c r="I775" i="2"/>
  <c r="I773" i="2"/>
  <c r="I771" i="2"/>
  <c r="I769" i="2"/>
  <c r="I767" i="2"/>
  <c r="I765" i="2"/>
  <c r="I763" i="2"/>
  <c r="I761" i="2"/>
  <c r="I759" i="2"/>
  <c r="I757" i="2"/>
  <c r="I755" i="2"/>
  <c r="I753" i="2"/>
  <c r="I751" i="2"/>
  <c r="I749" i="2"/>
  <c r="I747" i="2"/>
  <c r="I745" i="2"/>
  <c r="I743" i="2"/>
  <c r="I741" i="2"/>
  <c r="I739" i="2"/>
  <c r="I737" i="2"/>
  <c r="I735" i="2"/>
  <c r="I733" i="2"/>
  <c r="I731" i="2"/>
  <c r="I729" i="2"/>
  <c r="I727" i="2"/>
  <c r="I725" i="2"/>
  <c r="I723" i="2"/>
  <c r="I721" i="2"/>
  <c r="I719" i="2"/>
  <c r="I717" i="2"/>
  <c r="I715" i="2"/>
  <c r="I713" i="2"/>
  <c r="I711" i="2"/>
  <c r="I709" i="2"/>
  <c r="I707" i="2"/>
  <c r="I705" i="2"/>
  <c r="I1010" i="2"/>
  <c r="I826" i="2"/>
  <c r="I985" i="2"/>
  <c r="I969" i="2"/>
  <c r="I960" i="2"/>
  <c r="I956" i="2"/>
  <c r="I952" i="2"/>
  <c r="I948" i="2"/>
  <c r="I944" i="2"/>
  <c r="I940" i="2"/>
  <c r="I936" i="2"/>
  <c r="I854" i="2"/>
  <c r="I846" i="2"/>
  <c r="I932" i="2"/>
  <c r="I926" i="2"/>
  <c r="I918" i="2"/>
  <c r="I910" i="2"/>
  <c r="I902" i="2"/>
  <c r="I894" i="2"/>
  <c r="I886" i="2"/>
  <c r="I878" i="2"/>
  <c r="I870" i="2"/>
  <c r="I968" i="2"/>
  <c r="I840" i="2"/>
  <c r="I839" i="2"/>
  <c r="I838" i="2"/>
  <c r="I837" i="2"/>
  <c r="I836" i="2"/>
  <c r="I835" i="2"/>
  <c r="I834" i="2"/>
  <c r="I833" i="2"/>
  <c r="I832" i="2"/>
  <c r="I831" i="2"/>
  <c r="I825" i="2"/>
  <c r="I1034" i="2"/>
  <c r="I1018" i="2"/>
  <c r="I967" i="2"/>
  <c r="I928" i="2"/>
  <c r="I920" i="2"/>
  <c r="I912" i="2"/>
  <c r="I904" i="2"/>
  <c r="I896" i="2"/>
  <c r="I888" i="2"/>
  <c r="I880" i="2"/>
  <c r="I872" i="2"/>
  <c r="I864" i="2"/>
  <c r="I829" i="2"/>
  <c r="I822" i="2"/>
  <c r="I820" i="2"/>
  <c r="I818" i="2"/>
  <c r="I816" i="2"/>
  <c r="I814" i="2"/>
  <c r="I812" i="2"/>
  <c r="I810" i="2"/>
  <c r="I808" i="2"/>
  <c r="I806" i="2"/>
  <c r="I804" i="2"/>
  <c r="I802" i="2"/>
  <c r="I800" i="2"/>
  <c r="I798" i="2"/>
  <c r="I796" i="2"/>
  <c r="I794" i="2"/>
  <c r="I792" i="2"/>
  <c r="I790" i="2"/>
  <c r="I788" i="2"/>
  <c r="I786" i="2"/>
  <c r="I784" i="2"/>
  <c r="I782" i="2"/>
  <c r="I780" i="2"/>
  <c r="I778" i="2"/>
  <c r="I776" i="2"/>
  <c r="I774" i="2"/>
  <c r="I772" i="2"/>
  <c r="I770" i="2"/>
  <c r="I768" i="2"/>
  <c r="I766" i="2"/>
  <c r="I764" i="2"/>
  <c r="I762" i="2"/>
  <c r="I760" i="2"/>
  <c r="I758" i="2"/>
  <c r="I756" i="2"/>
  <c r="I754" i="2"/>
  <c r="I752" i="2"/>
  <c r="I750" i="2"/>
  <c r="I748" i="2"/>
  <c r="I746" i="2"/>
  <c r="I744" i="2"/>
  <c r="I742" i="2"/>
  <c r="I740" i="2"/>
  <c r="I738" i="2"/>
  <c r="I736" i="2"/>
  <c r="I734" i="2"/>
  <c r="I732" i="2"/>
  <c r="I730" i="2"/>
  <c r="I728" i="2"/>
  <c r="I726" i="2"/>
  <c r="I724" i="2"/>
  <c r="I722" i="2"/>
  <c r="I720" i="2"/>
  <c r="I718" i="2"/>
  <c r="I716" i="2"/>
  <c r="I714" i="2"/>
  <c r="I712" i="2"/>
  <c r="I710" i="2"/>
  <c r="I708" i="2"/>
  <c r="I706" i="2"/>
  <c r="I939" i="2"/>
  <c r="I989" i="2"/>
  <c r="I959" i="2"/>
  <c r="I704" i="2"/>
  <c r="I703" i="2"/>
  <c r="I955" i="2"/>
  <c r="I702" i="2"/>
  <c r="I700" i="2"/>
  <c r="I698" i="2"/>
  <c r="I696" i="2"/>
  <c r="I694" i="2"/>
  <c r="I692" i="2"/>
  <c r="I690" i="2"/>
  <c r="I688" i="2"/>
  <c r="I686" i="2"/>
  <c r="I684" i="2"/>
  <c r="I682" i="2"/>
  <c r="I680" i="2"/>
  <c r="I678" i="2"/>
  <c r="I676" i="2"/>
  <c r="I674" i="2"/>
  <c r="I672" i="2"/>
  <c r="I670" i="2"/>
  <c r="I668" i="2"/>
  <c r="I666" i="2"/>
  <c r="I664" i="2"/>
  <c r="I662" i="2"/>
  <c r="I660" i="2"/>
  <c r="I658" i="2"/>
  <c r="I656" i="2"/>
  <c r="I654" i="2"/>
  <c r="I652" i="2"/>
  <c r="I650" i="2"/>
  <c r="I648" i="2"/>
  <c r="I646" i="2"/>
  <c r="I644" i="2"/>
  <c r="I642" i="2"/>
  <c r="I640" i="2"/>
  <c r="I638" i="2"/>
  <c r="I636" i="2"/>
  <c r="I634" i="2"/>
  <c r="I632" i="2"/>
  <c r="I630" i="2"/>
  <c r="I628" i="2"/>
  <c r="I626" i="2"/>
  <c r="I624" i="2"/>
  <c r="I622" i="2"/>
  <c r="I620" i="2"/>
  <c r="I618" i="2"/>
  <c r="I616" i="2"/>
  <c r="I614" i="2"/>
  <c r="I612" i="2"/>
  <c r="I610" i="2"/>
  <c r="I608" i="2"/>
  <c r="I606" i="2"/>
  <c r="I604" i="2"/>
  <c r="I602" i="2"/>
  <c r="I600" i="2"/>
  <c r="I598" i="2"/>
  <c r="I596" i="2"/>
  <c r="I594" i="2"/>
  <c r="I592" i="2"/>
  <c r="I590" i="2"/>
  <c r="I588" i="2"/>
  <c r="I586" i="2"/>
  <c r="I584" i="2"/>
  <c r="I582" i="2"/>
  <c r="I580" i="2"/>
  <c r="I578" i="2"/>
  <c r="I576" i="2"/>
  <c r="I574" i="2"/>
  <c r="I572" i="2"/>
  <c r="I570" i="2"/>
  <c r="I568" i="2"/>
  <c r="I566" i="2"/>
  <c r="I564" i="2"/>
  <c r="I562" i="2"/>
  <c r="I560" i="2"/>
  <c r="I558" i="2"/>
  <c r="I556" i="2"/>
  <c r="I554" i="2"/>
  <c r="I552" i="2"/>
  <c r="I550" i="2"/>
  <c r="I548" i="2"/>
  <c r="I546" i="2"/>
  <c r="I544" i="2"/>
  <c r="I542" i="2"/>
  <c r="I540" i="2"/>
  <c r="I538" i="2"/>
  <c r="I536" i="2"/>
  <c r="I534" i="2"/>
  <c r="I532" i="2"/>
  <c r="I530" i="2"/>
  <c r="I528" i="2"/>
  <c r="I526" i="2"/>
  <c r="I524" i="2"/>
  <c r="I522" i="2"/>
  <c r="I520" i="2"/>
  <c r="I518" i="2"/>
  <c r="I516" i="2"/>
  <c r="I514" i="2"/>
  <c r="I512" i="2"/>
  <c r="I510" i="2"/>
  <c r="I508" i="2"/>
  <c r="I506" i="2"/>
  <c r="I504" i="2"/>
  <c r="I502" i="2"/>
  <c r="I500" i="2"/>
  <c r="I498" i="2"/>
  <c r="I496" i="2"/>
  <c r="I494" i="2"/>
  <c r="I492" i="2"/>
  <c r="I490" i="2"/>
  <c r="I951" i="2"/>
  <c r="I844" i="2"/>
  <c r="I973" i="2"/>
  <c r="I947" i="2"/>
  <c r="I862" i="2"/>
  <c r="I852" i="2"/>
  <c r="I830" i="2"/>
  <c r="I943" i="2"/>
  <c r="I860" i="2"/>
  <c r="I567" i="2"/>
  <c r="I559" i="2"/>
  <c r="I551" i="2"/>
  <c r="I543" i="2"/>
  <c r="I535" i="2"/>
  <c r="I527" i="2"/>
  <c r="I519" i="2"/>
  <c r="I511" i="2"/>
  <c r="I503" i="2"/>
  <c r="I495" i="2"/>
  <c r="I392" i="2"/>
  <c r="I390" i="2"/>
  <c r="I388" i="2"/>
  <c r="I386" i="2"/>
  <c r="I384" i="2"/>
  <c r="I382" i="2"/>
  <c r="I380" i="2"/>
  <c r="I378" i="2"/>
  <c r="I376" i="2"/>
  <c r="I374" i="2"/>
  <c r="I372" i="2"/>
  <c r="I370" i="2"/>
  <c r="I368" i="2"/>
  <c r="I366" i="2"/>
  <c r="I364" i="2"/>
  <c r="I362" i="2"/>
  <c r="I360" i="2"/>
  <c r="I358" i="2"/>
  <c r="I356" i="2"/>
  <c r="I354" i="2"/>
  <c r="I352" i="2"/>
  <c r="I350" i="2"/>
  <c r="I348" i="2"/>
  <c r="I346" i="2"/>
  <c r="I344" i="2"/>
  <c r="I342" i="2"/>
  <c r="I340" i="2"/>
  <c r="I338" i="2"/>
  <c r="I336" i="2"/>
  <c r="I334" i="2"/>
  <c r="I332" i="2"/>
  <c r="I330" i="2"/>
  <c r="I328" i="2"/>
  <c r="I326" i="2"/>
  <c r="I324" i="2"/>
  <c r="I322" i="2"/>
  <c r="I320" i="2"/>
  <c r="I318" i="2"/>
  <c r="I316" i="2"/>
  <c r="I314" i="2"/>
  <c r="I312" i="2"/>
  <c r="I310" i="2"/>
  <c r="I308" i="2"/>
  <c r="I306" i="2"/>
  <c r="I304" i="2"/>
  <c r="I302" i="2"/>
  <c r="I300" i="2"/>
  <c r="I298" i="2"/>
  <c r="I296" i="2"/>
  <c r="I294" i="2"/>
  <c r="I292" i="2"/>
  <c r="I290" i="2"/>
  <c r="I288" i="2"/>
  <c r="I286" i="2"/>
  <c r="I284" i="2"/>
  <c r="I282" i="2"/>
  <c r="I280" i="2"/>
  <c r="I278" i="2"/>
  <c r="I276" i="2"/>
  <c r="I274" i="2"/>
  <c r="I272" i="2"/>
  <c r="I270" i="2"/>
  <c r="I268" i="2"/>
  <c r="I266" i="2"/>
  <c r="I264" i="2"/>
  <c r="I262" i="2"/>
  <c r="I260" i="2"/>
  <c r="I258" i="2"/>
  <c r="I256" i="2"/>
  <c r="I254" i="2"/>
  <c r="I252" i="2"/>
  <c r="I250" i="2"/>
  <c r="I248" i="2"/>
  <c r="I246" i="2"/>
  <c r="I244" i="2"/>
  <c r="I242" i="2"/>
  <c r="I240" i="2"/>
  <c r="I238" i="2"/>
  <c r="I236" i="2"/>
  <c r="I234" i="2"/>
  <c r="I232" i="2"/>
  <c r="I230" i="2"/>
  <c r="I228" i="2"/>
  <c r="I226" i="2"/>
  <c r="I224" i="2"/>
  <c r="I222" i="2"/>
  <c r="I220" i="2"/>
  <c r="I218" i="2"/>
  <c r="I216" i="2"/>
  <c r="I214" i="2"/>
  <c r="I212" i="2"/>
  <c r="I210" i="2"/>
  <c r="I208" i="2"/>
  <c r="I206" i="2"/>
  <c r="I204" i="2"/>
  <c r="I202" i="2"/>
  <c r="I200" i="2"/>
  <c r="I198" i="2"/>
  <c r="I196" i="2"/>
  <c r="I194" i="2"/>
  <c r="I192" i="2"/>
  <c r="I190" i="2"/>
  <c r="I188" i="2"/>
  <c r="I186" i="2"/>
  <c r="I184" i="2"/>
  <c r="I182" i="2"/>
  <c r="I180" i="2"/>
  <c r="I178" i="2"/>
  <c r="I176" i="2"/>
  <c r="I174" i="2"/>
  <c r="I172" i="2"/>
  <c r="I170" i="2"/>
  <c r="I168" i="2"/>
  <c r="I166" i="2"/>
  <c r="I164" i="2"/>
  <c r="I162" i="2"/>
  <c r="I160" i="2"/>
  <c r="I158" i="2"/>
  <c r="I156" i="2"/>
  <c r="I154" i="2"/>
  <c r="I152" i="2"/>
  <c r="I150" i="2"/>
  <c r="I824" i="2"/>
  <c r="I418" i="2"/>
  <c r="I414" i="2"/>
  <c r="I410" i="2"/>
  <c r="I406" i="2"/>
  <c r="I402" i="2"/>
  <c r="I398" i="2"/>
  <c r="I394" i="2"/>
  <c r="I422" i="2"/>
  <c r="I701" i="2"/>
  <c r="I697" i="2"/>
  <c r="I693" i="2"/>
  <c r="I689" i="2"/>
  <c r="I685" i="2"/>
  <c r="I681" i="2"/>
  <c r="I677" i="2"/>
  <c r="I673" i="2"/>
  <c r="I669" i="2"/>
  <c r="I665" i="2"/>
  <c r="I661" i="2"/>
  <c r="I657" i="2"/>
  <c r="I653" i="2"/>
  <c r="I649" i="2"/>
  <c r="I645" i="2"/>
  <c r="I641" i="2"/>
  <c r="I637" i="2"/>
  <c r="I633" i="2"/>
  <c r="I629" i="2"/>
  <c r="I625" i="2"/>
  <c r="I621" i="2"/>
  <c r="I617" i="2"/>
  <c r="I613" i="2"/>
  <c r="I609" i="2"/>
  <c r="I605" i="2"/>
  <c r="I601" i="2"/>
  <c r="I597" i="2"/>
  <c r="I593" i="2"/>
  <c r="I589" i="2"/>
  <c r="I585" i="2"/>
  <c r="I581" i="2"/>
  <c r="I577" i="2"/>
  <c r="I573" i="2"/>
  <c r="I569" i="2"/>
  <c r="I561" i="2"/>
  <c r="I553" i="2"/>
  <c r="I545" i="2"/>
  <c r="I537" i="2"/>
  <c r="I529" i="2"/>
  <c r="I521" i="2"/>
  <c r="I513" i="2"/>
  <c r="I505" i="2"/>
  <c r="I497" i="2"/>
  <c r="I489" i="2"/>
  <c r="I487" i="2"/>
  <c r="I485" i="2"/>
  <c r="I483" i="2"/>
  <c r="I481" i="2"/>
  <c r="I479" i="2"/>
  <c r="I477" i="2"/>
  <c r="I475" i="2"/>
  <c r="I473" i="2"/>
  <c r="I471" i="2"/>
  <c r="I469" i="2"/>
  <c r="I467" i="2"/>
  <c r="I465" i="2"/>
  <c r="I463" i="2"/>
  <c r="I461" i="2"/>
  <c r="I459" i="2"/>
  <c r="I457" i="2"/>
  <c r="I455" i="2"/>
  <c r="I453" i="2"/>
  <c r="I451" i="2"/>
  <c r="I449" i="2"/>
  <c r="I447" i="2"/>
  <c r="I445" i="2"/>
  <c r="I443" i="2"/>
  <c r="I441" i="2"/>
  <c r="I439" i="2"/>
  <c r="I437" i="2"/>
  <c r="I435" i="2"/>
  <c r="I433" i="2"/>
  <c r="I431" i="2"/>
  <c r="I429" i="2"/>
  <c r="I427" i="2"/>
  <c r="I425" i="2"/>
  <c r="I423" i="2"/>
  <c r="I421" i="2"/>
  <c r="I417" i="2"/>
  <c r="I413" i="2"/>
  <c r="I409" i="2"/>
  <c r="I405" i="2"/>
  <c r="I401" i="2"/>
  <c r="I563" i="2"/>
  <c r="I555" i="2"/>
  <c r="I547" i="2"/>
  <c r="I539" i="2"/>
  <c r="I531" i="2"/>
  <c r="I523" i="2"/>
  <c r="I515" i="2"/>
  <c r="I507" i="2"/>
  <c r="I499" i="2"/>
  <c r="I491" i="2"/>
  <c r="I393" i="2"/>
  <c r="I391" i="2"/>
  <c r="I389" i="2"/>
  <c r="I387" i="2"/>
  <c r="I385" i="2"/>
  <c r="I383" i="2"/>
  <c r="I381" i="2"/>
  <c r="I379" i="2"/>
  <c r="I377" i="2"/>
  <c r="I375" i="2"/>
  <c r="I373" i="2"/>
  <c r="I371" i="2"/>
  <c r="I369" i="2"/>
  <c r="I367" i="2"/>
  <c r="I365" i="2"/>
  <c r="I363" i="2"/>
  <c r="I361" i="2"/>
  <c r="I359" i="2"/>
  <c r="I357" i="2"/>
  <c r="I355" i="2"/>
  <c r="I353" i="2"/>
  <c r="I351" i="2"/>
  <c r="I349" i="2"/>
  <c r="I347" i="2"/>
  <c r="I345" i="2"/>
  <c r="I343" i="2"/>
  <c r="I341" i="2"/>
  <c r="I339" i="2"/>
  <c r="I337" i="2"/>
  <c r="I335" i="2"/>
  <c r="I333" i="2"/>
  <c r="I331" i="2"/>
  <c r="I329" i="2"/>
  <c r="I327" i="2"/>
  <c r="I325" i="2"/>
  <c r="I323" i="2"/>
  <c r="I321" i="2"/>
  <c r="I319" i="2"/>
  <c r="I317" i="2"/>
  <c r="I315" i="2"/>
  <c r="I313" i="2"/>
  <c r="I311" i="2"/>
  <c r="I309" i="2"/>
  <c r="I307" i="2"/>
  <c r="I305" i="2"/>
  <c r="I303" i="2"/>
  <c r="I301" i="2"/>
  <c r="I299" i="2"/>
  <c r="I297" i="2"/>
  <c r="I295" i="2"/>
  <c r="I293" i="2"/>
  <c r="I291" i="2"/>
  <c r="I289" i="2"/>
  <c r="I287" i="2"/>
  <c r="I285" i="2"/>
  <c r="I283" i="2"/>
  <c r="I281" i="2"/>
  <c r="I279" i="2"/>
  <c r="I277" i="2"/>
  <c r="I275" i="2"/>
  <c r="I273" i="2"/>
  <c r="I271" i="2"/>
  <c r="I269" i="2"/>
  <c r="I267" i="2"/>
  <c r="I265" i="2"/>
  <c r="I263" i="2"/>
  <c r="I261" i="2"/>
  <c r="I420" i="2"/>
  <c r="I416" i="2"/>
  <c r="I412" i="2"/>
  <c r="I408" i="2"/>
  <c r="I404" i="2"/>
  <c r="I400" i="2"/>
  <c r="I396" i="2"/>
  <c r="I488" i="2"/>
  <c r="I486" i="2"/>
  <c r="I484" i="2"/>
  <c r="I482" i="2"/>
  <c r="I480" i="2"/>
  <c r="I478" i="2"/>
  <c r="I476" i="2"/>
  <c r="I474" i="2"/>
  <c r="I472" i="2"/>
  <c r="I470" i="2"/>
  <c r="I468" i="2"/>
  <c r="I466" i="2"/>
  <c r="I464" i="2"/>
  <c r="I462" i="2"/>
  <c r="I460" i="2"/>
  <c r="I458" i="2"/>
  <c r="I456" i="2"/>
  <c r="I454" i="2"/>
  <c r="I452" i="2"/>
  <c r="I450" i="2"/>
  <c r="I448" i="2"/>
  <c r="I446" i="2"/>
  <c r="I444" i="2"/>
  <c r="I442" i="2"/>
  <c r="I440" i="2"/>
  <c r="I438" i="2"/>
  <c r="I436" i="2"/>
  <c r="I434" i="2"/>
  <c r="I432" i="2"/>
  <c r="I430" i="2"/>
  <c r="I428" i="2"/>
  <c r="I426" i="2"/>
  <c r="I424" i="2"/>
  <c r="I699" i="2"/>
  <c r="I683" i="2"/>
  <c r="I667" i="2"/>
  <c r="I651" i="2"/>
  <c r="I635" i="2"/>
  <c r="I619" i="2"/>
  <c r="I603" i="2"/>
  <c r="I587" i="2"/>
  <c r="I571" i="2"/>
  <c r="I549" i="2"/>
  <c r="I517" i="2"/>
  <c r="I148" i="2"/>
  <c r="I59" i="2"/>
  <c r="I53" i="2"/>
  <c r="I51" i="2"/>
  <c r="I45" i="2"/>
  <c r="I41" i="2"/>
  <c r="I35" i="2"/>
  <c r="I31" i="2"/>
  <c r="I27" i="2"/>
  <c r="I25" i="2"/>
  <c r="I23" i="2"/>
  <c r="I19" i="2"/>
  <c r="I17" i="2"/>
  <c r="I11" i="2"/>
  <c r="I9" i="2"/>
  <c r="I3" i="2"/>
  <c r="I419" i="2"/>
  <c r="I403" i="2"/>
  <c r="I397" i="2"/>
  <c r="I147" i="2"/>
  <c r="I145" i="2"/>
  <c r="I143" i="2"/>
  <c r="I141" i="2"/>
  <c r="I139" i="2"/>
  <c r="I137" i="2"/>
  <c r="I135" i="2"/>
  <c r="I133" i="2"/>
  <c r="I131" i="2"/>
  <c r="I129" i="2"/>
  <c r="I127" i="2"/>
  <c r="I125" i="2"/>
  <c r="I123" i="2"/>
  <c r="I121" i="2"/>
  <c r="I119" i="2"/>
  <c r="I117" i="2"/>
  <c r="I115" i="2"/>
  <c r="I113" i="2"/>
  <c r="I111" i="2"/>
  <c r="I109" i="2"/>
  <c r="I107" i="2"/>
  <c r="I105" i="2"/>
  <c r="I103" i="2"/>
  <c r="I101" i="2"/>
  <c r="I99" i="2"/>
  <c r="I97" i="2"/>
  <c r="I95" i="2"/>
  <c r="I93" i="2"/>
  <c r="I91" i="2"/>
  <c r="I89" i="2"/>
  <c r="I87" i="2"/>
  <c r="I85" i="2"/>
  <c r="I83" i="2"/>
  <c r="I81" i="2"/>
  <c r="I79" i="2"/>
  <c r="I77" i="2"/>
  <c r="I75" i="2"/>
  <c r="I73" i="2"/>
  <c r="I71" i="2"/>
  <c r="I69" i="2"/>
  <c r="I67" i="2"/>
  <c r="I65" i="2"/>
  <c r="I63" i="2"/>
  <c r="I61" i="2"/>
  <c r="I57" i="2"/>
  <c r="I55" i="2"/>
  <c r="I49" i="2"/>
  <c r="I47" i="2"/>
  <c r="I43" i="2"/>
  <c r="I39" i="2"/>
  <c r="I37" i="2"/>
  <c r="I33" i="2"/>
  <c r="I29" i="2"/>
  <c r="I21" i="2"/>
  <c r="I15" i="2"/>
  <c r="I13" i="2"/>
  <c r="I7" i="2"/>
  <c r="I5" i="2"/>
  <c r="I144" i="2"/>
  <c r="I695" i="2"/>
  <c r="I679" i="2"/>
  <c r="I663" i="2"/>
  <c r="I647" i="2"/>
  <c r="I631" i="2"/>
  <c r="I615" i="2"/>
  <c r="I599" i="2"/>
  <c r="I583" i="2"/>
  <c r="I557" i="2"/>
  <c r="I525" i="2"/>
  <c r="I493" i="2"/>
  <c r="I415" i="2"/>
  <c r="I399" i="2"/>
  <c r="I259" i="2"/>
  <c r="I255" i="2"/>
  <c r="I251" i="2"/>
  <c r="I247" i="2"/>
  <c r="I243" i="2"/>
  <c r="I239" i="2"/>
  <c r="I235" i="2"/>
  <c r="I231" i="2"/>
  <c r="I227" i="2"/>
  <c r="I223" i="2"/>
  <c r="I219" i="2"/>
  <c r="I215" i="2"/>
  <c r="I211" i="2"/>
  <c r="I207" i="2"/>
  <c r="I203" i="2"/>
  <c r="I199" i="2"/>
  <c r="I195" i="2"/>
  <c r="I191" i="2"/>
  <c r="I187" i="2"/>
  <c r="I183" i="2"/>
  <c r="I179" i="2"/>
  <c r="I175" i="2"/>
  <c r="I171" i="2"/>
  <c r="I167" i="2"/>
  <c r="I163" i="2"/>
  <c r="I159" i="2"/>
  <c r="I155" i="2"/>
  <c r="I151" i="2"/>
  <c r="I691" i="2"/>
  <c r="I675" i="2"/>
  <c r="I659" i="2"/>
  <c r="I643" i="2"/>
  <c r="I627" i="2"/>
  <c r="I611" i="2"/>
  <c r="I595" i="2"/>
  <c r="I579" i="2"/>
  <c r="I565" i="2"/>
  <c r="I533" i="2"/>
  <c r="I501" i="2"/>
  <c r="I142" i="2"/>
  <c r="I411" i="2"/>
  <c r="I146" i="2"/>
  <c r="I140" i="2"/>
  <c r="I687" i="2"/>
  <c r="I671" i="2"/>
  <c r="I655" i="2"/>
  <c r="I639" i="2"/>
  <c r="I623" i="2"/>
  <c r="I607" i="2"/>
  <c r="I591" i="2"/>
  <c r="I575" i="2"/>
  <c r="I541" i="2"/>
  <c r="I509" i="2"/>
  <c r="I407" i="2"/>
  <c r="I395" i="2"/>
  <c r="I32" i="2"/>
  <c r="I24" i="2"/>
  <c r="I16" i="2"/>
  <c r="I8" i="2"/>
  <c r="I2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257" i="2"/>
  <c r="I249" i="2"/>
  <c r="I241" i="2"/>
  <c r="I233" i="2"/>
  <c r="I225" i="2"/>
  <c r="I217" i="2"/>
  <c r="I209" i="2"/>
  <c r="I201" i="2"/>
  <c r="I193" i="2"/>
  <c r="I185" i="2"/>
  <c r="I177" i="2"/>
  <c r="I169" i="2"/>
  <c r="I161" i="2"/>
  <c r="I153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I4" i="2"/>
  <c r="I157" i="2"/>
  <c r="I46" i="2"/>
  <c r="I38" i="2"/>
  <c r="I253" i="2"/>
  <c r="I245" i="2"/>
  <c r="I237" i="2"/>
  <c r="I229" i="2"/>
  <c r="I221" i="2"/>
  <c r="I213" i="2"/>
  <c r="I205" i="2"/>
  <c r="I197" i="2"/>
  <c r="I189" i="2"/>
  <c r="I181" i="2"/>
  <c r="I173" i="2"/>
  <c r="I165" i="2"/>
  <c r="I149" i="2"/>
  <c r="I54" i="2"/>
  <c r="I30" i="2"/>
  <c r="I14" i="2"/>
  <c r="I134" i="2"/>
  <c r="I126" i="2"/>
  <c r="I118" i="2"/>
  <c r="I110" i="2"/>
  <c r="I102" i="2"/>
  <c r="I94" i="2"/>
  <c r="I78" i="2"/>
  <c r="I70" i="2"/>
  <c r="I6" i="2"/>
  <c r="I86" i="2"/>
  <c r="I62" i="2"/>
  <c r="I22" i="2"/>
  <c r="T2532" i="2"/>
  <c r="T2524" i="2"/>
  <c r="T2516" i="2"/>
  <c r="T2508" i="2"/>
  <c r="T2500" i="2"/>
  <c r="T2492" i="2"/>
  <c r="T2484" i="2"/>
  <c r="T2476" i="2"/>
  <c r="T2468" i="2"/>
  <c r="T2460" i="2"/>
  <c r="E2526" i="2"/>
  <c r="E2518" i="2"/>
  <c r="E2510" i="2"/>
  <c r="E2502" i="2"/>
  <c r="E2494" i="2"/>
  <c r="E2486" i="2"/>
  <c r="J2525" i="2"/>
  <c r="J2517" i="2"/>
  <c r="J2509" i="2"/>
  <c r="J2501" i="2"/>
  <c r="J2493" i="2"/>
  <c r="J2485" i="2"/>
  <c r="J2477" i="2"/>
  <c r="C2532" i="2"/>
  <c r="C2524" i="2"/>
  <c r="C2516" i="2"/>
  <c r="C2508" i="2"/>
  <c r="C2500" i="2"/>
  <c r="C2492" i="2"/>
  <c r="C2484" i="2"/>
  <c r="O2526" i="2"/>
  <c r="O2518" i="2"/>
  <c r="O2510" i="2"/>
  <c r="O2502" i="2"/>
  <c r="O2494" i="2"/>
  <c r="O2486" i="2"/>
  <c r="O2478" i="2"/>
  <c r="O2470" i="2"/>
  <c r="O2462" i="2"/>
  <c r="T2529" i="2"/>
  <c r="T2521" i="2"/>
  <c r="T2513" i="2"/>
  <c r="T2505" i="2"/>
  <c r="T2497" i="2"/>
  <c r="T2489" i="2"/>
  <c r="T2481" i="2"/>
  <c r="T2473" i="2"/>
  <c r="T2465" i="2"/>
  <c r="T2457" i="2"/>
  <c r="F2531" i="2"/>
  <c r="F2523" i="2"/>
  <c r="F2515" i="2"/>
  <c r="F2507" i="2"/>
  <c r="F2499" i="2"/>
  <c r="F2491" i="2"/>
  <c r="F2483" i="2"/>
  <c r="F2475" i="2"/>
  <c r="F2467" i="2"/>
  <c r="F2459" i="2"/>
  <c r="F2451" i="2"/>
  <c r="R2527" i="2"/>
  <c r="R2519" i="2"/>
  <c r="R2511" i="2"/>
  <c r="R2503" i="2"/>
  <c r="R2495" i="2"/>
  <c r="R2487" i="2"/>
  <c r="R2479" i="2"/>
  <c r="R2471" i="2"/>
  <c r="Q2529" i="2"/>
  <c r="Q2521" i="2"/>
  <c r="Q2513" i="2"/>
  <c r="Q2505" i="2"/>
  <c r="Q2497" i="2"/>
  <c r="Q2489" i="2"/>
  <c r="Q2481" i="2"/>
  <c r="Q2473" i="2"/>
  <c r="Q2465" i="2"/>
  <c r="Q2457" i="2"/>
  <c r="Q2449" i="2"/>
  <c r="C2525" i="2"/>
  <c r="C2517" i="2"/>
  <c r="C2509" i="2"/>
  <c r="C2501" i="2"/>
  <c r="C2493" i="2"/>
  <c r="C2485" i="2"/>
  <c r="C2477" i="2"/>
  <c r="C2469" i="2"/>
  <c r="A2527" i="2"/>
  <c r="A2519" i="2"/>
  <c r="G2532" i="2"/>
  <c r="G2524" i="2"/>
  <c r="G2516" i="2"/>
  <c r="G2508" i="2"/>
  <c r="G2500" i="2"/>
  <c r="G2492" i="2"/>
  <c r="G2484" i="2"/>
  <c r="G2476" i="2"/>
  <c r="G2468" i="2"/>
  <c r="G2460" i="2"/>
  <c r="K2525" i="2"/>
  <c r="K2517" i="2"/>
  <c r="K2509" i="2"/>
  <c r="K2501" i="2"/>
  <c r="K2493" i="2"/>
  <c r="Q2532" i="2"/>
  <c r="Q2524" i="2"/>
  <c r="Q2516" i="2"/>
  <c r="Q2508" i="2"/>
  <c r="Q2500" i="2"/>
  <c r="Q2492" i="2"/>
  <c r="Q2484" i="2"/>
  <c r="Q2476" i="2"/>
  <c r="A2526" i="2"/>
  <c r="A2518" i="2"/>
  <c r="A2510" i="2"/>
  <c r="A2502" i="2"/>
  <c r="A2494" i="2"/>
  <c r="A2486" i="2"/>
  <c r="A2478" i="2"/>
  <c r="A2470" i="2"/>
  <c r="A2462" i="2"/>
  <c r="G2529" i="2"/>
  <c r="G2521" i="2"/>
  <c r="G2513" i="2"/>
  <c r="G2505" i="2"/>
  <c r="G2497" i="2"/>
  <c r="G2489" i="2"/>
  <c r="G2481" i="2"/>
  <c r="G2473" i="2"/>
  <c r="G2465" i="2"/>
  <c r="G2457" i="2"/>
  <c r="M2530" i="2"/>
  <c r="M2522" i="2"/>
  <c r="M2514" i="2"/>
  <c r="M2506" i="2"/>
  <c r="M2498" i="2"/>
  <c r="M2490" i="2"/>
  <c r="M2482" i="2"/>
  <c r="M2474" i="2"/>
  <c r="M2466" i="2"/>
  <c r="M2458" i="2"/>
  <c r="M2450" i="2"/>
  <c r="E2527" i="2"/>
  <c r="E2519" i="2"/>
  <c r="E2511" i="2"/>
  <c r="E2503" i="2"/>
  <c r="E2495" i="2"/>
  <c r="E2487" i="2"/>
  <c r="E2479" i="2"/>
  <c r="E2471" i="2"/>
  <c r="D2529" i="2"/>
  <c r="D2521" i="2"/>
  <c r="D2513" i="2"/>
  <c r="D2505" i="2"/>
  <c r="D2497" i="2"/>
  <c r="D2489" i="2"/>
  <c r="D2481" i="2"/>
  <c r="D2473" i="2"/>
  <c r="D2465" i="2"/>
  <c r="D2457" i="2"/>
  <c r="H2526" i="2"/>
  <c r="H2518" i="2"/>
  <c r="H2510" i="2"/>
  <c r="H2502" i="2"/>
  <c r="H2494" i="2"/>
  <c r="H2486" i="2"/>
  <c r="S2500" i="2"/>
  <c r="K2465" i="2"/>
  <c r="J2444" i="2"/>
  <c r="J2436" i="2"/>
  <c r="J2428" i="2"/>
  <c r="J2420" i="2"/>
  <c r="J2412" i="2"/>
  <c r="F2500" i="2"/>
  <c r="J2465" i="2"/>
  <c r="H2453" i="2"/>
  <c r="M2523" i="2"/>
  <c r="K2469" i="2"/>
  <c r="R2455" i="2"/>
  <c r="S2522" i="2"/>
  <c r="J2469" i="2"/>
  <c r="P2455" i="2"/>
  <c r="G2446" i="2"/>
  <c r="G2438" i="2"/>
  <c r="G2430" i="2"/>
  <c r="G2422" i="2"/>
  <c r="G2414" i="2"/>
  <c r="G2406" i="2"/>
  <c r="G2398" i="2"/>
  <c r="G2390" i="2"/>
  <c r="E2484" i="2"/>
  <c r="R2462" i="2"/>
  <c r="H2451" i="2"/>
  <c r="M2483" i="2"/>
  <c r="Q2462" i="2"/>
  <c r="G2451" i="2"/>
  <c r="R2442" i="2"/>
  <c r="R2434" i="2"/>
  <c r="N2531" i="2"/>
  <c r="N2523" i="2"/>
  <c r="N2515" i="2"/>
  <c r="N2507" i="2"/>
  <c r="N2499" i="2"/>
  <c r="N2491" i="2"/>
  <c r="N2483" i="2"/>
  <c r="N2475" i="2"/>
  <c r="N2467" i="2"/>
  <c r="R2532" i="2"/>
  <c r="R2524" i="2"/>
  <c r="R2516" i="2"/>
  <c r="R2508" i="2"/>
  <c r="R2500" i="2"/>
  <c r="R2492" i="2"/>
  <c r="D2532" i="2"/>
  <c r="D2524" i="2"/>
  <c r="D2516" i="2"/>
  <c r="D2508" i="2"/>
  <c r="D2500" i="2"/>
  <c r="D2492" i="2"/>
  <c r="D2484" i="2"/>
  <c r="D2476" i="2"/>
  <c r="P2530" i="2"/>
  <c r="P2522" i="2"/>
  <c r="P2514" i="2"/>
  <c r="P2506" i="2"/>
  <c r="P2498" i="2"/>
  <c r="P2490" i="2"/>
  <c r="P2482" i="2"/>
  <c r="H2525" i="2"/>
  <c r="H2517" i="2"/>
  <c r="H2509" i="2"/>
  <c r="H2501" i="2"/>
  <c r="H2493" i="2"/>
  <c r="H2485" i="2"/>
  <c r="H2477" i="2"/>
  <c r="H2469" i="2"/>
  <c r="H2461" i="2"/>
  <c r="N2528" i="2"/>
  <c r="N2520" i="2"/>
  <c r="N2512" i="2"/>
  <c r="N2504" i="2"/>
  <c r="N2496" i="2"/>
  <c r="N2488" i="2"/>
  <c r="N2480" i="2"/>
  <c r="N2472" i="2"/>
  <c r="N2464" i="2"/>
  <c r="N2456" i="2"/>
  <c r="S2529" i="2"/>
  <c r="S2521" i="2"/>
  <c r="S2513" i="2"/>
  <c r="S2505" i="2"/>
  <c r="S2497" i="2"/>
  <c r="S2489" i="2"/>
  <c r="S2481" i="2"/>
  <c r="S2473" i="2"/>
  <c r="S2465" i="2"/>
  <c r="S2457" i="2"/>
  <c r="S2449" i="2"/>
  <c r="K2526" i="2"/>
  <c r="K2518" i="2"/>
  <c r="K2510" i="2"/>
  <c r="K2502" i="2"/>
  <c r="K2494" i="2"/>
  <c r="K2486" i="2"/>
  <c r="K2478" i="2"/>
  <c r="K2470" i="2"/>
  <c r="J2528" i="2"/>
  <c r="J2520" i="2"/>
  <c r="J2512" i="2"/>
  <c r="J2504" i="2"/>
  <c r="J2496" i="2"/>
  <c r="J2488" i="2"/>
  <c r="J2480" i="2"/>
  <c r="J2472" i="2"/>
  <c r="J2464" i="2"/>
  <c r="J2456" i="2"/>
  <c r="P2531" i="2"/>
  <c r="P2523" i="2"/>
  <c r="P2515" i="2"/>
  <c r="P2507" i="2"/>
  <c r="P2499" i="2"/>
  <c r="P2491" i="2"/>
  <c r="P2483" i="2"/>
  <c r="P2475" i="2"/>
  <c r="P2467" i="2"/>
  <c r="O2525" i="2"/>
  <c r="O2517" i="2"/>
  <c r="O2509" i="2"/>
  <c r="O2501" i="2"/>
  <c r="O2493" i="2"/>
  <c r="O2485" i="2"/>
  <c r="S2492" i="2"/>
  <c r="H2464" i="2"/>
  <c r="Q2443" i="2"/>
  <c r="Q2435" i="2"/>
  <c r="Q2427" i="2"/>
  <c r="Q2419" i="2"/>
  <c r="Q2411" i="2"/>
  <c r="F2492" i="2"/>
  <c r="F2464" i="2"/>
  <c r="H2452" i="2"/>
  <c r="M2515" i="2"/>
  <c r="C2468" i="2"/>
  <c r="T2454" i="2"/>
  <c r="S2514" i="2"/>
  <c r="O2467" i="2"/>
  <c r="S2454" i="2"/>
  <c r="N2445" i="2"/>
  <c r="N2437" i="2"/>
  <c r="N2429" i="2"/>
  <c r="N2421" i="2"/>
  <c r="N2413" i="2"/>
  <c r="N2405" i="2"/>
  <c r="N2397" i="2"/>
  <c r="N2389" i="2"/>
  <c r="S2480" i="2"/>
  <c r="O2461" i="2"/>
  <c r="K2450" i="2"/>
  <c r="R2480" i="2"/>
  <c r="M2461" i="2"/>
  <c r="E2442" i="2"/>
  <c r="E2434" i="2"/>
  <c r="E2426" i="2"/>
  <c r="E2418" i="2"/>
  <c r="E2410" i="2"/>
  <c r="T2530" i="2"/>
  <c r="T2522" i="2"/>
  <c r="T2514" i="2"/>
  <c r="T2506" i="2"/>
  <c r="T2498" i="2"/>
  <c r="T2490" i="2"/>
  <c r="T2482" i="2"/>
  <c r="T2474" i="2"/>
  <c r="T2466" i="2"/>
  <c r="E2532" i="2"/>
  <c r="E2524" i="2"/>
  <c r="E2516" i="2"/>
  <c r="E2508" i="2"/>
  <c r="E2500" i="2"/>
  <c r="E2492" i="2"/>
  <c r="J2531" i="2"/>
  <c r="J2523" i="2"/>
  <c r="J2515" i="2"/>
  <c r="J2507" i="2"/>
  <c r="J2499" i="2"/>
  <c r="J2491" i="2"/>
  <c r="J2483" i="2"/>
  <c r="J2475" i="2"/>
  <c r="C2530" i="2"/>
  <c r="C2522" i="2"/>
  <c r="C2514" i="2"/>
  <c r="C2506" i="2"/>
  <c r="C2498" i="2"/>
  <c r="C2490" i="2"/>
  <c r="O2532" i="2"/>
  <c r="O2524" i="2"/>
  <c r="O2516" i="2"/>
  <c r="O2508" i="2"/>
  <c r="O2500" i="2"/>
  <c r="O2492" i="2"/>
  <c r="O2484" i="2"/>
  <c r="O2476" i="2"/>
  <c r="O2468" i="2"/>
  <c r="O2460" i="2"/>
  <c r="T2527" i="2"/>
  <c r="T2519" i="2"/>
  <c r="T2511" i="2"/>
  <c r="T2503" i="2"/>
  <c r="T2495" i="2"/>
  <c r="T2487" i="2"/>
  <c r="T2479" i="2"/>
  <c r="T2471" i="2"/>
  <c r="T2463" i="2"/>
  <c r="T2455" i="2"/>
  <c r="F2529" i="2"/>
  <c r="F2521" i="2"/>
  <c r="F2513" i="2"/>
  <c r="F2505" i="2"/>
  <c r="F2497" i="2"/>
  <c r="F2489" i="2"/>
  <c r="F2481" i="2"/>
  <c r="F2473" i="2"/>
  <c r="F2465" i="2"/>
  <c r="F2457" i="2"/>
  <c r="F2449" i="2"/>
  <c r="R2525" i="2"/>
  <c r="R2517" i="2"/>
  <c r="R2509" i="2"/>
  <c r="R2501" i="2"/>
  <c r="R2493" i="2"/>
  <c r="R2485" i="2"/>
  <c r="R2477" i="2"/>
  <c r="R2469" i="2"/>
  <c r="Q2527" i="2"/>
  <c r="Q2519" i="2"/>
  <c r="Q2511" i="2"/>
  <c r="Q2503" i="2"/>
  <c r="Q2495" i="2"/>
  <c r="Q2487" i="2"/>
  <c r="Q2479" i="2"/>
  <c r="Q2471" i="2"/>
  <c r="Q2463" i="2"/>
  <c r="Q2455" i="2"/>
  <c r="C2531" i="2"/>
  <c r="C2523" i="2"/>
  <c r="C2515" i="2"/>
  <c r="C2507" i="2"/>
  <c r="C2499" i="2"/>
  <c r="C2491" i="2"/>
  <c r="C2483" i="2"/>
  <c r="C2475" i="2"/>
  <c r="C2467" i="2"/>
  <c r="A2525" i="2"/>
  <c r="A2517" i="2"/>
  <c r="A2509" i="2"/>
  <c r="A2501" i="2"/>
  <c r="A2493" i="2"/>
  <c r="A2485" i="2"/>
  <c r="K2485" i="2"/>
  <c r="E2463" i="2"/>
  <c r="M2451" i="2"/>
  <c r="D2443" i="2"/>
  <c r="D2435" i="2"/>
  <c r="D2427" i="2"/>
  <c r="D2419" i="2"/>
  <c r="D2411" i="2"/>
  <c r="S2484" i="2"/>
  <c r="C2463" i="2"/>
  <c r="K2451" i="2"/>
  <c r="M2507" i="2"/>
  <c r="D2454" i="2"/>
  <c r="S2506" i="2"/>
  <c r="H2466" i="2"/>
  <c r="C2454" i="2"/>
  <c r="T2444" i="2"/>
  <c r="T2436" i="2"/>
  <c r="T2428" i="2"/>
  <c r="T2420" i="2"/>
  <c r="T2412" i="2"/>
  <c r="T2404" i="2"/>
  <c r="T2396" i="2"/>
  <c r="T2388" i="2"/>
  <c r="S2478" i="2"/>
  <c r="K2460" i="2"/>
  <c r="O2449" i="2"/>
  <c r="R2478" i="2"/>
  <c r="N2449" i="2"/>
  <c r="K2441" i="2"/>
  <c r="K2433" i="2"/>
  <c r="K2425" i="2"/>
  <c r="K2417" i="2"/>
  <c r="K2409" i="2"/>
  <c r="G2530" i="2"/>
  <c r="G2522" i="2"/>
  <c r="G2514" i="2"/>
  <c r="G2506" i="2"/>
  <c r="G2498" i="2"/>
  <c r="G2490" i="2"/>
  <c r="G2482" i="2"/>
  <c r="G2474" i="2"/>
  <c r="G2466" i="2"/>
  <c r="K2531" i="2"/>
  <c r="K2523" i="2"/>
  <c r="K2515" i="2"/>
  <c r="K2507" i="2"/>
  <c r="K2499" i="2"/>
  <c r="K2491" i="2"/>
  <c r="Q2530" i="2"/>
  <c r="Q2522" i="2"/>
  <c r="Q2514" i="2"/>
  <c r="Q2506" i="2"/>
  <c r="Q2498" i="2"/>
  <c r="Q2490" i="2"/>
  <c r="Q2482" i="2"/>
  <c r="Q2474" i="2"/>
  <c r="A2532" i="2"/>
  <c r="A2524" i="2"/>
  <c r="A2516" i="2"/>
  <c r="A2508" i="2"/>
  <c r="A2500" i="2"/>
  <c r="A2492" i="2"/>
  <c r="A2484" i="2"/>
  <c r="A2476" i="2"/>
  <c r="A2468" i="2"/>
  <c r="A2460" i="2"/>
  <c r="G2527" i="2"/>
  <c r="G2519" i="2"/>
  <c r="G2511" i="2"/>
  <c r="G2503" i="2"/>
  <c r="G2495" i="2"/>
  <c r="G2487" i="2"/>
  <c r="G2479" i="2"/>
  <c r="G2471" i="2"/>
  <c r="G2463" i="2"/>
  <c r="G2455" i="2"/>
  <c r="M2528" i="2"/>
  <c r="M2520" i="2"/>
  <c r="M2512" i="2"/>
  <c r="M2504" i="2"/>
  <c r="M2496" i="2"/>
  <c r="M2488" i="2"/>
  <c r="M2480" i="2"/>
  <c r="M2472" i="2"/>
  <c r="M2464" i="2"/>
  <c r="M2456" i="2"/>
  <c r="M2448" i="2"/>
  <c r="E2525" i="2"/>
  <c r="E2517" i="2"/>
  <c r="E2509" i="2"/>
  <c r="E2501" i="2"/>
  <c r="E2493" i="2"/>
  <c r="E2485" i="2"/>
  <c r="E2477" i="2"/>
  <c r="E2469" i="2"/>
  <c r="D2527" i="2"/>
  <c r="D2519" i="2"/>
  <c r="D2511" i="2"/>
  <c r="D2503" i="2"/>
  <c r="D2495" i="2"/>
  <c r="D2487" i="2"/>
  <c r="D2479" i="2"/>
  <c r="D2471" i="2"/>
  <c r="D2463" i="2"/>
  <c r="D2455" i="2"/>
  <c r="H2532" i="2"/>
  <c r="H2524" i="2"/>
  <c r="H2516" i="2"/>
  <c r="H2508" i="2"/>
  <c r="H2500" i="2"/>
  <c r="H2492" i="2"/>
  <c r="H2484" i="2"/>
  <c r="M2481" i="2"/>
  <c r="N2529" i="2"/>
  <c r="N2521" i="2"/>
  <c r="N2513" i="2"/>
  <c r="N2505" i="2"/>
  <c r="N2497" i="2"/>
  <c r="N2489" i="2"/>
  <c r="N2481" i="2"/>
  <c r="N2473" i="2"/>
  <c r="N2465" i="2"/>
  <c r="R2530" i="2"/>
  <c r="R2522" i="2"/>
  <c r="R2514" i="2"/>
  <c r="R2506" i="2"/>
  <c r="R2498" i="2"/>
  <c r="R2490" i="2"/>
  <c r="D2530" i="2"/>
  <c r="D2522" i="2"/>
  <c r="D2514" i="2"/>
  <c r="D2506" i="2"/>
  <c r="D2498" i="2"/>
  <c r="D2490" i="2"/>
  <c r="D2482" i="2"/>
  <c r="D2474" i="2"/>
  <c r="P2528" i="2"/>
  <c r="P2520" i="2"/>
  <c r="P2512" i="2"/>
  <c r="P2504" i="2"/>
  <c r="P2496" i="2"/>
  <c r="P2488" i="2"/>
  <c r="H2531" i="2"/>
  <c r="H2523" i="2"/>
  <c r="H2515" i="2"/>
  <c r="H2507" i="2"/>
  <c r="H2499" i="2"/>
  <c r="H2491" i="2"/>
  <c r="H2483" i="2"/>
  <c r="H2475" i="2"/>
  <c r="H2467" i="2"/>
  <c r="H2459" i="2"/>
  <c r="N2526" i="2"/>
  <c r="N2518" i="2"/>
  <c r="N2510" i="2"/>
  <c r="N2502" i="2"/>
  <c r="N2494" i="2"/>
  <c r="N2486" i="2"/>
  <c r="N2478" i="2"/>
  <c r="N2470" i="2"/>
  <c r="N2462" i="2"/>
  <c r="N2454" i="2"/>
  <c r="S2527" i="2"/>
  <c r="S2519" i="2"/>
  <c r="S2511" i="2"/>
  <c r="S2503" i="2"/>
  <c r="S2495" i="2"/>
  <c r="S2487" i="2"/>
  <c r="S2479" i="2"/>
  <c r="S2471" i="2"/>
  <c r="S2463" i="2"/>
  <c r="S2455" i="2"/>
  <c r="K2532" i="2"/>
  <c r="K2524" i="2"/>
  <c r="K2516" i="2"/>
  <c r="K2508" i="2"/>
  <c r="K2500" i="2"/>
  <c r="K2492" i="2"/>
  <c r="K2484" i="2"/>
  <c r="K2476" i="2"/>
  <c r="K2468" i="2"/>
  <c r="J2526" i="2"/>
  <c r="J2518" i="2"/>
  <c r="J2510" i="2"/>
  <c r="J2502" i="2"/>
  <c r="J2494" i="2"/>
  <c r="J2486" i="2"/>
  <c r="J2478" i="2"/>
  <c r="J2470" i="2"/>
  <c r="J2462" i="2"/>
  <c r="J2454" i="2"/>
  <c r="P2529" i="2"/>
  <c r="P2521" i="2"/>
  <c r="P2513" i="2"/>
  <c r="P2505" i="2"/>
  <c r="P2497" i="2"/>
  <c r="P2489" i="2"/>
  <c r="P2481" i="2"/>
  <c r="P2473" i="2"/>
  <c r="O2531" i="2"/>
  <c r="O2523" i="2"/>
  <c r="O2515" i="2"/>
  <c r="O2507" i="2"/>
  <c r="O2499" i="2"/>
  <c r="O2491" i="2"/>
  <c r="O2483" i="2"/>
  <c r="M2479" i="2"/>
  <c r="S2460" i="2"/>
  <c r="A2450" i="2"/>
  <c r="Q2441" i="2"/>
  <c r="Q2433" i="2"/>
  <c r="Q2425" i="2"/>
  <c r="Q2417" i="2"/>
  <c r="Q2409" i="2"/>
  <c r="K2479" i="2"/>
  <c r="R2460" i="2"/>
  <c r="T2449" i="2"/>
  <c r="M2491" i="2"/>
  <c r="E2464" i="2"/>
  <c r="G2452" i="2"/>
  <c r="S2490" i="2"/>
  <c r="D2464" i="2"/>
  <c r="F2452" i="2"/>
  <c r="N2443" i="2"/>
  <c r="N2435" i="2"/>
  <c r="N2427" i="2"/>
  <c r="N2419" i="2"/>
  <c r="N2411" i="2"/>
  <c r="N2403" i="2"/>
  <c r="N2395" i="2"/>
  <c r="N2387" i="2"/>
  <c r="S2474" i="2"/>
  <c r="F2448" i="2"/>
  <c r="R2474" i="2"/>
  <c r="H2458" i="2"/>
  <c r="E2448" i="2"/>
  <c r="T2528" i="2"/>
  <c r="T2520" i="2"/>
  <c r="T2512" i="2"/>
  <c r="T2504" i="2"/>
  <c r="T2496" i="2"/>
  <c r="T2488" i="2"/>
  <c r="T2480" i="2"/>
  <c r="T2472" i="2"/>
  <c r="T2464" i="2"/>
  <c r="E2530" i="2"/>
  <c r="E2522" i="2"/>
  <c r="E2514" i="2"/>
  <c r="E2506" i="2"/>
  <c r="E2498" i="2"/>
  <c r="E2490" i="2"/>
  <c r="J2529" i="2"/>
  <c r="J2521" i="2"/>
  <c r="J2513" i="2"/>
  <c r="J2505" i="2"/>
  <c r="J2497" i="2"/>
  <c r="J2489" i="2"/>
  <c r="J2481" i="2"/>
  <c r="J2473" i="2"/>
  <c r="C2528" i="2"/>
  <c r="C2520" i="2"/>
  <c r="C2512" i="2"/>
  <c r="C2504" i="2"/>
  <c r="C2496" i="2"/>
  <c r="C2488" i="2"/>
  <c r="O2530" i="2"/>
  <c r="O2522" i="2"/>
  <c r="O2514" i="2"/>
  <c r="O2506" i="2"/>
  <c r="O2498" i="2"/>
  <c r="O2490" i="2"/>
  <c r="O2482" i="2"/>
  <c r="O2474" i="2"/>
  <c r="O2466" i="2"/>
  <c r="O2458" i="2"/>
  <c r="T2525" i="2"/>
  <c r="T2517" i="2"/>
  <c r="T2509" i="2"/>
  <c r="T2501" i="2"/>
  <c r="T2493" i="2"/>
  <c r="T2485" i="2"/>
  <c r="T2477" i="2"/>
  <c r="T2469" i="2"/>
  <c r="T2461" i="2"/>
  <c r="T2453" i="2"/>
  <c r="F2527" i="2"/>
  <c r="F2519" i="2"/>
  <c r="F2511" i="2"/>
  <c r="F2503" i="2"/>
  <c r="F2495" i="2"/>
  <c r="F2487" i="2"/>
  <c r="F2479" i="2"/>
  <c r="F2471" i="2"/>
  <c r="F2463" i="2"/>
  <c r="F2455" i="2"/>
  <c r="R2531" i="2"/>
  <c r="R2523" i="2"/>
  <c r="R2515" i="2"/>
  <c r="R2507" i="2"/>
  <c r="R2499" i="2"/>
  <c r="R2491" i="2"/>
  <c r="R2483" i="2"/>
  <c r="R2475" i="2"/>
  <c r="R2467" i="2"/>
  <c r="Q2525" i="2"/>
  <c r="Q2517" i="2"/>
  <c r="Q2509" i="2"/>
  <c r="Q2501" i="2"/>
  <c r="Q2493" i="2"/>
  <c r="Q2485" i="2"/>
  <c r="Q2477" i="2"/>
  <c r="Q2469" i="2"/>
  <c r="Q2461" i="2"/>
  <c r="Q2453" i="2"/>
  <c r="C2529" i="2"/>
  <c r="C2521" i="2"/>
  <c r="C2513" i="2"/>
  <c r="C2505" i="2"/>
  <c r="C2497" i="2"/>
  <c r="C2489" i="2"/>
  <c r="C2481" i="2"/>
  <c r="C2473" i="2"/>
  <c r="A2531" i="2"/>
  <c r="A2523" i="2"/>
  <c r="A2515" i="2"/>
  <c r="A2507" i="2"/>
  <c r="A2499" i="2"/>
  <c r="A2491" i="2"/>
  <c r="A2483" i="2"/>
  <c r="M2477" i="2"/>
  <c r="P2459" i="2"/>
  <c r="E2449" i="2"/>
  <c r="D2441" i="2"/>
  <c r="D2433" i="2"/>
  <c r="D2425" i="2"/>
  <c r="D2417" i="2"/>
  <c r="D2409" i="2"/>
  <c r="K2477" i="2"/>
  <c r="O2459" i="2"/>
  <c r="D2449" i="2"/>
  <c r="R2484" i="2"/>
  <c r="A2463" i="2"/>
  <c r="J2451" i="2"/>
  <c r="F2484" i="2"/>
  <c r="S2462" i="2"/>
  <c r="T2442" i="2"/>
  <c r="T2434" i="2"/>
  <c r="T2426" i="2"/>
  <c r="T2418" i="2"/>
  <c r="T2410" i="2"/>
  <c r="T2402" i="2"/>
  <c r="T2394" i="2"/>
  <c r="T2386" i="2"/>
  <c r="S2472" i="2"/>
  <c r="K2457" i="2"/>
  <c r="M2447" i="2"/>
  <c r="R2472" i="2"/>
  <c r="J2457" i="2"/>
  <c r="K2447" i="2"/>
  <c r="K2439" i="2"/>
  <c r="K2431" i="2"/>
  <c r="N2527" i="2"/>
  <c r="N2519" i="2"/>
  <c r="N2511" i="2"/>
  <c r="N2503" i="2"/>
  <c r="N2495" i="2"/>
  <c r="N2487" i="2"/>
  <c r="N2479" i="2"/>
  <c r="N2471" i="2"/>
  <c r="N2463" i="2"/>
  <c r="R2528" i="2"/>
  <c r="R2520" i="2"/>
  <c r="R2512" i="2"/>
  <c r="R2504" i="2"/>
  <c r="R2496" i="2"/>
  <c r="R2488" i="2"/>
  <c r="D2528" i="2"/>
  <c r="D2520" i="2"/>
  <c r="D2512" i="2"/>
  <c r="D2504" i="2"/>
  <c r="D2496" i="2"/>
  <c r="D2488" i="2"/>
  <c r="D2480" i="2"/>
  <c r="D2472" i="2"/>
  <c r="P2526" i="2"/>
  <c r="P2518" i="2"/>
  <c r="P2510" i="2"/>
  <c r="P2502" i="2"/>
  <c r="P2494" i="2"/>
  <c r="P2486" i="2"/>
  <c r="H2529" i="2"/>
  <c r="H2521" i="2"/>
  <c r="H2513" i="2"/>
  <c r="H2505" i="2"/>
  <c r="H2497" i="2"/>
  <c r="H2489" i="2"/>
  <c r="H2481" i="2"/>
  <c r="H2473" i="2"/>
  <c r="H2465" i="2"/>
  <c r="N2532" i="2"/>
  <c r="N2524" i="2"/>
  <c r="N2516" i="2"/>
  <c r="N2508" i="2"/>
  <c r="N2500" i="2"/>
  <c r="N2492" i="2"/>
  <c r="N2484" i="2"/>
  <c r="N2476" i="2"/>
  <c r="N2468" i="2"/>
  <c r="N2460" i="2"/>
  <c r="N2452" i="2"/>
  <c r="S2525" i="2"/>
  <c r="S2517" i="2"/>
  <c r="S2509" i="2"/>
  <c r="S2501" i="2"/>
  <c r="S2493" i="2"/>
  <c r="S2485" i="2"/>
  <c r="S2477" i="2"/>
  <c r="S2469" i="2"/>
  <c r="S2461" i="2"/>
  <c r="S2453" i="2"/>
  <c r="K2530" i="2"/>
  <c r="K2522" i="2"/>
  <c r="K2514" i="2"/>
  <c r="K2506" i="2"/>
  <c r="K2498" i="2"/>
  <c r="K2490" i="2"/>
  <c r="K2482" i="2"/>
  <c r="K2474" i="2"/>
  <c r="J2532" i="2"/>
  <c r="J2524" i="2"/>
  <c r="J2516" i="2"/>
  <c r="J2508" i="2"/>
  <c r="J2500" i="2"/>
  <c r="J2492" i="2"/>
  <c r="J2484" i="2"/>
  <c r="J2476" i="2"/>
  <c r="J2468" i="2"/>
  <c r="J2460" i="2"/>
  <c r="J2452" i="2"/>
  <c r="P2527" i="2"/>
  <c r="P2519" i="2"/>
  <c r="P2511" i="2"/>
  <c r="P2503" i="2"/>
  <c r="P2495" i="2"/>
  <c r="P2487" i="2"/>
  <c r="P2479" i="2"/>
  <c r="P2471" i="2"/>
  <c r="O2529" i="2"/>
  <c r="O2521" i="2"/>
  <c r="O2513" i="2"/>
  <c r="O2505" i="2"/>
  <c r="O2497" i="2"/>
  <c r="O2489" i="2"/>
  <c r="O2481" i="2"/>
  <c r="M2473" i="2"/>
  <c r="P2457" i="2"/>
  <c r="Q2447" i="2"/>
  <c r="Q2439" i="2"/>
  <c r="Q2431" i="2"/>
  <c r="Q2423" i="2"/>
  <c r="Q2415" i="2"/>
  <c r="Q2407" i="2"/>
  <c r="K2473" i="2"/>
  <c r="O2457" i="2"/>
  <c r="P2447" i="2"/>
  <c r="Q2460" i="2"/>
  <c r="R2449" i="2"/>
  <c r="A2479" i="2"/>
  <c r="P2460" i="2"/>
  <c r="P2449" i="2"/>
  <c r="N2441" i="2"/>
  <c r="N2433" i="2"/>
  <c r="N2425" i="2"/>
  <c r="N2417" i="2"/>
  <c r="N2409" i="2"/>
  <c r="N2401" i="2"/>
  <c r="N2393" i="2"/>
  <c r="F2522" i="2"/>
  <c r="O2455" i="2"/>
  <c r="M2521" i="2"/>
  <c r="A2469" i="2"/>
  <c r="N2455" i="2"/>
  <c r="E2446" i="2"/>
  <c r="E2438" i="2"/>
  <c r="E2430" i="2"/>
  <c r="E2422" i="2"/>
  <c r="E2414" i="2"/>
  <c r="T2526" i="2"/>
  <c r="T2518" i="2"/>
  <c r="T2510" i="2"/>
  <c r="T2502" i="2"/>
  <c r="T2494" i="2"/>
  <c r="T2486" i="2"/>
  <c r="T2478" i="2"/>
  <c r="T2470" i="2"/>
  <c r="T2462" i="2"/>
  <c r="E2528" i="2"/>
  <c r="E2520" i="2"/>
  <c r="E2512" i="2"/>
  <c r="E2504" i="2"/>
  <c r="E2496" i="2"/>
  <c r="E2488" i="2"/>
  <c r="J2527" i="2"/>
  <c r="J2519" i="2"/>
  <c r="J2511" i="2"/>
  <c r="J2503" i="2"/>
  <c r="J2495" i="2"/>
  <c r="J2487" i="2"/>
  <c r="J2479" i="2"/>
  <c r="J2471" i="2"/>
  <c r="C2526" i="2"/>
  <c r="C2518" i="2"/>
  <c r="C2510" i="2"/>
  <c r="C2502" i="2"/>
  <c r="C2494" i="2"/>
  <c r="C2486" i="2"/>
  <c r="O2528" i="2"/>
  <c r="O2520" i="2"/>
  <c r="O2512" i="2"/>
  <c r="O2504" i="2"/>
  <c r="O2496" i="2"/>
  <c r="O2488" i="2"/>
  <c r="O2480" i="2"/>
  <c r="O2472" i="2"/>
  <c r="O2464" i="2"/>
  <c r="T2531" i="2"/>
  <c r="T2523" i="2"/>
  <c r="T2515" i="2"/>
  <c r="T2507" i="2"/>
  <c r="T2499" i="2"/>
  <c r="T2491" i="2"/>
  <c r="T2483" i="2"/>
  <c r="T2475" i="2"/>
  <c r="T2467" i="2"/>
  <c r="T2459" i="2"/>
  <c r="T2451" i="2"/>
  <c r="F2525" i="2"/>
  <c r="F2517" i="2"/>
  <c r="F2509" i="2"/>
  <c r="F2501" i="2"/>
  <c r="F2493" i="2"/>
  <c r="F2485" i="2"/>
  <c r="F2477" i="2"/>
  <c r="F2469" i="2"/>
  <c r="F2461" i="2"/>
  <c r="F2453" i="2"/>
  <c r="R2529" i="2"/>
  <c r="R2521" i="2"/>
  <c r="R2513" i="2"/>
  <c r="R2505" i="2"/>
  <c r="R2497" i="2"/>
  <c r="R2489" i="2"/>
  <c r="R2481" i="2"/>
  <c r="R2473" i="2"/>
  <c r="Q2531" i="2"/>
  <c r="Q2523" i="2"/>
  <c r="Q2515" i="2"/>
  <c r="Q2507" i="2"/>
  <c r="Q2499" i="2"/>
  <c r="Q2491" i="2"/>
  <c r="Q2483" i="2"/>
  <c r="Q2475" i="2"/>
  <c r="Q2467" i="2"/>
  <c r="Q2459" i="2"/>
  <c r="Q2451" i="2"/>
  <c r="C2527" i="2"/>
  <c r="C2519" i="2"/>
  <c r="C2511" i="2"/>
  <c r="C2503" i="2"/>
  <c r="C2495" i="2"/>
  <c r="C2487" i="2"/>
  <c r="C2479" i="2"/>
  <c r="C2471" i="2"/>
  <c r="A2529" i="2"/>
  <c r="A2521" i="2"/>
  <c r="A2513" i="2"/>
  <c r="A2505" i="2"/>
  <c r="A2497" i="2"/>
  <c r="A2489" i="2"/>
  <c r="S2532" i="2"/>
  <c r="M2471" i="2"/>
  <c r="S2456" i="2"/>
  <c r="D2447" i="2"/>
  <c r="D2439" i="2"/>
  <c r="D2431" i="2"/>
  <c r="D2423" i="2"/>
  <c r="D2415" i="2"/>
  <c r="F2532" i="2"/>
  <c r="K2471" i="2"/>
  <c r="R2456" i="2"/>
  <c r="C2447" i="2"/>
  <c r="N2459" i="2"/>
  <c r="C2449" i="2"/>
  <c r="A2477" i="2"/>
  <c r="M2459" i="2"/>
  <c r="A2449" i="2"/>
  <c r="T2440" i="2"/>
  <c r="T2432" i="2"/>
  <c r="T2424" i="2"/>
  <c r="T2416" i="2"/>
  <c r="T2408" i="2"/>
  <c r="T2400" i="2"/>
  <c r="T2392" i="2"/>
  <c r="F2514" i="2"/>
  <c r="M2467" i="2"/>
  <c r="R2454" i="2"/>
  <c r="M2513" i="2"/>
  <c r="K2467" i="2"/>
  <c r="Q2454" i="2"/>
  <c r="K2445" i="2"/>
  <c r="K2437" i="2"/>
  <c r="K2429" i="2"/>
  <c r="K2421" i="2"/>
  <c r="K2413" i="2"/>
  <c r="G2528" i="2"/>
  <c r="G2496" i="2"/>
  <c r="G2464" i="2"/>
  <c r="K2505" i="2"/>
  <c r="Q2520" i="2"/>
  <c r="Q2488" i="2"/>
  <c r="H2511" i="2"/>
  <c r="H2479" i="2"/>
  <c r="N2522" i="2"/>
  <c r="N2490" i="2"/>
  <c r="N2458" i="2"/>
  <c r="S2507" i="2"/>
  <c r="S2475" i="2"/>
  <c r="K2528" i="2"/>
  <c r="K2496" i="2"/>
  <c r="J2530" i="2"/>
  <c r="J2498" i="2"/>
  <c r="J2466" i="2"/>
  <c r="P2485" i="2"/>
  <c r="H2530" i="2"/>
  <c r="O2503" i="2"/>
  <c r="S2516" i="2"/>
  <c r="J2432" i="2"/>
  <c r="Q2413" i="2"/>
  <c r="C2462" i="2"/>
  <c r="O2450" i="2"/>
  <c r="M2457" i="2"/>
  <c r="T2438" i="2"/>
  <c r="G2418" i="2"/>
  <c r="N2399" i="2"/>
  <c r="S2476" i="2"/>
  <c r="T2448" i="2"/>
  <c r="K2456" i="2"/>
  <c r="R2438" i="2"/>
  <c r="E2424" i="2"/>
  <c r="E2412" i="2"/>
  <c r="R2402" i="2"/>
  <c r="R2394" i="2"/>
  <c r="R2386" i="2"/>
  <c r="P2472" i="2"/>
  <c r="J2447" i="2"/>
  <c r="J2439" i="2"/>
  <c r="J2431" i="2"/>
  <c r="J2423" i="2"/>
  <c r="J2415" i="2"/>
  <c r="J2407" i="2"/>
  <c r="H2474" i="2"/>
  <c r="F2458" i="2"/>
  <c r="C2448" i="2"/>
  <c r="C2440" i="2"/>
  <c r="C2432" i="2"/>
  <c r="C2424" i="2"/>
  <c r="C2416" i="2"/>
  <c r="M2527" i="2"/>
  <c r="F2470" i="2"/>
  <c r="G2456" i="2"/>
  <c r="O2446" i="2"/>
  <c r="E2472" i="2"/>
  <c r="C2457" i="2"/>
  <c r="G2447" i="2"/>
  <c r="G2439" i="2"/>
  <c r="G2431" i="2"/>
  <c r="G2423" i="2"/>
  <c r="G2415" i="2"/>
  <c r="G2407" i="2"/>
  <c r="G2399" i="2"/>
  <c r="G2391" i="2"/>
  <c r="F2486" i="2"/>
  <c r="J2463" i="2"/>
  <c r="O2451" i="2"/>
  <c r="F2443" i="2"/>
  <c r="F2435" i="2"/>
  <c r="F2427" i="2"/>
  <c r="F2419" i="2"/>
  <c r="F2411" i="2"/>
  <c r="F2403" i="2"/>
  <c r="F2395" i="2"/>
  <c r="H2443" i="2"/>
  <c r="F2424" i="2"/>
  <c r="R2405" i="2"/>
  <c r="R2393" i="2"/>
  <c r="R2383" i="2"/>
  <c r="R2375" i="2"/>
  <c r="R2367" i="2"/>
  <c r="S2436" i="2"/>
  <c r="O2417" i="2"/>
  <c r="O2444" i="2"/>
  <c r="M2425" i="2"/>
  <c r="P2406" i="2"/>
  <c r="H2441" i="2"/>
  <c r="F2422" i="2"/>
  <c r="O2404" i="2"/>
  <c r="O2392" i="2"/>
  <c r="A2383" i="2"/>
  <c r="A2375" i="2"/>
  <c r="A2367" i="2"/>
  <c r="A2359" i="2"/>
  <c r="A2351" i="2"/>
  <c r="A2343" i="2"/>
  <c r="A2335" i="2"/>
  <c r="A2327" i="2"/>
  <c r="E2433" i="2"/>
  <c r="A2414" i="2"/>
  <c r="R2429" i="2"/>
  <c r="O2410" i="2"/>
  <c r="J2397" i="2"/>
  <c r="F2386" i="2"/>
  <c r="F2378" i="2"/>
  <c r="F2370" i="2"/>
  <c r="A2441" i="2"/>
  <c r="P2421" i="2"/>
  <c r="R2382" i="2"/>
  <c r="R2374" i="2"/>
  <c r="R2366" i="2"/>
  <c r="R2358" i="2"/>
  <c r="R2350" i="2"/>
  <c r="R2342" i="2"/>
  <c r="R2334" i="2"/>
  <c r="G2526" i="2"/>
  <c r="G2494" i="2"/>
  <c r="G2462" i="2"/>
  <c r="K2503" i="2"/>
  <c r="Q2518" i="2"/>
  <c r="Q2486" i="2"/>
  <c r="P2524" i="2"/>
  <c r="A2506" i="2"/>
  <c r="A2474" i="2"/>
  <c r="G2517" i="2"/>
  <c r="G2485" i="2"/>
  <c r="G2453" i="2"/>
  <c r="M2502" i="2"/>
  <c r="M2470" i="2"/>
  <c r="E2523" i="2"/>
  <c r="E2491" i="2"/>
  <c r="D2525" i="2"/>
  <c r="D2493" i="2"/>
  <c r="D2461" i="2"/>
  <c r="H2528" i="2"/>
  <c r="A2503" i="2"/>
  <c r="S2508" i="2"/>
  <c r="Q2450" i="2"/>
  <c r="J2430" i="2"/>
  <c r="D2413" i="2"/>
  <c r="Q2458" i="2"/>
  <c r="H2448" i="2"/>
  <c r="N2525" i="2"/>
  <c r="N2493" i="2"/>
  <c r="N2461" i="2"/>
  <c r="R2502" i="2"/>
  <c r="D2518" i="2"/>
  <c r="D2486" i="2"/>
  <c r="P2484" i="2"/>
  <c r="A2504" i="2"/>
  <c r="A2472" i="2"/>
  <c r="G2515" i="2"/>
  <c r="G2483" i="2"/>
  <c r="M2532" i="2"/>
  <c r="M2500" i="2"/>
  <c r="M2468" i="2"/>
  <c r="E2521" i="2"/>
  <c r="E2489" i="2"/>
  <c r="D2523" i="2"/>
  <c r="D2491" i="2"/>
  <c r="D2459" i="2"/>
  <c r="P2501" i="2"/>
  <c r="O2527" i="2"/>
  <c r="H2498" i="2"/>
  <c r="M2475" i="2"/>
  <c r="J2448" i="2"/>
  <c r="Q2429" i="2"/>
  <c r="J2410" i="2"/>
  <c r="A2456" i="2"/>
  <c r="O2447" i="2"/>
  <c r="C2453" i="2"/>
  <c r="G2434" i="2"/>
  <c r="N2415" i="2"/>
  <c r="G2396" i="2"/>
  <c r="M2505" i="2"/>
  <c r="T2452" i="2"/>
  <c r="E2436" i="2"/>
  <c r="R2422" i="2"/>
  <c r="R2410" i="2"/>
  <c r="K2401" i="2"/>
  <c r="K2393" i="2"/>
  <c r="S2520" i="2"/>
  <c r="S2468" i="2"/>
  <c r="M2455" i="2"/>
  <c r="D2446" i="2"/>
  <c r="D2438" i="2"/>
  <c r="D2430" i="2"/>
  <c r="D2422" i="2"/>
  <c r="D2414" i="2"/>
  <c r="F2528" i="2"/>
  <c r="H2470" i="2"/>
  <c r="H2456" i="2"/>
  <c r="P2446" i="2"/>
  <c r="P2438" i="2"/>
  <c r="P2430" i="2"/>
  <c r="P2422" i="2"/>
  <c r="P2414" i="2"/>
  <c r="M2511" i="2"/>
  <c r="A2467" i="2"/>
  <c r="K2454" i="2"/>
  <c r="S2518" i="2"/>
  <c r="P2468" i="2"/>
  <c r="T2445" i="2"/>
  <c r="T2437" i="2"/>
  <c r="T2429" i="2"/>
  <c r="T2421" i="2"/>
  <c r="T2413" i="2"/>
  <c r="T2405" i="2"/>
  <c r="T2397" i="2"/>
  <c r="T2389" i="2"/>
  <c r="C2480" i="2"/>
  <c r="C2461" i="2"/>
  <c r="D2450" i="2"/>
  <c r="S2441" i="2"/>
  <c r="S2433" i="2"/>
  <c r="S2425" i="2"/>
  <c r="S2417" i="2"/>
  <c r="S2409" i="2"/>
  <c r="S2401" i="2"/>
  <c r="S2393" i="2"/>
  <c r="F2440" i="2"/>
  <c r="A2421" i="2"/>
  <c r="R2403" i="2"/>
  <c r="R2391" i="2"/>
  <c r="K2382" i="2"/>
  <c r="K2374" i="2"/>
  <c r="K2366" i="2"/>
  <c r="O2433" i="2"/>
  <c r="M2441" i="2"/>
  <c r="H2422" i="2"/>
  <c r="P2404" i="2"/>
  <c r="F2438" i="2"/>
  <c r="A2419" i="2"/>
  <c r="O2402" i="2"/>
  <c r="O2390" i="2"/>
  <c r="O2381" i="2"/>
  <c r="O2373" i="2"/>
  <c r="O2365" i="2"/>
  <c r="O2357" i="2"/>
  <c r="O2349" i="2"/>
  <c r="O2341" i="2"/>
  <c r="O2333" i="2"/>
  <c r="A2430" i="2"/>
  <c r="S2410" i="2"/>
  <c r="A2446" i="2"/>
  <c r="O2426" i="2"/>
  <c r="O2407" i="2"/>
  <c r="J2395" i="2"/>
  <c r="S2384" i="2"/>
  <c r="S2376" i="2"/>
  <c r="S2368" i="2"/>
  <c r="P2437" i="2"/>
  <c r="K2418" i="2"/>
  <c r="J2390" i="2"/>
  <c r="K2381" i="2"/>
  <c r="K2373" i="2"/>
  <c r="K2365" i="2"/>
  <c r="K2357" i="2"/>
  <c r="K2349" i="2"/>
  <c r="K2341" i="2"/>
  <c r="A2461" i="2"/>
  <c r="O2429" i="2"/>
  <c r="H2397" i="2"/>
  <c r="D2386" i="2"/>
  <c r="D2378" i="2"/>
  <c r="D2370" i="2"/>
  <c r="D2362" i="2"/>
  <c r="H2434" i="2"/>
  <c r="C2415" i="2"/>
  <c r="G2520" i="2"/>
  <c r="G2488" i="2"/>
  <c r="K2529" i="2"/>
  <c r="K2497" i="2"/>
  <c r="Q2512" i="2"/>
  <c r="Q2480" i="2"/>
  <c r="H2503" i="2"/>
  <c r="H2471" i="2"/>
  <c r="N2514" i="2"/>
  <c r="N2482" i="2"/>
  <c r="S2531" i="2"/>
  <c r="S2499" i="2"/>
  <c r="S2467" i="2"/>
  <c r="K2520" i="2"/>
  <c r="K2488" i="2"/>
  <c r="J2522" i="2"/>
  <c r="J2490" i="2"/>
  <c r="J2458" i="2"/>
  <c r="H2522" i="2"/>
  <c r="H2496" i="2"/>
  <c r="O2469" i="2"/>
  <c r="J2446" i="2"/>
  <c r="D2429" i="2"/>
  <c r="J2408" i="2"/>
  <c r="A2455" i="2"/>
  <c r="S2530" i="2"/>
  <c r="G2432" i="2"/>
  <c r="T2414" i="2"/>
  <c r="G2394" i="2"/>
  <c r="F2466" i="2"/>
  <c r="M2497" i="2"/>
  <c r="D2452" i="2"/>
  <c r="K2435" i="2"/>
  <c r="R2420" i="2"/>
  <c r="R2408" i="2"/>
  <c r="R2400" i="2"/>
  <c r="R2392" i="2"/>
  <c r="S2512" i="2"/>
  <c r="J2467" i="2"/>
  <c r="P2454" i="2"/>
  <c r="J2445" i="2"/>
  <c r="J2437" i="2"/>
  <c r="J2429" i="2"/>
  <c r="J2421" i="2"/>
  <c r="J2413" i="2"/>
  <c r="F2520" i="2"/>
  <c r="R2468" i="2"/>
  <c r="K2455" i="2"/>
  <c r="C2446" i="2"/>
  <c r="C2438" i="2"/>
  <c r="C2430" i="2"/>
  <c r="C2422" i="2"/>
  <c r="C2414" i="2"/>
  <c r="M2503" i="2"/>
  <c r="R2465" i="2"/>
  <c r="N2453" i="2"/>
  <c r="S2510" i="2"/>
  <c r="S2466" i="2"/>
  <c r="G2445" i="2"/>
  <c r="G2437" i="2"/>
  <c r="G2429" i="2"/>
  <c r="G2421" i="2"/>
  <c r="G2413" i="2"/>
  <c r="G2405" i="2"/>
  <c r="G2397" i="2"/>
  <c r="G2389" i="2"/>
  <c r="C2478" i="2"/>
  <c r="C2460" i="2"/>
  <c r="H2449" i="2"/>
  <c r="F2441" i="2"/>
  <c r="F2433" i="2"/>
  <c r="F2425" i="2"/>
  <c r="F2417" i="2"/>
  <c r="F2409" i="2"/>
  <c r="F2401" i="2"/>
  <c r="F2393" i="2"/>
  <c r="K2438" i="2"/>
  <c r="H2419" i="2"/>
  <c r="S2402" i="2"/>
  <c r="S2390" i="2"/>
  <c r="R2381" i="2"/>
  <c r="R2373" i="2"/>
  <c r="M2517" i="2"/>
  <c r="A2432" i="2"/>
  <c r="S2412" i="2"/>
  <c r="R2439" i="2"/>
  <c r="O2420" i="2"/>
  <c r="P2403" i="2"/>
  <c r="K2436" i="2"/>
  <c r="H2417" i="2"/>
  <c r="O2401" i="2"/>
  <c r="Q2389" i="2"/>
  <c r="A2381" i="2"/>
  <c r="A2373" i="2"/>
  <c r="A2365" i="2"/>
  <c r="A2357" i="2"/>
  <c r="A2349" i="2"/>
  <c r="A2341" i="2"/>
  <c r="A2333" i="2"/>
  <c r="K2452" i="2"/>
  <c r="E2409" i="2"/>
  <c r="H2444" i="2"/>
  <c r="C2425" i="2"/>
  <c r="J2406" i="2"/>
  <c r="J2394" i="2"/>
  <c r="F2384" i="2"/>
  <c r="F2376" i="2"/>
  <c r="F2368" i="2"/>
  <c r="F2436" i="2"/>
  <c r="A2417" i="2"/>
  <c r="M2389" i="2"/>
  <c r="R2380" i="2"/>
  <c r="R2372" i="2"/>
  <c r="G2518" i="2"/>
  <c r="G2486" i="2"/>
  <c r="K2527" i="2"/>
  <c r="K2495" i="2"/>
  <c r="Q2510" i="2"/>
  <c r="Q2478" i="2"/>
  <c r="P2500" i="2"/>
  <c r="A2530" i="2"/>
  <c r="A2498" i="2"/>
  <c r="A2466" i="2"/>
  <c r="G2509" i="2"/>
  <c r="G2477" i="2"/>
  <c r="M2526" i="2"/>
  <c r="M2494" i="2"/>
  <c r="M2462" i="2"/>
  <c r="E2515" i="2"/>
  <c r="E2483" i="2"/>
  <c r="D2517" i="2"/>
  <c r="D2485" i="2"/>
  <c r="D2453" i="2"/>
  <c r="P2517" i="2"/>
  <c r="H2520" i="2"/>
  <c r="O2495" i="2"/>
  <c r="E2468" i="2"/>
  <c r="Q2445" i="2"/>
  <c r="J2426" i="2"/>
  <c r="F2524" i="2"/>
  <c r="E2454" i="2"/>
  <c r="S2498" i="2"/>
  <c r="N2450" i="2"/>
  <c r="N2431" i="2"/>
  <c r="G2412" i="2"/>
  <c r="G2392" i="2"/>
  <c r="C2465" i="2"/>
  <c r="M2489" i="2"/>
  <c r="R2432" i="2"/>
  <c r="E2420" i="2"/>
  <c r="E2408" i="2"/>
  <c r="E2400" i="2"/>
  <c r="E2392" i="2"/>
  <c r="S2504" i="2"/>
  <c r="D2466" i="2"/>
  <c r="P2453" i="2"/>
  <c r="Q2444" i="2"/>
  <c r="Q2436" i="2"/>
  <c r="Q2428" i="2"/>
  <c r="Q2420" i="2"/>
  <c r="Q2412" i="2"/>
  <c r="N2517" i="2"/>
  <c r="N2485" i="2"/>
  <c r="R2526" i="2"/>
  <c r="R2494" i="2"/>
  <c r="D2510" i="2"/>
  <c r="D2478" i="2"/>
  <c r="A2528" i="2"/>
  <c r="A2496" i="2"/>
  <c r="A2464" i="2"/>
  <c r="G2507" i="2"/>
  <c r="G2475" i="2"/>
  <c r="M2524" i="2"/>
  <c r="M2492" i="2"/>
  <c r="M2460" i="2"/>
  <c r="E2513" i="2"/>
  <c r="E2481" i="2"/>
  <c r="D2515" i="2"/>
  <c r="D2483" i="2"/>
  <c r="D2451" i="2"/>
  <c r="P2477" i="2"/>
  <c r="O2519" i="2"/>
  <c r="A2495" i="2"/>
  <c r="P2466" i="2"/>
  <c r="D2445" i="2"/>
  <c r="J2424" i="2"/>
  <c r="F2516" i="2"/>
  <c r="P2450" i="2"/>
  <c r="A2481" i="2"/>
  <c r="G2448" i="2"/>
  <c r="T2430" i="2"/>
  <c r="G2410" i="2"/>
  <c r="N2391" i="2"/>
  <c r="C2464" i="2"/>
  <c r="R2476" i="2"/>
  <c r="S2448" i="2"/>
  <c r="E2432" i="2"/>
  <c r="K2419" i="2"/>
  <c r="K2407" i="2"/>
  <c r="K2399" i="2"/>
  <c r="K2391" i="2"/>
  <c r="S2496" i="2"/>
  <c r="S2464" i="2"/>
  <c r="S2452" i="2"/>
  <c r="D2444" i="2"/>
  <c r="D2436" i="2"/>
  <c r="D2428" i="2"/>
  <c r="D2420" i="2"/>
  <c r="D2412" i="2"/>
  <c r="F2504" i="2"/>
  <c r="C2466" i="2"/>
  <c r="O2453" i="2"/>
  <c r="P2444" i="2"/>
  <c r="P2436" i="2"/>
  <c r="P2428" i="2"/>
  <c r="P2420" i="2"/>
  <c r="P2412" i="2"/>
  <c r="M2487" i="2"/>
  <c r="M2463" i="2"/>
  <c r="R2451" i="2"/>
  <c r="S2494" i="2"/>
  <c r="P2464" i="2"/>
  <c r="P2452" i="2"/>
  <c r="T2443" i="2"/>
  <c r="T2435" i="2"/>
  <c r="T2427" i="2"/>
  <c r="T2419" i="2"/>
  <c r="T2411" i="2"/>
  <c r="T2403" i="2"/>
  <c r="T2395" i="2"/>
  <c r="T2387" i="2"/>
  <c r="C2474" i="2"/>
  <c r="C2458" i="2"/>
  <c r="S2447" i="2"/>
  <c r="S2439" i="2"/>
  <c r="S2431" i="2"/>
  <c r="S2423" i="2"/>
  <c r="S2415" i="2"/>
  <c r="S2407" i="2"/>
  <c r="S2399" i="2"/>
  <c r="S2391" i="2"/>
  <c r="H2435" i="2"/>
  <c r="F2416" i="2"/>
  <c r="S2400" i="2"/>
  <c r="D2389" i="2"/>
  <c r="K2380" i="2"/>
  <c r="K2372" i="2"/>
  <c r="E2455" i="2"/>
  <c r="S2428" i="2"/>
  <c r="O2409" i="2"/>
  <c r="O2436" i="2"/>
  <c r="M2417" i="2"/>
  <c r="P2401" i="2"/>
  <c r="H2433" i="2"/>
  <c r="F2414" i="2"/>
  <c r="O2399" i="2"/>
  <c r="A2388" i="2"/>
  <c r="O2379" i="2"/>
  <c r="O2371" i="2"/>
  <c r="O2363" i="2"/>
  <c r="O2355" i="2"/>
  <c r="O2347" i="2"/>
  <c r="O2339" i="2"/>
  <c r="O2331" i="2"/>
  <c r="E2425" i="2"/>
  <c r="K2406" i="2"/>
  <c r="C2441" i="2"/>
  <c r="R2421" i="2"/>
  <c r="J2404" i="2"/>
  <c r="J2392" i="2"/>
  <c r="S2382" i="2"/>
  <c r="S2374" i="2"/>
  <c r="S2366" i="2"/>
  <c r="A2433" i="2"/>
  <c r="P2413" i="2"/>
  <c r="Q2387" i="2"/>
  <c r="K2379" i="2"/>
  <c r="K2371" i="2"/>
  <c r="K2363" i="2"/>
  <c r="K2355" i="2"/>
  <c r="K2347" i="2"/>
  <c r="K2339" i="2"/>
  <c r="A2444" i="2"/>
  <c r="S2424" i="2"/>
  <c r="H2406" i="2"/>
  <c r="G2512" i="2"/>
  <c r="G2480" i="2"/>
  <c r="K2521" i="2"/>
  <c r="K2489" i="2"/>
  <c r="Q2504" i="2"/>
  <c r="Q2472" i="2"/>
  <c r="P2516" i="2"/>
  <c r="H2527" i="2"/>
  <c r="H2495" i="2"/>
  <c r="H2463" i="2"/>
  <c r="N2506" i="2"/>
  <c r="N2474" i="2"/>
  <c r="S2523" i="2"/>
  <c r="S2491" i="2"/>
  <c r="S2459" i="2"/>
  <c r="K2512" i="2"/>
  <c r="K2480" i="2"/>
  <c r="J2514" i="2"/>
  <c r="J2482" i="2"/>
  <c r="J2450" i="2"/>
  <c r="H2514" i="2"/>
  <c r="H2490" i="2"/>
  <c r="D2462" i="2"/>
  <c r="J2442" i="2"/>
  <c r="J2422" i="2"/>
  <c r="F2508" i="2"/>
  <c r="A2475" i="2"/>
  <c r="N2447" i="2"/>
  <c r="G2428" i="2"/>
  <c r="G2408" i="2"/>
  <c r="T2390" i="2"/>
  <c r="K2459" i="2"/>
  <c r="R2470" i="2"/>
  <c r="R2446" i="2"/>
  <c r="R2430" i="2"/>
  <c r="R2418" i="2"/>
  <c r="R2406" i="2"/>
  <c r="R2398" i="2"/>
  <c r="R2390" i="2"/>
  <c r="S2488" i="2"/>
  <c r="P2463" i="2"/>
  <c r="C2452" i="2"/>
  <c r="J2443" i="2"/>
  <c r="J2435" i="2"/>
  <c r="J2427" i="2"/>
  <c r="J2419" i="2"/>
  <c r="J2411" i="2"/>
  <c r="F2496" i="2"/>
  <c r="R2464" i="2"/>
  <c r="R2452" i="2"/>
  <c r="C2444" i="2"/>
  <c r="C2436" i="2"/>
  <c r="C2428" i="2"/>
  <c r="C2420" i="2"/>
  <c r="C2412" i="2"/>
  <c r="R2482" i="2"/>
  <c r="A2451" i="2"/>
  <c r="S2486" i="2"/>
  <c r="K2463" i="2"/>
  <c r="P2451" i="2"/>
  <c r="G2443" i="2"/>
  <c r="G2435" i="2"/>
  <c r="G2427" i="2"/>
  <c r="G2419" i="2"/>
  <c r="G2411" i="2"/>
  <c r="G2403" i="2"/>
  <c r="G2395" i="2"/>
  <c r="G2387" i="2"/>
  <c r="C2472" i="2"/>
  <c r="A2457" i="2"/>
  <c r="F2447" i="2"/>
  <c r="F2439" i="2"/>
  <c r="F2431" i="2"/>
  <c r="F2423" i="2"/>
  <c r="F2415" i="2"/>
  <c r="F2407" i="2"/>
  <c r="F2399" i="2"/>
  <c r="F2391" i="2"/>
  <c r="P2433" i="2"/>
  <c r="K2414" i="2"/>
  <c r="R2399" i="2"/>
  <c r="F2388" i="2"/>
  <c r="R2379" i="2"/>
  <c r="R2371" i="2"/>
  <c r="S2446" i="2"/>
  <c r="E2427" i="2"/>
  <c r="C2408" i="2"/>
  <c r="C2435" i="2"/>
  <c r="R2415" i="2"/>
  <c r="M2501" i="2"/>
  <c r="P2431" i="2"/>
  <c r="K2412" i="2"/>
  <c r="O2398" i="2"/>
  <c r="D2387" i="2"/>
  <c r="A2379" i="2"/>
  <c r="A2371" i="2"/>
  <c r="A2363" i="2"/>
  <c r="A2355" i="2"/>
  <c r="A2347" i="2"/>
  <c r="A2339" i="2"/>
  <c r="A2331" i="2"/>
  <c r="S2442" i="2"/>
  <c r="O2423" i="2"/>
  <c r="M2405" i="2"/>
  <c r="M2439" i="2"/>
  <c r="H2420" i="2"/>
  <c r="J2403" i="2"/>
  <c r="N2509" i="2"/>
  <c r="N2477" i="2"/>
  <c r="R2518" i="2"/>
  <c r="R2486" i="2"/>
  <c r="D2502" i="2"/>
  <c r="P2532" i="2"/>
  <c r="A2520" i="2"/>
  <c r="A2488" i="2"/>
  <c r="G2531" i="2"/>
  <c r="G2499" i="2"/>
  <c r="G2467" i="2"/>
  <c r="M2516" i="2"/>
  <c r="M2484" i="2"/>
  <c r="M2452" i="2"/>
  <c r="E2505" i="2"/>
  <c r="E2473" i="2"/>
  <c r="D2507" i="2"/>
  <c r="D2475" i="2"/>
  <c r="O2511" i="2"/>
  <c r="O2487" i="2"/>
  <c r="C2456" i="2"/>
  <c r="J2438" i="2"/>
  <c r="D2421" i="2"/>
  <c r="K2475" i="2"/>
  <c r="P2445" i="2"/>
  <c r="P2458" i="2"/>
  <c r="A2471" i="2"/>
  <c r="G2444" i="2"/>
  <c r="G2424" i="2"/>
  <c r="T2406" i="2"/>
  <c r="F2530" i="2"/>
  <c r="O2456" i="2"/>
  <c r="A2465" i="2"/>
  <c r="E2444" i="2"/>
  <c r="E2428" i="2"/>
  <c r="E2416" i="2"/>
  <c r="K2405" i="2"/>
  <c r="K2397" i="2"/>
  <c r="K2389" i="2"/>
  <c r="P2480" i="2"/>
  <c r="K2461" i="2"/>
  <c r="H2450" i="2"/>
  <c r="D2442" i="2"/>
  <c r="D2434" i="2"/>
  <c r="D2426" i="2"/>
  <c r="D2418" i="2"/>
  <c r="D2410" i="2"/>
  <c r="S2482" i="2"/>
  <c r="K2462" i="2"/>
  <c r="C2451" i="2"/>
  <c r="P2442" i="2"/>
  <c r="P2434" i="2"/>
  <c r="P2426" i="2"/>
  <c r="P2418" i="2"/>
  <c r="P2410" i="2"/>
  <c r="F2478" i="2"/>
  <c r="E2460" i="2"/>
  <c r="J2449" i="2"/>
  <c r="E2480" i="2"/>
  <c r="E2461" i="2"/>
  <c r="E2450" i="2"/>
  <c r="T2441" i="2"/>
  <c r="T2433" i="2"/>
  <c r="T2425" i="2"/>
  <c r="T2417" i="2"/>
  <c r="T2409" i="2"/>
  <c r="T2401" i="2"/>
  <c r="T2393" i="2"/>
  <c r="F2518" i="2"/>
  <c r="H2468" i="2"/>
  <c r="H2455" i="2"/>
  <c r="S2445" i="2"/>
  <c r="S2437" i="2"/>
  <c r="S2429" i="2"/>
  <c r="S2421" i="2"/>
  <c r="S2413" i="2"/>
  <c r="S2405" i="2"/>
  <c r="S2397" i="2"/>
  <c r="C2470" i="2"/>
  <c r="K2430" i="2"/>
  <c r="H2411" i="2"/>
  <c r="R2397" i="2"/>
  <c r="K2386" i="2"/>
  <c r="K2378" i="2"/>
  <c r="K2370" i="2"/>
  <c r="E2443" i="2"/>
  <c r="A2424" i="2"/>
  <c r="M2509" i="2"/>
  <c r="R2431" i="2"/>
  <c r="O2412" i="2"/>
  <c r="J2453" i="2"/>
  <c r="K2428" i="2"/>
  <c r="H2409" i="2"/>
  <c r="O2396" i="2"/>
  <c r="O2385" i="2"/>
  <c r="O2377" i="2"/>
  <c r="O2369" i="2"/>
  <c r="O2361" i="2"/>
  <c r="O2353" i="2"/>
  <c r="O2345" i="2"/>
  <c r="O2337" i="2"/>
  <c r="O2329" i="2"/>
  <c r="O2439" i="2"/>
  <c r="M2403" i="2"/>
  <c r="H2436" i="2"/>
  <c r="C2417" i="2"/>
  <c r="J2401" i="2"/>
  <c r="O2389" i="2"/>
  <c r="S2380" i="2"/>
  <c r="S2372" i="2"/>
  <c r="R2450" i="2"/>
  <c r="F2428" i="2"/>
  <c r="A2409" i="2"/>
  <c r="K2385" i="2"/>
  <c r="K2377" i="2"/>
  <c r="K2369" i="2"/>
  <c r="K2361" i="2"/>
  <c r="K2353" i="2"/>
  <c r="K2345" i="2"/>
  <c r="K2337" i="2"/>
  <c r="E2439" i="2"/>
  <c r="A2420" i="2"/>
  <c r="H2403" i="2"/>
  <c r="H2391" i="2"/>
  <c r="D2382" i="2"/>
  <c r="G2502" i="2"/>
  <c r="G2470" i="2"/>
  <c r="K2511" i="2"/>
  <c r="Q2526" i="2"/>
  <c r="Q2494" i="2"/>
  <c r="A2514" i="2"/>
  <c r="A2482" i="2"/>
  <c r="G2525" i="2"/>
  <c r="G2493" i="2"/>
  <c r="G2461" i="2"/>
  <c r="M2510" i="2"/>
  <c r="M2478" i="2"/>
  <c r="E2531" i="2"/>
  <c r="E2499" i="2"/>
  <c r="E2467" i="2"/>
  <c r="D2501" i="2"/>
  <c r="D2469" i="2"/>
  <c r="P2469" i="2"/>
  <c r="H2506" i="2"/>
  <c r="H2482" i="2"/>
  <c r="F2454" i="2"/>
  <c r="D2437" i="2"/>
  <c r="J2416" i="2"/>
  <c r="D2468" i="2"/>
  <c r="M2499" i="2"/>
  <c r="Q2456" i="2"/>
  <c r="P2461" i="2"/>
  <c r="G2440" i="2"/>
  <c r="T2422" i="2"/>
  <c r="G2402" i="2"/>
  <c r="F2498" i="2"/>
  <c r="A2453" i="2"/>
  <c r="R2440" i="2"/>
  <c r="R2426" i="2"/>
  <c r="R2414" i="2"/>
  <c r="E2404" i="2"/>
  <c r="E2396" i="2"/>
  <c r="E2388" i="2"/>
  <c r="P2476" i="2"/>
  <c r="R2448" i="2"/>
  <c r="Q2440" i="2"/>
  <c r="Q2432" i="2"/>
  <c r="Q2424" i="2"/>
  <c r="Q2416" i="2"/>
  <c r="Q2408" i="2"/>
  <c r="H2478" i="2"/>
  <c r="F2460" i="2"/>
  <c r="K2449" i="2"/>
  <c r="F2474" i="2"/>
  <c r="E2458" i="2"/>
  <c r="A2448" i="2"/>
  <c r="E2476" i="2"/>
  <c r="A2459" i="2"/>
  <c r="O2448" i="2"/>
  <c r="N2440" i="2"/>
  <c r="N2432" i="2"/>
  <c r="N2424" i="2"/>
  <c r="N2416" i="2"/>
  <c r="N2408" i="2"/>
  <c r="N2400" i="2"/>
  <c r="N2392" i="2"/>
  <c r="F2502" i="2"/>
  <c r="O2465" i="2"/>
  <c r="K2453" i="2"/>
  <c r="M2444" i="2"/>
  <c r="M2436" i="2"/>
  <c r="M2428" i="2"/>
  <c r="M2420" i="2"/>
  <c r="M2412" i="2"/>
  <c r="M2404" i="2"/>
  <c r="M2396" i="2"/>
  <c r="A2447" i="2"/>
  <c r="H2427" i="2"/>
  <c r="F2408" i="2"/>
  <c r="R2395" i="2"/>
  <c r="E2385" i="2"/>
  <c r="E2377" i="2"/>
  <c r="E2369" i="2"/>
  <c r="A2440" i="2"/>
  <c r="S2420" i="2"/>
  <c r="G2454" i="2"/>
  <c r="O2428" i="2"/>
  <c r="M2409" i="2"/>
  <c r="K2444" i="2"/>
  <c r="H2425" i="2"/>
  <c r="O2406" i="2"/>
  <c r="O2394" i="2"/>
  <c r="H2384" i="2"/>
  <c r="H2376" i="2"/>
  <c r="H2368" i="2"/>
  <c r="H2360" i="2"/>
  <c r="H2352" i="2"/>
  <c r="H2344" i="2"/>
  <c r="H2336" i="2"/>
  <c r="H2328" i="2"/>
  <c r="E2417" i="2"/>
  <c r="M2401" i="2"/>
  <c r="C2433" i="2"/>
  <c r="R2413" i="2"/>
  <c r="J2399" i="2"/>
  <c r="R2387" i="2"/>
  <c r="M2379" i="2"/>
  <c r="M2371" i="2"/>
  <c r="N2501" i="2"/>
  <c r="N2469" i="2"/>
  <c r="R2510" i="2"/>
  <c r="D2526" i="2"/>
  <c r="D2494" i="2"/>
  <c r="P2508" i="2"/>
  <c r="A2512" i="2"/>
  <c r="A2480" i="2"/>
  <c r="G2523" i="2"/>
  <c r="G2491" i="2"/>
  <c r="G2459" i="2"/>
  <c r="M2508" i="2"/>
  <c r="M2476" i="2"/>
  <c r="E2529" i="2"/>
  <c r="E2497" i="2"/>
  <c r="D2531" i="2"/>
  <c r="D2499" i="2"/>
  <c r="D2467" i="2"/>
  <c r="P2525" i="2"/>
  <c r="H2504" i="2"/>
  <c r="S2524" i="2"/>
  <c r="J2434" i="2"/>
  <c r="J2414" i="2"/>
  <c r="K2466" i="2"/>
  <c r="E2453" i="2"/>
  <c r="K2458" i="2"/>
  <c r="N2439" i="2"/>
  <c r="G2420" i="2"/>
  <c r="G2400" i="2"/>
  <c r="F2490" i="2"/>
  <c r="E2452" i="2"/>
  <c r="J2459" i="2"/>
  <c r="E2440" i="2"/>
  <c r="R2424" i="2"/>
  <c r="R2412" i="2"/>
  <c r="K2403" i="2"/>
  <c r="K2395" i="2"/>
  <c r="K2387" i="2"/>
  <c r="P2474" i="2"/>
  <c r="G2458" i="2"/>
  <c r="D2448" i="2"/>
  <c r="D2440" i="2"/>
  <c r="D2432" i="2"/>
  <c r="D2424" i="2"/>
  <c r="D2416" i="2"/>
  <c r="D2408" i="2"/>
  <c r="H2476" i="2"/>
  <c r="E2459" i="2"/>
  <c r="Q2448" i="2"/>
  <c r="P2440" i="2"/>
  <c r="P2432" i="2"/>
  <c r="P2424" i="2"/>
  <c r="P2416" i="2"/>
  <c r="P2408" i="2"/>
  <c r="F2472" i="2"/>
  <c r="E2457" i="2"/>
  <c r="H2447" i="2"/>
  <c r="E2474" i="2"/>
  <c r="D2458" i="2"/>
  <c r="T2447" i="2"/>
  <c r="T2439" i="2"/>
  <c r="T2431" i="2"/>
  <c r="T2423" i="2"/>
  <c r="T2415" i="2"/>
  <c r="T2407" i="2"/>
  <c r="T2399" i="2"/>
  <c r="T2391" i="2"/>
  <c r="F2494" i="2"/>
  <c r="K2464" i="2"/>
  <c r="O2452" i="2"/>
  <c r="S2443" i="2"/>
  <c r="S2435" i="2"/>
  <c r="S2427" i="2"/>
  <c r="S2419" i="2"/>
  <c r="S2411" i="2"/>
  <c r="S2403" i="2"/>
  <c r="S2395" i="2"/>
  <c r="A2445" i="2"/>
  <c r="P2425" i="2"/>
  <c r="A2407" i="2"/>
  <c r="S2394" i="2"/>
  <c r="K2384" i="2"/>
  <c r="K2376" i="2"/>
  <c r="K2368" i="2"/>
  <c r="E2419" i="2"/>
  <c r="K2446" i="2"/>
  <c r="C2427" i="2"/>
  <c r="A2408" i="2"/>
  <c r="A2443" i="2"/>
  <c r="P2423" i="2"/>
  <c r="O2405" i="2"/>
  <c r="O2393" i="2"/>
  <c r="O2383" i="2"/>
  <c r="O2375" i="2"/>
  <c r="O2367" i="2"/>
  <c r="O2359" i="2"/>
  <c r="O2351" i="2"/>
  <c r="O2343" i="2"/>
  <c r="O2335" i="2"/>
  <c r="O2327" i="2"/>
  <c r="S2434" i="2"/>
  <c r="O2415" i="2"/>
  <c r="M2485" i="2"/>
  <c r="M2431" i="2"/>
  <c r="H2412" i="2"/>
  <c r="J2398" i="2"/>
  <c r="A2387" i="2"/>
  <c r="S2378" i="2"/>
  <c r="S2370" i="2"/>
  <c r="G2510" i="2"/>
  <c r="S2515" i="2"/>
  <c r="J2474" i="2"/>
  <c r="H2512" i="2"/>
  <c r="K2481" i="2"/>
  <c r="G2416" i="2"/>
  <c r="R2463" i="2"/>
  <c r="K2411" i="2"/>
  <c r="P2470" i="2"/>
  <c r="Q2434" i="2"/>
  <c r="F2512" i="2"/>
  <c r="C2426" i="2"/>
  <c r="M2519" i="2"/>
  <c r="P2448" i="2"/>
  <c r="M2453" i="2"/>
  <c r="N2428" i="2"/>
  <c r="N2404" i="2"/>
  <c r="C2476" i="2"/>
  <c r="M2440" i="2"/>
  <c r="M2416" i="2"/>
  <c r="M2392" i="2"/>
  <c r="R2401" i="2"/>
  <c r="E2373" i="2"/>
  <c r="A2416" i="2"/>
  <c r="C2411" i="2"/>
  <c r="R2407" i="2"/>
  <c r="A2377" i="2"/>
  <c r="A2353" i="2"/>
  <c r="A2329" i="2"/>
  <c r="M2423" i="2"/>
  <c r="M2385" i="2"/>
  <c r="C2482" i="2"/>
  <c r="F2420" i="2"/>
  <c r="R2384" i="2"/>
  <c r="R2370" i="2"/>
  <c r="K2359" i="2"/>
  <c r="R2346" i="2"/>
  <c r="K2335" i="2"/>
  <c r="H2404" i="2"/>
  <c r="J2389" i="2"/>
  <c r="J2379" i="2"/>
  <c r="Q2370" i="2"/>
  <c r="J2361" i="2"/>
  <c r="C2431" i="2"/>
  <c r="H2410" i="2"/>
  <c r="P2435" i="2"/>
  <c r="K2416" i="2"/>
  <c r="D2401" i="2"/>
  <c r="H2389" i="2"/>
  <c r="O2380" i="2"/>
  <c r="O2372" i="2"/>
  <c r="O2364" i="2"/>
  <c r="O2356" i="2"/>
  <c r="O2348" i="2"/>
  <c r="O2340" i="2"/>
  <c r="R2447" i="2"/>
  <c r="O2427" i="2"/>
  <c r="C2396" i="2"/>
  <c r="G2385" i="2"/>
  <c r="G2377" i="2"/>
  <c r="G2369" i="2"/>
  <c r="G2361" i="2"/>
  <c r="G2353" i="2"/>
  <c r="G2345" i="2"/>
  <c r="F2400" i="2"/>
  <c r="T2376" i="2"/>
  <c r="G2360" i="2"/>
  <c r="G2348" i="2"/>
  <c r="S2389" i="2"/>
  <c r="S2369" i="2"/>
  <c r="S2355" i="2"/>
  <c r="S2343" i="2"/>
  <c r="E2333" i="2"/>
  <c r="N2324" i="2"/>
  <c r="N2316" i="2"/>
  <c r="N2308" i="2"/>
  <c r="N2300" i="2"/>
  <c r="N2292" i="2"/>
  <c r="O2422" i="2"/>
  <c r="C2381" i="2"/>
  <c r="D2363" i="2"/>
  <c r="S2350" i="2"/>
  <c r="P2396" i="2"/>
  <c r="J2374" i="2"/>
  <c r="Q2358" i="2"/>
  <c r="Q2346" i="2"/>
  <c r="K2326" i="2"/>
  <c r="K2318" i="2"/>
  <c r="F2398" i="2"/>
  <c r="N2375" i="2"/>
  <c r="J2359" i="2"/>
  <c r="J2347" i="2"/>
  <c r="T2335" i="2"/>
  <c r="T2326" i="2"/>
  <c r="T2318" i="2"/>
  <c r="T2310" i="2"/>
  <c r="T2302" i="2"/>
  <c r="T2294" i="2"/>
  <c r="T2286" i="2"/>
  <c r="N2377" i="2"/>
  <c r="F2352" i="2"/>
  <c r="E2335" i="2"/>
  <c r="O2323" i="2"/>
  <c r="P2392" i="2"/>
  <c r="K2360" i="2"/>
  <c r="C2341" i="2"/>
  <c r="D2328" i="2"/>
  <c r="H2317" i="2"/>
  <c r="K2400" i="2"/>
  <c r="C2374" i="2"/>
  <c r="C2350" i="2"/>
  <c r="P2333" i="2"/>
  <c r="J2322" i="2"/>
  <c r="A2312" i="2"/>
  <c r="Q2292" i="2"/>
  <c r="M2283" i="2"/>
  <c r="M2275" i="2"/>
  <c r="M2267" i="2"/>
  <c r="E2405" i="2"/>
  <c r="Q2365" i="2"/>
  <c r="M2344" i="2"/>
  <c r="P2330" i="2"/>
  <c r="P2319" i="2"/>
  <c r="J2376" i="2"/>
  <c r="M2334" i="2"/>
  <c r="G2504" i="2"/>
  <c r="A2522" i="2"/>
  <c r="M2486" i="2"/>
  <c r="P2509" i="2"/>
  <c r="A2511" i="2"/>
  <c r="M2469" i="2"/>
  <c r="R2461" i="2"/>
  <c r="N2407" i="2"/>
  <c r="E2406" i="2"/>
  <c r="P2462" i="2"/>
  <c r="J2433" i="2"/>
  <c r="F2488" i="2"/>
  <c r="M2495" i="2"/>
  <c r="S2526" i="2"/>
  <c r="T2450" i="2"/>
  <c r="N2426" i="2"/>
  <c r="N2402" i="2"/>
  <c r="D2470" i="2"/>
  <c r="M2438" i="2"/>
  <c r="M2414" i="2"/>
  <c r="M2525" i="2"/>
  <c r="S2398" i="2"/>
  <c r="E2371" i="2"/>
  <c r="P2405" i="2"/>
  <c r="O2403" i="2"/>
  <c r="H2374" i="2"/>
  <c r="H2350" i="2"/>
  <c r="M2493" i="2"/>
  <c r="S2418" i="2"/>
  <c r="O2418" i="2"/>
  <c r="M2383" i="2"/>
  <c r="E2462" i="2"/>
  <c r="H2415" i="2"/>
  <c r="E2384" i="2"/>
  <c r="E2370" i="2"/>
  <c r="E2358" i="2"/>
  <c r="E2346" i="2"/>
  <c r="O2479" i="2"/>
  <c r="E2423" i="2"/>
  <c r="H2402" i="2"/>
  <c r="M2388" i="2"/>
  <c r="Q2378" i="2"/>
  <c r="J2369" i="2"/>
  <c r="O2477" i="2"/>
  <c r="M2429" i="2"/>
  <c r="O2408" i="2"/>
  <c r="F2434" i="2"/>
  <c r="A2415" i="2"/>
  <c r="D2400" i="2"/>
  <c r="J2388" i="2"/>
  <c r="A2380" i="2"/>
  <c r="A2372" i="2"/>
  <c r="A2364" i="2"/>
  <c r="A2356" i="2"/>
  <c r="A2348" i="2"/>
  <c r="A2340" i="2"/>
  <c r="E2445" i="2"/>
  <c r="A2426" i="2"/>
  <c r="D2407" i="2"/>
  <c r="C2395" i="2"/>
  <c r="N2384" i="2"/>
  <c r="N2376" i="2"/>
  <c r="N2368" i="2"/>
  <c r="N2360" i="2"/>
  <c r="N2352" i="2"/>
  <c r="N2344" i="2"/>
  <c r="Q2397" i="2"/>
  <c r="F2375" i="2"/>
  <c r="F2359" i="2"/>
  <c r="F2347" i="2"/>
  <c r="S2387" i="2"/>
  <c r="T2354" i="2"/>
  <c r="T2342" i="2"/>
  <c r="J2332" i="2"/>
  <c r="T2323" i="2"/>
  <c r="T2315" i="2"/>
  <c r="T2307" i="2"/>
  <c r="T2299" i="2"/>
  <c r="T2291" i="2"/>
  <c r="A2406" i="2"/>
  <c r="S2361" i="2"/>
  <c r="R2349" i="2"/>
  <c r="F2394" i="2"/>
  <c r="T2372" i="2"/>
  <c r="Q2357" i="2"/>
  <c r="Q2345" i="2"/>
  <c r="K2334" i="2"/>
  <c r="R2325" i="2"/>
  <c r="R2317" i="2"/>
  <c r="Q2395" i="2"/>
  <c r="S2373" i="2"/>
  <c r="J2358" i="2"/>
  <c r="J2346" i="2"/>
  <c r="D2335" i="2"/>
  <c r="G2326" i="2"/>
  <c r="G2318" i="2"/>
  <c r="G2310" i="2"/>
  <c r="G2302" i="2"/>
  <c r="G2294" i="2"/>
  <c r="G2286" i="2"/>
  <c r="C2375" i="2"/>
  <c r="K2350" i="2"/>
  <c r="C2334" i="2"/>
  <c r="Q2322" i="2"/>
  <c r="Q2388" i="2"/>
  <c r="P2358" i="2"/>
  <c r="P2339" i="2"/>
  <c r="D2327" i="2"/>
  <c r="F2396" i="2"/>
  <c r="D2371" i="2"/>
  <c r="F2348" i="2"/>
  <c r="P2332" i="2"/>
  <c r="M2321" i="2"/>
  <c r="E2311" i="2"/>
  <c r="M2301" i="2"/>
  <c r="A2292" i="2"/>
  <c r="S2282" i="2"/>
  <c r="S2274" i="2"/>
  <c r="S2266" i="2"/>
  <c r="Q2399" i="2"/>
  <c r="R2363" i="2"/>
  <c r="F2343" i="2"/>
  <c r="Q2329" i="2"/>
  <c r="R2318" i="2"/>
  <c r="N2373" i="2"/>
  <c r="N2349" i="2"/>
  <c r="M2333" i="2"/>
  <c r="G2478" i="2"/>
  <c r="H2519" i="2"/>
  <c r="S2483" i="2"/>
  <c r="H2488" i="2"/>
  <c r="N2457" i="2"/>
  <c r="G2404" i="2"/>
  <c r="R2453" i="2"/>
  <c r="R2404" i="2"/>
  <c r="H2460" i="2"/>
  <c r="Q2430" i="2"/>
  <c r="H2480" i="2"/>
  <c r="C2442" i="2"/>
  <c r="F2480" i="2"/>
  <c r="S2502" i="2"/>
  <c r="G2425" i="2"/>
  <c r="G2401" i="2"/>
  <c r="R2466" i="2"/>
  <c r="F2437" i="2"/>
  <c r="F2413" i="2"/>
  <c r="D2456" i="2"/>
  <c r="S2396" i="2"/>
  <c r="R2369" i="2"/>
  <c r="E2411" i="2"/>
  <c r="P2402" i="2"/>
  <c r="O2400" i="2"/>
  <c r="H2372" i="2"/>
  <c r="H2348" i="2"/>
  <c r="M2415" i="2"/>
  <c r="F2382" i="2"/>
  <c r="R2445" i="2"/>
  <c r="F2412" i="2"/>
  <c r="K2383" i="2"/>
  <c r="R2368" i="2"/>
  <c r="R2356" i="2"/>
  <c r="R2344" i="2"/>
  <c r="C2450" i="2"/>
  <c r="O2421" i="2"/>
  <c r="H2401" i="2"/>
  <c r="P2387" i="2"/>
  <c r="J2377" i="2"/>
  <c r="Q2368" i="2"/>
  <c r="R2459" i="2"/>
  <c r="R2427" i="2"/>
  <c r="H2407" i="2"/>
  <c r="K2432" i="2"/>
  <c r="H2413" i="2"/>
  <c r="D2399" i="2"/>
  <c r="M2387" i="2"/>
  <c r="H2379" i="2"/>
  <c r="H2371" i="2"/>
  <c r="H2363" i="2"/>
  <c r="H2355" i="2"/>
  <c r="H2347" i="2"/>
  <c r="H2339" i="2"/>
  <c r="O2443" i="2"/>
  <c r="C2406" i="2"/>
  <c r="C2394" i="2"/>
  <c r="T2383" i="2"/>
  <c r="T2375" i="2"/>
  <c r="T2367" i="2"/>
  <c r="T2359" i="2"/>
  <c r="T2351" i="2"/>
  <c r="T2343" i="2"/>
  <c r="M2395" i="2"/>
  <c r="P2373" i="2"/>
  <c r="G2358" i="2"/>
  <c r="G2346" i="2"/>
  <c r="S2385" i="2"/>
  <c r="P2366" i="2"/>
  <c r="S2353" i="2"/>
  <c r="S2341" i="2"/>
  <c r="P2331" i="2"/>
  <c r="G2323" i="2"/>
  <c r="G2315" i="2"/>
  <c r="G2307" i="2"/>
  <c r="G2472" i="2"/>
  <c r="A2490" i="2"/>
  <c r="M2454" i="2"/>
  <c r="A2487" i="2"/>
  <c r="A2473" i="2"/>
  <c r="T2398" i="2"/>
  <c r="E2402" i="2"/>
  <c r="Q2426" i="2"/>
  <c r="H2472" i="2"/>
  <c r="F2476" i="2"/>
  <c r="F2482" i="2"/>
  <c r="N2446" i="2"/>
  <c r="N2422" i="2"/>
  <c r="N2398" i="2"/>
  <c r="F2462" i="2"/>
  <c r="M2434" i="2"/>
  <c r="M2410" i="2"/>
  <c r="P2441" i="2"/>
  <c r="S2392" i="2"/>
  <c r="E2367" i="2"/>
  <c r="S2406" i="2"/>
  <c r="M2465" i="2"/>
  <c r="O2397" i="2"/>
  <c r="H2370" i="2"/>
  <c r="H2346" i="2"/>
  <c r="F2446" i="2"/>
  <c r="P2407" i="2"/>
  <c r="C2409" i="2"/>
  <c r="M2381" i="2"/>
  <c r="F2444" i="2"/>
  <c r="K2410" i="2"/>
  <c r="E2382" i="2"/>
  <c r="E2368" i="2"/>
  <c r="E2356" i="2"/>
  <c r="E2344" i="2"/>
  <c r="O2445" i="2"/>
  <c r="H2400" i="2"/>
  <c r="Q2386" i="2"/>
  <c r="Q2376" i="2"/>
  <c r="D2368" i="2"/>
  <c r="G2449" i="2"/>
  <c r="H2426" i="2"/>
  <c r="O2475" i="2"/>
  <c r="A2431" i="2"/>
  <c r="P2411" i="2"/>
  <c r="D2398" i="2"/>
  <c r="O2386" i="2"/>
  <c r="O2378" i="2"/>
  <c r="O2370" i="2"/>
  <c r="O2362" i="2"/>
  <c r="O2354" i="2"/>
  <c r="O2346" i="2"/>
  <c r="O2338" i="2"/>
  <c r="A2442" i="2"/>
  <c r="S2422" i="2"/>
  <c r="C2405" i="2"/>
  <c r="C2393" i="2"/>
  <c r="G2383" i="2"/>
  <c r="G2375" i="2"/>
  <c r="G2367" i="2"/>
  <c r="G2359" i="2"/>
  <c r="G2351" i="2"/>
  <c r="G2343" i="2"/>
  <c r="A2393" i="2"/>
  <c r="C2372" i="2"/>
  <c r="F2357" i="2"/>
  <c r="F2345" i="2"/>
  <c r="M2365" i="2"/>
  <c r="T2352" i="2"/>
  <c r="T2340" i="2"/>
  <c r="T2330" i="2"/>
  <c r="N2322" i="2"/>
  <c r="N2314" i="2"/>
  <c r="N2306" i="2"/>
  <c r="N2298" i="2"/>
  <c r="N2290" i="2"/>
  <c r="E2399" i="2"/>
  <c r="G2376" i="2"/>
  <c r="R2359" i="2"/>
  <c r="R2347" i="2"/>
  <c r="P2389" i="2"/>
  <c r="P2369" i="2"/>
  <c r="Q2355" i="2"/>
  <c r="Q2343" i="2"/>
  <c r="C2333" i="2"/>
  <c r="K2324" i="2"/>
  <c r="K2316" i="2"/>
  <c r="A2391" i="2"/>
  <c r="P2370" i="2"/>
  <c r="J2356" i="2"/>
  <c r="J2344" i="2"/>
  <c r="K2333" i="2"/>
  <c r="T2324" i="2"/>
  <c r="T2316" i="2"/>
  <c r="T2308" i="2"/>
  <c r="T2300" i="2"/>
  <c r="T2292" i="2"/>
  <c r="T2456" i="2"/>
  <c r="D2347" i="2"/>
  <c r="D2332" i="2"/>
  <c r="A2321" i="2"/>
  <c r="T2382" i="2"/>
  <c r="H2325" i="2"/>
  <c r="O2314" i="2"/>
  <c r="C2407" i="2"/>
  <c r="S2365" i="2"/>
  <c r="P2344" i="2"/>
  <c r="Q2330" i="2"/>
  <c r="Q2319" i="2"/>
  <c r="M2309" i="2"/>
  <c r="A2300" i="2"/>
  <c r="M2281" i="2"/>
  <c r="K2519" i="2"/>
  <c r="H2487" i="2"/>
  <c r="S2451" i="2"/>
  <c r="R2458" i="2"/>
  <c r="M2531" i="2"/>
  <c r="E2465" i="2"/>
  <c r="G2388" i="2"/>
  <c r="R2444" i="2"/>
  <c r="E2398" i="2"/>
  <c r="J2425" i="2"/>
  <c r="Q2468" i="2"/>
  <c r="E2478" i="2"/>
  <c r="N2444" i="2"/>
  <c r="N2420" i="2"/>
  <c r="N2396" i="2"/>
  <c r="T2458" i="2"/>
  <c r="M2432" i="2"/>
  <c r="M2408" i="2"/>
  <c r="A2437" i="2"/>
  <c r="A2390" i="2"/>
  <c r="F2468" i="2"/>
  <c r="Q2466" i="2"/>
  <c r="H2446" i="2"/>
  <c r="O2395" i="2"/>
  <c r="A2369" i="2"/>
  <c r="A2345" i="2"/>
  <c r="K2404" i="2"/>
  <c r="J2405" i="2"/>
  <c r="F2380" i="2"/>
  <c r="K2442" i="2"/>
  <c r="M2407" i="2"/>
  <c r="E2380" i="2"/>
  <c r="K2367" i="2"/>
  <c r="R2354" i="2"/>
  <c r="K2343" i="2"/>
  <c r="S2416" i="2"/>
  <c r="H2399" i="2"/>
  <c r="J2385" i="2"/>
  <c r="D2376" i="2"/>
  <c r="J2367" i="2"/>
  <c r="M2445" i="2"/>
  <c r="O2424" i="2"/>
  <c r="S2458" i="2"/>
  <c r="H2429" i="2"/>
  <c r="F2410" i="2"/>
  <c r="D2397" i="2"/>
  <c r="A2386" i="2"/>
  <c r="A2378" i="2"/>
  <c r="A2370" i="2"/>
  <c r="A2362" i="2"/>
  <c r="A2354" i="2"/>
  <c r="A2346" i="2"/>
  <c r="A2338" i="2"/>
  <c r="E2421" i="2"/>
  <c r="C2404" i="2"/>
  <c r="C2392" i="2"/>
  <c r="N2382" i="2"/>
  <c r="N2374" i="2"/>
  <c r="N2366" i="2"/>
  <c r="N2358" i="2"/>
  <c r="N2350" i="2"/>
  <c r="N2342" i="2"/>
  <c r="P2390" i="2"/>
  <c r="J2370" i="2"/>
  <c r="G2356" i="2"/>
  <c r="M2443" i="2"/>
  <c r="P2382" i="2"/>
  <c r="S2351" i="2"/>
  <c r="T2339" i="2"/>
  <c r="F2330" i="2"/>
  <c r="T2321" i="2"/>
  <c r="T2313" i="2"/>
  <c r="T2305" i="2"/>
  <c r="T2297" i="2"/>
  <c r="T2289" i="2"/>
  <c r="Q2396" i="2"/>
  <c r="M2374" i="2"/>
  <c r="S2358" i="2"/>
  <c r="S2346" i="2"/>
  <c r="C2368" i="2"/>
  <c r="Q2354" i="2"/>
  <c r="Q2342" i="2"/>
  <c r="G2332" i="2"/>
  <c r="R2323" i="2"/>
  <c r="R2315" i="2"/>
  <c r="A2389" i="2"/>
  <c r="D2369" i="2"/>
  <c r="J2355" i="2"/>
  <c r="J2343" i="2"/>
  <c r="Q2332" i="2"/>
  <c r="G2324" i="2"/>
  <c r="G2316" i="2"/>
  <c r="G2308" i="2"/>
  <c r="G2300" i="2"/>
  <c r="G2292" i="2"/>
  <c r="H2416" i="2"/>
  <c r="T2366" i="2"/>
  <c r="E2331" i="2"/>
  <c r="D2320" i="2"/>
  <c r="S2379" i="2"/>
  <c r="N2353" i="2"/>
  <c r="D2336" i="2"/>
  <c r="P2313" i="2"/>
  <c r="A2400" i="2"/>
  <c r="S2363" i="2"/>
  <c r="R2329" i="2"/>
  <c r="S2318" i="2"/>
  <c r="Q2308" i="2"/>
  <c r="E2299" i="2"/>
  <c r="M2289" i="2"/>
  <c r="S2280" i="2"/>
  <c r="S2272" i="2"/>
  <c r="S2264" i="2"/>
  <c r="C2388" i="2"/>
  <c r="R2326" i="2"/>
  <c r="A2405" i="2"/>
  <c r="P2365" i="2"/>
  <c r="K2344" i="2"/>
  <c r="O2330" i="2"/>
  <c r="O2319" i="2"/>
  <c r="K2513" i="2"/>
  <c r="A2458" i="2"/>
  <c r="E2507" i="2"/>
  <c r="C2455" i="2"/>
  <c r="P2456" i="2"/>
  <c r="F2506" i="2"/>
  <c r="K2443" i="2"/>
  <c r="R2396" i="2"/>
  <c r="Q2422" i="2"/>
  <c r="O2463" i="2"/>
  <c r="C2418" i="2"/>
  <c r="Q2464" i="2"/>
  <c r="E2470" i="2"/>
  <c r="N2442" i="2"/>
  <c r="N2418" i="2"/>
  <c r="N2394" i="2"/>
  <c r="E2456" i="2"/>
  <c r="M2430" i="2"/>
  <c r="M2406" i="2"/>
  <c r="F2432" i="2"/>
  <c r="H2387" i="2"/>
  <c r="S2444" i="2"/>
  <c r="C2443" i="2"/>
  <c r="P2439" i="2"/>
  <c r="O2391" i="2"/>
  <c r="H2366" i="2"/>
  <c r="H2342" i="2"/>
  <c r="E2441" i="2"/>
  <c r="K2402" i="2"/>
  <c r="J2402" i="2"/>
  <c r="M2377" i="2"/>
  <c r="H2439" i="2"/>
  <c r="R2378" i="2"/>
  <c r="E2366" i="2"/>
  <c r="E2354" i="2"/>
  <c r="E2342" i="2"/>
  <c r="S2440" i="2"/>
  <c r="E2415" i="2"/>
  <c r="H2398" i="2"/>
  <c r="Q2384" i="2"/>
  <c r="J2375" i="2"/>
  <c r="Q2366" i="2"/>
  <c r="R2443" i="2"/>
  <c r="C2423" i="2"/>
  <c r="K2448" i="2"/>
  <c r="P2427" i="2"/>
  <c r="K2408" i="2"/>
  <c r="D2396" i="2"/>
  <c r="H2385" i="2"/>
  <c r="H2377" i="2"/>
  <c r="H2369" i="2"/>
  <c r="H2361" i="2"/>
  <c r="H2353" i="2"/>
  <c r="H2345" i="2"/>
  <c r="H2337" i="2"/>
  <c r="S2438" i="2"/>
  <c r="O2419" i="2"/>
  <c r="C2403" i="2"/>
  <c r="C2391" i="2"/>
  <c r="T2381" i="2"/>
  <c r="T2373" i="2"/>
  <c r="T2365" i="2"/>
  <c r="T2357" i="2"/>
  <c r="T2349" i="2"/>
  <c r="T2341" i="2"/>
  <c r="K2388" i="2"/>
  <c r="T2368" i="2"/>
  <c r="F2355" i="2"/>
  <c r="H2424" i="2"/>
  <c r="D2381" i="2"/>
  <c r="E2363" i="2"/>
  <c r="T2350" i="2"/>
  <c r="D2339" i="2"/>
  <c r="K2329" i="2"/>
  <c r="G2321" i="2"/>
  <c r="G2313" i="2"/>
  <c r="G2305" i="2"/>
  <c r="G2297" i="2"/>
  <c r="G2289" i="2"/>
  <c r="K2394" i="2"/>
  <c r="C2373" i="2"/>
  <c r="R2357" i="2"/>
  <c r="R2345" i="2"/>
  <c r="P2385" i="2"/>
  <c r="J2366" i="2"/>
  <c r="Q2353" i="2"/>
  <c r="Q2341" i="2"/>
  <c r="M2331" i="2"/>
  <c r="E2323" i="2"/>
  <c r="E2315" i="2"/>
  <c r="P2386" i="2"/>
  <c r="N2367" i="2"/>
  <c r="J2354" i="2"/>
  <c r="J2342" i="2"/>
  <c r="C2332" i="2"/>
  <c r="N2323" i="2"/>
  <c r="N2315" i="2"/>
  <c r="N2307" i="2"/>
  <c r="N2299" i="2"/>
  <c r="N2291" i="2"/>
  <c r="E2401" i="2"/>
  <c r="M2364" i="2"/>
  <c r="K2487" i="2"/>
  <c r="N2530" i="2"/>
  <c r="K2504" i="2"/>
  <c r="S2470" i="2"/>
  <c r="R2436" i="2"/>
  <c r="E2394" i="2"/>
  <c r="E2451" i="2"/>
  <c r="Q2418" i="2"/>
  <c r="J2461" i="2"/>
  <c r="P2465" i="2"/>
  <c r="G2441" i="2"/>
  <c r="G2417" i="2"/>
  <c r="G2393" i="2"/>
  <c r="H2454" i="2"/>
  <c r="F2429" i="2"/>
  <c r="F2405" i="2"/>
  <c r="A2429" i="2"/>
  <c r="R2385" i="2"/>
  <c r="O2441" i="2"/>
  <c r="H2438" i="2"/>
  <c r="A2435" i="2"/>
  <c r="S2388" i="2"/>
  <c r="H2364" i="2"/>
  <c r="H2340" i="2"/>
  <c r="A2438" i="2"/>
  <c r="J2400" i="2"/>
  <c r="M2375" i="2"/>
  <c r="K2434" i="2"/>
  <c r="E2378" i="2"/>
  <c r="R2364" i="2"/>
  <c r="R2352" i="2"/>
  <c r="R2340" i="2"/>
  <c r="O2437" i="2"/>
  <c r="O2413" i="2"/>
  <c r="H2396" i="2"/>
  <c r="D2384" i="2"/>
  <c r="Q2374" i="2"/>
  <c r="D2366" i="2"/>
  <c r="H2442" i="2"/>
  <c r="M2421" i="2"/>
  <c r="H2445" i="2"/>
  <c r="F2426" i="2"/>
  <c r="E2407" i="2"/>
  <c r="D2395" i="2"/>
  <c r="O2384" i="2"/>
  <c r="O2376" i="2"/>
  <c r="O2368" i="2"/>
  <c r="O2360" i="2"/>
  <c r="O2352" i="2"/>
  <c r="O2344" i="2"/>
  <c r="O2336" i="2"/>
  <c r="E2437" i="2"/>
  <c r="A2418" i="2"/>
  <c r="C2402" i="2"/>
  <c r="D2390" i="2"/>
  <c r="G2381" i="2"/>
  <c r="G2373" i="2"/>
  <c r="G2365" i="2"/>
  <c r="G2357" i="2"/>
  <c r="G2349" i="2"/>
  <c r="G2341" i="2"/>
  <c r="J2386" i="2"/>
  <c r="F2367" i="2"/>
  <c r="G2354" i="2"/>
  <c r="F2406" i="2"/>
  <c r="N2379" i="2"/>
  <c r="C2362" i="2"/>
  <c r="S2349" i="2"/>
  <c r="F2338" i="2"/>
  <c r="Q2328" i="2"/>
  <c r="N2320" i="2"/>
  <c r="N2312" i="2"/>
  <c r="N2304" i="2"/>
  <c r="N2296" i="2"/>
  <c r="N2288" i="2"/>
  <c r="A2392" i="2"/>
  <c r="S2356" i="2"/>
  <c r="S2344" i="2"/>
  <c r="C2384" i="2"/>
  <c r="F2365" i="2"/>
  <c r="Q2352" i="2"/>
  <c r="Q2340" i="2"/>
  <c r="R2330" i="2"/>
  <c r="K2322" i="2"/>
  <c r="K2314" i="2"/>
  <c r="D2385" i="2"/>
  <c r="C2366" i="2"/>
  <c r="J2353" i="2"/>
  <c r="J2341" i="2"/>
  <c r="H2331" i="2"/>
  <c r="T2322" i="2"/>
  <c r="T2314" i="2"/>
  <c r="T2306" i="2"/>
  <c r="T2298" i="2"/>
  <c r="T2290" i="2"/>
  <c r="M2397" i="2"/>
  <c r="P2362" i="2"/>
  <c r="K2342" i="2"/>
  <c r="F2329" i="2"/>
  <c r="H2318" i="2"/>
  <c r="F2350" i="2"/>
  <c r="T2333" i="2"/>
  <c r="O2322" i="2"/>
  <c r="D2312" i="2"/>
  <c r="P2391" i="2"/>
  <c r="F2360" i="2"/>
  <c r="P2340" i="2"/>
  <c r="S2327" i="2"/>
  <c r="D2317" i="2"/>
  <c r="E2307" i="2"/>
  <c r="M2297" i="2"/>
  <c r="A2288" i="2"/>
  <c r="M2279" i="2"/>
  <c r="M2271" i="2"/>
  <c r="M2263" i="2"/>
  <c r="C2382" i="2"/>
  <c r="C2355" i="2"/>
  <c r="C2337" i="2"/>
  <c r="C2325" i="2"/>
  <c r="E2395" i="2"/>
  <c r="P2361" i="2"/>
  <c r="R2341" i="2"/>
  <c r="P2328" i="2"/>
  <c r="Q2502" i="2"/>
  <c r="N2498" i="2"/>
  <c r="K2472" i="2"/>
  <c r="J2440" i="2"/>
  <c r="G2442" i="2"/>
  <c r="K2427" i="2"/>
  <c r="R2388" i="2"/>
  <c r="Q2446" i="2"/>
  <c r="Q2414" i="2"/>
  <c r="O2454" i="2"/>
  <c r="C2459" i="2"/>
  <c r="D2460" i="2"/>
  <c r="N2436" i="2"/>
  <c r="N2412" i="2"/>
  <c r="N2388" i="2"/>
  <c r="N2448" i="2"/>
  <c r="M2424" i="2"/>
  <c r="M2400" i="2"/>
  <c r="P2417" i="2"/>
  <c r="E2381" i="2"/>
  <c r="E2435" i="2"/>
  <c r="H2430" i="2"/>
  <c r="A2427" i="2"/>
  <c r="A2385" i="2"/>
  <c r="A2361" i="2"/>
  <c r="A2337" i="2"/>
  <c r="O2431" i="2"/>
  <c r="O2442" i="2"/>
  <c r="J2393" i="2"/>
  <c r="M2373" i="2"/>
  <c r="P2429" i="2"/>
  <c r="E2376" i="2"/>
  <c r="R2362" i="2"/>
  <c r="K2351" i="2"/>
  <c r="R2338" i="2"/>
  <c r="H2394" i="2"/>
  <c r="Q2382" i="2"/>
  <c r="J2373" i="2"/>
  <c r="Q2364" i="2"/>
  <c r="C2439" i="2"/>
  <c r="H2418" i="2"/>
  <c r="F2442" i="2"/>
  <c r="A2423" i="2"/>
  <c r="D2405" i="2"/>
  <c r="D2393" i="2"/>
  <c r="H2383" i="2"/>
  <c r="H2375" i="2"/>
  <c r="H2367" i="2"/>
  <c r="H2359" i="2"/>
  <c r="H2351" i="2"/>
  <c r="H2343" i="2"/>
  <c r="H2335" i="2"/>
  <c r="A2434" i="2"/>
  <c r="S2414" i="2"/>
  <c r="C2400" i="2"/>
  <c r="T2379" i="2"/>
  <c r="T2371" i="2"/>
  <c r="T2363" i="2"/>
  <c r="T2355" i="2"/>
  <c r="T2347" i="2"/>
  <c r="O2471" i="2"/>
  <c r="F2383" i="2"/>
  <c r="P2364" i="2"/>
  <c r="G2352" i="2"/>
  <c r="M2399" i="2"/>
  <c r="S2359" i="2"/>
  <c r="S2347" i="2"/>
  <c r="J2336" i="2"/>
  <c r="H2327" i="2"/>
  <c r="G2319" i="2"/>
  <c r="G2311" i="2"/>
  <c r="G2303" i="2"/>
  <c r="G2295" i="2"/>
  <c r="G2287" i="2"/>
  <c r="O2387" i="2"/>
  <c r="G2368" i="2"/>
  <c r="S2354" i="2"/>
  <c r="C2421" i="2"/>
  <c r="T2380" i="2"/>
  <c r="C2363" i="2"/>
  <c r="Q2350" i="2"/>
  <c r="T2338" i="2"/>
  <c r="E2321" i="2"/>
  <c r="R2433" i="2"/>
  <c r="S2381" i="2"/>
  <c r="Q2363" i="2"/>
  <c r="J2351" i="2"/>
  <c r="M2339" i="2"/>
  <c r="S2329" i="2"/>
  <c r="N2321" i="2"/>
  <c r="N2313" i="2"/>
  <c r="N2305" i="2"/>
  <c r="N2297" i="2"/>
  <c r="N2289" i="2"/>
  <c r="E2389" i="2"/>
  <c r="D2359" i="2"/>
  <c r="S2339" i="2"/>
  <c r="G2327" i="2"/>
  <c r="C2445" i="2"/>
  <c r="C2369" i="2"/>
  <c r="P2346" i="2"/>
  <c r="T2331" i="2"/>
  <c r="R2320" i="2"/>
  <c r="K2310" i="2"/>
  <c r="C2385" i="2"/>
  <c r="P2356" i="2"/>
  <c r="C2326" i="2"/>
  <c r="M2305" i="2"/>
  <c r="A2296" i="2"/>
  <c r="F2278" i="2"/>
  <c r="Q2470" i="2"/>
  <c r="N2466" i="2"/>
  <c r="J2506" i="2"/>
  <c r="P2493" i="2"/>
  <c r="Q2421" i="2"/>
  <c r="G2426" i="2"/>
  <c r="M2529" i="2"/>
  <c r="R2416" i="2"/>
  <c r="K2483" i="2"/>
  <c r="J2441" i="2"/>
  <c r="J2409" i="2"/>
  <c r="G2450" i="2"/>
  <c r="C2410" i="2"/>
  <c r="Q2452" i="2"/>
  <c r="G2433" i="2"/>
  <c r="G2409" i="2"/>
  <c r="F2510" i="2"/>
  <c r="F2445" i="2"/>
  <c r="F2421" i="2"/>
  <c r="F2397" i="2"/>
  <c r="P2409" i="2"/>
  <c r="R2377" i="2"/>
  <c r="O2425" i="2"/>
  <c r="C2419" i="2"/>
  <c r="P2415" i="2"/>
  <c r="H2380" i="2"/>
  <c r="H2356" i="2"/>
  <c r="H2332" i="2"/>
  <c r="S2426" i="2"/>
  <c r="O2434" i="2"/>
  <c r="K2390" i="2"/>
  <c r="M2369" i="2"/>
  <c r="A2425" i="2"/>
  <c r="S2386" i="2"/>
  <c r="E2374" i="2"/>
  <c r="R2360" i="2"/>
  <c r="R2348" i="2"/>
  <c r="R2336" i="2"/>
  <c r="E2431" i="2"/>
  <c r="H2392" i="2"/>
  <c r="Q2380" i="2"/>
  <c r="D2372" i="2"/>
  <c r="J2363" i="2"/>
  <c r="R2435" i="2"/>
  <c r="M2413" i="2"/>
  <c r="A2439" i="2"/>
  <c r="P2419" i="2"/>
  <c r="D2403" i="2"/>
  <c r="D2391" i="2"/>
  <c r="A2382" i="2"/>
  <c r="A2374" i="2"/>
  <c r="A2366" i="2"/>
  <c r="A2358" i="2"/>
  <c r="A2350" i="2"/>
  <c r="A2342" i="2"/>
  <c r="O2473" i="2"/>
  <c r="S2430" i="2"/>
  <c r="O2411" i="2"/>
  <c r="C2398" i="2"/>
  <c r="N2386" i="2"/>
  <c r="N2378" i="2"/>
  <c r="N2370" i="2"/>
  <c r="N2362" i="2"/>
  <c r="N2354" i="2"/>
  <c r="N2346" i="2"/>
  <c r="M2411" i="2"/>
  <c r="C2380" i="2"/>
  <c r="J2362" i="2"/>
  <c r="G2350" i="2"/>
  <c r="P2394" i="2"/>
  <c r="D2373" i="2"/>
  <c r="S2357" i="2"/>
  <c r="S2345" i="2"/>
  <c r="N2334" i="2"/>
  <c r="T2325" i="2"/>
  <c r="T2317" i="2"/>
  <c r="T2309" i="2"/>
  <c r="T2301" i="2"/>
  <c r="T2293" i="2"/>
  <c r="T2285" i="2"/>
  <c r="G2384" i="2"/>
  <c r="S2352" i="2"/>
  <c r="Q2401" i="2"/>
  <c r="P2377" i="2"/>
  <c r="Q2360" i="2"/>
  <c r="Q2348" i="2"/>
  <c r="E2337" i="2"/>
  <c r="T2327" i="2"/>
  <c r="R2319" i="2"/>
  <c r="F2404" i="2"/>
  <c r="P2378" i="2"/>
  <c r="M2361" i="2"/>
  <c r="J2349" i="2"/>
  <c r="Q2337" i="2"/>
  <c r="J2328" i="2"/>
  <c r="G2320" i="2"/>
  <c r="G2312" i="2"/>
  <c r="G2304" i="2"/>
  <c r="G2296" i="2"/>
  <c r="G2288" i="2"/>
  <c r="D2383" i="2"/>
  <c r="N2355" i="2"/>
  <c r="M2337" i="2"/>
  <c r="J2325" i="2"/>
  <c r="Q2400" i="2"/>
  <c r="J2364" i="2"/>
  <c r="N2343" i="2"/>
  <c r="A2330" i="2"/>
  <c r="C2319" i="2"/>
  <c r="O2438" i="2"/>
  <c r="P2379" i="2"/>
  <c r="S2335" i="2"/>
  <c r="F2324" i="2"/>
  <c r="M2313" i="2"/>
  <c r="A2304" i="2"/>
  <c r="S2284" i="2"/>
  <c r="S2276" i="2"/>
  <c r="S2268" i="2"/>
  <c r="S2260" i="2"/>
  <c r="C2371" i="2"/>
  <c r="D2348" i="2"/>
  <c r="O2332" i="2"/>
  <c r="K2321" i="2"/>
  <c r="Q2381" i="2"/>
  <c r="P2354" i="2"/>
  <c r="T2336" i="2"/>
  <c r="Q2528" i="2"/>
  <c r="N2423" i="2"/>
  <c r="P2478" i="2"/>
  <c r="A2452" i="2"/>
  <c r="J2455" i="2"/>
  <c r="N2406" i="2"/>
  <c r="M2394" i="2"/>
  <c r="R2423" i="2"/>
  <c r="H2334" i="2"/>
  <c r="H2428" i="2"/>
  <c r="E2348" i="2"/>
  <c r="J2371" i="2"/>
  <c r="H2437" i="2"/>
  <c r="H2381" i="2"/>
  <c r="H2349" i="2"/>
  <c r="G2379" i="2"/>
  <c r="G2347" i="2"/>
  <c r="F2351" i="2"/>
  <c r="T2360" i="2"/>
  <c r="T2319" i="2"/>
  <c r="G2293" i="2"/>
  <c r="Q2369" i="2"/>
  <c r="Q2391" i="2"/>
  <c r="Q2347" i="2"/>
  <c r="R2321" i="2"/>
  <c r="T2364" i="2"/>
  <c r="N2330" i="2"/>
  <c r="G2306" i="2"/>
  <c r="E2393" i="2"/>
  <c r="P2338" i="2"/>
  <c r="K2338" i="2"/>
  <c r="F2362" i="2"/>
  <c r="R2331" i="2"/>
  <c r="A2308" i="2"/>
  <c r="M2273" i="2"/>
  <c r="M2435" i="2"/>
  <c r="E2353" i="2"/>
  <c r="R2328" i="2"/>
  <c r="M2384" i="2"/>
  <c r="E2343" i="2"/>
  <c r="D2324" i="2"/>
  <c r="O2312" i="2"/>
  <c r="C2303" i="2"/>
  <c r="J2293" i="2"/>
  <c r="P2398" i="2"/>
  <c r="P2372" i="2"/>
  <c r="E2349" i="2"/>
  <c r="H2333" i="2"/>
  <c r="D2322" i="2"/>
  <c r="O2311" i="2"/>
  <c r="G2378" i="2"/>
  <c r="K2352" i="2"/>
  <c r="G2335" i="2"/>
  <c r="Q2323" i="2"/>
  <c r="E2313" i="2"/>
  <c r="M2303" i="2"/>
  <c r="A2294" i="2"/>
  <c r="M2284" i="2"/>
  <c r="M2276" i="2"/>
  <c r="M2268" i="2"/>
  <c r="Q2390" i="2"/>
  <c r="S2334" i="2"/>
  <c r="C2298" i="2"/>
  <c r="M2355" i="2"/>
  <c r="C2321" i="2"/>
  <c r="H2304" i="2"/>
  <c r="K2291" i="2"/>
  <c r="K2280" i="2"/>
  <c r="C2347" i="2"/>
  <c r="S2316" i="2"/>
  <c r="D2302" i="2"/>
  <c r="H2289" i="2"/>
  <c r="D2375" i="2"/>
  <c r="M2329" i="2"/>
  <c r="J2308" i="2"/>
  <c r="O2295" i="2"/>
  <c r="N2283" i="2"/>
  <c r="A2274" i="2"/>
  <c r="R2255" i="2"/>
  <c r="R2247" i="2"/>
  <c r="R2239" i="2"/>
  <c r="R2231" i="2"/>
  <c r="R2223" i="2"/>
  <c r="A2401" i="2"/>
  <c r="P2336" i="2"/>
  <c r="F2312" i="2"/>
  <c r="P2298" i="2"/>
  <c r="C2286" i="2"/>
  <c r="H2276" i="2"/>
  <c r="P2266" i="2"/>
  <c r="Q2257" i="2"/>
  <c r="Q2249" i="2"/>
  <c r="Q2241" i="2"/>
  <c r="Q2233" i="2"/>
  <c r="Q2225" i="2"/>
  <c r="K2362" i="2"/>
  <c r="O2324" i="2"/>
  <c r="D2306" i="2"/>
  <c r="H2293" i="2"/>
  <c r="R2281" i="2"/>
  <c r="E2339" i="2"/>
  <c r="O2299" i="2"/>
  <c r="R2286" i="2"/>
  <c r="A2277" i="2"/>
  <c r="H2258" i="2"/>
  <c r="H2250" i="2"/>
  <c r="H2242" i="2"/>
  <c r="M2353" i="2"/>
  <c r="C2320" i="2"/>
  <c r="Q2303" i="2"/>
  <c r="A2291" i="2"/>
  <c r="D2280" i="2"/>
  <c r="C2345" i="2"/>
  <c r="E2316" i="2"/>
  <c r="O2301" i="2"/>
  <c r="R2288" i="2"/>
  <c r="J2278" i="2"/>
  <c r="R2268" i="2"/>
  <c r="M2259" i="2"/>
  <c r="M2251" i="2"/>
  <c r="M2243" i="2"/>
  <c r="M2235" i="2"/>
  <c r="M2378" i="2"/>
  <c r="M2330" i="2"/>
  <c r="A2309" i="2"/>
  <c r="E2296" i="2"/>
  <c r="Q2496" i="2"/>
  <c r="F2450" i="2"/>
  <c r="N2390" i="2"/>
  <c r="K2422" i="2"/>
  <c r="H2414" i="2"/>
  <c r="H2330" i="2"/>
  <c r="J2396" i="2"/>
  <c r="E2340" i="2"/>
  <c r="S2408" i="2"/>
  <c r="J2365" i="2"/>
  <c r="K2424" i="2"/>
  <c r="A2376" i="2"/>
  <c r="A2344" i="2"/>
  <c r="E2413" i="2"/>
  <c r="T2377" i="2"/>
  <c r="T2345" i="2"/>
  <c r="F2349" i="2"/>
  <c r="T2358" i="2"/>
  <c r="N2318" i="2"/>
  <c r="G2291" i="2"/>
  <c r="M2366" i="2"/>
  <c r="Q2344" i="2"/>
  <c r="K2320" i="2"/>
  <c r="M2362" i="2"/>
  <c r="E2329" i="2"/>
  <c r="T2304" i="2"/>
  <c r="C2386" i="2"/>
  <c r="F2377" i="2"/>
  <c r="K2315" i="2"/>
  <c r="K2358" i="2"/>
  <c r="S2328" i="2"/>
  <c r="Q2288" i="2"/>
  <c r="F2272" i="2"/>
  <c r="P2395" i="2"/>
  <c r="M2351" i="2"/>
  <c r="R2327" i="2"/>
  <c r="C2379" i="2"/>
  <c r="K2340" i="2"/>
  <c r="F2323" i="2"/>
  <c r="R2311" i="2"/>
  <c r="F2302" i="2"/>
  <c r="O2292" i="2"/>
  <c r="Q2394" i="2"/>
  <c r="G2370" i="2"/>
  <c r="M2347" i="2"/>
  <c r="F2321" i="2"/>
  <c r="R2310" i="2"/>
  <c r="P2350" i="2"/>
  <c r="E2334" i="2"/>
  <c r="S2322" i="2"/>
  <c r="Q2302" i="2"/>
  <c r="E2293" i="2"/>
  <c r="S2283" i="2"/>
  <c r="S2275" i="2"/>
  <c r="S2267" i="2"/>
  <c r="K2332" i="2"/>
  <c r="S2309" i="2"/>
  <c r="A2297" i="2"/>
  <c r="N2284" i="2"/>
  <c r="E2351" i="2"/>
  <c r="A2319" i="2"/>
  <c r="H2303" i="2"/>
  <c r="K2290" i="2"/>
  <c r="P2279" i="2"/>
  <c r="D2343" i="2"/>
  <c r="J2315" i="2"/>
  <c r="C2301" i="2"/>
  <c r="F2288" i="2"/>
  <c r="P2368" i="2"/>
  <c r="E2327" i="2"/>
  <c r="M2294" i="2"/>
  <c r="Q2282" i="2"/>
  <c r="E2273" i="2"/>
  <c r="N2263" i="2"/>
  <c r="E2255" i="2"/>
  <c r="E2247" i="2"/>
  <c r="E2239" i="2"/>
  <c r="E2231" i="2"/>
  <c r="E2223" i="2"/>
  <c r="H2388" i="2"/>
  <c r="A2334" i="2"/>
  <c r="S2310" i="2"/>
  <c r="P2297" i="2"/>
  <c r="D2285" i="2"/>
  <c r="K2275" i="2"/>
  <c r="T2265" i="2"/>
  <c r="D2257" i="2"/>
  <c r="D2249" i="2"/>
  <c r="D2241" i="2"/>
  <c r="D2233" i="2"/>
  <c r="D2225" i="2"/>
  <c r="D2358" i="2"/>
  <c r="M2322" i="2"/>
  <c r="C2305" i="2"/>
  <c r="F2292" i="2"/>
  <c r="P2397" i="2"/>
  <c r="F2336" i="2"/>
  <c r="C2312" i="2"/>
  <c r="M2298" i="2"/>
  <c r="R2285" i="2"/>
  <c r="E2276" i="2"/>
  <c r="N2266" i="2"/>
  <c r="O2257" i="2"/>
  <c r="O2249" i="2"/>
  <c r="O2241" i="2"/>
  <c r="Q2317" i="2"/>
  <c r="P2302" i="2"/>
  <c r="S2289" i="2"/>
  <c r="H2279" i="2"/>
  <c r="N2341" i="2"/>
  <c r="P2314" i="2"/>
  <c r="K2300" i="2"/>
  <c r="P2287" i="2"/>
  <c r="O2277" i="2"/>
  <c r="C2268" i="2"/>
  <c r="S2258" i="2"/>
  <c r="S2250" i="2"/>
  <c r="S2242" i="2"/>
  <c r="S2234" i="2"/>
  <c r="S2371" i="2"/>
  <c r="G2328" i="2"/>
  <c r="S2307" i="2"/>
  <c r="D2295" i="2"/>
  <c r="H2462" i="2"/>
  <c r="F2526" i="2"/>
  <c r="A2413" i="2"/>
  <c r="F2430" i="2"/>
  <c r="J2391" i="2"/>
  <c r="O2388" i="2"/>
  <c r="E2338" i="2"/>
  <c r="D2364" i="2"/>
  <c r="H2421" i="2"/>
  <c r="O2374" i="2"/>
  <c r="O2342" i="2"/>
  <c r="A2410" i="2"/>
  <c r="N2372" i="2"/>
  <c r="N2340" i="2"/>
  <c r="F2402" i="2"/>
  <c r="T2356" i="2"/>
  <c r="G2317" i="2"/>
  <c r="T2287" i="2"/>
  <c r="J2382" i="2"/>
  <c r="R2339" i="2"/>
  <c r="E2319" i="2"/>
  <c r="J2360" i="2"/>
  <c r="P2327" i="2"/>
  <c r="N2303" i="2"/>
  <c r="J2380" i="2"/>
  <c r="D2333" i="2"/>
  <c r="T2334" i="2"/>
  <c r="S2312" i="2"/>
  <c r="D2355" i="2"/>
  <c r="S2326" i="2"/>
  <c r="Q2304" i="2"/>
  <c r="E2287" i="2"/>
  <c r="S2270" i="2"/>
  <c r="M2391" i="2"/>
  <c r="P2349" i="2"/>
  <c r="A2326" i="2"/>
  <c r="T2370" i="2"/>
  <c r="G2339" i="2"/>
  <c r="H2322" i="2"/>
  <c r="C2311" i="2"/>
  <c r="J2301" i="2"/>
  <c r="R2291" i="2"/>
  <c r="R2425" i="2"/>
  <c r="P2345" i="2"/>
  <c r="H2320" i="2"/>
  <c r="C2310" i="2"/>
  <c r="M2372" i="2"/>
  <c r="D2349" i="2"/>
  <c r="G2333" i="2"/>
  <c r="C2322" i="2"/>
  <c r="M2311" i="2"/>
  <c r="A2302" i="2"/>
  <c r="F2283" i="2"/>
  <c r="F2275" i="2"/>
  <c r="F2267" i="2"/>
  <c r="C2377" i="2"/>
  <c r="C2330" i="2"/>
  <c r="P2308" i="2"/>
  <c r="S2295" i="2"/>
  <c r="Q2283" i="2"/>
  <c r="E2347" i="2"/>
  <c r="C2317" i="2"/>
  <c r="E2302" i="2"/>
  <c r="T2278" i="2"/>
  <c r="C2340" i="2"/>
  <c r="S2313" i="2"/>
  <c r="C2300" i="2"/>
  <c r="F2287" i="2"/>
  <c r="S2324" i="2"/>
  <c r="H2306" i="2"/>
  <c r="K2293" i="2"/>
  <c r="A2282" i="2"/>
  <c r="Q2262" i="2"/>
  <c r="K2254" i="2"/>
  <c r="K2246" i="2"/>
  <c r="K2238" i="2"/>
  <c r="K2230" i="2"/>
  <c r="K2222" i="2"/>
  <c r="K2331" i="2"/>
  <c r="K2309" i="2"/>
  <c r="M2296" i="2"/>
  <c r="H2284" i="2"/>
  <c r="P2274" i="2"/>
  <c r="D2265" i="2"/>
  <c r="J2256" i="2"/>
  <c r="J2248" i="2"/>
  <c r="J2240" i="2"/>
  <c r="J2232" i="2"/>
  <c r="J2224" i="2"/>
  <c r="D2354" i="2"/>
  <c r="C2304" i="2"/>
  <c r="F2291" i="2"/>
  <c r="C2387" i="2"/>
  <c r="J2333" i="2"/>
  <c r="O2310" i="2"/>
  <c r="K2297" i="2"/>
  <c r="A2285" i="2"/>
  <c r="Q2265" i="2"/>
  <c r="A2257" i="2"/>
  <c r="A2249" i="2"/>
  <c r="A2241" i="2"/>
  <c r="E2345" i="2"/>
  <c r="H2316" i="2"/>
  <c r="P2301" i="2"/>
  <c r="S2288" i="2"/>
  <c r="K2278" i="2"/>
  <c r="M2338" i="2"/>
  <c r="D2313" i="2"/>
  <c r="J2299" i="2"/>
  <c r="O2286" i="2"/>
  <c r="R2276" i="2"/>
  <c r="G2267" i="2"/>
  <c r="F2258" i="2"/>
  <c r="F2250" i="2"/>
  <c r="F2242" i="2"/>
  <c r="F2234" i="2"/>
  <c r="N2365" i="2"/>
  <c r="D2326" i="2"/>
  <c r="R2306" i="2"/>
  <c r="C2294" i="2"/>
  <c r="A2454" i="2"/>
  <c r="F2456" i="2"/>
  <c r="E2482" i="2"/>
  <c r="S2404" i="2"/>
  <c r="K2420" i="2"/>
  <c r="P2388" i="2"/>
  <c r="E2386" i="2"/>
  <c r="E2336" i="2"/>
  <c r="H2405" i="2"/>
  <c r="Q2362" i="2"/>
  <c r="F2418" i="2"/>
  <c r="H2373" i="2"/>
  <c r="H2341" i="2"/>
  <c r="G2371" i="2"/>
  <c r="O2430" i="2"/>
  <c r="A2397" i="2"/>
  <c r="T2348" i="2"/>
  <c r="T2311" i="2"/>
  <c r="N2286" i="2"/>
  <c r="G2364" i="2"/>
  <c r="F2379" i="2"/>
  <c r="C2338" i="2"/>
  <c r="E2317" i="2"/>
  <c r="J2357" i="2"/>
  <c r="N2325" i="2"/>
  <c r="N2301" i="2"/>
  <c r="G2372" i="2"/>
  <c r="E2330" i="2"/>
  <c r="Q2371" i="2"/>
  <c r="S2332" i="2"/>
  <c r="H2311" i="2"/>
  <c r="D2325" i="2"/>
  <c r="E2303" i="2"/>
  <c r="F2270" i="2"/>
  <c r="P2384" i="2"/>
  <c r="E2324" i="2"/>
  <c r="S2367" i="2"/>
  <c r="D2338" i="2"/>
  <c r="J2321" i="2"/>
  <c r="F2310" i="2"/>
  <c r="O2300" i="2"/>
  <c r="C2291" i="2"/>
  <c r="E2403" i="2"/>
  <c r="D2365" i="2"/>
  <c r="F2344" i="2"/>
  <c r="J2330" i="2"/>
  <c r="J2319" i="2"/>
  <c r="F2309" i="2"/>
  <c r="C2370" i="2"/>
  <c r="F2332" i="2"/>
  <c r="D2321" i="2"/>
  <c r="Q2310" i="2"/>
  <c r="E2301" i="2"/>
  <c r="M2291" i="2"/>
  <c r="M2282" i="2"/>
  <c r="M2274" i="2"/>
  <c r="M2266" i="2"/>
  <c r="N2327" i="2"/>
  <c r="O2307" i="2"/>
  <c r="R2294" i="2"/>
  <c r="A2283" i="2"/>
  <c r="M2343" i="2"/>
  <c r="M2315" i="2"/>
  <c r="D2301" i="2"/>
  <c r="H2288" i="2"/>
  <c r="Q2404" i="2"/>
  <c r="F2337" i="2"/>
  <c r="K2312" i="2"/>
  <c r="S2298" i="2"/>
  <c r="E2286" i="2"/>
  <c r="C2359" i="2"/>
  <c r="R2322" i="2"/>
  <c r="F2305" i="2"/>
  <c r="J2292" i="2"/>
  <c r="E2281" i="2"/>
  <c r="N2271" i="2"/>
  <c r="A2262" i="2"/>
  <c r="R2253" i="2"/>
  <c r="R2245" i="2"/>
  <c r="R2237" i="2"/>
  <c r="R2229" i="2"/>
  <c r="R2221" i="2"/>
  <c r="T2374" i="2"/>
  <c r="G2329" i="2"/>
  <c r="H2308" i="2"/>
  <c r="K2295" i="2"/>
  <c r="K2283" i="2"/>
  <c r="T2273" i="2"/>
  <c r="H2264" i="2"/>
  <c r="Q2255" i="2"/>
  <c r="Q2247" i="2"/>
  <c r="Q2239" i="2"/>
  <c r="Q2231" i="2"/>
  <c r="Q2223" i="2"/>
  <c r="D2350" i="2"/>
  <c r="F2318" i="2"/>
  <c r="S2302" i="2"/>
  <c r="D2290" i="2"/>
  <c r="G2380" i="2"/>
  <c r="F2331" i="2"/>
  <c r="H2309" i="2"/>
  <c r="J2296" i="2"/>
  <c r="E2284" i="2"/>
  <c r="N2274" i="2"/>
  <c r="A2265" i="2"/>
  <c r="H2256" i="2"/>
  <c r="H2248" i="2"/>
  <c r="H2240" i="2"/>
  <c r="P2341" i="2"/>
  <c r="Q2314" i="2"/>
  <c r="M2300" i="2"/>
  <c r="Q2287" i="2"/>
  <c r="A2395" i="2"/>
  <c r="P2335" i="2"/>
  <c r="Q2311" i="2"/>
  <c r="J2298" i="2"/>
  <c r="P2285" i="2"/>
  <c r="C2276" i="2"/>
  <c r="J2266" i="2"/>
  <c r="M2257" i="2"/>
  <c r="M2249" i="2"/>
  <c r="M2241" i="2"/>
  <c r="M2233" i="2"/>
  <c r="C2361" i="2"/>
  <c r="A2324" i="2"/>
  <c r="Q2305" i="2"/>
  <c r="A2293" i="2"/>
  <c r="G2501" i="2"/>
  <c r="E2466" i="2"/>
  <c r="M2449" i="2"/>
  <c r="S2450" i="2"/>
  <c r="E2383" i="2"/>
  <c r="A2411" i="2"/>
  <c r="F2374" i="2"/>
  <c r="R2376" i="2"/>
  <c r="H2395" i="2"/>
  <c r="O2440" i="2"/>
  <c r="D2406" i="2"/>
  <c r="A2368" i="2"/>
  <c r="A2336" i="2"/>
  <c r="C2401" i="2"/>
  <c r="T2369" i="2"/>
  <c r="Q2403" i="2"/>
  <c r="F2392" i="2"/>
  <c r="T2346" i="2"/>
  <c r="N2310" i="2"/>
  <c r="R2441" i="2"/>
  <c r="S2360" i="2"/>
  <c r="C2376" i="2"/>
  <c r="G2336" i="2"/>
  <c r="R2313" i="2"/>
  <c r="J2352" i="2"/>
  <c r="G2322" i="2"/>
  <c r="G2298" i="2"/>
  <c r="F2328" i="2"/>
  <c r="G2366" i="2"/>
  <c r="C2331" i="2"/>
  <c r="P2309" i="2"/>
  <c r="N2351" i="2"/>
  <c r="M2285" i="2"/>
  <c r="M2269" i="2"/>
  <c r="D2379" i="2"/>
  <c r="C2342" i="2"/>
  <c r="H2323" i="2"/>
  <c r="P2363" i="2"/>
  <c r="Q2335" i="2"/>
  <c r="M2320" i="2"/>
  <c r="J2309" i="2"/>
  <c r="R2299" i="2"/>
  <c r="F2290" i="2"/>
  <c r="K2398" i="2"/>
  <c r="F2363" i="2"/>
  <c r="S2342" i="2"/>
  <c r="J2329" i="2"/>
  <c r="M2318" i="2"/>
  <c r="M2419" i="2"/>
  <c r="D2367" i="2"/>
  <c r="N2345" i="2"/>
  <c r="G2331" i="2"/>
  <c r="F2320" i="2"/>
  <c r="A2310" i="2"/>
  <c r="Q2290" i="2"/>
  <c r="S2281" i="2"/>
  <c r="S2273" i="2"/>
  <c r="S2265" i="2"/>
  <c r="K2364" i="2"/>
  <c r="K2325" i="2"/>
  <c r="M2306" i="2"/>
  <c r="Q2293" i="2"/>
  <c r="E2282" i="2"/>
  <c r="G2340" i="2"/>
  <c r="A2314" i="2"/>
  <c r="D2300" i="2"/>
  <c r="H2287" i="2"/>
  <c r="D2311" i="2"/>
  <c r="R2297" i="2"/>
  <c r="G2285" i="2"/>
  <c r="M2354" i="2"/>
  <c r="Q2320" i="2"/>
  <c r="E2304" i="2"/>
  <c r="Q2270" i="2"/>
  <c r="F2261" i="2"/>
  <c r="E2253" i="2"/>
  <c r="E2245" i="2"/>
  <c r="E2237" i="2"/>
  <c r="E2229" i="2"/>
  <c r="E2221" i="2"/>
  <c r="Q2367" i="2"/>
  <c r="C2327" i="2"/>
  <c r="H2307" i="2"/>
  <c r="K2294" i="2"/>
  <c r="P2282" i="2"/>
  <c r="D2273" i="2"/>
  <c r="K2263" i="2"/>
  <c r="D2255" i="2"/>
  <c r="D2247" i="2"/>
  <c r="D2239" i="2"/>
  <c r="D2231" i="2"/>
  <c r="D2223" i="2"/>
  <c r="C2346" i="2"/>
  <c r="M2316" i="2"/>
  <c r="R2301" i="2"/>
  <c r="C2289" i="2"/>
  <c r="T2328" i="2"/>
  <c r="E2308" i="2"/>
  <c r="Q2273" i="2"/>
  <c r="E2264" i="2"/>
  <c r="O2255" i="2"/>
  <c r="G2469" i="2"/>
  <c r="Q2442" i="2"/>
  <c r="M2446" i="2"/>
  <c r="E2379" i="2"/>
  <c r="H2386" i="2"/>
  <c r="F2372" i="2"/>
  <c r="K2375" i="2"/>
  <c r="A2436" i="2"/>
  <c r="H2393" i="2"/>
  <c r="M2437" i="2"/>
  <c r="D2404" i="2"/>
  <c r="O2366" i="2"/>
  <c r="O2334" i="2"/>
  <c r="C2399" i="2"/>
  <c r="N2364" i="2"/>
  <c r="T2384" i="2"/>
  <c r="T2344" i="2"/>
  <c r="G2309" i="2"/>
  <c r="A2402" i="2"/>
  <c r="R2355" i="2"/>
  <c r="F2371" i="2"/>
  <c r="O2414" i="2"/>
  <c r="J2350" i="2"/>
  <c r="T2320" i="2"/>
  <c r="T2296" i="2"/>
  <c r="P2360" i="2"/>
  <c r="H2326" i="2"/>
  <c r="C2329" i="2"/>
  <c r="H2408" i="2"/>
  <c r="K2346" i="2"/>
  <c r="P2320" i="2"/>
  <c r="Q2300" i="2"/>
  <c r="F2284" i="2"/>
  <c r="F2268" i="2"/>
  <c r="M2376" i="2"/>
  <c r="M2340" i="2"/>
  <c r="C2360" i="2"/>
  <c r="N2332" i="2"/>
  <c r="Q2318" i="2"/>
  <c r="O2308" i="2"/>
  <c r="C2299" i="2"/>
  <c r="J2289" i="2"/>
  <c r="A2394" i="2"/>
  <c r="E2361" i="2"/>
  <c r="M2341" i="2"/>
  <c r="K2328" i="2"/>
  <c r="O2317" i="2"/>
  <c r="A2403" i="2"/>
  <c r="C2365" i="2"/>
  <c r="D2344" i="2"/>
  <c r="E2309" i="2"/>
  <c r="M2299" i="2"/>
  <c r="A2290" i="2"/>
  <c r="F2281" i="2"/>
  <c r="F2273" i="2"/>
  <c r="F2265" i="2"/>
  <c r="P2359" i="2"/>
  <c r="J2323" i="2"/>
  <c r="K2305" i="2"/>
  <c r="P2292" i="2"/>
  <c r="C2413" i="2"/>
  <c r="J2337" i="2"/>
  <c r="M2312" i="2"/>
  <c r="A2299" i="2"/>
  <c r="F2286" i="2"/>
  <c r="A2332" i="2"/>
  <c r="Q2309" i="2"/>
  <c r="R2296" i="2"/>
  <c r="J2284" i="2"/>
  <c r="M2350" i="2"/>
  <c r="O2318" i="2"/>
  <c r="D2303" i="2"/>
  <c r="H2290" i="2"/>
  <c r="N2279" i="2"/>
  <c r="A2270" i="2"/>
  <c r="K2260" i="2"/>
  <c r="K2252" i="2"/>
  <c r="K2244" i="2"/>
  <c r="K2236" i="2"/>
  <c r="K2228" i="2"/>
  <c r="K2220" i="2"/>
  <c r="S2362" i="2"/>
  <c r="R2324" i="2"/>
  <c r="E2306" i="2"/>
  <c r="T2281" i="2"/>
  <c r="H2272" i="2"/>
  <c r="P2262" i="2"/>
  <c r="J2254" i="2"/>
  <c r="J2246" i="2"/>
  <c r="J2238" i="2"/>
  <c r="J2230" i="2"/>
  <c r="J2222" i="2"/>
  <c r="C2315" i="2"/>
  <c r="R2300" i="2"/>
  <c r="C2288" i="2"/>
  <c r="C2367" i="2"/>
  <c r="O2326" i="2"/>
  <c r="D2307" i="2"/>
  <c r="H2294" i="2"/>
  <c r="N2282" i="2"/>
  <c r="A2273" i="2"/>
  <c r="A2255" i="2"/>
  <c r="A2247" i="2"/>
  <c r="E2397" i="2"/>
  <c r="C2336" i="2"/>
  <c r="S2311" i="2"/>
  <c r="K2298" i="2"/>
  <c r="Q2285" i="2"/>
  <c r="T2378" i="2"/>
  <c r="S2330" i="2"/>
  <c r="C2309" i="2"/>
  <c r="F2296" i="2"/>
  <c r="C2284" i="2"/>
  <c r="J2274" i="2"/>
  <c r="R2264" i="2"/>
  <c r="F2256" i="2"/>
  <c r="F2248" i="2"/>
  <c r="F2240" i="2"/>
  <c r="F2232" i="2"/>
  <c r="P2352" i="2"/>
  <c r="M2319" i="2"/>
  <c r="O2303" i="2"/>
  <c r="R2290" i="2"/>
  <c r="M2518" i="2"/>
  <c r="Q2438" i="2"/>
  <c r="M2442" i="2"/>
  <c r="E2375" i="2"/>
  <c r="H2382" i="2"/>
  <c r="A2422" i="2"/>
  <c r="M2367" i="2"/>
  <c r="E2372" i="2"/>
  <c r="O2432" i="2"/>
  <c r="D2402" i="2"/>
  <c r="H2365" i="2"/>
  <c r="R2457" i="2"/>
  <c r="C2397" i="2"/>
  <c r="G2363" i="2"/>
  <c r="P2381" i="2"/>
  <c r="S2377" i="2"/>
  <c r="G2337" i="2"/>
  <c r="T2303" i="2"/>
  <c r="R2389" i="2"/>
  <c r="R2353" i="2"/>
  <c r="F2364" i="2"/>
  <c r="Q2333" i="2"/>
  <c r="P2400" i="2"/>
  <c r="J2348" i="2"/>
  <c r="N2319" i="2"/>
  <c r="N2295" i="2"/>
  <c r="M2324" i="2"/>
  <c r="D2357" i="2"/>
  <c r="E2326" i="2"/>
  <c r="C2437" i="2"/>
  <c r="C2318" i="2"/>
  <c r="F2282" i="2"/>
  <c r="F2266" i="2"/>
  <c r="Q2373" i="2"/>
  <c r="O2320" i="2"/>
  <c r="F2358" i="2"/>
  <c r="N2331" i="2"/>
  <c r="S2317" i="2"/>
  <c r="R2307" i="2"/>
  <c r="F2298" i="2"/>
  <c r="O2288" i="2"/>
  <c r="H2390" i="2"/>
  <c r="M2359" i="2"/>
  <c r="F2340" i="2"/>
  <c r="K2327" i="2"/>
  <c r="Q2316" i="2"/>
  <c r="A2398" i="2"/>
  <c r="T2362" i="2"/>
  <c r="P2342" i="2"/>
  <c r="H2329" i="2"/>
  <c r="J2318" i="2"/>
  <c r="Q2298" i="2"/>
  <c r="E2289" i="2"/>
  <c r="M2280" i="2"/>
  <c r="M2272" i="2"/>
  <c r="M2264" i="2"/>
  <c r="P2355" i="2"/>
  <c r="H2321" i="2"/>
  <c r="J2304" i="2"/>
  <c r="O2291" i="2"/>
  <c r="M2390" i="2"/>
  <c r="J2334" i="2"/>
  <c r="F2311" i="2"/>
  <c r="S2297" i="2"/>
  <c r="H2285" i="2"/>
  <c r="Q2375" i="2"/>
  <c r="N2329" i="2"/>
  <c r="K2308" i="2"/>
  <c r="P2295" i="2"/>
  <c r="O2283" i="2"/>
  <c r="M2346" i="2"/>
  <c r="R2316" i="2"/>
  <c r="C2302" i="2"/>
  <c r="F2289" i="2"/>
  <c r="Q2278" i="2"/>
  <c r="E2269" i="2"/>
  <c r="R2259" i="2"/>
  <c r="R2251" i="2"/>
  <c r="R2243" i="2"/>
  <c r="R2235" i="2"/>
  <c r="R2227" i="2"/>
  <c r="R2219" i="2"/>
  <c r="M2358" i="2"/>
  <c r="P2322" i="2"/>
  <c r="D2305" i="2"/>
  <c r="H2292" i="2"/>
  <c r="D2281" i="2"/>
  <c r="K2271" i="2"/>
  <c r="T2261" i="2"/>
  <c r="Q2253" i="2"/>
  <c r="Q2245" i="2"/>
  <c r="Q2237" i="2"/>
  <c r="Q2229" i="2"/>
  <c r="Q2221" i="2"/>
  <c r="F2339" i="2"/>
  <c r="K2313" i="2"/>
  <c r="P2299" i="2"/>
  <c r="S2286" i="2"/>
  <c r="G2362" i="2"/>
  <c r="J2324" i="2"/>
  <c r="C2306" i="2"/>
  <c r="F2293" i="2"/>
  <c r="Q2281" i="2"/>
  <c r="E2272" i="2"/>
  <c r="N2262" i="2"/>
  <c r="H2254" i="2"/>
  <c r="H2246" i="2"/>
  <c r="G2386" i="2"/>
  <c r="M2310" i="2"/>
  <c r="T2284" i="2"/>
  <c r="J2372" i="2"/>
  <c r="M2328" i="2"/>
  <c r="C2308" i="2"/>
  <c r="F2295" i="2"/>
  <c r="G2283" i="2"/>
  <c r="O2273" i="2"/>
  <c r="C2264" i="2"/>
  <c r="M2255" i="2"/>
  <c r="M2247" i="2"/>
  <c r="E2475" i="2"/>
  <c r="R2428" i="2"/>
  <c r="J2417" i="2"/>
  <c r="N2438" i="2"/>
  <c r="M2426" i="2"/>
  <c r="H2378" i="2"/>
  <c r="H2431" i="2"/>
  <c r="E2364" i="2"/>
  <c r="S2432" i="2"/>
  <c r="J2383" i="2"/>
  <c r="R2419" i="2"/>
  <c r="D2394" i="2"/>
  <c r="A2360" i="2"/>
  <c r="F2389" i="2"/>
  <c r="T2361" i="2"/>
  <c r="J2378" i="2"/>
  <c r="M2335" i="2"/>
  <c r="N2302" i="2"/>
  <c r="Q2385" i="2"/>
  <c r="R2351" i="2"/>
  <c r="R2361" i="2"/>
  <c r="D2330" i="2"/>
  <c r="M2393" i="2"/>
  <c r="J2345" i="2"/>
  <c r="N2317" i="2"/>
  <c r="N2293" i="2"/>
  <c r="C2354" i="2"/>
  <c r="S2321" i="2"/>
  <c r="A2396" i="2"/>
  <c r="D2342" i="2"/>
  <c r="F2316" i="2"/>
  <c r="Q2296" i="2"/>
  <c r="F2280" i="2"/>
  <c r="M2265" i="2"/>
  <c r="J2368" i="2"/>
  <c r="G2338" i="2"/>
  <c r="A2318" i="2"/>
  <c r="K2356" i="2"/>
  <c r="P2329" i="2"/>
  <c r="A2317" i="2"/>
  <c r="C2307" i="2"/>
  <c r="J2297" i="2"/>
  <c r="R2287" i="2"/>
  <c r="M2386" i="2"/>
  <c r="P2357" i="2"/>
  <c r="C2339" i="2"/>
  <c r="M2326" i="2"/>
  <c r="S2315" i="2"/>
  <c r="Q2393" i="2"/>
  <c r="D2361" i="2"/>
  <c r="M2317" i="2"/>
  <c r="M2307" i="2"/>
  <c r="A2298" i="2"/>
  <c r="S2279" i="2"/>
  <c r="S2271" i="2"/>
  <c r="S2263" i="2"/>
  <c r="P2351" i="2"/>
  <c r="D2319" i="2"/>
  <c r="M2290" i="2"/>
  <c r="C2383" i="2"/>
  <c r="E2332" i="2"/>
  <c r="R2309" i="2"/>
  <c r="S2296" i="2"/>
  <c r="K2284" i="2"/>
  <c r="F2369" i="2"/>
  <c r="J2307" i="2"/>
  <c r="O2294" i="2"/>
  <c r="R2282" i="2"/>
  <c r="C2343" i="2"/>
  <c r="H2315" i="2"/>
  <c r="A2301" i="2"/>
  <c r="E2288" i="2"/>
  <c r="A2278" i="2"/>
  <c r="E2259" i="2"/>
  <c r="E2251" i="2"/>
  <c r="E2243" i="2"/>
  <c r="E2235" i="2"/>
  <c r="E2227" i="2"/>
  <c r="E2219" i="2"/>
  <c r="K2354" i="2"/>
  <c r="J2320" i="2"/>
  <c r="D2304" i="2"/>
  <c r="H2291" i="2"/>
  <c r="H2280" i="2"/>
  <c r="P2270" i="2"/>
  <c r="E2261" i="2"/>
  <c r="D2253" i="2"/>
  <c r="D2245" i="2"/>
  <c r="D2237" i="2"/>
  <c r="D2229" i="2"/>
  <c r="Q2398" i="2"/>
  <c r="K2336" i="2"/>
  <c r="E2312" i="2"/>
  <c r="O2298" i="2"/>
  <c r="S2285" i="2"/>
  <c r="C2358" i="2"/>
  <c r="F2322" i="2"/>
  <c r="A2305" i="2"/>
  <c r="E2292" i="2"/>
  <c r="A2281" i="2"/>
  <c r="Q2261" i="2"/>
  <c r="O2253" i="2"/>
  <c r="O2245" i="2"/>
  <c r="Q2379" i="2"/>
  <c r="D2331" i="2"/>
  <c r="D2309" i="2"/>
  <c r="H2296" i="2"/>
  <c r="D2284" i="2"/>
  <c r="F2366" i="2"/>
  <c r="F2326" i="2"/>
  <c r="S2306" i="2"/>
  <c r="D2294" i="2"/>
  <c r="J2282" i="2"/>
  <c r="R2272" i="2"/>
  <c r="G2263" i="2"/>
  <c r="S2254" i="2"/>
  <c r="S2246" i="2"/>
  <c r="D2509" i="2"/>
  <c r="K2423" i="2"/>
  <c r="Q2410" i="2"/>
  <c r="C2434" i="2"/>
  <c r="N2434" i="2"/>
  <c r="M2422" i="2"/>
  <c r="H2362" i="2"/>
  <c r="K2426" i="2"/>
  <c r="E2362" i="2"/>
  <c r="A2428" i="2"/>
  <c r="J2381" i="2"/>
  <c r="O2416" i="2"/>
  <c r="D2392" i="2"/>
  <c r="O2358" i="2"/>
  <c r="O2435" i="2"/>
  <c r="N2356" i="2"/>
  <c r="R2365" i="2"/>
  <c r="P2374" i="2"/>
  <c r="S2333" i="2"/>
  <c r="G2301" i="2"/>
  <c r="M2382" i="2"/>
  <c r="S2348" i="2"/>
  <c r="Q2359" i="2"/>
  <c r="N2383" i="2"/>
  <c r="J2340" i="2"/>
  <c r="G2314" i="2"/>
  <c r="G2290" i="2"/>
  <c r="P2348" i="2"/>
  <c r="F2319" i="2"/>
  <c r="C2352" i="2"/>
  <c r="K2323" i="2"/>
  <c r="D2388" i="2"/>
  <c r="J2339" i="2"/>
  <c r="E2295" i="2"/>
  <c r="S2278" i="2"/>
  <c r="F2264" i="2"/>
  <c r="Q2361" i="2"/>
  <c r="R2335" i="2"/>
  <c r="H2432" i="2"/>
  <c r="D2353" i="2"/>
  <c r="Q2327" i="2"/>
  <c r="D2316" i="2"/>
  <c r="F2306" i="2"/>
  <c r="O2296" i="2"/>
  <c r="C2287" i="2"/>
  <c r="Q2383" i="2"/>
  <c r="D2356" i="2"/>
  <c r="R2337" i="2"/>
  <c r="O2325" i="2"/>
  <c r="A2315" i="2"/>
  <c r="C2390" i="2"/>
  <c r="D2340" i="2"/>
  <c r="J2327" i="2"/>
  <c r="P2316" i="2"/>
  <c r="Q2306" i="2"/>
  <c r="E2297" i="2"/>
  <c r="M2287" i="2"/>
  <c r="F2279" i="2"/>
  <c r="F2271" i="2"/>
  <c r="F2263" i="2"/>
  <c r="N2347" i="2"/>
  <c r="F2317" i="2"/>
  <c r="H2302" i="2"/>
  <c r="K2289" i="2"/>
  <c r="S2375" i="2"/>
  <c r="T2329" i="2"/>
  <c r="M2308" i="2"/>
  <c r="Q2295" i="2"/>
  <c r="P2283" i="2"/>
  <c r="M2363" i="2"/>
  <c r="F2325" i="2"/>
  <c r="J2306" i="2"/>
  <c r="O2293" i="2"/>
  <c r="C2282" i="2"/>
  <c r="Q2339" i="2"/>
  <c r="Q2313" i="2"/>
  <c r="S2299" i="2"/>
  <c r="D2287" i="2"/>
  <c r="E2277" i="2"/>
  <c r="N2267" i="2"/>
  <c r="K2258" i="2"/>
  <c r="K2250" i="2"/>
  <c r="K2242" i="2"/>
  <c r="K2234" i="2"/>
  <c r="K2226" i="2"/>
  <c r="K2218" i="2"/>
  <c r="A2303" i="2"/>
  <c r="E2290" i="2"/>
  <c r="N2430" i="2"/>
  <c r="H2354" i="2"/>
  <c r="H2357" i="2"/>
  <c r="N2380" i="2"/>
  <c r="C2328" i="2"/>
  <c r="A2399" i="2"/>
  <c r="D2345" i="2"/>
  <c r="C2348" i="2"/>
  <c r="C2295" i="2"/>
  <c r="N2336" i="2"/>
  <c r="P2383" i="2"/>
  <c r="E2305" i="2"/>
  <c r="S2277" i="2"/>
  <c r="N2337" i="2"/>
  <c r="M2292" i="2"/>
  <c r="C2323" i="2"/>
  <c r="D2286" i="2"/>
  <c r="K2232" i="2"/>
  <c r="P2278" i="2"/>
  <c r="Q2251" i="2"/>
  <c r="Q2227" i="2"/>
  <c r="O2282" i="2"/>
  <c r="R2302" i="2"/>
  <c r="Q2277" i="2"/>
  <c r="A2259" i="2"/>
  <c r="A2307" i="2"/>
  <c r="P2281" i="2"/>
  <c r="J2310" i="2"/>
  <c r="R2280" i="2"/>
  <c r="F2260" i="2"/>
  <c r="M2239" i="2"/>
  <c r="F2385" i="2"/>
  <c r="C2313" i="2"/>
  <c r="P2288" i="2"/>
  <c r="E2365" i="2"/>
  <c r="Q2325" i="2"/>
  <c r="P2306" i="2"/>
  <c r="S2293" i="2"/>
  <c r="H2282" i="2"/>
  <c r="P2272" i="2"/>
  <c r="D2263" i="2"/>
  <c r="Q2254" i="2"/>
  <c r="Q2246" i="2"/>
  <c r="Q2238" i="2"/>
  <c r="Q2230" i="2"/>
  <c r="D2298" i="2"/>
  <c r="E2266" i="2"/>
  <c r="N2251" i="2"/>
  <c r="C2238" i="2"/>
  <c r="D2217" i="2"/>
  <c r="C2209" i="2"/>
  <c r="C2201" i="2"/>
  <c r="C2193" i="2"/>
  <c r="C2185" i="2"/>
  <c r="C2177" i="2"/>
  <c r="P2275" i="2"/>
  <c r="K2259" i="2"/>
  <c r="S2245" i="2"/>
  <c r="A2233" i="2"/>
  <c r="F2222" i="2"/>
  <c r="G2278" i="2"/>
  <c r="R2261" i="2"/>
  <c r="A2248" i="2"/>
  <c r="T2234" i="2"/>
  <c r="P2223" i="2"/>
  <c r="A2328" i="2"/>
  <c r="N2268" i="2"/>
  <c r="N2253" i="2"/>
  <c r="T2239" i="2"/>
  <c r="A2228" i="2"/>
  <c r="N2272" i="2"/>
  <c r="T2256" i="2"/>
  <c r="G2243" i="2"/>
  <c r="P2230" i="2"/>
  <c r="M2220" i="2"/>
  <c r="E2212" i="2"/>
  <c r="E2204" i="2"/>
  <c r="E2196" i="2"/>
  <c r="E2188" i="2"/>
  <c r="E2180" i="2"/>
  <c r="E2172" i="2"/>
  <c r="E2164" i="2"/>
  <c r="E2156" i="2"/>
  <c r="E2148" i="2"/>
  <c r="E2140" i="2"/>
  <c r="E2132" i="2"/>
  <c r="E2124" i="2"/>
  <c r="N2276" i="2"/>
  <c r="G2260" i="2"/>
  <c r="N2246" i="2"/>
  <c r="O2233" i="2"/>
  <c r="Q2222" i="2"/>
  <c r="D2214" i="2"/>
  <c r="D2206" i="2"/>
  <c r="D2198" i="2"/>
  <c r="D2190" i="2"/>
  <c r="D2182" i="2"/>
  <c r="F2356" i="2"/>
  <c r="N2269" i="2"/>
  <c r="M2254" i="2"/>
  <c r="P2240" i="2"/>
  <c r="O2228" i="2"/>
  <c r="T2218" i="2"/>
  <c r="P2210" i="2"/>
  <c r="P2202" i="2"/>
  <c r="P2194" i="2"/>
  <c r="P2186" i="2"/>
  <c r="P2178" i="2"/>
  <c r="P2170" i="2"/>
  <c r="P2162" i="2"/>
  <c r="H2319" i="2"/>
  <c r="D2268" i="2"/>
  <c r="G2253" i="2"/>
  <c r="K2239" i="2"/>
  <c r="O2227" i="2"/>
  <c r="P2347" i="2"/>
  <c r="G2254" i="2"/>
  <c r="N2240" i="2"/>
  <c r="M2228" i="2"/>
  <c r="R2218" i="2"/>
  <c r="N2257" i="2"/>
  <c r="T2243" i="2"/>
  <c r="H2231" i="2"/>
  <c r="T2220" i="2"/>
  <c r="Q2280" i="2"/>
  <c r="P2263" i="2"/>
  <c r="K2249" i="2"/>
  <c r="P2492" i="2"/>
  <c r="N2414" i="2"/>
  <c r="H2338" i="2"/>
  <c r="A2352" i="2"/>
  <c r="G2355" i="2"/>
  <c r="N2326" i="2"/>
  <c r="N2338" i="2"/>
  <c r="R2343" i="2"/>
  <c r="G2342" i="2"/>
  <c r="M2293" i="2"/>
  <c r="M2356" i="2"/>
  <c r="F2346" i="2"/>
  <c r="F2294" i="2"/>
  <c r="J2335" i="2"/>
  <c r="P2380" i="2"/>
  <c r="F2277" i="2"/>
  <c r="O2315" i="2"/>
  <c r="N2369" i="2"/>
  <c r="S2320" i="2"/>
  <c r="Q2336" i="2"/>
  <c r="E2285" i="2"/>
  <c r="R2257" i="2"/>
  <c r="R2225" i="2"/>
  <c r="O2316" i="2"/>
  <c r="T2277" i="2"/>
  <c r="D2251" i="2"/>
  <c r="D2227" i="2"/>
  <c r="P2310" i="2"/>
  <c r="Q2301" i="2"/>
  <c r="A2253" i="2"/>
  <c r="N2361" i="2"/>
  <c r="S2305" i="2"/>
  <c r="T2280" i="2"/>
  <c r="R2305" i="2"/>
  <c r="C2280" i="2"/>
  <c r="S2256" i="2"/>
  <c r="S2238" i="2"/>
  <c r="C2357" i="2"/>
  <c r="P2311" i="2"/>
  <c r="O2287" i="2"/>
  <c r="M2360" i="2"/>
  <c r="P2323" i="2"/>
  <c r="P2305" i="2"/>
  <c r="S2292" i="2"/>
  <c r="K2281" i="2"/>
  <c r="T2271" i="2"/>
  <c r="H2262" i="2"/>
  <c r="D2254" i="2"/>
  <c r="D2246" i="2"/>
  <c r="D2238" i="2"/>
  <c r="D2230" i="2"/>
  <c r="J2285" i="2"/>
  <c r="Q2264" i="2"/>
  <c r="M2250" i="2"/>
  <c r="C2237" i="2"/>
  <c r="M2225" i="2"/>
  <c r="G2274" i="2"/>
  <c r="O2244" i="2"/>
  <c r="A2232" i="2"/>
  <c r="J2221" i="2"/>
  <c r="T2276" i="2"/>
  <c r="N2260" i="2"/>
  <c r="R2246" i="2"/>
  <c r="T2233" i="2"/>
  <c r="T2222" i="2"/>
  <c r="P2307" i="2"/>
  <c r="E2267" i="2"/>
  <c r="M2252" i="2"/>
  <c r="R2238" i="2"/>
  <c r="C2227" i="2"/>
  <c r="O2217" i="2"/>
  <c r="E2271" i="2"/>
  <c r="S2255" i="2"/>
  <c r="C2242" i="2"/>
  <c r="P2229" i="2"/>
  <c r="Q2219" i="2"/>
  <c r="K2211" i="2"/>
  <c r="K2203" i="2"/>
  <c r="K2195" i="2"/>
  <c r="K2187" i="2"/>
  <c r="K2179" i="2"/>
  <c r="K2171" i="2"/>
  <c r="K2163" i="2"/>
  <c r="K2155" i="2"/>
  <c r="K2147" i="2"/>
  <c r="K2139" i="2"/>
  <c r="K2131" i="2"/>
  <c r="K2123" i="2"/>
  <c r="E2275" i="2"/>
  <c r="F2259" i="2"/>
  <c r="O2232" i="2"/>
  <c r="A2222" i="2"/>
  <c r="J2213" i="2"/>
  <c r="J2205" i="2"/>
  <c r="J2197" i="2"/>
  <c r="J2189" i="2"/>
  <c r="J2181" i="2"/>
  <c r="G2268" i="2"/>
  <c r="H2253" i="2"/>
  <c r="N2239" i="2"/>
  <c r="P2227" i="2"/>
  <c r="F2218" i="2"/>
  <c r="C2210" i="2"/>
  <c r="C2202" i="2"/>
  <c r="C2194" i="2"/>
  <c r="C2186" i="2"/>
  <c r="C2178" i="2"/>
  <c r="C2170" i="2"/>
  <c r="C2162" i="2"/>
  <c r="J2303" i="2"/>
  <c r="R2266" i="2"/>
  <c r="C2252" i="2"/>
  <c r="M2238" i="2"/>
  <c r="R2226" i="2"/>
  <c r="A2268" i="2"/>
  <c r="F2253" i="2"/>
  <c r="N2227" i="2"/>
  <c r="D2218" i="2"/>
  <c r="A2272" i="2"/>
  <c r="M2256" i="2"/>
  <c r="P2242" i="2"/>
  <c r="H2230" i="2"/>
  <c r="F2220" i="2"/>
  <c r="A2279" i="2"/>
  <c r="G2262" i="2"/>
  <c r="G2235" i="2"/>
  <c r="C2224" i="2"/>
  <c r="E2215" i="2"/>
  <c r="E2207" i="2"/>
  <c r="K2415" i="2"/>
  <c r="N2410" i="2"/>
  <c r="O2350" i="2"/>
  <c r="T2353" i="2"/>
  <c r="G2325" i="2"/>
  <c r="Q2356" i="2"/>
  <c r="S2336" i="2"/>
  <c r="E2341" i="2"/>
  <c r="D2337" i="2"/>
  <c r="E2291" i="2"/>
  <c r="Q2326" i="2"/>
  <c r="C2429" i="2"/>
  <c r="G2334" i="2"/>
  <c r="J2326" i="2"/>
  <c r="M2270" i="2"/>
  <c r="E2314" i="2"/>
  <c r="C2364" i="2"/>
  <c r="T2282" i="2"/>
  <c r="P2318" i="2"/>
  <c r="D2334" i="2"/>
  <c r="E2257" i="2"/>
  <c r="E2225" i="2"/>
  <c r="D2315" i="2"/>
  <c r="D2277" i="2"/>
  <c r="J2250" i="2"/>
  <c r="J2226" i="2"/>
  <c r="P2353" i="2"/>
  <c r="P2300" i="2"/>
  <c r="H2252" i="2"/>
  <c r="M2357" i="2"/>
  <c r="S2304" i="2"/>
  <c r="N2385" i="2"/>
  <c r="R2304" i="2"/>
  <c r="G2279" i="2"/>
  <c r="F2254" i="2"/>
  <c r="F2238" i="2"/>
  <c r="M2348" i="2"/>
  <c r="H2310" i="2"/>
  <c r="M2286" i="2"/>
  <c r="O2321" i="2"/>
  <c r="M2304" i="2"/>
  <c r="Q2291" i="2"/>
  <c r="P2280" i="2"/>
  <c r="D2271" i="2"/>
  <c r="K2261" i="2"/>
  <c r="J2253" i="2"/>
  <c r="J2245" i="2"/>
  <c r="J2237" i="2"/>
  <c r="J2229" i="2"/>
  <c r="N2280" i="2"/>
  <c r="J2263" i="2"/>
  <c r="H2249" i="2"/>
  <c r="C2236" i="2"/>
  <c r="P2224" i="2"/>
  <c r="P2215" i="2"/>
  <c r="P2207" i="2"/>
  <c r="P2199" i="2"/>
  <c r="P2191" i="2"/>
  <c r="P2183" i="2"/>
  <c r="P2175" i="2"/>
  <c r="T2272" i="2"/>
  <c r="G2257" i="2"/>
  <c r="K2243" i="2"/>
  <c r="A2231" i="2"/>
  <c r="P2220" i="2"/>
  <c r="O2275" i="2"/>
  <c r="P2245" i="2"/>
  <c r="T2232" i="2"/>
  <c r="E2222" i="2"/>
  <c r="S2294" i="2"/>
  <c r="R2265" i="2"/>
  <c r="H2251" i="2"/>
  <c r="S2237" i="2"/>
  <c r="F2226" i="2"/>
  <c r="S2364" i="2"/>
  <c r="R2269" i="2"/>
  <c r="O2254" i="2"/>
  <c r="T2240" i="2"/>
  <c r="R2228" i="2"/>
  <c r="C2219" i="2"/>
  <c r="R2210" i="2"/>
  <c r="R2202" i="2"/>
  <c r="R2194" i="2"/>
  <c r="R2186" i="2"/>
  <c r="R2178" i="2"/>
  <c r="R2170" i="2"/>
  <c r="R2162" i="2"/>
  <c r="R2154" i="2"/>
  <c r="R2146" i="2"/>
  <c r="R2138" i="2"/>
  <c r="R2130" i="2"/>
  <c r="R2122" i="2"/>
  <c r="R2273" i="2"/>
  <c r="A2258" i="2"/>
  <c r="G2244" i="2"/>
  <c r="O2231" i="2"/>
  <c r="F2221" i="2"/>
  <c r="Q2212" i="2"/>
  <c r="Q2204" i="2"/>
  <c r="Q2196" i="2"/>
  <c r="Q2188" i="2"/>
  <c r="Q2180" i="2"/>
  <c r="K2304" i="2"/>
  <c r="T2266" i="2"/>
  <c r="E2252" i="2"/>
  <c r="N2238" i="2"/>
  <c r="S2226" i="2"/>
  <c r="K2217" i="2"/>
  <c r="O2290" i="2"/>
  <c r="T2250" i="2"/>
  <c r="K2237" i="2"/>
  <c r="T2225" i="2"/>
  <c r="J2302" i="2"/>
  <c r="O2266" i="2"/>
  <c r="A2252" i="2"/>
  <c r="P2226" i="2"/>
  <c r="O2270" i="2"/>
  <c r="H2255" i="2"/>
  <c r="N2241" i="2"/>
  <c r="H2229" i="2"/>
  <c r="K2219" i="2"/>
  <c r="E2390" i="2"/>
  <c r="M2418" i="2"/>
  <c r="D2380" i="2"/>
  <c r="N2348" i="2"/>
  <c r="G2299" i="2"/>
  <c r="Q2351" i="2"/>
  <c r="F2334" i="2"/>
  <c r="Q2334" i="2"/>
  <c r="S2325" i="2"/>
  <c r="M2427" i="2"/>
  <c r="M2325" i="2"/>
  <c r="S2269" i="2"/>
  <c r="P2312" i="2"/>
  <c r="N2359" i="2"/>
  <c r="D2282" i="2"/>
  <c r="H2305" i="2"/>
  <c r="S2331" i="2"/>
  <c r="K2256" i="2"/>
  <c r="K2224" i="2"/>
  <c r="O2313" i="2"/>
  <c r="T2269" i="2"/>
  <c r="J2244" i="2"/>
  <c r="E2387" i="2"/>
  <c r="F2308" i="2"/>
  <c r="M2349" i="2"/>
  <c r="N2270" i="2"/>
  <c r="O2251" i="2"/>
  <c r="K2299" i="2"/>
  <c r="P2303" i="2"/>
  <c r="G2275" i="2"/>
  <c r="M2253" i="2"/>
  <c r="M2237" i="2"/>
  <c r="P2304" i="2"/>
  <c r="O2285" i="2"/>
  <c r="K2319" i="2"/>
  <c r="K2303" i="2"/>
  <c r="P2290" i="2"/>
  <c r="T2279" i="2"/>
  <c r="H2270" i="2"/>
  <c r="Q2260" i="2"/>
  <c r="Q2252" i="2"/>
  <c r="Q2244" i="2"/>
  <c r="Q2236" i="2"/>
  <c r="Q2228" i="2"/>
  <c r="O2278" i="2"/>
  <c r="D2262" i="2"/>
  <c r="E2248" i="2"/>
  <c r="C2235" i="2"/>
  <c r="T2223" i="2"/>
  <c r="C2215" i="2"/>
  <c r="C2207" i="2"/>
  <c r="C2199" i="2"/>
  <c r="C2191" i="2"/>
  <c r="C2183" i="2"/>
  <c r="C2175" i="2"/>
  <c r="O2271" i="2"/>
  <c r="C2256" i="2"/>
  <c r="A2230" i="2"/>
  <c r="A2220" i="2"/>
  <c r="E2274" i="2"/>
  <c r="G2258" i="2"/>
  <c r="N2244" i="2"/>
  <c r="T2231" i="2"/>
  <c r="C2283" i="2"/>
  <c r="K2264" i="2"/>
  <c r="E2250" i="2"/>
  <c r="R2236" i="2"/>
  <c r="H2225" i="2"/>
  <c r="P2325" i="2"/>
  <c r="K2268" i="2"/>
  <c r="K2253" i="2"/>
  <c r="S2239" i="2"/>
  <c r="T2227" i="2"/>
  <c r="H2218" i="2"/>
  <c r="E2210" i="2"/>
  <c r="E2202" i="2"/>
  <c r="E2194" i="2"/>
  <c r="E2186" i="2"/>
  <c r="E2178" i="2"/>
  <c r="E2170" i="2"/>
  <c r="E2162" i="2"/>
  <c r="E2154" i="2"/>
  <c r="E2146" i="2"/>
  <c r="E2138" i="2"/>
  <c r="E2130" i="2"/>
  <c r="E2122" i="2"/>
  <c r="K2272" i="2"/>
  <c r="R2256" i="2"/>
  <c r="F2243" i="2"/>
  <c r="O2230" i="2"/>
  <c r="J2220" i="2"/>
  <c r="D2212" i="2"/>
  <c r="D2204" i="2"/>
  <c r="D2196" i="2"/>
  <c r="D2188" i="2"/>
  <c r="D2180" i="2"/>
  <c r="P2291" i="2"/>
  <c r="J2265" i="2"/>
  <c r="C2251" i="2"/>
  <c r="N2237" i="2"/>
  <c r="A2226" i="2"/>
  <c r="Q2216" i="2"/>
  <c r="P2208" i="2"/>
  <c r="P2200" i="2"/>
  <c r="P2192" i="2"/>
  <c r="P2184" i="2"/>
  <c r="P2176" i="2"/>
  <c r="P2168" i="2"/>
  <c r="P2160" i="2"/>
  <c r="A2264" i="2"/>
  <c r="S2249" i="2"/>
  <c r="M2236" i="2"/>
  <c r="A2225" i="2"/>
  <c r="O2289" i="2"/>
  <c r="H2265" i="2"/>
  <c r="R2250" i="2"/>
  <c r="S2225" i="2"/>
  <c r="C2344" i="2"/>
  <c r="H2269" i="2"/>
  <c r="E2254" i="2"/>
  <c r="M2240" i="2"/>
  <c r="Q2218" i="2"/>
  <c r="A2276" i="2"/>
  <c r="S2259" i="2"/>
  <c r="C2246" i="2"/>
  <c r="S2528" i="2"/>
  <c r="M2402" i="2"/>
  <c r="E2360" i="2"/>
  <c r="D2374" i="2"/>
  <c r="N2363" i="2"/>
  <c r="T2295" i="2"/>
  <c r="Q2349" i="2"/>
  <c r="T2312" i="2"/>
  <c r="E2447" i="2"/>
  <c r="P2321" i="2"/>
  <c r="P2334" i="2"/>
  <c r="A2325" i="2"/>
  <c r="A2404" i="2"/>
  <c r="N2357" i="2"/>
  <c r="P2324" i="2"/>
  <c r="M2295" i="2"/>
  <c r="F2269" i="2"/>
  <c r="M2327" i="2"/>
  <c r="H2281" i="2"/>
  <c r="F2304" i="2"/>
  <c r="H2312" i="2"/>
  <c r="R2249" i="2"/>
  <c r="R2217" i="2"/>
  <c r="S2301" i="2"/>
  <c r="D2269" i="2"/>
  <c r="Q2243" i="2"/>
  <c r="M2380" i="2"/>
  <c r="F2307" i="2"/>
  <c r="M2345" i="2"/>
  <c r="D2291" i="2"/>
  <c r="Q2269" i="2"/>
  <c r="A2251" i="2"/>
  <c r="Q2338" i="2"/>
  <c r="E2357" i="2"/>
  <c r="O2302" i="2"/>
  <c r="C2272" i="2"/>
  <c r="S2252" i="2"/>
  <c r="S2236" i="2"/>
  <c r="F2341" i="2"/>
  <c r="M2302" i="2"/>
  <c r="Q2284" i="2"/>
  <c r="J2317" i="2"/>
  <c r="K2302" i="2"/>
  <c r="P2289" i="2"/>
  <c r="D2279" i="2"/>
  <c r="K2269" i="2"/>
  <c r="D2260" i="2"/>
  <c r="D2252" i="2"/>
  <c r="D2244" i="2"/>
  <c r="D2236" i="2"/>
  <c r="D2228" i="2"/>
  <c r="G2277" i="2"/>
  <c r="P2260" i="2"/>
  <c r="C2247" i="2"/>
  <c r="C2234" i="2"/>
  <c r="C2223" i="2"/>
  <c r="S2383" i="2"/>
  <c r="E2270" i="2"/>
  <c r="T2254" i="2"/>
  <c r="G2241" i="2"/>
  <c r="A2229" i="2"/>
  <c r="G2219" i="2"/>
  <c r="Q2272" i="2"/>
  <c r="F2257" i="2"/>
  <c r="T2230" i="2"/>
  <c r="O2220" i="2"/>
  <c r="A2280" i="2"/>
  <c r="C2263" i="2"/>
  <c r="C2249" i="2"/>
  <c r="S2235" i="2"/>
  <c r="M2224" i="2"/>
  <c r="O2306" i="2"/>
  <c r="C2267" i="2"/>
  <c r="P2238" i="2"/>
  <c r="A2227" i="2"/>
  <c r="N2217" i="2"/>
  <c r="K2209" i="2"/>
  <c r="K2201" i="2"/>
  <c r="K2193" i="2"/>
  <c r="K2185" i="2"/>
  <c r="K2177" i="2"/>
  <c r="K2169" i="2"/>
  <c r="K2161" i="2"/>
  <c r="K2153" i="2"/>
  <c r="K2145" i="2"/>
  <c r="K2137" i="2"/>
  <c r="K2129" i="2"/>
  <c r="K2121" i="2"/>
  <c r="C2271" i="2"/>
  <c r="P2255" i="2"/>
  <c r="A2242" i="2"/>
  <c r="O2229" i="2"/>
  <c r="P2219" i="2"/>
  <c r="J2211" i="2"/>
  <c r="J2203" i="2"/>
  <c r="J2195" i="2"/>
  <c r="J2187" i="2"/>
  <c r="J2179" i="2"/>
  <c r="J2281" i="2"/>
  <c r="D2264" i="2"/>
  <c r="T2249" i="2"/>
  <c r="N2236" i="2"/>
  <c r="C2225" i="2"/>
  <c r="C2216" i="2"/>
  <c r="C2208" i="2"/>
  <c r="C2200" i="2"/>
  <c r="C2192" i="2"/>
  <c r="C2184" i="2"/>
  <c r="C2176" i="2"/>
  <c r="C2168" i="2"/>
  <c r="C2160" i="2"/>
  <c r="E2350" i="2"/>
  <c r="R2411" i="2"/>
  <c r="F2353" i="2"/>
  <c r="N2309" i="2"/>
  <c r="K2396" i="2"/>
  <c r="E2318" i="2"/>
  <c r="J2314" i="2"/>
  <c r="F2276" i="2"/>
  <c r="Q2331" i="2"/>
  <c r="H2314" i="2"/>
  <c r="S2323" i="2"/>
  <c r="F2354" i="2"/>
  <c r="Q2315" i="2"/>
  <c r="S2261" i="2"/>
  <c r="F2301" i="2"/>
  <c r="D2323" i="2"/>
  <c r="K2292" i="2"/>
  <c r="O2309" i="2"/>
  <c r="Q2274" i="2"/>
  <c r="K2248" i="2"/>
  <c r="K2216" i="2"/>
  <c r="Q2299" i="2"/>
  <c r="K2267" i="2"/>
  <c r="J2242" i="2"/>
  <c r="P2367" i="2"/>
  <c r="K2296" i="2"/>
  <c r="E2320" i="2"/>
  <c r="A2289" i="2"/>
  <c r="E2268" i="2"/>
  <c r="A2245" i="2"/>
  <c r="N2328" i="2"/>
  <c r="E2294" i="2"/>
  <c r="C2349" i="2"/>
  <c r="C2293" i="2"/>
  <c r="J2270" i="2"/>
  <c r="S2248" i="2"/>
  <c r="S2232" i="2"/>
  <c r="N2335" i="2"/>
  <c r="J2300" i="2"/>
  <c r="E2283" i="2"/>
  <c r="D2341" i="2"/>
  <c r="H2300" i="2"/>
  <c r="K2287" i="2"/>
  <c r="K2277" i="2"/>
  <c r="T2267" i="2"/>
  <c r="Q2258" i="2"/>
  <c r="Q2250" i="2"/>
  <c r="Q2242" i="2"/>
  <c r="Q2234" i="2"/>
  <c r="Q2226" i="2"/>
  <c r="M2258" i="2"/>
  <c r="P2244" i="2"/>
  <c r="C2232" i="2"/>
  <c r="K2221" i="2"/>
  <c r="C2213" i="2"/>
  <c r="C2205" i="2"/>
  <c r="C2197" i="2"/>
  <c r="C2189" i="2"/>
  <c r="C2181" i="2"/>
  <c r="D2310" i="2"/>
  <c r="J2267" i="2"/>
  <c r="O2252" i="2"/>
  <c r="A2239" i="2"/>
  <c r="G2227" i="2"/>
  <c r="D2270" i="2"/>
  <c r="R2254" i="2"/>
  <c r="F2241" i="2"/>
  <c r="T2228" i="2"/>
  <c r="F2219" i="2"/>
  <c r="Q2276" i="2"/>
  <c r="M2260" i="2"/>
  <c r="P2246" i="2"/>
  <c r="S2233" i="2"/>
  <c r="S2222" i="2"/>
  <c r="G2282" i="2"/>
  <c r="J2264" i="2"/>
  <c r="C2250" i="2"/>
  <c r="P2236" i="2"/>
  <c r="G2225" i="2"/>
  <c r="E2216" i="2"/>
  <c r="E2208" i="2"/>
  <c r="E2200" i="2"/>
  <c r="E2192" i="2"/>
  <c r="E2184" i="2"/>
  <c r="E2176" i="2"/>
  <c r="E2168" i="2"/>
  <c r="E2160" i="2"/>
  <c r="E2152" i="2"/>
  <c r="E2144" i="2"/>
  <c r="E2136" i="2"/>
  <c r="E2128" i="2"/>
  <c r="M2323" i="2"/>
  <c r="J2268" i="2"/>
  <c r="P2239" i="2"/>
  <c r="S2227" i="2"/>
  <c r="G2218" i="2"/>
  <c r="D2210" i="2"/>
  <c r="D2202" i="2"/>
  <c r="D2194" i="2"/>
  <c r="D2186" i="2"/>
  <c r="D2178" i="2"/>
  <c r="R2277" i="2"/>
  <c r="N2247" i="2"/>
  <c r="N2234" i="2"/>
  <c r="K2223" i="2"/>
  <c r="P2214" i="2"/>
  <c r="P2206" i="2"/>
  <c r="P2198" i="2"/>
  <c r="P2190" i="2"/>
  <c r="P2182" i="2"/>
  <c r="P2174" i="2"/>
  <c r="P2166" i="2"/>
  <c r="P2158" i="2"/>
  <c r="D2477" i="2"/>
  <c r="Q2437" i="2"/>
  <c r="P2443" i="2"/>
  <c r="Q2377" i="2"/>
  <c r="O2328" i="2"/>
  <c r="T2288" i="2"/>
  <c r="Q2312" i="2"/>
  <c r="F2274" i="2"/>
  <c r="J2313" i="2"/>
  <c r="P2375" i="2"/>
  <c r="A2323" i="2"/>
  <c r="S2314" i="2"/>
  <c r="R2417" i="2"/>
  <c r="E2300" i="2"/>
  <c r="K2307" i="2"/>
  <c r="E2359" i="2"/>
  <c r="J2291" i="2"/>
  <c r="R2241" i="2"/>
  <c r="J2260" i="2"/>
  <c r="J2236" i="2"/>
  <c r="J2295" i="2"/>
  <c r="D2318" i="2"/>
  <c r="S2287" i="2"/>
  <c r="H2244" i="2"/>
  <c r="D2293" i="2"/>
  <c r="F2333" i="2"/>
  <c r="C2292" i="2"/>
  <c r="O2269" i="2"/>
  <c r="F2246" i="2"/>
  <c r="M2231" i="2"/>
  <c r="T2332" i="2"/>
  <c r="T2337" i="2"/>
  <c r="A2313" i="2"/>
  <c r="H2299" i="2"/>
  <c r="K2286" i="2"/>
  <c r="P2276" i="2"/>
  <c r="D2267" i="2"/>
  <c r="D2258" i="2"/>
  <c r="D2250" i="2"/>
  <c r="D2242" i="2"/>
  <c r="D2234" i="2"/>
  <c r="D2226" i="2"/>
  <c r="C2273" i="2"/>
  <c r="H2257" i="2"/>
  <c r="N2243" i="2"/>
  <c r="C2231" i="2"/>
  <c r="Q2220" i="2"/>
  <c r="C2297" i="2"/>
  <c r="D2266" i="2"/>
  <c r="K2251" i="2"/>
  <c r="A2238" i="2"/>
  <c r="H2226" i="2"/>
  <c r="G2330" i="2"/>
  <c r="O2268" i="2"/>
  <c r="P2253" i="2"/>
  <c r="A2240" i="2"/>
  <c r="C2228" i="2"/>
  <c r="J2218" i="2"/>
  <c r="J2275" i="2"/>
  <c r="H2259" i="2"/>
  <c r="N2245" i="2"/>
  <c r="R2232" i="2"/>
  <c r="D2222" i="2"/>
  <c r="R2279" i="2"/>
  <c r="A2263" i="2"/>
  <c r="T2248" i="2"/>
  <c r="P2235" i="2"/>
  <c r="K2215" i="2"/>
  <c r="K2207" i="2"/>
  <c r="K2199" i="2"/>
  <c r="K2191" i="2"/>
  <c r="K2183" i="2"/>
  <c r="K2175" i="2"/>
  <c r="K2167" i="2"/>
  <c r="K2159" i="2"/>
  <c r="K2151" i="2"/>
  <c r="K2143" i="2"/>
  <c r="K2135" i="2"/>
  <c r="K2127" i="2"/>
  <c r="O2305" i="2"/>
  <c r="A2267" i="2"/>
  <c r="G2252" i="2"/>
  <c r="O2238" i="2"/>
  <c r="T2226" i="2"/>
  <c r="M2217" i="2"/>
  <c r="J2209" i="2"/>
  <c r="J2201" i="2"/>
  <c r="J2193" i="2"/>
  <c r="J2418" i="2"/>
  <c r="T2446" i="2"/>
  <c r="Q2406" i="2"/>
  <c r="K2440" i="2"/>
  <c r="F2327" i="2"/>
  <c r="N2287" i="2"/>
  <c r="G2382" i="2"/>
  <c r="S2262" i="2"/>
  <c r="P2399" i="2"/>
  <c r="J2305" i="2"/>
  <c r="D2314" i="2"/>
  <c r="C2314" i="2"/>
  <c r="Q2286" i="2"/>
  <c r="D2299" i="2"/>
  <c r="K2306" i="2"/>
  <c r="E2355" i="2"/>
  <c r="J2290" i="2"/>
  <c r="R2298" i="2"/>
  <c r="E2241" i="2"/>
  <c r="D2289" i="2"/>
  <c r="Q2259" i="2"/>
  <c r="Q2235" i="2"/>
  <c r="R2333" i="2"/>
  <c r="J2294" i="2"/>
  <c r="J2316" i="2"/>
  <c r="O2243" i="2"/>
  <c r="H2324" i="2"/>
  <c r="D2292" i="2"/>
  <c r="C2324" i="2"/>
  <c r="S2290" i="2"/>
  <c r="O2265" i="2"/>
  <c r="M2245" i="2"/>
  <c r="S2230" i="2"/>
  <c r="Q2321" i="2"/>
  <c r="H2298" i="2"/>
  <c r="Q2392" i="2"/>
  <c r="F2335" i="2"/>
  <c r="K2311" i="2"/>
  <c r="E2298" i="2"/>
  <c r="K2285" i="2"/>
  <c r="T2275" i="2"/>
  <c r="H2266" i="2"/>
  <c r="J2257" i="2"/>
  <c r="J2249" i="2"/>
  <c r="J2241" i="2"/>
  <c r="J2233" i="2"/>
  <c r="J2225" i="2"/>
  <c r="P2271" i="2"/>
  <c r="E2256" i="2"/>
  <c r="M2242" i="2"/>
  <c r="C2230" i="2"/>
  <c r="C2220" i="2"/>
  <c r="P2211" i="2"/>
  <c r="P2203" i="2"/>
  <c r="P2195" i="2"/>
  <c r="P2187" i="2"/>
  <c r="P2179" i="2"/>
  <c r="O2284" i="2"/>
  <c r="O2264" i="2"/>
  <c r="A2237" i="2"/>
  <c r="K2225" i="2"/>
  <c r="R2308" i="2"/>
  <c r="H2267" i="2"/>
  <c r="N2252" i="2"/>
  <c r="T2238" i="2"/>
  <c r="F2227" i="2"/>
  <c r="P2217" i="2"/>
  <c r="D2274" i="2"/>
  <c r="E2258" i="2"/>
  <c r="M2244" i="2"/>
  <c r="S2231" i="2"/>
  <c r="H2221" i="2"/>
  <c r="D2278" i="2"/>
  <c r="N2261" i="2"/>
  <c r="S2247" i="2"/>
  <c r="P2234" i="2"/>
  <c r="N2223" i="2"/>
  <c r="R2214" i="2"/>
  <c r="R2206" i="2"/>
  <c r="R2198" i="2"/>
  <c r="R2190" i="2"/>
  <c r="R2182" i="2"/>
  <c r="R2174" i="2"/>
  <c r="R2166" i="2"/>
  <c r="R2158" i="2"/>
  <c r="R2150" i="2"/>
  <c r="R2142" i="2"/>
  <c r="R2134" i="2"/>
  <c r="R2126" i="2"/>
  <c r="R2292" i="2"/>
  <c r="N2265" i="2"/>
  <c r="F2251" i="2"/>
  <c r="O2237" i="2"/>
  <c r="C2226" i="2"/>
  <c r="R2216" i="2"/>
  <c r="Q2208" i="2"/>
  <c r="Q2200" i="2"/>
  <c r="Q2192" i="2"/>
  <c r="Q2184" i="2"/>
  <c r="Q2176" i="2"/>
  <c r="C2275" i="2"/>
  <c r="C2259" i="2"/>
  <c r="H2245" i="2"/>
  <c r="N2232" i="2"/>
  <c r="T2221" i="2"/>
  <c r="N2273" i="2"/>
  <c r="S2257" i="2"/>
  <c r="C2244" i="2"/>
  <c r="K2231" i="2"/>
  <c r="C2221" i="2"/>
  <c r="T2274" i="2"/>
  <c r="R2258" i="2"/>
  <c r="F2245" i="2"/>
  <c r="P2221" i="2"/>
  <c r="C2279" i="2"/>
  <c r="M2248" i="2"/>
  <c r="H2235" i="2"/>
  <c r="D2224" i="2"/>
  <c r="S2340" i="2"/>
  <c r="G2269" i="2"/>
  <c r="C2254" i="2"/>
  <c r="H2228" i="2"/>
  <c r="P2218" i="2"/>
  <c r="K2210" i="2"/>
  <c r="K2202" i="2"/>
  <c r="N2451" i="2"/>
  <c r="A2412" i="2"/>
  <c r="N2311" i="2"/>
  <c r="C2356" i="2"/>
  <c r="P2343" i="2"/>
  <c r="E2265" i="2"/>
  <c r="J2234" i="2"/>
  <c r="J2283" i="2"/>
  <c r="T2260" i="2"/>
  <c r="C2316" i="2"/>
  <c r="P2268" i="2"/>
  <c r="J2243" i="2"/>
  <c r="Q2275" i="2"/>
  <c r="C2239" i="2"/>
  <c r="P2213" i="2"/>
  <c r="R2283" i="2"/>
  <c r="G2242" i="2"/>
  <c r="M2370" i="2"/>
  <c r="C2241" i="2"/>
  <c r="H2275" i="2"/>
  <c r="P2233" i="2"/>
  <c r="R2208" i="2"/>
  <c r="R2184" i="2"/>
  <c r="R2160" i="2"/>
  <c r="R2136" i="2"/>
  <c r="P2269" i="2"/>
  <c r="O2235" i="2"/>
  <c r="J2207" i="2"/>
  <c r="D2184" i="2"/>
  <c r="J2272" i="2"/>
  <c r="T2241" i="2"/>
  <c r="C2214" i="2"/>
  <c r="C2188" i="2"/>
  <c r="T2270" i="2"/>
  <c r="F2224" i="2"/>
  <c r="J2273" i="2"/>
  <c r="N2248" i="2"/>
  <c r="Q2263" i="2"/>
  <c r="H2239" i="2"/>
  <c r="H2223" i="2"/>
  <c r="H2273" i="2"/>
  <c r="S2251" i="2"/>
  <c r="G2236" i="2"/>
  <c r="K2212" i="2"/>
  <c r="E2203" i="2"/>
  <c r="K2194" i="2"/>
  <c r="K2186" i="2"/>
  <c r="K2178" i="2"/>
  <c r="K2170" i="2"/>
  <c r="K2162" i="2"/>
  <c r="K2154" i="2"/>
  <c r="K2146" i="2"/>
  <c r="K2138" i="2"/>
  <c r="K2130" i="2"/>
  <c r="K2122" i="2"/>
  <c r="N2212" i="2"/>
  <c r="T2198" i="2"/>
  <c r="F2185" i="2"/>
  <c r="F2172" i="2"/>
  <c r="M2161" i="2"/>
  <c r="G2210" i="2"/>
  <c r="T2217" i="2"/>
  <c r="G2203" i="2"/>
  <c r="N2189" i="2"/>
  <c r="S2175" i="2"/>
  <c r="T2164" i="2"/>
  <c r="Q2144" i="2"/>
  <c r="F2135" i="2"/>
  <c r="N2125" i="2"/>
  <c r="R2116" i="2"/>
  <c r="R2108" i="2"/>
  <c r="F2211" i="2"/>
  <c r="M2197" i="2"/>
  <c r="Q2183" i="2"/>
  <c r="C2171" i="2"/>
  <c r="H2150" i="2"/>
  <c r="P2140" i="2"/>
  <c r="D2131" i="2"/>
  <c r="M2121" i="2"/>
  <c r="J2113" i="2"/>
  <c r="O2215" i="2"/>
  <c r="T2201" i="2"/>
  <c r="G2188" i="2"/>
  <c r="M2174" i="2"/>
  <c r="S2163" i="2"/>
  <c r="J2153" i="2"/>
  <c r="S2143" i="2"/>
  <c r="G2134" i="2"/>
  <c r="O2124" i="2"/>
  <c r="G2248" i="2"/>
  <c r="J2206" i="2"/>
  <c r="O2192" i="2"/>
  <c r="A2179" i="2"/>
  <c r="H2167" i="2"/>
  <c r="F2223" i="2"/>
  <c r="A2204" i="2"/>
  <c r="H2190" i="2"/>
  <c r="N2176" i="2"/>
  <c r="M2165" i="2"/>
  <c r="T2154" i="2"/>
  <c r="H2145" i="2"/>
  <c r="P2135" i="2"/>
  <c r="T2216" i="2"/>
  <c r="S2202" i="2"/>
  <c r="N2209" i="2"/>
  <c r="S2195" i="2"/>
  <c r="F2182" i="2"/>
  <c r="Q2169" i="2"/>
  <c r="D2159" i="2"/>
  <c r="F2149" i="2"/>
  <c r="N2139" i="2"/>
  <c r="A2130" i="2"/>
  <c r="K2120" i="2"/>
  <c r="T2212" i="2"/>
  <c r="F2199" i="2"/>
  <c r="M2185" i="2"/>
  <c r="P2161" i="2"/>
  <c r="M2151" i="2"/>
  <c r="T2141" i="2"/>
  <c r="H2132" i="2"/>
  <c r="N2242" i="2"/>
  <c r="R2437" i="2"/>
  <c r="N2285" i="2"/>
  <c r="N2333" i="2"/>
  <c r="Q2297" i="2"/>
  <c r="S2300" i="2"/>
  <c r="J2228" i="2"/>
  <c r="C2353" i="2"/>
  <c r="F2252" i="2"/>
  <c r="M2314" i="2"/>
  <c r="D2297" i="2"/>
  <c r="K2265" i="2"/>
  <c r="Q2240" i="2"/>
  <c r="C2233" i="2"/>
  <c r="P2185" i="2"/>
  <c r="C2277" i="2"/>
  <c r="C2240" i="2"/>
  <c r="G2280" i="2"/>
  <c r="T2237" i="2"/>
  <c r="E2278" i="2"/>
  <c r="R2234" i="2"/>
  <c r="C2274" i="2"/>
  <c r="P2232" i="2"/>
  <c r="E2206" i="2"/>
  <c r="E2182" i="2"/>
  <c r="E2158" i="2"/>
  <c r="E2134" i="2"/>
  <c r="G2264" i="2"/>
  <c r="O2234" i="2"/>
  <c r="Q2206" i="2"/>
  <c r="J2183" i="2"/>
  <c r="A2271" i="2"/>
  <c r="N2235" i="2"/>
  <c r="P2172" i="2"/>
  <c r="C2158" i="2"/>
  <c r="J2269" i="2"/>
  <c r="G2245" i="2"/>
  <c r="J2223" i="2"/>
  <c r="D2272" i="2"/>
  <c r="P2315" i="2"/>
  <c r="H2238" i="2"/>
  <c r="M2222" i="2"/>
  <c r="R2271" i="2"/>
  <c r="O2250" i="2"/>
  <c r="G2234" i="2"/>
  <c r="N2221" i="2"/>
  <c r="R2211" i="2"/>
  <c r="R2201" i="2"/>
  <c r="R2193" i="2"/>
  <c r="R2185" i="2"/>
  <c r="R2177" i="2"/>
  <c r="R2169" i="2"/>
  <c r="R2161" i="2"/>
  <c r="R2153" i="2"/>
  <c r="R2145" i="2"/>
  <c r="R2137" i="2"/>
  <c r="R2129" i="2"/>
  <c r="R2121" i="2"/>
  <c r="M2211" i="2"/>
  <c r="Q2197" i="2"/>
  <c r="A2184" i="2"/>
  <c r="G2171" i="2"/>
  <c r="R2312" i="2"/>
  <c r="D2209" i="2"/>
  <c r="T2215" i="2"/>
  <c r="F2202" i="2"/>
  <c r="J2188" i="2"/>
  <c r="O2174" i="2"/>
  <c r="A2164" i="2"/>
  <c r="N2153" i="2"/>
  <c r="A2144" i="2"/>
  <c r="Q2124" i="2"/>
  <c r="E2116" i="2"/>
  <c r="E2108" i="2"/>
  <c r="A2210" i="2"/>
  <c r="H2196" i="2"/>
  <c r="N2182" i="2"/>
  <c r="F2170" i="2"/>
  <c r="M2159" i="2"/>
  <c r="M2149" i="2"/>
  <c r="T2139" i="2"/>
  <c r="H2130" i="2"/>
  <c r="Q2120" i="2"/>
  <c r="Q2112" i="2"/>
  <c r="M2214" i="2"/>
  <c r="S2200" i="2"/>
  <c r="D2187" i="2"/>
  <c r="O2173" i="2"/>
  <c r="A2163" i="2"/>
  <c r="O2152" i="2"/>
  <c r="C2143" i="2"/>
  <c r="J2133" i="2"/>
  <c r="S2123" i="2"/>
  <c r="F2235" i="2"/>
  <c r="G2205" i="2"/>
  <c r="N2191" i="2"/>
  <c r="S2177" i="2"/>
  <c r="J2166" i="2"/>
  <c r="C2217" i="2"/>
  <c r="T2202" i="2"/>
  <c r="F2189" i="2"/>
  <c r="M2175" i="2"/>
  <c r="N2164" i="2"/>
  <c r="D2154" i="2"/>
  <c r="M2144" i="2"/>
  <c r="T2134" i="2"/>
  <c r="H2215" i="2"/>
  <c r="K2274" i="2"/>
  <c r="J2208" i="2"/>
  <c r="O2194" i="2"/>
  <c r="A2181" i="2"/>
  <c r="T2168" i="2"/>
  <c r="G2158" i="2"/>
  <c r="Q2138" i="2"/>
  <c r="F2129" i="2"/>
  <c r="R2119" i="2"/>
  <c r="Q2211" i="2"/>
  <c r="A2198" i="2"/>
  <c r="H2184" i="2"/>
  <c r="M2171" i="2"/>
  <c r="S2160" i="2"/>
  <c r="P2150" i="2"/>
  <c r="D2141" i="2"/>
  <c r="M2131" i="2"/>
  <c r="E2230" i="2"/>
  <c r="S2204" i="2"/>
  <c r="D2191" i="2"/>
  <c r="H2177" i="2"/>
  <c r="D2166" i="2"/>
  <c r="J2155" i="2"/>
  <c r="S2145" i="2"/>
  <c r="H2423" i="2"/>
  <c r="A2320" i="2"/>
  <c r="M2352" i="2"/>
  <c r="P2296" i="2"/>
  <c r="E2249" i="2"/>
  <c r="G2374" i="2"/>
  <c r="F2342" i="2"/>
  <c r="A2269" i="2"/>
  <c r="A2322" i="2"/>
  <c r="S2244" i="2"/>
  <c r="K2301" i="2"/>
  <c r="D2296" i="2"/>
  <c r="P2264" i="2"/>
  <c r="D2240" i="2"/>
  <c r="G2270" i="2"/>
  <c r="C2229" i="2"/>
  <c r="C2211" i="2"/>
  <c r="P2197" i="2"/>
  <c r="Q2268" i="2"/>
  <c r="A2236" i="2"/>
  <c r="J2271" i="2"/>
  <c r="T2236" i="2"/>
  <c r="O2272" i="2"/>
  <c r="R2230" i="2"/>
  <c r="P2265" i="2"/>
  <c r="P2231" i="2"/>
  <c r="K2205" i="2"/>
  <c r="K2181" i="2"/>
  <c r="K2157" i="2"/>
  <c r="K2133" i="2"/>
  <c r="T2262" i="2"/>
  <c r="P2228" i="2"/>
  <c r="Q2202" i="2"/>
  <c r="Q2182" i="2"/>
  <c r="R2262" i="2"/>
  <c r="N2233" i="2"/>
  <c r="P2212" i="2"/>
  <c r="C2198" i="2"/>
  <c r="C2172" i="2"/>
  <c r="T2242" i="2"/>
  <c r="O2222" i="2"/>
  <c r="R2270" i="2"/>
  <c r="G2246" i="2"/>
  <c r="H2301" i="2"/>
  <c r="D2261" i="2"/>
  <c r="H2237" i="2"/>
  <c r="O2221" i="2"/>
  <c r="K2270" i="2"/>
  <c r="G2233" i="2"/>
  <c r="S2220" i="2"/>
  <c r="E2211" i="2"/>
  <c r="E2201" i="2"/>
  <c r="E2193" i="2"/>
  <c r="E2185" i="2"/>
  <c r="E2177" i="2"/>
  <c r="E2169" i="2"/>
  <c r="E2161" i="2"/>
  <c r="E2153" i="2"/>
  <c r="E2145" i="2"/>
  <c r="E2137" i="2"/>
  <c r="E2129" i="2"/>
  <c r="E2121" i="2"/>
  <c r="H2210" i="2"/>
  <c r="N2196" i="2"/>
  <c r="T2182" i="2"/>
  <c r="P2267" i="2"/>
  <c r="T2207" i="2"/>
  <c r="O2214" i="2"/>
  <c r="A2201" i="2"/>
  <c r="G2187" i="2"/>
  <c r="Q2173" i="2"/>
  <c r="D2163" i="2"/>
  <c r="Q2152" i="2"/>
  <c r="F2143" i="2"/>
  <c r="N2133" i="2"/>
  <c r="A2124" i="2"/>
  <c r="K2115" i="2"/>
  <c r="J2286" i="2"/>
  <c r="T2208" i="2"/>
  <c r="F2195" i="2"/>
  <c r="M2181" i="2"/>
  <c r="G2169" i="2"/>
  <c r="N2158" i="2"/>
  <c r="P2148" i="2"/>
  <c r="D2139" i="2"/>
  <c r="M2129" i="2"/>
  <c r="D2120" i="2"/>
  <c r="D2112" i="2"/>
  <c r="H2213" i="2"/>
  <c r="O2199" i="2"/>
  <c r="T2185" i="2"/>
  <c r="Q2172" i="2"/>
  <c r="D2162" i="2"/>
  <c r="S2151" i="2"/>
  <c r="G2142" i="2"/>
  <c r="O2132" i="2"/>
  <c r="C2123" i="2"/>
  <c r="A2224" i="2"/>
  <c r="M2433" i="2"/>
  <c r="J2387" i="2"/>
  <c r="H2440" i="2"/>
  <c r="E2391" i="2"/>
  <c r="C2351" i="2"/>
  <c r="S2338" i="2"/>
  <c r="Q2294" i="2"/>
  <c r="D2351" i="2"/>
  <c r="K2240" i="2"/>
  <c r="D2288" i="2"/>
  <c r="R2314" i="2"/>
  <c r="S2319" i="2"/>
  <c r="F2244" i="2"/>
  <c r="G2344" i="2"/>
  <c r="A2295" i="2"/>
  <c r="T2263" i="2"/>
  <c r="J2239" i="2"/>
  <c r="T2268" i="2"/>
  <c r="F2228" i="2"/>
  <c r="H2263" i="2"/>
  <c r="A2235" i="2"/>
  <c r="C2266" i="2"/>
  <c r="T2235" i="2"/>
  <c r="H2271" i="2"/>
  <c r="S2229" i="2"/>
  <c r="E2226" i="2"/>
  <c r="R2204" i="2"/>
  <c r="R2180" i="2"/>
  <c r="R2156" i="2"/>
  <c r="R2132" i="2"/>
  <c r="J2261" i="2"/>
  <c r="F2225" i="2"/>
  <c r="D2200" i="2"/>
  <c r="Q2178" i="2"/>
  <c r="N2231" i="2"/>
  <c r="C2212" i="2"/>
  <c r="P2156" i="2"/>
  <c r="O2262" i="2"/>
  <c r="S2241" i="2"/>
  <c r="S2221" i="2"/>
  <c r="A2244" i="2"/>
  <c r="K2288" i="2"/>
  <c r="T2259" i="2"/>
  <c r="H2236" i="2"/>
  <c r="C2218" i="2"/>
  <c r="Q2267" i="2"/>
  <c r="G2247" i="2"/>
  <c r="G2232" i="2"/>
  <c r="E2220" i="2"/>
  <c r="R2209" i="2"/>
  <c r="K2200" i="2"/>
  <c r="K2192" i="2"/>
  <c r="K2184" i="2"/>
  <c r="K2176" i="2"/>
  <c r="K2168" i="2"/>
  <c r="K2160" i="2"/>
  <c r="K2152" i="2"/>
  <c r="K2144" i="2"/>
  <c r="K2136" i="2"/>
  <c r="K2128" i="2"/>
  <c r="S2337" i="2"/>
  <c r="F2209" i="2"/>
  <c r="M2195" i="2"/>
  <c r="Q2181" i="2"/>
  <c r="M2169" i="2"/>
  <c r="R2252" i="2"/>
  <c r="S2206" i="2"/>
  <c r="N2213" i="2"/>
  <c r="S2199" i="2"/>
  <c r="F2186" i="2"/>
  <c r="T2172" i="2"/>
  <c r="G2162" i="2"/>
  <c r="A2152" i="2"/>
  <c r="Q2132" i="2"/>
  <c r="F2123" i="2"/>
  <c r="R2114" i="2"/>
  <c r="T2264" i="2"/>
  <c r="Q2207" i="2"/>
  <c r="A2194" i="2"/>
  <c r="H2180" i="2"/>
  <c r="P2157" i="2"/>
  <c r="T2147" i="2"/>
  <c r="H2138" i="2"/>
  <c r="P2128" i="2"/>
  <c r="J2119" i="2"/>
  <c r="J2111" i="2"/>
  <c r="G2212" i="2"/>
  <c r="M2198" i="2"/>
  <c r="S2184" i="2"/>
  <c r="S2171" i="2"/>
  <c r="F2161" i="2"/>
  <c r="C2151" i="2"/>
  <c r="J2141" i="2"/>
  <c r="H2358" i="2"/>
  <c r="Q2372" i="2"/>
  <c r="T2385" i="2"/>
  <c r="Q2405" i="2"/>
  <c r="P2376" i="2"/>
  <c r="F2387" i="2"/>
  <c r="P2337" i="2"/>
  <c r="J2288" i="2"/>
  <c r="R2233" i="2"/>
  <c r="A2287" i="2"/>
  <c r="J2331" i="2"/>
  <c r="E2322" i="2"/>
  <c r="P2317" i="2"/>
  <c r="S2240" i="2"/>
  <c r="F2297" i="2"/>
  <c r="R2332" i="2"/>
  <c r="M2288" i="2"/>
  <c r="J2259" i="2"/>
  <c r="J2235" i="2"/>
  <c r="O2267" i="2"/>
  <c r="H2227" i="2"/>
  <c r="P2209" i="2"/>
  <c r="C2195" i="2"/>
  <c r="P2181" i="2"/>
  <c r="C2262" i="2"/>
  <c r="A2234" i="2"/>
  <c r="N2264" i="2"/>
  <c r="T2229" i="2"/>
  <c r="C2270" i="2"/>
  <c r="S2228" i="2"/>
  <c r="G2259" i="2"/>
  <c r="R2200" i="2"/>
  <c r="R2176" i="2"/>
  <c r="R2152" i="2"/>
  <c r="R2128" i="2"/>
  <c r="N2254" i="2"/>
  <c r="H2224" i="2"/>
  <c r="J2199" i="2"/>
  <c r="J2177" i="2"/>
  <c r="E2260" i="2"/>
  <c r="N2230" i="2"/>
  <c r="P2196" i="2"/>
  <c r="C2182" i="2"/>
  <c r="C2156" i="2"/>
  <c r="H2261" i="2"/>
  <c r="O2240" i="2"/>
  <c r="H2220" i="2"/>
  <c r="R2263" i="2"/>
  <c r="R2242" i="2"/>
  <c r="C2281" i="2"/>
  <c r="P2258" i="2"/>
  <c r="H2234" i="2"/>
  <c r="H2217" i="2"/>
  <c r="T2244" i="2"/>
  <c r="G2231" i="2"/>
  <c r="J2219" i="2"/>
  <c r="E2209" i="2"/>
  <c r="R2199" i="2"/>
  <c r="R2191" i="2"/>
  <c r="R2183" i="2"/>
  <c r="R2175" i="2"/>
  <c r="R2167" i="2"/>
  <c r="R2159" i="2"/>
  <c r="R2151" i="2"/>
  <c r="R2143" i="2"/>
  <c r="R2135" i="2"/>
  <c r="R2127" i="2"/>
  <c r="C2269" i="2"/>
  <c r="A2208" i="2"/>
  <c r="H2194" i="2"/>
  <c r="N2180" i="2"/>
  <c r="N2168" i="2"/>
  <c r="F2239" i="2"/>
  <c r="O2205" i="2"/>
  <c r="J2212" i="2"/>
  <c r="O2198" i="2"/>
  <c r="A2185" i="2"/>
  <c r="A2172" i="2"/>
  <c r="H2161" i="2"/>
  <c r="F2151" i="2"/>
  <c r="N2141" i="2"/>
  <c r="A2132" i="2"/>
  <c r="E2114" i="2"/>
  <c r="N2250" i="2"/>
  <c r="N2206" i="2"/>
  <c r="T2192" i="2"/>
  <c r="F2179" i="2"/>
  <c r="M2167" i="2"/>
  <c r="S2156" i="2"/>
  <c r="D2147" i="2"/>
  <c r="M2137" i="2"/>
  <c r="T2127" i="2"/>
  <c r="Q2118" i="2"/>
  <c r="Q2110" i="2"/>
  <c r="D2211" i="2"/>
  <c r="H2197" i="2"/>
  <c r="O2183" i="2"/>
  <c r="A2171" i="2"/>
  <c r="H2160" i="2"/>
  <c r="G2150" i="2"/>
  <c r="O2140" i="2"/>
  <c r="C2131" i="2"/>
  <c r="J2121" i="2"/>
  <c r="N2215" i="2"/>
  <c r="S2201" i="2"/>
  <c r="F2188" i="2"/>
  <c r="J2174" i="2"/>
  <c r="Q2163" i="2"/>
  <c r="F2213" i="2"/>
  <c r="M2199" i="2"/>
  <c r="Q2185" i="2"/>
  <c r="N2172" i="2"/>
  <c r="T2161" i="2"/>
  <c r="P2151" i="2"/>
  <c r="D2142" i="2"/>
  <c r="M2132" i="2"/>
  <c r="T2211" i="2"/>
  <c r="E2232" i="2"/>
  <c r="A2205" i="2"/>
  <c r="G2191" i="2"/>
  <c r="N2177" i="2"/>
  <c r="G2166" i="2"/>
  <c r="N2155" i="2"/>
  <c r="A2146" i="2"/>
  <c r="Q2126" i="2"/>
  <c r="G2273" i="2"/>
  <c r="H2208" i="2"/>
  <c r="A2384" i="2"/>
  <c r="R2409" i="2"/>
  <c r="M2277" i="2"/>
  <c r="F2315" i="2"/>
  <c r="Q2324" i="2"/>
  <c r="A2286" i="2"/>
  <c r="H2286" i="2"/>
  <c r="F2303" i="2"/>
  <c r="E2217" i="2"/>
  <c r="H2268" i="2"/>
  <c r="P2326" i="2"/>
  <c r="H2260" i="2"/>
  <c r="D2308" i="2"/>
  <c r="R2289" i="2"/>
  <c r="F2230" i="2"/>
  <c r="Q2289" i="2"/>
  <c r="E2328" i="2"/>
  <c r="T2283" i="2"/>
  <c r="D2256" i="2"/>
  <c r="D2232" i="2"/>
  <c r="C2255" i="2"/>
  <c r="G2222" i="2"/>
  <c r="P2193" i="2"/>
  <c r="C2179" i="2"/>
  <c r="O2224" i="2"/>
  <c r="C2257" i="2"/>
  <c r="N2220" i="2"/>
  <c r="C2222" i="2"/>
  <c r="K2197" i="2"/>
  <c r="K2173" i="2"/>
  <c r="K2149" i="2"/>
  <c r="K2125" i="2"/>
  <c r="A2250" i="2"/>
  <c r="A2219" i="2"/>
  <c r="Q2194" i="2"/>
  <c r="J2175" i="2"/>
  <c r="P2256" i="2"/>
  <c r="G2224" i="2"/>
  <c r="P2180" i="2"/>
  <c r="C2166" i="2"/>
  <c r="T2258" i="2"/>
  <c r="M2234" i="2"/>
  <c r="S2218" i="2"/>
  <c r="G2261" i="2"/>
  <c r="E2224" i="2"/>
  <c r="D2276" i="2"/>
  <c r="T2251" i="2"/>
  <c r="H2232" i="2"/>
  <c r="S2215" i="2"/>
  <c r="A2261" i="2"/>
  <c r="O2242" i="2"/>
  <c r="G2229" i="2"/>
  <c r="G2217" i="2"/>
  <c r="R2207" i="2"/>
  <c r="K2198" i="2"/>
  <c r="K2190" i="2"/>
  <c r="K2182" i="2"/>
  <c r="K2174" i="2"/>
  <c r="K2166" i="2"/>
  <c r="K2158" i="2"/>
  <c r="K2150" i="2"/>
  <c r="K2142" i="2"/>
  <c r="K2134" i="2"/>
  <c r="K2126" i="2"/>
  <c r="G2240" i="2"/>
  <c r="Q2205" i="2"/>
  <c r="A2192" i="2"/>
  <c r="H2178" i="2"/>
  <c r="S2166" i="2"/>
  <c r="E2218" i="2"/>
  <c r="H2203" i="2"/>
  <c r="F2210" i="2"/>
  <c r="J2196" i="2"/>
  <c r="O2182" i="2"/>
  <c r="G2170" i="2"/>
  <c r="N2159" i="2"/>
  <c r="N2149" i="2"/>
  <c r="A2140" i="2"/>
  <c r="R2120" i="2"/>
  <c r="R2112" i="2"/>
  <c r="N2225" i="2"/>
  <c r="H2204" i="2"/>
  <c r="N2190" i="2"/>
  <c r="T2176" i="2"/>
  <c r="P2165" i="2"/>
  <c r="D2155" i="2"/>
  <c r="M2145" i="2"/>
  <c r="T2135" i="2"/>
  <c r="H2126" i="2"/>
  <c r="J2117" i="2"/>
  <c r="O2280" i="2"/>
  <c r="S2208" i="2"/>
  <c r="D2195" i="2"/>
  <c r="H2181" i="2"/>
  <c r="E2352" i="2"/>
  <c r="O2382" i="2"/>
  <c r="F2262" i="2"/>
  <c r="O2304" i="2"/>
  <c r="F2313" i="2"/>
  <c r="F2285" i="2"/>
  <c r="Q2402" i="2"/>
  <c r="N2275" i="2"/>
  <c r="D2259" i="2"/>
  <c r="C2290" i="2"/>
  <c r="O2259" i="2"/>
  <c r="R2284" i="2"/>
  <c r="M2229" i="2"/>
  <c r="A2284" i="2"/>
  <c r="A2316" i="2"/>
  <c r="D2283" i="2"/>
  <c r="J2255" i="2"/>
  <c r="J2231" i="2"/>
  <c r="T2253" i="2"/>
  <c r="H2219" i="2"/>
  <c r="P2205" i="2"/>
  <c r="S2253" i="2"/>
  <c r="S2223" i="2"/>
  <c r="A2256" i="2"/>
  <c r="N2224" i="2"/>
  <c r="T2255" i="2"/>
  <c r="S2219" i="2"/>
  <c r="G2251" i="2"/>
  <c r="G2221" i="2"/>
  <c r="R2196" i="2"/>
  <c r="R2172" i="2"/>
  <c r="R2148" i="2"/>
  <c r="R2124" i="2"/>
  <c r="R2248" i="2"/>
  <c r="D2216" i="2"/>
  <c r="D2192" i="2"/>
  <c r="Q2174" i="2"/>
  <c r="N2255" i="2"/>
  <c r="P2222" i="2"/>
  <c r="C2206" i="2"/>
  <c r="C2180" i="2"/>
  <c r="J2279" i="2"/>
  <c r="O2256" i="2"/>
  <c r="K2233" i="2"/>
  <c r="A2260" i="2"/>
  <c r="R2274" i="2"/>
  <c r="P2250" i="2"/>
  <c r="F2314" i="2"/>
  <c r="O2258" i="2"/>
  <c r="K2241" i="2"/>
  <c r="K2227" i="2"/>
  <c r="M2216" i="2"/>
  <c r="K2206" i="2"/>
  <c r="R2197" i="2"/>
  <c r="R2189" i="2"/>
  <c r="R2181" i="2"/>
  <c r="R2173" i="2"/>
  <c r="R2165" i="2"/>
  <c r="R2157" i="2"/>
  <c r="R2149" i="2"/>
  <c r="R2141" i="2"/>
  <c r="R2133" i="2"/>
  <c r="R2125" i="2"/>
  <c r="G2228" i="2"/>
  <c r="N2204" i="2"/>
  <c r="T2190" i="2"/>
  <c r="F2177" i="2"/>
  <c r="T2165" i="2"/>
  <c r="A2216" i="2"/>
  <c r="F2299" i="2"/>
  <c r="A2209" i="2"/>
  <c r="G2195" i="2"/>
  <c r="N2181" i="2"/>
  <c r="H2169" i="2"/>
  <c r="O2158" i="2"/>
  <c r="Q2148" i="2"/>
  <c r="F2139" i="2"/>
  <c r="N2129" i="2"/>
  <c r="E2120" i="2"/>
  <c r="E2112" i="2"/>
  <c r="Q2217" i="2"/>
  <c r="F2203" i="2"/>
  <c r="M2189" i="2"/>
  <c r="Q2175" i="2"/>
  <c r="S2164" i="2"/>
  <c r="H2154" i="2"/>
  <c r="P2144" i="2"/>
  <c r="D2135" i="2"/>
  <c r="M2125" i="2"/>
  <c r="Q2116" i="2"/>
  <c r="O2263" i="2"/>
  <c r="F2361" i="2"/>
  <c r="A2311" i="2"/>
  <c r="E2280" i="2"/>
  <c r="O2281" i="2"/>
  <c r="J2384" i="2"/>
  <c r="P2284" i="2"/>
  <c r="K2392" i="2"/>
  <c r="P2177" i="2"/>
  <c r="E2228" i="2"/>
  <c r="S2216" i="2"/>
  <c r="K2165" i="2"/>
  <c r="Q2190" i="2"/>
  <c r="E2244" i="2"/>
  <c r="P2204" i="2"/>
  <c r="P2188" i="2"/>
  <c r="A2275" i="2"/>
  <c r="K2229" i="2"/>
  <c r="R2267" i="2"/>
  <c r="O2226" i="2"/>
  <c r="G2255" i="2"/>
  <c r="G2223" i="2"/>
  <c r="E2199" i="2"/>
  <c r="K2180" i="2"/>
  <c r="E2163" i="2"/>
  <c r="E2141" i="2"/>
  <c r="R2123" i="2"/>
  <c r="F2193" i="2"/>
  <c r="C2165" i="2"/>
  <c r="E2238" i="2"/>
  <c r="S2183" i="2"/>
  <c r="T2156" i="2"/>
  <c r="N2137" i="2"/>
  <c r="K2119" i="2"/>
  <c r="M2213" i="2"/>
  <c r="A2178" i="2"/>
  <c r="T2155" i="2"/>
  <c r="M2133" i="2"/>
  <c r="D2114" i="2"/>
  <c r="G2196" i="2"/>
  <c r="D2170" i="2"/>
  <c r="C2155" i="2"/>
  <c r="J2137" i="2"/>
  <c r="G2122" i="2"/>
  <c r="A2211" i="2"/>
  <c r="S2193" i="2"/>
  <c r="N2173" i="2"/>
  <c r="H2277" i="2"/>
  <c r="F2205" i="2"/>
  <c r="N2184" i="2"/>
  <c r="C2169" i="2"/>
  <c r="P2155" i="2"/>
  <c r="H2141" i="2"/>
  <c r="P2259" i="2"/>
  <c r="T2203" i="2"/>
  <c r="S2203" i="2"/>
  <c r="O2186" i="2"/>
  <c r="O2170" i="2"/>
  <c r="Q2154" i="2"/>
  <c r="N2143" i="2"/>
  <c r="E2119" i="2"/>
  <c r="A2206" i="2"/>
  <c r="A2190" i="2"/>
  <c r="F2174" i="2"/>
  <c r="N2162" i="2"/>
  <c r="D2149" i="2"/>
  <c r="T2137" i="2"/>
  <c r="P2126" i="2"/>
  <c r="H2209" i="2"/>
  <c r="M2194" i="2"/>
  <c r="O2179" i="2"/>
  <c r="A2167" i="2"/>
  <c r="O2154" i="2"/>
  <c r="G2144" i="2"/>
  <c r="O2134" i="2"/>
  <c r="C2125" i="2"/>
  <c r="S2165" i="2"/>
  <c r="C2140" i="2"/>
  <c r="M2120" i="2"/>
  <c r="J2110" i="2"/>
  <c r="E2102" i="2"/>
  <c r="E2094" i="2"/>
  <c r="E2086" i="2"/>
  <c r="E2078" i="2"/>
  <c r="E2070" i="2"/>
  <c r="E2062" i="2"/>
  <c r="G2190" i="2"/>
  <c r="H2151" i="2"/>
  <c r="N2128" i="2"/>
  <c r="E2115" i="2"/>
  <c r="D2106" i="2"/>
  <c r="D2098" i="2"/>
  <c r="F2176" i="2"/>
  <c r="Q2123" i="2"/>
  <c r="O2112" i="2"/>
  <c r="C2104" i="2"/>
  <c r="C2096" i="2"/>
  <c r="C2088" i="2"/>
  <c r="C2080" i="2"/>
  <c r="C2072" i="2"/>
  <c r="C2064" i="2"/>
  <c r="C2056" i="2"/>
  <c r="C2048" i="2"/>
  <c r="C2040" i="2"/>
  <c r="C2032" i="2"/>
  <c r="C2024" i="2"/>
  <c r="S2198" i="2"/>
  <c r="S2154" i="2"/>
  <c r="Q2131" i="2"/>
  <c r="N2116" i="2"/>
  <c r="H2107" i="2"/>
  <c r="H2099" i="2"/>
  <c r="H2091" i="2"/>
  <c r="D2168" i="2"/>
  <c r="G2141" i="2"/>
  <c r="G2121" i="2"/>
  <c r="A2111" i="2"/>
  <c r="N2102" i="2"/>
  <c r="N2094" i="2"/>
  <c r="N2086" i="2"/>
  <c r="N2078" i="2"/>
  <c r="N2070" i="2"/>
  <c r="N2062" i="2"/>
  <c r="N2054" i="2"/>
  <c r="N2046" i="2"/>
  <c r="N2038" i="2"/>
  <c r="N2030" i="2"/>
  <c r="N2022" i="2"/>
  <c r="N2014" i="2"/>
  <c r="H2171" i="2"/>
  <c r="A2143" i="2"/>
  <c r="J2122" i="2"/>
  <c r="P2111" i="2"/>
  <c r="F2103" i="2"/>
  <c r="F2095" i="2"/>
  <c r="F2087" i="2"/>
  <c r="E2325" i="2"/>
  <c r="K2348" i="2"/>
  <c r="R2303" i="2"/>
  <c r="D2329" i="2"/>
  <c r="G2271" i="2"/>
  <c r="C2378" i="2"/>
  <c r="H2278" i="2"/>
  <c r="C2335" i="2"/>
  <c r="A2223" i="2"/>
  <c r="R2293" i="2"/>
  <c r="E2214" i="2"/>
  <c r="R2164" i="2"/>
  <c r="P2247" i="2"/>
  <c r="Q2186" i="2"/>
  <c r="C2243" i="2"/>
  <c r="C2204" i="2"/>
  <c r="G2272" i="2"/>
  <c r="N2228" i="2"/>
  <c r="P2249" i="2"/>
  <c r="K2266" i="2"/>
  <c r="P2225" i="2"/>
  <c r="T2252" i="2"/>
  <c r="E2197" i="2"/>
  <c r="R2179" i="2"/>
  <c r="E2159" i="2"/>
  <c r="K2140" i="2"/>
  <c r="E2123" i="2"/>
  <c r="Q2189" i="2"/>
  <c r="F2164" i="2"/>
  <c r="M2226" i="2"/>
  <c r="J2180" i="2"/>
  <c r="A2156" i="2"/>
  <c r="Q2136" i="2"/>
  <c r="R2118" i="2"/>
  <c r="H2212" i="2"/>
  <c r="N2174" i="2"/>
  <c r="M2153" i="2"/>
  <c r="P2132" i="2"/>
  <c r="D2110" i="2"/>
  <c r="T2193" i="2"/>
  <c r="F2169" i="2"/>
  <c r="G2154" i="2"/>
  <c r="O2136" i="2"/>
  <c r="P2120" i="2"/>
  <c r="S2209" i="2"/>
  <c r="J2190" i="2"/>
  <c r="O2172" i="2"/>
  <c r="R2260" i="2"/>
  <c r="Q2201" i="2"/>
  <c r="M2183" i="2"/>
  <c r="F2168" i="2"/>
  <c r="H2153" i="2"/>
  <c r="M2140" i="2"/>
  <c r="A2246" i="2"/>
  <c r="N2258" i="2"/>
  <c r="O2202" i="2"/>
  <c r="N2185" i="2"/>
  <c r="A2168" i="2"/>
  <c r="A2154" i="2"/>
  <c r="Q2142" i="2"/>
  <c r="N2131" i="2"/>
  <c r="K2118" i="2"/>
  <c r="T2204" i="2"/>
  <c r="T2188" i="2"/>
  <c r="G2173" i="2"/>
  <c r="T2159" i="2"/>
  <c r="H2148" i="2"/>
  <c r="D2137" i="2"/>
  <c r="T2125" i="2"/>
  <c r="G2208" i="2"/>
  <c r="H2193" i="2"/>
  <c r="M2178" i="2"/>
  <c r="F2165" i="2"/>
  <c r="S2153" i="2"/>
  <c r="J2143" i="2"/>
  <c r="S2133" i="2"/>
  <c r="G2124" i="2"/>
  <c r="H2162" i="2"/>
  <c r="C2138" i="2"/>
  <c r="N2119" i="2"/>
  <c r="O2109" i="2"/>
  <c r="K2101" i="2"/>
  <c r="K2093" i="2"/>
  <c r="K2085" i="2"/>
  <c r="K2077" i="2"/>
  <c r="K2069" i="2"/>
  <c r="K2061" i="2"/>
  <c r="O2185" i="2"/>
  <c r="A2127" i="2"/>
  <c r="J2105" i="2"/>
  <c r="R2295" i="2"/>
  <c r="P2294" i="2"/>
  <c r="D2346" i="2"/>
  <c r="N2278" i="2"/>
  <c r="J2262" i="2"/>
  <c r="P2371" i="2"/>
  <c r="D2275" i="2"/>
  <c r="J2311" i="2"/>
  <c r="M2332" i="2"/>
  <c r="M2218" i="2"/>
  <c r="T2219" i="2"/>
  <c r="O2276" i="2"/>
  <c r="K2213" i="2"/>
  <c r="E2150" i="2"/>
  <c r="J2185" i="2"/>
  <c r="N2229" i="2"/>
  <c r="P2164" i="2"/>
  <c r="N2219" i="2"/>
  <c r="G2265" i="2"/>
  <c r="S2224" i="2"/>
  <c r="A2218" i="2"/>
  <c r="K2196" i="2"/>
  <c r="E2179" i="2"/>
  <c r="E2157" i="2"/>
  <c r="R2139" i="2"/>
  <c r="A2254" i="2"/>
  <c r="N2188" i="2"/>
  <c r="G2163" i="2"/>
  <c r="G2211" i="2"/>
  <c r="G2179" i="2"/>
  <c r="F2155" i="2"/>
  <c r="A2136" i="2"/>
  <c r="E2118" i="2"/>
  <c r="M2205" i="2"/>
  <c r="P2173" i="2"/>
  <c r="P2152" i="2"/>
  <c r="T2131" i="2"/>
  <c r="S2192" i="2"/>
  <c r="H2168" i="2"/>
  <c r="J2149" i="2"/>
  <c r="S2135" i="2"/>
  <c r="C2120" i="2"/>
  <c r="O2208" i="2"/>
  <c r="G2189" i="2"/>
  <c r="Q2171" i="2"/>
  <c r="F2247" i="2"/>
  <c r="N2200" i="2"/>
  <c r="H2182" i="2"/>
  <c r="G2167" i="2"/>
  <c r="M2152" i="2"/>
  <c r="P2139" i="2"/>
  <c r="F2233" i="2"/>
  <c r="R2244" i="2"/>
  <c r="N2201" i="2"/>
  <c r="J2184" i="2"/>
  <c r="D2167" i="2"/>
  <c r="F2153" i="2"/>
  <c r="A2142" i="2"/>
  <c r="Q2130" i="2"/>
  <c r="Q2203" i="2"/>
  <c r="Q2187" i="2"/>
  <c r="C2159" i="2"/>
  <c r="M2147" i="2"/>
  <c r="H2136" i="2"/>
  <c r="D2125" i="2"/>
  <c r="D2207" i="2"/>
  <c r="G2192" i="2"/>
  <c r="G2176" i="2"/>
  <c r="H2164" i="2"/>
  <c r="C2153" i="2"/>
  <c r="O2142" i="2"/>
  <c r="C2133" i="2"/>
  <c r="O2159" i="2"/>
  <c r="D2136" i="2"/>
  <c r="M2118" i="2"/>
  <c r="T2108" i="2"/>
  <c r="R2100" i="2"/>
  <c r="R2092" i="2"/>
  <c r="R2084" i="2"/>
  <c r="R2076" i="2"/>
  <c r="R2068" i="2"/>
  <c r="R2060" i="2"/>
  <c r="D2181" i="2"/>
  <c r="N2113" i="2"/>
  <c r="Q2104" i="2"/>
  <c r="Q2096" i="2"/>
  <c r="O2168" i="2"/>
  <c r="O2141" i="2"/>
  <c r="D2111" i="2"/>
  <c r="P2102" i="2"/>
  <c r="P2094" i="2"/>
  <c r="P2086" i="2"/>
  <c r="P2078" i="2"/>
  <c r="P2070" i="2"/>
  <c r="P2062" i="2"/>
  <c r="P2054" i="2"/>
  <c r="P2046" i="2"/>
  <c r="P2038" i="2"/>
  <c r="P2030" i="2"/>
  <c r="P2022" i="2"/>
  <c r="O2189" i="2"/>
  <c r="A2151" i="2"/>
  <c r="J2128" i="2"/>
  <c r="C2115" i="2"/>
  <c r="A2106" i="2"/>
  <c r="A2098" i="2"/>
  <c r="A2090" i="2"/>
  <c r="A2161" i="2"/>
  <c r="F2119" i="2"/>
  <c r="H2457" i="2"/>
  <c r="N2371" i="2"/>
  <c r="D2377" i="2"/>
  <c r="F2381" i="2"/>
  <c r="M2336" i="2"/>
  <c r="M2278" i="2"/>
  <c r="P2293" i="2"/>
  <c r="M2342" i="2"/>
  <c r="O2261" i="2"/>
  <c r="H2274" i="2"/>
  <c r="J2280" i="2"/>
  <c r="A2217" i="2"/>
  <c r="R2212" i="2"/>
  <c r="R2144" i="2"/>
  <c r="R2240" i="2"/>
  <c r="D2176" i="2"/>
  <c r="D2221" i="2"/>
  <c r="C2164" i="2"/>
  <c r="C2260" i="2"/>
  <c r="P2241" i="2"/>
  <c r="T2224" i="2"/>
  <c r="N2216" i="2"/>
  <c r="S2243" i="2"/>
  <c r="R2215" i="2"/>
  <c r="R2195" i="2"/>
  <c r="E2175" i="2"/>
  <c r="K2156" i="2"/>
  <c r="E2139" i="2"/>
  <c r="O2218" i="2"/>
  <c r="M2187" i="2"/>
  <c r="S2207" i="2"/>
  <c r="F2178" i="2"/>
  <c r="K2117" i="2"/>
  <c r="A2202" i="2"/>
  <c r="S2172" i="2"/>
  <c r="T2151" i="2"/>
  <c r="D2127" i="2"/>
  <c r="E2236" i="2"/>
  <c r="O2191" i="2"/>
  <c r="J2167" i="2"/>
  <c r="O2148" i="2"/>
  <c r="C2135" i="2"/>
  <c r="N2207" i="2"/>
  <c r="A2187" i="2"/>
  <c r="T2170" i="2"/>
  <c r="E2234" i="2"/>
  <c r="H2198" i="2"/>
  <c r="F2181" i="2"/>
  <c r="T2150" i="2"/>
  <c r="T2138" i="2"/>
  <c r="H2222" i="2"/>
  <c r="M2221" i="2"/>
  <c r="J2200" i="2"/>
  <c r="G2183" i="2"/>
  <c r="H2165" i="2"/>
  <c r="F2141" i="2"/>
  <c r="P2243" i="2"/>
  <c r="N2202" i="2"/>
  <c r="N2186" i="2"/>
  <c r="N2170" i="2"/>
  <c r="F2158" i="2"/>
  <c r="P2146" i="2"/>
  <c r="M2135" i="2"/>
  <c r="Q2271" i="2"/>
  <c r="T2205" i="2"/>
  <c r="T2189" i="2"/>
  <c r="D2175" i="2"/>
  <c r="J2163" i="2"/>
  <c r="G2152" i="2"/>
  <c r="S2141" i="2"/>
  <c r="G2132" i="2"/>
  <c r="F2208" i="2"/>
  <c r="J2157" i="2"/>
  <c r="F2134" i="2"/>
  <c r="O2117" i="2"/>
  <c r="F2108" i="2"/>
  <c r="E2100" i="2"/>
  <c r="E2092" i="2"/>
  <c r="E2084" i="2"/>
  <c r="E2076" i="2"/>
  <c r="E2068" i="2"/>
  <c r="E2060" i="2"/>
  <c r="M2176" i="2"/>
  <c r="O2145" i="2"/>
  <c r="C2124" i="2"/>
  <c r="P2112" i="2"/>
  <c r="D2104" i="2"/>
  <c r="D2096" i="2"/>
  <c r="D2165" i="2"/>
  <c r="O2139" i="2"/>
  <c r="H2110" i="2"/>
  <c r="C2102" i="2"/>
  <c r="C2094" i="2"/>
  <c r="C2086" i="2"/>
  <c r="C2078" i="2"/>
  <c r="C2070" i="2"/>
  <c r="C2062" i="2"/>
  <c r="C2054" i="2"/>
  <c r="C2046" i="2"/>
  <c r="C2038" i="2"/>
  <c r="C2030" i="2"/>
  <c r="C2022" i="2"/>
  <c r="D2185" i="2"/>
  <c r="A2149" i="2"/>
  <c r="S2126" i="2"/>
  <c r="G2114" i="2"/>
  <c r="H2105" i="2"/>
  <c r="H2097" i="2"/>
  <c r="S2158" i="2"/>
  <c r="G2118" i="2"/>
  <c r="O2108" i="2"/>
  <c r="N2100" i="2"/>
  <c r="N2092" i="2"/>
  <c r="N2084" i="2"/>
  <c r="N2076" i="2"/>
  <c r="N2068" i="2"/>
  <c r="N2060" i="2"/>
  <c r="N2052" i="2"/>
  <c r="N2044" i="2"/>
  <c r="N2036" i="2"/>
  <c r="N2028" i="2"/>
  <c r="N2020" i="2"/>
  <c r="N2012" i="2"/>
  <c r="O2160" i="2"/>
  <c r="F2390" i="2"/>
  <c r="M2262" i="2"/>
  <c r="N2339" i="2"/>
  <c r="O2297" i="2"/>
  <c r="H2313" i="2"/>
  <c r="F2236" i="2"/>
  <c r="K2273" i="2"/>
  <c r="N2259" i="2"/>
  <c r="P2189" i="2"/>
  <c r="C2296" i="2"/>
  <c r="G2216" i="2"/>
  <c r="C2258" i="2"/>
  <c r="E2198" i="2"/>
  <c r="E2142" i="2"/>
  <c r="O2236" i="2"/>
  <c r="K2255" i="2"/>
  <c r="G2281" i="2"/>
  <c r="C2253" i="2"/>
  <c r="F2300" i="2"/>
  <c r="K2214" i="2"/>
  <c r="E2195" i="2"/>
  <c r="E2173" i="2"/>
  <c r="R2155" i="2"/>
  <c r="E2135" i="2"/>
  <c r="F2216" i="2"/>
  <c r="H2186" i="2"/>
  <c r="O2206" i="2"/>
  <c r="A2177" i="2"/>
  <c r="F2131" i="2"/>
  <c r="K2113" i="2"/>
  <c r="T2200" i="2"/>
  <c r="T2171" i="2"/>
  <c r="D2151" i="2"/>
  <c r="P2124" i="2"/>
  <c r="Q2224" i="2"/>
  <c r="M2190" i="2"/>
  <c r="M2166" i="2"/>
  <c r="S2147" i="2"/>
  <c r="S2131" i="2"/>
  <c r="P2118" i="2"/>
  <c r="F2204" i="2"/>
  <c r="S2185" i="2"/>
  <c r="A2170" i="2"/>
  <c r="M2215" i="2"/>
  <c r="F2197" i="2"/>
  <c r="A2180" i="2"/>
  <c r="P2163" i="2"/>
  <c r="D2150" i="2"/>
  <c r="D2138" i="2"/>
  <c r="G2214" i="2"/>
  <c r="P2216" i="2"/>
  <c r="G2199" i="2"/>
  <c r="S2179" i="2"/>
  <c r="J2164" i="2"/>
  <c r="N2151" i="2"/>
  <c r="N2127" i="2"/>
  <c r="F2231" i="2"/>
  <c r="M2201" i="2"/>
  <c r="F2183" i="2"/>
  <c r="P2169" i="2"/>
  <c r="G2157" i="2"/>
  <c r="T2145" i="2"/>
  <c r="P2134" i="2"/>
  <c r="G2256" i="2"/>
  <c r="O2203" i="2"/>
  <c r="S2188" i="2"/>
  <c r="D2174" i="2"/>
  <c r="M2162" i="2"/>
  <c r="J2151" i="2"/>
  <c r="C2141" i="2"/>
  <c r="J2131" i="2"/>
  <c r="T2199" i="2"/>
  <c r="H2155" i="2"/>
  <c r="F2132" i="2"/>
  <c r="S2116" i="2"/>
  <c r="K2107" i="2"/>
  <c r="K2099" i="2"/>
  <c r="K2091" i="2"/>
  <c r="K2083" i="2"/>
  <c r="K2075" i="2"/>
  <c r="K2067" i="2"/>
  <c r="K2059" i="2"/>
  <c r="M2172" i="2"/>
  <c r="O2143" i="2"/>
  <c r="P2122" i="2"/>
  <c r="T2111" i="2"/>
  <c r="J2103" i="2"/>
  <c r="J2095" i="2"/>
  <c r="N2161" i="2"/>
  <c r="P2137" i="2"/>
  <c r="H2119" i="2"/>
  <c r="M2109" i="2"/>
  <c r="M2180" i="2"/>
  <c r="G2147" i="2"/>
  <c r="G2125" i="2"/>
  <c r="O2104" i="2"/>
  <c r="O2096" i="2"/>
  <c r="N2203" i="2"/>
  <c r="O2156" i="2"/>
  <c r="O2133" i="2"/>
  <c r="H2117" i="2"/>
  <c r="T2107" i="2"/>
  <c r="T2099" i="2"/>
  <c r="T2091" i="2"/>
  <c r="T2083" i="2"/>
  <c r="T2075" i="2"/>
  <c r="T2067" i="2"/>
  <c r="T2059" i="2"/>
  <c r="T2051" i="2"/>
  <c r="T2043" i="2"/>
  <c r="T2035" i="2"/>
  <c r="T2027" i="2"/>
  <c r="T2019" i="2"/>
  <c r="H2216" i="2"/>
  <c r="Q2158" i="2"/>
  <c r="H2135" i="2"/>
  <c r="F2118" i="2"/>
  <c r="N2108" i="2"/>
  <c r="M2100" i="2"/>
  <c r="M2092" i="2"/>
  <c r="G2436" i="2"/>
  <c r="N2294" i="2"/>
  <c r="M2261" i="2"/>
  <c r="G2284" i="2"/>
  <c r="H2295" i="2"/>
  <c r="K2330" i="2"/>
  <c r="J2251" i="2"/>
  <c r="T2245" i="2"/>
  <c r="C2187" i="2"/>
  <c r="P2254" i="2"/>
  <c r="O2246" i="2"/>
  <c r="E2190" i="2"/>
  <c r="R2140" i="2"/>
  <c r="J2215" i="2"/>
  <c r="K2276" i="2"/>
  <c r="C2196" i="2"/>
  <c r="O2248" i="2"/>
  <c r="N2277" i="2"/>
  <c r="A2221" i="2"/>
  <c r="H2247" i="2"/>
  <c r="G2238" i="2"/>
  <c r="E2213" i="2"/>
  <c r="E2189" i="2"/>
  <c r="R2171" i="2"/>
  <c r="E2151" i="2"/>
  <c r="K2132" i="2"/>
  <c r="Q2213" i="2"/>
  <c r="A2176" i="2"/>
  <c r="O2213" i="2"/>
  <c r="J2204" i="2"/>
  <c r="J2168" i="2"/>
  <c r="F2147" i="2"/>
  <c r="Q2128" i="2"/>
  <c r="R2110" i="2"/>
  <c r="N2198" i="2"/>
  <c r="N2166" i="2"/>
  <c r="T2143" i="2"/>
  <c r="D2123" i="2"/>
  <c r="T2209" i="2"/>
  <c r="M2182" i="2"/>
  <c r="Q2164" i="2"/>
  <c r="G2146" i="2"/>
  <c r="J2129" i="2"/>
  <c r="R2278" i="2"/>
  <c r="O2200" i="2"/>
  <c r="N2183" i="2"/>
  <c r="G2168" i="2"/>
  <c r="A2212" i="2"/>
  <c r="T2194" i="2"/>
  <c r="Q2177" i="2"/>
  <c r="C2161" i="2"/>
  <c r="M2148" i="2"/>
  <c r="M2136" i="2"/>
  <c r="S2210" i="2"/>
  <c r="F2214" i="2"/>
  <c r="A2197" i="2"/>
  <c r="J2176" i="2"/>
  <c r="O2162" i="2"/>
  <c r="A2150" i="2"/>
  <c r="F2137" i="2"/>
  <c r="F2125" i="2"/>
  <c r="O2216" i="2"/>
  <c r="T2196" i="2"/>
  <c r="T2180" i="2"/>
  <c r="T2167" i="2"/>
  <c r="M2155" i="2"/>
  <c r="H2144" i="2"/>
  <c r="D2133" i="2"/>
  <c r="J2216" i="2"/>
  <c r="H2201" i="2"/>
  <c r="M2186" i="2"/>
  <c r="H2172" i="2"/>
  <c r="Q2160" i="2"/>
  <c r="S2149" i="2"/>
  <c r="J2139" i="2"/>
  <c r="S2129" i="2"/>
  <c r="S2190" i="2"/>
  <c r="S2128" i="2"/>
  <c r="F2115" i="2"/>
  <c r="E2106" i="2"/>
  <c r="E2098" i="2"/>
  <c r="E2090" i="2"/>
  <c r="E2082" i="2"/>
  <c r="E2074" i="2"/>
  <c r="E2066" i="2"/>
  <c r="E2058" i="2"/>
  <c r="J2165" i="2"/>
  <c r="Q2139" i="2"/>
  <c r="J2120" i="2"/>
  <c r="D2102" i="2"/>
  <c r="S2205" i="2"/>
  <c r="C2157" i="2"/>
  <c r="Q2133" i="2"/>
  <c r="M2117" i="2"/>
  <c r="C2108" i="2"/>
  <c r="C2100" i="2"/>
  <c r="C2092" i="2"/>
  <c r="C2084" i="2"/>
  <c r="C2076" i="2"/>
  <c r="C2068" i="2"/>
  <c r="C2060" i="2"/>
  <c r="C2052" i="2"/>
  <c r="C2044" i="2"/>
  <c r="C2036" i="2"/>
  <c r="C2028" i="2"/>
  <c r="C2020" i="2"/>
  <c r="D2172" i="2"/>
  <c r="H2143" i="2"/>
  <c r="N2122" i="2"/>
  <c r="R2111" i="2"/>
  <c r="H2103" i="2"/>
  <c r="H2095" i="2"/>
  <c r="O2193" i="2"/>
  <c r="S2152" i="2"/>
  <c r="Q2129" i="2"/>
  <c r="Q2115" i="2"/>
  <c r="N2106" i="2"/>
  <c r="N2098" i="2"/>
  <c r="N2090" i="2"/>
  <c r="N2082" i="2"/>
  <c r="N2074" i="2"/>
  <c r="N2066" i="2"/>
  <c r="N2058" i="2"/>
  <c r="N2050" i="2"/>
  <c r="N2042" i="2"/>
  <c r="N2034" i="2"/>
  <c r="N2026" i="2"/>
  <c r="E2429" i="2"/>
  <c r="D2360" i="2"/>
  <c r="K2279" i="2"/>
  <c r="C2261" i="2"/>
  <c r="P2286" i="2"/>
  <c r="J2338" i="2"/>
  <c r="Q2248" i="2"/>
  <c r="H2241" i="2"/>
  <c r="C2203" i="2"/>
  <c r="T2247" i="2"/>
  <c r="K2245" i="2"/>
  <c r="K2189" i="2"/>
  <c r="E2126" i="2"/>
  <c r="Q2214" i="2"/>
  <c r="P2273" i="2"/>
  <c r="K2247" i="2"/>
  <c r="G2276" i="2"/>
  <c r="G2220" i="2"/>
  <c r="E2246" i="2"/>
  <c r="O2274" i="2"/>
  <c r="G2237" i="2"/>
  <c r="K2208" i="2"/>
  <c r="K2188" i="2"/>
  <c r="E2171" i="2"/>
  <c r="E2149" i="2"/>
  <c r="R2131" i="2"/>
  <c r="T2206" i="2"/>
  <c r="T2174" i="2"/>
  <c r="M2212" i="2"/>
  <c r="N2197" i="2"/>
  <c r="N2167" i="2"/>
  <c r="A2128" i="2"/>
  <c r="E2110" i="2"/>
  <c r="Q2191" i="2"/>
  <c r="T2163" i="2"/>
  <c r="D2143" i="2"/>
  <c r="H2122" i="2"/>
  <c r="O2207" i="2"/>
  <c r="G2180" i="2"/>
  <c r="J2159" i="2"/>
  <c r="J2145" i="2"/>
  <c r="O2128" i="2"/>
  <c r="E2262" i="2"/>
  <c r="N2199" i="2"/>
  <c r="J2182" i="2"/>
  <c r="N2165" i="2"/>
  <c r="T2210" i="2"/>
  <c r="Q2193" i="2"/>
  <c r="F2160" i="2"/>
  <c r="P2147" i="2"/>
  <c r="D2134" i="2"/>
  <c r="O2209" i="2"/>
  <c r="A2213" i="2"/>
  <c r="N2193" i="2"/>
  <c r="G2175" i="2"/>
  <c r="Q2161" i="2"/>
  <c r="F2215" i="2"/>
  <c r="Q2195" i="2"/>
  <c r="Q2179" i="2"/>
  <c r="C2167" i="2"/>
  <c r="P2154" i="2"/>
  <c r="M2143" i="2"/>
  <c r="P2130" i="2"/>
  <c r="D2215" i="2"/>
  <c r="G2200" i="2"/>
  <c r="H2185" i="2"/>
  <c r="J2171" i="2"/>
  <c r="S2159" i="2"/>
  <c r="C2149" i="2"/>
  <c r="O2138" i="2"/>
  <c r="C2129" i="2"/>
  <c r="G2186" i="2"/>
  <c r="O2149" i="2"/>
  <c r="G2127" i="2"/>
  <c r="J2114" i="2"/>
  <c r="K2105" i="2"/>
  <c r="K2097" i="2"/>
  <c r="K2089" i="2"/>
  <c r="K2081" i="2"/>
  <c r="K2073" i="2"/>
  <c r="K2065" i="2"/>
  <c r="K2057" i="2"/>
  <c r="S2161" i="2"/>
  <c r="Q2137" i="2"/>
  <c r="M2119" i="2"/>
  <c r="N2109" i="2"/>
  <c r="J2101" i="2"/>
  <c r="A2199" i="2"/>
  <c r="A2155" i="2"/>
  <c r="C2132" i="2"/>
  <c r="O2116" i="2"/>
  <c r="M2168" i="2"/>
  <c r="H2121" i="2"/>
  <c r="C2111" i="2"/>
  <c r="O2102" i="2"/>
  <c r="O2094" i="2"/>
  <c r="D2189" i="2"/>
  <c r="S2150" i="2"/>
  <c r="F2128" i="2"/>
  <c r="A2115" i="2"/>
  <c r="T2105" i="2"/>
  <c r="T2097" i="2"/>
  <c r="T2089" i="2"/>
  <c r="T2081" i="2"/>
  <c r="T2073" i="2"/>
  <c r="T2065" i="2"/>
  <c r="T2057" i="2"/>
  <c r="T2049" i="2"/>
  <c r="T2041" i="2"/>
  <c r="T2033" i="2"/>
  <c r="T2025" i="2"/>
  <c r="T2017" i="2"/>
  <c r="G2193" i="2"/>
  <c r="N2152" i="2"/>
  <c r="P2129" i="2"/>
  <c r="P2115" i="2"/>
  <c r="M2106" i="2"/>
  <c r="M2098" i="2"/>
  <c r="A2306" i="2"/>
  <c r="S2303" i="2"/>
  <c r="D2248" i="2"/>
  <c r="G2249" i="2"/>
  <c r="M2246" i="2"/>
  <c r="K2262" i="2"/>
  <c r="C2245" i="2"/>
  <c r="G2239" i="2"/>
  <c r="R2187" i="2"/>
  <c r="E2147" i="2"/>
  <c r="M2179" i="2"/>
  <c r="N2205" i="2"/>
  <c r="A2148" i="2"/>
  <c r="K2111" i="2"/>
  <c r="F2162" i="2"/>
  <c r="Q2114" i="2"/>
  <c r="O2165" i="2"/>
  <c r="C2127" i="2"/>
  <c r="F2196" i="2"/>
  <c r="H2214" i="2"/>
  <c r="M2173" i="2"/>
  <c r="D2146" i="2"/>
  <c r="D2205" i="2"/>
  <c r="G2174" i="2"/>
  <c r="N2147" i="2"/>
  <c r="F2207" i="2"/>
  <c r="S2168" i="2"/>
  <c r="H2140" i="2"/>
  <c r="M2210" i="2"/>
  <c r="M2170" i="2"/>
  <c r="O2146" i="2"/>
  <c r="J2130" i="2"/>
  <c r="E2104" i="2"/>
  <c r="R2086" i="2"/>
  <c r="R2064" i="2"/>
  <c r="G2155" i="2"/>
  <c r="N2117" i="2"/>
  <c r="D2100" i="2"/>
  <c r="G2151" i="2"/>
  <c r="P2104" i="2"/>
  <c r="P2080" i="2"/>
  <c r="P2056" i="2"/>
  <c r="P2032" i="2"/>
  <c r="G2145" i="2"/>
  <c r="R2115" i="2"/>
  <c r="A2100" i="2"/>
  <c r="H2175" i="2"/>
  <c r="N2126" i="2"/>
  <c r="G2107" i="2"/>
  <c r="T2093" i="2"/>
  <c r="T2079" i="2"/>
  <c r="G2065" i="2"/>
  <c r="G2053" i="2"/>
  <c r="G2039" i="2"/>
  <c r="N2024" i="2"/>
  <c r="G2013" i="2"/>
  <c r="S2148" i="2"/>
  <c r="D2121" i="2"/>
  <c r="S2107" i="2"/>
  <c r="F2097" i="2"/>
  <c r="S2087" i="2"/>
  <c r="F2079" i="2"/>
  <c r="F2071" i="2"/>
  <c r="F2063" i="2"/>
  <c r="G2202" i="2"/>
  <c r="G2156" i="2"/>
  <c r="G2133" i="2"/>
  <c r="F2117" i="2"/>
  <c r="R2107" i="2"/>
  <c r="R2099" i="2"/>
  <c r="R2091" i="2"/>
  <c r="R2083" i="2"/>
  <c r="R2075" i="2"/>
  <c r="R2067" i="2"/>
  <c r="R2059" i="2"/>
  <c r="R2051" i="2"/>
  <c r="R2043" i="2"/>
  <c r="R2035" i="2"/>
  <c r="O2163" i="2"/>
  <c r="S2138" i="2"/>
  <c r="T2119" i="2"/>
  <c r="T2109" i="2"/>
  <c r="Q2101" i="2"/>
  <c r="F2192" i="2"/>
  <c r="D2152" i="2"/>
  <c r="H2129" i="2"/>
  <c r="M2115" i="2"/>
  <c r="D2160" i="2"/>
  <c r="N2136" i="2"/>
  <c r="S2118" i="2"/>
  <c r="D2109" i="2"/>
  <c r="A2101" i="2"/>
  <c r="A2093" i="2"/>
  <c r="A2085" i="2"/>
  <c r="A2077" i="2"/>
  <c r="A2069" i="2"/>
  <c r="A2061" i="2"/>
  <c r="A2053" i="2"/>
  <c r="A2045" i="2"/>
  <c r="A2037" i="2"/>
  <c r="A2029" i="2"/>
  <c r="A2021" i="2"/>
  <c r="Q2162" i="2"/>
  <c r="J2138" i="2"/>
  <c r="P2119" i="2"/>
  <c r="Q2109" i="2"/>
  <c r="N2101" i="2"/>
  <c r="N2093" i="2"/>
  <c r="N2085" i="2"/>
  <c r="N2077" i="2"/>
  <c r="N2069" i="2"/>
  <c r="N2061" i="2"/>
  <c r="N2053" i="2"/>
  <c r="N2045" i="2"/>
  <c r="N2037" i="2"/>
  <c r="N2029" i="2"/>
  <c r="N2021" i="2"/>
  <c r="N2013" i="2"/>
  <c r="F2086" i="2"/>
  <c r="C2067" i="2"/>
  <c r="O2036" i="2"/>
  <c r="J2024" i="2"/>
  <c r="P2013" i="2"/>
  <c r="K2005" i="2"/>
  <c r="K1997" i="2"/>
  <c r="K1989" i="2"/>
  <c r="K1981" i="2"/>
  <c r="K1973" i="2"/>
  <c r="K1965" i="2"/>
  <c r="F2200" i="2"/>
  <c r="S2082" i="2"/>
  <c r="P2063" i="2"/>
  <c r="A2048" i="2"/>
  <c r="D2012" i="2"/>
  <c r="D2004" i="2"/>
  <c r="D1996" i="2"/>
  <c r="D1988" i="2"/>
  <c r="D1980" i="2"/>
  <c r="S2098" i="2"/>
  <c r="Q2074" i="2"/>
  <c r="S2055" i="2"/>
  <c r="J2312" i="2"/>
  <c r="S2291" i="2"/>
  <c r="J2247" i="2"/>
  <c r="C2248" i="2"/>
  <c r="R2222" i="2"/>
  <c r="C2174" i="2"/>
  <c r="P2277" i="2"/>
  <c r="P2257" i="2"/>
  <c r="H2233" i="2"/>
  <c r="G2230" i="2"/>
  <c r="E2187" i="2"/>
  <c r="E2143" i="2"/>
  <c r="T2173" i="2"/>
  <c r="F2194" i="2"/>
  <c r="K2109" i="2"/>
  <c r="G2161" i="2"/>
  <c r="M2158" i="2"/>
  <c r="G2126" i="2"/>
  <c r="A2195" i="2"/>
  <c r="Q2209" i="2"/>
  <c r="P2171" i="2"/>
  <c r="P2143" i="2"/>
  <c r="G2215" i="2"/>
  <c r="H2173" i="2"/>
  <c r="Q2146" i="2"/>
  <c r="A2126" i="2"/>
  <c r="H2200" i="2"/>
  <c r="F2166" i="2"/>
  <c r="M2139" i="2"/>
  <c r="M2202" i="2"/>
  <c r="O2169" i="2"/>
  <c r="C2145" i="2"/>
  <c r="H2195" i="2"/>
  <c r="O2125" i="2"/>
  <c r="K2103" i="2"/>
  <c r="R2082" i="2"/>
  <c r="E2064" i="2"/>
  <c r="G2153" i="2"/>
  <c r="P2116" i="2"/>
  <c r="J2099" i="2"/>
  <c r="G2149" i="2"/>
  <c r="P2090" i="2"/>
  <c r="P2066" i="2"/>
  <c r="P2042" i="2"/>
  <c r="P2018" i="2"/>
  <c r="O2098" i="2"/>
  <c r="O2171" i="2"/>
  <c r="A2125" i="2"/>
  <c r="G2105" i="2"/>
  <c r="G2093" i="2"/>
  <c r="G2079" i="2"/>
  <c r="N2064" i="2"/>
  <c r="G2051" i="2"/>
  <c r="T2037" i="2"/>
  <c r="T2023" i="2"/>
  <c r="J2202" i="2"/>
  <c r="S2146" i="2"/>
  <c r="F2120" i="2"/>
  <c r="F2107" i="2"/>
  <c r="M2096" i="2"/>
  <c r="M2086" i="2"/>
  <c r="M2078" i="2"/>
  <c r="M2070" i="2"/>
  <c r="M2062" i="2"/>
  <c r="O2197" i="2"/>
  <c r="J2154" i="2"/>
  <c r="H2131" i="2"/>
  <c r="J2116" i="2"/>
  <c r="E2107" i="2"/>
  <c r="E2099" i="2"/>
  <c r="E2091" i="2"/>
  <c r="E2083" i="2"/>
  <c r="E2075" i="2"/>
  <c r="E2067" i="2"/>
  <c r="E2059" i="2"/>
  <c r="E2051" i="2"/>
  <c r="E2043" i="2"/>
  <c r="E2035" i="2"/>
  <c r="M2160" i="2"/>
  <c r="T2136" i="2"/>
  <c r="A2119" i="2"/>
  <c r="F2109" i="2"/>
  <c r="D2101" i="2"/>
  <c r="N2187" i="2"/>
  <c r="F2150" i="2"/>
  <c r="P2127" i="2"/>
  <c r="O2114" i="2"/>
  <c r="P2105" i="2"/>
  <c r="P2097" i="2"/>
  <c r="N2211" i="2"/>
  <c r="T2157" i="2"/>
  <c r="N2134" i="2"/>
  <c r="R2117" i="2"/>
  <c r="H2100" i="2"/>
  <c r="H2092" i="2"/>
  <c r="H2084" i="2"/>
  <c r="H2076" i="2"/>
  <c r="H2068" i="2"/>
  <c r="H2060" i="2"/>
  <c r="H2052" i="2"/>
  <c r="H2044" i="2"/>
  <c r="H2036" i="2"/>
  <c r="H2028" i="2"/>
  <c r="H2020" i="2"/>
  <c r="Q2159" i="2"/>
  <c r="J2136" i="2"/>
  <c r="O2118" i="2"/>
  <c r="C2109" i="2"/>
  <c r="T2100" i="2"/>
  <c r="T2092" i="2"/>
  <c r="T2084" i="2"/>
  <c r="T2076" i="2"/>
  <c r="T2068" i="2"/>
  <c r="T2060" i="2"/>
  <c r="T2052" i="2"/>
  <c r="T2044" i="2"/>
  <c r="T2036" i="2"/>
  <c r="T2028" i="2"/>
  <c r="T2020" i="2"/>
  <c r="T2012" i="2"/>
  <c r="O2084" i="2"/>
  <c r="J2065" i="2"/>
  <c r="F2049" i="2"/>
  <c r="K2035" i="2"/>
  <c r="J2023" i="2"/>
  <c r="S2012" i="2"/>
  <c r="R2004" i="2"/>
  <c r="R1996" i="2"/>
  <c r="R1988" i="2"/>
  <c r="R1980" i="2"/>
  <c r="R1972" i="2"/>
  <c r="R1964" i="2"/>
  <c r="M2368" i="2"/>
  <c r="J2258" i="2"/>
  <c r="Q2232" i="2"/>
  <c r="T2246" i="2"/>
  <c r="P2261" i="2"/>
  <c r="R2192" i="2"/>
  <c r="M2223" i="2"/>
  <c r="O2219" i="2"/>
  <c r="J2276" i="2"/>
  <c r="N2256" i="2"/>
  <c r="N2226" i="2"/>
  <c r="E2183" i="2"/>
  <c r="E2133" i="2"/>
  <c r="C2173" i="2"/>
  <c r="A2193" i="2"/>
  <c r="N2145" i="2"/>
  <c r="F2237" i="2"/>
  <c r="J2217" i="2"/>
  <c r="O2157" i="2"/>
  <c r="J2125" i="2"/>
  <c r="O2184" i="2"/>
  <c r="N2208" i="2"/>
  <c r="S2170" i="2"/>
  <c r="T2142" i="2"/>
  <c r="S2211" i="2"/>
  <c r="J2172" i="2"/>
  <c r="F2145" i="2"/>
  <c r="N2194" i="2"/>
  <c r="G2165" i="2"/>
  <c r="P2138" i="2"/>
  <c r="D2199" i="2"/>
  <c r="Q2168" i="2"/>
  <c r="G2140" i="2"/>
  <c r="O2181" i="2"/>
  <c r="D2124" i="2"/>
  <c r="R2102" i="2"/>
  <c r="R2080" i="2"/>
  <c r="K2063" i="2"/>
  <c r="T2115" i="2"/>
  <c r="Q2098" i="2"/>
  <c r="H2147" i="2"/>
  <c r="S2115" i="2"/>
  <c r="C2090" i="2"/>
  <c r="C2066" i="2"/>
  <c r="C2042" i="2"/>
  <c r="C2018" i="2"/>
  <c r="N2112" i="2"/>
  <c r="A2096" i="2"/>
  <c r="M2164" i="2"/>
  <c r="O2123" i="2"/>
  <c r="N2104" i="2"/>
  <c r="G2091" i="2"/>
  <c r="T2077" i="2"/>
  <c r="T2063" i="2"/>
  <c r="G2049" i="2"/>
  <c r="G2037" i="2"/>
  <c r="G2023" i="2"/>
  <c r="S2197" i="2"/>
  <c r="T2144" i="2"/>
  <c r="D2119" i="2"/>
  <c r="S2105" i="2"/>
  <c r="S2095" i="2"/>
  <c r="S2085" i="2"/>
  <c r="S2077" i="2"/>
  <c r="S2069" i="2"/>
  <c r="S2061" i="2"/>
  <c r="D2193" i="2"/>
  <c r="J2152" i="2"/>
  <c r="O2129" i="2"/>
  <c r="O2115" i="2"/>
  <c r="K2106" i="2"/>
  <c r="K2098" i="2"/>
  <c r="K2090" i="2"/>
  <c r="K2082" i="2"/>
  <c r="K2074" i="2"/>
  <c r="K2066" i="2"/>
  <c r="K2058" i="2"/>
  <c r="K2050" i="2"/>
  <c r="K2042" i="2"/>
  <c r="S2213" i="2"/>
  <c r="H2158" i="2"/>
  <c r="A2135" i="2"/>
  <c r="T2117" i="2"/>
  <c r="K2108" i="2"/>
  <c r="J2100" i="2"/>
  <c r="A2183" i="2"/>
  <c r="F2148" i="2"/>
  <c r="D2126" i="2"/>
  <c r="S2113" i="2"/>
  <c r="C2105" i="2"/>
  <c r="C2097" i="2"/>
  <c r="D2201" i="2"/>
  <c r="Q2155" i="2"/>
  <c r="S2132" i="2"/>
  <c r="C2117" i="2"/>
  <c r="O2107" i="2"/>
  <c r="O2099" i="2"/>
  <c r="O2091" i="2"/>
  <c r="O2083" i="2"/>
  <c r="O2075" i="2"/>
  <c r="O2067" i="2"/>
  <c r="O2059" i="2"/>
  <c r="O2051" i="2"/>
  <c r="O2043" i="2"/>
  <c r="O2035" i="2"/>
  <c r="O2027" i="2"/>
  <c r="J2210" i="2"/>
  <c r="S2157" i="2"/>
  <c r="M2134" i="2"/>
  <c r="Q2117" i="2"/>
  <c r="H2108" i="2"/>
  <c r="G2100" i="2"/>
  <c r="G2092" i="2"/>
  <c r="G2084" i="2"/>
  <c r="G2076" i="2"/>
  <c r="G2068" i="2"/>
  <c r="G2060" i="2"/>
  <c r="G2052" i="2"/>
  <c r="G2044" i="2"/>
  <c r="G2036" i="2"/>
  <c r="G2028" i="2"/>
  <c r="G2020" i="2"/>
  <c r="G2209" i="2"/>
  <c r="J2252" i="2"/>
  <c r="J2227" i="2"/>
  <c r="H2243" i="2"/>
  <c r="R2188" i="2"/>
  <c r="Q2210" i="2"/>
  <c r="M2227" i="2"/>
  <c r="O2225" i="2"/>
  <c r="E2181" i="2"/>
  <c r="E2131" i="2"/>
  <c r="S2191" i="2"/>
  <c r="Q2215" i="2"/>
  <c r="H2146" i="2"/>
  <c r="M2206" i="2"/>
  <c r="Q2156" i="2"/>
  <c r="G2181" i="2"/>
  <c r="M2207" i="2"/>
  <c r="T2169" i="2"/>
  <c r="H2137" i="2"/>
  <c r="O2210" i="2"/>
  <c r="N2171" i="2"/>
  <c r="N2123" i="2"/>
  <c r="M2193" i="2"/>
  <c r="T2133" i="2"/>
  <c r="T2197" i="2"/>
  <c r="S2167" i="2"/>
  <c r="S2137" i="2"/>
  <c r="D2177" i="2"/>
  <c r="S2122" i="2"/>
  <c r="R2098" i="2"/>
  <c r="E2080" i="2"/>
  <c r="R2062" i="2"/>
  <c r="J2097" i="2"/>
  <c r="D2115" i="2"/>
  <c r="P2100" i="2"/>
  <c r="P2076" i="2"/>
  <c r="P2052" i="2"/>
  <c r="P2028" i="2"/>
  <c r="F2229" i="2"/>
  <c r="O2137" i="2"/>
  <c r="G2110" i="2"/>
  <c r="A2094" i="2"/>
  <c r="N2154" i="2"/>
  <c r="M2122" i="2"/>
  <c r="T2103" i="2"/>
  <c r="G2089" i="2"/>
  <c r="G2077" i="2"/>
  <c r="G2063" i="2"/>
  <c r="N2048" i="2"/>
  <c r="G2035" i="2"/>
  <c r="T2021" i="2"/>
  <c r="O2188" i="2"/>
  <c r="A2141" i="2"/>
  <c r="G2117" i="2"/>
  <c r="F2105" i="2"/>
  <c r="M2094" i="2"/>
  <c r="F2085" i="2"/>
  <c r="F2077" i="2"/>
  <c r="F2069" i="2"/>
  <c r="F2061" i="2"/>
  <c r="M2188" i="2"/>
  <c r="M2150" i="2"/>
  <c r="C2128" i="2"/>
  <c r="S2114" i="2"/>
  <c r="R2105" i="2"/>
  <c r="R2097" i="2"/>
  <c r="R2089" i="2"/>
  <c r="R2081" i="2"/>
  <c r="R2073" i="2"/>
  <c r="R2065" i="2"/>
  <c r="R2057" i="2"/>
  <c r="R2049" i="2"/>
  <c r="R2041" i="2"/>
  <c r="O2201" i="2"/>
  <c r="F2156" i="2"/>
  <c r="A2133" i="2"/>
  <c r="E2117" i="2"/>
  <c r="Q2107" i="2"/>
  <c r="Q2099" i="2"/>
  <c r="J2178" i="2"/>
  <c r="J2146" i="2"/>
  <c r="M2124" i="2"/>
  <c r="D2113" i="2"/>
  <c r="M2196" i="2"/>
  <c r="Q2153" i="2"/>
  <c r="S2130" i="2"/>
  <c r="G2116" i="2"/>
  <c r="A2107" i="2"/>
  <c r="A2099" i="2"/>
  <c r="A2091" i="2"/>
  <c r="A2083" i="2"/>
  <c r="A2075" i="2"/>
  <c r="A2067" i="2"/>
  <c r="A2059" i="2"/>
  <c r="A2051" i="2"/>
  <c r="A2043" i="2"/>
  <c r="A2035" i="2"/>
  <c r="A2027" i="2"/>
  <c r="M2200" i="2"/>
  <c r="O2155" i="2"/>
  <c r="N2132" i="2"/>
  <c r="A2117" i="2"/>
  <c r="N2107" i="2"/>
  <c r="N2099" i="2"/>
  <c r="N2091" i="2"/>
  <c r="N2083" i="2"/>
  <c r="N2075" i="2"/>
  <c r="N2067" i="2"/>
  <c r="N2059" i="2"/>
  <c r="N2051" i="2"/>
  <c r="N2043" i="2"/>
  <c r="N2035" i="2"/>
  <c r="N2027" i="2"/>
  <c r="N2019" i="2"/>
  <c r="N2157" i="2"/>
  <c r="J2081" i="2"/>
  <c r="F2062" i="2"/>
  <c r="S2046" i="2"/>
  <c r="J2033" i="2"/>
  <c r="J2021" i="2"/>
  <c r="K2011" i="2"/>
  <c r="K2003" i="2"/>
  <c r="K1995" i="2"/>
  <c r="K1987" i="2"/>
  <c r="D2243" i="2"/>
  <c r="E2242" i="2"/>
  <c r="E2174" i="2"/>
  <c r="D2208" i="2"/>
  <c r="C2190" i="2"/>
  <c r="J2287" i="2"/>
  <c r="R2224" i="2"/>
  <c r="K2172" i="2"/>
  <c r="E2127" i="2"/>
  <c r="P2167" i="2"/>
  <c r="O2190" i="2"/>
  <c r="Q2140" i="2"/>
  <c r="N2214" i="2"/>
  <c r="H2142" i="2"/>
  <c r="H2205" i="2"/>
  <c r="S2155" i="2"/>
  <c r="C2118" i="2"/>
  <c r="F2180" i="2"/>
  <c r="H2206" i="2"/>
  <c r="H2133" i="2"/>
  <c r="G2207" i="2"/>
  <c r="N2163" i="2"/>
  <c r="Q2122" i="2"/>
  <c r="H2192" i="2"/>
  <c r="M2163" i="2"/>
  <c r="T2129" i="2"/>
  <c r="S2196" i="2"/>
  <c r="O2161" i="2"/>
  <c r="C2137" i="2"/>
  <c r="A2173" i="2"/>
  <c r="P2121" i="2"/>
  <c r="R2096" i="2"/>
  <c r="K2079" i="2"/>
  <c r="R2058" i="2"/>
  <c r="P2141" i="2"/>
  <c r="E2111" i="2"/>
  <c r="H2114" i="2"/>
  <c r="P2088" i="2"/>
  <c r="P2064" i="2"/>
  <c r="P2040" i="2"/>
  <c r="O2204" i="2"/>
  <c r="O2135" i="2"/>
  <c r="J2109" i="2"/>
  <c r="H2093" i="2"/>
  <c r="T2148" i="2"/>
  <c r="G2120" i="2"/>
  <c r="G2103" i="2"/>
  <c r="N2088" i="2"/>
  <c r="G2075" i="2"/>
  <c r="T2061" i="2"/>
  <c r="T2047" i="2"/>
  <c r="G2033" i="2"/>
  <c r="G2021" i="2"/>
  <c r="F2184" i="2"/>
  <c r="G2139" i="2"/>
  <c r="K2116" i="2"/>
  <c r="M2104" i="2"/>
  <c r="S2093" i="2"/>
  <c r="M2084" i="2"/>
  <c r="M2076" i="2"/>
  <c r="M2068" i="2"/>
  <c r="M2060" i="2"/>
  <c r="T2183" i="2"/>
  <c r="N2148" i="2"/>
  <c r="J2126" i="2"/>
  <c r="A2114" i="2"/>
  <c r="E2105" i="2"/>
  <c r="E2097" i="2"/>
  <c r="E2089" i="2"/>
  <c r="E2081" i="2"/>
  <c r="E2073" i="2"/>
  <c r="E2065" i="2"/>
  <c r="E2057" i="2"/>
  <c r="E2049" i="2"/>
  <c r="E2041" i="2"/>
  <c r="D2197" i="2"/>
  <c r="F2154" i="2"/>
  <c r="G2131" i="2"/>
  <c r="D2107" i="2"/>
  <c r="D2099" i="2"/>
  <c r="A2174" i="2"/>
  <c r="J2144" i="2"/>
  <c r="H2123" i="2"/>
  <c r="H2112" i="2"/>
  <c r="P2103" i="2"/>
  <c r="P2095" i="2"/>
  <c r="T2191" i="2"/>
  <c r="C2152" i="2"/>
  <c r="G2129" i="2"/>
  <c r="H2106" i="2"/>
  <c r="H2098" i="2"/>
  <c r="H2090" i="2"/>
  <c r="H2082" i="2"/>
  <c r="H2074" i="2"/>
  <c r="H2066" i="2"/>
  <c r="H2058" i="2"/>
  <c r="H2050" i="2"/>
  <c r="H2042" i="2"/>
  <c r="H2034" i="2"/>
  <c r="H2026" i="2"/>
  <c r="T2195" i="2"/>
  <c r="P2153" i="2"/>
  <c r="N2130" i="2"/>
  <c r="F2116" i="2"/>
  <c r="T2106" i="2"/>
  <c r="T2098" i="2"/>
  <c r="T2090" i="2"/>
  <c r="T2082" i="2"/>
  <c r="T2074" i="2"/>
  <c r="T2066" i="2"/>
  <c r="T2058" i="2"/>
  <c r="T2050" i="2"/>
  <c r="T2042" i="2"/>
  <c r="T2034" i="2"/>
  <c r="T2026" i="2"/>
  <c r="T2018" i="2"/>
  <c r="J2134" i="2"/>
  <c r="Q2079" i="2"/>
  <c r="O2060" i="2"/>
  <c r="Q2045" i="2"/>
  <c r="J2032" i="2"/>
  <c r="J2020" i="2"/>
  <c r="R2010" i="2"/>
  <c r="R2002" i="2"/>
  <c r="R1994" i="2"/>
  <c r="R1986" i="2"/>
  <c r="R1978" i="2"/>
  <c r="R1970" i="2"/>
  <c r="R1962" i="2"/>
  <c r="M2107" i="2"/>
  <c r="J2076" i="2"/>
  <c r="H2057" i="2"/>
  <c r="J2043" i="2"/>
  <c r="K2018" i="2"/>
  <c r="J2009" i="2"/>
  <c r="J2001" i="2"/>
  <c r="J1993" i="2"/>
  <c r="J1985" i="2"/>
  <c r="J1977" i="2"/>
  <c r="M2087" i="2"/>
  <c r="H2051" i="2"/>
  <c r="Q2266" i="2"/>
  <c r="K2282" i="2"/>
  <c r="E2240" i="2"/>
  <c r="P2201" i="2"/>
  <c r="D2219" i="2"/>
  <c r="E2166" i="2"/>
  <c r="J2191" i="2"/>
  <c r="K2235" i="2"/>
  <c r="M2219" i="2"/>
  <c r="R2213" i="2"/>
  <c r="E2165" i="2"/>
  <c r="K2124" i="2"/>
  <c r="O2166" i="2"/>
  <c r="H2188" i="2"/>
  <c r="P2136" i="2"/>
  <c r="D2203" i="2"/>
  <c r="O2144" i="2"/>
  <c r="J2214" i="2"/>
  <c r="N2175" i="2"/>
  <c r="N2192" i="2"/>
  <c r="G2159" i="2"/>
  <c r="T2130" i="2"/>
  <c r="F2198" i="2"/>
  <c r="A2160" i="2"/>
  <c r="F2121" i="2"/>
  <c r="A2182" i="2"/>
  <c r="T2153" i="2"/>
  <c r="H2128" i="2"/>
  <c r="O2187" i="2"/>
  <c r="D2158" i="2"/>
  <c r="J2135" i="2"/>
  <c r="O2113" i="2"/>
  <c r="K2095" i="2"/>
  <c r="R2074" i="2"/>
  <c r="A2207" i="2"/>
  <c r="C2134" i="2"/>
  <c r="S2108" i="2"/>
  <c r="S2189" i="2"/>
  <c r="D2130" i="2"/>
  <c r="S2111" i="2"/>
  <c r="C2098" i="2"/>
  <c r="C2074" i="2"/>
  <c r="C2050" i="2"/>
  <c r="C2026" i="2"/>
  <c r="T2175" i="2"/>
  <c r="C2130" i="2"/>
  <c r="A2108" i="2"/>
  <c r="A2092" i="2"/>
  <c r="A2145" i="2"/>
  <c r="F2114" i="2"/>
  <c r="G2101" i="2"/>
  <c r="G2087" i="2"/>
  <c r="N2072" i="2"/>
  <c r="G2059" i="2"/>
  <c r="T2045" i="2"/>
  <c r="T2031" i="2"/>
  <c r="N2018" i="2"/>
  <c r="A2175" i="2"/>
  <c r="C2114" i="2"/>
  <c r="M2102" i="2"/>
  <c r="S2091" i="2"/>
  <c r="F2083" i="2"/>
  <c r="F2075" i="2"/>
  <c r="F2067" i="2"/>
  <c r="F2059" i="2"/>
  <c r="S2174" i="2"/>
  <c r="S2144" i="2"/>
  <c r="J2123" i="2"/>
  <c r="J2112" i="2"/>
  <c r="R2103" i="2"/>
  <c r="R2095" i="2"/>
  <c r="R2087" i="2"/>
  <c r="R2079" i="2"/>
  <c r="R2071" i="2"/>
  <c r="R2063" i="2"/>
  <c r="R2055" i="2"/>
  <c r="R2047" i="2"/>
  <c r="R2039" i="2"/>
  <c r="T2187" i="2"/>
  <c r="J2150" i="2"/>
  <c r="Q2127" i="2"/>
  <c r="P2114" i="2"/>
  <c r="Q2105" i="2"/>
  <c r="Q2097" i="2"/>
  <c r="T2166" i="2"/>
  <c r="N2140" i="2"/>
  <c r="T2120" i="2"/>
  <c r="O2110" i="2"/>
  <c r="S2182" i="2"/>
  <c r="D2148" i="2"/>
  <c r="C2126" i="2"/>
  <c r="R2113" i="2"/>
  <c r="A2105" i="2"/>
  <c r="A2097" i="2"/>
  <c r="A2089" i="2"/>
  <c r="A2081" i="2"/>
  <c r="A2073" i="2"/>
  <c r="A2065" i="2"/>
  <c r="A2057" i="2"/>
  <c r="A2049" i="2"/>
  <c r="A2041" i="2"/>
  <c r="A2033" i="2"/>
  <c r="A2025" i="2"/>
  <c r="S2186" i="2"/>
  <c r="Q2149" i="2"/>
  <c r="M2114" i="2"/>
  <c r="N2105" i="2"/>
  <c r="N2097" i="2"/>
  <c r="N2089" i="2"/>
  <c r="N2081" i="2"/>
  <c r="N2073" i="2"/>
  <c r="N2065" i="2"/>
  <c r="N2057" i="2"/>
  <c r="N2049" i="2"/>
  <c r="N2041" i="2"/>
  <c r="N2033" i="2"/>
  <c r="N2025" i="2"/>
  <c r="N2017" i="2"/>
  <c r="G2108" i="2"/>
  <c r="O2076" i="2"/>
  <c r="J2057" i="2"/>
  <c r="K2043" i="2"/>
  <c r="J2030" i="2"/>
  <c r="M2018" i="2"/>
  <c r="K2009" i="2"/>
  <c r="K2001" i="2"/>
  <c r="K1993" i="2"/>
  <c r="K1985" i="2"/>
  <c r="A2266" i="2"/>
  <c r="E2310" i="2"/>
  <c r="K2141" i="2"/>
  <c r="M2232" i="2"/>
  <c r="C2265" i="2"/>
  <c r="R2205" i="2"/>
  <c r="K2164" i="2"/>
  <c r="T2214" i="2"/>
  <c r="S2214" i="2"/>
  <c r="Q2165" i="2"/>
  <c r="F2187" i="2"/>
  <c r="H2134" i="2"/>
  <c r="H2189" i="2"/>
  <c r="S2139" i="2"/>
  <c r="G2213" i="2"/>
  <c r="D2169" i="2"/>
  <c r="M2191" i="2"/>
  <c r="R2275" i="2"/>
  <c r="J2192" i="2"/>
  <c r="H2157" i="2"/>
  <c r="N2135" i="2"/>
  <c r="N2178" i="2"/>
  <c r="D2153" i="2"/>
  <c r="M2127" i="2"/>
  <c r="G2184" i="2"/>
  <c r="F2157" i="2"/>
  <c r="O2130" i="2"/>
  <c r="S2112" i="2"/>
  <c r="R2094" i="2"/>
  <c r="R2072" i="2"/>
  <c r="H2199" i="2"/>
  <c r="D2132" i="2"/>
  <c r="D2108" i="2"/>
  <c r="G2185" i="2"/>
  <c r="M2128" i="2"/>
  <c r="Q2108" i="2"/>
  <c r="P2084" i="2"/>
  <c r="P2060" i="2"/>
  <c r="P2036" i="2"/>
  <c r="A2165" i="2"/>
  <c r="P2123" i="2"/>
  <c r="O2106" i="2"/>
  <c r="O2090" i="2"/>
  <c r="G2143" i="2"/>
  <c r="H2113" i="2"/>
  <c r="G2099" i="2"/>
  <c r="T2085" i="2"/>
  <c r="T2071" i="2"/>
  <c r="G2057" i="2"/>
  <c r="G2045" i="2"/>
  <c r="G2031" i="2"/>
  <c r="G2017" i="2"/>
  <c r="Q2167" i="2"/>
  <c r="G2113" i="2"/>
  <c r="S2101" i="2"/>
  <c r="F2091" i="2"/>
  <c r="M2082" i="2"/>
  <c r="M2074" i="2"/>
  <c r="M2066" i="2"/>
  <c r="M2058" i="2"/>
  <c r="F2171" i="2"/>
  <c r="S2142" i="2"/>
  <c r="F2122" i="2"/>
  <c r="O2111" i="2"/>
  <c r="E2103" i="2"/>
  <c r="E2095" i="2"/>
  <c r="E2087" i="2"/>
  <c r="E2079" i="2"/>
  <c r="E2071" i="2"/>
  <c r="E2063" i="2"/>
  <c r="E2055" i="2"/>
  <c r="E2047" i="2"/>
  <c r="E2039" i="2"/>
  <c r="H2183" i="2"/>
  <c r="J2148" i="2"/>
  <c r="F2126" i="2"/>
  <c r="T2113" i="2"/>
  <c r="D2105" i="2"/>
  <c r="D2097" i="2"/>
  <c r="H2163" i="2"/>
  <c r="N2138" i="2"/>
  <c r="S2119" i="2"/>
  <c r="S2109" i="2"/>
  <c r="P2101" i="2"/>
  <c r="P2093" i="2"/>
  <c r="G2178" i="2"/>
  <c r="F2146" i="2"/>
  <c r="J2124" i="2"/>
  <c r="C2113" i="2"/>
  <c r="H2104" i="2"/>
  <c r="H2096" i="2"/>
  <c r="H2088" i="2"/>
  <c r="H2080" i="2"/>
  <c r="H2072" i="2"/>
  <c r="H2064" i="2"/>
  <c r="H2056" i="2"/>
  <c r="H2048" i="2"/>
  <c r="H2040" i="2"/>
  <c r="H2032" i="2"/>
  <c r="H2024" i="2"/>
  <c r="G2182" i="2"/>
  <c r="C2148" i="2"/>
  <c r="Q2125" i="2"/>
  <c r="Q2113" i="2"/>
  <c r="T2104" i="2"/>
  <c r="T2096" i="2"/>
  <c r="T2088" i="2"/>
  <c r="T2080" i="2"/>
  <c r="T2072" i="2"/>
  <c r="T2064" i="2"/>
  <c r="T2056" i="2"/>
  <c r="T2048" i="2"/>
  <c r="T2040" i="2"/>
  <c r="T2032" i="2"/>
  <c r="T2024" i="2"/>
  <c r="T2016" i="2"/>
  <c r="F2100" i="2"/>
  <c r="C2075" i="2"/>
  <c r="D2056" i="2"/>
  <c r="J2029" i="2"/>
  <c r="P2017" i="2"/>
  <c r="R2008" i="2"/>
  <c r="R2000" i="2"/>
  <c r="R1992" i="2"/>
  <c r="R1984" i="2"/>
  <c r="R1976" i="2"/>
  <c r="R1968" i="2"/>
  <c r="C2389" i="2"/>
  <c r="O2247" i="2"/>
  <c r="H2297" i="2"/>
  <c r="S2308" i="2"/>
  <c r="N2218" i="2"/>
  <c r="G2250" i="2"/>
  <c r="O2279" i="2"/>
  <c r="M2230" i="2"/>
  <c r="J2277" i="2"/>
  <c r="K2257" i="2"/>
  <c r="E2205" i="2"/>
  <c r="R2163" i="2"/>
  <c r="M2203" i="2"/>
  <c r="H2211" i="2"/>
  <c r="J2160" i="2"/>
  <c r="F2127" i="2"/>
  <c r="A2186" i="2"/>
  <c r="T2123" i="2"/>
  <c r="D2179" i="2"/>
  <c r="C2139" i="2"/>
  <c r="F2212" i="2"/>
  <c r="O2164" i="2"/>
  <c r="A2188" i="2"/>
  <c r="M2157" i="2"/>
  <c r="D2213" i="2"/>
  <c r="F2190" i="2"/>
  <c r="J2156" i="2"/>
  <c r="Q2134" i="2"/>
  <c r="R2220" i="2"/>
  <c r="M2177" i="2"/>
  <c r="H2152" i="2"/>
  <c r="D2220" i="2"/>
  <c r="D2183" i="2"/>
  <c r="H2156" i="2"/>
  <c r="G2128" i="2"/>
  <c r="O2147" i="2"/>
  <c r="A2112" i="2"/>
  <c r="R2090" i="2"/>
  <c r="E2072" i="2"/>
  <c r="S2194" i="2"/>
  <c r="F2130" i="2"/>
  <c r="J2107" i="2"/>
  <c r="O2180" i="2"/>
  <c r="T2126" i="2"/>
  <c r="P2096" i="2"/>
  <c r="P2072" i="2"/>
  <c r="P2048" i="2"/>
  <c r="P2024" i="2"/>
  <c r="J2161" i="2"/>
  <c r="H2120" i="2"/>
  <c r="A2104" i="2"/>
  <c r="H2139" i="2"/>
  <c r="M2112" i="2"/>
  <c r="G2097" i="2"/>
  <c r="G2085" i="2"/>
  <c r="G2071" i="2"/>
  <c r="N2056" i="2"/>
  <c r="G2043" i="2"/>
  <c r="T2029" i="2"/>
  <c r="N2016" i="2"/>
  <c r="G2164" i="2"/>
  <c r="D2128" i="2"/>
  <c r="K2112" i="2"/>
  <c r="F2101" i="2"/>
  <c r="M2090" i="2"/>
  <c r="S2081" i="2"/>
  <c r="S2073" i="2"/>
  <c r="S2065" i="2"/>
  <c r="S2057" i="2"/>
  <c r="O2167" i="2"/>
  <c r="T2140" i="2"/>
  <c r="C2121" i="2"/>
  <c r="S2110" i="2"/>
  <c r="K2102" i="2"/>
  <c r="K2094" i="2"/>
  <c r="K2086" i="2"/>
  <c r="K2078" i="2"/>
  <c r="K2070" i="2"/>
  <c r="K2062" i="2"/>
  <c r="K2054" i="2"/>
  <c r="K2046" i="2"/>
  <c r="K2038" i="2"/>
  <c r="S2178" i="2"/>
  <c r="M2146" i="2"/>
  <c r="N2124" i="2"/>
  <c r="E2113" i="2"/>
  <c r="J2104" i="2"/>
  <c r="J2096" i="2"/>
  <c r="G2160" i="2"/>
  <c r="S2136" i="2"/>
  <c r="T2118" i="2"/>
  <c r="E2109" i="2"/>
  <c r="C2101" i="2"/>
  <c r="C2093" i="2"/>
  <c r="S2173" i="2"/>
  <c r="F2144" i="2"/>
  <c r="G2123" i="2"/>
  <c r="G2112" i="2"/>
  <c r="O2103" i="2"/>
  <c r="O2095" i="2"/>
  <c r="O2087" i="2"/>
  <c r="O2079" i="2"/>
  <c r="O2071" i="2"/>
  <c r="O2063" i="2"/>
  <c r="O2055" i="2"/>
  <c r="O2047" i="2"/>
  <c r="O2039" i="2"/>
  <c r="O2031" i="2"/>
  <c r="O2023" i="2"/>
  <c r="O2177" i="2"/>
  <c r="C2146" i="2"/>
  <c r="H2124" i="2"/>
  <c r="A2113" i="2"/>
  <c r="G2104" i="2"/>
  <c r="G2096" i="2"/>
  <c r="G2088" i="2"/>
  <c r="G2080" i="2"/>
  <c r="G2072" i="2"/>
  <c r="G2064" i="2"/>
  <c r="G2056" i="2"/>
  <c r="G2048" i="2"/>
  <c r="G2040" i="2"/>
  <c r="G2032" i="2"/>
  <c r="G2024" i="2"/>
  <c r="G2016" i="2"/>
  <c r="J2094" i="2"/>
  <c r="J2073" i="2"/>
  <c r="N2381" i="2"/>
  <c r="E2233" i="2"/>
  <c r="C2285" i="2"/>
  <c r="A2243" i="2"/>
  <c r="P2393" i="2"/>
  <c r="Q2307" i="2"/>
  <c r="S2217" i="2"/>
  <c r="O2260" i="2"/>
  <c r="F2249" i="2"/>
  <c r="N2281" i="2"/>
  <c r="K2204" i="2"/>
  <c r="E2155" i="2"/>
  <c r="H2202" i="2"/>
  <c r="M2204" i="2"/>
  <c r="Q2157" i="2"/>
  <c r="T2184" i="2"/>
  <c r="D2118" i="2"/>
  <c r="T2177" i="2"/>
  <c r="G2138" i="2"/>
  <c r="A2203" i="2"/>
  <c r="T2162" i="2"/>
  <c r="T2186" i="2"/>
  <c r="N2156" i="2"/>
  <c r="M2208" i="2"/>
  <c r="A2189" i="2"/>
  <c r="A2134" i="2"/>
  <c r="A2214" i="2"/>
  <c r="H2176" i="2"/>
  <c r="T2149" i="2"/>
  <c r="T2213" i="2"/>
  <c r="T2181" i="2"/>
  <c r="O2150" i="2"/>
  <c r="J2127" i="2"/>
  <c r="P2145" i="2"/>
  <c r="F2111" i="2"/>
  <c r="R2088" i="2"/>
  <c r="K2071" i="2"/>
  <c r="A2169" i="2"/>
  <c r="Q2106" i="2"/>
  <c r="G2172" i="2"/>
  <c r="H2125" i="2"/>
  <c r="P2106" i="2"/>
  <c r="P2082" i="2"/>
  <c r="P2058" i="2"/>
  <c r="P2034" i="2"/>
  <c r="T2158" i="2"/>
  <c r="G2119" i="2"/>
  <c r="A2102" i="2"/>
  <c r="G2198" i="2"/>
  <c r="Q2111" i="2"/>
  <c r="N2096" i="2"/>
  <c r="G2083" i="2"/>
  <c r="T2069" i="2"/>
  <c r="T2055" i="2"/>
  <c r="G2041" i="2"/>
  <c r="G2029" i="2"/>
  <c r="T2015" i="2"/>
  <c r="M2156" i="2"/>
  <c r="M2126" i="2"/>
  <c r="T2110" i="2"/>
  <c r="S2099" i="2"/>
  <c r="S2089" i="2"/>
  <c r="F2081" i="2"/>
  <c r="F2073" i="2"/>
  <c r="F2065" i="2"/>
  <c r="F2057" i="2"/>
  <c r="D2164" i="2"/>
  <c r="A2139" i="2"/>
  <c r="A2120" i="2"/>
  <c r="A2110" i="2"/>
  <c r="R2101" i="2"/>
  <c r="R2093" i="2"/>
  <c r="R2085" i="2"/>
  <c r="R2077" i="2"/>
  <c r="R2069" i="2"/>
  <c r="R2061" i="2"/>
  <c r="R2053" i="2"/>
  <c r="R2045" i="2"/>
  <c r="R2037" i="2"/>
  <c r="H2174" i="2"/>
  <c r="N2144" i="2"/>
  <c r="Q2103" i="2"/>
  <c r="O2212" i="2"/>
  <c r="A2158" i="2"/>
  <c r="S2134" i="2"/>
  <c r="S2117" i="2"/>
  <c r="J2108" i="2"/>
  <c r="H2170" i="2"/>
  <c r="J2142" i="2"/>
  <c r="T2121" i="2"/>
  <c r="A2103" i="2"/>
  <c r="A2095" i="2"/>
  <c r="A2087" i="2"/>
  <c r="A2079" i="2"/>
  <c r="A2071" i="2"/>
  <c r="A2063" i="2"/>
  <c r="A2055" i="2"/>
  <c r="A2047" i="2"/>
  <c r="A2039" i="2"/>
  <c r="A2031" i="2"/>
  <c r="K2317" i="2"/>
  <c r="N2249" i="2"/>
  <c r="R2147" i="2"/>
  <c r="M2141" i="2"/>
  <c r="J2198" i="2"/>
  <c r="T2146" i="2"/>
  <c r="F2175" i="2"/>
  <c r="A2159" i="2"/>
  <c r="A2116" i="2"/>
  <c r="F2159" i="2"/>
  <c r="P2133" i="2"/>
  <c r="G2073" i="2"/>
  <c r="G2019" i="2"/>
  <c r="C2110" i="2"/>
  <c r="M2072" i="2"/>
  <c r="A2137" i="2"/>
  <c r="E2093" i="2"/>
  <c r="E2061" i="2"/>
  <c r="Q2170" i="2"/>
  <c r="N2111" i="2"/>
  <c r="T2132" i="2"/>
  <c r="Q2166" i="2"/>
  <c r="R2109" i="2"/>
  <c r="H2078" i="2"/>
  <c r="H2046" i="2"/>
  <c r="H2191" i="2"/>
  <c r="O2120" i="2"/>
  <c r="G2094" i="2"/>
  <c r="G2070" i="2"/>
  <c r="G2046" i="2"/>
  <c r="G2022" i="2"/>
  <c r="F2070" i="2"/>
  <c r="F2041" i="2"/>
  <c r="S2016" i="2"/>
  <c r="E2000" i="2"/>
  <c r="E1984" i="2"/>
  <c r="E1972" i="2"/>
  <c r="R1960" i="2"/>
  <c r="P2087" i="2"/>
  <c r="H2065" i="2"/>
  <c r="P2045" i="2"/>
  <c r="H2031" i="2"/>
  <c r="J2019" i="2"/>
  <c r="D2008" i="2"/>
  <c r="Q1998" i="2"/>
  <c r="J1989" i="2"/>
  <c r="J1979" i="2"/>
  <c r="D2089" i="2"/>
  <c r="Q2066" i="2"/>
  <c r="S2047" i="2"/>
  <c r="F2034" i="2"/>
  <c r="F2022" i="2"/>
  <c r="C2012" i="2"/>
  <c r="C2004" i="2"/>
  <c r="C1996" i="2"/>
  <c r="C1988" i="2"/>
  <c r="C1980" i="2"/>
  <c r="C1972" i="2"/>
  <c r="C1964" i="2"/>
  <c r="C1956" i="2"/>
  <c r="C1948" i="2"/>
  <c r="C1940" i="2"/>
  <c r="C1932" i="2"/>
  <c r="C1924" i="2"/>
  <c r="Q2085" i="2"/>
  <c r="O2066" i="2"/>
  <c r="D2050" i="2"/>
  <c r="E2024" i="2"/>
  <c r="K2013" i="2"/>
  <c r="H2005" i="2"/>
  <c r="H1997" i="2"/>
  <c r="H1989" i="2"/>
  <c r="H1981" i="2"/>
  <c r="H1973" i="2"/>
  <c r="H1965" i="2"/>
  <c r="H1957" i="2"/>
  <c r="H1949" i="2"/>
  <c r="H1941" i="2"/>
  <c r="H1933" i="2"/>
  <c r="H1925" i="2"/>
  <c r="M2093" i="2"/>
  <c r="S2072" i="2"/>
  <c r="M2054" i="2"/>
  <c r="R2040" i="2"/>
  <c r="D2028" i="2"/>
  <c r="O2016" i="2"/>
  <c r="T2007" i="2"/>
  <c r="T1999" i="2"/>
  <c r="T1991" i="2"/>
  <c r="T1983" i="2"/>
  <c r="T1975" i="2"/>
  <c r="T1967" i="2"/>
  <c r="T1959" i="2"/>
  <c r="T1951" i="2"/>
  <c r="T1943" i="2"/>
  <c r="T1935" i="2"/>
  <c r="T1927" i="2"/>
  <c r="T1919" i="2"/>
  <c r="D2087" i="2"/>
  <c r="A2068" i="2"/>
  <c r="C2051" i="2"/>
  <c r="H2037" i="2"/>
  <c r="C2025" i="2"/>
  <c r="E2014" i="2"/>
  <c r="S2005" i="2"/>
  <c r="S1997" i="2"/>
  <c r="S1989" i="2"/>
  <c r="S1981" i="2"/>
  <c r="S1973" i="2"/>
  <c r="S1965" i="2"/>
  <c r="S1957" i="2"/>
  <c r="Q2083" i="2"/>
  <c r="O2064" i="2"/>
  <c r="O2048" i="2"/>
  <c r="S2034" i="2"/>
  <c r="S2022" i="2"/>
  <c r="K2012" i="2"/>
  <c r="K2004" i="2"/>
  <c r="K1996" i="2"/>
  <c r="K1988" i="2"/>
  <c r="K1980" i="2"/>
  <c r="K1972" i="2"/>
  <c r="K1964" i="2"/>
  <c r="K1956" i="2"/>
  <c r="K1948" i="2"/>
  <c r="C2112" i="2"/>
  <c r="H2077" i="2"/>
  <c r="D2058" i="2"/>
  <c r="D2235" i="2"/>
  <c r="T2257" i="2"/>
  <c r="E2125" i="2"/>
  <c r="D2116" i="2"/>
  <c r="G2197" i="2"/>
  <c r="P2131" i="2"/>
  <c r="A2138" i="2"/>
  <c r="G2148" i="2"/>
  <c r="R2106" i="2"/>
  <c r="A2153" i="2"/>
  <c r="P2026" i="2"/>
  <c r="H2118" i="2"/>
  <c r="G2069" i="2"/>
  <c r="G2015" i="2"/>
  <c r="H2109" i="2"/>
  <c r="S2071" i="2"/>
  <c r="G2135" i="2"/>
  <c r="K2092" i="2"/>
  <c r="K2060" i="2"/>
  <c r="F2167" i="2"/>
  <c r="P2110" i="2"/>
  <c r="A2131" i="2"/>
  <c r="P2099" i="2"/>
  <c r="F2163" i="2"/>
  <c r="O2077" i="2"/>
  <c r="O2045" i="2"/>
  <c r="J2173" i="2"/>
  <c r="H2115" i="2"/>
  <c r="G2090" i="2"/>
  <c r="G2066" i="2"/>
  <c r="G2042" i="2"/>
  <c r="G2018" i="2"/>
  <c r="O2068" i="2"/>
  <c r="D2040" i="2"/>
  <c r="D2016" i="2"/>
  <c r="K1999" i="2"/>
  <c r="K1983" i="2"/>
  <c r="K1971" i="2"/>
  <c r="E1960" i="2"/>
  <c r="D2086" i="2"/>
  <c r="D2062" i="2"/>
  <c r="M2044" i="2"/>
  <c r="O2017" i="2"/>
  <c r="J2007" i="2"/>
  <c r="D1998" i="2"/>
  <c r="Q1988" i="2"/>
  <c r="Q1978" i="2"/>
  <c r="A2086" i="2"/>
  <c r="D2065" i="2"/>
  <c r="Q2046" i="2"/>
  <c r="F2033" i="2"/>
  <c r="F2021" i="2"/>
  <c r="F2084" i="2"/>
  <c r="C2065" i="2"/>
  <c r="S2048" i="2"/>
  <c r="F2035" i="2"/>
  <c r="E2023" i="2"/>
  <c r="P2012" i="2"/>
  <c r="O2004" i="2"/>
  <c r="O1996" i="2"/>
  <c r="O1988" i="2"/>
  <c r="O1980" i="2"/>
  <c r="O1972" i="2"/>
  <c r="O1964" i="2"/>
  <c r="O1956" i="2"/>
  <c r="O1948" i="2"/>
  <c r="O1940" i="2"/>
  <c r="O1932" i="2"/>
  <c r="O1924" i="2"/>
  <c r="S2090" i="2"/>
  <c r="H2071" i="2"/>
  <c r="J2053" i="2"/>
  <c r="P2039" i="2"/>
  <c r="D2027" i="2"/>
  <c r="R2015" i="2"/>
  <c r="G2007" i="2"/>
  <c r="G1999" i="2"/>
  <c r="G1991" i="2"/>
  <c r="G1983" i="2"/>
  <c r="G1975" i="2"/>
  <c r="G1967" i="2"/>
  <c r="G1959" i="2"/>
  <c r="G1951" i="2"/>
  <c r="G1943" i="2"/>
  <c r="G1935" i="2"/>
  <c r="G1927" i="2"/>
  <c r="G1919" i="2"/>
  <c r="M2085" i="2"/>
  <c r="S2049" i="2"/>
  <c r="E2036" i="2"/>
  <c r="A2024" i="2"/>
  <c r="F2005" i="2"/>
  <c r="F1997" i="2"/>
  <c r="F1989" i="2"/>
  <c r="F1981" i="2"/>
  <c r="F1973" i="2"/>
  <c r="F1965" i="2"/>
  <c r="G2177" i="2"/>
  <c r="F2082" i="2"/>
  <c r="C2063" i="2"/>
  <c r="K2047" i="2"/>
  <c r="S2033" i="2"/>
  <c r="S2021" i="2"/>
  <c r="R2011" i="2"/>
  <c r="R2003" i="2"/>
  <c r="R1995" i="2"/>
  <c r="R1987" i="2"/>
  <c r="R1979" i="2"/>
  <c r="R1971" i="2"/>
  <c r="R1963" i="2"/>
  <c r="R1955" i="2"/>
  <c r="R1947" i="2"/>
  <c r="M2103" i="2"/>
  <c r="P2075" i="2"/>
  <c r="O2056" i="2"/>
  <c r="R2042" i="2"/>
  <c r="R2029" i="2"/>
  <c r="O2239" i="2"/>
  <c r="E2263" i="2"/>
  <c r="P2237" i="2"/>
  <c r="P2248" i="2"/>
  <c r="F2201" i="2"/>
  <c r="J2115" i="2"/>
  <c r="O2176" i="2"/>
  <c r="H2207" i="2"/>
  <c r="J2147" i="2"/>
  <c r="R2104" i="2"/>
  <c r="C2136" i="2"/>
  <c r="C2082" i="2"/>
  <c r="P2044" i="2"/>
  <c r="O2131" i="2"/>
  <c r="G2067" i="2"/>
  <c r="T2013" i="2"/>
  <c r="S2103" i="2"/>
  <c r="S2067" i="2"/>
  <c r="S2124" i="2"/>
  <c r="K2088" i="2"/>
  <c r="K2056" i="2"/>
  <c r="F2152" i="2"/>
  <c r="J2106" i="2"/>
  <c r="C2122" i="2"/>
  <c r="C2099" i="2"/>
  <c r="C2150" i="2"/>
  <c r="O2105" i="2"/>
  <c r="O2073" i="2"/>
  <c r="O2041" i="2"/>
  <c r="S2169" i="2"/>
  <c r="F2112" i="2"/>
  <c r="N2087" i="2"/>
  <c r="N2063" i="2"/>
  <c r="N2039" i="2"/>
  <c r="N2015" i="2"/>
  <c r="Q2063" i="2"/>
  <c r="S2038" i="2"/>
  <c r="H2015" i="2"/>
  <c r="R1998" i="2"/>
  <c r="R1982" i="2"/>
  <c r="E1970" i="2"/>
  <c r="K1959" i="2"/>
  <c r="J2084" i="2"/>
  <c r="J2060" i="2"/>
  <c r="F2042" i="2"/>
  <c r="H2029" i="2"/>
  <c r="R2016" i="2"/>
  <c r="Q2006" i="2"/>
  <c r="J1997" i="2"/>
  <c r="J1987" i="2"/>
  <c r="D1978" i="2"/>
  <c r="M2063" i="2"/>
  <c r="M2045" i="2"/>
  <c r="F2032" i="2"/>
  <c r="F2020" i="2"/>
  <c r="P2010" i="2"/>
  <c r="P2002" i="2"/>
  <c r="P1994" i="2"/>
  <c r="P1986" i="2"/>
  <c r="P1978" i="2"/>
  <c r="P1970" i="2"/>
  <c r="P1962" i="2"/>
  <c r="P1954" i="2"/>
  <c r="P1946" i="2"/>
  <c r="P1938" i="2"/>
  <c r="P1930" i="2"/>
  <c r="A2191" i="2"/>
  <c r="O2082" i="2"/>
  <c r="J2063" i="2"/>
  <c r="Q2047" i="2"/>
  <c r="E2034" i="2"/>
  <c r="E2022" i="2"/>
  <c r="A2012" i="2"/>
  <c r="A2004" i="2"/>
  <c r="A1996" i="2"/>
  <c r="A1988" i="2"/>
  <c r="A1980" i="2"/>
  <c r="A1972" i="2"/>
  <c r="A1964" i="2"/>
  <c r="A1956" i="2"/>
  <c r="A1948" i="2"/>
  <c r="A1940" i="2"/>
  <c r="A1932" i="2"/>
  <c r="A1924" i="2"/>
  <c r="S2088" i="2"/>
  <c r="P2069" i="2"/>
  <c r="F2052" i="2"/>
  <c r="M2038" i="2"/>
  <c r="D2026" i="2"/>
  <c r="C2015" i="2"/>
  <c r="N2006" i="2"/>
  <c r="N1998" i="2"/>
  <c r="N1990" i="2"/>
  <c r="N1982" i="2"/>
  <c r="N1974" i="2"/>
  <c r="N1966" i="2"/>
  <c r="N1958" i="2"/>
  <c r="N1950" i="2"/>
  <c r="F2373" i="2"/>
  <c r="A2200" i="2"/>
  <c r="A2162" i="2"/>
  <c r="G2206" i="2"/>
  <c r="F2133" i="2"/>
  <c r="G2136" i="2"/>
  <c r="E2096" i="2"/>
  <c r="M2116" i="2"/>
  <c r="G2061" i="2"/>
  <c r="N2179" i="2"/>
  <c r="F2099" i="2"/>
  <c r="M2064" i="2"/>
  <c r="C2119" i="2"/>
  <c r="E2085" i="2"/>
  <c r="E2053" i="2"/>
  <c r="N2142" i="2"/>
  <c r="D2103" i="2"/>
  <c r="D2117" i="2"/>
  <c r="J2140" i="2"/>
  <c r="H2102" i="2"/>
  <c r="H2070" i="2"/>
  <c r="H2038" i="2"/>
  <c r="H2166" i="2"/>
  <c r="H2111" i="2"/>
  <c r="T2086" i="2"/>
  <c r="T2062" i="2"/>
  <c r="T2038" i="2"/>
  <c r="T2014" i="2"/>
  <c r="C2059" i="2"/>
  <c r="Q2037" i="2"/>
  <c r="K2014" i="2"/>
  <c r="E1998" i="2"/>
  <c r="E1982" i="2"/>
  <c r="K1969" i="2"/>
  <c r="R1958" i="2"/>
  <c r="H2081" i="2"/>
  <c r="S2058" i="2"/>
  <c r="D2041" i="2"/>
  <c r="C2016" i="2"/>
  <c r="D2006" i="2"/>
  <c r="Q1996" i="2"/>
  <c r="Q1986" i="2"/>
  <c r="Q1976" i="2"/>
  <c r="Q2082" i="2"/>
  <c r="A2062" i="2"/>
  <c r="J2044" i="2"/>
  <c r="F2031" i="2"/>
  <c r="H2019" i="2"/>
  <c r="C2010" i="2"/>
  <c r="C2002" i="2"/>
  <c r="C1994" i="2"/>
  <c r="C1986" i="2"/>
  <c r="C1978" i="2"/>
  <c r="C1970" i="2"/>
  <c r="C1962" i="2"/>
  <c r="C1954" i="2"/>
  <c r="C1946" i="2"/>
  <c r="C1938" i="2"/>
  <c r="C1930" i="2"/>
  <c r="O2151" i="2"/>
  <c r="C2081" i="2"/>
  <c r="Q2061" i="2"/>
  <c r="O2046" i="2"/>
  <c r="E2033" i="2"/>
  <c r="E2021" i="2"/>
  <c r="H2011" i="2"/>
  <c r="H2003" i="2"/>
  <c r="H1995" i="2"/>
  <c r="H1987" i="2"/>
  <c r="H1979" i="2"/>
  <c r="H1971" i="2"/>
  <c r="H1963" i="2"/>
  <c r="H1955" i="2"/>
  <c r="H1947" i="2"/>
  <c r="H1939" i="2"/>
  <c r="H1931" i="2"/>
  <c r="H1923" i="2"/>
  <c r="H2087" i="2"/>
  <c r="D2068" i="2"/>
  <c r="D2051" i="2"/>
  <c r="J2037" i="2"/>
  <c r="D2025" i="2"/>
  <c r="F2014" i="2"/>
  <c r="T2005" i="2"/>
  <c r="T1997" i="2"/>
  <c r="T1989" i="2"/>
  <c r="T1981" i="2"/>
  <c r="T1973" i="2"/>
  <c r="T1965" i="2"/>
  <c r="T1957" i="2"/>
  <c r="T1949" i="2"/>
  <c r="T1941" i="2"/>
  <c r="T1933" i="2"/>
  <c r="T1925" i="2"/>
  <c r="S2181" i="2"/>
  <c r="D2063" i="2"/>
  <c r="M2047" i="2"/>
  <c r="A2034" i="2"/>
  <c r="A2022" i="2"/>
  <c r="S2011" i="2"/>
  <c r="S2003" i="2"/>
  <c r="S1995" i="2"/>
  <c r="S1987" i="2"/>
  <c r="S1979" i="2"/>
  <c r="S1971" i="2"/>
  <c r="S1963" i="2"/>
  <c r="F2124" i="2"/>
  <c r="R2168" i="2"/>
  <c r="E2279" i="2"/>
  <c r="G2204" i="2"/>
  <c r="D2161" i="2"/>
  <c r="F2206" i="2"/>
  <c r="D2145" i="2"/>
  <c r="O2126" i="2"/>
  <c r="E2088" i="2"/>
  <c r="O2121" i="2"/>
  <c r="Q2135" i="2"/>
  <c r="P2098" i="2"/>
  <c r="P2108" i="2"/>
  <c r="F2110" i="2"/>
  <c r="G2055" i="2"/>
  <c r="M2154" i="2"/>
  <c r="S2097" i="2"/>
  <c r="S2063" i="2"/>
  <c r="A2118" i="2"/>
  <c r="K2084" i="2"/>
  <c r="K2052" i="2"/>
  <c r="S2140" i="2"/>
  <c r="J2102" i="2"/>
  <c r="H2116" i="2"/>
  <c r="M2138" i="2"/>
  <c r="O2101" i="2"/>
  <c r="O2069" i="2"/>
  <c r="O2037" i="2"/>
  <c r="Q2151" i="2"/>
  <c r="M2110" i="2"/>
  <c r="G2086" i="2"/>
  <c r="G2062" i="2"/>
  <c r="G2038" i="2"/>
  <c r="G2014" i="2"/>
  <c r="S2054" i="2"/>
  <c r="J2034" i="2"/>
  <c r="E2012" i="2"/>
  <c r="E1996" i="2"/>
  <c r="E1980" i="2"/>
  <c r="E1968" i="2"/>
  <c r="E1958" i="2"/>
  <c r="P2079" i="2"/>
  <c r="A2056" i="2"/>
  <c r="A2040" i="2"/>
  <c r="H2027" i="2"/>
  <c r="F2015" i="2"/>
  <c r="J2005" i="2"/>
  <c r="J1995" i="2"/>
  <c r="D1986" i="2"/>
  <c r="D1976" i="2"/>
  <c r="D2081" i="2"/>
  <c r="H2043" i="2"/>
  <c r="M2398" i="2"/>
  <c r="S2176" i="2"/>
  <c r="A2196" i="2"/>
  <c r="S2187" i="2"/>
  <c r="P2142" i="2"/>
  <c r="S2125" i="2"/>
  <c r="K2087" i="2"/>
  <c r="J2118" i="2"/>
  <c r="O2122" i="2"/>
  <c r="C2058" i="2"/>
  <c r="P2020" i="2"/>
  <c r="H2101" i="2"/>
  <c r="T2053" i="2"/>
  <c r="N2150" i="2"/>
  <c r="F2093" i="2"/>
  <c r="S2059" i="2"/>
  <c r="F2113" i="2"/>
  <c r="K2080" i="2"/>
  <c r="K2048" i="2"/>
  <c r="J2098" i="2"/>
  <c r="M2111" i="2"/>
  <c r="C2095" i="2"/>
  <c r="O2127" i="2"/>
  <c r="O2097" i="2"/>
  <c r="O2065" i="2"/>
  <c r="O2033" i="2"/>
  <c r="D2144" i="2"/>
  <c r="G2106" i="2"/>
  <c r="G2082" i="2"/>
  <c r="G2058" i="2"/>
  <c r="G2034" i="2"/>
  <c r="P2117" i="2"/>
  <c r="Q2053" i="2"/>
  <c r="J2031" i="2"/>
  <c r="E2010" i="2"/>
  <c r="E1994" i="2"/>
  <c r="K1979" i="2"/>
  <c r="K1967" i="2"/>
  <c r="D2078" i="2"/>
  <c r="R2054" i="2"/>
  <c r="R2038" i="2"/>
  <c r="J2014" i="2"/>
  <c r="Q2004" i="2"/>
  <c r="Q1994" i="2"/>
  <c r="Q1984" i="2"/>
  <c r="N2195" i="2"/>
  <c r="M2079" i="2"/>
  <c r="Q2058" i="2"/>
  <c r="E2042" i="2"/>
  <c r="F2029" i="2"/>
  <c r="M2017" i="2"/>
  <c r="P2008" i="2"/>
  <c r="P2000" i="2"/>
  <c r="P1992" i="2"/>
  <c r="P1984" i="2"/>
  <c r="P1976" i="2"/>
  <c r="P1968" i="2"/>
  <c r="P1960" i="2"/>
  <c r="P1952" i="2"/>
  <c r="P1944" i="2"/>
  <c r="P1936" i="2"/>
  <c r="P1928" i="2"/>
  <c r="G2115" i="2"/>
  <c r="Q2077" i="2"/>
  <c r="O2058" i="2"/>
  <c r="E2031" i="2"/>
  <c r="F2019" i="2"/>
  <c r="A2010" i="2"/>
  <c r="A2002" i="2"/>
  <c r="A1994" i="2"/>
  <c r="A1986" i="2"/>
  <c r="A1978" i="2"/>
  <c r="A1970" i="2"/>
  <c r="A1962" i="2"/>
  <c r="A1954" i="2"/>
  <c r="A1946" i="2"/>
  <c r="A1938" i="2"/>
  <c r="A1930" i="2"/>
  <c r="A1922" i="2"/>
  <c r="D2084" i="2"/>
  <c r="S2064" i="2"/>
  <c r="R2048" i="2"/>
  <c r="D2035" i="2"/>
  <c r="D2023" i="2"/>
  <c r="O2012" i="2"/>
  <c r="N2004" i="2"/>
  <c r="N1996" i="2"/>
  <c r="N1988" i="2"/>
  <c r="N1980" i="2"/>
  <c r="N1972" i="2"/>
  <c r="N1964" i="2"/>
  <c r="N1956" i="2"/>
  <c r="N1948" i="2"/>
  <c r="N1940" i="2"/>
  <c r="N1932" i="2"/>
  <c r="N1924" i="2"/>
  <c r="P2125" i="2"/>
  <c r="D2079" i="2"/>
  <c r="A2060" i="2"/>
  <c r="H2045" i="2"/>
  <c r="A2032" i="2"/>
  <c r="A2020" i="2"/>
  <c r="M2010" i="2"/>
  <c r="M2002" i="2"/>
  <c r="M1994" i="2"/>
  <c r="M1986" i="2"/>
  <c r="M1978" i="2"/>
  <c r="M1970" i="2"/>
  <c r="M1962" i="2"/>
  <c r="F2104" i="2"/>
  <c r="Q2075" i="2"/>
  <c r="Q2056" i="2"/>
  <c r="S2042" i="2"/>
  <c r="S2029" i="2"/>
  <c r="E2018" i="2"/>
  <c r="E2009" i="2"/>
  <c r="E2001" i="2"/>
  <c r="E1993" i="2"/>
  <c r="E1985" i="2"/>
  <c r="E1977" i="2"/>
  <c r="E1969" i="2"/>
  <c r="E1961" i="2"/>
  <c r="E1953" i="2"/>
  <c r="E1945" i="2"/>
  <c r="J2088" i="2"/>
  <c r="H2069" i="2"/>
  <c r="G2226" i="2"/>
  <c r="Q2279" i="2"/>
  <c r="O2175" i="2"/>
  <c r="T2178" i="2"/>
  <c r="O2178" i="2"/>
  <c r="D2129" i="2"/>
  <c r="R2078" i="2"/>
  <c r="O2100" i="2"/>
  <c r="T2101" i="2"/>
  <c r="G2047" i="2"/>
  <c r="G2137" i="2"/>
  <c r="F2089" i="2"/>
  <c r="M2056" i="2"/>
  <c r="G2109" i="2"/>
  <c r="E2077" i="2"/>
  <c r="E2045" i="2"/>
  <c r="G2201" i="2"/>
  <c r="P2107" i="2"/>
  <c r="S2120" i="2"/>
  <c r="H2094" i="2"/>
  <c r="H2062" i="2"/>
  <c r="H2030" i="2"/>
  <c r="F2142" i="2"/>
  <c r="N2103" i="2"/>
  <c r="N2079" i="2"/>
  <c r="N2055" i="2"/>
  <c r="N2031" i="2"/>
  <c r="Q2091" i="2"/>
  <c r="O2052" i="2"/>
  <c r="J2028" i="2"/>
  <c r="E2008" i="2"/>
  <c r="E1992" i="2"/>
  <c r="E1978" i="2"/>
  <c r="R1966" i="2"/>
  <c r="J2132" i="2"/>
  <c r="S2074" i="2"/>
  <c r="P2053" i="2"/>
  <c r="P2037" i="2"/>
  <c r="H2025" i="2"/>
  <c r="O2013" i="2"/>
  <c r="J2003" i="2"/>
  <c r="D1994" i="2"/>
  <c r="D1984" i="2"/>
  <c r="O2153" i="2"/>
  <c r="A2078" i="2"/>
  <c r="D2057" i="2"/>
  <c r="C2041" i="2"/>
  <c r="F2028" i="2"/>
  <c r="Q2016" i="2"/>
  <c r="C2008" i="2"/>
  <c r="C2000" i="2"/>
  <c r="C1992" i="2"/>
  <c r="C1984" i="2"/>
  <c r="C1976" i="2"/>
  <c r="C1968" i="2"/>
  <c r="C1960" i="2"/>
  <c r="C1952" i="2"/>
  <c r="C1944" i="2"/>
  <c r="C1936" i="2"/>
  <c r="C1928" i="2"/>
  <c r="F2106" i="2"/>
  <c r="F2076" i="2"/>
  <c r="C2057" i="2"/>
  <c r="F2043" i="2"/>
  <c r="E2030" i="2"/>
  <c r="H2009" i="2"/>
  <c r="H2001" i="2"/>
  <c r="H1993" i="2"/>
  <c r="H1985" i="2"/>
  <c r="H1977" i="2"/>
  <c r="H1969" i="2"/>
  <c r="H1961" i="2"/>
  <c r="H1953" i="2"/>
  <c r="H1945" i="2"/>
  <c r="H1937" i="2"/>
  <c r="H1929" i="2"/>
  <c r="J2186" i="2"/>
  <c r="J2082" i="2"/>
  <c r="H2063" i="2"/>
  <c r="P2047" i="2"/>
  <c r="D2034" i="2"/>
  <c r="D2022" i="2"/>
  <c r="T2011" i="2"/>
  <c r="T2003" i="2"/>
  <c r="T1995" i="2"/>
  <c r="T1987" i="2"/>
  <c r="T1979" i="2"/>
  <c r="T1971" i="2"/>
  <c r="T1963" i="2"/>
  <c r="T1955" i="2"/>
  <c r="T1947" i="2"/>
  <c r="T1939" i="2"/>
  <c r="T1931" i="2"/>
  <c r="T1923" i="2"/>
  <c r="P2113" i="2"/>
  <c r="M2077" i="2"/>
  <c r="E2044" i="2"/>
  <c r="C2031" i="2"/>
  <c r="D2019" i="2"/>
  <c r="S2009" i="2"/>
  <c r="S2001" i="2"/>
  <c r="S1993" i="2"/>
  <c r="S1985" i="2"/>
  <c r="S1977" i="2"/>
  <c r="S1969" i="2"/>
  <c r="S1961" i="2"/>
  <c r="F2096" i="2"/>
  <c r="C2278" i="2"/>
  <c r="G2266" i="2"/>
  <c r="N2121" i="2"/>
  <c r="C2147" i="2"/>
  <c r="T2160" i="2"/>
  <c r="A2122" i="2"/>
  <c r="S2212" i="2"/>
  <c r="J2169" i="2"/>
  <c r="R2070" i="2"/>
  <c r="P2074" i="2"/>
  <c r="G2194" i="2"/>
  <c r="O2092" i="2"/>
  <c r="T2095" i="2"/>
  <c r="N2040" i="2"/>
  <c r="M2088" i="2"/>
  <c r="A2215" i="2"/>
  <c r="M2108" i="2"/>
  <c r="K2076" i="2"/>
  <c r="K2044" i="2"/>
  <c r="D2122" i="2"/>
  <c r="O2196" i="2"/>
  <c r="C2107" i="2"/>
  <c r="Q2119" i="2"/>
  <c r="O2093" i="2"/>
  <c r="O2061" i="2"/>
  <c r="O2029" i="2"/>
  <c r="F2140" i="2"/>
  <c r="T2102" i="2"/>
  <c r="T2078" i="2"/>
  <c r="T2054" i="2"/>
  <c r="T2030" i="2"/>
  <c r="J2089" i="2"/>
  <c r="K2051" i="2"/>
  <c r="J2027" i="2"/>
  <c r="K2007" i="2"/>
  <c r="K1991" i="2"/>
  <c r="K1977" i="2"/>
  <c r="E1966" i="2"/>
  <c r="T2116" i="2"/>
  <c r="H2073" i="2"/>
  <c r="M2052" i="2"/>
  <c r="M2036" i="2"/>
  <c r="R2012" i="2"/>
  <c r="Q2002" i="2"/>
  <c r="Q1992" i="2"/>
  <c r="J1983" i="2"/>
  <c r="M2130" i="2"/>
  <c r="Q2054" i="2"/>
  <c r="S2039" i="2"/>
  <c r="F2027" i="2"/>
  <c r="A2016" i="2"/>
  <c r="F2098" i="2"/>
  <c r="O2074" i="2"/>
  <c r="Q2055" i="2"/>
  <c r="D2042" i="2"/>
  <c r="E2029" i="2"/>
  <c r="K2017" i="2"/>
  <c r="O2008" i="2"/>
  <c r="O2000" i="2"/>
  <c r="O1992" i="2"/>
  <c r="O1984" i="2"/>
  <c r="O1976" i="2"/>
  <c r="O1968" i="2"/>
  <c r="O1960" i="2"/>
  <c r="O1952" i="2"/>
  <c r="O1944" i="2"/>
  <c r="O1936" i="2"/>
  <c r="O1928" i="2"/>
  <c r="P2149" i="2"/>
  <c r="S2080" i="2"/>
  <c r="P2061" i="2"/>
  <c r="M2046" i="2"/>
  <c r="D2033" i="2"/>
  <c r="D2021" i="2"/>
  <c r="G2011" i="2"/>
  <c r="G2003" i="2"/>
  <c r="G1995" i="2"/>
  <c r="G1987" i="2"/>
  <c r="G1979" i="2"/>
  <c r="G1971" i="2"/>
  <c r="G1963" i="2"/>
  <c r="G1955" i="2"/>
  <c r="G1947" i="2"/>
  <c r="G1939" i="2"/>
  <c r="G1931" i="2"/>
  <c r="G1923" i="2"/>
  <c r="S2104" i="2"/>
  <c r="A2076" i="2"/>
  <c r="R2056" i="2"/>
  <c r="C2043" i="2"/>
  <c r="A2030" i="2"/>
  <c r="F2018" i="2"/>
  <c r="Q2256" i="2"/>
  <c r="N2222" i="2"/>
  <c r="R2203" i="2"/>
  <c r="P2251" i="2"/>
  <c r="Q2199" i="2"/>
  <c r="G2130" i="2"/>
  <c r="O2211" i="2"/>
  <c r="R2066" i="2"/>
  <c r="Q2102" i="2"/>
  <c r="P2092" i="2"/>
  <c r="C2034" i="2"/>
  <c r="A2157" i="2"/>
  <c r="G2095" i="2"/>
  <c r="T2039" i="2"/>
  <c r="S2083" i="2"/>
  <c r="H2179" i="2"/>
  <c r="K2104" i="2"/>
  <c r="K2072" i="2"/>
  <c r="K2040" i="2"/>
  <c r="A2121" i="2"/>
  <c r="J2170" i="2"/>
  <c r="P2091" i="2"/>
  <c r="O2089" i="2"/>
  <c r="O2057" i="2"/>
  <c r="O2025" i="2"/>
  <c r="A2129" i="2"/>
  <c r="G2102" i="2"/>
  <c r="G2078" i="2"/>
  <c r="G2054" i="2"/>
  <c r="G2030" i="2"/>
  <c r="Q2087" i="2"/>
  <c r="J2026" i="2"/>
  <c r="R2006" i="2"/>
  <c r="R1990" i="2"/>
  <c r="E1976" i="2"/>
  <c r="E1964" i="2"/>
  <c r="M2099" i="2"/>
  <c r="P2071" i="2"/>
  <c r="J2051" i="2"/>
  <c r="J2035" i="2"/>
  <c r="H2023" i="2"/>
  <c r="J2011" i="2"/>
  <c r="D2002" i="2"/>
  <c r="D1992" i="2"/>
  <c r="Q1982" i="2"/>
  <c r="C2116" i="2"/>
  <c r="D2073" i="2"/>
  <c r="M2053" i="2"/>
  <c r="Q2038" i="2"/>
  <c r="F2026" i="2"/>
  <c r="E2015" i="2"/>
  <c r="P2006" i="2"/>
  <c r="P1998" i="2"/>
  <c r="P1990" i="2"/>
  <c r="P1982" i="2"/>
  <c r="P1974" i="2"/>
  <c r="P1966" i="2"/>
  <c r="P1958" i="2"/>
  <c r="P1950" i="2"/>
  <c r="P1942" i="2"/>
  <c r="P1934" i="2"/>
  <c r="P1926" i="2"/>
  <c r="Q2093" i="2"/>
  <c r="C2073" i="2"/>
  <c r="O2054" i="2"/>
  <c r="S2040" i="2"/>
  <c r="E2028" i="2"/>
  <c r="P2016" i="2"/>
  <c r="A2008" i="2"/>
  <c r="A2000" i="2"/>
  <c r="A1992" i="2"/>
  <c r="A1984" i="2"/>
  <c r="A1976" i="2"/>
  <c r="A1968" i="2"/>
  <c r="A1960" i="2"/>
  <c r="A1952" i="2"/>
  <c r="A1944" i="2"/>
  <c r="A1936" i="2"/>
  <c r="A1928" i="2"/>
  <c r="H2127" i="2"/>
  <c r="H2079" i="2"/>
  <c r="D2060" i="2"/>
  <c r="J2045" i="2"/>
  <c r="D2032" i="2"/>
  <c r="D2020" i="2"/>
  <c r="N2010" i="2"/>
  <c r="N2002" i="2"/>
  <c r="N1994" i="2"/>
  <c r="N1986" i="2"/>
  <c r="N1978" i="2"/>
  <c r="N1970" i="2"/>
  <c r="N1962" i="2"/>
  <c r="N1954" i="2"/>
  <c r="N1946" i="2"/>
  <c r="N1938" i="2"/>
  <c r="N1930" i="2"/>
  <c r="N1922" i="2"/>
  <c r="S2096" i="2"/>
  <c r="M2055" i="2"/>
  <c r="S2041" i="2"/>
  <c r="C2029" i="2"/>
  <c r="M2008" i="2"/>
  <c r="M2000" i="2"/>
  <c r="M1992" i="2"/>
  <c r="M1984" i="2"/>
  <c r="M1976" i="2"/>
  <c r="M1968" i="2"/>
  <c r="M1960" i="2"/>
  <c r="J2090" i="2"/>
  <c r="C2071" i="2"/>
  <c r="F2053" i="2"/>
  <c r="K2039" i="2"/>
  <c r="S2026" i="2"/>
  <c r="P2015" i="2"/>
  <c r="E2007" i="2"/>
  <c r="E1999" i="2"/>
  <c r="E1991" i="2"/>
  <c r="E1983" i="2"/>
  <c r="E1975" i="2"/>
  <c r="E1967" i="2"/>
  <c r="E1959" i="2"/>
  <c r="E1951" i="2"/>
  <c r="E1943" i="2"/>
  <c r="P2083" i="2"/>
  <c r="J2064" i="2"/>
  <c r="M2048" i="2"/>
  <c r="R2034" i="2"/>
  <c r="D2171" i="2"/>
  <c r="D2157" i="2"/>
  <c r="P2068" i="2"/>
  <c r="M2123" i="2"/>
  <c r="K2068" i="2"/>
  <c r="M2142" i="2"/>
  <c r="H2187" i="2"/>
  <c r="A2023" i="2"/>
  <c r="G2050" i="2"/>
  <c r="E1974" i="2"/>
  <c r="D2049" i="2"/>
  <c r="Q2010" i="2"/>
  <c r="S2106" i="2"/>
  <c r="M2037" i="2"/>
  <c r="Q2069" i="2"/>
  <c r="E2032" i="2"/>
  <c r="A2006" i="2"/>
  <c r="A1982" i="2"/>
  <c r="A1958" i="2"/>
  <c r="A1934" i="2"/>
  <c r="J2074" i="2"/>
  <c r="D2029" i="2"/>
  <c r="N2000" i="2"/>
  <c r="N1976" i="2"/>
  <c r="N1952" i="2"/>
  <c r="T1929" i="2"/>
  <c r="Q2088" i="2"/>
  <c r="J2054" i="2"/>
  <c r="A2026" i="2"/>
  <c r="F2007" i="2"/>
  <c r="F1991" i="2"/>
  <c r="F1975" i="2"/>
  <c r="F1959" i="2"/>
  <c r="O2072" i="2"/>
  <c r="S2027" i="2"/>
  <c r="E2011" i="2"/>
  <c r="R1999" i="2"/>
  <c r="E1987" i="2"/>
  <c r="R1975" i="2"/>
  <c r="E1963" i="2"/>
  <c r="R1951" i="2"/>
  <c r="Q2095" i="2"/>
  <c r="D2066" i="2"/>
  <c r="D2045" i="2"/>
  <c r="R2028" i="2"/>
  <c r="F2017" i="2"/>
  <c r="J2008" i="2"/>
  <c r="J2000" i="2"/>
  <c r="J1992" i="2"/>
  <c r="J1984" i="2"/>
  <c r="J1976" i="2"/>
  <c r="M2083" i="2"/>
  <c r="J2048" i="2"/>
  <c r="Q2034" i="2"/>
  <c r="Q2022" i="2"/>
  <c r="A2166" i="2"/>
  <c r="Q2081" i="2"/>
  <c r="O2062" i="2"/>
  <c r="F2047" i="2"/>
  <c r="P2033" i="2"/>
  <c r="P2021" i="2"/>
  <c r="O2011" i="2"/>
  <c r="O2003" i="2"/>
  <c r="O1995" i="2"/>
  <c r="O1987" i="2"/>
  <c r="O1979" i="2"/>
  <c r="O1971" i="2"/>
  <c r="O1963" i="2"/>
  <c r="O1955" i="2"/>
  <c r="O1947" i="2"/>
  <c r="O1939" i="2"/>
  <c r="O1931" i="2"/>
  <c r="M2101" i="2"/>
  <c r="H2075" i="2"/>
  <c r="F2056" i="2"/>
  <c r="M2042" i="2"/>
  <c r="M2029" i="2"/>
  <c r="R2017" i="2"/>
  <c r="T2008" i="2"/>
  <c r="T2000" i="2"/>
  <c r="T1992" i="2"/>
  <c r="T1984" i="2"/>
  <c r="T1976" i="2"/>
  <c r="T1968" i="2"/>
  <c r="T1960" i="2"/>
  <c r="T1952" i="2"/>
  <c r="T1944" i="2"/>
  <c r="T1936" i="2"/>
  <c r="T1928" i="2"/>
  <c r="M2003" i="2"/>
  <c r="S1954" i="2"/>
  <c r="S1936" i="2"/>
  <c r="M1922" i="2"/>
  <c r="E1914" i="2"/>
  <c r="E1906" i="2"/>
  <c r="E1898" i="2"/>
  <c r="E1890" i="2"/>
  <c r="E1882" i="2"/>
  <c r="E1874" i="2"/>
  <c r="E1866" i="2"/>
  <c r="E1858" i="2"/>
  <c r="E1850" i="2"/>
  <c r="E1842" i="2"/>
  <c r="E1834" i="2"/>
  <c r="D2059" i="2"/>
  <c r="D1966" i="2"/>
  <c r="K1943" i="2"/>
  <c r="J1927" i="2"/>
  <c r="Q2198" i="2"/>
  <c r="T2114" i="2"/>
  <c r="K2064" i="2"/>
  <c r="H2022" i="2"/>
  <c r="N2047" i="2"/>
  <c r="J2025" i="2"/>
  <c r="K1963" i="2"/>
  <c r="R2046" i="2"/>
  <c r="D2010" i="2"/>
  <c r="D2094" i="2"/>
  <c r="J2036" i="2"/>
  <c r="F2068" i="2"/>
  <c r="E2027" i="2"/>
  <c r="O2002" i="2"/>
  <c r="O1978" i="2"/>
  <c r="O1954" i="2"/>
  <c r="O1930" i="2"/>
  <c r="J2066" i="2"/>
  <c r="D2024" i="2"/>
  <c r="G1997" i="2"/>
  <c r="G1973" i="2"/>
  <c r="G1949" i="2"/>
  <c r="G1929" i="2"/>
  <c r="A2084" i="2"/>
  <c r="H2053" i="2"/>
  <c r="C2023" i="2"/>
  <c r="M2006" i="2"/>
  <c r="M1990" i="2"/>
  <c r="M1974" i="2"/>
  <c r="M1958" i="2"/>
  <c r="J2069" i="2"/>
  <c r="F2045" i="2"/>
  <c r="S2025" i="2"/>
  <c r="K2010" i="2"/>
  <c r="K1998" i="2"/>
  <c r="K1986" i="2"/>
  <c r="K1974" i="2"/>
  <c r="K1962" i="2"/>
  <c r="K1950" i="2"/>
  <c r="S2092" i="2"/>
  <c r="S2062" i="2"/>
  <c r="A2044" i="2"/>
  <c r="R2027" i="2"/>
  <c r="J2016" i="2"/>
  <c r="Q2007" i="2"/>
  <c r="Q1999" i="2"/>
  <c r="Q1991" i="2"/>
  <c r="Q1983" i="2"/>
  <c r="N2169" i="2"/>
  <c r="A2082" i="2"/>
  <c r="Q2062" i="2"/>
  <c r="H2047" i="2"/>
  <c r="Q2033" i="2"/>
  <c r="Q2021" i="2"/>
  <c r="P2011" i="2"/>
  <c r="P2003" i="2"/>
  <c r="P1995" i="2"/>
  <c r="P1987" i="2"/>
  <c r="P1979" i="2"/>
  <c r="P1971" i="2"/>
  <c r="P1963" i="2"/>
  <c r="P1955" i="2"/>
  <c r="P1947" i="2"/>
  <c r="P1939" i="2"/>
  <c r="P1931" i="2"/>
  <c r="D2140" i="2"/>
  <c r="F2080" i="2"/>
  <c r="C2061" i="2"/>
  <c r="D2046" i="2"/>
  <c r="O2032" i="2"/>
  <c r="O2020" i="2"/>
  <c r="A2011" i="2"/>
  <c r="A2003" i="2"/>
  <c r="A1995" i="2"/>
  <c r="A1987" i="2"/>
  <c r="A1979" i="2"/>
  <c r="A1971" i="2"/>
  <c r="A1963" i="2"/>
  <c r="A1955" i="2"/>
  <c r="A1947" i="2"/>
  <c r="A1939" i="2"/>
  <c r="A1931" i="2"/>
  <c r="S2094" i="2"/>
  <c r="P2073" i="2"/>
  <c r="D2055" i="2"/>
  <c r="J2041" i="2"/>
  <c r="M2028" i="2"/>
  <c r="C2017" i="2"/>
  <c r="G2008" i="2"/>
  <c r="G2000" i="2"/>
  <c r="G1992" i="2"/>
  <c r="G1984" i="2"/>
  <c r="G1976" i="2"/>
  <c r="G1968" i="2"/>
  <c r="G1960" i="2"/>
  <c r="G1952" i="2"/>
  <c r="G1944" i="2"/>
  <c r="G1936" i="2"/>
  <c r="G1928" i="2"/>
  <c r="M1995" i="2"/>
  <c r="J1953" i="2"/>
  <c r="M1935" i="2"/>
  <c r="Q1921" i="2"/>
  <c r="K1913" i="2"/>
  <c r="K1905" i="2"/>
  <c r="K1897" i="2"/>
  <c r="K1889" i="2"/>
  <c r="K1881" i="2"/>
  <c r="K1873" i="2"/>
  <c r="K1865" i="2"/>
  <c r="K1857" i="2"/>
  <c r="K1849" i="2"/>
  <c r="K1841" i="2"/>
  <c r="K1833" i="2"/>
  <c r="Q2044" i="2"/>
  <c r="J1963" i="2"/>
  <c r="D1942" i="2"/>
  <c r="E1926" i="2"/>
  <c r="P1916" i="2"/>
  <c r="P1908" i="2"/>
  <c r="P1900" i="2"/>
  <c r="P1892" i="2"/>
  <c r="P1884" i="2"/>
  <c r="P1876" i="2"/>
  <c r="P1868" i="2"/>
  <c r="P1860" i="2"/>
  <c r="P1852" i="2"/>
  <c r="P1844" i="2"/>
  <c r="S2127" i="2"/>
  <c r="O2195" i="2"/>
  <c r="M2113" i="2"/>
  <c r="M2080" i="2"/>
  <c r="E2037" i="2"/>
  <c r="N2114" i="2"/>
  <c r="O2021" i="2"/>
  <c r="T2046" i="2"/>
  <c r="J2022" i="2"/>
  <c r="E1962" i="2"/>
  <c r="Q2008" i="2"/>
  <c r="J2091" i="2"/>
  <c r="H2035" i="2"/>
  <c r="C2006" i="2"/>
  <c r="C1990" i="2"/>
  <c r="C1974" i="2"/>
  <c r="C1958" i="2"/>
  <c r="C1942" i="2"/>
  <c r="C1926" i="2"/>
  <c r="F2060" i="2"/>
  <c r="E2026" i="2"/>
  <c r="H1999" i="2"/>
  <c r="H1975" i="2"/>
  <c r="H1951" i="2"/>
  <c r="H1927" i="2"/>
  <c r="J2058" i="2"/>
  <c r="E2019" i="2"/>
  <c r="T1993" i="2"/>
  <c r="T1969" i="2"/>
  <c r="T1945" i="2"/>
  <c r="N1928" i="2"/>
  <c r="E2052" i="2"/>
  <c r="C2021" i="2"/>
  <c r="M2004" i="2"/>
  <c r="M1988" i="2"/>
  <c r="M1972" i="2"/>
  <c r="Q2145" i="2"/>
  <c r="Q2067" i="2"/>
  <c r="D2044" i="2"/>
  <c r="S2024" i="2"/>
  <c r="R2009" i="2"/>
  <c r="R1997" i="2"/>
  <c r="R1985" i="2"/>
  <c r="R1973" i="2"/>
  <c r="R1961" i="2"/>
  <c r="R1949" i="2"/>
  <c r="F2090" i="2"/>
  <c r="H2061" i="2"/>
  <c r="P2041" i="2"/>
  <c r="R2026" i="2"/>
  <c r="O2015" i="2"/>
  <c r="D2007" i="2"/>
  <c r="D1999" i="2"/>
  <c r="D1991" i="2"/>
  <c r="D1983" i="2"/>
  <c r="C2142" i="2"/>
  <c r="D2061" i="2"/>
  <c r="E2046" i="2"/>
  <c r="Q2032" i="2"/>
  <c r="Q2020" i="2"/>
  <c r="C2011" i="2"/>
  <c r="C2003" i="2"/>
  <c r="C1995" i="2"/>
  <c r="C1987" i="2"/>
  <c r="C1979" i="2"/>
  <c r="C1971" i="2"/>
  <c r="C1963" i="2"/>
  <c r="C1955" i="2"/>
  <c r="C1947" i="2"/>
  <c r="C1939" i="2"/>
  <c r="C1931" i="2"/>
  <c r="N2120" i="2"/>
  <c r="O2078" i="2"/>
  <c r="J2059" i="2"/>
  <c r="S2044" i="2"/>
  <c r="P2031" i="2"/>
  <c r="P2019" i="2"/>
  <c r="H2010" i="2"/>
  <c r="H2002" i="2"/>
  <c r="H1994" i="2"/>
  <c r="H1986" i="2"/>
  <c r="H1978" i="2"/>
  <c r="H1970" i="2"/>
  <c r="H1962" i="2"/>
  <c r="H1954" i="2"/>
  <c r="H1946" i="2"/>
  <c r="H1938" i="2"/>
  <c r="H1930" i="2"/>
  <c r="F2092" i="2"/>
  <c r="D2072" i="2"/>
  <c r="A2054" i="2"/>
  <c r="F2040" i="2"/>
  <c r="M2027" i="2"/>
  <c r="F2016" i="2"/>
  <c r="N2007" i="2"/>
  <c r="N1999" i="2"/>
  <c r="S2180" i="2"/>
  <c r="T2152" i="2"/>
  <c r="T2087" i="2"/>
  <c r="S2079" i="2"/>
  <c r="K2036" i="2"/>
  <c r="C2103" i="2"/>
  <c r="G2026" i="2"/>
  <c r="K2019" i="2"/>
  <c r="K1961" i="2"/>
  <c r="H2033" i="2"/>
  <c r="Q2000" i="2"/>
  <c r="F2030" i="2"/>
  <c r="K2053" i="2"/>
  <c r="E2025" i="2"/>
  <c r="O1998" i="2"/>
  <c r="O1974" i="2"/>
  <c r="O1950" i="2"/>
  <c r="O1926" i="2"/>
  <c r="S2056" i="2"/>
  <c r="H2018" i="2"/>
  <c r="G1993" i="2"/>
  <c r="G1969" i="2"/>
  <c r="G1945" i="2"/>
  <c r="N1926" i="2"/>
  <c r="Q2080" i="2"/>
  <c r="Q2048" i="2"/>
  <c r="F2003" i="2"/>
  <c r="F1987" i="2"/>
  <c r="F1971" i="2"/>
  <c r="T2112" i="2"/>
  <c r="F2066" i="2"/>
  <c r="Q2041" i="2"/>
  <c r="S2023" i="2"/>
  <c r="K2008" i="2"/>
  <c r="E1997" i="2"/>
  <c r="K1984" i="2"/>
  <c r="E1973" i="2"/>
  <c r="K1960" i="2"/>
  <c r="E1949" i="2"/>
  <c r="S2086" i="2"/>
  <c r="P2059" i="2"/>
  <c r="M2040" i="2"/>
  <c r="R2025" i="2"/>
  <c r="R2014" i="2"/>
  <c r="J2006" i="2"/>
  <c r="J1998" i="2"/>
  <c r="J1990" i="2"/>
  <c r="J1982" i="2"/>
  <c r="Q2121" i="2"/>
  <c r="Q2078" i="2"/>
  <c r="M2059" i="2"/>
  <c r="C2045" i="2"/>
  <c r="Q2031" i="2"/>
  <c r="Q2019" i="2"/>
  <c r="K2110" i="2"/>
  <c r="C2077" i="2"/>
  <c r="Q2057" i="2"/>
  <c r="Q2043" i="2"/>
  <c r="O2030" i="2"/>
  <c r="R2018" i="2"/>
  <c r="O2009" i="2"/>
  <c r="O2001" i="2"/>
  <c r="O1993" i="2"/>
  <c r="O1985" i="2"/>
  <c r="O1977" i="2"/>
  <c r="O1969" i="2"/>
  <c r="O1961" i="2"/>
  <c r="O1953" i="2"/>
  <c r="O1945" i="2"/>
  <c r="O1937" i="2"/>
  <c r="O1929" i="2"/>
  <c r="P2089" i="2"/>
  <c r="J2070" i="2"/>
  <c r="R2052" i="2"/>
  <c r="D2039" i="2"/>
  <c r="M2026" i="2"/>
  <c r="J2015" i="2"/>
  <c r="T2006" i="2"/>
  <c r="T1998" i="2"/>
  <c r="T1990" i="2"/>
  <c r="T1982" i="2"/>
  <c r="T1974" i="2"/>
  <c r="T1966" i="2"/>
  <c r="T1958" i="2"/>
  <c r="T1950" i="2"/>
  <c r="T1942" i="2"/>
  <c r="T1934" i="2"/>
  <c r="T1926" i="2"/>
  <c r="M1979" i="2"/>
  <c r="E1950" i="2"/>
  <c r="S1932" i="2"/>
  <c r="H1920" i="2"/>
  <c r="E1912" i="2"/>
  <c r="E1904" i="2"/>
  <c r="E1896" i="2"/>
  <c r="E1888" i="2"/>
  <c r="E1880" i="2"/>
  <c r="E1872" i="2"/>
  <c r="E1864" i="2"/>
  <c r="E1856" i="2"/>
  <c r="E1848" i="2"/>
  <c r="E1840" i="2"/>
  <c r="E1832" i="2"/>
  <c r="M2019" i="2"/>
  <c r="D1958" i="2"/>
  <c r="J1939" i="2"/>
  <c r="F1924" i="2"/>
  <c r="O2223" i="2"/>
  <c r="F2217" i="2"/>
  <c r="F2173" i="2"/>
  <c r="C2106" i="2"/>
  <c r="G2081" i="2"/>
  <c r="S2075" i="2"/>
  <c r="M2192" i="2"/>
  <c r="N2110" i="2"/>
  <c r="A2123" i="2"/>
  <c r="N2023" i="2"/>
  <c r="E2006" i="2"/>
  <c r="D2000" i="2"/>
  <c r="F2025" i="2"/>
  <c r="P2004" i="2"/>
  <c r="P1988" i="2"/>
  <c r="P1972" i="2"/>
  <c r="P1956" i="2"/>
  <c r="P1940" i="2"/>
  <c r="P1924" i="2"/>
  <c r="E2020" i="2"/>
  <c r="A1998" i="2"/>
  <c r="A1974" i="2"/>
  <c r="A1950" i="2"/>
  <c r="A1926" i="2"/>
  <c r="P2055" i="2"/>
  <c r="J2017" i="2"/>
  <c r="N1992" i="2"/>
  <c r="N1968" i="2"/>
  <c r="N1944" i="2"/>
  <c r="G1925" i="2"/>
  <c r="J2046" i="2"/>
  <c r="M2016" i="2"/>
  <c r="F2001" i="2"/>
  <c r="F1985" i="2"/>
  <c r="F1969" i="2"/>
  <c r="D2093" i="2"/>
  <c r="J2061" i="2"/>
  <c r="O2040" i="2"/>
  <c r="S2020" i="2"/>
  <c r="R2007" i="2"/>
  <c r="E1995" i="2"/>
  <c r="R1983" i="2"/>
  <c r="E1971" i="2"/>
  <c r="R1959" i="2"/>
  <c r="E1947" i="2"/>
  <c r="H2085" i="2"/>
  <c r="J2055" i="2"/>
  <c r="J2039" i="2"/>
  <c r="R2024" i="2"/>
  <c r="C2014" i="2"/>
  <c r="Q2005" i="2"/>
  <c r="Q1997" i="2"/>
  <c r="Q1989" i="2"/>
  <c r="Q1981" i="2"/>
  <c r="G2111" i="2"/>
  <c r="D2077" i="2"/>
  <c r="A2058" i="2"/>
  <c r="S2043" i="2"/>
  <c r="Q2030" i="2"/>
  <c r="S2018" i="2"/>
  <c r="P2009" i="2"/>
  <c r="P2001" i="2"/>
  <c r="P1993" i="2"/>
  <c r="P1985" i="2"/>
  <c r="P1977" i="2"/>
  <c r="P1969" i="2"/>
  <c r="P1961" i="2"/>
  <c r="P1953" i="2"/>
  <c r="P1945" i="2"/>
  <c r="P1937" i="2"/>
  <c r="P1929" i="2"/>
  <c r="F2102" i="2"/>
  <c r="J2075" i="2"/>
  <c r="O2042" i="2"/>
  <c r="P2029" i="2"/>
  <c r="S2017" i="2"/>
  <c r="A2009" i="2"/>
  <c r="A2001" i="2"/>
  <c r="A1993" i="2"/>
  <c r="A1985" i="2"/>
  <c r="A1977" i="2"/>
  <c r="A1969" i="2"/>
  <c r="A1961" i="2"/>
  <c r="A1953" i="2"/>
  <c r="A1945" i="2"/>
  <c r="A1937" i="2"/>
  <c r="A1929" i="2"/>
  <c r="D2088" i="2"/>
  <c r="S2068" i="2"/>
  <c r="P2051" i="2"/>
  <c r="A2038" i="2"/>
  <c r="M2025" i="2"/>
  <c r="O2014" i="2"/>
  <c r="G2006" i="2"/>
  <c r="G1998" i="2"/>
  <c r="N2080" i="2"/>
  <c r="N2160" i="2"/>
  <c r="S2121" i="2"/>
  <c r="T2022" i="2"/>
  <c r="E2004" i="2"/>
  <c r="F2094" i="2"/>
  <c r="J1999" i="2"/>
  <c r="M2071" i="2"/>
  <c r="F2024" i="2"/>
  <c r="F2051" i="2"/>
  <c r="O1994" i="2"/>
  <c r="O1970" i="2"/>
  <c r="O1946" i="2"/>
  <c r="O1922" i="2"/>
  <c r="A2050" i="2"/>
  <c r="J2013" i="2"/>
  <c r="G1989" i="2"/>
  <c r="G1965" i="2"/>
  <c r="N1942" i="2"/>
  <c r="T1921" i="2"/>
  <c r="Q2072" i="2"/>
  <c r="Q2040" i="2"/>
  <c r="Q2015" i="2"/>
  <c r="S1999" i="2"/>
  <c r="S1983" i="2"/>
  <c r="S1967" i="2"/>
  <c r="O2088" i="2"/>
  <c r="Q2059" i="2"/>
  <c r="S2019" i="2"/>
  <c r="K2006" i="2"/>
  <c r="K1994" i="2"/>
  <c r="K1982" i="2"/>
  <c r="K1970" i="2"/>
  <c r="K1958" i="2"/>
  <c r="K1946" i="2"/>
  <c r="D2082" i="2"/>
  <c r="F2054" i="2"/>
  <c r="F2038" i="2"/>
  <c r="R2023" i="2"/>
  <c r="F2013" i="2"/>
  <c r="D2005" i="2"/>
  <c r="D1997" i="2"/>
  <c r="D1989" i="2"/>
  <c r="D1981" i="2"/>
  <c r="S2102" i="2"/>
  <c r="M2075" i="2"/>
  <c r="J2056" i="2"/>
  <c r="Q2042" i="2"/>
  <c r="Q2029" i="2"/>
  <c r="A2018" i="2"/>
  <c r="C2009" i="2"/>
  <c r="C2001" i="2"/>
  <c r="C1993" i="2"/>
  <c r="C1985" i="2"/>
  <c r="C1977" i="2"/>
  <c r="C1969" i="2"/>
  <c r="C1961" i="2"/>
  <c r="C1953" i="2"/>
  <c r="C1945" i="2"/>
  <c r="C1937" i="2"/>
  <c r="C1929" i="2"/>
  <c r="D2095" i="2"/>
  <c r="Q2073" i="2"/>
  <c r="F2055" i="2"/>
  <c r="K2041" i="2"/>
  <c r="O2028" i="2"/>
  <c r="D2017" i="2"/>
  <c r="H2008" i="2"/>
  <c r="H2000" i="2"/>
  <c r="H1992" i="2"/>
  <c r="H1984" i="2"/>
  <c r="H1976" i="2"/>
  <c r="H1968" i="2"/>
  <c r="H1960" i="2"/>
  <c r="H1952" i="2"/>
  <c r="H1944" i="2"/>
  <c r="H1936" i="2"/>
  <c r="H1928" i="2"/>
  <c r="J2086" i="2"/>
  <c r="H2067" i="2"/>
  <c r="M2050" i="2"/>
  <c r="R2036" i="2"/>
  <c r="M2024" i="2"/>
  <c r="R2013" i="2"/>
  <c r="N2005" i="2"/>
  <c r="N1997" i="2"/>
  <c r="N1989" i="2"/>
  <c r="N1981" i="2"/>
  <c r="N1973" i="2"/>
  <c r="N1965" i="2"/>
  <c r="N1957" i="2"/>
  <c r="N1949" i="2"/>
  <c r="N1941" i="2"/>
  <c r="N1933" i="2"/>
  <c r="P2159" i="2"/>
  <c r="Q1971" i="2"/>
  <c r="S1946" i="2"/>
  <c r="F1930" i="2"/>
  <c r="S1918" i="2"/>
  <c r="R1910" i="2"/>
  <c r="R1902" i="2"/>
  <c r="R1894" i="2"/>
  <c r="R1886" i="2"/>
  <c r="R1878" i="2"/>
  <c r="R1870" i="2"/>
  <c r="R1862" i="2"/>
  <c r="R1854" i="2"/>
  <c r="R1846" i="2"/>
  <c r="R1838" i="2"/>
  <c r="R1830" i="2"/>
  <c r="F2002" i="2"/>
  <c r="Q1954" i="2"/>
  <c r="Q1936" i="2"/>
  <c r="J1922" i="2"/>
  <c r="C1914" i="2"/>
  <c r="C1906" i="2"/>
  <c r="C1898" i="2"/>
  <c r="C1890" i="2"/>
  <c r="C1882" i="2"/>
  <c r="C1874" i="2"/>
  <c r="C1866" i="2"/>
  <c r="C1858" i="2"/>
  <c r="C1850" i="2"/>
  <c r="C1842" i="2"/>
  <c r="C1834" i="2"/>
  <c r="C1826" i="2"/>
  <c r="C1818" i="2"/>
  <c r="E2191" i="2"/>
  <c r="Q2100" i="2"/>
  <c r="N2032" i="2"/>
  <c r="J2158" i="2"/>
  <c r="H2086" i="2"/>
  <c r="G2098" i="2"/>
  <c r="C2083" i="2"/>
  <c r="E2002" i="2"/>
  <c r="M2091" i="2"/>
  <c r="J1991" i="2"/>
  <c r="A2070" i="2"/>
  <c r="F2023" i="2"/>
  <c r="T2128" i="2"/>
  <c r="K2045" i="2"/>
  <c r="S2015" i="2"/>
  <c r="H1991" i="2"/>
  <c r="H1967" i="2"/>
  <c r="H1943" i="2"/>
  <c r="K2114" i="2"/>
  <c r="F2044" i="2"/>
  <c r="T2009" i="2"/>
  <c r="T1985" i="2"/>
  <c r="T1961" i="2"/>
  <c r="G1941" i="2"/>
  <c r="G1921" i="2"/>
  <c r="D2071" i="2"/>
  <c r="M2039" i="2"/>
  <c r="A2015" i="2"/>
  <c r="F1999" i="2"/>
  <c r="F1983" i="2"/>
  <c r="F1967" i="2"/>
  <c r="C2087" i="2"/>
  <c r="F2058" i="2"/>
  <c r="F2037" i="2"/>
  <c r="C2019" i="2"/>
  <c r="R2005" i="2"/>
  <c r="R1993" i="2"/>
  <c r="R1981" i="2"/>
  <c r="R1969" i="2"/>
  <c r="R1957" i="2"/>
  <c r="R1945" i="2"/>
  <c r="J2080" i="2"/>
  <c r="D2053" i="2"/>
  <c r="D2037" i="2"/>
  <c r="R2022" i="2"/>
  <c r="J2012" i="2"/>
  <c r="J2004" i="2"/>
  <c r="J1996" i="2"/>
  <c r="J1988" i="2"/>
  <c r="J1980" i="2"/>
  <c r="M2095" i="2"/>
  <c r="A2074" i="2"/>
  <c r="H2055" i="2"/>
  <c r="M2041" i="2"/>
  <c r="Q2028" i="2"/>
  <c r="E2017" i="2"/>
  <c r="J2092" i="2"/>
  <c r="F2072" i="2"/>
  <c r="D2054" i="2"/>
  <c r="P2027" i="2"/>
  <c r="H2016" i="2"/>
  <c r="O2007" i="2"/>
  <c r="O1999" i="2"/>
  <c r="O1991" i="2"/>
  <c r="O1983" i="2"/>
  <c r="O1975" i="2"/>
  <c r="O1967" i="2"/>
  <c r="O1959" i="2"/>
  <c r="O1951" i="2"/>
  <c r="O1943" i="2"/>
  <c r="O1935" i="2"/>
  <c r="O1927" i="2"/>
  <c r="S2084" i="2"/>
  <c r="P2065" i="2"/>
  <c r="J2049" i="2"/>
  <c r="P2035" i="2"/>
  <c r="M2023" i="2"/>
  <c r="C2013" i="2"/>
  <c r="T2004" i="2"/>
  <c r="T1996" i="2"/>
  <c r="T1988" i="2"/>
  <c r="T1980" i="2"/>
  <c r="T1972" i="2"/>
  <c r="T1964" i="2"/>
  <c r="T1956" i="2"/>
  <c r="T1948" i="2"/>
  <c r="T1940" i="2"/>
  <c r="T1932" i="2"/>
  <c r="M2081" i="2"/>
  <c r="D1969" i="2"/>
  <c r="J1945" i="2"/>
  <c r="S1928" i="2"/>
  <c r="E1918" i="2"/>
  <c r="E1910" i="2"/>
  <c r="E1902" i="2"/>
  <c r="E1894" i="2"/>
  <c r="E1886" i="2"/>
  <c r="E1878" i="2"/>
  <c r="E1870" i="2"/>
  <c r="E1862" i="2"/>
  <c r="E1854" i="2"/>
  <c r="E1846" i="2"/>
  <c r="E1838" i="2"/>
  <c r="E1830" i="2"/>
  <c r="F1994" i="2"/>
  <c r="D1953" i="2"/>
  <c r="J1935" i="2"/>
  <c r="O1921" i="2"/>
  <c r="P2252" i="2"/>
  <c r="E2167" i="2"/>
  <c r="S2162" i="2"/>
  <c r="G2027" i="2"/>
  <c r="N2146" i="2"/>
  <c r="O2085" i="2"/>
  <c r="N2095" i="2"/>
  <c r="F2078" i="2"/>
  <c r="E1990" i="2"/>
  <c r="H2089" i="2"/>
  <c r="Q1990" i="2"/>
  <c r="J2018" i="2"/>
  <c r="D2091" i="2"/>
  <c r="D2015" i="2"/>
  <c r="O1990" i="2"/>
  <c r="O1966" i="2"/>
  <c r="O1942" i="2"/>
  <c r="M2105" i="2"/>
  <c r="D2043" i="2"/>
  <c r="G2009" i="2"/>
  <c r="G1985" i="2"/>
  <c r="G1961" i="2"/>
  <c r="T1937" i="2"/>
  <c r="N1920" i="2"/>
  <c r="M2069" i="2"/>
  <c r="J2038" i="2"/>
  <c r="M1998" i="2"/>
  <c r="M1982" i="2"/>
  <c r="M1966" i="2"/>
  <c r="J2085" i="2"/>
  <c r="K2055" i="2"/>
  <c r="D2036" i="2"/>
  <c r="H2017" i="2"/>
  <c r="E2005" i="2"/>
  <c r="K1992" i="2"/>
  <c r="E1981" i="2"/>
  <c r="K1968" i="2"/>
  <c r="E1957" i="2"/>
  <c r="K1944" i="2"/>
  <c r="S2078" i="2"/>
  <c r="A2052" i="2"/>
  <c r="A2036" i="2"/>
  <c r="R2021" i="2"/>
  <c r="Q2011" i="2"/>
  <c r="Q2003" i="2"/>
  <c r="Q1995" i="2"/>
  <c r="Q1987" i="2"/>
  <c r="Q1979" i="2"/>
  <c r="Q2092" i="2"/>
  <c r="E2054" i="2"/>
  <c r="J2040" i="2"/>
  <c r="Q2027" i="2"/>
  <c r="P2007" i="2"/>
  <c r="P1999" i="2"/>
  <c r="P1991" i="2"/>
  <c r="P1983" i="2"/>
  <c r="P1975" i="2"/>
  <c r="P1967" i="2"/>
  <c r="P1959" i="2"/>
  <c r="P1951" i="2"/>
  <c r="P1943" i="2"/>
  <c r="P1935" i="2"/>
  <c r="P1927" i="2"/>
  <c r="Q2089" i="2"/>
  <c r="O2070" i="2"/>
  <c r="S2052" i="2"/>
  <c r="F2039" i="2"/>
  <c r="O2026" i="2"/>
  <c r="K2015" i="2"/>
  <c r="A2007" i="2"/>
  <c r="A1999" i="2"/>
  <c r="A1991" i="2"/>
  <c r="A1983" i="2"/>
  <c r="A1975" i="2"/>
  <c r="A1967" i="2"/>
  <c r="A1959" i="2"/>
  <c r="A1951" i="2"/>
  <c r="A1943" i="2"/>
  <c r="A1935" i="2"/>
  <c r="A1927" i="2"/>
  <c r="H2083" i="2"/>
  <c r="D2064" i="2"/>
  <c r="F2048" i="2"/>
  <c r="M2034" i="2"/>
  <c r="M2022" i="2"/>
  <c r="G2012" i="2"/>
  <c r="G2004" i="2"/>
  <c r="G1996" i="2"/>
  <c r="G1988" i="2"/>
  <c r="G1980" i="2"/>
  <c r="G1972" i="2"/>
  <c r="G1964" i="2"/>
  <c r="G1956" i="2"/>
  <c r="G1948" i="2"/>
  <c r="G1940" i="2"/>
  <c r="G1932" i="2"/>
  <c r="H2283" i="2"/>
  <c r="K2148" i="2"/>
  <c r="N2210" i="2"/>
  <c r="Q2143" i="2"/>
  <c r="J2194" i="2"/>
  <c r="G2025" i="2"/>
  <c r="E2101" i="2"/>
  <c r="N2115" i="2"/>
  <c r="O2081" i="2"/>
  <c r="T2094" i="2"/>
  <c r="Q2071" i="2"/>
  <c r="E1988" i="2"/>
  <c r="D2070" i="2"/>
  <c r="D1990" i="2"/>
  <c r="C1998" i="2"/>
  <c r="C1982" i="2"/>
  <c r="C1966" i="2"/>
  <c r="C1950" i="2"/>
  <c r="C1934" i="2"/>
  <c r="C2089" i="2"/>
  <c r="Q2039" i="2"/>
  <c r="H2014" i="2"/>
  <c r="A1990" i="2"/>
  <c r="A1966" i="2"/>
  <c r="A1942" i="2"/>
  <c r="M2097" i="2"/>
  <c r="A2042" i="2"/>
  <c r="N2008" i="2"/>
  <c r="N1984" i="2"/>
  <c r="N1960" i="2"/>
  <c r="G1937" i="2"/>
  <c r="N1918" i="2"/>
  <c r="C2035" i="2"/>
  <c r="M2012" i="2"/>
  <c r="M1996" i="2"/>
  <c r="M1980" i="2"/>
  <c r="M1964" i="2"/>
  <c r="O2080" i="2"/>
  <c r="S2032" i="2"/>
  <c r="K2016" i="2"/>
  <c r="E2003" i="2"/>
  <c r="R1991" i="2"/>
  <c r="E1979" i="2"/>
  <c r="R1967" i="2"/>
  <c r="E1955" i="2"/>
  <c r="R1943" i="2"/>
  <c r="D2074" i="2"/>
  <c r="R2050" i="2"/>
  <c r="R2033" i="2"/>
  <c r="R2020" i="2"/>
  <c r="D2011" i="2"/>
  <c r="D2003" i="2"/>
  <c r="D1995" i="2"/>
  <c r="D1987" i="2"/>
  <c r="D1979" i="2"/>
  <c r="D2090" i="2"/>
  <c r="Q2070" i="2"/>
  <c r="C2053" i="2"/>
  <c r="H2039" i="2"/>
  <c r="Q2026" i="2"/>
  <c r="M2015" i="2"/>
  <c r="C2007" i="2"/>
  <c r="C1999" i="2"/>
  <c r="C1991" i="2"/>
  <c r="C1983" i="2"/>
  <c r="C1975" i="2"/>
  <c r="C1967" i="2"/>
  <c r="C1959" i="2"/>
  <c r="C1951" i="2"/>
  <c r="C1943" i="2"/>
  <c r="C1935" i="2"/>
  <c r="C1927" i="2"/>
  <c r="F2088" i="2"/>
  <c r="C2069" i="2"/>
  <c r="Q2051" i="2"/>
  <c r="D2038" i="2"/>
  <c r="P2025" i="2"/>
  <c r="P2014" i="2"/>
  <c r="H2006" i="2"/>
  <c r="H1998" i="2"/>
  <c r="H1990" i="2"/>
  <c r="H1982" i="2"/>
  <c r="H1974" i="2"/>
  <c r="H1966" i="2"/>
  <c r="H1958" i="2"/>
  <c r="H1950" i="2"/>
  <c r="H1942" i="2"/>
  <c r="H1934" i="2"/>
  <c r="J2162" i="2"/>
  <c r="P2081" i="2"/>
  <c r="J2062" i="2"/>
  <c r="D2047" i="2"/>
  <c r="M2033" i="2"/>
  <c r="M2021" i="2"/>
  <c r="N2011" i="2"/>
  <c r="N2003" i="2"/>
  <c r="N1995" i="2"/>
  <c r="N1987" i="2"/>
  <c r="N1979" i="2"/>
  <c r="N1971" i="2"/>
  <c r="N1963" i="2"/>
  <c r="N1955" i="2"/>
  <c r="N1947" i="2"/>
  <c r="N1939" i="2"/>
  <c r="N1931" i="2"/>
  <c r="C2047" i="2"/>
  <c r="Q1963" i="2"/>
  <c r="F1942" i="2"/>
  <c r="H1926" i="2"/>
  <c r="R1916" i="2"/>
  <c r="R1908" i="2"/>
  <c r="R1900" i="2"/>
  <c r="R1892" i="2"/>
  <c r="R1884" i="2"/>
  <c r="R1876" i="2"/>
  <c r="R1868" i="2"/>
  <c r="R1860" i="2"/>
  <c r="R1852" i="2"/>
  <c r="R1844" i="2"/>
  <c r="R1836" i="2"/>
  <c r="F2136" i="2"/>
  <c r="F1978" i="2"/>
  <c r="S1949" i="2"/>
  <c r="Q1932" i="2"/>
  <c r="F1920" i="2"/>
  <c r="C1912" i="2"/>
  <c r="C1904" i="2"/>
  <c r="C1896" i="2"/>
  <c r="C1888" i="2"/>
  <c r="C1880" i="2"/>
  <c r="C1872" i="2"/>
  <c r="C1864" i="2"/>
  <c r="C1856" i="2"/>
  <c r="C1848" i="2"/>
  <c r="C1840" i="2"/>
  <c r="M2209" i="2"/>
  <c r="E2069" i="2"/>
  <c r="G2074" i="2"/>
  <c r="S2066" i="2"/>
  <c r="J1981" i="2"/>
  <c r="H2007" i="2"/>
  <c r="P2077" i="2"/>
  <c r="T1953" i="2"/>
  <c r="M2061" i="2"/>
  <c r="S1991" i="2"/>
  <c r="S2050" i="2"/>
  <c r="K2000" i="2"/>
  <c r="K1952" i="2"/>
  <c r="R2030" i="2"/>
  <c r="D1993" i="2"/>
  <c r="D2069" i="2"/>
  <c r="Q2023" i="2"/>
  <c r="C2085" i="2"/>
  <c r="O2034" i="2"/>
  <c r="H1996" i="2"/>
  <c r="H1964" i="2"/>
  <c r="H1932" i="2"/>
  <c r="P2043" i="2"/>
  <c r="N2001" i="2"/>
  <c r="G1978" i="2"/>
  <c r="N1959" i="2"/>
  <c r="T1938" i="2"/>
  <c r="K2021" i="2"/>
  <c r="M1939" i="2"/>
  <c r="K1915" i="2"/>
  <c r="K1899" i="2"/>
  <c r="K1883" i="2"/>
  <c r="K1867" i="2"/>
  <c r="K1851" i="2"/>
  <c r="K1835" i="2"/>
  <c r="J1971" i="2"/>
  <c r="D1930" i="2"/>
  <c r="P1902" i="2"/>
  <c r="C1892" i="2"/>
  <c r="P1870" i="2"/>
  <c r="C1860" i="2"/>
  <c r="P1838" i="2"/>
  <c r="C1830" i="2"/>
  <c r="P1812" i="2"/>
  <c r="P1804" i="2"/>
  <c r="P1796" i="2"/>
  <c r="P1788" i="2"/>
  <c r="M2009" i="2"/>
  <c r="E1956" i="2"/>
  <c r="S1937" i="2"/>
  <c r="E1923" i="2"/>
  <c r="O1914" i="2"/>
  <c r="O1906" i="2"/>
  <c r="O1898" i="2"/>
  <c r="O1890" i="2"/>
  <c r="O1882" i="2"/>
  <c r="O1874" i="2"/>
  <c r="O1866" i="2"/>
  <c r="O1858" i="2"/>
  <c r="O1850" i="2"/>
  <c r="Q2017" i="2"/>
  <c r="M1957" i="2"/>
  <c r="E1939" i="2"/>
  <c r="D1924" i="2"/>
  <c r="G1915" i="2"/>
  <c r="G1907" i="2"/>
  <c r="G1899" i="2"/>
  <c r="G1891" i="2"/>
  <c r="G1883" i="2"/>
  <c r="G1875" i="2"/>
  <c r="G1867" i="2"/>
  <c r="G1859" i="2"/>
  <c r="G1851" i="2"/>
  <c r="G1843" i="2"/>
  <c r="G1835" i="2"/>
  <c r="G1827" i="2"/>
  <c r="G1819" i="2"/>
  <c r="G1811" i="2"/>
  <c r="G1803" i="2"/>
  <c r="G1795" i="2"/>
  <c r="G1787" i="2"/>
  <c r="K2028" i="2"/>
  <c r="D1960" i="2"/>
  <c r="J1940" i="2"/>
  <c r="S1924" i="2"/>
  <c r="S1915" i="2"/>
  <c r="S1907" i="2"/>
  <c r="S1899" i="2"/>
  <c r="S1891" i="2"/>
  <c r="S1883" i="2"/>
  <c r="S1875" i="2"/>
  <c r="S1867" i="2"/>
  <c r="S1859" i="2"/>
  <c r="S1851" i="2"/>
  <c r="S1843" i="2"/>
  <c r="S1835" i="2"/>
  <c r="A2072" i="2"/>
  <c r="Q1967" i="2"/>
  <c r="M1944" i="2"/>
  <c r="F1928" i="2"/>
  <c r="R1917" i="2"/>
  <c r="R1909" i="2"/>
  <c r="R1901" i="2"/>
  <c r="R1893" i="2"/>
  <c r="R1885" i="2"/>
  <c r="R1877" i="2"/>
  <c r="R1869" i="2"/>
  <c r="R1861" i="2"/>
  <c r="R1853" i="2"/>
  <c r="R1845" i="2"/>
  <c r="R1837" i="2"/>
  <c r="R1829" i="2"/>
  <c r="R1821" i="2"/>
  <c r="M1967" i="2"/>
  <c r="J1944" i="2"/>
  <c r="E1928" i="2"/>
  <c r="Q1917" i="2"/>
  <c r="Q1909" i="2"/>
  <c r="Q1901" i="2"/>
  <c r="Q1893" i="2"/>
  <c r="Q1885" i="2"/>
  <c r="Q1877" i="2"/>
  <c r="Q1869" i="2"/>
  <c r="Q1861" i="2"/>
  <c r="Q1853" i="2"/>
  <c r="F1982" i="2"/>
  <c r="Q1950" i="2"/>
  <c r="J1933" i="2"/>
  <c r="M1920" i="2"/>
  <c r="M1989" i="2"/>
  <c r="E1952" i="2"/>
  <c r="M1934" i="2"/>
  <c r="F1921" i="2"/>
  <c r="A1913" i="2"/>
  <c r="A1905" i="2"/>
  <c r="A1897" i="2"/>
  <c r="A1889" i="2"/>
  <c r="A1881" i="2"/>
  <c r="A1873" i="2"/>
  <c r="A1865" i="2"/>
  <c r="A1857" i="2"/>
  <c r="A1849" i="2"/>
  <c r="A1841" i="2"/>
  <c r="A1833" i="2"/>
  <c r="A1825" i="2"/>
  <c r="A1817" i="2"/>
  <c r="A1809" i="2"/>
  <c r="A1801" i="2"/>
  <c r="A1793" i="2"/>
  <c r="A1785" i="2"/>
  <c r="S1988" i="2"/>
  <c r="D1952" i="2"/>
  <c r="K1934" i="2"/>
  <c r="E1921" i="2"/>
  <c r="T1912" i="2"/>
  <c r="T1904" i="2"/>
  <c r="T1896" i="2"/>
  <c r="T1888" i="2"/>
  <c r="T1880" i="2"/>
  <c r="T1872" i="2"/>
  <c r="T1864" i="2"/>
  <c r="T1856" i="2"/>
  <c r="T1848" i="2"/>
  <c r="T1840" i="2"/>
  <c r="T1832" i="2"/>
  <c r="T1824" i="2"/>
  <c r="T1816" i="2"/>
  <c r="T1808" i="2"/>
  <c r="T1800" i="2"/>
  <c r="T1792" i="2"/>
  <c r="T1784" i="2"/>
  <c r="R1936" i="2"/>
  <c r="D1882" i="2"/>
  <c r="J1842" i="2"/>
  <c r="Q1966" i="2"/>
  <c r="M1893" i="2"/>
  <c r="Q1847" i="2"/>
  <c r="F1828" i="2"/>
  <c r="M1814" i="2"/>
  <c r="M1802" i="2"/>
  <c r="M1790" i="2"/>
  <c r="T1779" i="2"/>
  <c r="T1771" i="2"/>
  <c r="T1763" i="2"/>
  <c r="T1755" i="2"/>
  <c r="T1747" i="2"/>
  <c r="T1739" i="2"/>
  <c r="T1731" i="2"/>
  <c r="T1723" i="2"/>
  <c r="J1917" i="2"/>
  <c r="J1869" i="2"/>
  <c r="J1837" i="2"/>
  <c r="H1821" i="2"/>
  <c r="K1808" i="2"/>
  <c r="K1796" i="2"/>
  <c r="M1784" i="2"/>
  <c r="S1775" i="2"/>
  <c r="S1767" i="2"/>
  <c r="S1759" i="2"/>
  <c r="S1751" i="2"/>
  <c r="S1743" i="2"/>
  <c r="S1735" i="2"/>
  <c r="S1727" i="2"/>
  <c r="S1719" i="2"/>
  <c r="S1711" i="2"/>
  <c r="S1703" i="2"/>
  <c r="S1695" i="2"/>
  <c r="S1687" i="2"/>
  <c r="S1679" i="2"/>
  <c r="S1671" i="2"/>
  <c r="J1934" i="2"/>
  <c r="S1880" i="2"/>
  <c r="D1842" i="2"/>
  <c r="O1824" i="2"/>
  <c r="J1811" i="2"/>
  <c r="J1799" i="2"/>
  <c r="J1787" i="2"/>
  <c r="R1777" i="2"/>
  <c r="R1769" i="2"/>
  <c r="R1761" i="2"/>
  <c r="R1753" i="2"/>
  <c r="R1745" i="2"/>
  <c r="R1737" i="2"/>
  <c r="R1729" i="2"/>
  <c r="R1721" i="2"/>
  <c r="R1713" i="2"/>
  <c r="R1705" i="2"/>
  <c r="R1697" i="2"/>
  <c r="R1689" i="2"/>
  <c r="R1681" i="2"/>
  <c r="E1934" i="2"/>
  <c r="Q1880" i="2"/>
  <c r="A1842" i="2"/>
  <c r="M1824" i="2"/>
  <c r="H1811" i="2"/>
  <c r="H1799" i="2"/>
  <c r="H1787" i="2"/>
  <c r="Q1777" i="2"/>
  <c r="Q1769" i="2"/>
  <c r="Q1761" i="2"/>
  <c r="Q1753" i="2"/>
  <c r="Q1745" i="2"/>
  <c r="Q1737" i="2"/>
  <c r="Q1729" i="2"/>
  <c r="Q1721" i="2"/>
  <c r="H2149" i="2"/>
  <c r="F2191" i="2"/>
  <c r="M2184" i="2"/>
  <c r="N2071" i="2"/>
  <c r="F2050" i="2"/>
  <c r="Q1980" i="2"/>
  <c r="O2006" i="2"/>
  <c r="D2076" i="2"/>
  <c r="G1953" i="2"/>
  <c r="F1979" i="2"/>
  <c r="Q2049" i="2"/>
  <c r="K1990" i="2"/>
  <c r="D2173" i="2"/>
  <c r="R2019" i="2"/>
  <c r="J1986" i="2"/>
  <c r="M2067" i="2"/>
  <c r="J2083" i="2"/>
  <c r="O2024" i="2"/>
  <c r="O1989" i="2"/>
  <c r="O1957" i="2"/>
  <c r="F2138" i="2"/>
  <c r="M2032" i="2"/>
  <c r="T1994" i="2"/>
  <c r="N1977" i="2"/>
  <c r="G1958" i="2"/>
  <c r="G1938" i="2"/>
  <c r="M2011" i="2"/>
  <c r="F1938" i="2"/>
  <c r="R1914" i="2"/>
  <c r="R1898" i="2"/>
  <c r="R1882" i="2"/>
  <c r="R1866" i="2"/>
  <c r="R1850" i="2"/>
  <c r="R1834" i="2"/>
  <c r="Q1968" i="2"/>
  <c r="Q1928" i="2"/>
  <c r="P1912" i="2"/>
  <c r="C1902" i="2"/>
  <c r="P1880" i="2"/>
  <c r="C1870" i="2"/>
  <c r="P1848" i="2"/>
  <c r="C1838" i="2"/>
  <c r="P1820" i="2"/>
  <c r="C1812" i="2"/>
  <c r="C1804" i="2"/>
  <c r="C1796" i="2"/>
  <c r="C1788" i="2"/>
  <c r="M2001" i="2"/>
  <c r="M1954" i="2"/>
  <c r="M1936" i="2"/>
  <c r="A1914" i="2"/>
  <c r="A1906" i="2"/>
  <c r="A1898" i="2"/>
  <c r="A1890" i="2"/>
  <c r="A1882" i="2"/>
  <c r="A1874" i="2"/>
  <c r="A1866" i="2"/>
  <c r="A1858" i="2"/>
  <c r="A1850" i="2"/>
  <c r="S2008" i="2"/>
  <c r="D1956" i="2"/>
  <c r="R1937" i="2"/>
  <c r="D1923" i="2"/>
  <c r="N1914" i="2"/>
  <c r="N1906" i="2"/>
  <c r="N1898" i="2"/>
  <c r="N1890" i="2"/>
  <c r="N1882" i="2"/>
  <c r="N1874" i="2"/>
  <c r="N1866" i="2"/>
  <c r="N1858" i="2"/>
  <c r="N1850" i="2"/>
  <c r="N1842" i="2"/>
  <c r="N1834" i="2"/>
  <c r="N1826" i="2"/>
  <c r="N1818" i="2"/>
  <c r="N1810" i="2"/>
  <c r="N1802" i="2"/>
  <c r="N1794" i="2"/>
  <c r="N1786" i="2"/>
  <c r="A2017" i="2"/>
  <c r="K1957" i="2"/>
  <c r="D1939" i="2"/>
  <c r="S1923" i="2"/>
  <c r="F1915" i="2"/>
  <c r="F1907" i="2"/>
  <c r="F1899" i="2"/>
  <c r="F1891" i="2"/>
  <c r="F1883" i="2"/>
  <c r="F1875" i="2"/>
  <c r="F1867" i="2"/>
  <c r="F1859" i="2"/>
  <c r="F1851" i="2"/>
  <c r="F1843" i="2"/>
  <c r="F1835" i="2"/>
  <c r="S2053" i="2"/>
  <c r="D1965" i="2"/>
  <c r="S1942" i="2"/>
  <c r="S1926" i="2"/>
  <c r="E1917" i="2"/>
  <c r="E1909" i="2"/>
  <c r="E1901" i="2"/>
  <c r="E1893" i="2"/>
  <c r="E1885" i="2"/>
  <c r="E1877" i="2"/>
  <c r="E1869" i="2"/>
  <c r="E1861" i="2"/>
  <c r="E1853" i="2"/>
  <c r="E1845" i="2"/>
  <c r="E1837" i="2"/>
  <c r="E1829" i="2"/>
  <c r="E1821" i="2"/>
  <c r="Q2052" i="2"/>
  <c r="S1964" i="2"/>
  <c r="R1942" i="2"/>
  <c r="R1926" i="2"/>
  <c r="D1917" i="2"/>
  <c r="D1909" i="2"/>
  <c r="D1901" i="2"/>
  <c r="D1893" i="2"/>
  <c r="D1885" i="2"/>
  <c r="D1877" i="2"/>
  <c r="D1869" i="2"/>
  <c r="D1861" i="2"/>
  <c r="D1853" i="2"/>
  <c r="J1975" i="2"/>
  <c r="D1949" i="2"/>
  <c r="D1932" i="2"/>
  <c r="R1919" i="2"/>
  <c r="P1911" i="2"/>
  <c r="P1903" i="2"/>
  <c r="P1895" i="2"/>
  <c r="P1887" i="2"/>
  <c r="P1879" i="2"/>
  <c r="P1871" i="2"/>
  <c r="P1863" i="2"/>
  <c r="P1855" i="2"/>
  <c r="P1847" i="2"/>
  <c r="M1981" i="2"/>
  <c r="M1950" i="2"/>
  <c r="F1933" i="2"/>
  <c r="K1920" i="2"/>
  <c r="H1912" i="2"/>
  <c r="H1904" i="2"/>
  <c r="H1896" i="2"/>
  <c r="H1888" i="2"/>
  <c r="H1880" i="2"/>
  <c r="H1872" i="2"/>
  <c r="H1864" i="2"/>
  <c r="H1856" i="2"/>
  <c r="H1848" i="2"/>
  <c r="H1840" i="2"/>
  <c r="H1832" i="2"/>
  <c r="H1824" i="2"/>
  <c r="H1816" i="2"/>
  <c r="H1808" i="2"/>
  <c r="H1800" i="2"/>
  <c r="H1792" i="2"/>
  <c r="H1784" i="2"/>
  <c r="S1980" i="2"/>
  <c r="J1950" i="2"/>
  <c r="E1933" i="2"/>
  <c r="J1920" i="2"/>
  <c r="G1912" i="2"/>
  <c r="G1904" i="2"/>
  <c r="G1896" i="2"/>
  <c r="G1888" i="2"/>
  <c r="G1880" i="2"/>
  <c r="G1872" i="2"/>
  <c r="G1864" i="2"/>
  <c r="G1856" i="2"/>
  <c r="G1848" i="2"/>
  <c r="G1840" i="2"/>
  <c r="G1832" i="2"/>
  <c r="G1824" i="2"/>
  <c r="G1816" i="2"/>
  <c r="G1808" i="2"/>
  <c r="G1800" i="2"/>
  <c r="G1792" i="2"/>
  <c r="G1784" i="2"/>
  <c r="R1928" i="2"/>
  <c r="D1878" i="2"/>
  <c r="S1840" i="2"/>
  <c r="K1953" i="2"/>
  <c r="M1889" i="2"/>
  <c r="M1845" i="2"/>
  <c r="D1827" i="2"/>
  <c r="M1813" i="2"/>
  <c r="M1801" i="2"/>
  <c r="M1789" i="2"/>
  <c r="G1779" i="2"/>
  <c r="G1771" i="2"/>
  <c r="G1763" i="2"/>
  <c r="G1755" i="2"/>
  <c r="G1747" i="2"/>
  <c r="G1739" i="2"/>
  <c r="G1731" i="2"/>
  <c r="G1723" i="2"/>
  <c r="J1913" i="2"/>
  <c r="J1865" i="2"/>
  <c r="Q1835" i="2"/>
  <c r="E1820" i="2"/>
  <c r="K1807" i="2"/>
  <c r="K1795" i="2"/>
  <c r="P1783" i="2"/>
  <c r="F1775" i="2"/>
  <c r="F1767" i="2"/>
  <c r="F1759" i="2"/>
  <c r="F1751" i="2"/>
  <c r="F1743" i="2"/>
  <c r="F1735" i="2"/>
  <c r="F1727" i="2"/>
  <c r="F1719" i="2"/>
  <c r="F1711" i="2"/>
  <c r="F1703" i="2"/>
  <c r="F1695" i="2"/>
  <c r="F1687" i="2"/>
  <c r="F1679" i="2"/>
  <c r="F1671" i="2"/>
  <c r="J1926" i="2"/>
  <c r="S1876" i="2"/>
  <c r="J1840" i="2"/>
  <c r="K1823" i="2"/>
  <c r="J1810" i="2"/>
  <c r="J1798" i="2"/>
  <c r="J1786" i="2"/>
  <c r="E1777" i="2"/>
  <c r="E1769" i="2"/>
  <c r="E1761" i="2"/>
  <c r="E1753" i="2"/>
  <c r="E1745" i="2"/>
  <c r="E1737" i="2"/>
  <c r="E1729" i="2"/>
  <c r="E1721" i="2"/>
  <c r="E1713" i="2"/>
  <c r="E1705" i="2"/>
  <c r="E1697" i="2"/>
  <c r="E1689" i="2"/>
  <c r="E1681" i="2"/>
  <c r="F1926" i="2"/>
  <c r="Q1876" i="2"/>
  <c r="J1823" i="2"/>
  <c r="D1777" i="2"/>
  <c r="D1769" i="2"/>
  <c r="D1761" i="2"/>
  <c r="T2179" i="2"/>
  <c r="T2070" i="2"/>
  <c r="P1964" i="2"/>
  <c r="J2087" i="2"/>
  <c r="O1986" i="2"/>
  <c r="F2036" i="2"/>
  <c r="N1936" i="2"/>
  <c r="C2033" i="2"/>
  <c r="F1977" i="2"/>
  <c r="R1989" i="2"/>
  <c r="C2144" i="2"/>
  <c r="A2019" i="2"/>
  <c r="Q1985" i="2"/>
  <c r="A2066" i="2"/>
  <c r="Q2014" i="2"/>
  <c r="J2067" i="2"/>
  <c r="P2023" i="2"/>
  <c r="A1989" i="2"/>
  <c r="A1957" i="2"/>
  <c r="O2119" i="2"/>
  <c r="M2031" i="2"/>
  <c r="G1994" i="2"/>
  <c r="N1975" i="2"/>
  <c r="T1954" i="2"/>
  <c r="N1937" i="2"/>
  <c r="M1987" i="2"/>
  <c r="F1934" i="2"/>
  <c r="R1912" i="2"/>
  <c r="R1896" i="2"/>
  <c r="R1880" i="2"/>
  <c r="R1864" i="2"/>
  <c r="R1848" i="2"/>
  <c r="R1832" i="2"/>
  <c r="Q1960" i="2"/>
  <c r="D1925" i="2"/>
  <c r="P1890" i="2"/>
  <c r="P1858" i="2"/>
  <c r="P1828" i="2"/>
  <c r="C1820" i="2"/>
  <c r="M1993" i="2"/>
  <c r="S1952" i="2"/>
  <c r="F1935" i="2"/>
  <c r="N1921" i="2"/>
  <c r="H1913" i="2"/>
  <c r="H1905" i="2"/>
  <c r="H1897" i="2"/>
  <c r="H1889" i="2"/>
  <c r="H1881" i="2"/>
  <c r="H1873" i="2"/>
  <c r="H1865" i="2"/>
  <c r="H1857" i="2"/>
  <c r="H1849" i="2"/>
  <c r="S2000" i="2"/>
  <c r="J1954" i="2"/>
  <c r="K1936" i="2"/>
  <c r="H1922" i="2"/>
  <c r="T1913" i="2"/>
  <c r="T1905" i="2"/>
  <c r="T1897" i="2"/>
  <c r="T1889" i="2"/>
  <c r="T1881" i="2"/>
  <c r="T1873" i="2"/>
  <c r="T1865" i="2"/>
  <c r="T1857" i="2"/>
  <c r="T1849" i="2"/>
  <c r="T1841" i="2"/>
  <c r="T1833" i="2"/>
  <c r="T1825" i="2"/>
  <c r="T1817" i="2"/>
  <c r="T1809" i="2"/>
  <c r="T1801" i="2"/>
  <c r="T1793" i="2"/>
  <c r="T1785" i="2"/>
  <c r="F2008" i="2"/>
  <c r="S1955" i="2"/>
  <c r="Q1937" i="2"/>
  <c r="C1923" i="2"/>
  <c r="M1914" i="2"/>
  <c r="M1906" i="2"/>
  <c r="M1898" i="2"/>
  <c r="M1890" i="2"/>
  <c r="M1882" i="2"/>
  <c r="M1874" i="2"/>
  <c r="M1866" i="2"/>
  <c r="M1858" i="2"/>
  <c r="M1850" i="2"/>
  <c r="M1842" i="2"/>
  <c r="M1834" i="2"/>
  <c r="E2040" i="2"/>
  <c r="J1962" i="2"/>
  <c r="M1941" i="2"/>
  <c r="Q1925" i="2"/>
  <c r="K1916" i="2"/>
  <c r="K1908" i="2"/>
  <c r="K1900" i="2"/>
  <c r="K1892" i="2"/>
  <c r="K1884" i="2"/>
  <c r="K1876" i="2"/>
  <c r="K1868" i="2"/>
  <c r="K1860" i="2"/>
  <c r="K1852" i="2"/>
  <c r="K1844" i="2"/>
  <c r="K1836" i="2"/>
  <c r="K1828" i="2"/>
  <c r="K1820" i="2"/>
  <c r="C2039" i="2"/>
  <c r="F1962" i="2"/>
  <c r="K1941" i="2"/>
  <c r="O1925" i="2"/>
  <c r="J1916" i="2"/>
  <c r="J1908" i="2"/>
  <c r="J1900" i="2"/>
  <c r="J1892" i="2"/>
  <c r="J1884" i="2"/>
  <c r="J1876" i="2"/>
  <c r="J1868" i="2"/>
  <c r="J1860" i="2"/>
  <c r="J1852" i="2"/>
  <c r="Q1972" i="2"/>
  <c r="K1947" i="2"/>
  <c r="Q1930" i="2"/>
  <c r="D1919" i="2"/>
  <c r="C1911" i="2"/>
  <c r="C1903" i="2"/>
  <c r="C1895" i="2"/>
  <c r="C1887" i="2"/>
  <c r="C1879" i="2"/>
  <c r="C1871" i="2"/>
  <c r="C1863" i="2"/>
  <c r="C1855" i="2"/>
  <c r="C1847" i="2"/>
  <c r="D1975" i="2"/>
  <c r="S1948" i="2"/>
  <c r="S1931" i="2"/>
  <c r="Q1919" i="2"/>
  <c r="O1911" i="2"/>
  <c r="O1903" i="2"/>
  <c r="O1895" i="2"/>
  <c r="O1887" i="2"/>
  <c r="O1879" i="2"/>
  <c r="O1871" i="2"/>
  <c r="O1863" i="2"/>
  <c r="O1855" i="2"/>
  <c r="O1847" i="2"/>
  <c r="O1839" i="2"/>
  <c r="O1831" i="2"/>
  <c r="O1823" i="2"/>
  <c r="O1815" i="2"/>
  <c r="O1807" i="2"/>
  <c r="O1799" i="2"/>
  <c r="O1791" i="2"/>
  <c r="O1783" i="2"/>
  <c r="S1974" i="2"/>
  <c r="R1948" i="2"/>
  <c r="R1931" i="2"/>
  <c r="P1919" i="2"/>
  <c r="N1911" i="2"/>
  <c r="N1903" i="2"/>
  <c r="N1895" i="2"/>
  <c r="N1887" i="2"/>
  <c r="N1879" i="2"/>
  <c r="N1871" i="2"/>
  <c r="N1863" i="2"/>
  <c r="N1855" i="2"/>
  <c r="N1847" i="2"/>
  <c r="N1839" i="2"/>
  <c r="N1831" i="2"/>
  <c r="N1823" i="2"/>
  <c r="N1815" i="2"/>
  <c r="N1807" i="2"/>
  <c r="N1799" i="2"/>
  <c r="N1791" i="2"/>
  <c r="N1783" i="2"/>
  <c r="K1922" i="2"/>
  <c r="D1874" i="2"/>
  <c r="H1839" i="2"/>
  <c r="S1943" i="2"/>
  <c r="M1885" i="2"/>
  <c r="A1844" i="2"/>
  <c r="A1826" i="2"/>
  <c r="M1812" i="2"/>
  <c r="M1800" i="2"/>
  <c r="M1788" i="2"/>
  <c r="N1778" i="2"/>
  <c r="N1770" i="2"/>
  <c r="N1762" i="2"/>
  <c r="N1754" i="2"/>
  <c r="N1746" i="2"/>
  <c r="N1738" i="2"/>
  <c r="Q2150" i="2"/>
  <c r="P2050" i="2"/>
  <c r="A2147" i="2"/>
  <c r="C2091" i="2"/>
  <c r="J2079" i="2"/>
  <c r="H1983" i="2"/>
  <c r="D2031" i="2"/>
  <c r="N1934" i="2"/>
  <c r="A2028" i="2"/>
  <c r="S1975" i="2"/>
  <c r="E1989" i="2"/>
  <c r="T2122" i="2"/>
  <c r="D2018" i="2"/>
  <c r="D1985" i="2"/>
  <c r="A2014" i="2"/>
  <c r="P1997" i="2"/>
  <c r="P1981" i="2"/>
  <c r="P1965" i="2"/>
  <c r="P1949" i="2"/>
  <c r="P1933" i="2"/>
  <c r="Q2065" i="2"/>
  <c r="O2022" i="2"/>
  <c r="H1988" i="2"/>
  <c r="H1956" i="2"/>
  <c r="P2109" i="2"/>
  <c r="M2030" i="2"/>
  <c r="N1993" i="2"/>
  <c r="G1974" i="2"/>
  <c r="G1954" i="2"/>
  <c r="N1935" i="2"/>
  <c r="J1974" i="2"/>
  <c r="M1931" i="2"/>
  <c r="K1911" i="2"/>
  <c r="K1895" i="2"/>
  <c r="K1879" i="2"/>
  <c r="K1863" i="2"/>
  <c r="K1847" i="2"/>
  <c r="K1831" i="2"/>
  <c r="F1956" i="2"/>
  <c r="F1923" i="2"/>
  <c r="P1910" i="2"/>
  <c r="C1900" i="2"/>
  <c r="P1878" i="2"/>
  <c r="C1868" i="2"/>
  <c r="P1846" i="2"/>
  <c r="P1836" i="2"/>
  <c r="C1828" i="2"/>
  <c r="P1810" i="2"/>
  <c r="P1802" i="2"/>
  <c r="P1794" i="2"/>
  <c r="P1786" i="2"/>
  <c r="M1985" i="2"/>
  <c r="J1951" i="2"/>
  <c r="S1933" i="2"/>
  <c r="S1920" i="2"/>
  <c r="O1912" i="2"/>
  <c r="O1904" i="2"/>
  <c r="O1896" i="2"/>
  <c r="O1888" i="2"/>
  <c r="O1880" i="2"/>
  <c r="O1872" i="2"/>
  <c r="O1864" i="2"/>
  <c r="O1856" i="2"/>
  <c r="O1848" i="2"/>
  <c r="S1992" i="2"/>
  <c r="R1952" i="2"/>
  <c r="E1935" i="2"/>
  <c r="M1921" i="2"/>
  <c r="G1913" i="2"/>
  <c r="G1905" i="2"/>
  <c r="G1897" i="2"/>
  <c r="G1889" i="2"/>
  <c r="G1881" i="2"/>
  <c r="G1873" i="2"/>
  <c r="G1865" i="2"/>
  <c r="G1857" i="2"/>
  <c r="G1849" i="2"/>
  <c r="G1841" i="2"/>
  <c r="G1833" i="2"/>
  <c r="G1825" i="2"/>
  <c r="G1817" i="2"/>
  <c r="G1809" i="2"/>
  <c r="G1801" i="2"/>
  <c r="G1793" i="2"/>
  <c r="G1785" i="2"/>
  <c r="F2000" i="2"/>
  <c r="F1954" i="2"/>
  <c r="J1936" i="2"/>
  <c r="G1922" i="2"/>
  <c r="S1913" i="2"/>
  <c r="S1905" i="2"/>
  <c r="S1897" i="2"/>
  <c r="S1889" i="2"/>
  <c r="S1881" i="2"/>
  <c r="S1873" i="2"/>
  <c r="S1865" i="2"/>
  <c r="S1857" i="2"/>
  <c r="S1849" i="2"/>
  <c r="S1841" i="2"/>
  <c r="S1833" i="2"/>
  <c r="K2027" i="2"/>
  <c r="Q1959" i="2"/>
  <c r="F1940" i="2"/>
  <c r="R1924" i="2"/>
  <c r="R1915" i="2"/>
  <c r="R1907" i="2"/>
  <c r="R1899" i="2"/>
  <c r="R1891" i="2"/>
  <c r="R1883" i="2"/>
  <c r="R1875" i="2"/>
  <c r="R1867" i="2"/>
  <c r="R1859" i="2"/>
  <c r="R1851" i="2"/>
  <c r="R1843" i="2"/>
  <c r="R1835" i="2"/>
  <c r="R1827" i="2"/>
  <c r="R1819" i="2"/>
  <c r="K2026" i="2"/>
  <c r="M1959" i="2"/>
  <c r="E1940" i="2"/>
  <c r="Q1924" i="2"/>
  <c r="Q1915" i="2"/>
  <c r="Q1907" i="2"/>
  <c r="Q1899" i="2"/>
  <c r="Q1891" i="2"/>
  <c r="Q1883" i="2"/>
  <c r="Q1875" i="2"/>
  <c r="Q1867" i="2"/>
  <c r="Q1859" i="2"/>
  <c r="A2088" i="2"/>
  <c r="D1970" i="2"/>
  <c r="S1945" i="2"/>
  <c r="J1929" i="2"/>
  <c r="J1972" i="2"/>
  <c r="J1947" i="2"/>
  <c r="M1930" i="2"/>
  <c r="C1919" i="2"/>
  <c r="A1911" i="2"/>
  <c r="A1903" i="2"/>
  <c r="A1895" i="2"/>
  <c r="A1887" i="2"/>
  <c r="A1879" i="2"/>
  <c r="A1871" i="2"/>
  <c r="A1863" i="2"/>
  <c r="A1855" i="2"/>
  <c r="A1847" i="2"/>
  <c r="A1839" i="2"/>
  <c r="A1831" i="2"/>
  <c r="A1823" i="2"/>
  <c r="A1815" i="2"/>
  <c r="A1807" i="2"/>
  <c r="A1799" i="2"/>
  <c r="A1791" i="2"/>
  <c r="A1783" i="2"/>
  <c r="F1972" i="2"/>
  <c r="F1947" i="2"/>
  <c r="K1930" i="2"/>
  <c r="A1919" i="2"/>
  <c r="T1910" i="2"/>
  <c r="T1902" i="2"/>
  <c r="T1894" i="2"/>
  <c r="T1886" i="2"/>
  <c r="T1878" i="2"/>
  <c r="T1870" i="2"/>
  <c r="D2048" i="2"/>
  <c r="J2071" i="2"/>
  <c r="O1982" i="2"/>
  <c r="D2030" i="2"/>
  <c r="G1933" i="2"/>
  <c r="C2027" i="2"/>
  <c r="F1963" i="2"/>
  <c r="S2031" i="2"/>
  <c r="K1978" i="2"/>
  <c r="J2072" i="2"/>
  <c r="J2010" i="2"/>
  <c r="J1978" i="2"/>
  <c r="S2051" i="2"/>
  <c r="E2013" i="2"/>
  <c r="C1997" i="2"/>
  <c r="C1981" i="2"/>
  <c r="C1965" i="2"/>
  <c r="C1949" i="2"/>
  <c r="C1933" i="2"/>
  <c r="F2064" i="2"/>
  <c r="S2013" i="2"/>
  <c r="O1981" i="2"/>
  <c r="O1949" i="2"/>
  <c r="D2080" i="2"/>
  <c r="M2020" i="2"/>
  <c r="N1991" i="2"/>
  <c r="T1970" i="2"/>
  <c r="N1953" i="2"/>
  <c r="G1934" i="2"/>
  <c r="J1966" i="2"/>
  <c r="M1927" i="2"/>
  <c r="K1909" i="2"/>
  <c r="K1893" i="2"/>
  <c r="K1877" i="2"/>
  <c r="K1861" i="2"/>
  <c r="K1845" i="2"/>
  <c r="K1829" i="2"/>
  <c r="K1951" i="2"/>
  <c r="T1920" i="2"/>
  <c r="C1910" i="2"/>
  <c r="P1888" i="2"/>
  <c r="C1878" i="2"/>
  <c r="P1856" i="2"/>
  <c r="C1846" i="2"/>
  <c r="C1836" i="2"/>
  <c r="P1818" i="2"/>
  <c r="C1810" i="2"/>
  <c r="C1802" i="2"/>
  <c r="C1794" i="2"/>
  <c r="C1786" i="2"/>
  <c r="M1977" i="2"/>
  <c r="Q1949" i="2"/>
  <c r="M1932" i="2"/>
  <c r="E1920" i="2"/>
  <c r="A1912" i="2"/>
  <c r="A1904" i="2"/>
  <c r="A1896" i="2"/>
  <c r="A1888" i="2"/>
  <c r="A1880" i="2"/>
  <c r="A1872" i="2"/>
  <c r="A1864" i="2"/>
  <c r="A1856" i="2"/>
  <c r="A1848" i="2"/>
  <c r="S1984" i="2"/>
  <c r="F1951" i="2"/>
  <c r="R1933" i="2"/>
  <c r="R1920" i="2"/>
  <c r="N1912" i="2"/>
  <c r="N1904" i="2"/>
  <c r="N1896" i="2"/>
  <c r="N1888" i="2"/>
  <c r="N1880" i="2"/>
  <c r="N1872" i="2"/>
  <c r="N1864" i="2"/>
  <c r="N1856" i="2"/>
  <c r="N1848" i="2"/>
  <c r="N1840" i="2"/>
  <c r="N1832" i="2"/>
  <c r="N1824" i="2"/>
  <c r="N1816" i="2"/>
  <c r="N1808" i="2"/>
  <c r="N1800" i="2"/>
  <c r="N1792" i="2"/>
  <c r="N1784" i="2"/>
  <c r="F1992" i="2"/>
  <c r="Q1952" i="2"/>
  <c r="D1935" i="2"/>
  <c r="K1921" i="2"/>
  <c r="F1913" i="2"/>
  <c r="F1905" i="2"/>
  <c r="F1897" i="2"/>
  <c r="F1889" i="2"/>
  <c r="F1881" i="2"/>
  <c r="F1873" i="2"/>
  <c r="F1865" i="2"/>
  <c r="F1857" i="2"/>
  <c r="F1849" i="2"/>
  <c r="F1841" i="2"/>
  <c r="F1833" i="2"/>
  <c r="E2016" i="2"/>
  <c r="J1957" i="2"/>
  <c r="S1938" i="2"/>
  <c r="R1923" i="2"/>
  <c r="E1915" i="2"/>
  <c r="E1907" i="2"/>
  <c r="E1899" i="2"/>
  <c r="E1891" i="2"/>
  <c r="E1883" i="2"/>
  <c r="E1875" i="2"/>
  <c r="E1867" i="2"/>
  <c r="E1859" i="2"/>
  <c r="E1851" i="2"/>
  <c r="E1843" i="2"/>
  <c r="E1835" i="2"/>
  <c r="E1827" i="2"/>
  <c r="E1819" i="2"/>
  <c r="F1957" i="2"/>
  <c r="R1938" i="2"/>
  <c r="Q1923" i="2"/>
  <c r="D1915" i="2"/>
  <c r="D1907" i="2"/>
  <c r="D1899" i="2"/>
  <c r="D1891" i="2"/>
  <c r="D1883" i="2"/>
  <c r="D1875" i="2"/>
  <c r="D1867" i="2"/>
  <c r="D1859" i="2"/>
  <c r="Q2068" i="2"/>
  <c r="J1967" i="2"/>
  <c r="F1944" i="2"/>
  <c r="D1928" i="2"/>
  <c r="P1917" i="2"/>
  <c r="P1909" i="2"/>
  <c r="P1901" i="2"/>
  <c r="P1893" i="2"/>
  <c r="P1885" i="2"/>
  <c r="P1877" i="2"/>
  <c r="P1869" i="2"/>
  <c r="P1861" i="2"/>
  <c r="P1853" i="2"/>
  <c r="Q1969" i="2"/>
  <c r="Q1945" i="2"/>
  <c r="F1929" i="2"/>
  <c r="H1918" i="2"/>
  <c r="H1910" i="2"/>
  <c r="H1902" i="2"/>
  <c r="H1894" i="2"/>
  <c r="H1886" i="2"/>
  <c r="H1878" i="2"/>
  <c r="H1870" i="2"/>
  <c r="H1862" i="2"/>
  <c r="H1854" i="2"/>
  <c r="H1846" i="2"/>
  <c r="H1838" i="2"/>
  <c r="H1830" i="2"/>
  <c r="H1822" i="2"/>
  <c r="H1814" i="2"/>
  <c r="H1806" i="2"/>
  <c r="H1798" i="2"/>
  <c r="H1790" i="2"/>
  <c r="Q2084" i="2"/>
  <c r="M1969" i="2"/>
  <c r="M1945" i="2"/>
  <c r="E1929" i="2"/>
  <c r="G1918" i="2"/>
  <c r="G1910" i="2"/>
  <c r="G1902" i="2"/>
  <c r="G1894" i="2"/>
  <c r="G1886" i="2"/>
  <c r="G1878" i="2"/>
  <c r="G1870" i="2"/>
  <c r="G1862" i="2"/>
  <c r="G1854" i="2"/>
  <c r="G1846" i="2"/>
  <c r="G1838" i="2"/>
  <c r="G1830" i="2"/>
  <c r="G1822" i="2"/>
  <c r="G1814" i="2"/>
  <c r="G1806" i="2"/>
  <c r="G1798" i="2"/>
  <c r="G1790" i="2"/>
  <c r="G1782" i="2"/>
  <c r="D1914" i="2"/>
  <c r="D1866" i="2"/>
  <c r="D1836" i="2"/>
  <c r="Q1927" i="2"/>
  <c r="M1877" i="2"/>
  <c r="Q1840" i="2"/>
  <c r="P1823" i="2"/>
  <c r="M1810" i="2"/>
  <c r="M1798" i="2"/>
  <c r="M1786" i="2"/>
  <c r="G1777" i="2"/>
  <c r="G1769" i="2"/>
  <c r="G1761" i="2"/>
  <c r="G1753" i="2"/>
  <c r="G1745" i="2"/>
  <c r="G1737" i="2"/>
  <c r="G1729" i="2"/>
  <c r="Q2060" i="2"/>
  <c r="J1901" i="2"/>
  <c r="J1853" i="2"/>
  <c r="C1831" i="2"/>
  <c r="Q1816" i="2"/>
  <c r="K1804" i="2"/>
  <c r="K1792" i="2"/>
  <c r="G1781" i="2"/>
  <c r="F1773" i="2"/>
  <c r="F1765" i="2"/>
  <c r="F1757" i="2"/>
  <c r="F1749" i="2"/>
  <c r="F1741" i="2"/>
  <c r="F1733" i="2"/>
  <c r="F1725" i="2"/>
  <c r="F1717" i="2"/>
  <c r="F1709" i="2"/>
  <c r="F1701" i="2"/>
  <c r="F1693" i="2"/>
  <c r="F1685" i="2"/>
  <c r="F1677" i="2"/>
  <c r="F1669" i="2"/>
  <c r="S1912" i="2"/>
  <c r="S1864" i="2"/>
  <c r="P1835" i="2"/>
  <c r="D1820" i="2"/>
  <c r="J1807" i="2"/>
  <c r="J1795" i="2"/>
  <c r="M1783" i="2"/>
  <c r="E1775" i="2"/>
  <c r="E1767" i="2"/>
  <c r="E1759" i="2"/>
  <c r="E1751" i="2"/>
  <c r="E1743" i="2"/>
  <c r="E1735" i="2"/>
  <c r="E1727" i="2"/>
  <c r="E1719" i="2"/>
  <c r="E1711" i="2"/>
  <c r="E1703" i="2"/>
  <c r="E1695" i="2"/>
  <c r="E1687" i="2"/>
  <c r="E1679" i="2"/>
  <c r="Q1912" i="2"/>
  <c r="Q1864" i="2"/>
  <c r="M1835" i="2"/>
  <c r="A1820" i="2"/>
  <c r="H1807" i="2"/>
  <c r="H1795" i="2"/>
  <c r="K1783" i="2"/>
  <c r="D1775" i="2"/>
  <c r="D1767" i="2"/>
  <c r="D1759" i="2"/>
  <c r="D1751" i="2"/>
  <c r="D1743" i="2"/>
  <c r="D1735" i="2"/>
  <c r="D1727" i="2"/>
  <c r="C2163" i="2"/>
  <c r="C2154" i="2"/>
  <c r="J2052" i="2"/>
  <c r="H1959" i="2"/>
  <c r="T2001" i="2"/>
  <c r="J2093" i="2"/>
  <c r="S1959" i="2"/>
  <c r="S2028" i="2"/>
  <c r="K1976" i="2"/>
  <c r="P2067" i="2"/>
  <c r="D2009" i="2"/>
  <c r="D1977" i="2"/>
  <c r="M2049" i="2"/>
  <c r="O2050" i="2"/>
  <c r="H2012" i="2"/>
  <c r="H1980" i="2"/>
  <c r="H1948" i="2"/>
  <c r="S2076" i="2"/>
  <c r="Q2018" i="2"/>
  <c r="T1986" i="2"/>
  <c r="N1969" i="2"/>
  <c r="G1950" i="2"/>
  <c r="G1930" i="2"/>
  <c r="J1958" i="2"/>
  <c r="H1924" i="2"/>
  <c r="K1907" i="2"/>
  <c r="K1891" i="2"/>
  <c r="K1875" i="2"/>
  <c r="K1859" i="2"/>
  <c r="K1843" i="2"/>
  <c r="N2118" i="2"/>
  <c r="Q1946" i="2"/>
  <c r="Q1918" i="2"/>
  <c r="C1908" i="2"/>
  <c r="P1886" i="2"/>
  <c r="C1876" i="2"/>
  <c r="P1854" i="2"/>
  <c r="C1844" i="2"/>
  <c r="P1834" i="2"/>
  <c r="P1816" i="2"/>
  <c r="P1808" i="2"/>
  <c r="P1800" i="2"/>
  <c r="P1792" i="2"/>
  <c r="A2109" i="2"/>
  <c r="D1971" i="2"/>
  <c r="M1946" i="2"/>
  <c r="S1929" i="2"/>
  <c r="P1918" i="2"/>
  <c r="O1910" i="2"/>
  <c r="O1902" i="2"/>
  <c r="O1894" i="2"/>
  <c r="O1886" i="2"/>
  <c r="O1878" i="2"/>
  <c r="O1870" i="2"/>
  <c r="O1862" i="2"/>
  <c r="O1854" i="2"/>
  <c r="O1846" i="2"/>
  <c r="M1973" i="2"/>
  <c r="D1948" i="2"/>
  <c r="E1931" i="2"/>
  <c r="G1911" i="2"/>
  <c r="G1903" i="2"/>
  <c r="G1895" i="2"/>
  <c r="G1887" i="2"/>
  <c r="G1879" i="2"/>
  <c r="G1871" i="2"/>
  <c r="G1863" i="2"/>
  <c r="G1855" i="2"/>
  <c r="G1847" i="2"/>
  <c r="G1839" i="2"/>
  <c r="G1831" i="2"/>
  <c r="G1823" i="2"/>
  <c r="G1815" i="2"/>
  <c r="G1807" i="2"/>
  <c r="G1799" i="2"/>
  <c r="G1791" i="2"/>
  <c r="G1783" i="2"/>
  <c r="F1976" i="2"/>
  <c r="K1949" i="2"/>
  <c r="J1932" i="2"/>
  <c r="C1920" i="2"/>
  <c r="S1911" i="2"/>
  <c r="S1903" i="2"/>
  <c r="S1895" i="2"/>
  <c r="S1887" i="2"/>
  <c r="S1879" i="2"/>
  <c r="S1871" i="2"/>
  <c r="S1863" i="2"/>
  <c r="S1855" i="2"/>
  <c r="S1847" i="2"/>
  <c r="S1839" i="2"/>
  <c r="S1831" i="2"/>
  <c r="M1999" i="2"/>
  <c r="E1954" i="2"/>
  <c r="F1936" i="2"/>
  <c r="F1922" i="2"/>
  <c r="R1913" i="2"/>
  <c r="R1905" i="2"/>
  <c r="R1897" i="2"/>
  <c r="R1889" i="2"/>
  <c r="R1881" i="2"/>
  <c r="R1873" i="2"/>
  <c r="R1865" i="2"/>
  <c r="R1857" i="2"/>
  <c r="R1849" i="2"/>
  <c r="R1841" i="2"/>
  <c r="R1833" i="2"/>
  <c r="R1825" i="2"/>
  <c r="R1817" i="2"/>
  <c r="S1998" i="2"/>
  <c r="D1954" i="2"/>
  <c r="E1936" i="2"/>
  <c r="E1922" i="2"/>
  <c r="Q1913" i="2"/>
  <c r="Q1905" i="2"/>
  <c r="Q1897" i="2"/>
  <c r="Q1889" i="2"/>
  <c r="Q1881" i="2"/>
  <c r="Q1873" i="2"/>
  <c r="Q1865" i="2"/>
  <c r="Q1857" i="2"/>
  <c r="S2037" i="2"/>
  <c r="D1962" i="2"/>
  <c r="J1941" i="2"/>
  <c r="N1925" i="2"/>
  <c r="J2050" i="2"/>
  <c r="J1964" i="2"/>
  <c r="M1942" i="2"/>
  <c r="M1926" i="2"/>
  <c r="A1917" i="2"/>
  <c r="A1909" i="2"/>
  <c r="A1901" i="2"/>
  <c r="A1893" i="2"/>
  <c r="A1885" i="2"/>
  <c r="A1877" i="2"/>
  <c r="A1869" i="2"/>
  <c r="A1861" i="2"/>
  <c r="A1853" i="2"/>
  <c r="A1845" i="2"/>
  <c r="A1837" i="2"/>
  <c r="A1829" i="2"/>
  <c r="A1821" i="2"/>
  <c r="A1813" i="2"/>
  <c r="A1805" i="2"/>
  <c r="A1797" i="2"/>
  <c r="A1789" i="2"/>
  <c r="H2049" i="2"/>
  <c r="F1964" i="2"/>
  <c r="K1942" i="2"/>
  <c r="K1926" i="2"/>
  <c r="T1916" i="2"/>
  <c r="T1908" i="2"/>
  <c r="T1900" i="2"/>
  <c r="T1892" i="2"/>
  <c r="T1884" i="2"/>
  <c r="T1876" i="2"/>
  <c r="T1868" i="2"/>
  <c r="T1860" i="2"/>
  <c r="T1852" i="2"/>
  <c r="T1844" i="2"/>
  <c r="T1836" i="2"/>
  <c r="T1828" i="2"/>
  <c r="T1820" i="2"/>
  <c r="T1812" i="2"/>
  <c r="T1804" i="2"/>
  <c r="T1796" i="2"/>
  <c r="T1788" i="2"/>
  <c r="T1780" i="2"/>
  <c r="D1906" i="2"/>
  <c r="D1858" i="2"/>
  <c r="S1832" i="2"/>
  <c r="M1917" i="2"/>
  <c r="M1869" i="2"/>
  <c r="M1837" i="2"/>
  <c r="J1821" i="2"/>
  <c r="M1808" i="2"/>
  <c r="M1796" i="2"/>
  <c r="O1784" i="2"/>
  <c r="T1775" i="2"/>
  <c r="T1767" i="2"/>
  <c r="T1759" i="2"/>
  <c r="T1751" i="2"/>
  <c r="T1743" i="2"/>
  <c r="T1735" i="2"/>
  <c r="T1727" i="2"/>
  <c r="F1966" i="2"/>
  <c r="J1893" i="2"/>
  <c r="M1847" i="2"/>
  <c r="E1828" i="2"/>
  <c r="K1814" i="2"/>
  <c r="K1802" i="2"/>
  <c r="K1790" i="2"/>
  <c r="S1779" i="2"/>
  <c r="S1771" i="2"/>
  <c r="S1763" i="2"/>
  <c r="S1755" i="2"/>
  <c r="S1747" i="2"/>
  <c r="S1739" i="2"/>
  <c r="S1731" i="2"/>
  <c r="S1723" i="2"/>
  <c r="S1715" i="2"/>
  <c r="S1707" i="2"/>
  <c r="S1699" i="2"/>
  <c r="S1691" i="2"/>
  <c r="S1683" i="2"/>
  <c r="S1675" i="2"/>
  <c r="S1667" i="2"/>
  <c r="S1904" i="2"/>
  <c r="S1856" i="2"/>
  <c r="J1832" i="2"/>
  <c r="Q1817" i="2"/>
  <c r="J1805" i="2"/>
  <c r="J1793" i="2"/>
  <c r="T1781" i="2"/>
  <c r="R1773" i="2"/>
  <c r="R1765" i="2"/>
  <c r="R1757" i="2"/>
  <c r="R1749" i="2"/>
  <c r="R1741" i="2"/>
  <c r="R1733" i="2"/>
  <c r="R1725" i="2"/>
  <c r="R1717" i="2"/>
  <c r="R1709" i="2"/>
  <c r="R1701" i="2"/>
  <c r="R1693" i="2"/>
  <c r="E1986" i="2"/>
  <c r="E2050" i="2"/>
  <c r="O2038" i="2"/>
  <c r="O1958" i="2"/>
  <c r="G2001" i="2"/>
  <c r="Q2090" i="2"/>
  <c r="F2011" i="2"/>
  <c r="C2079" i="2"/>
  <c r="S2014" i="2"/>
  <c r="K1966" i="2"/>
  <c r="P2049" i="2"/>
  <c r="J2002" i="2"/>
  <c r="E2038" i="2"/>
  <c r="K2049" i="2"/>
  <c r="O2005" i="2"/>
  <c r="O1973" i="2"/>
  <c r="O1941" i="2"/>
  <c r="S2060" i="2"/>
  <c r="T2010" i="2"/>
  <c r="G1986" i="2"/>
  <c r="N1967" i="2"/>
  <c r="T1946" i="2"/>
  <c r="N1929" i="2"/>
  <c r="M1956" i="2"/>
  <c r="K1923" i="2"/>
  <c r="R1906" i="2"/>
  <c r="R1890" i="2"/>
  <c r="R1874" i="2"/>
  <c r="R1858" i="2"/>
  <c r="R1842" i="2"/>
  <c r="D1945" i="2"/>
  <c r="C1918" i="2"/>
  <c r="P1896" i="2"/>
  <c r="C1886" i="2"/>
  <c r="P1864" i="2"/>
  <c r="C1854" i="2"/>
  <c r="P1824" i="2"/>
  <c r="C1816" i="2"/>
  <c r="C1808" i="2"/>
  <c r="C1800" i="2"/>
  <c r="C1792" i="2"/>
  <c r="Q2076" i="2"/>
  <c r="J1968" i="2"/>
  <c r="S1944" i="2"/>
  <c r="M1928" i="2"/>
  <c r="A1918" i="2"/>
  <c r="A1910" i="2"/>
  <c r="A1902" i="2"/>
  <c r="A1894" i="2"/>
  <c r="A1886" i="2"/>
  <c r="A1878" i="2"/>
  <c r="A1870" i="2"/>
  <c r="A1862" i="2"/>
  <c r="A1854" i="2"/>
  <c r="S2100" i="2"/>
  <c r="S1970" i="2"/>
  <c r="J1946" i="2"/>
  <c r="R1929" i="2"/>
  <c r="O1918" i="2"/>
  <c r="N1910" i="2"/>
  <c r="N1902" i="2"/>
  <c r="N1894" i="2"/>
  <c r="N1886" i="2"/>
  <c r="N1878" i="2"/>
  <c r="N1870" i="2"/>
  <c r="N1862" i="2"/>
  <c r="N1854" i="2"/>
  <c r="N1846" i="2"/>
  <c r="N1838" i="2"/>
  <c r="N1830" i="2"/>
  <c r="N1822" i="2"/>
  <c r="N1814" i="2"/>
  <c r="N1806" i="2"/>
  <c r="N1798" i="2"/>
  <c r="N1790" i="2"/>
  <c r="N1782" i="2"/>
  <c r="J1973" i="2"/>
  <c r="S1947" i="2"/>
  <c r="D1931" i="2"/>
  <c r="H1919" i="2"/>
  <c r="F1911" i="2"/>
  <c r="F1903" i="2"/>
  <c r="F1895" i="2"/>
  <c r="F1887" i="2"/>
  <c r="F1879" i="2"/>
  <c r="F1871" i="2"/>
  <c r="F1863" i="2"/>
  <c r="F1855" i="2"/>
  <c r="F1847" i="2"/>
  <c r="F1839" i="2"/>
  <c r="F1831" i="2"/>
  <c r="M1991" i="2"/>
  <c r="M1952" i="2"/>
  <c r="S1934" i="2"/>
  <c r="J1921" i="2"/>
  <c r="E1913" i="2"/>
  <c r="E1905" i="2"/>
  <c r="E1897" i="2"/>
  <c r="E1889" i="2"/>
  <c r="E1881" i="2"/>
  <c r="E1873" i="2"/>
  <c r="E1865" i="2"/>
  <c r="E1857" i="2"/>
  <c r="E1849" i="2"/>
  <c r="E1841" i="2"/>
  <c r="E1833" i="2"/>
  <c r="E1825" i="2"/>
  <c r="E1817" i="2"/>
  <c r="S1990" i="2"/>
  <c r="J1952" i="2"/>
  <c r="R1934" i="2"/>
  <c r="D1913" i="2"/>
  <c r="D1905" i="2"/>
  <c r="D1897" i="2"/>
  <c r="D1889" i="2"/>
  <c r="D1881" i="2"/>
  <c r="D1873" i="2"/>
  <c r="D1865" i="2"/>
  <c r="D1857" i="2"/>
  <c r="K2025" i="2"/>
  <c r="J1959" i="2"/>
  <c r="D1940" i="2"/>
  <c r="M1924" i="2"/>
  <c r="P1915" i="2"/>
  <c r="P1907" i="2"/>
  <c r="P1899" i="2"/>
  <c r="P1891" i="2"/>
  <c r="P1883" i="2"/>
  <c r="P1875" i="2"/>
  <c r="P1867" i="2"/>
  <c r="P1859" i="2"/>
  <c r="P1851" i="2"/>
  <c r="Q2036" i="2"/>
  <c r="Q1961" i="2"/>
  <c r="F1941" i="2"/>
  <c r="M1925" i="2"/>
  <c r="H1916" i="2"/>
  <c r="H1908" i="2"/>
  <c r="H1900" i="2"/>
  <c r="H1892" i="2"/>
  <c r="H1884" i="2"/>
  <c r="H1876" i="2"/>
  <c r="H1868" i="2"/>
  <c r="H1860" i="2"/>
  <c r="H1852" i="2"/>
  <c r="H1844" i="2"/>
  <c r="H1836" i="2"/>
  <c r="H1828" i="2"/>
  <c r="H1820" i="2"/>
  <c r="H1812" i="2"/>
  <c r="H1804" i="2"/>
  <c r="H1796" i="2"/>
  <c r="H1788" i="2"/>
  <c r="M2035" i="2"/>
  <c r="M1961" i="2"/>
  <c r="E1941" i="2"/>
  <c r="K1925" i="2"/>
  <c r="G1916" i="2"/>
  <c r="G1908" i="2"/>
  <c r="G1900" i="2"/>
  <c r="G1892" i="2"/>
  <c r="G1884" i="2"/>
  <c r="G1876" i="2"/>
  <c r="G1868" i="2"/>
  <c r="G1860" i="2"/>
  <c r="G1852" i="2"/>
  <c r="G1844" i="2"/>
  <c r="G1836" i="2"/>
  <c r="G1828" i="2"/>
  <c r="G1820" i="2"/>
  <c r="G1812" i="2"/>
  <c r="G1804" i="2"/>
  <c r="G1796" i="2"/>
  <c r="G1788" i="2"/>
  <c r="D2083" i="2"/>
  <c r="D1902" i="2"/>
  <c r="D1854" i="2"/>
  <c r="H1831" i="2"/>
  <c r="M1913" i="2"/>
  <c r="M1865" i="2"/>
  <c r="A1836" i="2"/>
  <c r="F1820" i="2"/>
  <c r="M1807" i="2"/>
  <c r="M1795" i="2"/>
  <c r="Q1783" i="2"/>
  <c r="G1775" i="2"/>
  <c r="G1767" i="2"/>
  <c r="G1759" i="2"/>
  <c r="G1751" i="2"/>
  <c r="G1743" i="2"/>
  <c r="G1735" i="2"/>
  <c r="G1727" i="2"/>
  <c r="F1953" i="2"/>
  <c r="J1889" i="2"/>
  <c r="J1845" i="2"/>
  <c r="C1827" i="2"/>
  <c r="K1813" i="2"/>
  <c r="K1801" i="2"/>
  <c r="K1789" i="2"/>
  <c r="F1779" i="2"/>
  <c r="F1771" i="2"/>
  <c r="F1763" i="2"/>
  <c r="F1755" i="2"/>
  <c r="F1747" i="2"/>
  <c r="F1739" i="2"/>
  <c r="F1731" i="2"/>
  <c r="F1723" i="2"/>
  <c r="F1715" i="2"/>
  <c r="F1707" i="2"/>
  <c r="F1699" i="2"/>
  <c r="F1691" i="2"/>
  <c r="F1683" i="2"/>
  <c r="F1675" i="2"/>
  <c r="E2048" i="2"/>
  <c r="S1900" i="2"/>
  <c r="S1852" i="2"/>
  <c r="S1830" i="2"/>
  <c r="O1816" i="2"/>
  <c r="J1804" i="2"/>
  <c r="J1792" i="2"/>
  <c r="F1781" i="2"/>
  <c r="E1773" i="2"/>
  <c r="E1765" i="2"/>
  <c r="E1757" i="2"/>
  <c r="E1749" i="2"/>
  <c r="E1741" i="2"/>
  <c r="E1733" i="2"/>
  <c r="E1725" i="2"/>
  <c r="E1717" i="2"/>
  <c r="E1709" i="2"/>
  <c r="E1701" i="2"/>
  <c r="E1693" i="2"/>
  <c r="Q2141" i="2"/>
  <c r="H2054" i="2"/>
  <c r="K1975" i="2"/>
  <c r="C2049" i="2"/>
  <c r="P1996" i="2"/>
  <c r="P1932" i="2"/>
  <c r="K2037" i="2"/>
  <c r="O1938" i="2"/>
  <c r="G1981" i="2"/>
  <c r="F2009" i="2"/>
  <c r="J2077" i="2"/>
  <c r="D2014" i="2"/>
  <c r="R1965" i="2"/>
  <c r="J2047" i="2"/>
  <c r="Q2001" i="2"/>
  <c r="Q2086" i="2"/>
  <c r="C2037" i="2"/>
  <c r="A2005" i="2"/>
  <c r="A1973" i="2"/>
  <c r="A1941" i="2"/>
  <c r="H2059" i="2"/>
  <c r="G2010" i="2"/>
  <c r="N1985" i="2"/>
  <c r="G1966" i="2"/>
  <c r="G1946" i="2"/>
  <c r="N1927" i="2"/>
  <c r="Q1951" i="2"/>
  <c r="C1921" i="2"/>
  <c r="R1904" i="2"/>
  <c r="R1888" i="2"/>
  <c r="R1872" i="2"/>
  <c r="R1856" i="2"/>
  <c r="R1840" i="2"/>
  <c r="K2031" i="2"/>
  <c r="Q1940" i="2"/>
  <c r="P1906" i="2"/>
  <c r="P1874" i="2"/>
  <c r="P1842" i="2"/>
  <c r="P1832" i="2"/>
  <c r="C1824" i="2"/>
  <c r="M2057" i="2"/>
  <c r="Q1965" i="2"/>
  <c r="J1943" i="2"/>
  <c r="F1927" i="2"/>
  <c r="H1917" i="2"/>
  <c r="H1909" i="2"/>
  <c r="H1901" i="2"/>
  <c r="H1893" i="2"/>
  <c r="H1885" i="2"/>
  <c r="H1877" i="2"/>
  <c r="H1869" i="2"/>
  <c r="H1861" i="2"/>
  <c r="H1853" i="2"/>
  <c r="G2005" i="2"/>
  <c r="S2007" i="2"/>
  <c r="R2001" i="2"/>
  <c r="Q1993" i="2"/>
  <c r="P1973" i="2"/>
  <c r="S2036" i="2"/>
  <c r="O1933" i="2"/>
  <c r="G1982" i="2"/>
  <c r="K1901" i="2"/>
  <c r="K1853" i="2"/>
  <c r="D1938" i="2"/>
  <c r="M1940" i="2"/>
  <c r="O1908" i="2"/>
  <c r="O1884" i="2"/>
  <c r="O1860" i="2"/>
  <c r="S1976" i="2"/>
  <c r="E1927" i="2"/>
  <c r="N1908" i="2"/>
  <c r="T1887" i="2"/>
  <c r="G1869" i="2"/>
  <c r="T1851" i="2"/>
  <c r="T1829" i="2"/>
  <c r="N1812" i="2"/>
  <c r="T1791" i="2"/>
  <c r="D1968" i="2"/>
  <c r="R1925" i="2"/>
  <c r="M1902" i="2"/>
  <c r="F1885" i="2"/>
  <c r="M1864" i="2"/>
  <c r="S1845" i="2"/>
  <c r="D2092" i="2"/>
  <c r="M1933" i="2"/>
  <c r="E1911" i="2"/>
  <c r="K1890" i="2"/>
  <c r="R1871" i="2"/>
  <c r="K1854" i="2"/>
  <c r="K1832" i="2"/>
  <c r="E1815" i="2"/>
  <c r="M1947" i="2"/>
  <c r="J1918" i="2"/>
  <c r="J1896" i="2"/>
  <c r="D1879" i="2"/>
  <c r="J1858" i="2"/>
  <c r="K1955" i="2"/>
  <c r="H1921" i="2"/>
  <c r="C1907" i="2"/>
  <c r="C1883" i="2"/>
  <c r="C1859" i="2"/>
  <c r="Q1953" i="2"/>
  <c r="O1915" i="2"/>
  <c r="H1898" i="2"/>
  <c r="O1877" i="2"/>
  <c r="A1859" i="2"/>
  <c r="O1841" i="2"/>
  <c r="O1819" i="2"/>
  <c r="H1802" i="2"/>
  <c r="M2065" i="2"/>
  <c r="K1938" i="2"/>
  <c r="N1913" i="2"/>
  <c r="N1891" i="2"/>
  <c r="G1874" i="2"/>
  <c r="N1857" i="2"/>
  <c r="N1841" i="2"/>
  <c r="N1825" i="2"/>
  <c r="N1809" i="2"/>
  <c r="N1793" i="2"/>
  <c r="F1945" i="2"/>
  <c r="D1844" i="2"/>
  <c r="M1897" i="2"/>
  <c r="M1829" i="2"/>
  <c r="M1803" i="2"/>
  <c r="N1780" i="2"/>
  <c r="N1764" i="2"/>
  <c r="N1748" i="2"/>
  <c r="N1732" i="2"/>
  <c r="K1935" i="2"/>
  <c r="F1850" i="2"/>
  <c r="C1819" i="2"/>
  <c r="K1798" i="2"/>
  <c r="M1778" i="2"/>
  <c r="S1765" i="2"/>
  <c r="M1752" i="2"/>
  <c r="S1737" i="2"/>
  <c r="M1724" i="2"/>
  <c r="M1710" i="2"/>
  <c r="F1697" i="2"/>
  <c r="M1682" i="2"/>
  <c r="S1669" i="2"/>
  <c r="S1884" i="2"/>
  <c r="D1828" i="2"/>
  <c r="J1806" i="2"/>
  <c r="J1785" i="2"/>
  <c r="E1771" i="2"/>
  <c r="K1756" i="2"/>
  <c r="R1743" i="2"/>
  <c r="K1730" i="2"/>
  <c r="R1715" i="2"/>
  <c r="K1702" i="2"/>
  <c r="K1688" i="2"/>
  <c r="R1677" i="2"/>
  <c r="Q1892" i="2"/>
  <c r="R1818" i="2"/>
  <c r="J1778" i="2"/>
  <c r="J1766" i="2"/>
  <c r="J1756" i="2"/>
  <c r="D1747" i="2"/>
  <c r="D1737" i="2"/>
  <c r="Q1727" i="2"/>
  <c r="J1718" i="2"/>
  <c r="J1710" i="2"/>
  <c r="J1702" i="2"/>
  <c r="J1694" i="2"/>
  <c r="J1686" i="2"/>
  <c r="J1678" i="2"/>
  <c r="J1670" i="2"/>
  <c r="S1886" i="2"/>
  <c r="J1830" i="2"/>
  <c r="A1810" i="2"/>
  <c r="A1792" i="2"/>
  <c r="S1776" i="2"/>
  <c r="S1764" i="2"/>
  <c r="S1752" i="2"/>
  <c r="S1740" i="2"/>
  <c r="S1728" i="2"/>
  <c r="J1717" i="2"/>
  <c r="Q1706" i="2"/>
  <c r="D1696" i="2"/>
  <c r="J1685" i="2"/>
  <c r="A1675" i="2"/>
  <c r="T1665" i="2"/>
  <c r="T1657" i="2"/>
  <c r="T1649" i="2"/>
  <c r="T1641" i="2"/>
  <c r="T1633" i="2"/>
  <c r="T1625" i="2"/>
  <c r="T1617" i="2"/>
  <c r="S1906" i="2"/>
  <c r="J1838" i="2"/>
  <c r="F1814" i="2"/>
  <c r="F1796" i="2"/>
  <c r="P1779" i="2"/>
  <c r="P1767" i="2"/>
  <c r="P1755" i="2"/>
  <c r="P1743" i="2"/>
  <c r="P1731" i="2"/>
  <c r="C1720" i="2"/>
  <c r="P1698" i="2"/>
  <c r="D1892" i="2"/>
  <c r="D1833" i="2"/>
  <c r="E1811" i="2"/>
  <c r="E1793" i="2"/>
  <c r="O1777" i="2"/>
  <c r="O1765" i="2"/>
  <c r="O1753" i="2"/>
  <c r="O1741" i="2"/>
  <c r="O1729" i="2"/>
  <c r="E1718" i="2"/>
  <c r="K1707" i="2"/>
  <c r="R1696" i="2"/>
  <c r="E1686" i="2"/>
  <c r="O1675" i="2"/>
  <c r="K1666" i="2"/>
  <c r="K1658" i="2"/>
  <c r="K1650" i="2"/>
  <c r="K1642" i="2"/>
  <c r="K1634" i="2"/>
  <c r="K1626" i="2"/>
  <c r="K1618" i="2"/>
  <c r="K1610" i="2"/>
  <c r="K1602" i="2"/>
  <c r="F1906" i="2"/>
  <c r="F1838" i="2"/>
  <c r="D1814" i="2"/>
  <c r="D1796" i="2"/>
  <c r="N1779" i="2"/>
  <c r="N1767" i="2"/>
  <c r="N1755" i="2"/>
  <c r="N1743" i="2"/>
  <c r="N1731" i="2"/>
  <c r="T1719" i="2"/>
  <c r="G1709" i="2"/>
  <c r="N1698" i="2"/>
  <c r="T1687" i="2"/>
  <c r="G1677" i="2"/>
  <c r="J1891" i="2"/>
  <c r="F1832" i="2"/>
  <c r="C1811" i="2"/>
  <c r="C1793" i="2"/>
  <c r="M1777" i="2"/>
  <c r="M1765" i="2"/>
  <c r="M1753" i="2"/>
  <c r="M1741" i="2"/>
  <c r="M1729" i="2"/>
  <c r="C1718" i="2"/>
  <c r="P1696" i="2"/>
  <c r="C1686" i="2"/>
  <c r="M1675" i="2"/>
  <c r="F1898" i="2"/>
  <c r="C1835" i="2"/>
  <c r="F1812" i="2"/>
  <c r="F1794" i="2"/>
  <c r="R1718" i="2"/>
  <c r="E1708" i="2"/>
  <c r="K1697" i="2"/>
  <c r="R1686" i="2"/>
  <c r="G1676" i="2"/>
  <c r="A1667" i="2"/>
  <c r="A1659" i="2"/>
  <c r="A1651" i="2"/>
  <c r="A1643" i="2"/>
  <c r="A1635" i="2"/>
  <c r="A1627" i="2"/>
  <c r="A1619" i="2"/>
  <c r="Q1890" i="2"/>
  <c r="A1832" i="2"/>
  <c r="R1810" i="2"/>
  <c r="R1792" i="2"/>
  <c r="J1777" i="2"/>
  <c r="J1765" i="2"/>
  <c r="J1753" i="2"/>
  <c r="J1741" i="2"/>
  <c r="J1729" i="2"/>
  <c r="T1717" i="2"/>
  <c r="G1707" i="2"/>
  <c r="N1696" i="2"/>
  <c r="T1685" i="2"/>
  <c r="J1675" i="2"/>
  <c r="G1666" i="2"/>
  <c r="G1658" i="2"/>
  <c r="G1650" i="2"/>
  <c r="G1642" i="2"/>
  <c r="G1634" i="2"/>
  <c r="G1626" i="2"/>
  <c r="J1903" i="2"/>
  <c r="C1837" i="2"/>
  <c r="Q1813" i="2"/>
  <c r="Q1795" i="2"/>
  <c r="M1719" i="2"/>
  <c r="S1708" i="2"/>
  <c r="F1698" i="2"/>
  <c r="M1687" i="2"/>
  <c r="T1676" i="2"/>
  <c r="D2156" i="2"/>
  <c r="P1948" i="2"/>
  <c r="T1977" i="2"/>
  <c r="F1995" i="2"/>
  <c r="R1977" i="2"/>
  <c r="Q1977" i="2"/>
  <c r="C1973" i="2"/>
  <c r="Q2035" i="2"/>
  <c r="A1933" i="2"/>
  <c r="T1978" i="2"/>
  <c r="K2033" i="2"/>
  <c r="E1900" i="2"/>
  <c r="E1852" i="2"/>
  <c r="D1934" i="2"/>
  <c r="P1904" i="2"/>
  <c r="C1852" i="2"/>
  <c r="F1939" i="2"/>
  <c r="A1908" i="2"/>
  <c r="A1884" i="2"/>
  <c r="A1860" i="2"/>
  <c r="F1968" i="2"/>
  <c r="S1925" i="2"/>
  <c r="T1907" i="2"/>
  <c r="T1885" i="2"/>
  <c r="N1868" i="2"/>
  <c r="T1847" i="2"/>
  <c r="G1829" i="2"/>
  <c r="T1811" i="2"/>
  <c r="T1789" i="2"/>
  <c r="J1965" i="2"/>
  <c r="Q1920" i="2"/>
  <c r="S1901" i="2"/>
  <c r="M1884" i="2"/>
  <c r="M1862" i="2"/>
  <c r="F1845" i="2"/>
  <c r="M2007" i="2"/>
  <c r="F1932" i="2"/>
  <c r="K1910" i="2"/>
  <c r="K1888" i="2"/>
  <c r="E1871" i="2"/>
  <c r="K1850" i="2"/>
  <c r="R1831" i="2"/>
  <c r="M2089" i="2"/>
  <c r="D1946" i="2"/>
  <c r="J1914" i="2"/>
  <c r="Q1895" i="2"/>
  <c r="J1878" i="2"/>
  <c r="J1856" i="2"/>
  <c r="S1953" i="2"/>
  <c r="E1944" i="2"/>
  <c r="A1915" i="2"/>
  <c r="O1897" i="2"/>
  <c r="O1875" i="2"/>
  <c r="H1858" i="2"/>
  <c r="O1837" i="2"/>
  <c r="A1819" i="2"/>
  <c r="O1801" i="2"/>
  <c r="K2023" i="2"/>
  <c r="E1937" i="2"/>
  <c r="N1909" i="2"/>
  <c r="T1890" i="2"/>
  <c r="N1873" i="2"/>
  <c r="T1854" i="2"/>
  <c r="T1838" i="2"/>
  <c r="T1822" i="2"/>
  <c r="T1806" i="2"/>
  <c r="T1790" i="2"/>
  <c r="D1918" i="2"/>
  <c r="P1837" i="2"/>
  <c r="M1881" i="2"/>
  <c r="R1824" i="2"/>
  <c r="M1799" i="2"/>
  <c r="T1777" i="2"/>
  <c r="T1761" i="2"/>
  <c r="T1745" i="2"/>
  <c r="N1730" i="2"/>
  <c r="K1927" i="2"/>
  <c r="Q1843" i="2"/>
  <c r="S1817" i="2"/>
  <c r="K1797" i="2"/>
  <c r="S1777" i="2"/>
  <c r="M1764" i="2"/>
  <c r="M1750" i="2"/>
  <c r="F1737" i="2"/>
  <c r="M1722" i="2"/>
  <c r="S1709" i="2"/>
  <c r="M1696" i="2"/>
  <c r="S1681" i="2"/>
  <c r="M1668" i="2"/>
  <c r="S1872" i="2"/>
  <c r="S1826" i="2"/>
  <c r="J1803" i="2"/>
  <c r="K1784" i="2"/>
  <c r="K1770" i="2"/>
  <c r="R1755" i="2"/>
  <c r="K1742" i="2"/>
  <c r="K1728" i="2"/>
  <c r="E1715" i="2"/>
  <c r="K1700" i="2"/>
  <c r="R1687" i="2"/>
  <c r="S2045" i="2"/>
  <c r="Q1888" i="2"/>
  <c r="Q1838" i="2"/>
  <c r="O2053" i="2"/>
  <c r="M2013" i="2"/>
  <c r="G1977" i="2"/>
  <c r="F1993" i="2"/>
  <c r="E1965" i="2"/>
  <c r="P1989" i="2"/>
  <c r="D2013" i="2"/>
  <c r="J2078" i="2"/>
  <c r="G1970" i="2"/>
  <c r="D1961" i="2"/>
  <c r="E1892" i="2"/>
  <c r="E1844" i="2"/>
  <c r="J1931" i="2"/>
  <c r="C1832" i="2"/>
  <c r="F1931" i="2"/>
  <c r="H1907" i="2"/>
  <c r="H1883" i="2"/>
  <c r="H1859" i="2"/>
  <c r="M1965" i="2"/>
  <c r="T1924" i="2"/>
  <c r="T1903" i="2"/>
  <c r="G1885" i="2"/>
  <c r="T1867" i="2"/>
  <c r="T1845" i="2"/>
  <c r="N1828" i="2"/>
  <c r="T1807" i="2"/>
  <c r="G1789" i="2"/>
  <c r="Q1962" i="2"/>
  <c r="M1918" i="2"/>
  <c r="F1901" i="2"/>
  <c r="M1880" i="2"/>
  <c r="S1861" i="2"/>
  <c r="M1844" i="2"/>
  <c r="M1983" i="2"/>
  <c r="S1930" i="2"/>
  <c r="K1906" i="2"/>
  <c r="R1887" i="2"/>
  <c r="K1870" i="2"/>
  <c r="K1848" i="2"/>
  <c r="E1831" i="2"/>
  <c r="K1937" i="2"/>
  <c r="J1912" i="2"/>
  <c r="D1895" i="2"/>
  <c r="J1874" i="2"/>
  <c r="Q1855" i="2"/>
  <c r="F1952" i="2"/>
  <c r="C1917" i="2"/>
  <c r="P1905" i="2"/>
  <c r="C1893" i="2"/>
  <c r="P1881" i="2"/>
  <c r="C1869" i="2"/>
  <c r="P1857" i="2"/>
  <c r="S1939" i="2"/>
  <c r="H1914" i="2"/>
  <c r="O1893" i="2"/>
  <c r="A1875" i="2"/>
  <c r="O1857" i="2"/>
  <c r="O1835" i="2"/>
  <c r="H1818" i="2"/>
  <c r="O1797" i="2"/>
  <c r="A2013" i="2"/>
  <c r="R1935" i="2"/>
  <c r="N1907" i="2"/>
  <c r="G1890" i="2"/>
  <c r="N1869" i="2"/>
  <c r="N1853" i="2"/>
  <c r="N1837" i="2"/>
  <c r="N1821" i="2"/>
  <c r="N1805" i="2"/>
  <c r="N1789" i="2"/>
  <c r="D1910" i="2"/>
  <c r="J1834" i="2"/>
  <c r="M1873" i="2"/>
  <c r="M1822" i="2"/>
  <c r="M1797" i="2"/>
  <c r="N1776" i="2"/>
  <c r="N1760" i="2"/>
  <c r="N1744" i="2"/>
  <c r="T1729" i="2"/>
  <c r="P1921" i="2"/>
  <c r="F1842" i="2"/>
  <c r="M1815" i="2"/>
  <c r="K1794" i="2"/>
  <c r="F1777" i="2"/>
  <c r="M1762" i="2"/>
  <c r="S1749" i="2"/>
  <c r="M1736" i="2"/>
  <c r="S1721" i="2"/>
  <c r="M1708" i="2"/>
  <c r="M1694" i="2"/>
  <c r="F1681" i="2"/>
  <c r="F1988" i="2"/>
  <c r="S1868" i="2"/>
  <c r="Q1825" i="2"/>
  <c r="J1802" i="2"/>
  <c r="P1782" i="2"/>
  <c r="K1768" i="2"/>
  <c r="E1755" i="2"/>
  <c r="K1740" i="2"/>
  <c r="R1727" i="2"/>
  <c r="K1714" i="2"/>
  <c r="R1699" i="2"/>
  <c r="K1686" i="2"/>
  <c r="S1986" i="2"/>
  <c r="Q1884" i="2"/>
  <c r="D1837" i="2"/>
  <c r="M1816" i="2"/>
  <c r="Q1775" i="2"/>
  <c r="D1765" i="2"/>
  <c r="D1755" i="2"/>
  <c r="D1745" i="2"/>
  <c r="Q1735" i="2"/>
  <c r="Q1725" i="2"/>
  <c r="D1717" i="2"/>
  <c r="D1709" i="2"/>
  <c r="D1701" i="2"/>
  <c r="D1693" i="2"/>
  <c r="D1685" i="2"/>
  <c r="D1677" i="2"/>
  <c r="K2032" i="2"/>
  <c r="F1872" i="2"/>
  <c r="J1826" i="2"/>
  <c r="C1807" i="2"/>
  <c r="C1789" i="2"/>
  <c r="S1774" i="2"/>
  <c r="S1762" i="2"/>
  <c r="S1750" i="2"/>
  <c r="S1738" i="2"/>
  <c r="S1726" i="2"/>
  <c r="N1715" i="2"/>
  <c r="T1704" i="2"/>
  <c r="G1694" i="2"/>
  <c r="N1683" i="2"/>
  <c r="J1673" i="2"/>
  <c r="N1664" i="2"/>
  <c r="N1656" i="2"/>
  <c r="N1648" i="2"/>
  <c r="N1640" i="2"/>
  <c r="N1632" i="2"/>
  <c r="N1624" i="2"/>
  <c r="N1616" i="2"/>
  <c r="F1892" i="2"/>
  <c r="H1833" i="2"/>
  <c r="F1811" i="2"/>
  <c r="F1793" i="2"/>
  <c r="P1777" i="2"/>
  <c r="P1765" i="2"/>
  <c r="P1753" i="2"/>
  <c r="P1741" i="2"/>
  <c r="P1729" i="2"/>
  <c r="F1718" i="2"/>
  <c r="M1707" i="2"/>
  <c r="S1696" i="2"/>
  <c r="S1878" i="2"/>
  <c r="Q1827" i="2"/>
  <c r="E1808" i="2"/>
  <c r="E1790" i="2"/>
  <c r="O1775" i="2"/>
  <c r="O1763" i="2"/>
  <c r="O1751" i="2"/>
  <c r="O1739" i="2"/>
  <c r="O1727" i="2"/>
  <c r="H1716" i="2"/>
  <c r="O1705" i="2"/>
  <c r="A1695" i="2"/>
  <c r="H1684" i="2"/>
  <c r="D1674" i="2"/>
  <c r="E1665" i="2"/>
  <c r="E1657" i="2"/>
  <c r="E1649" i="2"/>
  <c r="E1641" i="2"/>
  <c r="E1633" i="2"/>
  <c r="E1625" i="2"/>
  <c r="E1617" i="2"/>
  <c r="E1609" i="2"/>
  <c r="E1601" i="2"/>
  <c r="M1891" i="2"/>
  <c r="C1833" i="2"/>
  <c r="D1811" i="2"/>
  <c r="D1793" i="2"/>
  <c r="N1777" i="2"/>
  <c r="O2049" i="2"/>
  <c r="Q2012" i="2"/>
  <c r="G1957" i="2"/>
  <c r="F1961" i="2"/>
  <c r="K1954" i="2"/>
  <c r="D2085" i="2"/>
  <c r="C1989" i="2"/>
  <c r="H2004" i="2"/>
  <c r="P2057" i="2"/>
  <c r="T1962" i="2"/>
  <c r="M1948" i="2"/>
  <c r="K1887" i="2"/>
  <c r="K1839" i="2"/>
  <c r="K1919" i="2"/>
  <c r="C1884" i="2"/>
  <c r="P1866" i="2"/>
  <c r="P1850" i="2"/>
  <c r="M2043" i="2"/>
  <c r="D1926" i="2"/>
  <c r="H1903" i="2"/>
  <c r="H1879" i="2"/>
  <c r="H1855" i="2"/>
  <c r="S1962" i="2"/>
  <c r="D1920" i="2"/>
  <c r="T1901" i="2"/>
  <c r="N1884" i="2"/>
  <c r="T1863" i="2"/>
  <c r="G1845" i="2"/>
  <c r="T1827" i="2"/>
  <c r="T1805" i="2"/>
  <c r="N1788" i="2"/>
  <c r="D1951" i="2"/>
  <c r="S1917" i="2"/>
  <c r="M1900" i="2"/>
  <c r="M1878" i="2"/>
  <c r="F1861" i="2"/>
  <c r="M1840" i="2"/>
  <c r="Q1975" i="2"/>
  <c r="M1929" i="2"/>
  <c r="K1904" i="2"/>
  <c r="E1887" i="2"/>
  <c r="K1866" i="2"/>
  <c r="R1847" i="2"/>
  <c r="K1830" i="2"/>
  <c r="K1933" i="2"/>
  <c r="Q1911" i="2"/>
  <c r="J1894" i="2"/>
  <c r="J1872" i="2"/>
  <c r="D1855" i="2"/>
  <c r="Q1942" i="2"/>
  <c r="C1905" i="2"/>
  <c r="C1881" i="2"/>
  <c r="C1857" i="2"/>
  <c r="D2067" i="2"/>
  <c r="M1938" i="2"/>
  <c r="O1913" i="2"/>
  <c r="O1891" i="2"/>
  <c r="H1874" i="2"/>
  <c r="O1853" i="2"/>
  <c r="A1835" i="2"/>
  <c r="O1817" i="2"/>
  <c r="O1795" i="2"/>
  <c r="S2004" i="2"/>
  <c r="R1927" i="2"/>
  <c r="T1906" i="2"/>
  <c r="N1889" i="2"/>
  <c r="N1867" i="2"/>
  <c r="N1851" i="2"/>
  <c r="N1835" i="2"/>
  <c r="N1819" i="2"/>
  <c r="N1803" i="2"/>
  <c r="N1787" i="2"/>
  <c r="D1898" i="2"/>
  <c r="P1829" i="2"/>
  <c r="M1861" i="2"/>
  <c r="D1819" i="2"/>
  <c r="M1794" i="2"/>
  <c r="N1774" i="2"/>
  <c r="N1758" i="2"/>
  <c r="N1742" i="2"/>
  <c r="N1728" i="2"/>
  <c r="J1909" i="2"/>
  <c r="O1840" i="2"/>
  <c r="K1812" i="2"/>
  <c r="K1793" i="2"/>
  <c r="M1776" i="2"/>
  <c r="S1761" i="2"/>
  <c r="M1748" i="2"/>
  <c r="M1734" i="2"/>
  <c r="F1721" i="2"/>
  <c r="M1706" i="2"/>
  <c r="S1693" i="2"/>
  <c r="M1680" i="2"/>
  <c r="D1964" i="2"/>
  <c r="S1860" i="2"/>
  <c r="J1801" i="2"/>
  <c r="K1780" i="2"/>
  <c r="R1767" i="2"/>
  <c r="K1754" i="2"/>
  <c r="R1739" i="2"/>
  <c r="K1726" i="2"/>
  <c r="K1712" i="2"/>
  <c r="E1699" i="2"/>
  <c r="R1685" i="2"/>
  <c r="M1963" i="2"/>
  <c r="Q1872" i="2"/>
  <c r="A1834" i="2"/>
  <c r="J1815" i="2"/>
  <c r="H1801" i="2"/>
  <c r="J1774" i="2"/>
  <c r="J1764" i="2"/>
  <c r="J1754" i="2"/>
  <c r="J1744" i="2"/>
  <c r="J1734" i="2"/>
  <c r="D1725" i="2"/>
  <c r="J1716" i="2"/>
  <c r="J1708" i="2"/>
  <c r="J1700" i="2"/>
  <c r="J1692" i="2"/>
  <c r="J1684" i="2"/>
  <c r="J1676" i="2"/>
  <c r="K2034" i="2"/>
  <c r="Q1866" i="2"/>
  <c r="S1824" i="2"/>
  <c r="P1805" i="2"/>
  <c r="P1787" i="2"/>
  <c r="A1774" i="2"/>
  <c r="A1762" i="2"/>
  <c r="A1750" i="2"/>
  <c r="A1738" i="2"/>
  <c r="A1726" i="2"/>
  <c r="Q1714" i="2"/>
  <c r="D1704" i="2"/>
  <c r="J1693" i="2"/>
  <c r="Q1682" i="2"/>
  <c r="O1672" i="2"/>
  <c r="T1663" i="2"/>
  <c r="T1655" i="2"/>
  <c r="T1647" i="2"/>
  <c r="T1639" i="2"/>
  <c r="T1631" i="2"/>
  <c r="T1623" i="2"/>
  <c r="T1615" i="2"/>
  <c r="Q1886" i="2"/>
  <c r="S1809" i="2"/>
  <c r="S1791" i="2"/>
  <c r="R1776" i="2"/>
  <c r="R1764" i="2"/>
  <c r="R1752" i="2"/>
  <c r="R1740" i="2"/>
  <c r="R1728" i="2"/>
  <c r="P1706" i="2"/>
  <c r="C1696" i="2"/>
  <c r="M1871" i="2"/>
  <c r="F1826" i="2"/>
  <c r="R1806" i="2"/>
  <c r="R1788" i="2"/>
  <c r="Q1774" i="2"/>
  <c r="Q1762" i="2"/>
  <c r="Q1750" i="2"/>
  <c r="Q1738" i="2"/>
  <c r="Q1726" i="2"/>
  <c r="K1715" i="2"/>
  <c r="R1704" i="2"/>
  <c r="E1694" i="2"/>
  <c r="K1683" i="2"/>
  <c r="H1673" i="2"/>
  <c r="K1664" i="2"/>
  <c r="K1656" i="2"/>
  <c r="K1648" i="2"/>
  <c r="K1640" i="2"/>
  <c r="K1632" i="2"/>
  <c r="K1624" i="2"/>
  <c r="K1616" i="2"/>
  <c r="K1608" i="2"/>
  <c r="K1600" i="2"/>
  <c r="F1884" i="2"/>
  <c r="D1830" i="2"/>
  <c r="Q1809" i="2"/>
  <c r="Q1791" i="2"/>
  <c r="P1776" i="2"/>
  <c r="P1764" i="2"/>
  <c r="P1752" i="2"/>
  <c r="P1740" i="2"/>
  <c r="P1728" i="2"/>
  <c r="G1717" i="2"/>
  <c r="N1706" i="2"/>
  <c r="T1695" i="2"/>
  <c r="G1685" i="2"/>
  <c r="R1674" i="2"/>
  <c r="S1870" i="2"/>
  <c r="D1826" i="2"/>
  <c r="O1806" i="2"/>
  <c r="O1788" i="2"/>
  <c r="O1774" i="2"/>
  <c r="O1762" i="2"/>
  <c r="O1750" i="2"/>
  <c r="O1738" i="2"/>
  <c r="O1726" i="2"/>
  <c r="P1704" i="2"/>
  <c r="C1694" i="2"/>
  <c r="E1673" i="2"/>
  <c r="F1876" i="2"/>
  <c r="K1827" i="2"/>
  <c r="S1807" i="2"/>
  <c r="S1789" i="2"/>
  <c r="K1775" i="2"/>
  <c r="K1763" i="2"/>
  <c r="K1751" i="2"/>
  <c r="K1739" i="2"/>
  <c r="K1727" i="2"/>
  <c r="E1716" i="2"/>
  <c r="K1705" i="2"/>
  <c r="R1694" i="2"/>
  <c r="E1684" i="2"/>
  <c r="T1673" i="2"/>
  <c r="A1665" i="2"/>
  <c r="A1657" i="2"/>
  <c r="A1649" i="2"/>
  <c r="A1641" i="2"/>
  <c r="A1633" i="2"/>
  <c r="A1625" i="2"/>
  <c r="A1617" i="2"/>
  <c r="F1870" i="2"/>
  <c r="Q2147" i="2"/>
  <c r="F2074" i="2"/>
  <c r="R1953" i="2"/>
  <c r="P2005" i="2"/>
  <c r="O1997" i="2"/>
  <c r="A2046" i="2"/>
  <c r="G1962" i="2"/>
  <c r="Q1943" i="2"/>
  <c r="K1885" i="2"/>
  <c r="K1837" i="2"/>
  <c r="P1830" i="2"/>
  <c r="P1814" i="2"/>
  <c r="P1798" i="2"/>
  <c r="K2030" i="2"/>
  <c r="A1925" i="2"/>
  <c r="O1900" i="2"/>
  <c r="O1876" i="2"/>
  <c r="O1852" i="2"/>
  <c r="F1960" i="2"/>
  <c r="G1901" i="2"/>
  <c r="T1883" i="2"/>
  <c r="T1861" i="2"/>
  <c r="N1844" i="2"/>
  <c r="T1823" i="2"/>
  <c r="G1805" i="2"/>
  <c r="T1787" i="2"/>
  <c r="F1946" i="2"/>
  <c r="F1917" i="2"/>
  <c r="M1896" i="2"/>
  <c r="S1877" i="2"/>
  <c r="M1860" i="2"/>
  <c r="M1838" i="2"/>
  <c r="D1973" i="2"/>
  <c r="A1923" i="2"/>
  <c r="R1903" i="2"/>
  <c r="K1886" i="2"/>
  <c r="K1864" i="2"/>
  <c r="E1847" i="2"/>
  <c r="K1826" i="2"/>
  <c r="S2006" i="2"/>
  <c r="E1932" i="2"/>
  <c r="D1911" i="2"/>
  <c r="J1890" i="2"/>
  <c r="Q1871" i="2"/>
  <c r="J1854" i="2"/>
  <c r="Q1938" i="2"/>
  <c r="C1915" i="2"/>
  <c r="C1891" i="2"/>
  <c r="C1867" i="2"/>
  <c r="K2024" i="2"/>
  <c r="F1937" i="2"/>
  <c r="O1909" i="2"/>
  <c r="A1891" i="2"/>
  <c r="O1873" i="2"/>
  <c r="O1851" i="2"/>
  <c r="H1834" i="2"/>
  <c r="O1813" i="2"/>
  <c r="A1795" i="2"/>
  <c r="S1996" i="2"/>
  <c r="J1924" i="2"/>
  <c r="G1906" i="2"/>
  <c r="N1885" i="2"/>
  <c r="T1866" i="2"/>
  <c r="T1850" i="2"/>
  <c r="T1834" i="2"/>
  <c r="T1818" i="2"/>
  <c r="T1802" i="2"/>
  <c r="T1786" i="2"/>
  <c r="D1894" i="2"/>
  <c r="M1857" i="2"/>
  <c r="A1818" i="2"/>
  <c r="M1793" i="2"/>
  <c r="T1773" i="2"/>
  <c r="T1757" i="2"/>
  <c r="T1741" i="2"/>
  <c r="N1726" i="2"/>
  <c r="J1905" i="2"/>
  <c r="C1839" i="2"/>
  <c r="K1811" i="2"/>
  <c r="K1791" i="2"/>
  <c r="M1774" i="2"/>
  <c r="F1761" i="2"/>
  <c r="M1746" i="2"/>
  <c r="S1733" i="2"/>
  <c r="M1720" i="2"/>
  <c r="S1705" i="2"/>
  <c r="M1692" i="2"/>
  <c r="M1678" i="2"/>
  <c r="S1951" i="2"/>
  <c r="D1850" i="2"/>
  <c r="F1821" i="2"/>
  <c r="J1800" i="2"/>
  <c r="R1779" i="2"/>
  <c r="K1766" i="2"/>
  <c r="K1752" i="2"/>
  <c r="E1739" i="2"/>
  <c r="K1724" i="2"/>
  <c r="R1711" i="2"/>
  <c r="K1698" i="2"/>
  <c r="E1685" i="2"/>
  <c r="M1951" i="2"/>
  <c r="Q1868" i="2"/>
  <c r="H1785" i="2"/>
  <c r="Q1773" i="2"/>
  <c r="Q1763" i="2"/>
  <c r="D1753" i="2"/>
  <c r="Q1743" i="2"/>
  <c r="Q1733" i="2"/>
  <c r="J1724" i="2"/>
  <c r="Q1715" i="2"/>
  <c r="Q1707" i="2"/>
  <c r="Q1699" i="2"/>
  <c r="Q1691" i="2"/>
  <c r="Q1683" i="2"/>
  <c r="Q1675" i="2"/>
  <c r="J1969" i="2"/>
  <c r="J1859" i="2"/>
  <c r="C1823" i="2"/>
  <c r="A1804" i="2"/>
  <c r="A1786" i="2"/>
  <c r="S1772" i="2"/>
  <c r="S1760" i="2"/>
  <c r="S1748" i="2"/>
  <c r="S1736" i="2"/>
  <c r="S1724" i="2"/>
  <c r="T1713" i="2"/>
  <c r="G1703" i="2"/>
  <c r="N1692" i="2"/>
  <c r="T1681" i="2"/>
  <c r="R1671" i="2"/>
  <c r="G1663" i="2"/>
  <c r="G1655" i="2"/>
  <c r="G1647" i="2"/>
  <c r="G1639" i="2"/>
  <c r="G1631" i="2"/>
  <c r="G1623" i="2"/>
  <c r="G1615" i="2"/>
  <c r="J1879" i="2"/>
  <c r="S1827" i="2"/>
  <c r="F1808" i="2"/>
  <c r="F1790" i="2"/>
  <c r="P1775" i="2"/>
  <c r="P1763" i="2"/>
  <c r="P1751" i="2"/>
  <c r="P1739" i="2"/>
  <c r="P1727" i="2"/>
  <c r="P1705" i="2"/>
  <c r="K2020" i="2"/>
  <c r="F1864" i="2"/>
  <c r="E1805" i="2"/>
  <c r="E1787" i="2"/>
  <c r="O1773" i="2"/>
  <c r="O1761" i="2"/>
  <c r="O1749" i="2"/>
  <c r="O1737" i="2"/>
  <c r="O1725" i="2"/>
  <c r="O1714" i="2"/>
  <c r="A1704" i="2"/>
  <c r="H1693" i="2"/>
  <c r="O1682" i="2"/>
  <c r="K1672" i="2"/>
  <c r="R1663" i="2"/>
  <c r="R1655" i="2"/>
  <c r="R1647" i="2"/>
  <c r="R1639" i="2"/>
  <c r="R1631" i="2"/>
  <c r="R1623" i="2"/>
  <c r="R1615" i="2"/>
  <c r="R1607" i="2"/>
  <c r="R1599" i="2"/>
  <c r="Q1878" i="2"/>
  <c r="P1827" i="2"/>
  <c r="D1808" i="2"/>
  <c r="D1790" i="2"/>
  <c r="N1775" i="2"/>
  <c r="N1763" i="2"/>
  <c r="N1751" i="2"/>
  <c r="N1739" i="2"/>
  <c r="N1727" i="2"/>
  <c r="G1716" i="2"/>
  <c r="N1705" i="2"/>
  <c r="T1694" i="2"/>
  <c r="G1684" i="2"/>
  <c r="S2010" i="2"/>
  <c r="M1863" i="2"/>
  <c r="E1824" i="2"/>
  <c r="C1805" i="2"/>
  <c r="C1787" i="2"/>
  <c r="M1773" i="2"/>
  <c r="M1761" i="2"/>
  <c r="M1749" i="2"/>
  <c r="M1737" i="2"/>
  <c r="M1725" i="2"/>
  <c r="P1703" i="2"/>
  <c r="C1693" i="2"/>
  <c r="H1672" i="2"/>
  <c r="P1663" i="2"/>
  <c r="P1655" i="2"/>
  <c r="P1647" i="2"/>
  <c r="D2352" i="2"/>
  <c r="S2070" i="2"/>
  <c r="C2005" i="2"/>
  <c r="A1997" i="2"/>
  <c r="R2044" i="2"/>
  <c r="N1961" i="2"/>
  <c r="S1940" i="2"/>
  <c r="E1884" i="2"/>
  <c r="E1836" i="2"/>
  <c r="C1916" i="2"/>
  <c r="P1898" i="2"/>
  <c r="P1882" i="2"/>
  <c r="C1814" i="2"/>
  <c r="C1798" i="2"/>
  <c r="O2018" i="2"/>
  <c r="E1924" i="2"/>
  <c r="A1900" i="2"/>
  <c r="A1876" i="2"/>
  <c r="A1852" i="2"/>
  <c r="M1949" i="2"/>
  <c r="T1917" i="2"/>
  <c r="N1900" i="2"/>
  <c r="T1879" i="2"/>
  <c r="G1861" i="2"/>
  <c r="T1843" i="2"/>
  <c r="T1821" i="2"/>
  <c r="N1804" i="2"/>
  <c r="T1783" i="2"/>
  <c r="Q1944" i="2"/>
  <c r="M1916" i="2"/>
  <c r="M1894" i="2"/>
  <c r="F1877" i="2"/>
  <c r="M1856" i="2"/>
  <c r="S1837" i="2"/>
  <c r="J1970" i="2"/>
  <c r="P1920" i="2"/>
  <c r="E1903" i="2"/>
  <c r="K1882" i="2"/>
  <c r="R1863" i="2"/>
  <c r="K1846" i="2"/>
  <c r="K1824" i="2"/>
  <c r="S1982" i="2"/>
  <c r="R1930" i="2"/>
  <c r="J1910" i="2"/>
  <c r="J1888" i="2"/>
  <c r="D1871" i="2"/>
  <c r="M2051" i="2"/>
  <c r="J1937" i="2"/>
  <c r="Q2013" i="2"/>
  <c r="S1935" i="2"/>
  <c r="O1907" i="2"/>
  <c r="H1890" i="2"/>
  <c r="O1869" i="2"/>
  <c r="A1851" i="2"/>
  <c r="O1833" i="2"/>
  <c r="O1811" i="2"/>
  <c r="H1794" i="2"/>
  <c r="S1966" i="2"/>
  <c r="N1923" i="2"/>
  <c r="N1905" i="2"/>
  <c r="N1883" i="2"/>
  <c r="G1866" i="2"/>
  <c r="G1850" i="2"/>
  <c r="G1834" i="2"/>
  <c r="G1818" i="2"/>
  <c r="G1802" i="2"/>
  <c r="G1786" i="2"/>
  <c r="D1890" i="2"/>
  <c r="A2064" i="2"/>
  <c r="M1853" i="2"/>
  <c r="R1816" i="2"/>
  <c r="M1792" i="2"/>
  <c r="G1773" i="2"/>
  <c r="G1757" i="2"/>
  <c r="G1741" i="2"/>
  <c r="T1725" i="2"/>
  <c r="J1897" i="2"/>
  <c r="F1834" i="2"/>
  <c r="K1810" i="2"/>
  <c r="K1788" i="2"/>
  <c r="S1773" i="2"/>
  <c r="M1760" i="2"/>
  <c r="S1745" i="2"/>
  <c r="M1732" i="2"/>
  <c r="M1718" i="2"/>
  <c r="F1705" i="2"/>
  <c r="M1690" i="2"/>
  <c r="S1677" i="2"/>
  <c r="J1942" i="2"/>
  <c r="J1847" i="2"/>
  <c r="S1818" i="2"/>
  <c r="J1797" i="2"/>
  <c r="E1779" i="2"/>
  <c r="K1764" i="2"/>
  <c r="R1751" i="2"/>
  <c r="K1738" i="2"/>
  <c r="R1723" i="2"/>
  <c r="K1710" i="2"/>
  <c r="K1696" i="2"/>
  <c r="K1684" i="2"/>
  <c r="E1942" i="2"/>
  <c r="Q1860" i="2"/>
  <c r="Q1830" i="2"/>
  <c r="H1813" i="2"/>
  <c r="J1784" i="2"/>
  <c r="D1773" i="2"/>
  <c r="D1763" i="2"/>
  <c r="J1752" i="2"/>
  <c r="J1742" i="2"/>
  <c r="D1733" i="2"/>
  <c r="Q1723" i="2"/>
  <c r="D1715" i="2"/>
  <c r="D1707" i="2"/>
  <c r="D1699" i="2"/>
  <c r="D1691" i="2"/>
  <c r="D1683" i="2"/>
  <c r="D1675" i="2"/>
  <c r="D1947" i="2"/>
  <c r="D1852" i="2"/>
  <c r="K1821" i="2"/>
  <c r="O1802" i="2"/>
  <c r="P1784" i="2"/>
  <c r="A1772" i="2"/>
  <c r="A1760" i="2"/>
  <c r="A1748" i="2"/>
  <c r="A1736" i="2"/>
  <c r="A1724" i="2"/>
  <c r="T1712" i="2"/>
  <c r="G1702" i="2"/>
  <c r="N1691" i="2"/>
  <c r="T2124" i="2"/>
  <c r="O2044" i="2"/>
  <c r="H2021" i="2"/>
  <c r="D2052" i="2"/>
  <c r="F2046" i="2"/>
  <c r="P1925" i="2"/>
  <c r="A1981" i="2"/>
  <c r="O2019" i="2"/>
  <c r="N1951" i="2"/>
  <c r="F1925" i="2"/>
  <c r="E1876" i="2"/>
  <c r="A2080" i="2"/>
  <c r="P1862" i="2"/>
  <c r="Q1973" i="2"/>
  <c r="H1899" i="2"/>
  <c r="H1875" i="2"/>
  <c r="H1851" i="2"/>
  <c r="R1944" i="2"/>
  <c r="G1917" i="2"/>
  <c r="T1899" i="2"/>
  <c r="T1877" i="2"/>
  <c r="N1860" i="2"/>
  <c r="T1839" i="2"/>
  <c r="G1821" i="2"/>
  <c r="T1803" i="2"/>
  <c r="Q2094" i="2"/>
  <c r="D1943" i="2"/>
  <c r="M1912" i="2"/>
  <c r="S1893" i="2"/>
  <c r="M1876" i="2"/>
  <c r="M1854" i="2"/>
  <c r="F1837" i="2"/>
  <c r="Q1955" i="2"/>
  <c r="A1920" i="2"/>
  <c r="K1902" i="2"/>
  <c r="K1880" i="2"/>
  <c r="E1863" i="2"/>
  <c r="K1842" i="2"/>
  <c r="R1823" i="2"/>
  <c r="M1975" i="2"/>
  <c r="K1929" i="2"/>
  <c r="J1906" i="2"/>
  <c r="Q1887" i="2"/>
  <c r="J1870" i="2"/>
  <c r="M2014" i="2"/>
  <c r="D1936" i="2"/>
  <c r="P1913" i="2"/>
  <c r="C1901" i="2"/>
  <c r="P1889" i="2"/>
  <c r="C1877" i="2"/>
  <c r="P1865" i="2"/>
  <c r="C1853" i="2"/>
  <c r="M2005" i="2"/>
  <c r="S1927" i="2"/>
  <c r="A1907" i="2"/>
  <c r="O1889" i="2"/>
  <c r="O1867" i="2"/>
  <c r="H1850" i="2"/>
  <c r="O1829" i="2"/>
  <c r="A1811" i="2"/>
  <c r="O1793" i="2"/>
  <c r="S1958" i="2"/>
  <c r="Q1922" i="2"/>
  <c r="N1901" i="2"/>
  <c r="T1882" i="2"/>
  <c r="N1865" i="2"/>
  <c r="N1849" i="2"/>
  <c r="N1833" i="2"/>
  <c r="N1817" i="2"/>
  <c r="N1801" i="2"/>
  <c r="N1785" i="2"/>
  <c r="D1886" i="2"/>
  <c r="F1996" i="2"/>
  <c r="J1850" i="2"/>
  <c r="P1815" i="2"/>
  <c r="M1791" i="2"/>
  <c r="N1772" i="2"/>
  <c r="N1756" i="2"/>
  <c r="N1740" i="2"/>
  <c r="G1725" i="2"/>
  <c r="J1885" i="2"/>
  <c r="O1832" i="2"/>
  <c r="K1809" i="2"/>
  <c r="K1787" i="2"/>
  <c r="M1772" i="2"/>
  <c r="M1758" i="2"/>
  <c r="F1745" i="2"/>
  <c r="M1730" i="2"/>
  <c r="S1717" i="2"/>
  <c r="M1704" i="2"/>
  <c r="S1689" i="2"/>
  <c r="M1676" i="2"/>
  <c r="D1921" i="2"/>
  <c r="H1845" i="2"/>
  <c r="K1815" i="2"/>
  <c r="J1796" i="2"/>
  <c r="K1778" i="2"/>
  <c r="R1763" i="2"/>
  <c r="K1750" i="2"/>
  <c r="K1736" i="2"/>
  <c r="E1723" i="2"/>
  <c r="K1708" i="2"/>
  <c r="R1695" i="2"/>
  <c r="R1683" i="2"/>
  <c r="A1921" i="2"/>
  <c r="Q1856" i="2"/>
  <c r="D1829" i="2"/>
  <c r="H1797" i="2"/>
  <c r="O1782" i="2"/>
  <c r="J1772" i="2"/>
  <c r="J1762" i="2"/>
  <c r="Q1751" i="2"/>
  <c r="Q1741" i="2"/>
  <c r="J1732" i="2"/>
  <c r="D1723" i="2"/>
  <c r="J1714" i="2"/>
  <c r="J1706" i="2"/>
  <c r="J1698" i="2"/>
  <c r="J1690" i="2"/>
  <c r="J1682" i="2"/>
  <c r="J1674" i="2"/>
  <c r="Q1931" i="2"/>
  <c r="F1848" i="2"/>
  <c r="M1819" i="2"/>
  <c r="C1801" i="2"/>
  <c r="F1783" i="2"/>
  <c r="S1770" i="2"/>
  <c r="S1758" i="2"/>
  <c r="S1746" i="2"/>
  <c r="S1734" i="2"/>
  <c r="S1722" i="2"/>
  <c r="D1712" i="2"/>
  <c r="J1701" i="2"/>
  <c r="Q1690" i="2"/>
  <c r="D1680" i="2"/>
  <c r="F1670" i="2"/>
  <c r="T1661" i="2"/>
  <c r="T1653" i="2"/>
  <c r="T1645" i="2"/>
  <c r="T1637" i="2"/>
  <c r="T1629" i="2"/>
  <c r="T1621" i="2"/>
  <c r="K2022" i="2"/>
  <c r="F1866" i="2"/>
  <c r="J1824" i="2"/>
  <c r="F1805" i="2"/>
  <c r="F1787" i="2"/>
  <c r="P1773" i="2"/>
  <c r="P1761" i="2"/>
  <c r="P1749" i="2"/>
  <c r="P1737" i="2"/>
  <c r="P1725" i="2"/>
  <c r="P1714" i="2"/>
  <c r="C1704" i="2"/>
  <c r="K1945" i="2"/>
  <c r="M1851" i="2"/>
  <c r="S1820" i="2"/>
  <c r="E1802" i="2"/>
  <c r="F1784" i="2"/>
  <c r="O1771" i="2"/>
  <c r="O1759" i="2"/>
  <c r="O1747" i="2"/>
  <c r="O1735" i="2"/>
  <c r="O1723" i="2"/>
  <c r="R1712" i="2"/>
  <c r="E1702" i="2"/>
  <c r="K1691" i="2"/>
  <c r="R1680" i="2"/>
  <c r="S1670" i="2"/>
  <c r="K1662" i="2"/>
  <c r="K1654" i="2"/>
  <c r="K1646" i="2"/>
  <c r="K1638" i="2"/>
  <c r="K1630" i="2"/>
  <c r="K1622" i="2"/>
  <c r="K1614" i="2"/>
  <c r="K1606" i="2"/>
  <c r="F2012" i="2"/>
  <c r="D1864" i="2"/>
  <c r="F1824" i="2"/>
  <c r="D1805" i="2"/>
  <c r="D1787" i="2"/>
  <c r="N1773" i="2"/>
  <c r="N1761" i="2"/>
  <c r="N1749" i="2"/>
  <c r="N1737" i="2"/>
  <c r="N1725" i="2"/>
  <c r="N1714" i="2"/>
  <c r="T1703" i="2"/>
  <c r="G1693" i="2"/>
  <c r="N1682" i="2"/>
  <c r="R1940" i="2"/>
  <c r="D1851" i="2"/>
  <c r="Q1820" i="2"/>
  <c r="A1802" i="2"/>
  <c r="D1784" i="2"/>
  <c r="M1771" i="2"/>
  <c r="M1759" i="2"/>
  <c r="M1747" i="2"/>
  <c r="M1735" i="2"/>
  <c r="M1723" i="2"/>
  <c r="P1712" i="2"/>
  <c r="C1702" i="2"/>
  <c r="P1680" i="2"/>
  <c r="Q1670" i="2"/>
  <c r="Q1956" i="2"/>
  <c r="D1856" i="2"/>
  <c r="E1822" i="2"/>
  <c r="F1803" i="2"/>
  <c r="F1785" i="2"/>
  <c r="K1713" i="2"/>
  <c r="R1702" i="2"/>
  <c r="E1692" i="2"/>
  <c r="K1681" i="2"/>
  <c r="K1671" i="2"/>
  <c r="A1663" i="2"/>
  <c r="A1655" i="2"/>
  <c r="A1647" i="2"/>
  <c r="A1639" i="2"/>
  <c r="A1631" i="2"/>
  <c r="A1623" i="2"/>
  <c r="K1939" i="2"/>
  <c r="M1849" i="2"/>
  <c r="M1820" i="2"/>
  <c r="R1801" i="2"/>
  <c r="A1784" i="2"/>
  <c r="J1771" i="2"/>
  <c r="J1759" i="2"/>
  <c r="J1747" i="2"/>
  <c r="J1735" i="2"/>
  <c r="J1723" i="2"/>
  <c r="N1712" i="2"/>
  <c r="K2100" i="2"/>
  <c r="O2010" i="2"/>
  <c r="R2032" i="2"/>
  <c r="Q2050" i="2"/>
  <c r="C1925" i="2"/>
  <c r="H1972" i="2"/>
  <c r="N2009" i="2"/>
  <c r="N1945" i="2"/>
  <c r="N1919" i="2"/>
  <c r="K1871" i="2"/>
  <c r="P1914" i="2"/>
  <c r="C1862" i="2"/>
  <c r="P1826" i="2"/>
  <c r="D1963" i="2"/>
  <c r="J1919" i="2"/>
  <c r="H1895" i="2"/>
  <c r="H1871" i="2"/>
  <c r="H1847" i="2"/>
  <c r="F1943" i="2"/>
  <c r="N1916" i="2"/>
  <c r="T1895" i="2"/>
  <c r="G1877" i="2"/>
  <c r="T1859" i="2"/>
  <c r="T1837" i="2"/>
  <c r="N1820" i="2"/>
  <c r="T1799" i="2"/>
  <c r="M2073" i="2"/>
  <c r="Q1941" i="2"/>
  <c r="M1910" i="2"/>
  <c r="F1893" i="2"/>
  <c r="M1872" i="2"/>
  <c r="S1853" i="2"/>
  <c r="M1836" i="2"/>
  <c r="S1950" i="2"/>
  <c r="F1919" i="2"/>
  <c r="K1898" i="2"/>
  <c r="R1879" i="2"/>
  <c r="K1862" i="2"/>
  <c r="K1840" i="2"/>
  <c r="E1823" i="2"/>
  <c r="S1972" i="2"/>
  <c r="T1922" i="2"/>
  <c r="J1904" i="2"/>
  <c r="D1887" i="2"/>
  <c r="J1866" i="2"/>
  <c r="F2006" i="2"/>
  <c r="Q1934" i="2"/>
  <c r="C1913" i="2"/>
  <c r="C1889" i="2"/>
  <c r="C1865" i="2"/>
  <c r="M1997" i="2"/>
  <c r="K1924" i="2"/>
  <c r="H1906" i="2"/>
  <c r="O1885" i="2"/>
  <c r="A1867" i="2"/>
  <c r="O1849" i="2"/>
  <c r="O1827" i="2"/>
  <c r="H1810" i="2"/>
  <c r="O1789" i="2"/>
  <c r="R1956" i="2"/>
  <c r="S1921" i="2"/>
  <c r="N1899" i="2"/>
  <c r="G1882" i="2"/>
  <c r="T1862" i="2"/>
  <c r="T1846" i="2"/>
  <c r="T1830" i="2"/>
  <c r="T1814" i="2"/>
  <c r="T1798" i="2"/>
  <c r="T1782" i="2"/>
  <c r="D1870" i="2"/>
  <c r="Q1935" i="2"/>
  <c r="M1811" i="2"/>
  <c r="M1787" i="2"/>
  <c r="T1769" i="2"/>
  <c r="T1753" i="2"/>
  <c r="T1737" i="2"/>
  <c r="N1724" i="2"/>
  <c r="J1881" i="2"/>
  <c r="J1829" i="2"/>
  <c r="K1806" i="2"/>
  <c r="K1786" i="2"/>
  <c r="M1770" i="2"/>
  <c r="S1757" i="2"/>
  <c r="M1744" i="2"/>
  <c r="S1729" i="2"/>
  <c r="M1716" i="2"/>
  <c r="M1702" i="2"/>
  <c r="F1689" i="2"/>
  <c r="M1674" i="2"/>
  <c r="S1916" i="2"/>
  <c r="P1843" i="2"/>
  <c r="J1814" i="2"/>
  <c r="J1794" i="2"/>
  <c r="K1776" i="2"/>
  <c r="E1763" i="2"/>
  <c r="K1748" i="2"/>
  <c r="R1735" i="2"/>
  <c r="K1722" i="2"/>
  <c r="R1707" i="2"/>
  <c r="K1694" i="2"/>
  <c r="E1683" i="2"/>
  <c r="Q1916" i="2"/>
  <c r="Q1852" i="2"/>
  <c r="A1828" i="2"/>
  <c r="S1781" i="2"/>
  <c r="Q1771" i="2"/>
  <c r="J1760" i="2"/>
  <c r="J1750" i="2"/>
  <c r="D1741" i="2"/>
  <c r="Q1731" i="2"/>
  <c r="J1722" i="2"/>
  <c r="Q1713" i="2"/>
  <c r="Q1705" i="2"/>
  <c r="Q1697" i="2"/>
  <c r="Q1689" i="2"/>
  <c r="Q1681" i="2"/>
  <c r="Q1673" i="2"/>
  <c r="J1844" i="2"/>
  <c r="D1818" i="2"/>
  <c r="P1799" i="2"/>
  <c r="D1782" i="2"/>
  <c r="A1770" i="2"/>
  <c r="A1758" i="2"/>
  <c r="A1746" i="2"/>
  <c r="A1734" i="2"/>
  <c r="A1722" i="2"/>
  <c r="G1711" i="2"/>
  <c r="N1700" i="2"/>
  <c r="T1689" i="2"/>
  <c r="G1679" i="2"/>
  <c r="J1669" i="2"/>
  <c r="G1661" i="2"/>
  <c r="G1653" i="2"/>
  <c r="G1645" i="2"/>
  <c r="G1637" i="2"/>
  <c r="G1629" i="2"/>
  <c r="G1621" i="2"/>
  <c r="J1961" i="2"/>
  <c r="S1858" i="2"/>
  <c r="S1822" i="2"/>
  <c r="S1803" i="2"/>
  <c r="S1785" i="2"/>
  <c r="R1772" i="2"/>
  <c r="R1760" i="2"/>
  <c r="R1748" i="2"/>
  <c r="R1736" i="2"/>
  <c r="R1724" i="2"/>
  <c r="P1713" i="2"/>
  <c r="C1703" i="2"/>
  <c r="J1930" i="2"/>
  <c r="Q1846" i="2"/>
  <c r="J1819" i="2"/>
  <c r="R1800" i="2"/>
  <c r="D1783" i="2"/>
  <c r="Q1770" i="2"/>
  <c r="Q1758" i="2"/>
  <c r="Q1746" i="2"/>
  <c r="Q1734" i="2"/>
  <c r="Q1722" i="2"/>
  <c r="A1712" i="2"/>
  <c r="H1701" i="2"/>
  <c r="O1690" i="2"/>
  <c r="A1680" i="2"/>
  <c r="D1670" i="2"/>
  <c r="R1661" i="2"/>
  <c r="R1653" i="2"/>
  <c r="R1645" i="2"/>
  <c r="R1637" i="2"/>
  <c r="R1629" i="2"/>
  <c r="R1621" i="2"/>
  <c r="R1613" i="2"/>
  <c r="R1605" i="2"/>
  <c r="Q1958" i="2"/>
  <c r="F1858" i="2"/>
  <c r="Q1822" i="2"/>
  <c r="Q1803" i="2"/>
  <c r="Q1785" i="2"/>
  <c r="P1772" i="2"/>
  <c r="P1760" i="2"/>
  <c r="P1748" i="2"/>
  <c r="P1736" i="2"/>
  <c r="P1724" i="2"/>
  <c r="N1713" i="2"/>
  <c r="T1702" i="2"/>
  <c r="G1692" i="2"/>
  <c r="N1681" i="2"/>
  <c r="D1929" i="2"/>
  <c r="F1846" i="2"/>
  <c r="F1819" i="2"/>
  <c r="O1800" i="2"/>
  <c r="S1782" i="2"/>
  <c r="O1770" i="2"/>
  <c r="O1758" i="2"/>
  <c r="O1746" i="2"/>
  <c r="O1734" i="2"/>
  <c r="O1722" i="2"/>
  <c r="P1711" i="2"/>
  <c r="C1701" i="2"/>
  <c r="P1679" i="2"/>
  <c r="A1670" i="2"/>
  <c r="P1661" i="2"/>
  <c r="P1653" i="2"/>
  <c r="P1645" i="2"/>
  <c r="P1637" i="2"/>
  <c r="P1629" i="2"/>
  <c r="Q1939" i="2"/>
  <c r="S1850" i="2"/>
  <c r="O1820" i="2"/>
  <c r="S1801" i="2"/>
  <c r="C1784" i="2"/>
  <c r="K1771" i="2"/>
  <c r="K1759" i="2"/>
  <c r="K1747" i="2"/>
  <c r="K1735" i="2"/>
  <c r="K1723" i="2"/>
  <c r="O1712" i="2"/>
  <c r="A1702" i="2"/>
  <c r="H1691" i="2"/>
  <c r="O1680" i="2"/>
  <c r="P1670" i="2"/>
  <c r="H1662" i="2"/>
  <c r="H1654" i="2"/>
  <c r="H1646" i="2"/>
  <c r="H1638" i="2"/>
  <c r="H1630" i="2"/>
  <c r="H1622" i="2"/>
  <c r="E1925" i="2"/>
  <c r="A1846" i="2"/>
  <c r="O1818" i="2"/>
  <c r="E1800" i="2"/>
  <c r="K1782" i="2"/>
  <c r="H1770" i="2"/>
  <c r="H1758" i="2"/>
  <c r="H1746" i="2"/>
  <c r="K2096" i="2"/>
  <c r="R1974" i="2"/>
  <c r="D1982" i="2"/>
  <c r="P1980" i="2"/>
  <c r="O1962" i="2"/>
  <c r="Q2064" i="2"/>
  <c r="R2031" i="2"/>
  <c r="S2035" i="2"/>
  <c r="P1941" i="2"/>
  <c r="O2086" i="2"/>
  <c r="O1965" i="2"/>
  <c r="T2002" i="2"/>
  <c r="N1943" i="2"/>
  <c r="K1917" i="2"/>
  <c r="K1869" i="2"/>
  <c r="F2010" i="2"/>
  <c r="P1894" i="2"/>
  <c r="J1960" i="2"/>
  <c r="O1916" i="2"/>
  <c r="O1892" i="2"/>
  <c r="O1868" i="2"/>
  <c r="D2075" i="2"/>
  <c r="R1941" i="2"/>
  <c r="T1915" i="2"/>
  <c r="T1893" i="2"/>
  <c r="N1876" i="2"/>
  <c r="T1855" i="2"/>
  <c r="G1837" i="2"/>
  <c r="T1819" i="2"/>
  <c r="T1797" i="2"/>
  <c r="C2055" i="2"/>
  <c r="Q1933" i="2"/>
  <c r="S1909" i="2"/>
  <c r="M1892" i="2"/>
  <c r="M1870" i="2"/>
  <c r="F1853" i="2"/>
  <c r="M1832" i="2"/>
  <c r="J1949" i="2"/>
  <c r="K1918" i="2"/>
  <c r="K1896" i="2"/>
  <c r="E1879" i="2"/>
  <c r="K1858" i="2"/>
  <c r="R1839" i="2"/>
  <c r="K1822" i="2"/>
  <c r="F1970" i="2"/>
  <c r="Q1903" i="2"/>
  <c r="J1886" i="2"/>
  <c r="J1864" i="2"/>
  <c r="F1998" i="2"/>
  <c r="Q1926" i="2"/>
  <c r="C1899" i="2"/>
  <c r="C1875" i="2"/>
  <c r="C1851" i="2"/>
  <c r="D1967" i="2"/>
  <c r="O1923" i="2"/>
  <c r="O1905" i="2"/>
  <c r="O1883" i="2"/>
  <c r="H1866" i="2"/>
  <c r="O1845" i="2"/>
  <c r="A1827" i="2"/>
  <c r="O1809" i="2"/>
  <c r="O1787" i="2"/>
  <c r="F1955" i="2"/>
  <c r="N1917" i="2"/>
  <c r="T1898" i="2"/>
  <c r="N1881" i="2"/>
  <c r="N1861" i="2"/>
  <c r="N1845" i="2"/>
  <c r="N1829" i="2"/>
  <c r="N1813" i="2"/>
  <c r="N1797" i="2"/>
  <c r="N1781" i="2"/>
  <c r="D1862" i="2"/>
  <c r="R1921" i="2"/>
  <c r="D1839" i="2"/>
  <c r="M1809" i="2"/>
  <c r="M1785" i="2"/>
  <c r="N1768" i="2"/>
  <c r="N1752" i="2"/>
  <c r="N1736" i="2"/>
  <c r="N1722" i="2"/>
  <c r="J1877" i="2"/>
  <c r="S1825" i="2"/>
  <c r="K1805" i="2"/>
  <c r="K1785" i="2"/>
  <c r="S1769" i="2"/>
  <c r="M1756" i="2"/>
  <c r="M1742" i="2"/>
  <c r="F1729" i="2"/>
  <c r="M1714" i="2"/>
  <c r="S1701" i="2"/>
  <c r="M1688" i="2"/>
  <c r="S1673" i="2"/>
  <c r="S1908" i="2"/>
  <c r="S1838" i="2"/>
  <c r="J1813" i="2"/>
  <c r="J1791" i="2"/>
  <c r="R1775" i="2"/>
  <c r="K1762" i="2"/>
  <c r="R1747" i="2"/>
  <c r="K1734" i="2"/>
  <c r="K1720" i="2"/>
  <c r="E1707" i="2"/>
  <c r="K1692" i="2"/>
  <c r="K1682" i="2"/>
  <c r="Q1908" i="2"/>
  <c r="Q1849" i="2"/>
  <c r="R1826" i="2"/>
  <c r="H1809" i="2"/>
  <c r="E1781" i="2"/>
  <c r="D1771" i="2"/>
  <c r="Q1759" i="2"/>
  <c r="Q1749" i="2"/>
  <c r="J1740" i="2"/>
  <c r="D1731" i="2"/>
  <c r="D1721" i="2"/>
  <c r="D1713" i="2"/>
  <c r="D1705" i="2"/>
  <c r="D1697" i="2"/>
  <c r="D1689" i="2"/>
  <c r="D1681" i="2"/>
  <c r="D1673" i="2"/>
  <c r="Q1914" i="2"/>
  <c r="M1841" i="2"/>
  <c r="E1816" i="2"/>
  <c r="A1798" i="2"/>
  <c r="S1780" i="2"/>
  <c r="S1768" i="2"/>
  <c r="S1756" i="2"/>
  <c r="S1744" i="2"/>
  <c r="S1732" i="2"/>
  <c r="T1720" i="2"/>
  <c r="G1710" i="2"/>
  <c r="N1699" i="2"/>
  <c r="T1688" i="2"/>
  <c r="G1678" i="2"/>
  <c r="P1668" i="2"/>
  <c r="N1660" i="2"/>
  <c r="N1652" i="2"/>
  <c r="N1644" i="2"/>
  <c r="N1636" i="2"/>
  <c r="N1628" i="2"/>
  <c r="N1620" i="2"/>
  <c r="R1946" i="2"/>
  <c r="Q1851" i="2"/>
  <c r="C1821" i="2"/>
  <c r="F1802" i="2"/>
  <c r="P1771" i="2"/>
  <c r="P1759" i="2"/>
  <c r="P1747" i="2"/>
  <c r="P1735" i="2"/>
  <c r="P1723" i="2"/>
  <c r="S1712" i="2"/>
  <c r="F1702" i="2"/>
  <c r="O1919" i="2"/>
  <c r="F1844" i="2"/>
  <c r="K1817" i="2"/>
  <c r="E1799" i="2"/>
  <c r="Q1781" i="2"/>
  <c r="O1769" i="2"/>
  <c r="O1757" i="2"/>
  <c r="O1745" i="2"/>
  <c r="O1733" i="2"/>
  <c r="O1721" i="2"/>
  <c r="A1711" i="2"/>
  <c r="H1700" i="2"/>
  <c r="O1689" i="2"/>
  <c r="A1679" i="2"/>
  <c r="H1669" i="2"/>
  <c r="E1661" i="2"/>
  <c r="E1653" i="2"/>
  <c r="E1645" i="2"/>
  <c r="E1637" i="2"/>
  <c r="E1629" i="2"/>
  <c r="E1621" i="2"/>
  <c r="E1613" i="2"/>
  <c r="E1605" i="2"/>
  <c r="D1941" i="2"/>
  <c r="J1851" i="2"/>
  <c r="R1820" i="2"/>
  <c r="D1802" i="2"/>
  <c r="E1784" i="2"/>
  <c r="N1771" i="2"/>
  <c r="N1759" i="2"/>
  <c r="N1747" i="2"/>
  <c r="N1735" i="2"/>
  <c r="N1723" i="2"/>
  <c r="Q1712" i="2"/>
  <c r="D1702" i="2"/>
  <c r="J1691" i="2"/>
  <c r="Q1680" i="2"/>
  <c r="T1918" i="2"/>
  <c r="H1843" i="2"/>
  <c r="H1817" i="2"/>
  <c r="C1799" i="2"/>
  <c r="O1781" i="2"/>
  <c r="M1769" i="2"/>
  <c r="M1757" i="2"/>
  <c r="M1745" i="2"/>
  <c r="M1733" i="2"/>
  <c r="M1721" i="2"/>
  <c r="S1710" i="2"/>
  <c r="F1700" i="2"/>
  <c r="M1689" i="2"/>
  <c r="S1678" i="2"/>
  <c r="E1669" i="2"/>
  <c r="C1661" i="2"/>
  <c r="C1653" i="2"/>
  <c r="C1645" i="2"/>
  <c r="C1637" i="2"/>
  <c r="C1629" i="2"/>
  <c r="J1925" i="2"/>
  <c r="D1846" i="2"/>
  <c r="Q1818" i="2"/>
  <c r="F1800" i="2"/>
  <c r="M1782" i="2"/>
  <c r="O1711" i="2"/>
  <c r="A1701" i="2"/>
  <c r="H1690" i="2"/>
  <c r="O1679" i="2"/>
  <c r="T1669" i="2"/>
  <c r="O1661" i="2"/>
  <c r="O1653" i="2"/>
  <c r="O1645" i="2"/>
  <c r="O1637" i="2"/>
  <c r="O1629" i="2"/>
  <c r="O1621" i="2"/>
  <c r="F1918" i="2"/>
  <c r="C1843" i="2"/>
  <c r="D1817" i="2"/>
  <c r="R1798" i="2"/>
  <c r="K1781" i="2"/>
  <c r="J1769" i="2"/>
  <c r="J1757" i="2"/>
  <c r="J1745" i="2"/>
  <c r="J1733" i="2"/>
  <c r="J1721" i="2"/>
  <c r="Q1710" i="2"/>
  <c r="D1700" i="2"/>
  <c r="J1689" i="2"/>
  <c r="Q1678" i="2"/>
  <c r="C1669" i="2"/>
  <c r="T1660" i="2"/>
  <c r="T1652" i="2"/>
  <c r="T1644" i="2"/>
  <c r="T1636" i="2"/>
  <c r="T1628" i="2"/>
  <c r="J1938" i="2"/>
  <c r="J1849" i="2"/>
  <c r="J1820" i="2"/>
  <c r="Q1801" i="2"/>
  <c r="S1783" i="2"/>
  <c r="P1701" i="2"/>
  <c r="C1691" i="2"/>
  <c r="N1670" i="2"/>
  <c r="F2255" i="2"/>
  <c r="J1994" i="2"/>
  <c r="P1957" i="2"/>
  <c r="H1940" i="2"/>
  <c r="E1860" i="2"/>
  <c r="S1941" i="2"/>
  <c r="J2042" i="2"/>
  <c r="T1875" i="2"/>
  <c r="G1797" i="2"/>
  <c r="M1888" i="2"/>
  <c r="Q1947" i="2"/>
  <c r="K1856" i="2"/>
  <c r="R1950" i="2"/>
  <c r="Q1863" i="2"/>
  <c r="P1873" i="2"/>
  <c r="C1922" i="2"/>
  <c r="A1843" i="2"/>
  <c r="D1944" i="2"/>
  <c r="T1858" i="2"/>
  <c r="T1794" i="2"/>
  <c r="G1765" i="2"/>
  <c r="J1857" i="2"/>
  <c r="M1766" i="2"/>
  <c r="M1712" i="2"/>
  <c r="S1888" i="2"/>
  <c r="K1772" i="2"/>
  <c r="K1718" i="2"/>
  <c r="Q1900" i="2"/>
  <c r="H1793" i="2"/>
  <c r="J1768" i="2"/>
  <c r="D1739" i="2"/>
  <c r="Q1711" i="2"/>
  <c r="Q1687" i="2"/>
  <c r="J1907" i="2"/>
  <c r="O1796" i="2"/>
  <c r="A1756" i="2"/>
  <c r="D1720" i="2"/>
  <c r="D1688" i="2"/>
  <c r="N1666" i="2"/>
  <c r="N1646" i="2"/>
  <c r="G1627" i="2"/>
  <c r="M1899" i="2"/>
  <c r="S1806" i="2"/>
  <c r="R1770" i="2"/>
  <c r="R1744" i="2"/>
  <c r="P1697" i="2"/>
  <c r="R1822" i="2"/>
  <c r="O1779" i="2"/>
  <c r="Q1752" i="2"/>
  <c r="R1720" i="2"/>
  <c r="O1697" i="2"/>
  <c r="O1671" i="2"/>
  <c r="R1651" i="2"/>
  <c r="R1633" i="2"/>
  <c r="K1612" i="2"/>
  <c r="D1912" i="2"/>
  <c r="Q1806" i="2"/>
  <c r="N1769" i="2"/>
  <c r="N1745" i="2"/>
  <c r="N1721" i="2"/>
  <c r="G1700" i="2"/>
  <c r="T1678" i="2"/>
  <c r="D1838" i="2"/>
  <c r="A1796" i="2"/>
  <c r="M1767" i="2"/>
  <c r="M1743" i="2"/>
  <c r="P1719" i="2"/>
  <c r="M1705" i="2"/>
  <c r="S1686" i="2"/>
  <c r="J1668" i="2"/>
  <c r="P1627" i="2"/>
  <c r="M1883" i="2"/>
  <c r="S1813" i="2"/>
  <c r="M1781" i="2"/>
  <c r="K1767" i="2"/>
  <c r="K1753" i="2"/>
  <c r="H1707" i="2"/>
  <c r="O1688" i="2"/>
  <c r="G1672" i="2"/>
  <c r="O1657" i="2"/>
  <c r="O1643" i="2"/>
  <c r="A1629" i="2"/>
  <c r="F1980" i="2"/>
  <c r="C1829" i="2"/>
  <c r="E1803" i="2"/>
  <c r="H1776" i="2"/>
  <c r="H1760" i="2"/>
  <c r="H1740" i="2"/>
  <c r="J1725" i="2"/>
  <c r="T1709" i="2"/>
  <c r="J1697" i="2"/>
  <c r="D1684" i="2"/>
  <c r="F1672" i="2"/>
  <c r="G1662" i="2"/>
  <c r="G1652" i="2"/>
  <c r="T1642" i="2"/>
  <c r="T1632" i="2"/>
  <c r="N1623" i="2"/>
  <c r="Q1862" i="2"/>
  <c r="M1818" i="2"/>
  <c r="D1797" i="2"/>
  <c r="G1778" i="2"/>
  <c r="G1766" i="2"/>
  <c r="G1754" i="2"/>
  <c r="G1742" i="2"/>
  <c r="G1730" i="2"/>
  <c r="P1717" i="2"/>
  <c r="F1706" i="2"/>
  <c r="P1693" i="2"/>
  <c r="P1669" i="2"/>
  <c r="M1661" i="2"/>
  <c r="F1880" i="2"/>
  <c r="O1828" i="2"/>
  <c r="R1808" i="2"/>
  <c r="R1790" i="2"/>
  <c r="D1776" i="2"/>
  <c r="D1764" i="2"/>
  <c r="D1752" i="2"/>
  <c r="D1740" i="2"/>
  <c r="D1728" i="2"/>
  <c r="P1716" i="2"/>
  <c r="C1706" i="2"/>
  <c r="P1684" i="2"/>
  <c r="H1674" i="2"/>
  <c r="S1914" i="2"/>
  <c r="P1841" i="2"/>
  <c r="F1816" i="2"/>
  <c r="D1798" i="2"/>
  <c r="A1781" i="2"/>
  <c r="T1768" i="2"/>
  <c r="T1756" i="2"/>
  <c r="T1744" i="2"/>
  <c r="T1732" i="2"/>
  <c r="A1721" i="2"/>
  <c r="C1767" i="2"/>
  <c r="H1705" i="2"/>
  <c r="D1672" i="2"/>
  <c r="Q1653" i="2"/>
  <c r="Q1637" i="2"/>
  <c r="D1622" i="2"/>
  <c r="G1611" i="2"/>
  <c r="M1602" i="2"/>
  <c r="F1594" i="2"/>
  <c r="F1586" i="2"/>
  <c r="F1578" i="2"/>
  <c r="S1854" i="2"/>
  <c r="F1748" i="2"/>
  <c r="O1694" i="2"/>
  <c r="O1666" i="2"/>
  <c r="M1649" i="2"/>
  <c r="M1633" i="2"/>
  <c r="T1618" i="2"/>
  <c r="A1609" i="2"/>
  <c r="G1600" i="2"/>
  <c r="E1592" i="2"/>
  <c r="E1584" i="2"/>
  <c r="E1576" i="2"/>
  <c r="S1802" i="2"/>
  <c r="E1724" i="2"/>
  <c r="T1683" i="2"/>
  <c r="E1660" i="2"/>
  <c r="E1644" i="2"/>
  <c r="E1628" i="2"/>
  <c r="C1615" i="2"/>
  <c r="C1606" i="2"/>
  <c r="P1831" i="2"/>
  <c r="H1741" i="2"/>
  <c r="O1691" i="2"/>
  <c r="Q1664" i="2"/>
  <c r="D1648" i="2"/>
  <c r="D1632" i="2"/>
  <c r="Q1617" i="2"/>
  <c r="E1608" i="2"/>
  <c r="J1599" i="2"/>
  <c r="F1792" i="2"/>
  <c r="N1718" i="2"/>
  <c r="S1680" i="2"/>
  <c r="O1658" i="2"/>
  <c r="O1642" i="2"/>
  <c r="O1626" i="2"/>
  <c r="D1614" i="2"/>
  <c r="F1605" i="2"/>
  <c r="O1596" i="2"/>
  <c r="O1588" i="2"/>
  <c r="G1924" i="2"/>
  <c r="F1758" i="2"/>
  <c r="O1700" i="2"/>
  <c r="K1669" i="2"/>
  <c r="S1651" i="2"/>
  <c r="S1635" i="2"/>
  <c r="O1620" i="2"/>
  <c r="F1610" i="2"/>
  <c r="K1601" i="2"/>
  <c r="G1593" i="2"/>
  <c r="G1585" i="2"/>
  <c r="G1577" i="2"/>
  <c r="H1782" i="2"/>
  <c r="E1714" i="2"/>
  <c r="N1677" i="2"/>
  <c r="D1657" i="2"/>
  <c r="D1641" i="2"/>
  <c r="E1768" i="2"/>
  <c r="D1706" i="2"/>
  <c r="N1672" i="2"/>
  <c r="A1654" i="2"/>
  <c r="A1638" i="2"/>
  <c r="F1622" i="2"/>
  <c r="O1602" i="2"/>
  <c r="H1594" i="2"/>
  <c r="H1586" i="2"/>
  <c r="S1836" i="2"/>
  <c r="H1743" i="2"/>
  <c r="O1692" i="2"/>
  <c r="H1665" i="2"/>
  <c r="M1648" i="2"/>
  <c r="M1632" i="2"/>
  <c r="E1618" i="2"/>
  <c r="O1599" i="2"/>
  <c r="N1591" i="2"/>
  <c r="N1583" i="2"/>
  <c r="E1688" i="2"/>
  <c r="J1621" i="2"/>
  <c r="C1595" i="2"/>
  <c r="N1577" i="2"/>
  <c r="A1568" i="2"/>
  <c r="A1560" i="2"/>
  <c r="A1552" i="2"/>
  <c r="A1544" i="2"/>
  <c r="A1536" i="2"/>
  <c r="A1528" i="2"/>
  <c r="A1520" i="2"/>
  <c r="A1512" i="2"/>
  <c r="A1504" i="2"/>
  <c r="A1496" i="2"/>
  <c r="A1488" i="2"/>
  <c r="A1480" i="2"/>
  <c r="A1472" i="2"/>
  <c r="A1464" i="2"/>
  <c r="A1456" i="2"/>
  <c r="A1448" i="2"/>
  <c r="A1440" i="2"/>
  <c r="C1757" i="2"/>
  <c r="Q1636" i="2"/>
  <c r="A1602" i="2"/>
  <c r="S1581" i="2"/>
  <c r="N1570" i="2"/>
  <c r="N1562" i="2"/>
  <c r="N1554" i="2"/>
  <c r="N1546" i="2"/>
  <c r="N1538" i="2"/>
  <c r="N1530" i="2"/>
  <c r="N1522" i="2"/>
  <c r="N1514" i="2"/>
  <c r="N1506" i="2"/>
  <c r="N1498" i="2"/>
  <c r="H2159" i="2"/>
  <c r="C1957" i="2"/>
  <c r="G2002" i="2"/>
  <c r="K1855" i="2"/>
  <c r="K2029" i="2"/>
  <c r="T1871" i="2"/>
  <c r="N1796" i="2"/>
  <c r="M1886" i="2"/>
  <c r="E1946" i="2"/>
  <c r="R1855" i="2"/>
  <c r="F1949" i="2"/>
  <c r="D1863" i="2"/>
  <c r="C1873" i="2"/>
  <c r="O1917" i="2"/>
  <c r="H1842" i="2"/>
  <c r="R1939" i="2"/>
  <c r="G1858" i="2"/>
  <c r="G1794" i="2"/>
  <c r="N1750" i="2"/>
  <c r="Q1824" i="2"/>
  <c r="M1754" i="2"/>
  <c r="M1700" i="2"/>
  <c r="H1837" i="2"/>
  <c r="R1771" i="2"/>
  <c r="K1716" i="2"/>
  <c r="Q1896" i="2"/>
  <c r="Q1767" i="2"/>
  <c r="J1738" i="2"/>
  <c r="D1711" i="2"/>
  <c r="D1687" i="2"/>
  <c r="D1900" i="2"/>
  <c r="C1795" i="2"/>
  <c r="S1754" i="2"/>
  <c r="G1719" i="2"/>
  <c r="G1687" i="2"/>
  <c r="G1665" i="2"/>
  <c r="T1643" i="2"/>
  <c r="N1626" i="2"/>
  <c r="D1872" i="2"/>
  <c r="S1800" i="2"/>
  <c r="P1769" i="2"/>
  <c r="R1742" i="2"/>
  <c r="S1960" i="2"/>
  <c r="A1816" i="2"/>
  <c r="Q1778" i="2"/>
  <c r="Q1748" i="2"/>
  <c r="A1720" i="2"/>
  <c r="A1696" i="2"/>
  <c r="N1668" i="2"/>
  <c r="E1651" i="2"/>
  <c r="E1631" i="2"/>
  <c r="R1611" i="2"/>
  <c r="S1898" i="2"/>
  <c r="Q1800" i="2"/>
  <c r="P1768" i="2"/>
  <c r="P1744" i="2"/>
  <c r="Q1720" i="2"/>
  <c r="J1699" i="2"/>
  <c r="D1678" i="2"/>
  <c r="D1835" i="2"/>
  <c r="O1794" i="2"/>
  <c r="O1766" i="2"/>
  <c r="O1742" i="2"/>
  <c r="S1718" i="2"/>
  <c r="S1702" i="2"/>
  <c r="C1685" i="2"/>
  <c r="P1667" i="2"/>
  <c r="P1657" i="2"/>
  <c r="C1647" i="2"/>
  <c r="C1627" i="2"/>
  <c r="Q1870" i="2"/>
  <c r="S1810" i="2"/>
  <c r="K1737" i="2"/>
  <c r="H1706" i="2"/>
  <c r="O1687" i="2"/>
  <c r="D1669" i="2"/>
  <c r="H1656" i="2"/>
  <c r="H1642" i="2"/>
  <c r="H1628" i="2"/>
  <c r="J1956" i="2"/>
  <c r="J1827" i="2"/>
  <c r="E1797" i="2"/>
  <c r="J1775" i="2"/>
  <c r="H1756" i="2"/>
  <c r="J1739" i="2"/>
  <c r="H1724" i="2"/>
  <c r="T1708" i="2"/>
  <c r="N1695" i="2"/>
  <c r="G1683" i="2"/>
  <c r="J1671" i="2"/>
  <c r="N1661" i="2"/>
  <c r="N1651" i="2"/>
  <c r="N1641" i="2"/>
  <c r="G1632" i="2"/>
  <c r="T1622" i="2"/>
  <c r="J1855" i="2"/>
  <c r="C1817" i="2"/>
  <c r="D1794" i="2"/>
  <c r="S1716" i="2"/>
  <c r="S1692" i="2"/>
  <c r="A1669" i="2"/>
  <c r="S1660" i="2"/>
  <c r="Q1874" i="2"/>
  <c r="O1826" i="2"/>
  <c r="E1807" i="2"/>
  <c r="E1789" i="2"/>
  <c r="A1775" i="2"/>
  <c r="A1763" i="2"/>
  <c r="A1751" i="2"/>
  <c r="A1739" i="2"/>
  <c r="A1727" i="2"/>
  <c r="P1715" i="2"/>
  <c r="C1705" i="2"/>
  <c r="P1683" i="2"/>
  <c r="M1673" i="2"/>
  <c r="P1664" i="2"/>
  <c r="P1656" i="2"/>
  <c r="P1648" i="2"/>
  <c r="P1640" i="2"/>
  <c r="P1632" i="2"/>
  <c r="P1624" i="2"/>
  <c r="P1616" i="2"/>
  <c r="M1907" i="2"/>
  <c r="J1839" i="2"/>
  <c r="Q1814" i="2"/>
  <c r="Q1796" i="2"/>
  <c r="C1780" i="2"/>
  <c r="C1768" i="2"/>
  <c r="C1756" i="2"/>
  <c r="C1744" i="2"/>
  <c r="C1732" i="2"/>
  <c r="F1974" i="2"/>
  <c r="C1761" i="2"/>
  <c r="O1701" i="2"/>
  <c r="G1670" i="2"/>
  <c r="J1652" i="2"/>
  <c r="J1636" i="2"/>
  <c r="C1621" i="2"/>
  <c r="M1610" i="2"/>
  <c r="Q1601" i="2"/>
  <c r="M1593" i="2"/>
  <c r="M1585" i="2"/>
  <c r="M1577" i="2"/>
  <c r="O1834" i="2"/>
  <c r="F1742" i="2"/>
  <c r="A1692" i="2"/>
  <c r="D1665" i="2"/>
  <c r="F1648" i="2"/>
  <c r="F1632" i="2"/>
  <c r="A1618" i="2"/>
  <c r="G1608" i="2"/>
  <c r="M1599" i="2"/>
  <c r="K1591" i="2"/>
  <c r="K1583" i="2"/>
  <c r="K1575" i="2"/>
  <c r="S1793" i="2"/>
  <c r="H1719" i="2"/>
  <c r="G1681" i="2"/>
  <c r="R1658" i="2"/>
  <c r="R1642" i="2"/>
  <c r="R1626" i="2"/>
  <c r="F1614" i="2"/>
  <c r="H1605" i="2"/>
  <c r="H1735" i="2"/>
  <c r="A1689" i="2"/>
  <c r="F1663" i="2"/>
  <c r="Q1646" i="2"/>
  <c r="Q1630" i="2"/>
  <c r="R1616" i="2"/>
  <c r="J1607" i="2"/>
  <c r="P1598" i="2"/>
  <c r="P1590" i="2"/>
  <c r="P1582" i="2"/>
  <c r="P1574" i="2"/>
  <c r="J1783" i="2"/>
  <c r="T1714" i="2"/>
  <c r="F1678" i="2"/>
  <c r="H1657" i="2"/>
  <c r="H1641" i="2"/>
  <c r="H1625" i="2"/>
  <c r="G1613" i="2"/>
  <c r="J1604" i="2"/>
  <c r="A1596" i="2"/>
  <c r="A1588" i="2"/>
  <c r="Q1882" i="2"/>
  <c r="F1752" i="2"/>
  <c r="A1697" i="2"/>
  <c r="Q1667" i="2"/>
  <c r="M1650" i="2"/>
  <c r="M1634" i="2"/>
  <c r="N1619" i="2"/>
  <c r="K1609" i="2"/>
  <c r="Q1600" i="2"/>
  <c r="N1592" i="2"/>
  <c r="N1584" i="2"/>
  <c r="N1576" i="2"/>
  <c r="E1776" i="2"/>
  <c r="O1710" i="2"/>
  <c r="G1675" i="2"/>
  <c r="Q1655" i="2"/>
  <c r="Q1639" i="2"/>
  <c r="E1762" i="2"/>
  <c r="N1702" i="2"/>
  <c r="K1670" i="2"/>
  <c r="O1652" i="2"/>
  <c r="O1636" i="2"/>
  <c r="F1621" i="2"/>
  <c r="O1610" i="2"/>
  <c r="T1601" i="2"/>
  <c r="O1593" i="2"/>
  <c r="O1585" i="2"/>
  <c r="Q1823" i="2"/>
  <c r="H1737" i="2"/>
  <c r="A1690" i="2"/>
  <c r="Q1663" i="2"/>
  <c r="F1647" i="2"/>
  <c r="F1631" i="2"/>
  <c r="D1617" i="2"/>
  <c r="O1607" i="2"/>
  <c r="T1598" i="2"/>
  <c r="T1590" i="2"/>
  <c r="T1582" i="2"/>
  <c r="K1677" i="2"/>
  <c r="F1593" i="2"/>
  <c r="K1576" i="2"/>
  <c r="H1567" i="2"/>
  <c r="H1559" i="2"/>
  <c r="H1551" i="2"/>
  <c r="H1543" i="2"/>
  <c r="H1535" i="2"/>
  <c r="H1527" i="2"/>
  <c r="H1519" i="2"/>
  <c r="H1511" i="2"/>
  <c r="H1503" i="2"/>
  <c r="H1495" i="2"/>
  <c r="H1487" i="2"/>
  <c r="H1479" i="2"/>
  <c r="H1471" i="2"/>
  <c r="H1463" i="2"/>
  <c r="H1455" i="2"/>
  <c r="H1447" i="2"/>
  <c r="H1439" i="2"/>
  <c r="C1733" i="2"/>
  <c r="Q1632" i="2"/>
  <c r="Q1599" i="2"/>
  <c r="K1580" i="2"/>
  <c r="T1569" i="2"/>
  <c r="T1561" i="2"/>
  <c r="T1553" i="2"/>
  <c r="T1545" i="2"/>
  <c r="T1537" i="2"/>
  <c r="T1529" i="2"/>
  <c r="T1521" i="2"/>
  <c r="T1513" i="2"/>
  <c r="T1505" i="2"/>
  <c r="G1990" i="2"/>
  <c r="A1916" i="2"/>
  <c r="K1940" i="2"/>
  <c r="T1869" i="2"/>
  <c r="T1795" i="2"/>
  <c r="S1885" i="2"/>
  <c r="M1937" i="2"/>
  <c r="E1855" i="2"/>
  <c r="J1862" i="2"/>
  <c r="C1909" i="2"/>
  <c r="O1901" i="2"/>
  <c r="H1826" i="2"/>
  <c r="N1915" i="2"/>
  <c r="N1843" i="2"/>
  <c r="S2002" i="2"/>
  <c r="Q1832" i="2"/>
  <c r="T1749" i="2"/>
  <c r="M1823" i="2"/>
  <c r="S1753" i="2"/>
  <c r="M1698" i="2"/>
  <c r="D1834" i="2"/>
  <c r="K1760" i="2"/>
  <c r="K1706" i="2"/>
  <c r="D1847" i="2"/>
  <c r="H1791" i="2"/>
  <c r="Q1765" i="2"/>
  <c r="J1736" i="2"/>
  <c r="Q1709" i="2"/>
  <c r="Q1685" i="2"/>
  <c r="F1894" i="2"/>
  <c r="P1793" i="2"/>
  <c r="A1754" i="2"/>
  <c r="G1718" i="2"/>
  <c r="G1686" i="2"/>
  <c r="N1662" i="2"/>
  <c r="G1643" i="2"/>
  <c r="G1625" i="2"/>
  <c r="S1846" i="2"/>
  <c r="F1799" i="2"/>
  <c r="R1768" i="2"/>
  <c r="R1738" i="2"/>
  <c r="M1715" i="2"/>
  <c r="F1912" i="2"/>
  <c r="E1814" i="2"/>
  <c r="Q1776" i="2"/>
  <c r="Q1744" i="2"/>
  <c r="A1719" i="2"/>
  <c r="H1692" i="2"/>
  <c r="R1667" i="2"/>
  <c r="R1649" i="2"/>
  <c r="K1628" i="2"/>
  <c r="E1611" i="2"/>
  <c r="J1871" i="2"/>
  <c r="D1799" i="2"/>
  <c r="P1766" i="2"/>
  <c r="P1742" i="2"/>
  <c r="T1718" i="2"/>
  <c r="N1697" i="2"/>
  <c r="A1830" i="2"/>
  <c r="P1791" i="2"/>
  <c r="O1764" i="2"/>
  <c r="O1740" i="2"/>
  <c r="C1717" i="2"/>
  <c r="F1684" i="2"/>
  <c r="C1667" i="2"/>
  <c r="C1657" i="2"/>
  <c r="P1635" i="2"/>
  <c r="J1863" i="2"/>
  <c r="F1809" i="2"/>
  <c r="K1779" i="2"/>
  <c r="K1765" i="2"/>
  <c r="K1721" i="2"/>
  <c r="O1704" i="2"/>
  <c r="A1686" i="2"/>
  <c r="O1655" i="2"/>
  <c r="O1641" i="2"/>
  <c r="O1627" i="2"/>
  <c r="S1910" i="2"/>
  <c r="K1825" i="2"/>
  <c r="R1795" i="2"/>
  <c r="H1774" i="2"/>
  <c r="J1755" i="2"/>
  <c r="H1738" i="2"/>
  <c r="H1722" i="2"/>
  <c r="D1708" i="2"/>
  <c r="Q1694" i="2"/>
  <c r="G1682" i="2"/>
  <c r="O1670" i="2"/>
  <c r="G1660" i="2"/>
  <c r="T1650" i="2"/>
  <c r="T1640" i="2"/>
  <c r="N1631" i="2"/>
  <c r="S1978" i="2"/>
  <c r="Q1845" i="2"/>
  <c r="D1815" i="2"/>
  <c r="Q1792" i="2"/>
  <c r="G1776" i="2"/>
  <c r="G1764" i="2"/>
  <c r="G1752" i="2"/>
  <c r="G1740" i="2"/>
  <c r="G1728" i="2"/>
  <c r="C1716" i="2"/>
  <c r="C1692" i="2"/>
  <c r="M1679" i="2"/>
  <c r="G1668" i="2"/>
  <c r="Q1974" i="2"/>
  <c r="J1867" i="2"/>
  <c r="D1825" i="2"/>
  <c r="R1805" i="2"/>
  <c r="R1787" i="2"/>
  <c r="D1774" i="2"/>
  <c r="D1762" i="2"/>
  <c r="D1750" i="2"/>
  <c r="D1738" i="2"/>
  <c r="D1726" i="2"/>
  <c r="S1714" i="2"/>
  <c r="F1704" i="2"/>
  <c r="M1693" i="2"/>
  <c r="S1682" i="2"/>
  <c r="Q1672" i="2"/>
  <c r="C1664" i="2"/>
  <c r="C1656" i="2"/>
  <c r="C1648" i="2"/>
  <c r="C1640" i="2"/>
  <c r="C1632" i="2"/>
  <c r="C1624" i="2"/>
  <c r="C1616" i="2"/>
  <c r="F1900" i="2"/>
  <c r="J1836" i="2"/>
  <c r="D1813" i="2"/>
  <c r="D1795" i="2"/>
  <c r="T1778" i="2"/>
  <c r="T1766" i="2"/>
  <c r="T1754" i="2"/>
  <c r="T1742" i="2"/>
  <c r="T1730" i="2"/>
  <c r="Q1902" i="2"/>
  <c r="C1755" i="2"/>
  <c r="E1698" i="2"/>
  <c r="K1668" i="2"/>
  <c r="D1651" i="2"/>
  <c r="D1635" i="2"/>
  <c r="D1620" i="2"/>
  <c r="Q1609" i="2"/>
  <c r="C1601" i="2"/>
  <c r="S1592" i="2"/>
  <c r="S1584" i="2"/>
  <c r="S1576" i="2"/>
  <c r="S1821" i="2"/>
  <c r="F1736" i="2"/>
  <c r="H1689" i="2"/>
  <c r="J1663" i="2"/>
  <c r="S1646" i="2"/>
  <c r="S1630" i="2"/>
  <c r="T1616" i="2"/>
  <c r="M1607" i="2"/>
  <c r="R1598" i="2"/>
  <c r="R1590" i="2"/>
  <c r="R1582" i="2"/>
  <c r="R1574" i="2"/>
  <c r="S1784" i="2"/>
  <c r="O1715" i="2"/>
  <c r="N1678" i="2"/>
  <c r="K1657" i="2"/>
  <c r="K1641" i="2"/>
  <c r="K1625" i="2"/>
  <c r="J1613" i="2"/>
  <c r="N1604" i="2"/>
  <c r="O1810" i="2"/>
  <c r="H1729" i="2"/>
  <c r="H1686" i="2"/>
  <c r="K1661" i="2"/>
  <c r="J1645" i="2"/>
  <c r="J1629" i="2"/>
  <c r="S1615" i="2"/>
  <c r="P1606" i="2"/>
  <c r="C1598" i="2"/>
  <c r="C1590" i="2"/>
  <c r="C1582" i="2"/>
  <c r="C1574" i="2"/>
  <c r="C1777" i="2"/>
  <c r="J1711" i="2"/>
  <c r="P1675" i="2"/>
  <c r="A1656" i="2"/>
  <c r="A1640" i="2"/>
  <c r="A1624" i="2"/>
  <c r="J1612" i="2"/>
  <c r="P1603" i="2"/>
  <c r="H1595" i="2"/>
  <c r="H1587" i="2"/>
  <c r="C1845" i="2"/>
  <c r="F1746" i="2"/>
  <c r="O1693" i="2"/>
  <c r="D1666" i="2"/>
  <c r="F1649" i="2"/>
  <c r="F1633" i="2"/>
  <c r="O1618" i="2"/>
  <c r="Q1608" i="2"/>
  <c r="C1600" i="2"/>
  <c r="T1591" i="2"/>
  <c r="T1583" i="2"/>
  <c r="T1575" i="2"/>
  <c r="E1770" i="2"/>
  <c r="A1707" i="2"/>
  <c r="G1673" i="2"/>
  <c r="J1654" i="2"/>
  <c r="F1908" i="2"/>
  <c r="E1756" i="2"/>
  <c r="T1698" i="2"/>
  <c r="Q1668" i="2"/>
  <c r="H1651" i="2"/>
  <c r="H1635" i="2"/>
  <c r="F1620" i="2"/>
  <c r="N1983" i="2"/>
  <c r="F1986" i="2"/>
  <c r="H1915" i="2"/>
  <c r="K1932" i="2"/>
  <c r="T1853" i="2"/>
  <c r="H2041" i="2"/>
  <c r="S1869" i="2"/>
  <c r="K1914" i="2"/>
  <c r="E1839" i="2"/>
  <c r="O1920" i="2"/>
  <c r="F1990" i="2"/>
  <c r="P1849" i="2"/>
  <c r="O1899" i="2"/>
  <c r="O1825" i="2"/>
  <c r="T1914" i="2"/>
  <c r="T1842" i="2"/>
  <c r="S1968" i="2"/>
  <c r="D1831" i="2"/>
  <c r="G1749" i="2"/>
  <c r="J1822" i="2"/>
  <c r="F1753" i="2"/>
  <c r="S1697" i="2"/>
  <c r="H1829" i="2"/>
  <c r="R1759" i="2"/>
  <c r="K1704" i="2"/>
  <c r="D1845" i="2"/>
  <c r="J1758" i="2"/>
  <c r="J1730" i="2"/>
  <c r="J1704" i="2"/>
  <c r="J1680" i="2"/>
  <c r="M1879" i="2"/>
  <c r="O1790" i="2"/>
  <c r="A1752" i="2"/>
  <c r="N1716" i="2"/>
  <c r="N1684" i="2"/>
  <c r="T1659" i="2"/>
  <c r="N1642" i="2"/>
  <c r="N1622" i="2"/>
  <c r="S1797" i="2"/>
  <c r="R1766" i="2"/>
  <c r="R1734" i="2"/>
  <c r="C1712" i="2"/>
  <c r="Q1906" i="2"/>
  <c r="R1812" i="2"/>
  <c r="Q1772" i="2"/>
  <c r="O1743" i="2"/>
  <c r="H1717" i="2"/>
  <c r="R1688" i="2"/>
  <c r="E1667" i="2"/>
  <c r="E1647" i="2"/>
  <c r="R1627" i="2"/>
  <c r="R1609" i="2"/>
  <c r="J1846" i="2"/>
  <c r="Q1797" i="2"/>
  <c r="N1765" i="2"/>
  <c r="N1741" i="2"/>
  <c r="D1718" i="2"/>
  <c r="Q1696" i="2"/>
  <c r="N1675" i="2"/>
  <c r="M1827" i="2"/>
  <c r="A1790" i="2"/>
  <c r="M1763" i="2"/>
  <c r="M1739" i="2"/>
  <c r="F1716" i="2"/>
  <c r="C1635" i="2"/>
  <c r="P1625" i="2"/>
  <c r="D1843" i="2"/>
  <c r="F1806" i="2"/>
  <c r="K1749" i="2"/>
  <c r="O1720" i="2"/>
  <c r="O1703" i="2"/>
  <c r="A1685" i="2"/>
  <c r="O1667" i="2"/>
  <c r="A1653" i="2"/>
  <c r="H1640" i="2"/>
  <c r="H1626" i="2"/>
  <c r="M1903" i="2"/>
  <c r="A1824" i="2"/>
  <c r="E1794" i="2"/>
  <c r="J1773" i="2"/>
  <c r="H1754" i="2"/>
  <c r="J1737" i="2"/>
  <c r="N1720" i="2"/>
  <c r="G1706" i="2"/>
  <c r="T1693" i="2"/>
  <c r="J1681" i="2"/>
  <c r="R1669" i="2"/>
  <c r="N1659" i="2"/>
  <c r="N1649" i="2"/>
  <c r="G1640" i="2"/>
  <c r="T1630" i="2"/>
  <c r="D1955" i="2"/>
  <c r="S1842" i="2"/>
  <c r="D1812" i="2"/>
  <c r="D1791" i="2"/>
  <c r="C1715" i="2"/>
  <c r="M1703" i="2"/>
  <c r="F1690" i="2"/>
  <c r="P1678" i="2"/>
  <c r="M1667" i="2"/>
  <c r="D1972" i="2"/>
  <c r="D1860" i="2"/>
  <c r="F1823" i="2"/>
  <c r="E1804" i="2"/>
  <c r="E1786" i="2"/>
  <c r="A1773" i="2"/>
  <c r="A1761" i="2"/>
  <c r="A1749" i="2"/>
  <c r="A1737" i="2"/>
  <c r="A1725" i="2"/>
  <c r="C1714" i="2"/>
  <c r="P1692" i="2"/>
  <c r="C1682" i="2"/>
  <c r="A1672" i="2"/>
  <c r="Q1894" i="2"/>
  <c r="M1833" i="2"/>
  <c r="Q1811" i="2"/>
  <c r="Q1793" i="2"/>
  <c r="C1778" i="2"/>
  <c r="C1766" i="2"/>
  <c r="C1754" i="2"/>
  <c r="C1742" i="2"/>
  <c r="C1730" i="2"/>
  <c r="F1860" i="2"/>
  <c r="C1749" i="2"/>
  <c r="C1695" i="2"/>
  <c r="Q1666" i="2"/>
  <c r="Q1649" i="2"/>
  <c r="Q1633" i="2"/>
  <c r="C1619" i="2"/>
  <c r="C1609" i="2"/>
  <c r="H1600" i="2"/>
  <c r="F1592" i="2"/>
  <c r="F1584" i="2"/>
  <c r="F1576" i="2"/>
  <c r="A1812" i="2"/>
  <c r="F1730" i="2"/>
  <c r="O1686" i="2"/>
  <c r="S1661" i="2"/>
  <c r="M1645" i="2"/>
  <c r="M1629" i="2"/>
  <c r="D1616" i="2"/>
  <c r="R1606" i="2"/>
  <c r="E1598" i="2"/>
  <c r="E1590" i="2"/>
  <c r="E1582" i="2"/>
  <c r="E1574" i="2"/>
  <c r="E1778" i="2"/>
  <c r="E1712" i="2"/>
  <c r="C1676" i="2"/>
  <c r="E1656" i="2"/>
  <c r="E1640" i="2"/>
  <c r="E1624" i="2"/>
  <c r="N1612" i="2"/>
  <c r="S1603" i="2"/>
  <c r="P1801" i="2"/>
  <c r="H1723" i="2"/>
  <c r="O1683" i="2"/>
  <c r="D1660" i="2"/>
  <c r="D1644" i="2"/>
  <c r="D1628" i="2"/>
  <c r="A1615" i="2"/>
  <c r="A1606" i="2"/>
  <c r="C1771" i="2"/>
  <c r="T1707" i="2"/>
  <c r="K1673" i="2"/>
  <c r="O1654" i="2"/>
  <c r="O1638" i="2"/>
  <c r="Q1622" i="2"/>
  <c r="P1611" i="2"/>
  <c r="A1603" i="2"/>
  <c r="O1594" i="2"/>
  <c r="O1586" i="2"/>
  <c r="R1828" i="2"/>
  <c r="F1740" i="2"/>
  <c r="A1691" i="2"/>
  <c r="M1664" i="2"/>
  <c r="S1647" i="2"/>
  <c r="S1631" i="2"/>
  <c r="N1617" i="2"/>
  <c r="C1608" i="2"/>
  <c r="H1599" i="2"/>
  <c r="G1591" i="2"/>
  <c r="G1583" i="2"/>
  <c r="G1575" i="2"/>
  <c r="E1764" i="2"/>
  <c r="K1703" i="2"/>
  <c r="G1671" i="2"/>
  <c r="D1653" i="2"/>
  <c r="M1867" i="2"/>
  <c r="E1750" i="2"/>
  <c r="J1695" i="2"/>
  <c r="D1667" i="2"/>
  <c r="A1650" i="2"/>
  <c r="A1634" i="2"/>
  <c r="F1619" i="2"/>
  <c r="F1609" i="2"/>
  <c r="J1600" i="2"/>
  <c r="H1592" i="2"/>
  <c r="H1584" i="2"/>
  <c r="O1804" i="2"/>
  <c r="H1725" i="2"/>
  <c r="O1684" i="2"/>
  <c r="M1660" i="2"/>
  <c r="M1644" i="2"/>
  <c r="M1628" i="2"/>
  <c r="H1615" i="2"/>
  <c r="F1606" i="2"/>
  <c r="Q2024" i="2"/>
  <c r="G1926" i="2"/>
  <c r="C1894" i="2"/>
  <c r="P1872" i="2"/>
  <c r="C1790" i="2"/>
  <c r="H1891" i="2"/>
  <c r="T1911" i="2"/>
  <c r="N1836" i="2"/>
  <c r="Q1929" i="2"/>
  <c r="M1852" i="2"/>
  <c r="R1895" i="2"/>
  <c r="K1818" i="2"/>
  <c r="D1903" i="2"/>
  <c r="P1923" i="2"/>
  <c r="H1882" i="2"/>
  <c r="O1803" i="2"/>
  <c r="N1897" i="2"/>
  <c r="T1826" i="2"/>
  <c r="D1848" i="2"/>
  <c r="M1804" i="2"/>
  <c r="G1733" i="2"/>
  <c r="K1799" i="2"/>
  <c r="M1738" i="2"/>
  <c r="M1684" i="2"/>
  <c r="J1809" i="2"/>
  <c r="K1746" i="2"/>
  <c r="E1691" i="2"/>
  <c r="H1803" i="2"/>
  <c r="Q1755" i="2"/>
  <c r="J1726" i="2"/>
  <c r="Q1701" i="2"/>
  <c r="Q1677" i="2"/>
  <c r="J1833" i="2"/>
  <c r="A1778" i="2"/>
  <c r="A1742" i="2"/>
  <c r="N1707" i="2"/>
  <c r="O1676" i="2"/>
  <c r="G1657" i="2"/>
  <c r="T1635" i="2"/>
  <c r="N1618" i="2"/>
  <c r="P1757" i="2"/>
  <c r="R1730" i="2"/>
  <c r="Q1858" i="2"/>
  <c r="R1797" i="2"/>
  <c r="Q1766" i="2"/>
  <c r="Q1736" i="2"/>
  <c r="H1709" i="2"/>
  <c r="H1685" i="2"/>
  <c r="K1660" i="2"/>
  <c r="E1643" i="2"/>
  <c r="E1623" i="2"/>
  <c r="R1603" i="2"/>
  <c r="H1835" i="2"/>
  <c r="C1783" i="2"/>
  <c r="N1757" i="2"/>
  <c r="N1733" i="2"/>
  <c r="T1710" i="2"/>
  <c r="N1689" i="2"/>
  <c r="F1904" i="2"/>
  <c r="A1814" i="2"/>
  <c r="M1779" i="2"/>
  <c r="M1755" i="2"/>
  <c r="M1731" i="2"/>
  <c r="M1713" i="2"/>
  <c r="S1694" i="2"/>
  <c r="C1678" i="2"/>
  <c r="C1633" i="2"/>
  <c r="P1623" i="2"/>
  <c r="D1832" i="2"/>
  <c r="F1797" i="2"/>
  <c r="K1745" i="2"/>
  <c r="K1731" i="2"/>
  <c r="A1717" i="2"/>
  <c r="H1698" i="2"/>
  <c r="R1678" i="2"/>
  <c r="H1664" i="2"/>
  <c r="H1650" i="2"/>
  <c r="H1636" i="2"/>
  <c r="O1623" i="2"/>
  <c r="D1876" i="2"/>
  <c r="R1813" i="2"/>
  <c r="E1788" i="2"/>
  <c r="J1767" i="2"/>
  <c r="H1750" i="2"/>
  <c r="H1732" i="2"/>
  <c r="T1716" i="2"/>
  <c r="N1703" i="2"/>
  <c r="G1691" i="2"/>
  <c r="T1677" i="2"/>
  <c r="T1666" i="2"/>
  <c r="T1656" i="2"/>
  <c r="N1647" i="2"/>
  <c r="G1638" i="2"/>
  <c r="G1628" i="2"/>
  <c r="Q1910" i="2"/>
  <c r="Q1831" i="2"/>
  <c r="Q1807" i="2"/>
  <c r="Q1786" i="2"/>
  <c r="G1772" i="2"/>
  <c r="G1760" i="2"/>
  <c r="G1748" i="2"/>
  <c r="G1736" i="2"/>
  <c r="G1724" i="2"/>
  <c r="C1700" i="2"/>
  <c r="P1686" i="2"/>
  <c r="M1665" i="2"/>
  <c r="J1923" i="2"/>
  <c r="Q1844" i="2"/>
  <c r="F1818" i="2"/>
  <c r="R1799" i="2"/>
  <c r="F1782" i="2"/>
  <c r="D1770" i="2"/>
  <c r="D1758" i="2"/>
  <c r="D1746" i="2"/>
  <c r="D1734" i="2"/>
  <c r="D1722" i="2"/>
  <c r="P1700" i="2"/>
  <c r="C1690" i="2"/>
  <c r="M1669" i="2"/>
  <c r="F1874" i="2"/>
  <c r="M1826" i="2"/>
  <c r="D1807" i="2"/>
  <c r="D1789" i="2"/>
  <c r="T1774" i="2"/>
  <c r="T1762" i="2"/>
  <c r="T1750" i="2"/>
  <c r="T1738" i="2"/>
  <c r="T1726" i="2"/>
  <c r="F1813" i="2"/>
  <c r="C1731" i="2"/>
  <c r="C1687" i="2"/>
  <c r="A1662" i="2"/>
  <c r="Q1645" i="2"/>
  <c r="Q1629" i="2"/>
  <c r="E1616" i="2"/>
  <c r="S1606" i="2"/>
  <c r="F1598" i="2"/>
  <c r="F1590" i="2"/>
  <c r="F1582" i="2"/>
  <c r="F1574" i="2"/>
  <c r="C1785" i="2"/>
  <c r="T1715" i="2"/>
  <c r="O1678" i="2"/>
  <c r="M1657" i="2"/>
  <c r="M1641" i="2"/>
  <c r="M1625" i="2"/>
  <c r="K1613" i="2"/>
  <c r="O1604" i="2"/>
  <c r="E1596" i="2"/>
  <c r="E1588" i="2"/>
  <c r="E1580" i="2"/>
  <c r="D1950" i="2"/>
  <c r="E1760" i="2"/>
  <c r="K1701" i="2"/>
  <c r="C1670" i="2"/>
  <c r="E1652" i="2"/>
  <c r="E1636" i="2"/>
  <c r="S1620" i="2"/>
  <c r="O1601" i="2"/>
  <c r="H1777" i="2"/>
  <c r="K1711" i="2"/>
  <c r="T1675" i="2"/>
  <c r="D1656" i="2"/>
  <c r="D1640" i="2"/>
  <c r="D1624" i="2"/>
  <c r="M1612" i="2"/>
  <c r="Q1603" i="2"/>
  <c r="D1888" i="2"/>
  <c r="C1753" i="2"/>
  <c r="G1697" i="2"/>
  <c r="T1667" i="2"/>
  <c r="O1650" i="2"/>
  <c r="O1634" i="2"/>
  <c r="P1619" i="2"/>
  <c r="M1609" i="2"/>
  <c r="R1600" i="2"/>
  <c r="O1592" i="2"/>
  <c r="O1584" i="2"/>
  <c r="A1800" i="2"/>
  <c r="F1722" i="2"/>
  <c r="A1683" i="2"/>
  <c r="S1659" i="2"/>
  <c r="S1643" i="2"/>
  <c r="S1627" i="2"/>
  <c r="S1614" i="2"/>
  <c r="S1605" i="2"/>
  <c r="G1597" i="2"/>
  <c r="G1589" i="2"/>
  <c r="G1581" i="2"/>
  <c r="S1844" i="2"/>
  <c r="E1746" i="2"/>
  <c r="N1693" i="2"/>
  <c r="A1666" i="2"/>
  <c r="D1649" i="2"/>
  <c r="S1814" i="2"/>
  <c r="E1732" i="2"/>
  <c r="J1687" i="2"/>
  <c r="E1662" i="2"/>
  <c r="A1646" i="2"/>
  <c r="A1630" i="2"/>
  <c r="G1616" i="2"/>
  <c r="A1607" i="2"/>
  <c r="H1598" i="2"/>
  <c r="H1590" i="2"/>
  <c r="H1582" i="2"/>
  <c r="H1779" i="2"/>
  <c r="A1713" i="2"/>
  <c r="P1676" i="2"/>
  <c r="M1656" i="2"/>
  <c r="M1640" i="2"/>
  <c r="M1624" i="2"/>
  <c r="R1612" i="2"/>
  <c r="H1935" i="2"/>
  <c r="S2030" i="2"/>
  <c r="P1806" i="2"/>
  <c r="H1887" i="2"/>
  <c r="T1909" i="2"/>
  <c r="T1835" i="2"/>
  <c r="J1928" i="2"/>
  <c r="M1848" i="2"/>
  <c r="E1895" i="2"/>
  <c r="K1816" i="2"/>
  <c r="J1902" i="2"/>
  <c r="S1922" i="2"/>
  <c r="O1881" i="2"/>
  <c r="A1803" i="2"/>
  <c r="N1893" i="2"/>
  <c r="G1826" i="2"/>
  <c r="P1845" i="2"/>
  <c r="R1782" i="2"/>
  <c r="T1721" i="2"/>
  <c r="Q1782" i="2"/>
  <c r="M1728" i="2"/>
  <c r="F1673" i="2"/>
  <c r="J1808" i="2"/>
  <c r="K1744" i="2"/>
  <c r="K1690" i="2"/>
  <c r="P1825" i="2"/>
  <c r="J1780" i="2"/>
  <c r="D1749" i="2"/>
  <c r="J1720" i="2"/>
  <c r="J1696" i="2"/>
  <c r="J1672" i="2"/>
  <c r="J1828" i="2"/>
  <c r="A1776" i="2"/>
  <c r="A1740" i="2"/>
  <c r="T1705" i="2"/>
  <c r="R1675" i="2"/>
  <c r="N1654" i="2"/>
  <c r="G1635" i="2"/>
  <c r="G1617" i="2"/>
  <c r="E1783" i="2"/>
  <c r="R1756" i="2"/>
  <c r="R1726" i="2"/>
  <c r="H1841" i="2"/>
  <c r="E1796" i="2"/>
  <c r="Q1764" i="2"/>
  <c r="Q1732" i="2"/>
  <c r="H1708" i="2"/>
  <c r="O1681" i="2"/>
  <c r="R1659" i="2"/>
  <c r="R1641" i="2"/>
  <c r="K1620" i="2"/>
  <c r="E1603" i="2"/>
  <c r="E1826" i="2"/>
  <c r="P1781" i="2"/>
  <c r="P1756" i="2"/>
  <c r="P1732" i="2"/>
  <c r="D1710" i="2"/>
  <c r="Q1688" i="2"/>
  <c r="Q1898" i="2"/>
  <c r="O1812" i="2"/>
  <c r="O1778" i="2"/>
  <c r="O1754" i="2"/>
  <c r="O1730" i="2"/>
  <c r="C1710" i="2"/>
  <c r="F1692" i="2"/>
  <c r="E1677" i="2"/>
  <c r="C1663" i="2"/>
  <c r="P1651" i="2"/>
  <c r="P1641" i="2"/>
  <c r="F2004" i="2"/>
  <c r="Q1829" i="2"/>
  <c r="S1795" i="2"/>
  <c r="K1773" i="2"/>
  <c r="H1715" i="2"/>
  <c r="O1696" i="2"/>
  <c r="A1678" i="2"/>
  <c r="O1663" i="2"/>
  <c r="O1649" i="2"/>
  <c r="O1635" i="2"/>
  <c r="A1621" i="2"/>
  <c r="S1862" i="2"/>
  <c r="E1812" i="2"/>
  <c r="R1786" i="2"/>
  <c r="H1766" i="2"/>
  <c r="J1749" i="2"/>
  <c r="J1731" i="2"/>
  <c r="D1716" i="2"/>
  <c r="Q1702" i="2"/>
  <c r="G1690" i="2"/>
  <c r="A1677" i="2"/>
  <c r="N1665" i="2"/>
  <c r="G1656" i="2"/>
  <c r="T1646" i="2"/>
  <c r="N1637" i="2"/>
  <c r="N1627" i="2"/>
  <c r="D1896" i="2"/>
  <c r="S1828" i="2"/>
  <c r="D1806" i="2"/>
  <c r="D1785" i="2"/>
  <c r="M1711" i="2"/>
  <c r="C1699" i="2"/>
  <c r="P1685" i="2"/>
  <c r="N1674" i="2"/>
  <c r="S1664" i="2"/>
  <c r="J1915" i="2"/>
  <c r="Q1841" i="2"/>
  <c r="E1798" i="2"/>
  <c r="C1781" i="2"/>
  <c r="A1769" i="2"/>
  <c r="A1757" i="2"/>
  <c r="A1745" i="2"/>
  <c r="A1733" i="2"/>
  <c r="C1721" i="2"/>
  <c r="P1699" i="2"/>
  <c r="C1689" i="2"/>
  <c r="R1668" i="2"/>
  <c r="P1660" i="2"/>
  <c r="P1652" i="2"/>
  <c r="P1644" i="2"/>
  <c r="P1636" i="2"/>
  <c r="P1628" i="2"/>
  <c r="P1620" i="2"/>
  <c r="P1612" i="2"/>
  <c r="S1866" i="2"/>
  <c r="C1825" i="2"/>
  <c r="Q1805" i="2"/>
  <c r="Q1787" i="2"/>
  <c r="C1774" i="2"/>
  <c r="C1762" i="2"/>
  <c r="C1750" i="2"/>
  <c r="C1738" i="2"/>
  <c r="C1726" i="2"/>
  <c r="F1804" i="2"/>
  <c r="C1725" i="2"/>
  <c r="J1660" i="2"/>
  <c r="J1644" i="2"/>
  <c r="J1628" i="2"/>
  <c r="F1615" i="2"/>
  <c r="E1606" i="2"/>
  <c r="M1597" i="2"/>
  <c r="M1589" i="2"/>
  <c r="M1581" i="2"/>
  <c r="M1573" i="2"/>
  <c r="F1778" i="2"/>
  <c r="G1712" i="2"/>
  <c r="D1676" i="2"/>
  <c r="F1656" i="2"/>
  <c r="F1640" i="2"/>
  <c r="F1624" i="2"/>
  <c r="O1612" i="2"/>
  <c r="T1603" i="2"/>
  <c r="K1595" i="2"/>
  <c r="K1587" i="2"/>
  <c r="K1579" i="2"/>
  <c r="J1895" i="2"/>
  <c r="E1754" i="2"/>
  <c r="A1698" i="2"/>
  <c r="E1668" i="2"/>
  <c r="R1650" i="2"/>
  <c r="R1634" i="2"/>
  <c r="S1619" i="2"/>
  <c r="O1609" i="2"/>
  <c r="T1600" i="2"/>
  <c r="H1771" i="2"/>
  <c r="A1708" i="2"/>
  <c r="N1673" i="2"/>
  <c r="Q1654" i="2"/>
  <c r="Q1638" i="2"/>
  <c r="R1622" i="2"/>
  <c r="Q1611" i="2"/>
  <c r="C1603" i="2"/>
  <c r="P1594" i="2"/>
  <c r="P1586" i="2"/>
  <c r="P1578" i="2"/>
  <c r="S1848" i="2"/>
  <c r="C1747" i="2"/>
  <c r="F1694" i="2"/>
  <c r="E1666" i="2"/>
  <c r="H1649" i="2"/>
  <c r="H1633" i="2"/>
  <c r="Q1618" i="2"/>
  <c r="R1608" i="2"/>
  <c r="D1600" i="2"/>
  <c r="A1592" i="2"/>
  <c r="A1584" i="2"/>
  <c r="C1791" i="2"/>
  <c r="H1718" i="2"/>
  <c r="H1680" i="2"/>
  <c r="M1658" i="2"/>
  <c r="M1642" i="2"/>
  <c r="M1626" i="2"/>
  <c r="A1614" i="2"/>
  <c r="D1605" i="2"/>
  <c r="N1596" i="2"/>
  <c r="N1588" i="2"/>
  <c r="N1580" i="2"/>
  <c r="Q1828" i="2"/>
  <c r="E1740" i="2"/>
  <c r="T1690" i="2"/>
  <c r="J1664" i="2"/>
  <c r="Q1647" i="2"/>
  <c r="S1805" i="2"/>
  <c r="E1726" i="2"/>
  <c r="Q1684" i="2"/>
  <c r="O1660" i="2"/>
  <c r="O1644" i="2"/>
  <c r="O1628" i="2"/>
  <c r="J1615" i="2"/>
  <c r="G1606" i="2"/>
  <c r="O1597" i="2"/>
  <c r="O1589" i="2"/>
  <c r="O1581" i="2"/>
  <c r="H1773" i="2"/>
  <c r="K1709" i="2"/>
  <c r="O1934" i="2"/>
  <c r="H2013" i="2"/>
  <c r="E1916" i="2"/>
  <c r="C1806" i="2"/>
  <c r="A1868" i="2"/>
  <c r="G1909" i="2"/>
  <c r="T1831" i="2"/>
  <c r="D1927" i="2"/>
  <c r="M1846" i="2"/>
  <c r="K1894" i="2"/>
  <c r="R1815" i="2"/>
  <c r="J1898" i="2"/>
  <c r="D1922" i="2"/>
  <c r="C1861" i="2"/>
  <c r="D1959" i="2"/>
  <c r="O1865" i="2"/>
  <c r="A1787" i="2"/>
  <c r="N1877" i="2"/>
  <c r="N1811" i="2"/>
  <c r="C1782" i="2"/>
  <c r="S1994" i="2"/>
  <c r="A1782" i="2"/>
  <c r="M1726" i="2"/>
  <c r="M1672" i="2"/>
  <c r="J1790" i="2"/>
  <c r="K1732" i="2"/>
  <c r="K1680" i="2"/>
  <c r="F1822" i="2"/>
  <c r="Q1779" i="2"/>
  <c r="J1748" i="2"/>
  <c r="Q1719" i="2"/>
  <c r="Q1695" i="2"/>
  <c r="Q1671" i="2"/>
  <c r="O1814" i="2"/>
  <c r="A1768" i="2"/>
  <c r="A1732" i="2"/>
  <c r="Q1698" i="2"/>
  <c r="F1674" i="2"/>
  <c r="T1651" i="2"/>
  <c r="N1634" i="2"/>
  <c r="N1614" i="2"/>
  <c r="K1819" i="2"/>
  <c r="R1781" i="2"/>
  <c r="R1754" i="2"/>
  <c r="R1722" i="2"/>
  <c r="S1704" i="2"/>
  <c r="R1794" i="2"/>
  <c r="Q1760" i="2"/>
  <c r="O1731" i="2"/>
  <c r="O1706" i="2"/>
  <c r="E1678" i="2"/>
  <c r="E1659" i="2"/>
  <c r="E1639" i="2"/>
  <c r="R1619" i="2"/>
  <c r="R1601" i="2"/>
  <c r="H1819" i="2"/>
  <c r="P1780" i="2"/>
  <c r="P1754" i="2"/>
  <c r="P1730" i="2"/>
  <c r="G1708" i="2"/>
  <c r="T1686" i="2"/>
  <c r="D1884" i="2"/>
  <c r="P1809" i="2"/>
  <c r="O1776" i="2"/>
  <c r="O1752" i="2"/>
  <c r="O1728" i="2"/>
  <c r="C1709" i="2"/>
  <c r="H1676" i="2"/>
  <c r="C1651" i="2"/>
  <c r="C1641" i="2"/>
  <c r="P1631" i="2"/>
  <c r="R1918" i="2"/>
  <c r="M1825" i="2"/>
  <c r="S1792" i="2"/>
  <c r="K1757" i="2"/>
  <c r="K1743" i="2"/>
  <c r="K1729" i="2"/>
  <c r="H1714" i="2"/>
  <c r="O1695" i="2"/>
  <c r="C1677" i="2"/>
  <c r="A1661" i="2"/>
  <c r="H1648" i="2"/>
  <c r="H1634" i="2"/>
  <c r="H1620" i="2"/>
  <c r="M1855" i="2"/>
  <c r="E1809" i="2"/>
  <c r="E1785" i="2"/>
  <c r="H1764" i="2"/>
  <c r="H1748" i="2"/>
  <c r="H1730" i="2"/>
  <c r="G1715" i="2"/>
  <c r="T1701" i="2"/>
  <c r="N1688" i="2"/>
  <c r="F1676" i="2"/>
  <c r="T1664" i="2"/>
  <c r="N1655" i="2"/>
  <c r="G1646" i="2"/>
  <c r="G1636" i="2"/>
  <c r="T1626" i="2"/>
  <c r="F1890" i="2"/>
  <c r="H1827" i="2"/>
  <c r="Q1804" i="2"/>
  <c r="J1782" i="2"/>
  <c r="G1770" i="2"/>
  <c r="G1758" i="2"/>
  <c r="G1746" i="2"/>
  <c r="G1734" i="2"/>
  <c r="G1722" i="2"/>
  <c r="P1710" i="2"/>
  <c r="S1684" i="2"/>
  <c r="P1673" i="2"/>
  <c r="F1664" i="2"/>
  <c r="D1908" i="2"/>
  <c r="M1839" i="2"/>
  <c r="R1814" i="2"/>
  <c r="R1796" i="2"/>
  <c r="D1780" i="2"/>
  <c r="D1768" i="2"/>
  <c r="D1756" i="2"/>
  <c r="D1744" i="2"/>
  <c r="D1732" i="2"/>
  <c r="F1720" i="2"/>
  <c r="M1709" i="2"/>
  <c r="S1698" i="2"/>
  <c r="F1688" i="2"/>
  <c r="M1677" i="2"/>
  <c r="D1668" i="2"/>
  <c r="C1660" i="2"/>
  <c r="C1652" i="2"/>
  <c r="C1644" i="2"/>
  <c r="C1636" i="2"/>
  <c r="C1628" i="2"/>
  <c r="C1620" i="2"/>
  <c r="M1971" i="2"/>
  <c r="M1859" i="2"/>
  <c r="D1823" i="2"/>
  <c r="D1804" i="2"/>
  <c r="D1786" i="2"/>
  <c r="T1772" i="2"/>
  <c r="T1760" i="2"/>
  <c r="T1748" i="2"/>
  <c r="T1736" i="2"/>
  <c r="T1724" i="2"/>
  <c r="F1795" i="2"/>
  <c r="K1719" i="2"/>
  <c r="P1681" i="2"/>
  <c r="D1659" i="2"/>
  <c r="D1643" i="2"/>
  <c r="D1627" i="2"/>
  <c r="H1614" i="2"/>
  <c r="J1605" i="2"/>
  <c r="S1596" i="2"/>
  <c r="S1588" i="2"/>
  <c r="S1580" i="2"/>
  <c r="S1572" i="2"/>
  <c r="F1772" i="2"/>
  <c r="Q1708" i="2"/>
  <c r="C1674" i="2"/>
  <c r="S1654" i="2"/>
  <c r="S1638" i="2"/>
  <c r="C1623" i="2"/>
  <c r="T1611" i="2"/>
  <c r="F1603" i="2"/>
  <c r="R1594" i="2"/>
  <c r="R1586" i="2"/>
  <c r="R1578" i="2"/>
  <c r="Q1854" i="2"/>
  <c r="E1748" i="2"/>
  <c r="N1694" i="2"/>
  <c r="M1666" i="2"/>
  <c r="K1649" i="2"/>
  <c r="K1633" i="2"/>
  <c r="S1618" i="2"/>
  <c r="T1608" i="2"/>
  <c r="F1600" i="2"/>
  <c r="H1765" i="2"/>
  <c r="H1704" i="2"/>
  <c r="P1671" i="2"/>
  <c r="J1653" i="2"/>
  <c r="J1637" i="2"/>
  <c r="Q1621" i="2"/>
  <c r="C1611" i="2"/>
  <c r="H1602" i="2"/>
  <c r="C1594" i="2"/>
  <c r="C1586" i="2"/>
  <c r="C1578" i="2"/>
  <c r="M1831" i="2"/>
  <c r="C1741" i="2"/>
  <c r="M1691" i="2"/>
  <c r="O1664" i="2"/>
  <c r="A1648" i="2"/>
  <c r="A1632" i="2"/>
  <c r="P1617" i="2"/>
  <c r="D1608" i="2"/>
  <c r="H1591" i="2"/>
  <c r="H1583" i="2"/>
  <c r="R1714" i="2"/>
  <c r="O1677" i="2"/>
  <c r="F1657" i="2"/>
  <c r="F1641" i="2"/>
  <c r="F1625" i="2"/>
  <c r="F1613" i="2"/>
  <c r="T1595" i="2"/>
  <c r="T1587" i="2"/>
  <c r="T1579" i="2"/>
  <c r="E1734" i="2"/>
  <c r="G1688" i="2"/>
  <c r="Q1662" i="2"/>
  <c r="J1646" i="2"/>
  <c r="S1796" i="2"/>
  <c r="G1720" i="2"/>
  <c r="D1682" i="2"/>
  <c r="H1659" i="2"/>
  <c r="H1643" i="2"/>
  <c r="H1627" i="2"/>
  <c r="J1614" i="2"/>
  <c r="M1605" i="2"/>
  <c r="A1597" i="2"/>
  <c r="A1589" i="2"/>
  <c r="A1581" i="2"/>
  <c r="H1767" i="2"/>
  <c r="A1706" i="2"/>
  <c r="S1653" i="2"/>
  <c r="S1637" i="2"/>
  <c r="E1622" i="2"/>
  <c r="H1611" i="2"/>
  <c r="N1602" i="2"/>
  <c r="G1594" i="2"/>
  <c r="G1586" i="2"/>
  <c r="H1757" i="2"/>
  <c r="R1636" i="2"/>
  <c r="C1602" i="2"/>
  <c r="D1582" i="2"/>
  <c r="O1570" i="2"/>
  <c r="O1562" i="2"/>
  <c r="O1554" i="2"/>
  <c r="O1546" i="2"/>
  <c r="O1538" i="2"/>
  <c r="O1530" i="2"/>
  <c r="O1522" i="2"/>
  <c r="O1514" i="2"/>
  <c r="O1506" i="2"/>
  <c r="O1498" i="2"/>
  <c r="O1490" i="2"/>
  <c r="O1482" i="2"/>
  <c r="O1474" i="2"/>
  <c r="O1466" i="2"/>
  <c r="O1458" i="2"/>
  <c r="O1450" i="2"/>
  <c r="O1442" i="2"/>
  <c r="O1434" i="2"/>
  <c r="R1656" i="2"/>
  <c r="P1610" i="2"/>
  <c r="J1588" i="2"/>
  <c r="O1573" i="2"/>
  <c r="G1565" i="2"/>
  <c r="G1557" i="2"/>
  <c r="G1549" i="2"/>
  <c r="G1541" i="2"/>
  <c r="G1533" i="2"/>
  <c r="G1525" i="2"/>
  <c r="G1517" i="2"/>
  <c r="G1509" i="2"/>
  <c r="G1501" i="2"/>
  <c r="G1493" i="2"/>
  <c r="P2085" i="2"/>
  <c r="K2002" i="2"/>
  <c r="E1908" i="2"/>
  <c r="P1822" i="2"/>
  <c r="H1867" i="2"/>
  <c r="G1893" i="2"/>
  <c r="T1815" i="2"/>
  <c r="F1909" i="2"/>
  <c r="M1830" i="2"/>
  <c r="K1878" i="2"/>
  <c r="J1882" i="2"/>
  <c r="P1897" i="2"/>
  <c r="S1956" i="2"/>
  <c r="O1861" i="2"/>
  <c r="H1786" i="2"/>
  <c r="N1875" i="2"/>
  <c r="T1810" i="2"/>
  <c r="M1909" i="2"/>
  <c r="H1781" i="2"/>
  <c r="M1943" i="2"/>
  <c r="M1780" i="2"/>
  <c r="S1725" i="2"/>
  <c r="M1670" i="2"/>
  <c r="J1789" i="2"/>
  <c r="R1731" i="2"/>
  <c r="R1679" i="2"/>
  <c r="D1821" i="2"/>
  <c r="D1779" i="2"/>
  <c r="Q1747" i="2"/>
  <c r="D1719" i="2"/>
  <c r="D1695" i="2"/>
  <c r="D1671" i="2"/>
  <c r="C1813" i="2"/>
  <c r="S1766" i="2"/>
  <c r="S1730" i="2"/>
  <c r="T1697" i="2"/>
  <c r="A1671" i="2"/>
  <c r="G1651" i="2"/>
  <c r="G1633" i="2"/>
  <c r="K1931" i="2"/>
  <c r="M1817" i="2"/>
  <c r="R1780" i="2"/>
  <c r="R1750" i="2"/>
  <c r="P1721" i="2"/>
  <c r="J1835" i="2"/>
  <c r="R1791" i="2"/>
  <c r="Q1756" i="2"/>
  <c r="Q1730" i="2"/>
  <c r="A1703" i="2"/>
  <c r="H1677" i="2"/>
  <c r="R1657" i="2"/>
  <c r="K1636" i="2"/>
  <c r="E1619" i="2"/>
  <c r="E1599" i="2"/>
  <c r="J1817" i="2"/>
  <c r="P1778" i="2"/>
  <c r="N1753" i="2"/>
  <c r="N1729" i="2"/>
  <c r="J1707" i="2"/>
  <c r="D1686" i="2"/>
  <c r="F1878" i="2"/>
  <c r="A1808" i="2"/>
  <c r="M1775" i="2"/>
  <c r="M1751" i="2"/>
  <c r="M1727" i="2"/>
  <c r="F1708" i="2"/>
  <c r="Q1674" i="2"/>
  <c r="C1631" i="2"/>
  <c r="J1911" i="2"/>
  <c r="D1824" i="2"/>
  <c r="F1791" i="2"/>
  <c r="R1710" i="2"/>
  <c r="A1694" i="2"/>
  <c r="K1675" i="2"/>
  <c r="H1660" i="2"/>
  <c r="O1647" i="2"/>
  <c r="O1633" i="2"/>
  <c r="O1619" i="2"/>
  <c r="D1840" i="2"/>
  <c r="R1807" i="2"/>
  <c r="H1780" i="2"/>
  <c r="J1763" i="2"/>
  <c r="H1744" i="2"/>
  <c r="H1728" i="2"/>
  <c r="G1714" i="2"/>
  <c r="T1700" i="2"/>
  <c r="N1687" i="2"/>
  <c r="O1674" i="2"/>
  <c r="G1664" i="2"/>
  <c r="T1654" i="2"/>
  <c r="N1645" i="2"/>
  <c r="N1635" i="2"/>
  <c r="N1625" i="2"/>
  <c r="S1882" i="2"/>
  <c r="J1825" i="2"/>
  <c r="D1803" i="2"/>
  <c r="J1781" i="2"/>
  <c r="P1709" i="2"/>
  <c r="C1684" i="2"/>
  <c r="T1672" i="2"/>
  <c r="M1663" i="2"/>
  <c r="F1902" i="2"/>
  <c r="O1836" i="2"/>
  <c r="E1813" i="2"/>
  <c r="E1795" i="2"/>
  <c r="A1779" i="2"/>
  <c r="A1767" i="2"/>
  <c r="A1755" i="2"/>
  <c r="A1743" i="2"/>
  <c r="A1731" i="2"/>
  <c r="P1708" i="2"/>
  <c r="C1698" i="2"/>
  <c r="Q1676" i="2"/>
  <c r="J1948" i="2"/>
  <c r="F1852" i="2"/>
  <c r="M1821" i="2"/>
  <c r="Q1802" i="2"/>
  <c r="Q1784" i="2"/>
  <c r="C1772" i="2"/>
  <c r="C1760" i="2"/>
  <c r="C1748" i="2"/>
  <c r="C1736" i="2"/>
  <c r="C1724" i="2"/>
  <c r="F1786" i="2"/>
  <c r="A1716" i="2"/>
  <c r="C1679" i="2"/>
  <c r="Q1657" i="2"/>
  <c r="Q1641" i="2"/>
  <c r="Q1625" i="2"/>
  <c r="M1613" i="2"/>
  <c r="P1604" i="2"/>
  <c r="F1596" i="2"/>
  <c r="F1588" i="2"/>
  <c r="F1580" i="2"/>
  <c r="F1572" i="2"/>
  <c r="F1766" i="2"/>
  <c r="G1705" i="2"/>
  <c r="C1672" i="2"/>
  <c r="M1653" i="2"/>
  <c r="M1637" i="2"/>
  <c r="A1622" i="2"/>
  <c r="F1611" i="2"/>
  <c r="J1602" i="2"/>
  <c r="E1594" i="2"/>
  <c r="E1586" i="2"/>
  <c r="E1578" i="2"/>
  <c r="Q1833" i="2"/>
  <c r="E1742" i="2"/>
  <c r="T1691" i="2"/>
  <c r="R1664" i="2"/>
  <c r="E1648" i="2"/>
  <c r="E1632" i="2"/>
  <c r="S1617" i="2"/>
  <c r="F1608" i="2"/>
  <c r="E1938" i="2"/>
  <c r="H1759" i="2"/>
  <c r="R1700" i="2"/>
  <c r="O1669" i="2"/>
  <c r="D1652" i="2"/>
  <c r="D1636" i="2"/>
  <c r="R1620" i="2"/>
  <c r="H1610" i="2"/>
  <c r="N1601" i="2"/>
  <c r="S1819" i="2"/>
  <c r="C1735" i="2"/>
  <c r="S1688" i="2"/>
  <c r="D1663" i="2"/>
  <c r="O1646" i="2"/>
  <c r="O1630" i="2"/>
  <c r="Q1616" i="2"/>
  <c r="O1598" i="2"/>
  <c r="O1590" i="2"/>
  <c r="O1582" i="2"/>
  <c r="F1776" i="2"/>
  <c r="H1711" i="2"/>
  <c r="H1675" i="2"/>
  <c r="S1655" i="2"/>
  <c r="S1639" i="2"/>
  <c r="S1623" i="2"/>
  <c r="O1603" i="2"/>
  <c r="G1595" i="2"/>
  <c r="G1587" i="2"/>
  <c r="G1579" i="2"/>
  <c r="S1808" i="2"/>
  <c r="E1728" i="2"/>
  <c r="N1685" i="2"/>
  <c r="F1661" i="2"/>
  <c r="D1645" i="2"/>
  <c r="S1787" i="2"/>
  <c r="Q1716" i="2"/>
  <c r="J1679" i="2"/>
  <c r="A1658" i="2"/>
  <c r="A1642" i="2"/>
  <c r="A1626" i="2"/>
  <c r="O1613" i="2"/>
  <c r="R1604" i="2"/>
  <c r="H1596" i="2"/>
  <c r="H1588" i="2"/>
  <c r="H1580" i="2"/>
  <c r="H1761" i="2"/>
  <c r="H1702" i="2"/>
  <c r="M1652" i="2"/>
  <c r="M1636" i="2"/>
  <c r="D1621" i="2"/>
  <c r="N1610" i="2"/>
  <c r="S1601" i="2"/>
  <c r="N1593" i="2"/>
  <c r="N1585" i="2"/>
  <c r="H1733" i="2"/>
  <c r="R1632" i="2"/>
  <c r="S1599" i="2"/>
  <c r="M1580" i="2"/>
  <c r="A1570" i="2"/>
  <c r="A1562" i="2"/>
  <c r="A1554" i="2"/>
  <c r="A1546" i="2"/>
  <c r="A1538" i="2"/>
  <c r="A1530" i="2"/>
  <c r="A1522" i="2"/>
  <c r="A1514" i="2"/>
  <c r="A1506" i="2"/>
  <c r="A1498" i="2"/>
  <c r="A1490" i="2"/>
  <c r="A1482" i="2"/>
  <c r="A1474" i="2"/>
  <c r="A1466" i="2"/>
  <c r="A1458" i="2"/>
  <c r="A1450" i="2"/>
  <c r="A1442" i="2"/>
  <c r="M1915" i="2"/>
  <c r="K1651" i="2"/>
  <c r="M1608" i="2"/>
  <c r="Q1586" i="2"/>
  <c r="E1868" i="2"/>
  <c r="T1891" i="2"/>
  <c r="F1829" i="2"/>
  <c r="E1919" i="2"/>
  <c r="A1899" i="2"/>
  <c r="G1842" i="2"/>
  <c r="M1805" i="2"/>
  <c r="M1740" i="2"/>
  <c r="E1747" i="2"/>
  <c r="Q1717" i="2"/>
  <c r="P1811" i="2"/>
  <c r="T1696" i="2"/>
  <c r="N1630" i="2"/>
  <c r="S1812" i="2"/>
  <c r="S1720" i="2"/>
  <c r="F1886" i="2"/>
  <c r="Q1742" i="2"/>
  <c r="R1665" i="2"/>
  <c r="E1607" i="2"/>
  <c r="P1762" i="2"/>
  <c r="D1694" i="2"/>
  <c r="P1797" i="2"/>
  <c r="P1720" i="2"/>
  <c r="P1687" i="2"/>
  <c r="P1659" i="2"/>
  <c r="S1798" i="2"/>
  <c r="H1683" i="2"/>
  <c r="H1644" i="2"/>
  <c r="S1834" i="2"/>
  <c r="J1761" i="2"/>
  <c r="N1711" i="2"/>
  <c r="A1673" i="2"/>
  <c r="N1643" i="2"/>
  <c r="F1868" i="2"/>
  <c r="P1702" i="2"/>
  <c r="P1677" i="2"/>
  <c r="M1887" i="2"/>
  <c r="R1793" i="2"/>
  <c r="D1754" i="2"/>
  <c r="C1697" i="2"/>
  <c r="Q1808" i="2"/>
  <c r="C1764" i="2"/>
  <c r="C1728" i="2"/>
  <c r="P1689" i="2"/>
  <c r="J1632" i="2"/>
  <c r="N1599" i="2"/>
  <c r="M1575" i="2"/>
  <c r="A1684" i="2"/>
  <c r="F1628" i="2"/>
  <c r="K1597" i="2"/>
  <c r="K1573" i="2"/>
  <c r="O1673" i="2"/>
  <c r="S1622" i="2"/>
  <c r="D1849" i="2"/>
  <c r="C1668" i="2"/>
  <c r="Q1619" i="2"/>
  <c r="C1596" i="2"/>
  <c r="C1584" i="2"/>
  <c r="D1937" i="2"/>
  <c r="N1669" i="2"/>
  <c r="Q1620" i="2"/>
  <c r="H1597" i="2"/>
  <c r="F1770" i="2"/>
  <c r="M1654" i="2"/>
  <c r="N1590" i="2"/>
  <c r="S1790" i="2"/>
  <c r="J1658" i="2"/>
  <c r="N1709" i="2"/>
  <c r="H1639" i="2"/>
  <c r="P1607" i="2"/>
  <c r="A1587" i="2"/>
  <c r="E1720" i="2"/>
  <c r="D1662" i="2"/>
  <c r="S1629" i="2"/>
  <c r="N1595" i="2"/>
  <c r="G1582" i="2"/>
  <c r="F1646" i="2"/>
  <c r="K1596" i="2"/>
  <c r="Q1572" i="2"/>
  <c r="O1560" i="2"/>
  <c r="O1548" i="2"/>
  <c r="O1536" i="2"/>
  <c r="O1524" i="2"/>
  <c r="O1512" i="2"/>
  <c r="O1500" i="2"/>
  <c r="O1488" i="2"/>
  <c r="O1476" i="2"/>
  <c r="O1464" i="2"/>
  <c r="O1452" i="2"/>
  <c r="O1440" i="2"/>
  <c r="E1604" i="2"/>
  <c r="J1576" i="2"/>
  <c r="N1564" i="2"/>
  <c r="G1553" i="2"/>
  <c r="G1543" i="2"/>
  <c r="N1532" i="2"/>
  <c r="G1521" i="2"/>
  <c r="G1511" i="2"/>
  <c r="N1500" i="2"/>
  <c r="G1491" i="2"/>
  <c r="G1483" i="2"/>
  <c r="S1668" i="2"/>
  <c r="R1614" i="2"/>
  <c r="J1591" i="2"/>
  <c r="H1575" i="2"/>
  <c r="M1566" i="2"/>
  <c r="M1558" i="2"/>
  <c r="M1550" i="2"/>
  <c r="M1542" i="2"/>
  <c r="M1534" i="2"/>
  <c r="M1526" i="2"/>
  <c r="M1518" i="2"/>
  <c r="M1510" i="2"/>
  <c r="M1502" i="2"/>
  <c r="M1494" i="2"/>
  <c r="M1486" i="2"/>
  <c r="M1478" i="2"/>
  <c r="M1470" i="2"/>
  <c r="M1462" i="2"/>
  <c r="M1454" i="2"/>
  <c r="M1446" i="2"/>
  <c r="H1751" i="2"/>
  <c r="M1635" i="2"/>
  <c r="Q1581" i="2"/>
  <c r="K1570" i="2"/>
  <c r="K1562" i="2"/>
  <c r="K1554" i="2"/>
  <c r="K1546" i="2"/>
  <c r="K1538" i="2"/>
  <c r="K1530" i="2"/>
  <c r="K1522" i="2"/>
  <c r="K1514" i="2"/>
  <c r="K1506" i="2"/>
  <c r="K1498" i="2"/>
  <c r="K1490" i="2"/>
  <c r="K1482" i="2"/>
  <c r="K1474" i="2"/>
  <c r="K1466" i="2"/>
  <c r="K1458" i="2"/>
  <c r="K1450" i="2"/>
  <c r="K1442" i="2"/>
  <c r="H1667" i="2"/>
  <c r="O1614" i="2"/>
  <c r="E1591" i="2"/>
  <c r="E1575" i="2"/>
  <c r="J1566" i="2"/>
  <c r="J1558" i="2"/>
  <c r="J1550" i="2"/>
  <c r="J1542" i="2"/>
  <c r="J1534" i="2"/>
  <c r="J1526" i="2"/>
  <c r="J1518" i="2"/>
  <c r="J1510" i="2"/>
  <c r="J1502" i="2"/>
  <c r="J1494" i="2"/>
  <c r="J1486" i="2"/>
  <c r="J1478" i="2"/>
  <c r="J1470" i="2"/>
  <c r="J1462" i="2"/>
  <c r="J1454" i="2"/>
  <c r="J1446" i="2"/>
  <c r="J1438" i="2"/>
  <c r="K1695" i="2"/>
  <c r="J1623" i="2"/>
  <c r="R1595" i="2"/>
  <c r="D1578" i="2"/>
  <c r="R1682" i="2"/>
  <c r="M1619" i="2"/>
  <c r="D1594" i="2"/>
  <c r="C1577" i="2"/>
  <c r="O1567" i="2"/>
  <c r="O1559" i="2"/>
  <c r="O1551" i="2"/>
  <c r="O1543" i="2"/>
  <c r="O1535" i="2"/>
  <c r="O1527" i="2"/>
  <c r="O1519" i="2"/>
  <c r="O1511" i="2"/>
  <c r="O1503" i="2"/>
  <c r="O1495" i="2"/>
  <c r="O1487" i="2"/>
  <c r="O1479" i="2"/>
  <c r="O1471" i="2"/>
  <c r="O1463" i="2"/>
  <c r="O1455" i="2"/>
  <c r="G1853" i="2"/>
  <c r="K1912" i="2"/>
  <c r="J1880" i="2"/>
  <c r="A1883" i="2"/>
  <c r="N1827" i="2"/>
  <c r="N1766" i="2"/>
  <c r="S1713" i="2"/>
  <c r="E1731" i="2"/>
  <c r="H1789" i="2"/>
  <c r="J1712" i="2"/>
  <c r="O1808" i="2"/>
  <c r="G1695" i="2"/>
  <c r="T1627" i="2"/>
  <c r="S1794" i="2"/>
  <c r="C1719" i="2"/>
  <c r="Q1740" i="2"/>
  <c r="E1663" i="2"/>
  <c r="K1604" i="2"/>
  <c r="P1758" i="2"/>
  <c r="N1690" i="2"/>
  <c r="P1785" i="2"/>
  <c r="C1659" i="2"/>
  <c r="P1643" i="2"/>
  <c r="F1788" i="2"/>
  <c r="K1725" i="2"/>
  <c r="H1682" i="2"/>
  <c r="O1639" i="2"/>
  <c r="D1822" i="2"/>
  <c r="H1752" i="2"/>
  <c r="J1705" i="2"/>
  <c r="H1668" i="2"/>
  <c r="N1639" i="2"/>
  <c r="A1840" i="2"/>
  <c r="S1700" i="2"/>
  <c r="E1676" i="2"/>
  <c r="F1854" i="2"/>
  <c r="E1792" i="2"/>
  <c r="A1753" i="2"/>
  <c r="F1696" i="2"/>
  <c r="A1676" i="2"/>
  <c r="R1932" i="2"/>
  <c r="D1801" i="2"/>
  <c r="T1758" i="2"/>
  <c r="T1722" i="2"/>
  <c r="D1631" i="2"/>
  <c r="S1598" i="2"/>
  <c r="S1574" i="2"/>
  <c r="H1681" i="2"/>
  <c r="S1626" i="2"/>
  <c r="R1596" i="2"/>
  <c r="R1572" i="2"/>
  <c r="T1671" i="2"/>
  <c r="S1621" i="2"/>
  <c r="J1666" i="2"/>
  <c r="R1618" i="2"/>
  <c r="F1810" i="2"/>
  <c r="J1661" i="2"/>
  <c r="Q1615" i="2"/>
  <c r="A1594" i="2"/>
  <c r="F1764" i="2"/>
  <c r="F1653" i="2"/>
  <c r="O1611" i="2"/>
  <c r="T1589" i="2"/>
  <c r="E1758" i="2"/>
  <c r="Q1651" i="2"/>
  <c r="Q1692" i="2"/>
  <c r="O1632" i="2"/>
  <c r="D1604" i="2"/>
  <c r="A1585" i="2"/>
  <c r="O1716" i="2"/>
  <c r="F1659" i="2"/>
  <c r="F1627" i="2"/>
  <c r="T1606" i="2"/>
  <c r="T1594" i="2"/>
  <c r="N1581" i="2"/>
  <c r="S1640" i="2"/>
  <c r="Q1591" i="2"/>
  <c r="A1572" i="2"/>
  <c r="O1558" i="2"/>
  <c r="A1548" i="2"/>
  <c r="O1534" i="2"/>
  <c r="A1524" i="2"/>
  <c r="O1510" i="2"/>
  <c r="A1500" i="2"/>
  <c r="O1486" i="2"/>
  <c r="A1476" i="2"/>
  <c r="O1462" i="2"/>
  <c r="A1452" i="2"/>
  <c r="O1438" i="2"/>
  <c r="T1668" i="2"/>
  <c r="S1597" i="2"/>
  <c r="J1575" i="2"/>
  <c r="T1563" i="2"/>
  <c r="N1552" i="2"/>
  <c r="N1542" i="2"/>
  <c r="T1531" i="2"/>
  <c r="N1520" i="2"/>
  <c r="N1510" i="2"/>
  <c r="T1499" i="2"/>
  <c r="N1490" i="2"/>
  <c r="N1482" i="2"/>
  <c r="J1662" i="2"/>
  <c r="H1612" i="2"/>
  <c r="R1589" i="2"/>
  <c r="J1574" i="2"/>
  <c r="S1565" i="2"/>
  <c r="S1557" i="2"/>
  <c r="S1549" i="2"/>
  <c r="S1541" i="2"/>
  <c r="S1533" i="2"/>
  <c r="S1525" i="2"/>
  <c r="S1517" i="2"/>
  <c r="S1509" i="2"/>
  <c r="S1501" i="2"/>
  <c r="S1493" i="2"/>
  <c r="S1485" i="2"/>
  <c r="S1477" i="2"/>
  <c r="S1469" i="2"/>
  <c r="S1461" i="2"/>
  <c r="S1453" i="2"/>
  <c r="S1445" i="2"/>
  <c r="H1727" i="2"/>
  <c r="M1631" i="2"/>
  <c r="G1599" i="2"/>
  <c r="R1569" i="2"/>
  <c r="R1561" i="2"/>
  <c r="R1553" i="2"/>
  <c r="R1545" i="2"/>
  <c r="R1537" i="2"/>
  <c r="R1529" i="2"/>
  <c r="R1521" i="2"/>
  <c r="R1513" i="2"/>
  <c r="R1505" i="2"/>
  <c r="R1497" i="2"/>
  <c r="R1489" i="2"/>
  <c r="R1481" i="2"/>
  <c r="R1473" i="2"/>
  <c r="R1465" i="2"/>
  <c r="R1457" i="2"/>
  <c r="R1449" i="2"/>
  <c r="R1441" i="2"/>
  <c r="R1660" i="2"/>
  <c r="F1612" i="2"/>
  <c r="P1589" i="2"/>
  <c r="H1574" i="2"/>
  <c r="Q1565" i="2"/>
  <c r="Q1557" i="2"/>
  <c r="Q1549" i="2"/>
  <c r="Q1541" i="2"/>
  <c r="Q1533" i="2"/>
  <c r="Q1525" i="2"/>
  <c r="Q1517" i="2"/>
  <c r="Q1509" i="2"/>
  <c r="Q1501" i="2"/>
  <c r="Q1493" i="2"/>
  <c r="Q1485" i="2"/>
  <c r="Q1477" i="2"/>
  <c r="Q1469" i="2"/>
  <c r="Q1461" i="2"/>
  <c r="Q1453" i="2"/>
  <c r="Q1445" i="2"/>
  <c r="Q1437" i="2"/>
  <c r="R1684" i="2"/>
  <c r="G1620" i="2"/>
  <c r="D1577" i="2"/>
  <c r="P1567" i="2"/>
  <c r="P1559" i="2"/>
  <c r="P1551" i="2"/>
  <c r="P1543" i="2"/>
  <c r="P1535" i="2"/>
  <c r="P1527" i="2"/>
  <c r="P1519" i="2"/>
  <c r="P1511" i="2"/>
  <c r="P1503" i="2"/>
  <c r="P1495" i="2"/>
  <c r="P1487" i="2"/>
  <c r="P1479" i="2"/>
  <c r="P1471" i="2"/>
  <c r="S1672" i="2"/>
  <c r="M1616" i="2"/>
  <c r="K1592" i="2"/>
  <c r="A1576" i="2"/>
  <c r="A1567" i="2"/>
  <c r="A1559" i="2"/>
  <c r="A1551" i="2"/>
  <c r="A1543" i="2"/>
  <c r="A1535" i="2"/>
  <c r="A1527" i="2"/>
  <c r="A1519" i="2"/>
  <c r="A1511" i="2"/>
  <c r="A1503" i="2"/>
  <c r="A1495" i="2"/>
  <c r="A1487" i="2"/>
  <c r="A1479" i="2"/>
  <c r="A1471" i="2"/>
  <c r="A1463" i="2"/>
  <c r="A1455" i="2"/>
  <c r="A1447" i="2"/>
  <c r="A1439" i="2"/>
  <c r="E1706" i="2"/>
  <c r="E1626" i="2"/>
  <c r="D1597" i="2"/>
  <c r="T1578" i="2"/>
  <c r="S1568" i="2"/>
  <c r="S1560" i="2"/>
  <c r="S1552" i="2"/>
  <c r="S1544" i="2"/>
  <c r="S1536" i="2"/>
  <c r="S1528" i="2"/>
  <c r="S1520" i="2"/>
  <c r="E1658" i="2"/>
  <c r="S1610" i="2"/>
  <c r="Q1588" i="2"/>
  <c r="R1573" i="2"/>
  <c r="J1565" i="2"/>
  <c r="J1557" i="2"/>
  <c r="J1549" i="2"/>
  <c r="J1541" i="2"/>
  <c r="J1533" i="2"/>
  <c r="J1525" i="2"/>
  <c r="J1517" i="2"/>
  <c r="J1509" i="2"/>
  <c r="J1501" i="2"/>
  <c r="J1493" i="2"/>
  <c r="J1485" i="2"/>
  <c r="J1477" i="2"/>
  <c r="J1469" i="2"/>
  <c r="J1461" i="2"/>
  <c r="J1453" i="2"/>
  <c r="J1445" i="2"/>
  <c r="J1437" i="2"/>
  <c r="F1738" i="2"/>
  <c r="S1632" i="2"/>
  <c r="T1599" i="2"/>
  <c r="O1580" i="2"/>
  <c r="C1570" i="2"/>
  <c r="C1562" i="2"/>
  <c r="C1554" i="2"/>
  <c r="C1546" i="2"/>
  <c r="C1538" i="2"/>
  <c r="C1530" i="2"/>
  <c r="C1522" i="2"/>
  <c r="C1514" i="2"/>
  <c r="C1506" i="2"/>
  <c r="C1498" i="2"/>
  <c r="C1490" i="2"/>
  <c r="C1482" i="2"/>
  <c r="C1474" i="2"/>
  <c r="C1466" i="2"/>
  <c r="C1458" i="2"/>
  <c r="C1450" i="2"/>
  <c r="J1622" i="2"/>
  <c r="G1544" i="2"/>
  <c r="F1504" i="2"/>
  <c r="N1474" i="2"/>
  <c r="D1974" i="2"/>
  <c r="Q1957" i="2"/>
  <c r="N1852" i="2"/>
  <c r="R1911" i="2"/>
  <c r="Q1879" i="2"/>
  <c r="O1859" i="2"/>
  <c r="G1810" i="2"/>
  <c r="T1765" i="2"/>
  <c r="F1713" i="2"/>
  <c r="R1719" i="2"/>
  <c r="Q1703" i="2"/>
  <c r="A1780" i="2"/>
  <c r="T1680" i="2"/>
  <c r="T1619" i="2"/>
  <c r="S1788" i="2"/>
  <c r="F1830" i="2"/>
  <c r="Q1728" i="2"/>
  <c r="E1655" i="2"/>
  <c r="E1930" i="2"/>
  <c r="P1750" i="2"/>
  <c r="J1683" i="2"/>
  <c r="O1780" i="2"/>
  <c r="C1643" i="2"/>
  <c r="S1786" i="2"/>
  <c r="P1674" i="2"/>
  <c r="A1637" i="2"/>
  <c r="F1815" i="2"/>
  <c r="J1751" i="2"/>
  <c r="N1704" i="2"/>
  <c r="N1667" i="2"/>
  <c r="T1638" i="2"/>
  <c r="Q1834" i="2"/>
  <c r="Q1848" i="2"/>
  <c r="R1784" i="2"/>
  <c r="D1748" i="2"/>
  <c r="M1717" i="2"/>
  <c r="E1675" i="2"/>
  <c r="P1658" i="2"/>
  <c r="P1646" i="2"/>
  <c r="P1634" i="2"/>
  <c r="P1622" i="2"/>
  <c r="P1922" i="2"/>
  <c r="Q1799" i="2"/>
  <c r="C1758" i="2"/>
  <c r="C1722" i="2"/>
  <c r="N1676" i="2"/>
  <c r="J1624" i="2"/>
  <c r="M1595" i="2"/>
  <c r="F1950" i="2"/>
  <c r="E1670" i="2"/>
  <c r="T1620" i="2"/>
  <c r="K1593" i="2"/>
  <c r="Q1821" i="2"/>
  <c r="H1663" i="2"/>
  <c r="S1616" i="2"/>
  <c r="O1792" i="2"/>
  <c r="Q1658" i="2"/>
  <c r="E1614" i="2"/>
  <c r="F1801" i="2"/>
  <c r="A1660" i="2"/>
  <c r="T1614" i="2"/>
  <c r="H1593" i="2"/>
  <c r="F1734" i="2"/>
  <c r="M1646" i="2"/>
  <c r="T1610" i="2"/>
  <c r="N1586" i="2"/>
  <c r="E1752" i="2"/>
  <c r="J1650" i="2"/>
  <c r="D1690" i="2"/>
  <c r="H1631" i="2"/>
  <c r="O1583" i="2"/>
  <c r="R1698" i="2"/>
  <c r="S1657" i="2"/>
  <c r="S1625" i="2"/>
  <c r="K1605" i="2"/>
  <c r="T1592" i="2"/>
  <c r="T1580" i="2"/>
  <c r="R1628" i="2"/>
  <c r="D1590" i="2"/>
  <c r="H1571" i="2"/>
  <c r="A1558" i="2"/>
  <c r="H1547" i="2"/>
  <c r="A1534" i="2"/>
  <c r="H1523" i="2"/>
  <c r="A1510" i="2"/>
  <c r="H1499" i="2"/>
  <c r="A1486" i="2"/>
  <c r="H1475" i="2"/>
  <c r="A1462" i="2"/>
  <c r="H1451" i="2"/>
  <c r="A1438" i="2"/>
  <c r="M1662" i="2"/>
  <c r="J1596" i="2"/>
  <c r="K1574" i="2"/>
  <c r="G1563" i="2"/>
  <c r="T1551" i="2"/>
  <c r="T1541" i="2"/>
  <c r="G1531" i="2"/>
  <c r="T1519" i="2"/>
  <c r="T1509" i="2"/>
  <c r="G1499" i="2"/>
  <c r="T1489" i="2"/>
  <c r="T1481" i="2"/>
  <c r="Q1656" i="2"/>
  <c r="E1610" i="2"/>
  <c r="N1573" i="2"/>
  <c r="F1565" i="2"/>
  <c r="F1557" i="2"/>
  <c r="F1549" i="2"/>
  <c r="F1541" i="2"/>
  <c r="F1533" i="2"/>
  <c r="F1525" i="2"/>
  <c r="F1517" i="2"/>
  <c r="F1509" i="2"/>
  <c r="F1501" i="2"/>
  <c r="F1493" i="2"/>
  <c r="F1485" i="2"/>
  <c r="F1477" i="2"/>
  <c r="F1469" i="2"/>
  <c r="F1461" i="2"/>
  <c r="F1453" i="2"/>
  <c r="F1445" i="2"/>
  <c r="N1710" i="2"/>
  <c r="M1627" i="2"/>
  <c r="Q1597" i="2"/>
  <c r="F1579" i="2"/>
  <c r="E1569" i="2"/>
  <c r="E1561" i="2"/>
  <c r="E1553" i="2"/>
  <c r="E1545" i="2"/>
  <c r="E1537" i="2"/>
  <c r="E1529" i="2"/>
  <c r="E1521" i="2"/>
  <c r="E1513" i="2"/>
  <c r="E1505" i="2"/>
  <c r="E1497" i="2"/>
  <c r="E1489" i="2"/>
  <c r="E1481" i="2"/>
  <c r="E1473" i="2"/>
  <c r="E1465" i="2"/>
  <c r="E1457" i="2"/>
  <c r="E1449" i="2"/>
  <c r="E1441" i="2"/>
  <c r="K1655" i="2"/>
  <c r="C1610" i="2"/>
  <c r="S1587" i="2"/>
  <c r="H1573" i="2"/>
  <c r="D1565" i="2"/>
  <c r="D1557" i="2"/>
  <c r="D1549" i="2"/>
  <c r="D1541" i="2"/>
  <c r="D1533" i="2"/>
  <c r="D1525" i="2"/>
  <c r="D1517" i="2"/>
  <c r="D1509" i="2"/>
  <c r="D1501" i="2"/>
  <c r="D1493" i="2"/>
  <c r="D1485" i="2"/>
  <c r="D1477" i="2"/>
  <c r="D1469" i="2"/>
  <c r="D1461" i="2"/>
  <c r="D1453" i="2"/>
  <c r="D1445" i="2"/>
  <c r="D1437" i="2"/>
  <c r="K1674" i="2"/>
  <c r="H1617" i="2"/>
  <c r="M1592" i="2"/>
  <c r="D1576" i="2"/>
  <c r="C1567" i="2"/>
  <c r="C1559" i="2"/>
  <c r="C1551" i="2"/>
  <c r="C1543" i="2"/>
  <c r="C1535" i="2"/>
  <c r="C1527" i="2"/>
  <c r="C1519" i="2"/>
  <c r="C1511" i="2"/>
  <c r="C1503" i="2"/>
  <c r="C1495" i="2"/>
  <c r="C1487" i="2"/>
  <c r="C1479" i="2"/>
  <c r="C1471" i="2"/>
  <c r="S1665" i="2"/>
  <c r="T1613" i="2"/>
  <c r="C1591" i="2"/>
  <c r="C1575" i="2"/>
  <c r="H1566" i="2"/>
  <c r="H1558" i="2"/>
  <c r="H1550" i="2"/>
  <c r="F1948" i="2"/>
  <c r="E1948" i="2"/>
  <c r="T1813" i="2"/>
  <c r="K1874" i="2"/>
  <c r="Q1964" i="2"/>
  <c r="O1843" i="2"/>
  <c r="N1795" i="2"/>
  <c r="N1734" i="2"/>
  <c r="M1686" i="2"/>
  <c r="R1703" i="2"/>
  <c r="D1703" i="2"/>
  <c r="S1778" i="2"/>
  <c r="J1677" i="2"/>
  <c r="G1619" i="2"/>
  <c r="Q1724" i="2"/>
  <c r="K1652" i="2"/>
  <c r="M1919" i="2"/>
  <c r="P1746" i="2"/>
  <c r="T1679" i="2"/>
  <c r="O1772" i="2"/>
  <c r="M1681" i="2"/>
  <c r="C1625" i="2"/>
  <c r="K1761" i="2"/>
  <c r="K1741" i="2"/>
  <c r="C1673" i="2"/>
  <c r="H1632" i="2"/>
  <c r="E1806" i="2"/>
  <c r="J1743" i="2"/>
  <c r="G1699" i="2"/>
  <c r="N1663" i="2"/>
  <c r="T1634" i="2"/>
  <c r="S1823" i="2"/>
  <c r="G1774" i="2"/>
  <c r="G1756" i="2"/>
  <c r="G1738" i="2"/>
  <c r="E1672" i="2"/>
  <c r="P1833" i="2"/>
  <c r="A1747" i="2"/>
  <c r="C1713" i="2"/>
  <c r="E1671" i="2"/>
  <c r="C1658" i="2"/>
  <c r="C1646" i="2"/>
  <c r="C1634" i="2"/>
  <c r="C1622" i="2"/>
  <c r="J1887" i="2"/>
  <c r="D1792" i="2"/>
  <c r="T1752" i="2"/>
  <c r="Q1836" i="2"/>
  <c r="E1674" i="2"/>
  <c r="D1623" i="2"/>
  <c r="S1594" i="2"/>
  <c r="M1895" i="2"/>
  <c r="F1668" i="2"/>
  <c r="A1620" i="2"/>
  <c r="R1592" i="2"/>
  <c r="S1811" i="2"/>
  <c r="Q1661" i="2"/>
  <c r="A1616" i="2"/>
  <c r="R1783" i="2"/>
  <c r="J1657" i="2"/>
  <c r="H1613" i="2"/>
  <c r="P1592" i="2"/>
  <c r="P1580" i="2"/>
  <c r="C1765" i="2"/>
  <c r="H1653" i="2"/>
  <c r="A1611" i="2"/>
  <c r="A1590" i="2"/>
  <c r="F1728" i="2"/>
  <c r="F1645" i="2"/>
  <c r="H1607" i="2"/>
  <c r="T1585" i="2"/>
  <c r="E1722" i="2"/>
  <c r="Q1643" i="2"/>
  <c r="R1676" i="2"/>
  <c r="O1624" i="2"/>
  <c r="F1601" i="2"/>
  <c r="A1583" i="2"/>
  <c r="H1695" i="2"/>
  <c r="F1655" i="2"/>
  <c r="F1623" i="2"/>
  <c r="Q1604" i="2"/>
  <c r="G1592" i="2"/>
  <c r="D1916" i="2"/>
  <c r="R1624" i="2"/>
  <c r="K1588" i="2"/>
  <c r="H1569" i="2"/>
  <c r="H1557" i="2"/>
  <c r="H1545" i="2"/>
  <c r="H1533" i="2"/>
  <c r="H1521" i="2"/>
  <c r="H1509" i="2"/>
  <c r="H1497" i="2"/>
  <c r="H1485" i="2"/>
  <c r="H1473" i="2"/>
  <c r="H1461" i="2"/>
  <c r="H1449" i="2"/>
  <c r="H1437" i="2"/>
  <c r="E1646" i="2"/>
  <c r="Q1594" i="2"/>
  <c r="O1572" i="2"/>
  <c r="G1561" i="2"/>
  <c r="G1551" i="2"/>
  <c r="N1540" i="2"/>
  <c r="G1529" i="2"/>
  <c r="G1519" i="2"/>
  <c r="N1508" i="2"/>
  <c r="T1497" i="2"/>
  <c r="G1489" i="2"/>
  <c r="F1910" i="2"/>
  <c r="J1651" i="2"/>
  <c r="A1608" i="2"/>
  <c r="M1586" i="2"/>
  <c r="N1572" i="2"/>
  <c r="M1564" i="2"/>
  <c r="M1556" i="2"/>
  <c r="M1548" i="2"/>
  <c r="M1540" i="2"/>
  <c r="M1532" i="2"/>
  <c r="M1524" i="2"/>
  <c r="M1516" i="2"/>
  <c r="M1508" i="2"/>
  <c r="M1500" i="2"/>
  <c r="M1492" i="2"/>
  <c r="M1484" i="2"/>
  <c r="M1476" i="2"/>
  <c r="M1468" i="2"/>
  <c r="M1460" i="2"/>
  <c r="M1452" i="2"/>
  <c r="M1444" i="2"/>
  <c r="G1696" i="2"/>
  <c r="M1623" i="2"/>
  <c r="D1596" i="2"/>
  <c r="H1578" i="2"/>
  <c r="K1568" i="2"/>
  <c r="K1560" i="2"/>
  <c r="K1552" i="2"/>
  <c r="K1544" i="2"/>
  <c r="K1536" i="2"/>
  <c r="K1528" i="2"/>
  <c r="K1520" i="2"/>
  <c r="K1512" i="2"/>
  <c r="K1504" i="2"/>
  <c r="K1496" i="2"/>
  <c r="K1488" i="2"/>
  <c r="K1480" i="2"/>
  <c r="K1472" i="2"/>
  <c r="K1464" i="2"/>
  <c r="K1456" i="2"/>
  <c r="K1448" i="2"/>
  <c r="S1874" i="2"/>
  <c r="E1650" i="2"/>
  <c r="S1607" i="2"/>
  <c r="J1586" i="2"/>
  <c r="K1572" i="2"/>
  <c r="J1564" i="2"/>
  <c r="J1556" i="2"/>
  <c r="J1548" i="2"/>
  <c r="J1540" i="2"/>
  <c r="J1532" i="2"/>
  <c r="J1524" i="2"/>
  <c r="J1516" i="2"/>
  <c r="J1508" i="2"/>
  <c r="J1500" i="2"/>
  <c r="J1492" i="2"/>
  <c r="J1484" i="2"/>
  <c r="J1476" i="2"/>
  <c r="J1468" i="2"/>
  <c r="J1460" i="2"/>
  <c r="J1452" i="2"/>
  <c r="J1444" i="2"/>
  <c r="J1436" i="2"/>
  <c r="F1667" i="2"/>
  <c r="M1614" i="2"/>
  <c r="D1591" i="2"/>
  <c r="D1575" i="2"/>
  <c r="M1659" i="2"/>
  <c r="N1611" i="2"/>
  <c r="F1589" i="2"/>
  <c r="D1574" i="2"/>
  <c r="O1565" i="2"/>
  <c r="O1557" i="2"/>
  <c r="O1549" i="2"/>
  <c r="O1541" i="2"/>
  <c r="O1533" i="2"/>
  <c r="O1525" i="2"/>
  <c r="O1517" i="2"/>
  <c r="O1509" i="2"/>
  <c r="O1501" i="2"/>
  <c r="O1493" i="2"/>
  <c r="O1485" i="2"/>
  <c r="O1477" i="2"/>
  <c r="O1469" i="2"/>
  <c r="O1461" i="2"/>
  <c r="O1453" i="2"/>
  <c r="O1445" i="2"/>
  <c r="O1437" i="2"/>
  <c r="E1682" i="2"/>
  <c r="J1619" i="2"/>
  <c r="Q2025" i="2"/>
  <c r="G1813" i="2"/>
  <c r="K1872" i="2"/>
  <c r="D1957" i="2"/>
  <c r="C1897" i="2"/>
  <c r="O1821" i="2"/>
  <c r="R1954" i="2"/>
  <c r="T1733" i="2"/>
  <c r="S1685" i="2"/>
  <c r="R1691" i="2"/>
  <c r="H1805" i="2"/>
  <c r="J1776" i="2"/>
  <c r="Q1693" i="2"/>
  <c r="A1766" i="2"/>
  <c r="A1668" i="2"/>
  <c r="G1920" i="2"/>
  <c r="R1778" i="2"/>
  <c r="C1711" i="2"/>
  <c r="R1809" i="2"/>
  <c r="O1713" i="2"/>
  <c r="K1644" i="2"/>
  <c r="J1843" i="2"/>
  <c r="P1738" i="2"/>
  <c r="O1768" i="2"/>
  <c r="A1674" i="2"/>
  <c r="C1655" i="2"/>
  <c r="O1719" i="2"/>
  <c r="O1631" i="2"/>
  <c r="R1804" i="2"/>
  <c r="H1742" i="2"/>
  <c r="G1698" i="2"/>
  <c r="T1662" i="2"/>
  <c r="N1633" i="2"/>
  <c r="A1822" i="2"/>
  <c r="P1718" i="2"/>
  <c r="M1695" i="2"/>
  <c r="J1831" i="2"/>
  <c r="D1778" i="2"/>
  <c r="D1742" i="2"/>
  <c r="F1712" i="2"/>
  <c r="P1691" i="2"/>
  <c r="H1670" i="2"/>
  <c r="D1880" i="2"/>
  <c r="Q1790" i="2"/>
  <c r="C1752" i="2"/>
  <c r="H1823" i="2"/>
  <c r="F1665" i="2"/>
  <c r="D1618" i="2"/>
  <c r="M1591" i="2"/>
  <c r="C1803" i="2"/>
  <c r="F1660" i="2"/>
  <c r="D1615" i="2"/>
  <c r="K1589" i="2"/>
  <c r="E1772" i="2"/>
  <c r="R1654" i="2"/>
  <c r="S1611" i="2"/>
  <c r="H1753" i="2"/>
  <c r="Q1650" i="2"/>
  <c r="N1609" i="2"/>
  <c r="C1592" i="2"/>
  <c r="C1580" i="2"/>
  <c r="C1759" i="2"/>
  <c r="A1652" i="2"/>
  <c r="G1610" i="2"/>
  <c r="H1589" i="2"/>
  <c r="O1707" i="2"/>
  <c r="M1638" i="2"/>
  <c r="N1606" i="2"/>
  <c r="N1582" i="2"/>
  <c r="O1717" i="2"/>
  <c r="J1642" i="2"/>
  <c r="H1623" i="2"/>
  <c r="P1599" i="2"/>
  <c r="S1902" i="2"/>
  <c r="H1687" i="2"/>
  <c r="F1651" i="2"/>
  <c r="E1620" i="2"/>
  <c r="C1604" i="2"/>
  <c r="G1590" i="2"/>
  <c r="S1816" i="2"/>
  <c r="C1587" i="2"/>
  <c r="O1568" i="2"/>
  <c r="O1556" i="2"/>
  <c r="O1544" i="2"/>
  <c r="O1532" i="2"/>
  <c r="O1520" i="2"/>
  <c r="O1508" i="2"/>
  <c r="O1496" i="2"/>
  <c r="O1484" i="2"/>
  <c r="O1472" i="2"/>
  <c r="O1460" i="2"/>
  <c r="O1448" i="2"/>
  <c r="O1436" i="2"/>
  <c r="R1640" i="2"/>
  <c r="E1593" i="2"/>
  <c r="T1571" i="2"/>
  <c r="N1560" i="2"/>
  <c r="N1550" i="2"/>
  <c r="T1539" i="2"/>
  <c r="N1528" i="2"/>
  <c r="N1518" i="2"/>
  <c r="T1507" i="2"/>
  <c r="G1497" i="2"/>
  <c r="N1488" i="2"/>
  <c r="C1815" i="2"/>
  <c r="D1646" i="2"/>
  <c r="Q1605" i="2"/>
  <c r="D1585" i="2"/>
  <c r="S1571" i="2"/>
  <c r="S1563" i="2"/>
  <c r="S1555" i="2"/>
  <c r="S1547" i="2"/>
  <c r="S1539" i="2"/>
  <c r="S1531" i="2"/>
  <c r="S1523" i="2"/>
  <c r="S1515" i="2"/>
  <c r="S1507" i="2"/>
  <c r="S1499" i="2"/>
  <c r="S1491" i="2"/>
  <c r="S1483" i="2"/>
  <c r="S1475" i="2"/>
  <c r="S1467" i="2"/>
  <c r="S1459" i="2"/>
  <c r="S1451" i="2"/>
  <c r="S1443" i="2"/>
  <c r="K1685" i="2"/>
  <c r="J1620" i="2"/>
  <c r="K1594" i="2"/>
  <c r="F1577" i="2"/>
  <c r="R1567" i="2"/>
  <c r="R1559" i="2"/>
  <c r="R1551" i="2"/>
  <c r="R1543" i="2"/>
  <c r="R1535" i="2"/>
  <c r="R1527" i="2"/>
  <c r="R1519" i="2"/>
  <c r="R1511" i="2"/>
  <c r="R1503" i="2"/>
  <c r="R1495" i="2"/>
  <c r="R1487" i="2"/>
  <c r="R1479" i="2"/>
  <c r="R1471" i="2"/>
  <c r="R1463" i="2"/>
  <c r="R1455" i="2"/>
  <c r="R1447" i="2"/>
  <c r="F1807" i="2"/>
  <c r="R1644" i="2"/>
  <c r="O1605" i="2"/>
  <c r="Q1584" i="2"/>
  <c r="Q1571" i="2"/>
  <c r="Q1563" i="2"/>
  <c r="Q1555" i="2"/>
  <c r="Q1547" i="2"/>
  <c r="Q1539" i="2"/>
  <c r="Q1531" i="2"/>
  <c r="Q1523" i="2"/>
  <c r="Q1515" i="2"/>
  <c r="Q1507" i="2"/>
  <c r="Q1499" i="2"/>
  <c r="Q1491" i="2"/>
  <c r="Q1483" i="2"/>
  <c r="Q1475" i="2"/>
  <c r="Q1467" i="2"/>
  <c r="Q1459" i="2"/>
  <c r="Q1451" i="2"/>
  <c r="Q1443" i="2"/>
  <c r="Q1435" i="2"/>
  <c r="Q1660" i="2"/>
  <c r="E1612" i="2"/>
  <c r="J1589" i="2"/>
  <c r="G1574" i="2"/>
  <c r="P1565" i="2"/>
  <c r="P1557" i="2"/>
  <c r="P1549" i="2"/>
  <c r="P1541" i="2"/>
  <c r="P1533" i="2"/>
  <c r="P1525" i="2"/>
  <c r="P1517" i="2"/>
  <c r="P1509" i="2"/>
  <c r="P1501" i="2"/>
  <c r="P1493" i="2"/>
  <c r="P1485" i="2"/>
  <c r="P1477" i="2"/>
  <c r="P1469" i="2"/>
  <c r="F1654" i="2"/>
  <c r="J1609" i="2"/>
  <c r="Q1587" i="2"/>
  <c r="F1573" i="2"/>
  <c r="A1565" i="2"/>
  <c r="A1557" i="2"/>
  <c r="A1549" i="2"/>
  <c r="A1541" i="2"/>
  <c r="A1533" i="2"/>
  <c r="A1525" i="2"/>
  <c r="A1517" i="2"/>
  <c r="C1822" i="2"/>
  <c r="H1911" i="2"/>
  <c r="F1984" i="2"/>
  <c r="K1838" i="2"/>
  <c r="O1805" i="2"/>
  <c r="Q1850" i="2"/>
  <c r="J1873" i="2"/>
  <c r="S1896" i="2"/>
  <c r="K1678" i="2"/>
  <c r="J1770" i="2"/>
  <c r="J1688" i="2"/>
  <c r="A1764" i="2"/>
  <c r="G1667" i="2"/>
  <c r="F1914" i="2"/>
  <c r="R1774" i="2"/>
  <c r="F1710" i="2"/>
  <c r="R1803" i="2"/>
  <c r="E1710" i="2"/>
  <c r="R1643" i="2"/>
  <c r="D1841" i="2"/>
  <c r="P1734" i="2"/>
  <c r="F1958" i="2"/>
  <c r="O1760" i="2"/>
  <c r="M1671" i="2"/>
  <c r="P1639" i="2"/>
  <c r="D1904" i="2"/>
  <c r="K1777" i="2"/>
  <c r="A1718" i="2"/>
  <c r="H1666" i="2"/>
  <c r="O1625" i="2"/>
  <c r="E1791" i="2"/>
  <c r="H1736" i="2"/>
  <c r="T1692" i="2"/>
  <c r="T1658" i="2"/>
  <c r="G1630" i="2"/>
  <c r="Q1810" i="2"/>
  <c r="F1714" i="2"/>
  <c r="P1694" i="2"/>
  <c r="S1666" i="2"/>
  <c r="P1821" i="2"/>
  <c r="A1777" i="2"/>
  <c r="A1741" i="2"/>
  <c r="S1690" i="2"/>
  <c r="J1848" i="2"/>
  <c r="H1783" i="2"/>
  <c r="T1746" i="2"/>
  <c r="C1779" i="2"/>
  <c r="K1663" i="2"/>
  <c r="C1617" i="2"/>
  <c r="S1590" i="2"/>
  <c r="A1794" i="2"/>
  <c r="S1658" i="2"/>
  <c r="G1614" i="2"/>
  <c r="R1588" i="2"/>
  <c r="E1766" i="2"/>
  <c r="K1653" i="2"/>
  <c r="D1611" i="2"/>
  <c r="H1747" i="2"/>
  <c r="J1649" i="2"/>
  <c r="S1608" i="2"/>
  <c r="C1729" i="2"/>
  <c r="H1645" i="2"/>
  <c r="A1586" i="2"/>
  <c r="E1704" i="2"/>
  <c r="F1637" i="2"/>
  <c r="T1581" i="2"/>
  <c r="A1700" i="2"/>
  <c r="P1839" i="2"/>
  <c r="J1665" i="2"/>
  <c r="C1941" i="2"/>
  <c r="A1965" i="2"/>
  <c r="A1892" i="2"/>
  <c r="Q1970" i="2"/>
  <c r="K1834" i="2"/>
  <c r="C1849" i="2"/>
  <c r="O1785" i="2"/>
  <c r="J1861" i="2"/>
  <c r="S1892" i="2"/>
  <c r="Q1904" i="2"/>
  <c r="Q1757" i="2"/>
  <c r="Q1679" i="2"/>
  <c r="A1744" i="2"/>
  <c r="G1659" i="2"/>
  <c r="R1762" i="2"/>
  <c r="R1785" i="2"/>
  <c r="K1699" i="2"/>
  <c r="R1635" i="2"/>
  <c r="S1815" i="2"/>
  <c r="P1726" i="2"/>
  <c r="M1911" i="2"/>
  <c r="O1756" i="2"/>
  <c r="C1639" i="2"/>
  <c r="S1890" i="2"/>
  <c r="A1710" i="2"/>
  <c r="O1665" i="2"/>
  <c r="H1624" i="2"/>
  <c r="R1789" i="2"/>
  <c r="H1734" i="2"/>
  <c r="D1692" i="2"/>
  <c r="N1657" i="2"/>
  <c r="N1629" i="2"/>
  <c r="D1809" i="2"/>
  <c r="F1666" i="2"/>
  <c r="Q1819" i="2"/>
  <c r="D1772" i="2"/>
  <c r="D1736" i="2"/>
  <c r="P1666" i="2"/>
  <c r="P1654" i="2"/>
  <c r="P1642" i="2"/>
  <c r="P1630" i="2"/>
  <c r="P1618" i="2"/>
  <c r="O1844" i="2"/>
  <c r="E1782" i="2"/>
  <c r="C1746" i="2"/>
  <c r="C1773" i="2"/>
  <c r="J1656" i="2"/>
  <c r="Q1612" i="2"/>
  <c r="M1587" i="2"/>
  <c r="F1760" i="2"/>
  <c r="F1652" i="2"/>
  <c r="J1610" i="2"/>
  <c r="K1585" i="2"/>
  <c r="E1736" i="2"/>
  <c r="R1646" i="2"/>
  <c r="O1718" i="2"/>
  <c r="Q1642" i="2"/>
  <c r="G1605" i="2"/>
  <c r="C1723" i="2"/>
  <c r="A1644" i="2"/>
  <c r="O1606" i="2"/>
  <c r="H1585" i="2"/>
  <c r="H1688" i="2"/>
  <c r="M1630" i="2"/>
  <c r="T1602" i="2"/>
  <c r="N1578" i="2"/>
  <c r="H1696" i="2"/>
  <c r="F1825" i="2"/>
  <c r="S1663" i="2"/>
  <c r="F1617" i="2"/>
  <c r="O1595" i="2"/>
  <c r="P1813" i="2"/>
  <c r="H1679" i="2"/>
  <c r="S1645" i="2"/>
  <c r="F1616" i="2"/>
  <c r="D1601" i="2"/>
  <c r="T1588" i="2"/>
  <c r="D1714" i="2"/>
  <c r="A1613" i="2"/>
  <c r="Q1583" i="2"/>
  <c r="A1566" i="2"/>
  <c r="H1555" i="2"/>
  <c r="A1542" i="2"/>
  <c r="H1531" i="2"/>
  <c r="A1518" i="2"/>
  <c r="H1507" i="2"/>
  <c r="A1494" i="2"/>
  <c r="H1483" i="2"/>
  <c r="A1470" i="2"/>
  <c r="H1459" i="2"/>
  <c r="A1446" i="2"/>
  <c r="H1435" i="2"/>
  <c r="Q1624" i="2"/>
  <c r="S1589" i="2"/>
  <c r="G1569" i="2"/>
  <c r="G1559" i="2"/>
  <c r="N1548" i="2"/>
  <c r="G1537" i="2"/>
  <c r="G1527" i="2"/>
  <c r="N1516" i="2"/>
  <c r="G1505" i="2"/>
  <c r="T1495" i="2"/>
  <c r="G1487" i="2"/>
  <c r="F1756" i="2"/>
  <c r="Q1635" i="2"/>
  <c r="J1601" i="2"/>
  <c r="R1581" i="2"/>
  <c r="M1570" i="2"/>
  <c r="M1562" i="2"/>
  <c r="M1554" i="2"/>
  <c r="M1546" i="2"/>
  <c r="M1538" i="2"/>
  <c r="M1530" i="2"/>
  <c r="M1522" i="2"/>
  <c r="M1514" i="2"/>
  <c r="M1506" i="2"/>
  <c r="M1498" i="2"/>
  <c r="M1490" i="2"/>
  <c r="M1482" i="2"/>
  <c r="M1474" i="2"/>
  <c r="M1466" i="2"/>
  <c r="M1458" i="2"/>
  <c r="M1450" i="2"/>
  <c r="M1442" i="2"/>
  <c r="J1667" i="2"/>
  <c r="Q1614" i="2"/>
  <c r="F1591" i="2"/>
  <c r="F1575" i="2"/>
  <c r="K1566" i="2"/>
  <c r="K1558" i="2"/>
  <c r="K1550" i="2"/>
  <c r="K1542" i="2"/>
  <c r="K1534" i="2"/>
  <c r="K1526" i="2"/>
  <c r="K1518" i="2"/>
  <c r="K1510" i="2"/>
  <c r="K1502" i="2"/>
  <c r="K1494" i="2"/>
  <c r="K1486" i="2"/>
  <c r="K1478" i="2"/>
  <c r="K1470" i="2"/>
  <c r="K1462" i="2"/>
  <c r="K1454" i="2"/>
  <c r="K1446" i="2"/>
  <c r="C1751" i="2"/>
  <c r="K1635" i="2"/>
  <c r="H1601" i="2"/>
  <c r="P1581" i="2"/>
  <c r="J1570" i="2"/>
  <c r="J1562" i="2"/>
  <c r="J1554" i="2"/>
  <c r="J1546" i="2"/>
  <c r="J1538" i="2"/>
  <c r="J1530" i="2"/>
  <c r="J1522" i="2"/>
  <c r="J1514" i="2"/>
  <c r="J1506" i="2"/>
  <c r="J1498" i="2"/>
  <c r="J1490" i="2"/>
  <c r="J1482" i="2"/>
  <c r="J1474" i="2"/>
  <c r="J1466" i="2"/>
  <c r="J1458" i="2"/>
  <c r="J1450" i="2"/>
  <c r="J1442" i="2"/>
  <c r="D1868" i="2"/>
  <c r="D1650" i="2"/>
  <c r="Q1607" i="2"/>
  <c r="J1572" i="2"/>
  <c r="O1798" i="2"/>
  <c r="M1643" i="2"/>
  <c r="C1605" i="2"/>
  <c r="K1584" i="2"/>
  <c r="O1571" i="2"/>
  <c r="O1563" i="2"/>
  <c r="O1555" i="2"/>
  <c r="O1547" i="2"/>
  <c r="O1539" i="2"/>
  <c r="O1531" i="2"/>
  <c r="O1523" i="2"/>
  <c r="O1515" i="2"/>
  <c r="O1507" i="2"/>
  <c r="O1499" i="2"/>
  <c r="O1491" i="2"/>
  <c r="O1483" i="2"/>
  <c r="O1475" i="2"/>
  <c r="O1467" i="2"/>
  <c r="O1459" i="2"/>
  <c r="O1451" i="2"/>
  <c r="A1949" i="2"/>
  <c r="P1840" i="2"/>
  <c r="H1863" i="2"/>
  <c r="M1908" i="2"/>
  <c r="M1953" i="2"/>
  <c r="M1905" i="2"/>
  <c r="K1803" i="2"/>
  <c r="M1843" i="2"/>
  <c r="D1757" i="2"/>
  <c r="D1679" i="2"/>
  <c r="S1742" i="2"/>
  <c r="N1658" i="2"/>
  <c r="J1841" i="2"/>
  <c r="R1758" i="2"/>
  <c r="Q1780" i="2"/>
  <c r="O1698" i="2"/>
  <c r="E1635" i="2"/>
  <c r="Q1812" i="2"/>
  <c r="P1722" i="2"/>
  <c r="F1856" i="2"/>
  <c r="O1748" i="2"/>
  <c r="M1697" i="2"/>
  <c r="P1665" i="2"/>
  <c r="F1840" i="2"/>
  <c r="K1755" i="2"/>
  <c r="A1709" i="2"/>
  <c r="O1659" i="2"/>
  <c r="H1618" i="2"/>
  <c r="J1779" i="2"/>
  <c r="J1727" i="2"/>
  <c r="Q1686" i="2"/>
  <c r="G1654" i="2"/>
  <c r="T1624" i="2"/>
  <c r="D1800" i="2"/>
  <c r="G1768" i="2"/>
  <c r="G1750" i="2"/>
  <c r="G1732" i="2"/>
  <c r="S1662" i="2"/>
  <c r="A1771" i="2"/>
  <c r="A1735" i="2"/>
  <c r="P1707" i="2"/>
  <c r="C1666" i="2"/>
  <c r="C1654" i="2"/>
  <c r="C1642" i="2"/>
  <c r="C1630" i="2"/>
  <c r="C1618" i="2"/>
  <c r="O1830" i="2"/>
  <c r="T1776" i="2"/>
  <c r="T1740" i="2"/>
  <c r="C1743" i="2"/>
  <c r="D1655" i="2"/>
  <c r="A1612" i="2"/>
  <c r="S1586" i="2"/>
  <c r="F1754" i="2"/>
  <c r="S1650" i="2"/>
  <c r="P1609" i="2"/>
  <c r="R1584" i="2"/>
  <c r="E1730" i="2"/>
  <c r="K1645" i="2"/>
  <c r="K1607" i="2"/>
  <c r="A1715" i="2"/>
  <c r="J1641" i="2"/>
  <c r="M1604" i="2"/>
  <c r="P1588" i="2"/>
  <c r="P1576" i="2"/>
  <c r="G1704" i="2"/>
  <c r="H1637" i="2"/>
  <c r="T1605" i="2"/>
  <c r="A1582" i="2"/>
  <c r="O1685" i="2"/>
  <c r="F1629" i="2"/>
  <c r="F1602" i="2"/>
  <c r="T1577" i="2"/>
  <c r="T1682" i="2"/>
  <c r="E1780" i="2"/>
  <c r="O1656" i="2"/>
  <c r="S1612" i="2"/>
  <c r="A1595" i="2"/>
  <c r="P1795" i="2"/>
  <c r="G1674" i="2"/>
  <c r="F1643" i="2"/>
  <c r="G1588" i="2"/>
  <c r="T1699" i="2"/>
  <c r="Q1610" i="2"/>
  <c r="N1579" i="2"/>
  <c r="H1565" i="2"/>
  <c r="H1553" i="2"/>
  <c r="H1541" i="2"/>
  <c r="H1529" i="2"/>
  <c r="H1517" i="2"/>
  <c r="H1505" i="2"/>
  <c r="H1493" i="2"/>
  <c r="H1481" i="2"/>
  <c r="H1469" i="2"/>
  <c r="H1457" i="2"/>
  <c r="H1445" i="2"/>
  <c r="J1816" i="2"/>
  <c r="H1621" i="2"/>
  <c r="E1585" i="2"/>
  <c r="N1568" i="2"/>
  <c r="N1558" i="2"/>
  <c r="T1547" i="2"/>
  <c r="N1536" i="2"/>
  <c r="N1526" i="2"/>
  <c r="T1515" i="2"/>
  <c r="N1504" i="2"/>
  <c r="G1495" i="2"/>
  <c r="N1486" i="2"/>
  <c r="F1732" i="2"/>
  <c r="Q1631" i="2"/>
  <c r="K1599" i="2"/>
  <c r="J1580" i="2"/>
  <c r="S1569" i="2"/>
  <c r="S1561" i="2"/>
  <c r="S1553" i="2"/>
  <c r="S1545" i="2"/>
  <c r="S1537" i="2"/>
  <c r="S1529" i="2"/>
  <c r="S1521" i="2"/>
  <c r="S1513" i="2"/>
  <c r="S1505" i="2"/>
  <c r="S1497" i="2"/>
  <c r="S1489" i="2"/>
  <c r="S1481" i="2"/>
  <c r="S1473" i="2"/>
  <c r="S1465" i="2"/>
  <c r="S1457" i="2"/>
  <c r="S1449" i="2"/>
  <c r="S1441" i="2"/>
  <c r="D1661" i="2"/>
  <c r="G1612" i="2"/>
  <c r="Q1589" i="2"/>
  <c r="R1565" i="2"/>
  <c r="R1557" i="2"/>
  <c r="R1549" i="2"/>
  <c r="R1541" i="2"/>
  <c r="R1533" i="2"/>
  <c r="R1525" i="2"/>
  <c r="R1517" i="2"/>
  <c r="R1509" i="2"/>
  <c r="R1501" i="2"/>
  <c r="R1493" i="2"/>
  <c r="R1485" i="2"/>
  <c r="R1477" i="2"/>
  <c r="R1469" i="2"/>
  <c r="R1461" i="2"/>
  <c r="R1453" i="2"/>
  <c r="R1445" i="2"/>
  <c r="C1727" i="2"/>
  <c r="K1631" i="2"/>
  <c r="F1599" i="2"/>
  <c r="G1580" i="2"/>
  <c r="Q1569" i="2"/>
  <c r="Q1561" i="2"/>
  <c r="Q1553" i="2"/>
  <c r="Q1545" i="2"/>
  <c r="Q1537" i="2"/>
  <c r="Q1529" i="2"/>
  <c r="Q1521" i="2"/>
  <c r="Q1513" i="2"/>
  <c r="Q1505" i="2"/>
  <c r="Q1497" i="2"/>
  <c r="Q1489" i="2"/>
  <c r="Q1481" i="2"/>
  <c r="Q1473" i="2"/>
  <c r="Q1465" i="2"/>
  <c r="Q1457" i="2"/>
  <c r="Q1449" i="2"/>
  <c r="Q1441" i="2"/>
  <c r="A1806" i="2"/>
  <c r="Q1644" i="2"/>
  <c r="N1605" i="2"/>
  <c r="M1584" i="2"/>
  <c r="P1571" i="2"/>
  <c r="P1563" i="2"/>
  <c r="P1555" i="2"/>
  <c r="P1547" i="2"/>
  <c r="P1539" i="2"/>
  <c r="P1531" i="2"/>
  <c r="P1523" i="2"/>
  <c r="P1515" i="2"/>
  <c r="P1507" i="2"/>
  <c r="P1499" i="2"/>
  <c r="P1491" i="2"/>
  <c r="P1483" i="2"/>
  <c r="P1475" i="2"/>
  <c r="H1769" i="2"/>
  <c r="J1638" i="2"/>
  <c r="S1602" i="2"/>
  <c r="C1583" i="2"/>
  <c r="A1571" i="2"/>
  <c r="A1563" i="2"/>
  <c r="A1555" i="2"/>
  <c r="A1547" i="2"/>
  <c r="A1539" i="2"/>
  <c r="A1531" i="2"/>
  <c r="A1523" i="2"/>
  <c r="A1515" i="2"/>
  <c r="G1942" i="2"/>
  <c r="E2056" i="2"/>
  <c r="M1904" i="2"/>
  <c r="G1914" i="2"/>
  <c r="M1901" i="2"/>
  <c r="K1800" i="2"/>
  <c r="J1812" i="2"/>
  <c r="J1746" i="2"/>
  <c r="Q1669" i="2"/>
  <c r="A1730" i="2"/>
  <c r="N1650" i="2"/>
  <c r="F1836" i="2"/>
  <c r="R1746" i="2"/>
  <c r="Q1768" i="2"/>
  <c r="A1688" i="2"/>
  <c r="E1627" i="2"/>
  <c r="Q1794" i="2"/>
  <c r="J1715" i="2"/>
  <c r="C1841" i="2"/>
  <c r="O1744" i="2"/>
  <c r="P1695" i="2"/>
  <c r="C1665" i="2"/>
  <c r="P1649" i="2"/>
  <c r="A1838" i="2"/>
  <c r="K1733" i="2"/>
  <c r="E1700" i="2"/>
  <c r="H1658" i="2"/>
  <c r="O1617" i="2"/>
  <c r="H1778" i="2"/>
  <c r="H1726" i="2"/>
  <c r="T1684" i="2"/>
  <c r="N1653" i="2"/>
  <c r="G1624" i="2"/>
  <c r="Q1798" i="2"/>
  <c r="C1708" i="2"/>
  <c r="C1683" i="2"/>
  <c r="F1662" i="2"/>
  <c r="R1811" i="2"/>
  <c r="D1766" i="2"/>
  <c r="D1730" i="2"/>
  <c r="S1706" i="2"/>
  <c r="M1685" i="2"/>
  <c r="M1828" i="2"/>
  <c r="C1776" i="2"/>
  <c r="C1740" i="2"/>
  <c r="C1737" i="2"/>
  <c r="J1648" i="2"/>
  <c r="H1608" i="2"/>
  <c r="M1583" i="2"/>
  <c r="F1724" i="2"/>
  <c r="F1644" i="2"/>
  <c r="D1606" i="2"/>
  <c r="K1581" i="2"/>
  <c r="O1708" i="2"/>
  <c r="R1638" i="2"/>
  <c r="Q1606" i="2"/>
  <c r="H1697" i="2"/>
  <c r="Q1634" i="2"/>
  <c r="S1600" i="2"/>
  <c r="C1588" i="2"/>
  <c r="C1576" i="2"/>
  <c r="Q1700" i="2"/>
  <c r="A1636" i="2"/>
  <c r="G1602" i="2"/>
  <c r="H1581" i="2"/>
  <c r="O1622" i="2"/>
  <c r="N1598" i="2"/>
  <c r="M1923" i="2"/>
  <c r="G1680" i="2"/>
  <c r="E1774" i="2"/>
  <c r="H1655" i="2"/>
  <c r="D1612" i="2"/>
  <c r="A1593" i="2"/>
  <c r="O1786" i="2"/>
  <c r="S1641" i="2"/>
  <c r="N1613" i="2"/>
  <c r="G1598" i="2"/>
  <c r="N1587" i="2"/>
  <c r="G1669" i="2"/>
  <c r="N1608" i="2"/>
  <c r="K1578" i="2"/>
  <c r="O1564" i="2"/>
  <c r="O1552" i="2"/>
  <c r="O1540" i="2"/>
  <c r="O1528" i="2"/>
  <c r="O1516" i="2"/>
  <c r="O1504" i="2"/>
  <c r="O1492" i="2"/>
  <c r="O1480" i="2"/>
  <c r="O1468" i="2"/>
  <c r="O1456" i="2"/>
  <c r="O1444" i="2"/>
  <c r="D1781" i="2"/>
  <c r="G1618" i="2"/>
  <c r="P1583" i="2"/>
  <c r="T1567" i="2"/>
  <c r="T1557" i="2"/>
  <c r="G1547" i="2"/>
  <c r="T1535" i="2"/>
  <c r="T1525" i="2"/>
  <c r="G1515" i="2"/>
  <c r="T1503" i="2"/>
  <c r="N1494" i="2"/>
  <c r="T1485" i="2"/>
  <c r="H1713" i="2"/>
  <c r="Q1627" i="2"/>
  <c r="R1597" i="2"/>
  <c r="H1579" i="2"/>
  <c r="F1569" i="2"/>
  <c r="F1561" i="2"/>
  <c r="F1553" i="2"/>
  <c r="F1545" i="2"/>
  <c r="F1537" i="2"/>
  <c r="F1529" i="2"/>
  <c r="F1521" i="2"/>
  <c r="F1513" i="2"/>
  <c r="F1505" i="2"/>
  <c r="F1497" i="2"/>
  <c r="F1489" i="2"/>
  <c r="F1481" i="2"/>
  <c r="F1473" i="2"/>
  <c r="F1465" i="2"/>
  <c r="F1457" i="2"/>
  <c r="F1449" i="2"/>
  <c r="F1441" i="2"/>
  <c r="M1655" i="2"/>
  <c r="D1610" i="2"/>
  <c r="D1588" i="2"/>
  <c r="J1573" i="2"/>
  <c r="E1565" i="2"/>
  <c r="E1557" i="2"/>
  <c r="E1549" i="2"/>
  <c r="E1541" i="2"/>
  <c r="E1533" i="2"/>
  <c r="E1525" i="2"/>
  <c r="E1517" i="2"/>
  <c r="E1509" i="2"/>
  <c r="E1501" i="2"/>
  <c r="E1493" i="2"/>
  <c r="E1485" i="2"/>
  <c r="E1477" i="2"/>
  <c r="E1469" i="2"/>
  <c r="E1461" i="2"/>
  <c r="E1453" i="2"/>
  <c r="E1445" i="2"/>
  <c r="H1710" i="2"/>
  <c r="K1627" i="2"/>
  <c r="P1597" i="2"/>
  <c r="E1579" i="2"/>
  <c r="D1569" i="2"/>
  <c r="D1561" i="2"/>
  <c r="D1553" i="2"/>
  <c r="D1545" i="2"/>
  <c r="D1537" i="2"/>
  <c r="D1529" i="2"/>
  <c r="D1521" i="2"/>
  <c r="D1513" i="2"/>
  <c r="D1505" i="2"/>
  <c r="D1497" i="2"/>
  <c r="D1489" i="2"/>
  <c r="D1481" i="2"/>
  <c r="D1473" i="2"/>
  <c r="D1465" i="2"/>
  <c r="D1457" i="2"/>
  <c r="D1449" i="2"/>
  <c r="D1441" i="2"/>
  <c r="F1774" i="2"/>
  <c r="J1639" i="2"/>
  <c r="J1603" i="2"/>
  <c r="D1583" i="2"/>
  <c r="C1571" i="2"/>
  <c r="C1563" i="2"/>
  <c r="C1555" i="2"/>
  <c r="C1547" i="2"/>
  <c r="C1539" i="2"/>
  <c r="C1531" i="2"/>
  <c r="C1523" i="2"/>
  <c r="C1515" i="2"/>
  <c r="C1507" i="2"/>
  <c r="C1499" i="2"/>
  <c r="C1491" i="2"/>
  <c r="C1483" i="2"/>
  <c r="C1475" i="2"/>
  <c r="H1745" i="2"/>
  <c r="J1634" i="2"/>
  <c r="P1600" i="2"/>
  <c r="F1581" i="2"/>
  <c r="H1570" i="2"/>
  <c r="H1562" i="2"/>
  <c r="H1554" i="2"/>
  <c r="H1546" i="2"/>
  <c r="H1538" i="2"/>
  <c r="H1530" i="2"/>
  <c r="H1522" i="2"/>
  <c r="H1514" i="2"/>
  <c r="H1506" i="2"/>
  <c r="H1498" i="2"/>
  <c r="H1490" i="2"/>
  <c r="H1482" i="2"/>
  <c r="H1474" i="2"/>
  <c r="H1466" i="2"/>
  <c r="H1458" i="2"/>
  <c r="H1450" i="2"/>
  <c r="H1442" i="2"/>
  <c r="Q1839" i="2"/>
  <c r="Q1648" i="2"/>
  <c r="D1607" i="2"/>
  <c r="R1585" i="2"/>
  <c r="G1572" i="2"/>
  <c r="F1564" i="2"/>
  <c r="F1556" i="2"/>
  <c r="F1548" i="2"/>
  <c r="F1540" i="2"/>
  <c r="F1532" i="2"/>
  <c r="F1524" i="2"/>
  <c r="H1703" i="2"/>
  <c r="D1625" i="2"/>
  <c r="Q1596" i="2"/>
  <c r="O1578" i="2"/>
  <c r="Q1568" i="2"/>
  <c r="Q1560" i="2"/>
  <c r="Q1552" i="2"/>
  <c r="Q1544" i="2"/>
  <c r="Q1536" i="2"/>
  <c r="Q1528" i="2"/>
  <c r="Q1520" i="2"/>
  <c r="Q1512" i="2"/>
  <c r="Q1504" i="2"/>
  <c r="Q1496" i="2"/>
  <c r="Q1488" i="2"/>
  <c r="Q1480" i="2"/>
  <c r="Q1472" i="2"/>
  <c r="Q1464" i="2"/>
  <c r="Q1456" i="2"/>
  <c r="Q1448" i="2"/>
  <c r="Q1440" i="2"/>
  <c r="Q1432" i="2"/>
  <c r="D1658" i="2"/>
  <c r="R1610" i="2"/>
  <c r="M1588" i="2"/>
  <c r="Q1573" i="2"/>
  <c r="G1564" i="2"/>
  <c r="M1517" i="2"/>
  <c r="M1485" i="2"/>
  <c r="G1462" i="2"/>
  <c r="Q1431" i="2"/>
  <c r="Q1423" i="2"/>
  <c r="Q1415" i="2"/>
  <c r="Q1407" i="2"/>
  <c r="Q1399" i="2"/>
  <c r="M1868" i="2"/>
  <c r="C1885" i="2"/>
  <c r="G1898" i="2"/>
  <c r="K1774" i="2"/>
  <c r="O1838" i="2"/>
  <c r="P1774" i="2"/>
  <c r="H1815" i="2"/>
  <c r="J1713" i="2"/>
  <c r="G1780" i="2"/>
  <c r="A1729" i="2"/>
  <c r="C1770" i="2"/>
  <c r="N1607" i="2"/>
  <c r="E1738" i="2"/>
  <c r="O1591" i="2"/>
  <c r="S1649" i="2"/>
  <c r="N1597" i="2"/>
  <c r="M1615" i="2"/>
  <c r="A1556" i="2"/>
  <c r="O1518" i="2"/>
  <c r="A1484" i="2"/>
  <c r="O1446" i="2"/>
  <c r="H1606" i="2"/>
  <c r="G1555" i="2"/>
  <c r="G1523" i="2"/>
  <c r="T1491" i="2"/>
  <c r="M1617" i="2"/>
  <c r="S1567" i="2"/>
  <c r="S1543" i="2"/>
  <c r="S1519" i="2"/>
  <c r="S1495" i="2"/>
  <c r="S1471" i="2"/>
  <c r="S1447" i="2"/>
  <c r="P1605" i="2"/>
  <c r="E1571" i="2"/>
  <c r="E1547" i="2"/>
  <c r="E1523" i="2"/>
  <c r="E1499" i="2"/>
  <c r="E1475" i="2"/>
  <c r="E1451" i="2"/>
  <c r="J1617" i="2"/>
  <c r="D1567" i="2"/>
  <c r="D1543" i="2"/>
  <c r="D1519" i="2"/>
  <c r="D1495" i="2"/>
  <c r="D1471" i="2"/>
  <c r="D1447" i="2"/>
  <c r="J1627" i="2"/>
  <c r="C1557" i="2"/>
  <c r="P1529" i="2"/>
  <c r="C1489" i="2"/>
  <c r="M1622" i="2"/>
  <c r="H1568" i="2"/>
  <c r="H1544" i="2"/>
  <c r="H1524" i="2"/>
  <c r="A1507" i="2"/>
  <c r="A1493" i="2"/>
  <c r="H1480" i="2"/>
  <c r="O1465" i="2"/>
  <c r="H1452" i="2"/>
  <c r="A1441" i="2"/>
  <c r="R1692" i="2"/>
  <c r="K1611" i="2"/>
  <c r="F1570" i="2"/>
  <c r="F1560" i="2"/>
  <c r="S1550" i="2"/>
  <c r="M1541" i="2"/>
  <c r="M1531" i="2"/>
  <c r="F1522" i="2"/>
  <c r="R1652" i="2"/>
  <c r="H1604" i="2"/>
  <c r="Q1580" i="2"/>
  <c r="D1568" i="2"/>
  <c r="Q1558" i="2"/>
  <c r="Q1548" i="2"/>
  <c r="J1539" i="2"/>
  <c r="D1530" i="2"/>
  <c r="D1520" i="2"/>
  <c r="Q1510" i="2"/>
  <c r="Q1500" i="2"/>
  <c r="J1491" i="2"/>
  <c r="D1482" i="2"/>
  <c r="D1472" i="2"/>
  <c r="Q1462" i="2"/>
  <c r="Q1452" i="2"/>
  <c r="J1443" i="2"/>
  <c r="D1434" i="2"/>
  <c r="Q1652" i="2"/>
  <c r="G1604" i="2"/>
  <c r="O1579" i="2"/>
  <c r="C1568" i="2"/>
  <c r="P1550" i="2"/>
  <c r="C1542" i="2"/>
  <c r="P1524" i="2"/>
  <c r="C1516" i="2"/>
  <c r="P1498" i="2"/>
  <c r="P1480" i="2"/>
  <c r="C1472" i="2"/>
  <c r="P1454" i="2"/>
  <c r="C1446" i="2"/>
  <c r="G1560" i="2"/>
  <c r="M1509" i="2"/>
  <c r="N1472" i="2"/>
  <c r="C1451" i="2"/>
  <c r="P1435" i="2"/>
  <c r="J1426" i="2"/>
  <c r="Q1417" i="2"/>
  <c r="D1409" i="2"/>
  <c r="J1400" i="2"/>
  <c r="Q1391" i="2"/>
  <c r="Q1383" i="2"/>
  <c r="Q1375" i="2"/>
  <c r="Q1367" i="2"/>
  <c r="Q1359" i="2"/>
  <c r="Q1351" i="2"/>
  <c r="Q1343" i="2"/>
  <c r="Q1335" i="2"/>
  <c r="Q1327" i="2"/>
  <c r="Q1319" i="2"/>
  <c r="Q1311" i="2"/>
  <c r="E1572" i="2"/>
  <c r="E1524" i="2"/>
  <c r="R1490" i="2"/>
  <c r="K1465" i="2"/>
  <c r="F1446" i="2"/>
  <c r="E1433" i="2"/>
  <c r="C1425" i="2"/>
  <c r="C1417" i="2"/>
  <c r="C1409" i="2"/>
  <c r="C1401" i="2"/>
  <c r="C1393" i="2"/>
  <c r="C1385" i="2"/>
  <c r="C1377" i="2"/>
  <c r="C1369" i="2"/>
  <c r="C1361" i="2"/>
  <c r="C1353" i="2"/>
  <c r="C1345" i="2"/>
  <c r="C1337" i="2"/>
  <c r="C1329" i="2"/>
  <c r="C1321" i="2"/>
  <c r="C1313" i="2"/>
  <c r="S1593" i="2"/>
  <c r="N1535" i="2"/>
  <c r="G1498" i="2"/>
  <c r="F1470" i="2"/>
  <c r="S1450" i="2"/>
  <c r="M1435" i="2"/>
  <c r="A1427" i="2"/>
  <c r="A1419" i="2"/>
  <c r="A1411" i="2"/>
  <c r="A1403" i="2"/>
  <c r="A1395" i="2"/>
  <c r="A1387" i="2"/>
  <c r="A1379" i="2"/>
  <c r="A1371" i="2"/>
  <c r="A1363" i="2"/>
  <c r="A1355" i="2"/>
  <c r="A1347" i="2"/>
  <c r="A1339" i="2"/>
  <c r="A1331" i="2"/>
  <c r="A1323" i="2"/>
  <c r="A1315" i="2"/>
  <c r="K1567" i="2"/>
  <c r="M1519" i="2"/>
  <c r="M1487" i="2"/>
  <c r="M1463" i="2"/>
  <c r="G1444" i="2"/>
  <c r="H1432" i="2"/>
  <c r="G1424" i="2"/>
  <c r="G1416" i="2"/>
  <c r="G1408" i="2"/>
  <c r="G1400" i="2"/>
  <c r="G1392" i="2"/>
  <c r="G1384" i="2"/>
  <c r="G1376" i="2"/>
  <c r="G1368" i="2"/>
  <c r="G1360" i="2"/>
  <c r="G1352" i="2"/>
  <c r="G1344" i="2"/>
  <c r="G1336" i="2"/>
  <c r="G1328" i="2"/>
  <c r="G1320" i="2"/>
  <c r="J1592" i="2"/>
  <c r="T1534" i="2"/>
  <c r="E1498" i="2"/>
  <c r="T1469" i="2"/>
  <c r="N1450" i="2"/>
  <c r="S1426" i="2"/>
  <c r="S1418" i="2"/>
  <c r="S1410" i="2"/>
  <c r="S1402" i="2"/>
  <c r="S1394" i="2"/>
  <c r="S1386" i="2"/>
  <c r="S1378" i="2"/>
  <c r="S1370" i="2"/>
  <c r="S1362" i="2"/>
  <c r="S1354" i="2"/>
  <c r="S1346" i="2"/>
  <c r="S1338" i="2"/>
  <c r="S1330" i="2"/>
  <c r="S1322" i="2"/>
  <c r="S1314" i="2"/>
  <c r="D1638" i="2"/>
  <c r="R1546" i="2"/>
  <c r="N1505" i="2"/>
  <c r="N1475" i="2"/>
  <c r="G1455" i="2"/>
  <c r="G1438" i="2"/>
  <c r="R1428" i="2"/>
  <c r="R1420" i="2"/>
  <c r="R1412" i="2"/>
  <c r="R1404" i="2"/>
  <c r="R1396" i="2"/>
  <c r="R1388" i="2"/>
  <c r="R1380" i="2"/>
  <c r="R1372" i="2"/>
  <c r="R1364" i="2"/>
  <c r="R1356" i="2"/>
  <c r="R1348" i="2"/>
  <c r="R1340" i="2"/>
  <c r="R1332" i="2"/>
  <c r="R1324" i="2"/>
  <c r="Q1665" i="2"/>
  <c r="G1550" i="2"/>
  <c r="F1508" i="2"/>
  <c r="M1477" i="2"/>
  <c r="R1456" i="2"/>
  <c r="F1439" i="2"/>
  <c r="J1429" i="2"/>
  <c r="J1421" i="2"/>
  <c r="J1413" i="2"/>
  <c r="J1405" i="2"/>
  <c r="J1397" i="2"/>
  <c r="J1389" i="2"/>
  <c r="J1381" i="2"/>
  <c r="J1373" i="2"/>
  <c r="J1365" i="2"/>
  <c r="J1357" i="2"/>
  <c r="J1349" i="2"/>
  <c r="J1341" i="2"/>
  <c r="J1333" i="2"/>
  <c r="J1325" i="2"/>
  <c r="J1317" i="2"/>
  <c r="J1309" i="2"/>
  <c r="M1600" i="2"/>
  <c r="J2068" i="2"/>
  <c r="Q2009" i="2"/>
  <c r="S1829" i="2"/>
  <c r="T1874" i="2"/>
  <c r="K1758" i="2"/>
  <c r="P1745" i="2"/>
  <c r="P1770" i="2"/>
  <c r="S1804" i="2"/>
  <c r="H1652" i="2"/>
  <c r="N1680" i="2"/>
  <c r="C1707" i="2"/>
  <c r="Q1948" i="2"/>
  <c r="D1724" i="2"/>
  <c r="P1638" i="2"/>
  <c r="T1764" i="2"/>
  <c r="A1604" i="2"/>
  <c r="P1601" i="2"/>
  <c r="D1603" i="2"/>
  <c r="P1596" i="2"/>
  <c r="A1598" i="2"/>
  <c r="G1713" i="2"/>
  <c r="A1591" i="2"/>
  <c r="F1639" i="2"/>
  <c r="T1596" i="2"/>
  <c r="O1550" i="2"/>
  <c r="A1516" i="2"/>
  <c r="O1478" i="2"/>
  <c r="A1444" i="2"/>
  <c r="P1591" i="2"/>
  <c r="T1549" i="2"/>
  <c r="T1517" i="2"/>
  <c r="T1487" i="2"/>
  <c r="N1603" i="2"/>
  <c r="F1567" i="2"/>
  <c r="F1543" i="2"/>
  <c r="F1519" i="2"/>
  <c r="F1495" i="2"/>
  <c r="F1471" i="2"/>
  <c r="F1447" i="2"/>
  <c r="M1603" i="2"/>
  <c r="E1567" i="2"/>
  <c r="E1543" i="2"/>
  <c r="E1519" i="2"/>
  <c r="E1495" i="2"/>
  <c r="E1471" i="2"/>
  <c r="E1447" i="2"/>
  <c r="K1603" i="2"/>
  <c r="D1563" i="2"/>
  <c r="D1539" i="2"/>
  <c r="D1515" i="2"/>
  <c r="D1491" i="2"/>
  <c r="D1467" i="2"/>
  <c r="D1443" i="2"/>
  <c r="A1610" i="2"/>
  <c r="P1569" i="2"/>
  <c r="C1529" i="2"/>
  <c r="C1501" i="2"/>
  <c r="P1473" i="2"/>
  <c r="G1607" i="2"/>
  <c r="H1564" i="2"/>
  <c r="H1542" i="2"/>
  <c r="O1521" i="2"/>
  <c r="O1505" i="2"/>
  <c r="H1492" i="2"/>
  <c r="H1478" i="2"/>
  <c r="A1465" i="2"/>
  <c r="A1451" i="2"/>
  <c r="H1440" i="2"/>
  <c r="P1672" i="2"/>
  <c r="H1609" i="2"/>
  <c r="M1582" i="2"/>
  <c r="M1569" i="2"/>
  <c r="M1559" i="2"/>
  <c r="F1550" i="2"/>
  <c r="S1540" i="2"/>
  <c r="S1530" i="2"/>
  <c r="M1521" i="2"/>
  <c r="K1647" i="2"/>
  <c r="E1602" i="2"/>
  <c r="P1579" i="2"/>
  <c r="J1567" i="2"/>
  <c r="D1558" i="2"/>
  <c r="D1548" i="2"/>
  <c r="Q1538" i="2"/>
  <c r="J1529" i="2"/>
  <c r="J1519" i="2"/>
  <c r="D1510" i="2"/>
  <c r="D1500" i="2"/>
  <c r="Q1490" i="2"/>
  <c r="J1481" i="2"/>
  <c r="J1471" i="2"/>
  <c r="D1462" i="2"/>
  <c r="D1452" i="2"/>
  <c r="Q1442" i="2"/>
  <c r="J1433" i="2"/>
  <c r="J1647" i="2"/>
  <c r="D1602" i="2"/>
  <c r="M1578" i="2"/>
  <c r="P1558" i="2"/>
  <c r="C1550" i="2"/>
  <c r="P1532" i="2"/>
  <c r="C1524" i="2"/>
  <c r="P1506" i="2"/>
  <c r="P1488" i="2"/>
  <c r="C1480" i="2"/>
  <c r="P1462" i="2"/>
  <c r="C1454" i="2"/>
  <c r="G1556" i="2"/>
  <c r="S1506" i="2"/>
  <c r="N1470" i="2"/>
  <c r="M1449" i="2"/>
  <c r="P1434" i="2"/>
  <c r="Q1425" i="2"/>
  <c r="D1417" i="2"/>
  <c r="J1408" i="2"/>
  <c r="D1399" i="2"/>
  <c r="D1391" i="2"/>
  <c r="D1383" i="2"/>
  <c r="D1375" i="2"/>
  <c r="D1367" i="2"/>
  <c r="D1359" i="2"/>
  <c r="D1351" i="2"/>
  <c r="D1343" i="2"/>
  <c r="D1335" i="2"/>
  <c r="D1327" i="2"/>
  <c r="D1319" i="2"/>
  <c r="D1311" i="2"/>
  <c r="E1568" i="2"/>
  <c r="E1520" i="2"/>
  <c r="E1488" i="2"/>
  <c r="P1463" i="2"/>
  <c r="N1444" i="2"/>
  <c r="J1432" i="2"/>
  <c r="J1584" i="2"/>
  <c r="N1531" i="2"/>
  <c r="N1495" i="2"/>
  <c r="G1449" i="2"/>
  <c r="M1434" i="2"/>
  <c r="H1426" i="2"/>
  <c r="H1418" i="2"/>
  <c r="H1410" i="2"/>
  <c r="H1402" i="2"/>
  <c r="H1394" i="2"/>
  <c r="H1386" i="2"/>
  <c r="H1378" i="2"/>
  <c r="H1370" i="2"/>
  <c r="H1362" i="2"/>
  <c r="H1354" i="2"/>
  <c r="H1346" i="2"/>
  <c r="H1338" i="2"/>
  <c r="H1330" i="2"/>
  <c r="H1322" i="2"/>
  <c r="H1314" i="2"/>
  <c r="K1563" i="2"/>
  <c r="S1516" i="2"/>
  <c r="S1484" i="2"/>
  <c r="T1461" i="2"/>
  <c r="T1442" i="2"/>
  <c r="N1431" i="2"/>
  <c r="N1423" i="2"/>
  <c r="N1415" i="2"/>
  <c r="N1407" i="2"/>
  <c r="N1399" i="2"/>
  <c r="N1391" i="2"/>
  <c r="N1383" i="2"/>
  <c r="N1375" i="2"/>
  <c r="N1367" i="2"/>
  <c r="N1359" i="2"/>
  <c r="N1351" i="2"/>
  <c r="N1343" i="2"/>
  <c r="N1335" i="2"/>
  <c r="N1327" i="2"/>
  <c r="N1319" i="2"/>
  <c r="Q1582" i="2"/>
  <c r="T1530" i="2"/>
  <c r="K1495" i="2"/>
  <c r="F1468" i="2"/>
  <c r="T1448" i="2"/>
  <c r="J1434" i="2"/>
  <c r="F1426" i="2"/>
  <c r="F1418" i="2"/>
  <c r="F1410" i="2"/>
  <c r="F1402" i="2"/>
  <c r="F1394" i="2"/>
  <c r="F1386" i="2"/>
  <c r="F1378" i="2"/>
  <c r="F1370" i="2"/>
  <c r="F1362" i="2"/>
  <c r="F1354" i="2"/>
  <c r="F1346" i="2"/>
  <c r="F1338" i="2"/>
  <c r="F1330" i="2"/>
  <c r="F1322" i="2"/>
  <c r="F1314" i="2"/>
  <c r="H1616" i="2"/>
  <c r="R1542" i="2"/>
  <c r="T1502" i="2"/>
  <c r="N1473" i="2"/>
  <c r="N1453" i="2"/>
  <c r="G1437" i="2"/>
  <c r="E1428" i="2"/>
  <c r="E1420" i="2"/>
  <c r="E1412" i="2"/>
  <c r="E1404" i="2"/>
  <c r="E1396" i="2"/>
  <c r="E1388" i="2"/>
  <c r="E1380" i="2"/>
  <c r="E1372" i="2"/>
  <c r="E1364" i="2"/>
  <c r="E1356" i="2"/>
  <c r="E1348" i="2"/>
  <c r="E1340" i="2"/>
  <c r="E1332" i="2"/>
  <c r="E1324" i="2"/>
  <c r="F1634" i="2"/>
  <c r="G1546" i="2"/>
  <c r="M1505" i="2"/>
  <c r="M1475" i="2"/>
  <c r="C1455" i="2"/>
  <c r="F1438" i="2"/>
  <c r="Q1428" i="2"/>
  <c r="Q1420" i="2"/>
  <c r="Q1412" i="2"/>
  <c r="Q1404" i="2"/>
  <c r="Q1396" i="2"/>
  <c r="Q1388" i="2"/>
  <c r="Q1380" i="2"/>
  <c r="Q1372" i="2"/>
  <c r="Q1364" i="2"/>
  <c r="Q1356" i="2"/>
  <c r="Q1348" i="2"/>
  <c r="Q1340" i="2"/>
  <c r="Q1332" i="2"/>
  <c r="Q1324" i="2"/>
  <c r="Q1316" i="2"/>
  <c r="Q1308" i="2"/>
  <c r="K1590" i="2"/>
  <c r="E1534" i="2"/>
  <c r="K1497" i="2"/>
  <c r="K1469" i="2"/>
  <c r="F1450" i="2"/>
  <c r="E1435" i="2"/>
  <c r="P1426" i="2"/>
  <c r="P1418" i="2"/>
  <c r="P1410" i="2"/>
  <c r="P1402" i="2"/>
  <c r="P1394" i="2"/>
  <c r="P1386" i="2"/>
  <c r="D2001" i="2"/>
  <c r="N1859" i="2"/>
  <c r="A1728" i="2"/>
  <c r="P1733" i="2"/>
  <c r="O1767" i="2"/>
  <c r="T1711" i="2"/>
  <c r="O1651" i="2"/>
  <c r="N1679" i="2"/>
  <c r="D1933" i="2"/>
  <c r="A1723" i="2"/>
  <c r="C1681" i="2"/>
  <c r="C1638" i="2"/>
  <c r="T1734" i="2"/>
  <c r="G1603" i="2"/>
  <c r="A1601" i="2"/>
  <c r="J1818" i="2"/>
  <c r="T1597" i="2"/>
  <c r="O1587" i="2"/>
  <c r="F1635" i="2"/>
  <c r="G1596" i="2"/>
  <c r="F1604" i="2"/>
  <c r="A1550" i="2"/>
  <c r="H1515" i="2"/>
  <c r="A1478" i="2"/>
  <c r="H1443" i="2"/>
  <c r="J1579" i="2"/>
  <c r="G1545" i="2"/>
  <c r="G1513" i="2"/>
  <c r="G1485" i="2"/>
  <c r="F1563" i="2"/>
  <c r="F1539" i="2"/>
  <c r="F1515" i="2"/>
  <c r="F1491" i="2"/>
  <c r="F1467" i="2"/>
  <c r="F1443" i="2"/>
  <c r="K1564" i="2"/>
  <c r="K1540" i="2"/>
  <c r="K1516" i="2"/>
  <c r="K1492" i="2"/>
  <c r="K1468" i="2"/>
  <c r="K1444" i="2"/>
  <c r="S1595" i="2"/>
  <c r="J1560" i="2"/>
  <c r="J1536" i="2"/>
  <c r="J1512" i="2"/>
  <c r="J1488" i="2"/>
  <c r="J1464" i="2"/>
  <c r="J1440" i="2"/>
  <c r="G1601" i="2"/>
  <c r="C1569" i="2"/>
  <c r="C1541" i="2"/>
  <c r="P1513" i="2"/>
  <c r="C1473" i="2"/>
  <c r="C1599" i="2"/>
  <c r="O1561" i="2"/>
  <c r="H1540" i="2"/>
  <c r="A1521" i="2"/>
  <c r="A1505" i="2"/>
  <c r="A1491" i="2"/>
  <c r="A1477" i="2"/>
  <c r="H1464" i="2"/>
  <c r="O1449" i="2"/>
  <c r="O1439" i="2"/>
  <c r="K1665" i="2"/>
  <c r="T1604" i="2"/>
  <c r="D1581" i="2"/>
  <c r="F1568" i="2"/>
  <c r="S1558" i="2"/>
  <c r="M1549" i="2"/>
  <c r="M1539" i="2"/>
  <c r="F1530" i="2"/>
  <c r="F1520" i="2"/>
  <c r="E1642" i="2"/>
  <c r="A1600" i="2"/>
  <c r="P1577" i="2"/>
  <c r="Q1566" i="2"/>
  <c r="Q1556" i="2"/>
  <c r="J1547" i="2"/>
  <c r="D1538" i="2"/>
  <c r="D1528" i="2"/>
  <c r="Q1518" i="2"/>
  <c r="Q1508" i="2"/>
  <c r="J1499" i="2"/>
  <c r="D1490" i="2"/>
  <c r="D1480" i="2"/>
  <c r="Q1470" i="2"/>
  <c r="Q1460" i="2"/>
  <c r="J1451" i="2"/>
  <c r="D1442" i="2"/>
  <c r="D1432" i="2"/>
  <c r="D1642" i="2"/>
  <c r="O1577" i="2"/>
  <c r="P1566" i="2"/>
  <c r="C1558" i="2"/>
  <c r="P1540" i="2"/>
  <c r="C1532" i="2"/>
  <c r="P1514" i="2"/>
  <c r="P1496" i="2"/>
  <c r="C1488" i="2"/>
  <c r="P1470" i="2"/>
  <c r="C1462" i="2"/>
  <c r="P1444" i="2"/>
  <c r="G1552" i="2"/>
  <c r="M1501" i="2"/>
  <c r="R1468" i="2"/>
  <c r="T1447" i="2"/>
  <c r="T1433" i="2"/>
  <c r="D1425" i="2"/>
  <c r="J1416" i="2"/>
  <c r="D1407" i="2"/>
  <c r="J1398" i="2"/>
  <c r="J1390" i="2"/>
  <c r="J1382" i="2"/>
  <c r="J1374" i="2"/>
  <c r="J1366" i="2"/>
  <c r="J1358" i="2"/>
  <c r="J1350" i="2"/>
  <c r="J1342" i="2"/>
  <c r="J1334" i="2"/>
  <c r="J1326" i="2"/>
  <c r="J1318" i="2"/>
  <c r="J1310" i="2"/>
  <c r="E1564" i="2"/>
  <c r="K1517" i="2"/>
  <c r="K1485" i="2"/>
  <c r="F1462" i="2"/>
  <c r="G1443" i="2"/>
  <c r="P1431" i="2"/>
  <c r="P1423" i="2"/>
  <c r="P1415" i="2"/>
  <c r="P1407" i="2"/>
  <c r="P1399" i="2"/>
  <c r="P1391" i="2"/>
  <c r="P1383" i="2"/>
  <c r="P1375" i="2"/>
  <c r="P1367" i="2"/>
  <c r="P1359" i="2"/>
  <c r="P1351" i="2"/>
  <c r="P1343" i="2"/>
  <c r="P1335" i="2"/>
  <c r="P1327" i="2"/>
  <c r="P1319" i="2"/>
  <c r="P1311" i="2"/>
  <c r="A1577" i="2"/>
  <c r="N1527" i="2"/>
  <c r="T1492" i="2"/>
  <c r="S1466" i="2"/>
  <c r="N1447" i="2"/>
  <c r="R1433" i="2"/>
  <c r="O1425" i="2"/>
  <c r="O1417" i="2"/>
  <c r="O1409" i="2"/>
  <c r="O1401" i="2"/>
  <c r="O1393" i="2"/>
  <c r="O1385" i="2"/>
  <c r="O1377" i="2"/>
  <c r="O1369" i="2"/>
  <c r="O1361" i="2"/>
  <c r="O1353" i="2"/>
  <c r="O1345" i="2"/>
  <c r="O1337" i="2"/>
  <c r="O1329" i="2"/>
  <c r="O1321" i="2"/>
  <c r="O1313" i="2"/>
  <c r="K1559" i="2"/>
  <c r="F1514" i="2"/>
  <c r="F1482" i="2"/>
  <c r="G1460" i="2"/>
  <c r="N1441" i="2"/>
  <c r="T1430" i="2"/>
  <c r="T1422" i="2"/>
  <c r="T1414" i="2"/>
  <c r="T1406" i="2"/>
  <c r="T1398" i="2"/>
  <c r="T1390" i="2"/>
  <c r="T1382" i="2"/>
  <c r="T1374" i="2"/>
  <c r="T1366" i="2"/>
  <c r="T1358" i="2"/>
  <c r="T1350" i="2"/>
  <c r="T1342" i="2"/>
  <c r="T1334" i="2"/>
  <c r="T1326" i="2"/>
  <c r="T1318" i="2"/>
  <c r="S1575" i="2"/>
  <c r="T1526" i="2"/>
  <c r="R1492" i="2"/>
  <c r="N1466" i="2"/>
  <c r="K1447" i="2"/>
  <c r="P1433" i="2"/>
  <c r="M1425" i="2"/>
  <c r="M1417" i="2"/>
  <c r="M1409" i="2"/>
  <c r="M1401" i="2"/>
  <c r="M1393" i="2"/>
  <c r="M1385" i="2"/>
  <c r="M1377" i="2"/>
  <c r="M1369" i="2"/>
  <c r="M1361" i="2"/>
  <c r="M1353" i="2"/>
  <c r="M1345" i="2"/>
  <c r="M1337" i="2"/>
  <c r="M1329" i="2"/>
  <c r="M1321" i="2"/>
  <c r="M1313" i="2"/>
  <c r="P1602" i="2"/>
  <c r="R1538" i="2"/>
  <c r="G1500" i="2"/>
  <c r="N1471" i="2"/>
  <c r="E1452" i="2"/>
  <c r="G1436" i="2"/>
  <c r="K1427" i="2"/>
  <c r="K1419" i="2"/>
  <c r="K1411" i="2"/>
  <c r="K1403" i="2"/>
  <c r="K1395" i="2"/>
  <c r="K1387" i="2"/>
  <c r="K1379" i="2"/>
  <c r="K1371" i="2"/>
  <c r="K1363" i="2"/>
  <c r="K1355" i="2"/>
  <c r="K1347" i="2"/>
  <c r="K1339" i="2"/>
  <c r="K1331" i="2"/>
  <c r="K1323" i="2"/>
  <c r="S1613" i="2"/>
  <c r="G1542" i="2"/>
  <c r="S1502" i="2"/>
  <c r="M1473" i="2"/>
  <c r="M1453" i="2"/>
  <c r="F1437" i="2"/>
  <c r="D1428" i="2"/>
  <c r="D1420" i="2"/>
  <c r="D1412" i="2"/>
  <c r="D1404" i="2"/>
  <c r="D1396" i="2"/>
  <c r="D1388" i="2"/>
  <c r="D1380" i="2"/>
  <c r="D1372" i="2"/>
  <c r="D1364" i="2"/>
  <c r="D1356" i="2"/>
  <c r="D1348" i="2"/>
  <c r="D1340" i="2"/>
  <c r="D1332" i="2"/>
  <c r="D1324" i="2"/>
  <c r="D1316" i="2"/>
  <c r="D1308" i="2"/>
  <c r="C1581" i="2"/>
  <c r="E1530" i="2"/>
  <c r="R1494" i="2"/>
  <c r="P1467" i="2"/>
  <c r="N1448" i="2"/>
  <c r="G1434" i="2"/>
  <c r="C1426" i="2"/>
  <c r="C1418" i="2"/>
  <c r="P1790" i="2"/>
  <c r="J1709" i="2"/>
  <c r="R1732" i="2"/>
  <c r="O1755" i="2"/>
  <c r="Q1704" i="2"/>
  <c r="A1645" i="2"/>
  <c r="R1673" i="2"/>
  <c r="S1894" i="2"/>
  <c r="F1680" i="2"/>
  <c r="C1734" i="2"/>
  <c r="S1582" i="2"/>
  <c r="R1580" i="2"/>
  <c r="F1888" i="2"/>
  <c r="P1572" i="2"/>
  <c r="C1809" i="2"/>
  <c r="N1594" i="2"/>
  <c r="O1648" i="2"/>
  <c r="F1862" i="2"/>
  <c r="S1633" i="2"/>
  <c r="N1589" i="2"/>
  <c r="D1598" i="2"/>
  <c r="H1549" i="2"/>
  <c r="H1513" i="2"/>
  <c r="H1477" i="2"/>
  <c r="H1441" i="2"/>
  <c r="J1578" i="2"/>
  <c r="N1544" i="2"/>
  <c r="N1512" i="2"/>
  <c r="N1484" i="2"/>
  <c r="M1594" i="2"/>
  <c r="M1560" i="2"/>
  <c r="M1536" i="2"/>
  <c r="M1512" i="2"/>
  <c r="M1488" i="2"/>
  <c r="M1464" i="2"/>
  <c r="J1875" i="2"/>
  <c r="C1593" i="2"/>
  <c r="R1563" i="2"/>
  <c r="R1539" i="2"/>
  <c r="R1515" i="2"/>
  <c r="R1491" i="2"/>
  <c r="R1467" i="2"/>
  <c r="R1443" i="2"/>
  <c r="J1594" i="2"/>
  <c r="Q1559" i="2"/>
  <c r="Q1535" i="2"/>
  <c r="Q1511" i="2"/>
  <c r="Q1487" i="2"/>
  <c r="Q1463" i="2"/>
  <c r="Q1439" i="2"/>
  <c r="D1599" i="2"/>
  <c r="P1553" i="2"/>
  <c r="C1513" i="2"/>
  <c r="C1485" i="2"/>
  <c r="F1597" i="2"/>
  <c r="A1561" i="2"/>
  <c r="O1537" i="2"/>
  <c r="H1520" i="2"/>
  <c r="H1504" i="2"/>
  <c r="O1489" i="2"/>
  <c r="H1476" i="2"/>
  <c r="H1462" i="2"/>
  <c r="A1449" i="2"/>
  <c r="H1438" i="2"/>
  <c r="J1659" i="2"/>
  <c r="Q1602" i="2"/>
  <c r="R1579" i="2"/>
  <c r="M1567" i="2"/>
  <c r="F1558" i="2"/>
  <c r="S1548" i="2"/>
  <c r="S1538" i="2"/>
  <c r="M1529" i="2"/>
  <c r="Q1826" i="2"/>
  <c r="D1637" i="2"/>
  <c r="J1598" i="2"/>
  <c r="O1576" i="2"/>
  <c r="D1566" i="2"/>
  <c r="D1556" i="2"/>
  <c r="Q1546" i="2"/>
  <c r="J1537" i="2"/>
  <c r="J1527" i="2"/>
  <c r="D1518" i="2"/>
  <c r="D1508" i="2"/>
  <c r="Q1498" i="2"/>
  <c r="J1489" i="2"/>
  <c r="J1479" i="2"/>
  <c r="D1470" i="2"/>
  <c r="D1460" i="2"/>
  <c r="Q1450" i="2"/>
  <c r="J1441" i="2"/>
  <c r="H1825" i="2"/>
  <c r="S1636" i="2"/>
  <c r="M1596" i="2"/>
  <c r="M1576" i="2"/>
  <c r="C1566" i="2"/>
  <c r="P1548" i="2"/>
  <c r="C1540" i="2"/>
  <c r="P1522" i="2"/>
  <c r="P1504" i="2"/>
  <c r="C1496" i="2"/>
  <c r="P1478" i="2"/>
  <c r="C1470" i="2"/>
  <c r="P1452" i="2"/>
  <c r="O1842" i="2"/>
  <c r="G1548" i="2"/>
  <c r="S1498" i="2"/>
  <c r="C1467" i="2"/>
  <c r="G1446" i="2"/>
  <c r="F1433" i="2"/>
  <c r="J1424" i="2"/>
  <c r="D1415" i="2"/>
  <c r="J1406" i="2"/>
  <c r="Q1397" i="2"/>
  <c r="Q1389" i="2"/>
  <c r="Q1381" i="2"/>
  <c r="Q1373" i="2"/>
  <c r="Q1365" i="2"/>
  <c r="Q1357" i="2"/>
  <c r="Q1349" i="2"/>
  <c r="Q1341" i="2"/>
  <c r="Q1333" i="2"/>
  <c r="Q1325" i="2"/>
  <c r="Q1317" i="2"/>
  <c r="Q1309" i="2"/>
  <c r="E1560" i="2"/>
  <c r="R1514" i="2"/>
  <c r="R1482" i="2"/>
  <c r="N1460" i="2"/>
  <c r="T1441" i="2"/>
  <c r="C1431" i="2"/>
  <c r="C1423" i="2"/>
  <c r="C1415" i="2"/>
  <c r="C1407" i="2"/>
  <c r="C1399" i="2"/>
  <c r="C1391" i="2"/>
  <c r="C1383" i="2"/>
  <c r="C1375" i="2"/>
  <c r="C1367" i="2"/>
  <c r="C1359" i="2"/>
  <c r="C1351" i="2"/>
  <c r="C1343" i="2"/>
  <c r="C1335" i="2"/>
  <c r="C1327" i="2"/>
  <c r="C1319" i="2"/>
  <c r="C1311" i="2"/>
  <c r="N1571" i="2"/>
  <c r="N1523" i="2"/>
  <c r="G1490" i="2"/>
  <c r="G1465" i="2"/>
  <c r="E1446" i="2"/>
  <c r="D1433" i="2"/>
  <c r="A1425" i="2"/>
  <c r="A1417" i="2"/>
  <c r="A1409" i="2"/>
  <c r="A1401" i="2"/>
  <c r="A1393" i="2"/>
  <c r="A1385" i="2"/>
  <c r="A1377" i="2"/>
  <c r="A1369" i="2"/>
  <c r="A1361" i="2"/>
  <c r="A1353" i="2"/>
  <c r="A1345" i="2"/>
  <c r="A1337" i="2"/>
  <c r="A1329" i="2"/>
  <c r="A1321" i="2"/>
  <c r="P1789" i="2"/>
  <c r="K1555" i="2"/>
  <c r="M1511" i="2"/>
  <c r="E1480" i="2"/>
  <c r="R1458" i="2"/>
  <c r="K1440" i="2"/>
  <c r="G1430" i="2"/>
  <c r="G1422" i="2"/>
  <c r="G1414" i="2"/>
  <c r="G1406" i="2"/>
  <c r="G1398" i="2"/>
  <c r="G1390" i="2"/>
  <c r="G1382" i="2"/>
  <c r="G1374" i="2"/>
  <c r="G1366" i="2"/>
  <c r="G1358" i="2"/>
  <c r="G1350" i="2"/>
  <c r="G1342" i="2"/>
  <c r="G1334" i="2"/>
  <c r="G1326" i="2"/>
  <c r="G1318" i="2"/>
  <c r="T1570" i="2"/>
  <c r="T1522" i="2"/>
  <c r="E1490" i="2"/>
  <c r="T1464" i="2"/>
  <c r="P1445" i="2"/>
  <c r="A1433" i="2"/>
  <c r="S1424" i="2"/>
  <c r="S1416" i="2"/>
  <c r="S1408" i="2"/>
  <c r="S1400" i="2"/>
  <c r="S1392" i="2"/>
  <c r="S1384" i="2"/>
  <c r="S1376" i="2"/>
  <c r="S1368" i="2"/>
  <c r="S1360" i="2"/>
  <c r="S1352" i="2"/>
  <c r="S1344" i="2"/>
  <c r="S1336" i="2"/>
  <c r="S1328" i="2"/>
  <c r="S1320" i="2"/>
  <c r="S1312" i="2"/>
  <c r="D1592" i="2"/>
  <c r="R1534" i="2"/>
  <c r="N1497" i="2"/>
  <c r="N1469" i="2"/>
  <c r="G1435" i="2"/>
  <c r="R1426" i="2"/>
  <c r="R1418" i="2"/>
  <c r="R1410" i="2"/>
  <c r="R1402" i="2"/>
  <c r="R1394" i="2"/>
  <c r="R1386" i="2"/>
  <c r="R1378" i="2"/>
  <c r="R1370" i="2"/>
  <c r="R1362" i="2"/>
  <c r="R1354" i="2"/>
  <c r="R1346" i="2"/>
  <c r="R1338" i="2"/>
  <c r="R1330" i="2"/>
  <c r="R1322" i="2"/>
  <c r="O1600" i="2"/>
  <c r="G1538" i="2"/>
  <c r="F1500" i="2"/>
  <c r="M1471" i="2"/>
  <c r="T1451" i="2"/>
  <c r="F1436" i="2"/>
  <c r="J1427" i="2"/>
  <c r="J1419" i="2"/>
  <c r="J1411" i="2"/>
  <c r="J1403" i="2"/>
  <c r="J1395" i="2"/>
  <c r="J1387" i="2"/>
  <c r="J1379" i="2"/>
  <c r="J1371" i="2"/>
  <c r="J1363" i="2"/>
  <c r="J1355" i="2"/>
  <c r="J1347" i="2"/>
  <c r="J1339" i="2"/>
  <c r="J1331" i="2"/>
  <c r="J1323" i="2"/>
  <c r="J1315" i="2"/>
  <c r="J1307" i="2"/>
  <c r="M1955" i="2"/>
  <c r="P1817" i="2"/>
  <c r="N1708" i="2"/>
  <c r="Q1754" i="2"/>
  <c r="G1701" i="2"/>
  <c r="F1896" i="2"/>
  <c r="T1648" i="2"/>
  <c r="T1728" i="2"/>
  <c r="M1579" i="2"/>
  <c r="K1577" i="2"/>
  <c r="F1686" i="2"/>
  <c r="T1593" i="2"/>
  <c r="H1647" i="2"/>
  <c r="H1755" i="2"/>
  <c r="D1619" i="2"/>
  <c r="T1586" i="2"/>
  <c r="F1585" i="2"/>
  <c r="O1542" i="2"/>
  <c r="A1508" i="2"/>
  <c r="O1470" i="2"/>
  <c r="A1436" i="2"/>
  <c r="J1577" i="2"/>
  <c r="T1543" i="2"/>
  <c r="T1511" i="2"/>
  <c r="T1483" i="2"/>
  <c r="D1593" i="2"/>
  <c r="S1559" i="2"/>
  <c r="S1535" i="2"/>
  <c r="S1511" i="2"/>
  <c r="S1487" i="2"/>
  <c r="S1463" i="2"/>
  <c r="P1807" i="2"/>
  <c r="K1586" i="2"/>
  <c r="E1563" i="2"/>
  <c r="E1539" i="2"/>
  <c r="E1515" i="2"/>
  <c r="E1491" i="2"/>
  <c r="E1467" i="2"/>
  <c r="E1443" i="2"/>
  <c r="Q1592" i="2"/>
  <c r="D1559" i="2"/>
  <c r="D1535" i="2"/>
  <c r="D1511" i="2"/>
  <c r="D1487" i="2"/>
  <c r="D1463" i="2"/>
  <c r="D1439" i="2"/>
  <c r="J1597" i="2"/>
  <c r="C1553" i="2"/>
  <c r="C1525" i="2"/>
  <c r="P1497" i="2"/>
  <c r="Q1595" i="2"/>
  <c r="H1560" i="2"/>
  <c r="A1537" i="2"/>
  <c r="H1518" i="2"/>
  <c r="H1502" i="2"/>
  <c r="A1489" i="2"/>
  <c r="A1475" i="2"/>
  <c r="A1461" i="2"/>
  <c r="H1448" i="2"/>
  <c r="A1437" i="2"/>
  <c r="D1654" i="2"/>
  <c r="N1600" i="2"/>
  <c r="R1577" i="2"/>
  <c r="S1566" i="2"/>
  <c r="M1557" i="2"/>
  <c r="M1547" i="2"/>
  <c r="F1538" i="2"/>
  <c r="F1528" i="2"/>
  <c r="F1789" i="2"/>
  <c r="D1633" i="2"/>
  <c r="E1595" i="2"/>
  <c r="P1575" i="2"/>
  <c r="Q1564" i="2"/>
  <c r="J1555" i="2"/>
  <c r="D1546" i="2"/>
  <c r="D1536" i="2"/>
  <c r="Q1526" i="2"/>
  <c r="Q1516" i="2"/>
  <c r="J1507" i="2"/>
  <c r="D1498" i="2"/>
  <c r="D1488" i="2"/>
  <c r="Q1478" i="2"/>
  <c r="Q1468" i="2"/>
  <c r="J1459" i="2"/>
  <c r="D1450" i="2"/>
  <c r="D1440" i="2"/>
  <c r="A1788" i="2"/>
  <c r="S1628" i="2"/>
  <c r="D1595" i="2"/>
  <c r="O1575" i="2"/>
  <c r="P1556" i="2"/>
  <c r="C1548" i="2"/>
  <c r="P1530" i="2"/>
  <c r="P1512" i="2"/>
  <c r="C1504" i="2"/>
  <c r="P1486" i="2"/>
  <c r="C1478" i="2"/>
  <c r="P1460" i="2"/>
  <c r="C1452" i="2"/>
  <c r="G1540" i="2"/>
  <c r="F1496" i="2"/>
  <c r="M1465" i="2"/>
  <c r="R1444" i="2"/>
  <c r="K1432" i="2"/>
  <c r="D1423" i="2"/>
  <c r="J1414" i="2"/>
  <c r="Q1405" i="2"/>
  <c r="D1397" i="2"/>
  <c r="D1389" i="2"/>
  <c r="D1381" i="2"/>
  <c r="D1373" i="2"/>
  <c r="D1365" i="2"/>
  <c r="D1357" i="2"/>
  <c r="D1349" i="2"/>
  <c r="D1341" i="2"/>
  <c r="D1333" i="2"/>
  <c r="D1325" i="2"/>
  <c r="D1317" i="2"/>
  <c r="F1827" i="2"/>
  <c r="E1556" i="2"/>
  <c r="E1512" i="2"/>
  <c r="G1480" i="2"/>
  <c r="T1458" i="2"/>
  <c r="N1440" i="2"/>
  <c r="N1567" i="2"/>
  <c r="N1519" i="2"/>
  <c r="N1487" i="2"/>
  <c r="N1463" i="2"/>
  <c r="H1424" i="2"/>
  <c r="H1416" i="2"/>
  <c r="H1408" i="2"/>
  <c r="H1400" i="2"/>
  <c r="H1392" i="2"/>
  <c r="H1384" i="2"/>
  <c r="H1376" i="2"/>
  <c r="H1368" i="2"/>
  <c r="H1360" i="2"/>
  <c r="H1352" i="2"/>
  <c r="H1344" i="2"/>
  <c r="H1336" i="2"/>
  <c r="H1328" i="2"/>
  <c r="H1320" i="2"/>
  <c r="E1680" i="2"/>
  <c r="K1551" i="2"/>
  <c r="S1508" i="2"/>
  <c r="E1478" i="2"/>
  <c r="C1457" i="2"/>
  <c r="K1439" i="2"/>
  <c r="N1429" i="2"/>
  <c r="N1421" i="2"/>
  <c r="N1413" i="2"/>
  <c r="N1405" i="2"/>
  <c r="N1397" i="2"/>
  <c r="N1389" i="2"/>
  <c r="N1381" i="2"/>
  <c r="N1373" i="2"/>
  <c r="N1365" i="2"/>
  <c r="N1357" i="2"/>
  <c r="N1349" i="2"/>
  <c r="N1341" i="2"/>
  <c r="N1333" i="2"/>
  <c r="N1325" i="2"/>
  <c r="N1317" i="2"/>
  <c r="T1566" i="2"/>
  <c r="K1519" i="2"/>
  <c r="K1487" i="2"/>
  <c r="K1463" i="2"/>
  <c r="F1444" i="2"/>
  <c r="G1432" i="2"/>
  <c r="F1424" i="2"/>
  <c r="F1416" i="2"/>
  <c r="F1408" i="2"/>
  <c r="F1400" i="2"/>
  <c r="F1392" i="2"/>
  <c r="F1384" i="2"/>
  <c r="F1376" i="2"/>
  <c r="F1368" i="2"/>
  <c r="F1360" i="2"/>
  <c r="F1352" i="2"/>
  <c r="F1344" i="2"/>
  <c r="F1336" i="2"/>
  <c r="F1328" i="2"/>
  <c r="F1320" i="2"/>
  <c r="F1312" i="2"/>
  <c r="K1582" i="2"/>
  <c r="R1530" i="2"/>
  <c r="T1494" i="2"/>
  <c r="E1468" i="2"/>
  <c r="S1448" i="2"/>
  <c r="E1426" i="2"/>
  <c r="E1418" i="2"/>
  <c r="E1410" i="2"/>
  <c r="E1402" i="2"/>
  <c r="E1394" i="2"/>
  <c r="E1386" i="2"/>
  <c r="E1378" i="2"/>
  <c r="E1370" i="2"/>
  <c r="E1362" i="2"/>
  <c r="E1354" i="2"/>
  <c r="E1346" i="2"/>
  <c r="E1338" i="2"/>
  <c r="E1330" i="2"/>
  <c r="E1322" i="2"/>
  <c r="Q1590" i="2"/>
  <c r="G1534" i="2"/>
  <c r="M1497" i="2"/>
  <c r="M1469" i="2"/>
  <c r="G1450" i="2"/>
  <c r="F1435" i="2"/>
  <c r="Q1426" i="2"/>
  <c r="Q1418" i="2"/>
  <c r="Q1410" i="2"/>
  <c r="Q1402" i="2"/>
  <c r="Q1394" i="2"/>
  <c r="Q1386" i="2"/>
  <c r="Q1378" i="2"/>
  <c r="Q1370" i="2"/>
  <c r="Q1362" i="2"/>
  <c r="Q1354" i="2"/>
  <c r="Q1346" i="2"/>
  <c r="Q1338" i="2"/>
  <c r="Q1330" i="2"/>
  <c r="Q1322" i="2"/>
  <c r="Q1314" i="2"/>
  <c r="Q1306" i="2"/>
  <c r="E1570" i="2"/>
  <c r="E1522" i="2"/>
  <c r="K1489" i="2"/>
  <c r="N1464" i="2"/>
  <c r="K1445" i="2"/>
  <c r="R1432" i="2"/>
  <c r="P1424" i="2"/>
  <c r="P1416" i="2"/>
  <c r="P1408" i="2"/>
  <c r="P1400" i="2"/>
  <c r="P1392" i="2"/>
  <c r="G1649" i="2"/>
  <c r="A1687" i="2"/>
  <c r="P1633" i="2"/>
  <c r="J1883" i="2"/>
  <c r="G1648" i="2"/>
  <c r="E1810" i="2"/>
  <c r="P1650" i="2"/>
  <c r="P1614" i="2"/>
  <c r="H1712" i="2"/>
  <c r="S1578" i="2"/>
  <c r="R1576" i="2"/>
  <c r="H1694" i="2"/>
  <c r="M1683" i="2"/>
  <c r="F1882" i="2"/>
  <c r="O1640" i="2"/>
  <c r="H1749" i="2"/>
  <c r="T1584" i="2"/>
  <c r="N1575" i="2"/>
  <c r="A1540" i="2"/>
  <c r="O1502" i="2"/>
  <c r="A1468" i="2"/>
  <c r="A1714" i="2"/>
  <c r="G1571" i="2"/>
  <c r="G1539" i="2"/>
  <c r="G1507" i="2"/>
  <c r="F1780" i="2"/>
  <c r="F1559" i="2"/>
  <c r="F1535" i="2"/>
  <c r="F1511" i="2"/>
  <c r="F1487" i="2"/>
  <c r="F1463" i="2"/>
  <c r="H1775" i="2"/>
  <c r="C1585" i="2"/>
  <c r="E1559" i="2"/>
  <c r="E1535" i="2"/>
  <c r="E1511" i="2"/>
  <c r="E1487" i="2"/>
  <c r="E1463" i="2"/>
  <c r="C1775" i="2"/>
  <c r="E1583" i="2"/>
  <c r="D1555" i="2"/>
  <c r="D1531" i="2"/>
  <c r="D1507" i="2"/>
  <c r="D1483" i="2"/>
  <c r="D1459" i="2"/>
  <c r="D1435" i="2"/>
  <c r="C1565" i="2"/>
  <c r="P1537" i="2"/>
  <c r="C1497" i="2"/>
  <c r="Q1842" i="2"/>
  <c r="D1586" i="2"/>
  <c r="H1556" i="2"/>
  <c r="H1536" i="2"/>
  <c r="H1516" i="2"/>
  <c r="A1501" i="2"/>
  <c r="H1488" i="2"/>
  <c r="O1473" i="2"/>
  <c r="H1460" i="2"/>
  <c r="O1447" i="2"/>
  <c r="H1436" i="2"/>
  <c r="J1643" i="2"/>
  <c r="M1598" i="2"/>
  <c r="T1576" i="2"/>
  <c r="F1566" i="2"/>
  <c r="S1556" i="2"/>
  <c r="S1546" i="2"/>
  <c r="M1537" i="2"/>
  <c r="M1527" i="2"/>
  <c r="C1763" i="2"/>
  <c r="D1629" i="2"/>
  <c r="P1593" i="2"/>
  <c r="O1574" i="2"/>
  <c r="D1564" i="2"/>
  <c r="Q1554" i="2"/>
  <c r="J1545" i="2"/>
  <c r="J1535" i="2"/>
  <c r="D1526" i="2"/>
  <c r="D1516" i="2"/>
  <c r="Q1506" i="2"/>
  <c r="J1497" i="2"/>
  <c r="J1487" i="2"/>
  <c r="D1478" i="2"/>
  <c r="D1468" i="2"/>
  <c r="Q1458" i="2"/>
  <c r="J1449" i="2"/>
  <c r="J1439" i="2"/>
  <c r="F1762" i="2"/>
  <c r="S1624" i="2"/>
  <c r="J1593" i="2"/>
  <c r="N1574" i="2"/>
  <c r="P1564" i="2"/>
  <c r="C1556" i="2"/>
  <c r="P1538" i="2"/>
  <c r="P1520" i="2"/>
  <c r="C1512" i="2"/>
  <c r="P1494" i="2"/>
  <c r="C1486" i="2"/>
  <c r="P1468" i="2"/>
  <c r="C1460" i="2"/>
  <c r="R1648" i="2"/>
  <c r="G1536" i="2"/>
  <c r="M1493" i="2"/>
  <c r="T1463" i="2"/>
  <c r="D1431" i="2"/>
  <c r="J1422" i="2"/>
  <c r="Q1413" i="2"/>
  <c r="D1405" i="2"/>
  <c r="J1396" i="2"/>
  <c r="J1388" i="2"/>
  <c r="J1380" i="2"/>
  <c r="J1372" i="2"/>
  <c r="J1364" i="2"/>
  <c r="J1356" i="2"/>
  <c r="J1348" i="2"/>
  <c r="J1340" i="2"/>
  <c r="J1332" i="2"/>
  <c r="J1324" i="2"/>
  <c r="J1316" i="2"/>
  <c r="R1690" i="2"/>
  <c r="E1552" i="2"/>
  <c r="K1509" i="2"/>
  <c r="G1478" i="2"/>
  <c r="K1457" i="2"/>
  <c r="N1439" i="2"/>
  <c r="P1429" i="2"/>
  <c r="P1421" i="2"/>
  <c r="P1413" i="2"/>
  <c r="P1405" i="2"/>
  <c r="P1397" i="2"/>
  <c r="P1389" i="2"/>
  <c r="P1381" i="2"/>
  <c r="P1373" i="2"/>
  <c r="P1365" i="2"/>
  <c r="P1357" i="2"/>
  <c r="P1349" i="2"/>
  <c r="P1341" i="2"/>
  <c r="P1333" i="2"/>
  <c r="P1325" i="2"/>
  <c r="P1317" i="2"/>
  <c r="P1309" i="2"/>
  <c r="N1563" i="2"/>
  <c r="T1516" i="2"/>
  <c r="T1484" i="2"/>
  <c r="E1462" i="2"/>
  <c r="C1443" i="2"/>
  <c r="O1431" i="2"/>
  <c r="O1423" i="2"/>
  <c r="O1415" i="2"/>
  <c r="O1407" i="2"/>
  <c r="O1399" i="2"/>
  <c r="O1391" i="2"/>
  <c r="O1383" i="2"/>
  <c r="O1375" i="2"/>
  <c r="O1367" i="2"/>
  <c r="O1359" i="2"/>
  <c r="O1351" i="2"/>
  <c r="O1343" i="2"/>
  <c r="O1335" i="2"/>
  <c r="O1327" i="2"/>
  <c r="O1319" i="2"/>
  <c r="F1642" i="2"/>
  <c r="K1547" i="2"/>
  <c r="F1506" i="2"/>
  <c r="E1476" i="2"/>
  <c r="M1455" i="2"/>
  <c r="K1438" i="2"/>
  <c r="T1428" i="2"/>
  <c r="T1420" i="2"/>
  <c r="T1412" i="2"/>
  <c r="T1404" i="2"/>
  <c r="T1396" i="2"/>
  <c r="T1388" i="2"/>
  <c r="T1380" i="2"/>
  <c r="T1372" i="2"/>
  <c r="T1364" i="2"/>
  <c r="T1356" i="2"/>
  <c r="T1348" i="2"/>
  <c r="T1340" i="2"/>
  <c r="T1332" i="2"/>
  <c r="T1324" i="2"/>
  <c r="T1316" i="2"/>
  <c r="T1562" i="2"/>
  <c r="R1516" i="2"/>
  <c r="R1484" i="2"/>
  <c r="P1461" i="2"/>
  <c r="S1442" i="2"/>
  <c r="M1431" i="2"/>
  <c r="M1423" i="2"/>
  <c r="M1415" i="2"/>
  <c r="M1407" i="2"/>
  <c r="M1399" i="2"/>
  <c r="M1391" i="2"/>
  <c r="M1383" i="2"/>
  <c r="M1375" i="2"/>
  <c r="S1919" i="2"/>
  <c r="M1806" i="2"/>
  <c r="G1641" i="2"/>
  <c r="K1676" i="2"/>
  <c r="O1822" i="2"/>
  <c r="Q1837" i="2"/>
  <c r="G1644" i="2"/>
  <c r="G1726" i="2"/>
  <c r="R1802" i="2"/>
  <c r="C1650" i="2"/>
  <c r="C1614" i="2"/>
  <c r="R1708" i="2"/>
  <c r="J1719" i="2"/>
  <c r="A1705" i="2"/>
  <c r="A1681" i="2"/>
  <c r="N1671" i="2"/>
  <c r="H1671" i="2"/>
  <c r="F1618" i="2"/>
  <c r="H1731" i="2"/>
  <c r="C1612" i="2"/>
  <c r="G1584" i="2"/>
  <c r="M1574" i="2"/>
  <c r="H1539" i="2"/>
  <c r="A1502" i="2"/>
  <c r="H1467" i="2"/>
  <c r="O1699" i="2"/>
  <c r="G1567" i="2"/>
  <c r="G1535" i="2"/>
  <c r="G1503" i="2"/>
  <c r="A1699" i="2"/>
  <c r="J1583" i="2"/>
  <c r="F1555" i="2"/>
  <c r="F1531" i="2"/>
  <c r="F1507" i="2"/>
  <c r="F1483" i="2"/>
  <c r="F1459" i="2"/>
  <c r="C1675" i="2"/>
  <c r="F1583" i="2"/>
  <c r="K1556" i="2"/>
  <c r="K1532" i="2"/>
  <c r="K1508" i="2"/>
  <c r="K1484" i="2"/>
  <c r="K1460" i="2"/>
  <c r="E1696" i="2"/>
  <c r="G1578" i="2"/>
  <c r="J1552" i="2"/>
  <c r="J1528" i="2"/>
  <c r="J1504" i="2"/>
  <c r="J1480" i="2"/>
  <c r="J1456" i="2"/>
  <c r="F1750" i="2"/>
  <c r="R1587" i="2"/>
  <c r="C1537" i="2"/>
  <c r="C1509" i="2"/>
  <c r="P1481" i="2"/>
  <c r="H1721" i="2"/>
  <c r="A1580" i="2"/>
  <c r="O1553" i="2"/>
  <c r="H1534" i="2"/>
  <c r="O1513" i="2"/>
  <c r="H1500" i="2"/>
  <c r="H1486" i="2"/>
  <c r="A1473" i="2"/>
  <c r="A1459" i="2"/>
  <c r="H1446" i="2"/>
  <c r="O1435" i="2"/>
  <c r="E1638" i="2"/>
  <c r="J1595" i="2"/>
  <c r="R1575" i="2"/>
  <c r="M1565" i="2"/>
  <c r="M1555" i="2"/>
  <c r="F1546" i="2"/>
  <c r="F1536" i="2"/>
  <c r="S1526" i="2"/>
  <c r="C1739" i="2"/>
  <c r="M1621" i="2"/>
  <c r="S1591" i="2"/>
  <c r="A1573" i="2"/>
  <c r="J1563" i="2"/>
  <c r="D1554" i="2"/>
  <c r="D1544" i="2"/>
  <c r="Q1534" i="2"/>
  <c r="Q1524" i="2"/>
  <c r="J1515" i="2"/>
  <c r="D1506" i="2"/>
  <c r="D1496" i="2"/>
  <c r="Q1486" i="2"/>
  <c r="Q1476" i="2"/>
  <c r="J1467" i="2"/>
  <c r="D1458" i="2"/>
  <c r="D1448" i="2"/>
  <c r="Q1438" i="2"/>
  <c r="R1716" i="2"/>
  <c r="K1621" i="2"/>
  <c r="R1591" i="2"/>
  <c r="T1572" i="2"/>
  <c r="C1564" i="2"/>
  <c r="P1546" i="2"/>
  <c r="P1528" i="2"/>
  <c r="C1520" i="2"/>
  <c r="P1502" i="2"/>
  <c r="C1494" i="2"/>
  <c r="P1476" i="2"/>
  <c r="C1468" i="2"/>
  <c r="P1450" i="2"/>
  <c r="F1607" i="2"/>
  <c r="G1532" i="2"/>
  <c r="S1490" i="2"/>
  <c r="R1460" i="2"/>
  <c r="C1442" i="2"/>
  <c r="J1430" i="2"/>
  <c r="Q1421" i="2"/>
  <c r="D1413" i="2"/>
  <c r="J1404" i="2"/>
  <c r="Q1395" i="2"/>
  <c r="Q1387" i="2"/>
  <c r="Q1379" i="2"/>
  <c r="Q1371" i="2"/>
  <c r="Q1363" i="2"/>
  <c r="Q1355" i="2"/>
  <c r="Q1347" i="2"/>
  <c r="Q1339" i="2"/>
  <c r="Q1331" i="2"/>
  <c r="Q1323" i="2"/>
  <c r="Q1315" i="2"/>
  <c r="M1647" i="2"/>
  <c r="E1548" i="2"/>
  <c r="R1506" i="2"/>
  <c r="G1476" i="2"/>
  <c r="P1455" i="2"/>
  <c r="N1438" i="2"/>
  <c r="C1429" i="2"/>
  <c r="C1421" i="2"/>
  <c r="C1413" i="2"/>
  <c r="C1405" i="2"/>
  <c r="C1397" i="2"/>
  <c r="C1389" i="2"/>
  <c r="C1381" i="2"/>
  <c r="C1373" i="2"/>
  <c r="C1365" i="2"/>
  <c r="C1357" i="2"/>
  <c r="C1349" i="2"/>
  <c r="C1341" i="2"/>
  <c r="C1333" i="2"/>
  <c r="C1325" i="2"/>
  <c r="C1317" i="2"/>
  <c r="C1309" i="2"/>
  <c r="N1559" i="2"/>
  <c r="G1514" i="2"/>
  <c r="G1482" i="2"/>
  <c r="P1441" i="2"/>
  <c r="A1431" i="2"/>
  <c r="A1423" i="2"/>
  <c r="A1415" i="2"/>
  <c r="A1407" i="2"/>
  <c r="A1399" i="2"/>
  <c r="A1391" i="2"/>
  <c r="A1383" i="2"/>
  <c r="A1375" i="2"/>
  <c r="A1367" i="2"/>
  <c r="A1359" i="2"/>
  <c r="A1351" i="2"/>
  <c r="A1343" i="2"/>
  <c r="A1335" i="2"/>
  <c r="A1327" i="2"/>
  <c r="A1319" i="2"/>
  <c r="H1619" i="2"/>
  <c r="K1543" i="2"/>
  <c r="M1503" i="2"/>
  <c r="E1474" i="2"/>
  <c r="T1453" i="2"/>
  <c r="K1437" i="2"/>
  <c r="G1428" i="2"/>
  <c r="G1420" i="2"/>
  <c r="G1412" i="2"/>
  <c r="G1404" i="2"/>
  <c r="G1396" i="2"/>
  <c r="G1388" i="2"/>
  <c r="G1380" i="2"/>
  <c r="G1372" i="2"/>
  <c r="G1364" i="2"/>
  <c r="G1356" i="2"/>
  <c r="G1348" i="2"/>
  <c r="G1340" i="2"/>
  <c r="G1332" i="2"/>
  <c r="G1324" i="2"/>
  <c r="G1316" i="2"/>
  <c r="T1558" i="2"/>
  <c r="E1514" i="2"/>
  <c r="E1482" i="2"/>
  <c r="F1460" i="2"/>
  <c r="M1441" i="2"/>
  <c r="S1430" i="2"/>
  <c r="S1422" i="2"/>
  <c r="T1930" i="2"/>
  <c r="F1769" i="2"/>
  <c r="N1638" i="2"/>
  <c r="S1674" i="2"/>
  <c r="Q1815" i="2"/>
  <c r="H1772" i="2"/>
  <c r="E1801" i="2"/>
  <c r="N1701" i="2"/>
  <c r="G1689" i="2"/>
  <c r="H1678" i="2"/>
  <c r="H1629" i="2"/>
  <c r="R1662" i="2"/>
  <c r="S1799" i="2"/>
  <c r="A1682" i="2"/>
  <c r="S1609" i="2"/>
  <c r="P1573" i="2"/>
  <c r="H1537" i="2"/>
  <c r="H1501" i="2"/>
  <c r="H1465" i="2"/>
  <c r="C1688" i="2"/>
  <c r="N1566" i="2"/>
  <c r="N1534" i="2"/>
  <c r="N1502" i="2"/>
  <c r="K1687" i="2"/>
  <c r="M1552" i="2"/>
  <c r="M1528" i="2"/>
  <c r="M1504" i="2"/>
  <c r="M1480" i="2"/>
  <c r="M1456" i="2"/>
  <c r="F1650" i="2"/>
  <c r="R1555" i="2"/>
  <c r="R1531" i="2"/>
  <c r="R1507" i="2"/>
  <c r="R1483" i="2"/>
  <c r="R1459" i="2"/>
  <c r="E1577" i="2"/>
  <c r="Q1551" i="2"/>
  <c r="Q1527" i="2"/>
  <c r="Q1503" i="2"/>
  <c r="Q1479" i="2"/>
  <c r="Q1455" i="2"/>
  <c r="F1726" i="2"/>
  <c r="C1549" i="2"/>
  <c r="P1521" i="2"/>
  <c r="C1481" i="2"/>
  <c r="T1706" i="2"/>
  <c r="C1579" i="2"/>
  <c r="A1553" i="2"/>
  <c r="H1532" i="2"/>
  <c r="A1513" i="2"/>
  <c r="A1499" i="2"/>
  <c r="A1485" i="2"/>
  <c r="H1472" i="2"/>
  <c r="O1457" i="2"/>
  <c r="A1445" i="2"/>
  <c r="A1435" i="2"/>
  <c r="E1634" i="2"/>
  <c r="R1593" i="2"/>
  <c r="T1574" i="2"/>
  <c r="S1564" i="2"/>
  <c r="S1554" i="2"/>
  <c r="M1545" i="2"/>
  <c r="M1535" i="2"/>
  <c r="F1526" i="2"/>
  <c r="K1717" i="2"/>
  <c r="M1618" i="2"/>
  <c r="J1590" i="2"/>
  <c r="D1572" i="2"/>
  <c r="Q1562" i="2"/>
  <c r="J1553" i="2"/>
  <c r="J1543" i="2"/>
  <c r="D1534" i="2"/>
  <c r="D1524" i="2"/>
  <c r="Q1514" i="2"/>
  <c r="J1505" i="2"/>
  <c r="J1495" i="2"/>
  <c r="D1486" i="2"/>
  <c r="D1476" i="2"/>
  <c r="Q1466" i="2"/>
  <c r="J1457" i="2"/>
  <c r="J1447" i="2"/>
  <c r="D1438" i="2"/>
  <c r="O1702" i="2"/>
  <c r="J1618" i="2"/>
  <c r="C1572" i="2"/>
  <c r="P1554" i="2"/>
  <c r="P1536" i="2"/>
  <c r="C1528" i="2"/>
  <c r="P1510" i="2"/>
  <c r="C1502" i="2"/>
  <c r="P1484" i="2"/>
  <c r="C1476" i="2"/>
  <c r="P1458" i="2"/>
  <c r="P1595" i="2"/>
  <c r="G1528" i="2"/>
  <c r="F1488" i="2"/>
  <c r="C1459" i="2"/>
  <c r="P1440" i="2"/>
  <c r="Q1429" i="2"/>
  <c r="D1421" i="2"/>
  <c r="J1412" i="2"/>
  <c r="Q1403" i="2"/>
  <c r="D1395" i="2"/>
  <c r="D1387" i="2"/>
  <c r="D1379" i="2"/>
  <c r="D1371" i="2"/>
  <c r="D1363" i="2"/>
  <c r="D1355" i="2"/>
  <c r="D1347" i="2"/>
  <c r="D1339" i="2"/>
  <c r="D1331" i="2"/>
  <c r="D1323" i="2"/>
  <c r="D1315" i="2"/>
  <c r="G1622" i="2"/>
  <c r="E1544" i="2"/>
  <c r="E1504" i="2"/>
  <c r="G1474" i="2"/>
  <c r="F1454" i="2"/>
  <c r="N1437" i="2"/>
  <c r="F1798" i="2"/>
  <c r="N1555" i="2"/>
  <c r="N1511" i="2"/>
  <c r="F1480" i="2"/>
  <c r="S1458" i="2"/>
  <c r="M1440" i="2"/>
  <c r="H1430" i="2"/>
  <c r="H1422" i="2"/>
  <c r="H1414" i="2"/>
  <c r="H1406" i="2"/>
  <c r="H1398" i="2"/>
  <c r="H1390" i="2"/>
  <c r="H1382" i="2"/>
  <c r="H1374" i="2"/>
  <c r="H1366" i="2"/>
  <c r="H1358" i="2"/>
  <c r="H1350" i="2"/>
  <c r="H1342" i="2"/>
  <c r="H1334" i="2"/>
  <c r="H1326" i="2"/>
  <c r="H1318" i="2"/>
  <c r="S1604" i="2"/>
  <c r="K1539" i="2"/>
  <c r="S1500" i="2"/>
  <c r="E1472" i="2"/>
  <c r="G1452" i="2"/>
  <c r="K1436" i="2"/>
  <c r="N1427" i="2"/>
  <c r="N1419" i="2"/>
  <c r="N1411" i="2"/>
  <c r="N1403" i="2"/>
  <c r="N1395" i="2"/>
  <c r="N1387" i="2"/>
  <c r="N1379" i="2"/>
  <c r="N1371" i="2"/>
  <c r="N1363" i="2"/>
  <c r="N1355" i="2"/>
  <c r="N1347" i="2"/>
  <c r="N1339" i="2"/>
  <c r="N1331" i="2"/>
  <c r="N1323" i="2"/>
  <c r="C1769" i="2"/>
  <c r="T1554" i="2"/>
  <c r="K1511" i="2"/>
  <c r="T1479" i="2"/>
  <c r="N1458" i="2"/>
  <c r="F1430" i="2"/>
  <c r="F1422" i="2"/>
  <c r="F1414" i="2"/>
  <c r="F1406" i="2"/>
  <c r="F1398" i="2"/>
  <c r="F1390" i="2"/>
  <c r="F1382" i="2"/>
  <c r="F1374" i="2"/>
  <c r="F1366" i="2"/>
  <c r="F1358" i="2"/>
  <c r="F1350" i="2"/>
  <c r="F1342" i="2"/>
  <c r="F1334" i="2"/>
  <c r="F1326" i="2"/>
  <c r="F1318" i="2"/>
  <c r="F1310" i="2"/>
  <c r="R1566" i="2"/>
  <c r="T1518" i="2"/>
  <c r="T1486" i="2"/>
  <c r="G1463" i="2"/>
  <c r="E1444" i="2"/>
  <c r="F1432" i="2"/>
  <c r="E1424" i="2"/>
  <c r="E1416" i="2"/>
  <c r="E1408" i="2"/>
  <c r="E1400" i="2"/>
  <c r="E1392" i="2"/>
  <c r="E1384" i="2"/>
  <c r="E1376" i="2"/>
  <c r="K1928" i="2"/>
  <c r="M1768" i="2"/>
  <c r="Q1739" i="2"/>
  <c r="R1625" i="2"/>
  <c r="P1803" i="2"/>
  <c r="P1688" i="2"/>
  <c r="C1649" i="2"/>
  <c r="K1769" i="2"/>
  <c r="H1768" i="2"/>
  <c r="F1916" i="2"/>
  <c r="G1744" i="2"/>
  <c r="F1682" i="2"/>
  <c r="P1819" i="2"/>
  <c r="D1698" i="2"/>
  <c r="N1686" i="2"/>
  <c r="J1633" i="2"/>
  <c r="P1584" i="2"/>
  <c r="A1628" i="2"/>
  <c r="H1661" i="2"/>
  <c r="T1609" i="2"/>
  <c r="D1609" i="2"/>
  <c r="O1662" i="2"/>
  <c r="O1566" i="2"/>
  <c r="A1532" i="2"/>
  <c r="O1494" i="2"/>
  <c r="A1460" i="2"/>
  <c r="T1565" i="2"/>
  <c r="T1533" i="2"/>
  <c r="T1501" i="2"/>
  <c r="S1676" i="2"/>
  <c r="H1577" i="2"/>
  <c r="S1551" i="2"/>
  <c r="S1527" i="2"/>
  <c r="S1503" i="2"/>
  <c r="S1479" i="2"/>
  <c r="S1455" i="2"/>
  <c r="S1644" i="2"/>
  <c r="H1576" i="2"/>
  <c r="E1555" i="2"/>
  <c r="E1531" i="2"/>
  <c r="E1507" i="2"/>
  <c r="E1483" i="2"/>
  <c r="E1459" i="2"/>
  <c r="T1674" i="2"/>
  <c r="G1576" i="2"/>
  <c r="D1551" i="2"/>
  <c r="D1527" i="2"/>
  <c r="D1503" i="2"/>
  <c r="D1479" i="2"/>
  <c r="D1455" i="2"/>
  <c r="O1709" i="2"/>
  <c r="J1581" i="2"/>
  <c r="P1561" i="2"/>
  <c r="C1521" i="2"/>
  <c r="C1493" i="2"/>
  <c r="K1693" i="2"/>
  <c r="A1578" i="2"/>
  <c r="H1552" i="2"/>
  <c r="O1529" i="2"/>
  <c r="H1512" i="2"/>
  <c r="O1497" i="2"/>
  <c r="H1484" i="2"/>
  <c r="H1470" i="2"/>
  <c r="A1457" i="2"/>
  <c r="H1444" i="2"/>
  <c r="C1797" i="2"/>
  <c r="E1630" i="2"/>
  <c r="T1573" i="2"/>
  <c r="M1563" i="2"/>
  <c r="F1554" i="2"/>
  <c r="F1544" i="2"/>
  <c r="S1534" i="2"/>
  <c r="M1525" i="2"/>
  <c r="P1690" i="2"/>
  <c r="O1615" i="2"/>
  <c r="E1587" i="2"/>
  <c r="J1571" i="2"/>
  <c r="D1562" i="2"/>
  <c r="D1552" i="2"/>
  <c r="Q1542" i="2"/>
  <c r="Q1532" i="2"/>
  <c r="J1523" i="2"/>
  <c r="D1514" i="2"/>
  <c r="D1504" i="2"/>
  <c r="Q1494" i="2"/>
  <c r="Q1484" i="2"/>
  <c r="J1475" i="2"/>
  <c r="D1466" i="2"/>
  <c r="D1456" i="2"/>
  <c r="Q1446" i="2"/>
  <c r="Q1436" i="2"/>
  <c r="E1690" i="2"/>
  <c r="N1615" i="2"/>
  <c r="D1587" i="2"/>
  <c r="P1562" i="2"/>
  <c r="P1544" i="2"/>
  <c r="C1536" i="2"/>
  <c r="P1518" i="2"/>
  <c r="C1510" i="2"/>
  <c r="P1492" i="2"/>
  <c r="C1484" i="2"/>
  <c r="P1466" i="2"/>
  <c r="P1448" i="2"/>
  <c r="S1585" i="2"/>
  <c r="G1524" i="2"/>
  <c r="S1482" i="2"/>
  <c r="M1457" i="2"/>
  <c r="P1439" i="2"/>
  <c r="D1429" i="2"/>
  <c r="J1420" i="2"/>
  <c r="Q1411" i="2"/>
  <c r="D1403" i="2"/>
  <c r="J1394" i="2"/>
  <c r="J1386" i="2"/>
  <c r="J1378" i="2"/>
  <c r="J1370" i="2"/>
  <c r="J1362" i="2"/>
  <c r="J1354" i="2"/>
  <c r="J1346" i="2"/>
  <c r="J1338" i="2"/>
  <c r="J1330" i="2"/>
  <c r="J1322" i="2"/>
  <c r="J1314" i="2"/>
  <c r="C1607" i="2"/>
  <c r="E1540" i="2"/>
  <c r="K1501" i="2"/>
  <c r="G1472" i="2"/>
  <c r="N1452" i="2"/>
  <c r="N1436" i="2"/>
  <c r="P1427" i="2"/>
  <c r="P1419" i="2"/>
  <c r="P1411" i="2"/>
  <c r="P1403" i="2"/>
  <c r="P1395" i="2"/>
  <c r="P1387" i="2"/>
  <c r="P1379" i="2"/>
  <c r="P1371" i="2"/>
  <c r="P1363" i="2"/>
  <c r="P1355" i="2"/>
  <c r="P1347" i="2"/>
  <c r="P1339" i="2"/>
  <c r="P1331" i="2"/>
  <c r="P1323" i="2"/>
  <c r="P1315" i="2"/>
  <c r="P1682" i="2"/>
  <c r="N1551" i="2"/>
  <c r="T1508" i="2"/>
  <c r="F1478" i="2"/>
  <c r="G1457" i="2"/>
  <c r="M1439" i="2"/>
  <c r="O1429" i="2"/>
  <c r="O1421" i="2"/>
  <c r="O1413" i="2"/>
  <c r="O1405" i="2"/>
  <c r="O1397" i="2"/>
  <c r="O1389" i="2"/>
  <c r="O1381" i="2"/>
  <c r="O1373" i="2"/>
  <c r="O1365" i="2"/>
  <c r="O1357" i="2"/>
  <c r="O1349" i="2"/>
  <c r="O1341" i="2"/>
  <c r="O1333" i="2"/>
  <c r="O1325" i="2"/>
  <c r="O1317" i="2"/>
  <c r="Q1593" i="2"/>
  <c r="K1535" i="2"/>
  <c r="F1498" i="2"/>
  <c r="E1470" i="2"/>
  <c r="R1450" i="2"/>
  <c r="K1435" i="2"/>
  <c r="T1426" i="2"/>
  <c r="T1418" i="2"/>
  <c r="T1410" i="2"/>
  <c r="T1402" i="2"/>
  <c r="T1394" i="2"/>
  <c r="T1386" i="2"/>
  <c r="T1378" i="2"/>
  <c r="T1370" i="2"/>
  <c r="T1362" i="2"/>
  <c r="T1354" i="2"/>
  <c r="T1346" i="2"/>
  <c r="T1338" i="2"/>
  <c r="T1330" i="2"/>
  <c r="T1322" i="2"/>
  <c r="R1672" i="2"/>
  <c r="T1550" i="2"/>
  <c r="R1508" i="2"/>
  <c r="T1477" i="2"/>
  <c r="T1456" i="2"/>
  <c r="M1429" i="2"/>
  <c r="M1421" i="2"/>
  <c r="M1413" i="2"/>
  <c r="M1405" i="2"/>
  <c r="M1397" i="2"/>
  <c r="M1389" i="2"/>
  <c r="M1381" i="2"/>
  <c r="M1373" i="2"/>
  <c r="M1365" i="2"/>
  <c r="M1357" i="2"/>
  <c r="M1349" i="2"/>
  <c r="M1341" i="2"/>
  <c r="M1333" i="2"/>
  <c r="M1325" i="2"/>
  <c r="M1317" i="2"/>
  <c r="M1309" i="2"/>
  <c r="R1562" i="2"/>
  <c r="G1516" i="2"/>
  <c r="G1484" i="2"/>
  <c r="N1461" i="2"/>
  <c r="R1442" i="2"/>
  <c r="K1431" i="2"/>
  <c r="K1423" i="2"/>
  <c r="K1415" i="2"/>
  <c r="K1407" i="2"/>
  <c r="K1399" i="2"/>
  <c r="K1391" i="2"/>
  <c r="K1383" i="2"/>
  <c r="K1375" i="2"/>
  <c r="K1367" i="2"/>
  <c r="K1359" i="2"/>
  <c r="K1351" i="2"/>
  <c r="K1343" i="2"/>
  <c r="K1335" i="2"/>
  <c r="K1327" i="2"/>
  <c r="K1319" i="2"/>
  <c r="G1566" i="2"/>
  <c r="S1518" i="2"/>
  <c r="S1486" i="2"/>
  <c r="C1463" i="2"/>
  <c r="C1444" i="2"/>
  <c r="E1432" i="2"/>
  <c r="D1424" i="2"/>
  <c r="D1416" i="2"/>
  <c r="D1408" i="2"/>
  <c r="D1400" i="2"/>
  <c r="D1392" i="2"/>
  <c r="D1384" i="2"/>
  <c r="D1376" i="2"/>
  <c r="D1368" i="2"/>
  <c r="D1360" i="2"/>
  <c r="D1352" i="2"/>
  <c r="D1344" i="2"/>
  <c r="D1336" i="2"/>
  <c r="D1328" i="2"/>
  <c r="D1320" i="2"/>
  <c r="D1312" i="2"/>
  <c r="H1739" i="2"/>
  <c r="E1554" i="2"/>
  <c r="R1510" i="2"/>
  <c r="K1479" i="2"/>
  <c r="F1458" i="2"/>
  <c r="E1440" i="2"/>
  <c r="C1430" i="2"/>
  <c r="C1422" i="2"/>
  <c r="C1414" i="2"/>
  <c r="Q1788" i="2"/>
  <c r="H1762" i="2"/>
  <c r="P1662" i="2"/>
  <c r="D1639" i="2"/>
  <c r="J1625" i="2"/>
  <c r="H1453" i="2"/>
  <c r="T1493" i="2"/>
  <c r="F1547" i="2"/>
  <c r="F1451" i="2"/>
  <c r="R1547" i="2"/>
  <c r="R1451" i="2"/>
  <c r="J1520" i="2"/>
  <c r="J1635" i="2"/>
  <c r="C1561" i="2"/>
  <c r="A1569" i="2"/>
  <c r="H1494" i="2"/>
  <c r="O1441" i="2"/>
  <c r="D1573" i="2"/>
  <c r="F1534" i="2"/>
  <c r="P1585" i="2"/>
  <c r="D1542" i="2"/>
  <c r="J1503" i="2"/>
  <c r="J1465" i="2"/>
  <c r="K1679" i="2"/>
  <c r="P1570" i="2"/>
  <c r="G1520" i="2"/>
  <c r="P1436" i="2"/>
  <c r="D1401" i="2"/>
  <c r="J1368" i="2"/>
  <c r="J1336" i="2"/>
  <c r="Q1577" i="2"/>
  <c r="P1447" i="2"/>
  <c r="C1419" i="2"/>
  <c r="C1403" i="2"/>
  <c r="C1387" i="2"/>
  <c r="C1371" i="2"/>
  <c r="C1355" i="2"/>
  <c r="C1339" i="2"/>
  <c r="C1323" i="2"/>
  <c r="K1619" i="2"/>
  <c r="A1421" i="2"/>
  <c r="A1389" i="2"/>
  <c r="A1357" i="2"/>
  <c r="A1325" i="2"/>
  <c r="M1495" i="2"/>
  <c r="G1426" i="2"/>
  <c r="G1394" i="2"/>
  <c r="G1362" i="2"/>
  <c r="G1330" i="2"/>
  <c r="E1506" i="2"/>
  <c r="M1411" i="2"/>
  <c r="M1387" i="2"/>
  <c r="F1364" i="2"/>
  <c r="M1343" i="2"/>
  <c r="S1324" i="2"/>
  <c r="C1671" i="2"/>
  <c r="N1489" i="2"/>
  <c r="K1441" i="2"/>
  <c r="E1422" i="2"/>
  <c r="K1401" i="2"/>
  <c r="R1382" i="2"/>
  <c r="E1366" i="2"/>
  <c r="E1350" i="2"/>
  <c r="E1334" i="2"/>
  <c r="E1318" i="2"/>
  <c r="M1513" i="2"/>
  <c r="T1459" i="2"/>
  <c r="Q1430" i="2"/>
  <c r="Q1414" i="2"/>
  <c r="Q1398" i="2"/>
  <c r="Q1382" i="2"/>
  <c r="Q1366" i="2"/>
  <c r="Q1350" i="2"/>
  <c r="Q1334" i="2"/>
  <c r="Q1318" i="2"/>
  <c r="D1634" i="2"/>
  <c r="E1516" i="2"/>
  <c r="K1473" i="2"/>
  <c r="N1442" i="2"/>
  <c r="C1428" i="2"/>
  <c r="C1396" i="2"/>
  <c r="C1386" i="2"/>
  <c r="C1378" i="2"/>
  <c r="C1370" i="2"/>
  <c r="C1362" i="2"/>
  <c r="C1354" i="2"/>
  <c r="C1346" i="2"/>
  <c r="N1561" i="2"/>
  <c r="N1515" i="2"/>
  <c r="N1483" i="2"/>
  <c r="G1461" i="2"/>
  <c r="H1431" i="2"/>
  <c r="H1423" i="2"/>
  <c r="H1415" i="2"/>
  <c r="H1407" i="2"/>
  <c r="H1399" i="2"/>
  <c r="H1391" i="2"/>
  <c r="H1383" i="2"/>
  <c r="H1375" i="2"/>
  <c r="H1367" i="2"/>
  <c r="H1359" i="2"/>
  <c r="H1351" i="2"/>
  <c r="H1343" i="2"/>
  <c r="H1335" i="2"/>
  <c r="H1327" i="2"/>
  <c r="H1319" i="2"/>
  <c r="H1311" i="2"/>
  <c r="T1556" i="2"/>
  <c r="R1512" i="2"/>
  <c r="S1480" i="2"/>
  <c r="K1459" i="2"/>
  <c r="S1440" i="2"/>
  <c r="M1430" i="2"/>
  <c r="M1422" i="2"/>
  <c r="M1414" i="2"/>
  <c r="M1406" i="2"/>
  <c r="M1398" i="2"/>
  <c r="M1390" i="2"/>
  <c r="M1382" i="2"/>
  <c r="M1374" i="2"/>
  <c r="M1366" i="2"/>
  <c r="M1358" i="2"/>
  <c r="M1350" i="2"/>
  <c r="M1342" i="2"/>
  <c r="M1334" i="2"/>
  <c r="M1326" i="2"/>
  <c r="M1318" i="2"/>
  <c r="T1478" i="2"/>
  <c r="T1405" i="2"/>
  <c r="T1357" i="2"/>
  <c r="R1321" i="2"/>
  <c r="G1306" i="2"/>
  <c r="D1298" i="2"/>
  <c r="D1290" i="2"/>
  <c r="D1282" i="2"/>
  <c r="D1274" i="2"/>
  <c r="D1266" i="2"/>
  <c r="D1258" i="2"/>
  <c r="D1250" i="2"/>
  <c r="D1242" i="2"/>
  <c r="D1234" i="2"/>
  <c r="D1226" i="2"/>
  <c r="D1218" i="2"/>
  <c r="D1210" i="2"/>
  <c r="D1202" i="2"/>
  <c r="D1194" i="2"/>
  <c r="D1186" i="2"/>
  <c r="D1178" i="2"/>
  <c r="R1478" i="2"/>
  <c r="R1405" i="2"/>
  <c r="R1357" i="2"/>
  <c r="F1658" i="2"/>
  <c r="G1429" i="2"/>
  <c r="G1381" i="2"/>
  <c r="G1337" i="2"/>
  <c r="E1311" i="2"/>
  <c r="A1302" i="2"/>
  <c r="A1294" i="2"/>
  <c r="A1286" i="2"/>
  <c r="A1278" i="2"/>
  <c r="A1270" i="2"/>
  <c r="A1262" i="2"/>
  <c r="A1254" i="2"/>
  <c r="A1246" i="2"/>
  <c r="A1238" i="2"/>
  <c r="A1230" i="2"/>
  <c r="A1222" i="2"/>
  <c r="A1214" i="2"/>
  <c r="A1206" i="2"/>
  <c r="A1198" i="2"/>
  <c r="A1190" i="2"/>
  <c r="A1182" i="2"/>
  <c r="A1174" i="2"/>
  <c r="R1438" i="2"/>
  <c r="E1389" i="2"/>
  <c r="K1342" i="2"/>
  <c r="G1313" i="2"/>
  <c r="G1303" i="2"/>
  <c r="G1295" i="2"/>
  <c r="G1287" i="2"/>
  <c r="G1279" i="2"/>
  <c r="G1271" i="2"/>
  <c r="G1263" i="2"/>
  <c r="G1255" i="2"/>
  <c r="G1247" i="2"/>
  <c r="G1239" i="2"/>
  <c r="G1231" i="2"/>
  <c r="G1223" i="2"/>
  <c r="G1215" i="2"/>
  <c r="G1207" i="2"/>
  <c r="S1504" i="2"/>
  <c r="N1412" i="2"/>
  <c r="N1364" i="2"/>
  <c r="C1326" i="2"/>
  <c r="K1307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K1396" i="2"/>
  <c r="K1348" i="2"/>
  <c r="T1315" i="2"/>
  <c r="K1304" i="2"/>
  <c r="K1296" i="2"/>
  <c r="K1288" i="2"/>
  <c r="K1280" i="2"/>
  <c r="K1272" i="2"/>
  <c r="K1264" i="2"/>
  <c r="K1256" i="2"/>
  <c r="K1248" i="2"/>
  <c r="K1240" i="2"/>
  <c r="K1232" i="2"/>
  <c r="K1224" i="2"/>
  <c r="K1216" i="2"/>
  <c r="F1518" i="2"/>
  <c r="T1415" i="2"/>
  <c r="T1367" i="2"/>
  <c r="K1328" i="2"/>
  <c r="C1308" i="2"/>
  <c r="Q1299" i="2"/>
  <c r="Q1291" i="2"/>
  <c r="Q1283" i="2"/>
  <c r="Q1275" i="2"/>
  <c r="Q1267" i="2"/>
  <c r="Q1259" i="2"/>
  <c r="Q1251" i="2"/>
  <c r="Q1243" i="2"/>
  <c r="Q1235" i="2"/>
  <c r="Q1227" i="2"/>
  <c r="Q1219" i="2"/>
  <c r="Q1211" i="2"/>
  <c r="Q1203" i="2"/>
  <c r="Q1195" i="2"/>
  <c r="Q1187" i="2"/>
  <c r="Q1179" i="2"/>
  <c r="R1540" i="2"/>
  <c r="R1419" i="2"/>
  <c r="R1371" i="2"/>
  <c r="P1330" i="2"/>
  <c r="P1308" i="2"/>
  <c r="M1483" i="2"/>
  <c r="G1407" i="2"/>
  <c r="G1359" i="2"/>
  <c r="N1322" i="2"/>
  <c r="K1306" i="2"/>
  <c r="H1298" i="2"/>
  <c r="H1290" i="2"/>
  <c r="H1282" i="2"/>
  <c r="H1274" i="2"/>
  <c r="H1266" i="2"/>
  <c r="H1258" i="2"/>
  <c r="H1250" i="2"/>
  <c r="H1242" i="2"/>
  <c r="H1234" i="2"/>
  <c r="H1226" i="2"/>
  <c r="H1218" i="2"/>
  <c r="H1210" i="2"/>
  <c r="H1202" i="2"/>
  <c r="H1194" i="2"/>
  <c r="H1186" i="2"/>
  <c r="H1178" i="2"/>
  <c r="K1533" i="2"/>
  <c r="N1418" i="2"/>
  <c r="N1370" i="2"/>
  <c r="C1330" i="2"/>
  <c r="M1308" i="2"/>
  <c r="F1300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R1470" i="2"/>
  <c r="K1206" i="2"/>
  <c r="R1189" i="2"/>
  <c r="E1176" i="2"/>
  <c r="E1167" i="2"/>
  <c r="E1159" i="2"/>
  <c r="F1817" i="2"/>
  <c r="N1719" i="2"/>
  <c r="C1662" i="2"/>
  <c r="S1642" i="2"/>
  <c r="E1600" i="2"/>
  <c r="A1564" i="2"/>
  <c r="N1492" i="2"/>
  <c r="M1544" i="2"/>
  <c r="M1448" i="2"/>
  <c r="E1527" i="2"/>
  <c r="Q1519" i="2"/>
  <c r="J1631" i="2"/>
  <c r="H1548" i="2"/>
  <c r="A1483" i="2"/>
  <c r="F1768" i="2"/>
  <c r="M1571" i="2"/>
  <c r="M1533" i="2"/>
  <c r="S1583" i="2"/>
  <c r="Q1540" i="2"/>
  <c r="Q1502" i="2"/>
  <c r="D1464" i="2"/>
  <c r="R1670" i="2"/>
  <c r="P1552" i="2"/>
  <c r="S1514" i="2"/>
  <c r="J1428" i="2"/>
  <c r="Q1393" i="2"/>
  <c r="Q1361" i="2"/>
  <c r="Q1329" i="2"/>
  <c r="E1536" i="2"/>
  <c r="N1435" i="2"/>
  <c r="A1605" i="2"/>
  <c r="N1455" i="2"/>
  <c r="H1420" i="2"/>
  <c r="H1388" i="2"/>
  <c r="H1356" i="2"/>
  <c r="H1324" i="2"/>
  <c r="S1492" i="2"/>
  <c r="N1425" i="2"/>
  <c r="N1393" i="2"/>
  <c r="N1361" i="2"/>
  <c r="N1329" i="2"/>
  <c r="K1503" i="2"/>
  <c r="S1406" i="2"/>
  <c r="S1382" i="2"/>
  <c r="M1363" i="2"/>
  <c r="S1342" i="2"/>
  <c r="F1324" i="2"/>
  <c r="Q1575" i="2"/>
  <c r="N1481" i="2"/>
  <c r="G1440" i="2"/>
  <c r="K1421" i="2"/>
  <c r="R1400" i="2"/>
  <c r="E1382" i="2"/>
  <c r="K1365" i="2"/>
  <c r="K1349" i="2"/>
  <c r="K1333" i="2"/>
  <c r="C1745" i="2"/>
  <c r="S1510" i="2"/>
  <c r="G1458" i="2"/>
  <c r="D1430" i="2"/>
  <c r="D1414" i="2"/>
  <c r="D1398" i="2"/>
  <c r="D1382" i="2"/>
  <c r="D1366" i="2"/>
  <c r="D1350" i="2"/>
  <c r="D1334" i="2"/>
  <c r="D1318" i="2"/>
  <c r="P1613" i="2"/>
  <c r="K1513" i="2"/>
  <c r="K1471" i="2"/>
  <c r="G1441" i="2"/>
  <c r="P1414" i="2"/>
  <c r="P1404" i="2"/>
  <c r="N1557" i="2"/>
  <c r="T1512" i="2"/>
  <c r="G1481" i="2"/>
  <c r="N1459" i="2"/>
  <c r="C1441" i="2"/>
  <c r="O1430" i="2"/>
  <c r="O1422" i="2"/>
  <c r="O1414" i="2"/>
  <c r="O1406" i="2"/>
  <c r="O1398" i="2"/>
  <c r="O1390" i="2"/>
  <c r="O1382" i="2"/>
  <c r="O1374" i="2"/>
  <c r="O1366" i="2"/>
  <c r="O1358" i="2"/>
  <c r="O1350" i="2"/>
  <c r="O1342" i="2"/>
  <c r="O1334" i="2"/>
  <c r="O1326" i="2"/>
  <c r="O1318" i="2"/>
  <c r="R1706" i="2"/>
  <c r="T1552" i="2"/>
  <c r="E1510" i="2"/>
  <c r="S1478" i="2"/>
  <c r="P1457" i="2"/>
  <c r="S1439" i="2"/>
  <c r="S1429" i="2"/>
  <c r="S1421" i="2"/>
  <c r="S1413" i="2"/>
  <c r="S1405" i="2"/>
  <c r="S1397" i="2"/>
  <c r="S1389" i="2"/>
  <c r="S1381" i="2"/>
  <c r="S1373" i="2"/>
  <c r="S1365" i="2"/>
  <c r="S1357" i="2"/>
  <c r="S1349" i="2"/>
  <c r="S1341" i="2"/>
  <c r="S1333" i="2"/>
  <c r="S1325" i="2"/>
  <c r="S1317" i="2"/>
  <c r="M1467" i="2"/>
  <c r="T1401" i="2"/>
  <c r="T1353" i="2"/>
  <c r="E1319" i="2"/>
  <c r="M1305" i="2"/>
  <c r="J1297" i="2"/>
  <c r="J1289" i="2"/>
  <c r="J1281" i="2"/>
  <c r="J1273" i="2"/>
  <c r="J1265" i="2"/>
  <c r="J1257" i="2"/>
  <c r="J1249" i="2"/>
  <c r="J1241" i="2"/>
  <c r="J1233" i="2"/>
  <c r="J1225" i="2"/>
  <c r="J1217" i="2"/>
  <c r="J1209" i="2"/>
  <c r="J1201" i="2"/>
  <c r="J1193" i="2"/>
  <c r="J1185" i="2"/>
  <c r="J1177" i="2"/>
  <c r="G1467" i="2"/>
  <c r="R1401" i="2"/>
  <c r="R1353" i="2"/>
  <c r="P1318" i="2"/>
  <c r="S1573" i="2"/>
  <c r="G1425" i="2"/>
  <c r="G1377" i="2"/>
  <c r="N1334" i="2"/>
  <c r="C1310" i="2"/>
  <c r="H1301" i="2"/>
  <c r="H1293" i="2"/>
  <c r="H1285" i="2"/>
  <c r="H1277" i="2"/>
  <c r="H1269" i="2"/>
  <c r="H1261" i="2"/>
  <c r="H1253" i="2"/>
  <c r="H1245" i="2"/>
  <c r="H1237" i="2"/>
  <c r="H1229" i="2"/>
  <c r="H1221" i="2"/>
  <c r="H1213" i="2"/>
  <c r="H1205" i="2"/>
  <c r="H1197" i="2"/>
  <c r="H1189" i="2"/>
  <c r="H1181" i="2"/>
  <c r="H1173" i="2"/>
  <c r="G1433" i="2"/>
  <c r="E1385" i="2"/>
  <c r="R1339" i="2"/>
  <c r="E1312" i="2"/>
  <c r="N1302" i="2"/>
  <c r="N1294" i="2"/>
  <c r="N1286" i="2"/>
  <c r="N1278" i="2"/>
  <c r="N1270" i="2"/>
  <c r="N1262" i="2"/>
  <c r="N1254" i="2"/>
  <c r="N1246" i="2"/>
  <c r="N1238" i="2"/>
  <c r="N1230" i="2"/>
  <c r="N1222" i="2"/>
  <c r="N1214" i="2"/>
  <c r="N1206" i="2"/>
  <c r="S1488" i="2"/>
  <c r="N1408" i="2"/>
  <c r="N1360" i="2"/>
  <c r="P1306" i="2"/>
  <c r="M1298" i="2"/>
  <c r="M1290" i="2"/>
  <c r="M1282" i="2"/>
  <c r="M1274" i="2"/>
  <c r="M1266" i="2"/>
  <c r="M1258" i="2"/>
  <c r="M1250" i="2"/>
  <c r="M1242" i="2"/>
  <c r="M1234" i="2"/>
  <c r="M1226" i="2"/>
  <c r="M1218" i="2"/>
  <c r="M1210" i="2"/>
  <c r="M1202" i="2"/>
  <c r="M1194" i="2"/>
  <c r="M1186" i="2"/>
  <c r="S1444" i="2"/>
  <c r="K1392" i="2"/>
  <c r="N1344" i="2"/>
  <c r="K1314" i="2"/>
  <c r="R1303" i="2"/>
  <c r="R1295" i="2"/>
  <c r="R1287" i="2"/>
  <c r="R1279" i="2"/>
  <c r="R1271" i="2"/>
  <c r="R1263" i="2"/>
  <c r="R1255" i="2"/>
  <c r="R1247" i="2"/>
  <c r="R1239" i="2"/>
  <c r="R1231" i="2"/>
  <c r="R1223" i="2"/>
  <c r="R1215" i="2"/>
  <c r="F1502" i="2"/>
  <c r="T1411" i="2"/>
  <c r="T1363" i="2"/>
  <c r="R1325" i="2"/>
  <c r="H1307" i="2"/>
  <c r="D1299" i="2"/>
  <c r="D1291" i="2"/>
  <c r="D1283" i="2"/>
  <c r="D1275" i="2"/>
  <c r="D1267" i="2"/>
  <c r="D1259" i="2"/>
  <c r="D1251" i="2"/>
  <c r="D1243" i="2"/>
  <c r="D1235" i="2"/>
  <c r="D1227" i="2"/>
  <c r="D1219" i="2"/>
  <c r="D1211" i="2"/>
  <c r="D1203" i="2"/>
  <c r="D1195" i="2"/>
  <c r="D1187" i="2"/>
  <c r="D1179" i="2"/>
  <c r="N1517" i="2"/>
  <c r="R1415" i="2"/>
  <c r="R1367" i="2"/>
  <c r="C1328" i="2"/>
  <c r="A1308" i="2"/>
  <c r="P1299" i="2"/>
  <c r="P1291" i="2"/>
  <c r="P1283" i="2"/>
  <c r="P1275" i="2"/>
  <c r="P1267" i="2"/>
  <c r="P1259" i="2"/>
  <c r="P1251" i="2"/>
  <c r="P1243" i="2"/>
  <c r="P1235" i="2"/>
  <c r="P1227" i="2"/>
  <c r="T1470" i="2"/>
  <c r="G1403" i="2"/>
  <c r="J1955" i="2"/>
  <c r="O1736" i="2"/>
  <c r="Q1718" i="2"/>
  <c r="M1701" i="2"/>
  <c r="F1636" i="2"/>
  <c r="O1668" i="2"/>
  <c r="H1563" i="2"/>
  <c r="Q1628" i="2"/>
  <c r="Q1640" i="2"/>
  <c r="F1527" i="2"/>
  <c r="M1639" i="2"/>
  <c r="K1524" i="2"/>
  <c r="K1639" i="2"/>
  <c r="D1499" i="2"/>
  <c r="C1517" i="2"/>
  <c r="C1477" i="2"/>
  <c r="O1545" i="2"/>
  <c r="O1481" i="2"/>
  <c r="F1744" i="2"/>
  <c r="S1570" i="2"/>
  <c r="S1532" i="2"/>
  <c r="J1582" i="2"/>
  <c r="D1540" i="2"/>
  <c r="D1502" i="2"/>
  <c r="J1463" i="2"/>
  <c r="A1664" i="2"/>
  <c r="P1568" i="2"/>
  <c r="C1552" i="2"/>
  <c r="P1534" i="2"/>
  <c r="C1518" i="2"/>
  <c r="F1512" i="2"/>
  <c r="Q1427" i="2"/>
  <c r="D1393" i="2"/>
  <c r="D1361" i="2"/>
  <c r="D1329" i="2"/>
  <c r="E1532" i="2"/>
  <c r="N1434" i="2"/>
  <c r="P1417" i="2"/>
  <c r="P1401" i="2"/>
  <c r="P1385" i="2"/>
  <c r="P1369" i="2"/>
  <c r="P1353" i="2"/>
  <c r="P1337" i="2"/>
  <c r="P1321" i="2"/>
  <c r="N1547" i="2"/>
  <c r="E1454" i="2"/>
  <c r="O1419" i="2"/>
  <c r="O1387" i="2"/>
  <c r="O1355" i="2"/>
  <c r="O1323" i="2"/>
  <c r="F1490" i="2"/>
  <c r="T1424" i="2"/>
  <c r="T1392" i="2"/>
  <c r="T1360" i="2"/>
  <c r="T1328" i="2"/>
  <c r="R1500" i="2"/>
  <c r="S1404" i="2"/>
  <c r="S1380" i="2"/>
  <c r="M1359" i="2"/>
  <c r="S1340" i="2"/>
  <c r="M1323" i="2"/>
  <c r="R1570" i="2"/>
  <c r="N1479" i="2"/>
  <c r="G1439" i="2"/>
  <c r="K1417" i="2"/>
  <c r="R1398" i="2"/>
  <c r="K1381" i="2"/>
  <c r="K1361" i="2"/>
  <c r="K1345" i="2"/>
  <c r="K1329" i="2"/>
  <c r="E1581" i="2"/>
  <c r="S1494" i="2"/>
  <c r="R1448" i="2"/>
  <c r="D1426" i="2"/>
  <c r="D1410" i="2"/>
  <c r="D1394" i="2"/>
  <c r="D1378" i="2"/>
  <c r="D1362" i="2"/>
  <c r="D1346" i="2"/>
  <c r="D1330" i="2"/>
  <c r="D1314" i="2"/>
  <c r="Q1574" i="2"/>
  <c r="E1508" i="2"/>
  <c r="F1466" i="2"/>
  <c r="E1439" i="2"/>
  <c r="C1404" i="2"/>
  <c r="C1394" i="2"/>
  <c r="P1384" i="2"/>
  <c r="P1376" i="2"/>
  <c r="P1368" i="2"/>
  <c r="P1360" i="2"/>
  <c r="P1352" i="2"/>
  <c r="G1721" i="2"/>
  <c r="N1553" i="2"/>
  <c r="G1510" i="2"/>
  <c r="G1479" i="2"/>
  <c r="E1458" i="2"/>
  <c r="C1440" i="2"/>
  <c r="A1430" i="2"/>
  <c r="A1422" i="2"/>
  <c r="A1414" i="2"/>
  <c r="A1406" i="2"/>
  <c r="A1398" i="2"/>
  <c r="A1390" i="2"/>
  <c r="A1382" i="2"/>
  <c r="A1374" i="2"/>
  <c r="A1366" i="2"/>
  <c r="A1358" i="2"/>
  <c r="A1350" i="2"/>
  <c r="A1342" i="2"/>
  <c r="A1334" i="2"/>
  <c r="A1326" i="2"/>
  <c r="A1318" i="2"/>
  <c r="E1654" i="2"/>
  <c r="T1548" i="2"/>
  <c r="K1507" i="2"/>
  <c r="S1476" i="2"/>
  <c r="F1456" i="2"/>
  <c r="S1438" i="2"/>
  <c r="F1429" i="2"/>
  <c r="F1421" i="2"/>
  <c r="F1413" i="2"/>
  <c r="F1405" i="2"/>
  <c r="F1397" i="2"/>
  <c r="F1389" i="2"/>
  <c r="F1381" i="2"/>
  <c r="F1373" i="2"/>
  <c r="F1365" i="2"/>
  <c r="F1357" i="2"/>
  <c r="F1349" i="2"/>
  <c r="F1341" i="2"/>
  <c r="F1333" i="2"/>
  <c r="F1325" i="2"/>
  <c r="F1317" i="2"/>
  <c r="T1457" i="2"/>
  <c r="T1397" i="2"/>
  <c r="T1349" i="2"/>
  <c r="P1316" i="2"/>
  <c r="R1304" i="2"/>
  <c r="Q1296" i="2"/>
  <c r="Q1288" i="2"/>
  <c r="Q1280" i="2"/>
  <c r="Q1272" i="2"/>
  <c r="Q1264" i="2"/>
  <c r="Q1256" i="2"/>
  <c r="Q1248" i="2"/>
  <c r="Q1240" i="2"/>
  <c r="Q1232" i="2"/>
  <c r="Q1224" i="2"/>
  <c r="Q1216" i="2"/>
  <c r="Q1208" i="2"/>
  <c r="Q1200" i="2"/>
  <c r="Q1192" i="2"/>
  <c r="Q1184" i="2"/>
  <c r="Q1176" i="2"/>
  <c r="N1457" i="2"/>
  <c r="R1397" i="2"/>
  <c r="R1349" i="2"/>
  <c r="N1316" i="2"/>
  <c r="K1549" i="2"/>
  <c r="G1421" i="2"/>
  <c r="G1373" i="2"/>
  <c r="T1331" i="2"/>
  <c r="E1309" i="2"/>
  <c r="O1300" i="2"/>
  <c r="O1292" i="2"/>
  <c r="O1284" i="2"/>
  <c r="O1276" i="2"/>
  <c r="O1268" i="2"/>
  <c r="O1260" i="2"/>
  <c r="O1252" i="2"/>
  <c r="O1244" i="2"/>
  <c r="O1236" i="2"/>
  <c r="O1228" i="2"/>
  <c r="O1220" i="2"/>
  <c r="O1212" i="2"/>
  <c r="O1204" i="2"/>
  <c r="O1196" i="2"/>
  <c r="O1188" i="2"/>
  <c r="O1180" i="2"/>
  <c r="S1652" i="2"/>
  <c r="E1429" i="2"/>
  <c r="E1381" i="2"/>
  <c r="E1337" i="2"/>
  <c r="A1311" i="2"/>
  <c r="T1301" i="2"/>
  <c r="T1293" i="2"/>
  <c r="T1285" i="2"/>
  <c r="T1277" i="2"/>
  <c r="T1269" i="2"/>
  <c r="T1261" i="2"/>
  <c r="T1253" i="2"/>
  <c r="T1245" i="2"/>
  <c r="T1237" i="2"/>
  <c r="T1229" i="2"/>
  <c r="T1221" i="2"/>
  <c r="T1213" i="2"/>
  <c r="T1205" i="2"/>
  <c r="T1474" i="2"/>
  <c r="N1404" i="2"/>
  <c r="N1356" i="2"/>
  <c r="P1320" i="2"/>
  <c r="A1306" i="2"/>
  <c r="S1297" i="2"/>
  <c r="S1289" i="2"/>
  <c r="S1281" i="2"/>
  <c r="S1273" i="2"/>
  <c r="S1265" i="2"/>
  <c r="S1257" i="2"/>
  <c r="S1249" i="2"/>
  <c r="S1241" i="2"/>
  <c r="S1233" i="2"/>
  <c r="S1225" i="2"/>
  <c r="S1217" i="2"/>
  <c r="S1209" i="2"/>
  <c r="S1201" i="2"/>
  <c r="S1193" i="2"/>
  <c r="S1185" i="2"/>
  <c r="R1437" i="2"/>
  <c r="K1388" i="2"/>
  <c r="T1341" i="2"/>
  <c r="E1313" i="2"/>
  <c r="E1303" i="2"/>
  <c r="E1295" i="2"/>
  <c r="E1287" i="2"/>
  <c r="E1279" i="2"/>
  <c r="E1271" i="2"/>
  <c r="E1263" i="2"/>
  <c r="E1255" i="2"/>
  <c r="E1247" i="2"/>
  <c r="E1239" i="2"/>
  <c r="E1231" i="2"/>
  <c r="E1223" i="2"/>
  <c r="E1215" i="2"/>
  <c r="F1486" i="2"/>
  <c r="T1407" i="2"/>
  <c r="T1359" i="2"/>
  <c r="E1323" i="2"/>
  <c r="N1306" i="2"/>
  <c r="J1298" i="2"/>
  <c r="J1290" i="2"/>
  <c r="J1282" i="2"/>
  <c r="J1274" i="2"/>
  <c r="J1266" i="2"/>
  <c r="J1258" i="2"/>
  <c r="J1250" i="2"/>
  <c r="J1242" i="2"/>
  <c r="J1234" i="2"/>
  <c r="J1226" i="2"/>
  <c r="J1218" i="2"/>
  <c r="J1210" i="2"/>
  <c r="J1202" i="2"/>
  <c r="J1194" i="2"/>
  <c r="J1186" i="2"/>
  <c r="J1178" i="2"/>
  <c r="N1501" i="2"/>
  <c r="R1411" i="2"/>
  <c r="R1363" i="2"/>
  <c r="G1307" i="2"/>
  <c r="C1299" i="2"/>
  <c r="C1291" i="2"/>
  <c r="C1283" i="2"/>
  <c r="C1275" i="2"/>
  <c r="C1267" i="2"/>
  <c r="C1259" i="2"/>
  <c r="C1251" i="2"/>
  <c r="C1243" i="2"/>
  <c r="C1235" i="2"/>
  <c r="C1227" i="2"/>
  <c r="C1461" i="2"/>
  <c r="G1399" i="2"/>
  <c r="G1351" i="2"/>
  <c r="C1305" i="2"/>
  <c r="A1297" i="2"/>
  <c r="A1289" i="2"/>
  <c r="A1281" i="2"/>
  <c r="A1273" i="2"/>
  <c r="A1265" i="2"/>
  <c r="A1257" i="2"/>
  <c r="A1249" i="2"/>
  <c r="A1241" i="2"/>
  <c r="A1233" i="2"/>
  <c r="A1225" i="2"/>
  <c r="A1217" i="2"/>
  <c r="A1209" i="2"/>
  <c r="A1201" i="2"/>
  <c r="A1193" i="2"/>
  <c r="A1185" i="2"/>
  <c r="A1177" i="2"/>
  <c r="S1496" i="2"/>
  <c r="N1410" i="2"/>
  <c r="N1362" i="2"/>
  <c r="P1324" i="2"/>
  <c r="D1307" i="2"/>
  <c r="S1298" i="2"/>
  <c r="S1290" i="2"/>
  <c r="S1282" i="2"/>
  <c r="S1274" i="2"/>
  <c r="S1266" i="2"/>
  <c r="S1258" i="2"/>
  <c r="S1250" i="2"/>
  <c r="S1242" i="2"/>
  <c r="S1234" i="2"/>
  <c r="S1226" i="2"/>
  <c r="S1218" i="2"/>
  <c r="S1210" i="2"/>
  <c r="S1202" i="2"/>
  <c r="S1194" i="2"/>
  <c r="S1186" i="2"/>
  <c r="E1403" i="2"/>
  <c r="C1290" i="2"/>
  <c r="C1258" i="2"/>
  <c r="R1922" i="2"/>
  <c r="D1729" i="2"/>
  <c r="O1732" i="2"/>
  <c r="S1634" i="2"/>
  <c r="P1621" i="2"/>
  <c r="R1666" i="2"/>
  <c r="H1561" i="2"/>
  <c r="K1615" i="2"/>
  <c r="Q1623" i="2"/>
  <c r="F1523" i="2"/>
  <c r="K1617" i="2"/>
  <c r="R1523" i="2"/>
  <c r="K1623" i="2"/>
  <c r="J1496" i="2"/>
  <c r="A1545" i="2"/>
  <c r="A1481" i="2"/>
  <c r="H1720" i="2"/>
  <c r="S1562" i="2"/>
  <c r="S1524" i="2"/>
  <c r="Q1570" i="2"/>
  <c r="D1532" i="2"/>
  <c r="D1494" i="2"/>
  <c r="J1455" i="2"/>
  <c r="C1613" i="2"/>
  <c r="C1534" i="2"/>
  <c r="P1500" i="2"/>
  <c r="N1480" i="2"/>
  <c r="D1427" i="2"/>
  <c r="J1392" i="2"/>
  <c r="J1360" i="2"/>
  <c r="J1328" i="2"/>
  <c r="E1528" i="2"/>
  <c r="S1433" i="2"/>
  <c r="N1543" i="2"/>
  <c r="A1413" i="2"/>
  <c r="A1381" i="2"/>
  <c r="A1349" i="2"/>
  <c r="A1317" i="2"/>
  <c r="G1468" i="2"/>
  <c r="G1418" i="2"/>
  <c r="G1386" i="2"/>
  <c r="G1354" i="2"/>
  <c r="G1322" i="2"/>
  <c r="T1475" i="2"/>
  <c r="S1428" i="2"/>
  <c r="F1404" i="2"/>
  <c r="F1380" i="2"/>
  <c r="S1358" i="2"/>
  <c r="F1340" i="2"/>
  <c r="M1319" i="2"/>
  <c r="R1558" i="2"/>
  <c r="N1477" i="2"/>
  <c r="R1416" i="2"/>
  <c r="E1398" i="2"/>
  <c r="K1377" i="2"/>
  <c r="R1360" i="2"/>
  <c r="R1344" i="2"/>
  <c r="R1328" i="2"/>
  <c r="A1575" i="2"/>
  <c r="F1492" i="2"/>
  <c r="C1447" i="2"/>
  <c r="J1425" i="2"/>
  <c r="J1409" i="2"/>
  <c r="J1393" i="2"/>
  <c r="J1377" i="2"/>
  <c r="J1361" i="2"/>
  <c r="J1345" i="2"/>
  <c r="J1329" i="2"/>
  <c r="J1313" i="2"/>
  <c r="E1566" i="2"/>
  <c r="K1505" i="2"/>
  <c r="T1462" i="2"/>
  <c r="E1438" i="2"/>
  <c r="C1424" i="2"/>
  <c r="P1412" i="2"/>
  <c r="C1384" i="2"/>
  <c r="C1376" i="2"/>
  <c r="C1368" i="2"/>
  <c r="C1360" i="2"/>
  <c r="C1352" i="2"/>
  <c r="K1659" i="2"/>
  <c r="N1549" i="2"/>
  <c r="N1507" i="2"/>
  <c r="G1477" i="2"/>
  <c r="C1439" i="2"/>
  <c r="H1429" i="2"/>
  <c r="H1421" i="2"/>
  <c r="H1413" i="2"/>
  <c r="H1405" i="2"/>
  <c r="H1397" i="2"/>
  <c r="H1389" i="2"/>
  <c r="H1381" i="2"/>
  <c r="H1373" i="2"/>
  <c r="H1365" i="2"/>
  <c r="H1357" i="2"/>
  <c r="H1349" i="2"/>
  <c r="H1341" i="2"/>
  <c r="H1333" i="2"/>
  <c r="H1325" i="2"/>
  <c r="H1317" i="2"/>
  <c r="F1626" i="2"/>
  <c r="T1544" i="2"/>
  <c r="R1504" i="2"/>
  <c r="S1474" i="2"/>
  <c r="N1454" i="2"/>
  <c r="S1437" i="2"/>
  <c r="M1428" i="2"/>
  <c r="M1420" i="2"/>
  <c r="M1412" i="2"/>
  <c r="M1404" i="2"/>
  <c r="M1396" i="2"/>
  <c r="M1388" i="2"/>
  <c r="M1380" i="2"/>
  <c r="M1372" i="2"/>
  <c r="M1364" i="2"/>
  <c r="M1356" i="2"/>
  <c r="M1348" i="2"/>
  <c r="M1340" i="2"/>
  <c r="M1332" i="2"/>
  <c r="M1324" i="2"/>
  <c r="M1316" i="2"/>
  <c r="G1448" i="2"/>
  <c r="T1393" i="2"/>
  <c r="T1345" i="2"/>
  <c r="T1314" i="2"/>
  <c r="D1304" i="2"/>
  <c r="D1296" i="2"/>
  <c r="D1288" i="2"/>
  <c r="D1280" i="2"/>
  <c r="D1272" i="2"/>
  <c r="D1264" i="2"/>
  <c r="D1256" i="2"/>
  <c r="D1248" i="2"/>
  <c r="D1240" i="2"/>
  <c r="D1232" i="2"/>
  <c r="D1224" i="2"/>
  <c r="D1216" i="2"/>
  <c r="D1208" i="2"/>
  <c r="D1200" i="2"/>
  <c r="D1192" i="2"/>
  <c r="D1184" i="2"/>
  <c r="D1176" i="2"/>
  <c r="E1448" i="2"/>
  <c r="R1393" i="2"/>
  <c r="R1345" i="2"/>
  <c r="R1314" i="2"/>
  <c r="K1525" i="2"/>
  <c r="G1417" i="2"/>
  <c r="G1369" i="2"/>
  <c r="G1329" i="2"/>
  <c r="H1308" i="2"/>
  <c r="A1300" i="2"/>
  <c r="A1292" i="2"/>
  <c r="A1284" i="2"/>
  <c r="A1276" i="2"/>
  <c r="A1268" i="2"/>
  <c r="A1260" i="2"/>
  <c r="A1252" i="2"/>
  <c r="A1244" i="2"/>
  <c r="A1236" i="2"/>
  <c r="A1228" i="2"/>
  <c r="A1220" i="2"/>
  <c r="A1212" i="2"/>
  <c r="A1204" i="2"/>
  <c r="A1196" i="2"/>
  <c r="A1188" i="2"/>
  <c r="A1180" i="2"/>
  <c r="C1573" i="2"/>
  <c r="E1425" i="2"/>
  <c r="E1377" i="2"/>
  <c r="K1334" i="2"/>
  <c r="A1310" i="2"/>
  <c r="G1301" i="2"/>
  <c r="G1293" i="2"/>
  <c r="G1285" i="2"/>
  <c r="G1277" i="2"/>
  <c r="G1269" i="2"/>
  <c r="G1261" i="2"/>
  <c r="G1253" i="2"/>
  <c r="G1245" i="2"/>
  <c r="G1237" i="2"/>
  <c r="G1229" i="2"/>
  <c r="G1221" i="2"/>
  <c r="G1213" i="2"/>
  <c r="G1205" i="2"/>
  <c r="G1464" i="2"/>
  <c r="N1400" i="2"/>
  <c r="N1352" i="2"/>
  <c r="C1318" i="2"/>
  <c r="G1305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M1432" i="2"/>
  <c r="K1384" i="2"/>
  <c r="G1339" i="2"/>
  <c r="T1311" i="2"/>
  <c r="K1302" i="2"/>
  <c r="K1294" i="2"/>
  <c r="K1286" i="2"/>
  <c r="K1278" i="2"/>
  <c r="K1270" i="2"/>
  <c r="K1262" i="2"/>
  <c r="K1254" i="2"/>
  <c r="K1246" i="2"/>
  <c r="K1238" i="2"/>
  <c r="K1230" i="2"/>
  <c r="K1222" i="2"/>
  <c r="K1214" i="2"/>
  <c r="T1472" i="2"/>
  <c r="T1403" i="2"/>
  <c r="T1355" i="2"/>
  <c r="K1320" i="2"/>
  <c r="S1305" i="2"/>
  <c r="Q1297" i="2"/>
  <c r="Q1289" i="2"/>
  <c r="Q1281" i="2"/>
  <c r="Q1273" i="2"/>
  <c r="Q1265" i="2"/>
  <c r="Q1257" i="2"/>
  <c r="Q1249" i="2"/>
  <c r="Q1241" i="2"/>
  <c r="Q1233" i="2"/>
  <c r="Q1225" i="2"/>
  <c r="Q1217" i="2"/>
  <c r="Q1209" i="2"/>
  <c r="Q1201" i="2"/>
  <c r="Q1193" i="2"/>
  <c r="Q1185" i="2"/>
  <c r="Q1177" i="2"/>
  <c r="N1485" i="2"/>
  <c r="R1407" i="2"/>
  <c r="R1359" i="2"/>
  <c r="P1322" i="2"/>
  <c r="M1306" i="2"/>
  <c r="M1451" i="2"/>
  <c r="G1395" i="2"/>
  <c r="G1347" i="2"/>
  <c r="K1315" i="2"/>
  <c r="H1304" i="2"/>
  <c r="H1296" i="2"/>
  <c r="H1288" i="2"/>
  <c r="H1280" i="2"/>
  <c r="J1728" i="2"/>
  <c r="O1724" i="2"/>
  <c r="M1875" i="2"/>
  <c r="G1762" i="2"/>
  <c r="K1667" i="2"/>
  <c r="O1526" i="2"/>
  <c r="T1612" i="2"/>
  <c r="M1620" i="2"/>
  <c r="M1520" i="2"/>
  <c r="T1607" i="2"/>
  <c r="E1503" i="2"/>
  <c r="Q1495" i="2"/>
  <c r="D1580" i="2"/>
  <c r="A1529" i="2"/>
  <c r="A1469" i="2"/>
  <c r="F1562" i="2"/>
  <c r="M1523" i="2"/>
  <c r="D1570" i="2"/>
  <c r="J1531" i="2"/>
  <c r="Q1492" i="2"/>
  <c r="Q1454" i="2"/>
  <c r="O1608" i="2"/>
  <c r="P1516" i="2"/>
  <c r="C1500" i="2"/>
  <c r="P1482" i="2"/>
  <c r="P1464" i="2"/>
  <c r="C1448" i="2"/>
  <c r="N1478" i="2"/>
  <c r="Q1419" i="2"/>
  <c r="Q1385" i="2"/>
  <c r="Q1353" i="2"/>
  <c r="Q1321" i="2"/>
  <c r="R1498" i="2"/>
  <c r="N1539" i="2"/>
  <c r="H1412" i="2"/>
  <c r="H1380" i="2"/>
  <c r="H1348" i="2"/>
  <c r="H1316" i="2"/>
  <c r="R1466" i="2"/>
  <c r="N1417" i="2"/>
  <c r="N1385" i="2"/>
  <c r="N1353" i="2"/>
  <c r="N1321" i="2"/>
  <c r="T1473" i="2"/>
  <c r="F1428" i="2"/>
  <c r="M1403" i="2"/>
  <c r="M1379" i="2"/>
  <c r="S1356" i="2"/>
  <c r="M1339" i="2"/>
  <c r="S1318" i="2"/>
  <c r="R1554" i="2"/>
  <c r="O1433" i="2"/>
  <c r="R1414" i="2"/>
  <c r="K1397" i="2"/>
  <c r="R1376" i="2"/>
  <c r="E1360" i="2"/>
  <c r="E1344" i="2"/>
  <c r="E1328" i="2"/>
  <c r="G1570" i="2"/>
  <c r="M1489" i="2"/>
  <c r="M1445" i="2"/>
  <c r="Q1424" i="2"/>
  <c r="Q1408" i="2"/>
  <c r="Q1392" i="2"/>
  <c r="Q1376" i="2"/>
  <c r="Q1360" i="2"/>
  <c r="Q1344" i="2"/>
  <c r="Q1328" i="2"/>
  <c r="Q1312" i="2"/>
  <c r="E1562" i="2"/>
  <c r="R1502" i="2"/>
  <c r="K1461" i="2"/>
  <c r="E1437" i="2"/>
  <c r="C1412" i="2"/>
  <c r="C1402" i="2"/>
  <c r="C1392" i="2"/>
  <c r="F1630" i="2"/>
  <c r="N1545" i="2"/>
  <c r="T1504" i="2"/>
  <c r="G1475" i="2"/>
  <c r="S1454" i="2"/>
  <c r="C1438" i="2"/>
  <c r="O1428" i="2"/>
  <c r="O1420" i="2"/>
  <c r="O1412" i="2"/>
  <c r="O1404" i="2"/>
  <c r="O1396" i="2"/>
  <c r="O1388" i="2"/>
  <c r="O1380" i="2"/>
  <c r="O1372" i="2"/>
  <c r="O1364" i="2"/>
  <c r="O1356" i="2"/>
  <c r="O1348" i="2"/>
  <c r="O1340" i="2"/>
  <c r="O1332" i="2"/>
  <c r="O1324" i="2"/>
  <c r="O1316" i="2"/>
  <c r="T1540" i="2"/>
  <c r="E1502" i="2"/>
  <c r="S1472" i="2"/>
  <c r="T1452" i="2"/>
  <c r="S1436" i="2"/>
  <c r="S1427" i="2"/>
  <c r="S1419" i="2"/>
  <c r="S1411" i="2"/>
  <c r="S1403" i="2"/>
  <c r="S1395" i="2"/>
  <c r="S1387" i="2"/>
  <c r="S1379" i="2"/>
  <c r="S1371" i="2"/>
  <c r="S1363" i="2"/>
  <c r="S1355" i="2"/>
  <c r="S1347" i="2"/>
  <c r="S1339" i="2"/>
  <c r="S1331" i="2"/>
  <c r="S1323" i="2"/>
  <c r="S1315" i="2"/>
  <c r="T1439" i="2"/>
  <c r="T1389" i="2"/>
  <c r="E1343" i="2"/>
  <c r="N1313" i="2"/>
  <c r="J1303" i="2"/>
  <c r="J1295" i="2"/>
  <c r="J1287" i="2"/>
  <c r="J1279" i="2"/>
  <c r="J1271" i="2"/>
  <c r="J1263" i="2"/>
  <c r="J1255" i="2"/>
  <c r="J1247" i="2"/>
  <c r="J1239" i="2"/>
  <c r="J1231" i="2"/>
  <c r="J1223" i="2"/>
  <c r="J1215" i="2"/>
  <c r="J1207" i="2"/>
  <c r="J1199" i="2"/>
  <c r="J1191" i="2"/>
  <c r="J1183" i="2"/>
  <c r="J1175" i="2"/>
  <c r="R1439" i="2"/>
  <c r="R1389" i="2"/>
  <c r="P1342" i="2"/>
  <c r="K1313" i="2"/>
  <c r="M1507" i="2"/>
  <c r="G1413" i="2"/>
  <c r="G1365" i="2"/>
  <c r="N1326" i="2"/>
  <c r="N1307" i="2"/>
  <c r="H1299" i="2"/>
  <c r="H1291" i="2"/>
  <c r="H1283" i="2"/>
  <c r="H1275" i="2"/>
  <c r="H1267" i="2"/>
  <c r="H1259" i="2"/>
  <c r="H1251" i="2"/>
  <c r="H1243" i="2"/>
  <c r="H1235" i="2"/>
  <c r="H1227" i="2"/>
  <c r="H1219" i="2"/>
  <c r="H1211" i="2"/>
  <c r="H1203" i="2"/>
  <c r="H1195" i="2"/>
  <c r="H1187" i="2"/>
  <c r="H1179" i="2"/>
  <c r="R1548" i="2"/>
  <c r="E1421" i="2"/>
  <c r="E1373" i="2"/>
  <c r="R1331" i="2"/>
  <c r="D1309" i="2"/>
  <c r="N1300" i="2"/>
  <c r="N1292" i="2"/>
  <c r="N1284" i="2"/>
  <c r="N1276" i="2"/>
  <c r="N1268" i="2"/>
  <c r="N1260" i="2"/>
  <c r="N1252" i="2"/>
  <c r="N1244" i="2"/>
  <c r="N1236" i="2"/>
  <c r="N1228" i="2"/>
  <c r="N1220" i="2"/>
  <c r="N1212" i="2"/>
  <c r="N1204" i="2"/>
  <c r="R1454" i="2"/>
  <c r="N1396" i="2"/>
  <c r="N1348" i="2"/>
  <c r="C1316" i="2"/>
  <c r="M1304" i="2"/>
  <c r="M1296" i="2"/>
  <c r="M1288" i="2"/>
  <c r="M1280" i="2"/>
  <c r="M1272" i="2"/>
  <c r="M1264" i="2"/>
  <c r="M1256" i="2"/>
  <c r="M1248" i="2"/>
  <c r="M1240" i="2"/>
  <c r="M1232" i="2"/>
  <c r="M1224" i="2"/>
  <c r="M1216" i="2"/>
  <c r="M1208" i="2"/>
  <c r="M1200" i="2"/>
  <c r="M1192" i="2"/>
  <c r="D1626" i="2"/>
  <c r="K1428" i="2"/>
  <c r="K1380" i="2"/>
  <c r="N1336" i="2"/>
  <c r="R1310" i="2"/>
  <c r="R1301" i="2"/>
  <c r="R1293" i="2"/>
  <c r="R1285" i="2"/>
  <c r="R1277" i="2"/>
  <c r="R1269" i="2"/>
  <c r="R1261" i="2"/>
  <c r="R1253" i="2"/>
  <c r="R1245" i="2"/>
  <c r="R1237" i="2"/>
  <c r="R1229" i="2"/>
  <c r="R1221" i="2"/>
  <c r="R1213" i="2"/>
  <c r="R1462" i="2"/>
  <c r="T1399" i="2"/>
  <c r="T1351" i="2"/>
  <c r="R1317" i="2"/>
  <c r="E1305" i="2"/>
  <c r="D1297" i="2"/>
  <c r="D1289" i="2"/>
  <c r="D1281" i="2"/>
  <c r="D1273" i="2"/>
  <c r="D1265" i="2"/>
  <c r="D1257" i="2"/>
  <c r="D1249" i="2"/>
  <c r="D1241" i="2"/>
  <c r="D1233" i="2"/>
  <c r="D1225" i="2"/>
  <c r="D1217" i="2"/>
  <c r="D1209" i="2"/>
  <c r="D1201" i="2"/>
  <c r="D1193" i="2"/>
  <c r="D1185" i="2"/>
  <c r="D1177" i="2"/>
  <c r="R1472" i="2"/>
  <c r="R1403" i="2"/>
  <c r="R1355" i="2"/>
  <c r="C1320" i="2"/>
  <c r="R1305" i="2"/>
  <c r="P1297" i="2"/>
  <c r="P1289" i="2"/>
  <c r="P1281" i="2"/>
  <c r="P1273" i="2"/>
  <c r="P1265" i="2"/>
  <c r="P1257" i="2"/>
  <c r="P1249" i="2"/>
  <c r="P1241" i="2"/>
  <c r="P1233" i="2"/>
  <c r="P1225" i="2"/>
  <c r="G1442" i="2"/>
  <c r="G1391" i="2"/>
  <c r="T1343" i="2"/>
  <c r="C1314" i="2"/>
  <c r="O1303" i="2"/>
  <c r="O1295" i="2"/>
  <c r="O1287" i="2"/>
  <c r="O1279" i="2"/>
  <c r="O1271" i="2"/>
  <c r="O1263" i="2"/>
  <c r="O1255" i="2"/>
  <c r="O1247" i="2"/>
  <c r="O1239" i="2"/>
  <c r="O1231" i="2"/>
  <c r="O1223" i="2"/>
  <c r="O1215" i="2"/>
  <c r="O1207" i="2"/>
  <c r="O1199" i="2"/>
  <c r="O1191" i="2"/>
  <c r="O1183" i="2"/>
  <c r="O1175" i="2"/>
  <c r="C1469" i="2"/>
  <c r="N1402" i="2"/>
  <c r="N1354" i="2"/>
  <c r="O1305" i="2"/>
  <c r="M1297" i="2"/>
  <c r="M1289" i="2"/>
  <c r="M1281" i="2"/>
  <c r="M1273" i="2"/>
  <c r="M1265" i="2"/>
  <c r="M1257" i="2"/>
  <c r="M1249" i="2"/>
  <c r="M1241" i="2"/>
  <c r="M1233" i="2"/>
  <c r="M1225" i="2"/>
  <c r="M1217" i="2"/>
  <c r="M1209" i="2"/>
  <c r="M1201" i="2"/>
  <c r="M1193" i="2"/>
  <c r="M1185" i="2"/>
  <c r="E1355" i="2"/>
  <c r="P1284" i="2"/>
  <c r="P1252" i="2"/>
  <c r="K1221" i="2"/>
  <c r="K1200" i="2"/>
  <c r="M1184" i="2"/>
  <c r="M1172" i="2"/>
  <c r="K1164" i="2"/>
  <c r="K1156" i="2"/>
  <c r="Q1789" i="2"/>
  <c r="A1765" i="2"/>
  <c r="E1818" i="2"/>
  <c r="K1637" i="2"/>
  <c r="M1601" i="2"/>
  <c r="Q1659" i="2"/>
  <c r="A1526" i="2"/>
  <c r="T1559" i="2"/>
  <c r="F1503" i="2"/>
  <c r="K1500" i="2"/>
  <c r="D1571" i="2"/>
  <c r="D1475" i="2"/>
  <c r="D1579" i="2"/>
  <c r="C1533" i="2"/>
  <c r="H1528" i="2"/>
  <c r="H1468" i="2"/>
  <c r="M1561" i="2"/>
  <c r="S1522" i="2"/>
  <c r="J1569" i="2"/>
  <c r="Q1530" i="2"/>
  <c r="D1492" i="2"/>
  <c r="D1454" i="2"/>
  <c r="J1606" i="2"/>
  <c r="C1464" i="2"/>
  <c r="N1476" i="2"/>
  <c r="D1419" i="2"/>
  <c r="D1385" i="2"/>
  <c r="D1353" i="2"/>
  <c r="D1321" i="2"/>
  <c r="E1496" i="2"/>
  <c r="G1506" i="2"/>
  <c r="M1438" i="2"/>
  <c r="O1411" i="2"/>
  <c r="O1379" i="2"/>
  <c r="O1347" i="2"/>
  <c r="O1315" i="2"/>
  <c r="C1465" i="2"/>
  <c r="T1416" i="2"/>
  <c r="T1384" i="2"/>
  <c r="T1352" i="2"/>
  <c r="T1320" i="2"/>
  <c r="T1471" i="2"/>
  <c r="M1427" i="2"/>
  <c r="S1398" i="2"/>
  <c r="S1374" i="2"/>
  <c r="F1356" i="2"/>
  <c r="M1335" i="2"/>
  <c r="S1316" i="2"/>
  <c r="R1550" i="2"/>
  <c r="S1464" i="2"/>
  <c r="T1432" i="2"/>
  <c r="E1414" i="2"/>
  <c r="K1393" i="2"/>
  <c r="R1374" i="2"/>
  <c r="R1358" i="2"/>
  <c r="R1342" i="2"/>
  <c r="R1326" i="2"/>
  <c r="G1562" i="2"/>
  <c r="F1484" i="2"/>
  <c r="P1442" i="2"/>
  <c r="J1423" i="2"/>
  <c r="J1407" i="2"/>
  <c r="J1391" i="2"/>
  <c r="J1375" i="2"/>
  <c r="J1359" i="2"/>
  <c r="J1343" i="2"/>
  <c r="J1327" i="2"/>
  <c r="J1311" i="2"/>
  <c r="E1558" i="2"/>
  <c r="E1500" i="2"/>
  <c r="P1459" i="2"/>
  <c r="E1436" i="2"/>
  <c r="P1422" i="2"/>
  <c r="P1382" i="2"/>
  <c r="P1374" i="2"/>
  <c r="P1366" i="2"/>
  <c r="P1358" i="2"/>
  <c r="P1350" i="2"/>
  <c r="M1611" i="2"/>
  <c r="N1541" i="2"/>
  <c r="G1502" i="2"/>
  <c r="G1473" i="2"/>
  <c r="G1453" i="2"/>
  <c r="C1437" i="2"/>
  <c r="A1428" i="2"/>
  <c r="A1420" i="2"/>
  <c r="A1412" i="2"/>
  <c r="A1404" i="2"/>
  <c r="A1396" i="2"/>
  <c r="A1388" i="2"/>
  <c r="A1380" i="2"/>
  <c r="A1372" i="2"/>
  <c r="A1364" i="2"/>
  <c r="A1356" i="2"/>
  <c r="A1348" i="2"/>
  <c r="A1340" i="2"/>
  <c r="A1332" i="2"/>
  <c r="A1324" i="2"/>
  <c r="A1316" i="2"/>
  <c r="E1597" i="2"/>
  <c r="T1536" i="2"/>
  <c r="K1499" i="2"/>
  <c r="S1470" i="2"/>
  <c r="K1451" i="2"/>
  <c r="S1435" i="2"/>
  <c r="F1427" i="2"/>
  <c r="F1419" i="2"/>
  <c r="F1411" i="2"/>
  <c r="F1403" i="2"/>
  <c r="F1395" i="2"/>
  <c r="F1387" i="2"/>
  <c r="F1379" i="2"/>
  <c r="F1371" i="2"/>
  <c r="F1363" i="2"/>
  <c r="F1355" i="2"/>
  <c r="F1347" i="2"/>
  <c r="F1339" i="2"/>
  <c r="F1331" i="2"/>
  <c r="F1323" i="2"/>
  <c r="F1315" i="2"/>
  <c r="E1434" i="2"/>
  <c r="T1385" i="2"/>
  <c r="K1340" i="2"/>
  <c r="K1312" i="2"/>
  <c r="Q1302" i="2"/>
  <c r="Q1294" i="2"/>
  <c r="Q1286" i="2"/>
  <c r="Q1278" i="2"/>
  <c r="Q1270" i="2"/>
  <c r="Q1262" i="2"/>
  <c r="Q1254" i="2"/>
  <c r="Q1246" i="2"/>
  <c r="Q1238" i="2"/>
  <c r="Q1230" i="2"/>
  <c r="Q1222" i="2"/>
  <c r="Q1214" i="2"/>
  <c r="Q1206" i="2"/>
  <c r="Q1198" i="2"/>
  <c r="Q1190" i="2"/>
  <c r="Q1182" i="2"/>
  <c r="Q1174" i="2"/>
  <c r="A1434" i="2"/>
  <c r="R1385" i="2"/>
  <c r="C1340" i="2"/>
  <c r="H1312" i="2"/>
  <c r="M1491" i="2"/>
  <c r="G1409" i="2"/>
  <c r="G1361" i="2"/>
  <c r="T1323" i="2"/>
  <c r="S1306" i="2"/>
  <c r="O1298" i="2"/>
  <c r="O1290" i="2"/>
  <c r="O1282" i="2"/>
  <c r="O1274" i="2"/>
  <c r="O1266" i="2"/>
  <c r="O1258" i="2"/>
  <c r="O1250" i="2"/>
  <c r="O1242" i="2"/>
  <c r="O1234" i="2"/>
  <c r="O1226" i="2"/>
  <c r="O1218" i="2"/>
  <c r="O1210" i="2"/>
  <c r="O1202" i="2"/>
  <c r="O1194" i="2"/>
  <c r="O1186" i="2"/>
  <c r="O1178" i="2"/>
  <c r="R1524" i="2"/>
  <c r="E1417" i="2"/>
  <c r="E1369" i="2"/>
  <c r="E1329" i="2"/>
  <c r="G1308" i="2"/>
  <c r="T1299" i="2"/>
  <c r="T1291" i="2"/>
  <c r="T1283" i="2"/>
  <c r="T1275" i="2"/>
  <c r="T1267" i="2"/>
  <c r="T1259" i="2"/>
  <c r="T1251" i="2"/>
  <c r="T1243" i="2"/>
  <c r="T1235" i="2"/>
  <c r="T1227" i="2"/>
  <c r="T1219" i="2"/>
  <c r="T1211" i="2"/>
  <c r="T1203" i="2"/>
  <c r="C1445" i="2"/>
  <c r="N1392" i="2"/>
  <c r="P1344" i="2"/>
  <c r="M1314" i="2"/>
  <c r="S1303" i="2"/>
  <c r="S1295" i="2"/>
  <c r="S1287" i="2"/>
  <c r="S1279" i="2"/>
  <c r="S1271" i="2"/>
  <c r="S1263" i="2"/>
  <c r="S1255" i="2"/>
  <c r="S1247" i="2"/>
  <c r="S1239" i="2"/>
  <c r="S1231" i="2"/>
  <c r="S1223" i="2"/>
  <c r="S1215" i="2"/>
  <c r="S1207" i="2"/>
  <c r="S1199" i="2"/>
  <c r="S1191" i="2"/>
  <c r="R1568" i="2"/>
  <c r="K1424" i="2"/>
  <c r="K1376" i="2"/>
  <c r="T1333" i="2"/>
  <c r="S1309" i="2"/>
  <c r="E1301" i="2"/>
  <c r="E1293" i="2"/>
  <c r="E1285" i="2"/>
  <c r="E1277" i="2"/>
  <c r="E1269" i="2"/>
  <c r="E1261" i="2"/>
  <c r="E1253" i="2"/>
  <c r="E1245" i="2"/>
  <c r="E1237" i="2"/>
  <c r="E1229" i="2"/>
  <c r="E1221" i="2"/>
  <c r="E1213" i="2"/>
  <c r="C1453" i="2"/>
  <c r="T1395" i="2"/>
  <c r="T1347" i="2"/>
  <c r="R1315" i="2"/>
  <c r="J1304" i="2"/>
  <c r="J1296" i="2"/>
  <c r="J1288" i="2"/>
  <c r="J1280" i="2"/>
  <c r="J1272" i="2"/>
  <c r="J1264" i="2"/>
  <c r="J1256" i="2"/>
  <c r="J1248" i="2"/>
  <c r="J1240" i="2"/>
  <c r="J1232" i="2"/>
  <c r="J1224" i="2"/>
  <c r="M1699" i="2"/>
  <c r="D1788" i="2"/>
  <c r="D1760" i="2"/>
  <c r="D1810" i="2"/>
  <c r="R1630" i="2"/>
  <c r="E1744" i="2"/>
  <c r="H1603" i="2"/>
  <c r="H1525" i="2"/>
  <c r="N1556" i="2"/>
  <c r="F1499" i="2"/>
  <c r="R1499" i="2"/>
  <c r="J1568" i="2"/>
  <c r="J1472" i="2"/>
  <c r="G1573" i="2"/>
  <c r="H1526" i="2"/>
  <c r="A1467" i="2"/>
  <c r="Q1613" i="2"/>
  <c r="M1553" i="2"/>
  <c r="C1680" i="2"/>
  <c r="J1561" i="2"/>
  <c r="Q1522" i="2"/>
  <c r="D1484" i="2"/>
  <c r="D1446" i="2"/>
  <c r="P1446" i="2"/>
  <c r="T1455" i="2"/>
  <c r="J1418" i="2"/>
  <c r="J1384" i="2"/>
  <c r="J1352" i="2"/>
  <c r="J1320" i="2"/>
  <c r="K1493" i="2"/>
  <c r="C1427" i="2"/>
  <c r="C1411" i="2"/>
  <c r="C1395" i="2"/>
  <c r="C1379" i="2"/>
  <c r="C1363" i="2"/>
  <c r="C1347" i="2"/>
  <c r="C1331" i="2"/>
  <c r="C1315" i="2"/>
  <c r="N1503" i="2"/>
  <c r="M1437" i="2"/>
  <c r="A1405" i="2"/>
  <c r="A1373" i="2"/>
  <c r="A1341" i="2"/>
  <c r="D1584" i="2"/>
  <c r="C1449" i="2"/>
  <c r="G1410" i="2"/>
  <c r="G1378" i="2"/>
  <c r="G1346" i="2"/>
  <c r="F1638" i="2"/>
  <c r="K1455" i="2"/>
  <c r="S1420" i="2"/>
  <c r="S1396" i="2"/>
  <c r="S1372" i="2"/>
  <c r="M1355" i="2"/>
  <c r="S1334" i="2"/>
  <c r="F1316" i="2"/>
  <c r="R1526" i="2"/>
  <c r="E1460" i="2"/>
  <c r="R1430" i="2"/>
  <c r="K1413" i="2"/>
  <c r="R1392" i="2"/>
  <c r="E1374" i="2"/>
  <c r="E1358" i="2"/>
  <c r="E1342" i="2"/>
  <c r="E1326" i="2"/>
  <c r="G1558" i="2"/>
  <c r="M1481" i="2"/>
  <c r="Q1422" i="2"/>
  <c r="Q1406" i="2"/>
  <c r="Q1390" i="2"/>
  <c r="Q1374" i="2"/>
  <c r="Q1358" i="2"/>
  <c r="Q1342" i="2"/>
  <c r="Q1326" i="2"/>
  <c r="Q1310" i="2"/>
  <c r="E1550" i="2"/>
  <c r="E1492" i="2"/>
  <c r="N1456" i="2"/>
  <c r="M1433" i="2"/>
  <c r="C1410" i="2"/>
  <c r="C1400" i="2"/>
  <c r="P1390" i="2"/>
  <c r="C1382" i="2"/>
  <c r="C1374" i="2"/>
  <c r="C1366" i="2"/>
  <c r="C1358" i="2"/>
  <c r="C1350" i="2"/>
  <c r="Q1598" i="2"/>
  <c r="N1537" i="2"/>
  <c r="N1499" i="2"/>
  <c r="G1471" i="2"/>
  <c r="N1451" i="2"/>
  <c r="C1436" i="2"/>
  <c r="H1427" i="2"/>
  <c r="H1419" i="2"/>
  <c r="H1411" i="2"/>
  <c r="H1403" i="2"/>
  <c r="H1395" i="2"/>
  <c r="H1387" i="2"/>
  <c r="H1379" i="2"/>
  <c r="H1371" i="2"/>
  <c r="H1363" i="2"/>
  <c r="H1355" i="2"/>
  <c r="H1347" i="2"/>
  <c r="H1339" i="2"/>
  <c r="H1331" i="2"/>
  <c r="H1323" i="2"/>
  <c r="H1315" i="2"/>
  <c r="P1587" i="2"/>
  <c r="T1532" i="2"/>
  <c r="R1496" i="2"/>
  <c r="T1468" i="2"/>
  <c r="P1449" i="2"/>
  <c r="S1434" i="2"/>
  <c r="M1426" i="2"/>
  <c r="M1418" i="2"/>
  <c r="M1410" i="2"/>
  <c r="M1402" i="2"/>
  <c r="M1394" i="2"/>
  <c r="M1386" i="2"/>
  <c r="M1378" i="2"/>
  <c r="M1370" i="2"/>
  <c r="M1362" i="2"/>
  <c r="M1354" i="2"/>
  <c r="M1346" i="2"/>
  <c r="M1338" i="2"/>
  <c r="M1330" i="2"/>
  <c r="M1322" i="2"/>
  <c r="N1717" i="2"/>
  <c r="T1429" i="2"/>
  <c r="T1381" i="2"/>
  <c r="R1337" i="2"/>
  <c r="G1311" i="2"/>
  <c r="D1302" i="2"/>
  <c r="D1294" i="2"/>
  <c r="D1286" i="2"/>
  <c r="D1278" i="2"/>
  <c r="D1270" i="2"/>
  <c r="D1262" i="2"/>
  <c r="D1254" i="2"/>
  <c r="D1246" i="2"/>
  <c r="D1238" i="2"/>
  <c r="D1230" i="2"/>
  <c r="D1222" i="2"/>
  <c r="D1214" i="2"/>
  <c r="D1206" i="2"/>
  <c r="D1198" i="2"/>
  <c r="D1190" i="2"/>
  <c r="D1182" i="2"/>
  <c r="J1703" i="2"/>
  <c r="R1429" i="2"/>
  <c r="R1381" i="2"/>
  <c r="F1311" i="2"/>
  <c r="T1476" i="2"/>
  <c r="G1405" i="2"/>
  <c r="G1357" i="2"/>
  <c r="G1321" i="2"/>
  <c r="E1306" i="2"/>
  <c r="A1298" i="2"/>
  <c r="A1290" i="2"/>
  <c r="A1282" i="2"/>
  <c r="A1274" i="2"/>
  <c r="A1266" i="2"/>
  <c r="A1258" i="2"/>
  <c r="A1250" i="2"/>
  <c r="A1242" i="2"/>
  <c r="A1234" i="2"/>
  <c r="A1226" i="2"/>
  <c r="A1218" i="2"/>
  <c r="A1210" i="2"/>
  <c r="A1202" i="2"/>
  <c r="A1194" i="2"/>
  <c r="A1186" i="2"/>
  <c r="A1178" i="2"/>
  <c r="T1506" i="2"/>
  <c r="E1413" i="2"/>
  <c r="E1365" i="2"/>
  <c r="K1326" i="2"/>
  <c r="M1307" i="2"/>
  <c r="G1299" i="2"/>
  <c r="G1291" i="2"/>
  <c r="G1283" i="2"/>
  <c r="G1275" i="2"/>
  <c r="G1267" i="2"/>
  <c r="G1259" i="2"/>
  <c r="G1251" i="2"/>
  <c r="G1243" i="2"/>
  <c r="G1235" i="2"/>
  <c r="G1227" i="2"/>
  <c r="G1219" i="2"/>
  <c r="G1211" i="2"/>
  <c r="G1203" i="2"/>
  <c r="T1437" i="2"/>
  <c r="N1388" i="2"/>
  <c r="C1342" i="2"/>
  <c r="F1313" i="2"/>
  <c r="F1303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R1544" i="2"/>
  <c r="K1420" i="2"/>
  <c r="K1372" i="2"/>
  <c r="G1331" i="2"/>
  <c r="T1308" i="2"/>
  <c r="K1300" i="2"/>
  <c r="K1292" i="2"/>
  <c r="K1284" i="2"/>
  <c r="K1276" i="2"/>
  <c r="K1268" i="2"/>
  <c r="K1260" i="2"/>
  <c r="K1252" i="2"/>
  <c r="K1244" i="2"/>
  <c r="K1236" i="2"/>
  <c r="K1228" i="2"/>
  <c r="K1220" i="2"/>
  <c r="K1212" i="2"/>
  <c r="N1443" i="2"/>
  <c r="T1391" i="2"/>
  <c r="K1344" i="2"/>
  <c r="G1314" i="2"/>
  <c r="Q1303" i="2"/>
  <c r="Q1295" i="2"/>
  <c r="Q1287" i="2"/>
  <c r="Q1279" i="2"/>
  <c r="Q1271" i="2"/>
  <c r="Q1263" i="2"/>
  <c r="Q1255" i="2"/>
  <c r="Q1247" i="2"/>
  <c r="Q1239" i="2"/>
  <c r="Q1231" i="2"/>
  <c r="Q1223" i="2"/>
  <c r="Q1215" i="2"/>
  <c r="Q1207" i="2"/>
  <c r="Q1199" i="2"/>
  <c r="Q1191" i="2"/>
  <c r="Q1183" i="2"/>
  <c r="Q1175" i="2"/>
  <c r="S1452" i="2"/>
  <c r="R1395" i="2"/>
  <c r="R1347" i="2"/>
  <c r="N1892" i="2"/>
  <c r="S1741" i="2"/>
  <c r="J1899" i="2"/>
  <c r="A1759" i="2"/>
  <c r="T1770" i="2"/>
  <c r="K1629" i="2"/>
  <c r="A1492" i="2"/>
  <c r="T1555" i="2"/>
  <c r="M1496" i="2"/>
  <c r="E1479" i="2"/>
  <c r="Q1567" i="2"/>
  <c r="Q1471" i="2"/>
  <c r="P1489" i="2"/>
  <c r="S1648" i="2"/>
  <c r="H1510" i="2"/>
  <c r="H1456" i="2"/>
  <c r="F1552" i="2"/>
  <c r="T1670" i="2"/>
  <c r="D1560" i="2"/>
  <c r="D1522" i="2"/>
  <c r="J1483" i="2"/>
  <c r="Q1444" i="2"/>
  <c r="P1560" i="2"/>
  <c r="C1544" i="2"/>
  <c r="G1454" i="2"/>
  <c r="D1411" i="2"/>
  <c r="Q1377" i="2"/>
  <c r="Q1345" i="2"/>
  <c r="Q1313" i="2"/>
  <c r="G1470" i="2"/>
  <c r="T1500" i="2"/>
  <c r="M1436" i="2"/>
  <c r="H1404" i="2"/>
  <c r="H1372" i="2"/>
  <c r="H1340" i="2"/>
  <c r="Q1576" i="2"/>
  <c r="M1447" i="2"/>
  <c r="N1409" i="2"/>
  <c r="N1377" i="2"/>
  <c r="N1345" i="2"/>
  <c r="J1616" i="2"/>
  <c r="P1453" i="2"/>
  <c r="F1420" i="2"/>
  <c r="F1396" i="2"/>
  <c r="F1372" i="2"/>
  <c r="M1351" i="2"/>
  <c r="S1332" i="2"/>
  <c r="M1315" i="2"/>
  <c r="R1522" i="2"/>
  <c r="E1430" i="2"/>
  <c r="K1409" i="2"/>
  <c r="R1390" i="2"/>
  <c r="K1373" i="2"/>
  <c r="K1357" i="2"/>
  <c r="K1341" i="2"/>
  <c r="K1325" i="2"/>
  <c r="G1554" i="2"/>
  <c r="M1479" i="2"/>
  <c r="F1440" i="2"/>
  <c r="D1422" i="2"/>
  <c r="D1406" i="2"/>
  <c r="D1390" i="2"/>
  <c r="D1374" i="2"/>
  <c r="D1358" i="2"/>
  <c r="D1342" i="2"/>
  <c r="D1326" i="2"/>
  <c r="D1310" i="2"/>
  <c r="E1546" i="2"/>
  <c r="R1486" i="2"/>
  <c r="T1454" i="2"/>
  <c r="C1432" i="2"/>
  <c r="P1420" i="2"/>
  <c r="C1390" i="2"/>
  <c r="E1589" i="2"/>
  <c r="N1533" i="2"/>
  <c r="T1496" i="2"/>
  <c r="G1469" i="2"/>
  <c r="E1450" i="2"/>
  <c r="C1435" i="2"/>
  <c r="O1426" i="2"/>
  <c r="O1418" i="2"/>
  <c r="O1410" i="2"/>
  <c r="O1402" i="2"/>
  <c r="O1394" i="2"/>
  <c r="O1386" i="2"/>
  <c r="O1378" i="2"/>
  <c r="O1370" i="2"/>
  <c r="O1362" i="2"/>
  <c r="O1354" i="2"/>
  <c r="O1346" i="2"/>
  <c r="O1338" i="2"/>
  <c r="O1330" i="2"/>
  <c r="O1322" i="2"/>
  <c r="O1314" i="2"/>
  <c r="A1579" i="2"/>
  <c r="T1528" i="2"/>
  <c r="E1494" i="2"/>
  <c r="K1467" i="2"/>
  <c r="F1448" i="2"/>
  <c r="C1434" i="2"/>
  <c r="S1425" i="2"/>
  <c r="S1417" i="2"/>
  <c r="S1409" i="2"/>
  <c r="S1401" i="2"/>
  <c r="S1393" i="2"/>
  <c r="S1385" i="2"/>
  <c r="S1377" i="2"/>
  <c r="S1369" i="2"/>
  <c r="S1361" i="2"/>
  <c r="S1353" i="2"/>
  <c r="S1345" i="2"/>
  <c r="S1337" i="2"/>
  <c r="S1329" i="2"/>
  <c r="S1321" i="2"/>
  <c r="Q1579" i="2"/>
  <c r="T1425" i="2"/>
  <c r="T1377" i="2"/>
  <c r="E1335" i="2"/>
  <c r="G1310" i="2"/>
  <c r="J1301" i="2"/>
  <c r="J1293" i="2"/>
  <c r="J1285" i="2"/>
  <c r="J1277" i="2"/>
  <c r="J1269" i="2"/>
  <c r="J1261" i="2"/>
  <c r="J1253" i="2"/>
  <c r="J1245" i="2"/>
  <c r="J1237" i="2"/>
  <c r="J1229" i="2"/>
  <c r="J1221" i="2"/>
  <c r="J1213" i="2"/>
  <c r="J1205" i="2"/>
  <c r="J1197" i="2"/>
  <c r="J1189" i="2"/>
  <c r="J1181" i="2"/>
  <c r="Q1578" i="2"/>
  <c r="R1425" i="2"/>
  <c r="R1377" i="2"/>
  <c r="P1334" i="2"/>
  <c r="E1310" i="2"/>
  <c r="T1465" i="2"/>
  <c r="G1401" i="2"/>
  <c r="G1353" i="2"/>
  <c r="N1318" i="2"/>
  <c r="H1297" i="2"/>
  <c r="H1289" i="2"/>
  <c r="H1281" i="2"/>
  <c r="H1273" i="2"/>
  <c r="H1265" i="2"/>
  <c r="H1257" i="2"/>
  <c r="H1249" i="2"/>
  <c r="H1241" i="2"/>
  <c r="H1233" i="2"/>
  <c r="H1225" i="2"/>
  <c r="H1217" i="2"/>
  <c r="H1209" i="2"/>
  <c r="H1201" i="2"/>
  <c r="H1193" i="2"/>
  <c r="H1185" i="2"/>
  <c r="H1177" i="2"/>
  <c r="T1490" i="2"/>
  <c r="E1409" i="2"/>
  <c r="E1361" i="2"/>
  <c r="R1323" i="2"/>
  <c r="R1306" i="2"/>
  <c r="N1298" i="2"/>
  <c r="N1290" i="2"/>
  <c r="N1282" i="2"/>
  <c r="N1274" i="2"/>
  <c r="N1266" i="2"/>
  <c r="N1258" i="2"/>
  <c r="N1250" i="2"/>
  <c r="N1242" i="2"/>
  <c r="N1234" i="2"/>
  <c r="N1226" i="2"/>
  <c r="N1218" i="2"/>
  <c r="N1210" i="2"/>
  <c r="N1202" i="2"/>
  <c r="O1432" i="2"/>
  <c r="N1384" i="2"/>
  <c r="C1312" i="2"/>
  <c r="M1302" i="2"/>
  <c r="M1294" i="2"/>
  <c r="M1286" i="2"/>
  <c r="M1278" i="2"/>
  <c r="M1270" i="2"/>
  <c r="M1262" i="2"/>
  <c r="M1254" i="2"/>
  <c r="M1246" i="2"/>
  <c r="M1238" i="2"/>
  <c r="M1230" i="2"/>
  <c r="M1222" i="2"/>
  <c r="M1214" i="2"/>
  <c r="M1206" i="2"/>
  <c r="M1198" i="2"/>
  <c r="M1190" i="2"/>
  <c r="R1520" i="2"/>
  <c r="K1416" i="2"/>
  <c r="K1368" i="2"/>
  <c r="N1328" i="2"/>
  <c r="E1308" i="2"/>
  <c r="R1299" i="2"/>
  <c r="R1291" i="2"/>
  <c r="R1283" i="2"/>
  <c r="R1275" i="2"/>
  <c r="R1267" i="2"/>
  <c r="R1259" i="2"/>
  <c r="R1251" i="2"/>
  <c r="R1243" i="2"/>
  <c r="R1235" i="2"/>
  <c r="R1227" i="2"/>
  <c r="R1219" i="2"/>
  <c r="R1211" i="2"/>
  <c r="T1436" i="2"/>
  <c r="T1387" i="2"/>
  <c r="R1341" i="2"/>
  <c r="A1313" i="2"/>
  <c r="D1303" i="2"/>
  <c r="K1903" i="2"/>
  <c r="F1869" i="2"/>
  <c r="H1699" i="2"/>
  <c r="P1626" i="2"/>
  <c r="H1491" i="2"/>
  <c r="T1527" i="2"/>
  <c r="F1479" i="2"/>
  <c r="M1572" i="2"/>
  <c r="K1476" i="2"/>
  <c r="D1547" i="2"/>
  <c r="D1451" i="2"/>
  <c r="J1630" i="2"/>
  <c r="A1509" i="2"/>
  <c r="H1454" i="2"/>
  <c r="M1590" i="2"/>
  <c r="M1551" i="2"/>
  <c r="D1664" i="2"/>
  <c r="J1559" i="2"/>
  <c r="J1521" i="2"/>
  <c r="Q1482" i="2"/>
  <c r="D1444" i="2"/>
  <c r="J1585" i="2"/>
  <c r="C1560" i="2"/>
  <c r="P1526" i="2"/>
  <c r="R1452" i="2"/>
  <c r="J1410" i="2"/>
  <c r="D1377" i="2"/>
  <c r="D1345" i="2"/>
  <c r="D1313" i="2"/>
  <c r="N1468" i="2"/>
  <c r="P1425" i="2"/>
  <c r="P1409" i="2"/>
  <c r="P1393" i="2"/>
  <c r="P1377" i="2"/>
  <c r="P1361" i="2"/>
  <c r="P1345" i="2"/>
  <c r="P1329" i="2"/>
  <c r="P1313" i="2"/>
  <c r="F1476" i="2"/>
  <c r="O1403" i="2"/>
  <c r="O1371" i="2"/>
  <c r="O1339" i="2"/>
  <c r="K1571" i="2"/>
  <c r="T1445" i="2"/>
  <c r="T1408" i="2"/>
  <c r="T1376" i="2"/>
  <c r="T1344" i="2"/>
  <c r="R1602" i="2"/>
  <c r="F1452" i="2"/>
  <c r="M1419" i="2"/>
  <c r="M1395" i="2"/>
  <c r="M1371" i="2"/>
  <c r="S1350" i="2"/>
  <c r="F1332" i="2"/>
  <c r="M1311" i="2"/>
  <c r="N1513" i="2"/>
  <c r="S1456" i="2"/>
  <c r="K1429" i="2"/>
  <c r="R1408" i="2"/>
  <c r="E1390" i="2"/>
  <c r="K1369" i="2"/>
  <c r="K1353" i="2"/>
  <c r="K1337" i="2"/>
  <c r="K1321" i="2"/>
  <c r="G1530" i="2"/>
  <c r="T1467" i="2"/>
  <c r="H1434" i="2"/>
  <c r="D1418" i="2"/>
  <c r="D1402" i="2"/>
  <c r="D1386" i="2"/>
  <c r="D1370" i="2"/>
  <c r="D1354" i="2"/>
  <c r="D1338" i="2"/>
  <c r="D1322" i="2"/>
  <c r="D1306" i="2"/>
  <c r="E1542" i="2"/>
  <c r="E1484" i="2"/>
  <c r="K1453" i="2"/>
  <c r="C1420" i="2"/>
  <c r="C1408" i="2"/>
  <c r="P1398" i="2"/>
  <c r="P1380" i="2"/>
  <c r="P1372" i="2"/>
  <c r="P1364" i="2"/>
  <c r="P1356" i="2"/>
  <c r="P1348" i="2"/>
  <c r="S1579" i="2"/>
  <c r="N1529" i="2"/>
  <c r="G1494" i="2"/>
  <c r="N1467" i="2"/>
  <c r="F1434" i="2"/>
  <c r="A1426" i="2"/>
  <c r="A1418" i="2"/>
  <c r="A1410" i="2"/>
  <c r="A1402" i="2"/>
  <c r="A1394" i="2"/>
  <c r="A1386" i="2"/>
  <c r="A1378" i="2"/>
  <c r="A1370" i="2"/>
  <c r="A1362" i="2"/>
  <c r="A1354" i="2"/>
  <c r="A1346" i="2"/>
  <c r="A1338" i="2"/>
  <c r="A1330" i="2"/>
  <c r="A1322" i="2"/>
  <c r="A1314" i="2"/>
  <c r="E1573" i="2"/>
  <c r="T1524" i="2"/>
  <c r="K1491" i="2"/>
  <c r="P1465" i="2"/>
  <c r="N1446" i="2"/>
  <c r="H1433" i="2"/>
  <c r="F1425" i="2"/>
  <c r="F1417" i="2"/>
  <c r="F1409" i="2"/>
  <c r="F1401" i="2"/>
  <c r="F1393" i="2"/>
  <c r="F1385" i="2"/>
  <c r="F1377" i="2"/>
  <c r="F1369" i="2"/>
  <c r="F1361" i="2"/>
  <c r="F1353" i="2"/>
  <c r="F1345" i="2"/>
  <c r="F1337" i="2"/>
  <c r="F1329" i="2"/>
  <c r="F1321" i="2"/>
  <c r="K1553" i="2"/>
  <c r="T1421" i="2"/>
  <c r="T1373" i="2"/>
  <c r="K1332" i="2"/>
  <c r="G1309" i="2"/>
  <c r="Q1300" i="2"/>
  <c r="Q1292" i="2"/>
  <c r="Q1284" i="2"/>
  <c r="Q1276" i="2"/>
  <c r="Q1268" i="2"/>
  <c r="Q1260" i="2"/>
  <c r="Q1252" i="2"/>
  <c r="Q1244" i="2"/>
  <c r="Q1236" i="2"/>
  <c r="Q1228" i="2"/>
  <c r="Q1220" i="2"/>
  <c r="Q1212" i="2"/>
  <c r="Q1204" i="2"/>
  <c r="Q1196" i="2"/>
  <c r="Q1188" i="2"/>
  <c r="Q1180" i="2"/>
  <c r="R1552" i="2"/>
  <c r="R1421" i="2"/>
  <c r="R1373" i="2"/>
  <c r="C1332" i="2"/>
  <c r="F1309" i="2"/>
  <c r="G1456" i="2"/>
  <c r="G1397" i="2"/>
  <c r="G1349" i="2"/>
  <c r="K1316" i="2"/>
  <c r="O1304" i="2"/>
  <c r="O1296" i="2"/>
  <c r="O1288" i="2"/>
  <c r="O1280" i="2"/>
  <c r="O1272" i="2"/>
  <c r="O1264" i="2"/>
  <c r="O1256" i="2"/>
  <c r="O1248" i="2"/>
  <c r="O1240" i="2"/>
  <c r="O1232" i="2"/>
  <c r="O1224" i="2"/>
  <c r="O1216" i="2"/>
  <c r="O1208" i="2"/>
  <c r="O1200" i="2"/>
  <c r="O1192" i="2"/>
  <c r="O1184" i="2"/>
  <c r="O1176" i="2"/>
  <c r="R1476" i="2"/>
  <c r="E1405" i="2"/>
  <c r="E1357" i="2"/>
  <c r="E1321" i="2"/>
  <c r="C1306" i="2"/>
  <c r="T1297" i="2"/>
  <c r="T1289" i="2"/>
  <c r="T1281" i="2"/>
  <c r="T1273" i="2"/>
  <c r="T1265" i="2"/>
  <c r="T1257" i="2"/>
  <c r="T1249" i="2"/>
  <c r="T1241" i="2"/>
  <c r="T1233" i="2"/>
  <c r="T1225" i="2"/>
  <c r="T1217" i="2"/>
  <c r="T1209" i="2"/>
  <c r="D1630" i="2"/>
  <c r="N1428" i="2"/>
  <c r="N1380" i="2"/>
  <c r="P1336" i="2"/>
  <c r="T1310" i="2"/>
  <c r="S1301" i="2"/>
  <c r="S1293" i="2"/>
  <c r="S1285" i="2"/>
  <c r="S1277" i="2"/>
  <c r="S1269" i="2"/>
  <c r="S1261" i="2"/>
  <c r="S1253" i="2"/>
  <c r="S1245" i="2"/>
  <c r="S1237" i="2"/>
  <c r="S1229" i="2"/>
  <c r="S1221" i="2"/>
  <c r="S1213" i="2"/>
  <c r="S1205" i="2"/>
  <c r="S1197" i="2"/>
  <c r="S1189" i="2"/>
  <c r="G1504" i="2"/>
  <c r="K1412" i="2"/>
  <c r="K1364" i="2"/>
  <c r="T1325" i="2"/>
  <c r="E1299" i="2"/>
  <c r="E1291" i="2"/>
  <c r="E1283" i="2"/>
  <c r="E1275" i="2"/>
  <c r="E1267" i="2"/>
  <c r="E1259" i="2"/>
  <c r="E1251" i="2"/>
  <c r="E1243" i="2"/>
  <c r="E1235" i="2"/>
  <c r="E1227" i="2"/>
  <c r="E1219" i="2"/>
  <c r="E1211" i="2"/>
  <c r="T1431" i="2"/>
  <c r="T1383" i="2"/>
  <c r="E1339" i="2"/>
  <c r="S1311" i="2"/>
  <c r="J1302" i="2"/>
  <c r="J1294" i="2"/>
  <c r="J1286" i="2"/>
  <c r="J1278" i="2"/>
  <c r="J1270" i="2"/>
  <c r="J1262" i="2"/>
  <c r="J1254" i="2"/>
  <c r="J1246" i="2"/>
  <c r="J1238" i="2"/>
  <c r="J1230" i="2"/>
  <c r="J1222" i="2"/>
  <c r="J1214" i="2"/>
  <c r="J1206" i="2"/>
  <c r="J1198" i="2"/>
  <c r="J1190" i="2"/>
  <c r="J1182" i="2"/>
  <c r="J1174" i="2"/>
  <c r="R1436" i="2"/>
  <c r="R1387" i="2"/>
  <c r="T1312" i="2"/>
  <c r="C1303" i="2"/>
  <c r="C1295" i="2"/>
  <c r="C1287" i="2"/>
  <c r="C1279" i="2"/>
  <c r="C1271" i="2"/>
  <c r="C1263" i="2"/>
  <c r="C1255" i="2"/>
  <c r="C1247" i="2"/>
  <c r="C1239" i="2"/>
  <c r="C1231" i="2"/>
  <c r="K1561" i="2"/>
  <c r="G1423" i="2"/>
  <c r="G1375" i="2"/>
  <c r="G1333" i="2"/>
  <c r="N1309" i="2"/>
  <c r="A1301" i="2"/>
  <c r="A1293" i="2"/>
  <c r="A1285" i="2"/>
  <c r="A1277" i="2"/>
  <c r="A1269" i="2"/>
  <c r="A1261" i="2"/>
  <c r="A1253" i="2"/>
  <c r="A1245" i="2"/>
  <c r="A1237" i="2"/>
  <c r="A1229" i="2"/>
  <c r="A1221" i="2"/>
  <c r="A1213" i="2"/>
  <c r="A1205" i="2"/>
  <c r="A1197" i="2"/>
  <c r="A1189" i="2"/>
  <c r="A1181" i="2"/>
  <c r="A1173" i="2"/>
  <c r="T1434" i="2"/>
  <c r="N1386" i="2"/>
  <c r="P1340" i="2"/>
  <c r="N1312" i="2"/>
  <c r="S1302" i="2"/>
  <c r="S1294" i="2"/>
  <c r="S1286" i="2"/>
  <c r="S1278" i="2"/>
  <c r="S1270" i="2"/>
  <c r="S1262" i="2"/>
  <c r="S1254" i="2"/>
  <c r="S1246" i="2"/>
  <c r="S1238" i="2"/>
  <c r="S1230" i="2"/>
  <c r="S1222" i="2"/>
  <c r="S1214" i="2"/>
  <c r="S1206" i="2"/>
  <c r="S1198" i="2"/>
  <c r="S1190" i="2"/>
  <c r="S1182" i="2"/>
  <c r="F1306" i="2"/>
  <c r="C1274" i="2"/>
  <c r="C1242" i="2"/>
  <c r="K1548" i="2"/>
  <c r="H1508" i="2"/>
  <c r="M1543" i="2"/>
  <c r="Q1474" i="2"/>
  <c r="D1369" i="2"/>
  <c r="F1474" i="2"/>
  <c r="O1395" i="2"/>
  <c r="C1433" i="2"/>
  <c r="T1538" i="2"/>
  <c r="F1388" i="2"/>
  <c r="H1763" i="2"/>
  <c r="R1422" i="2"/>
  <c r="R1350" i="2"/>
  <c r="M1461" i="2"/>
  <c r="Q1384" i="2"/>
  <c r="Q1320" i="2"/>
  <c r="T1446" i="2"/>
  <c r="C1416" i="2"/>
  <c r="C1398" i="2"/>
  <c r="T1488" i="2"/>
  <c r="P1432" i="2"/>
  <c r="O1400" i="2"/>
  <c r="O1368" i="2"/>
  <c r="O1336" i="2"/>
  <c r="T1568" i="2"/>
  <c r="T1444" i="2"/>
  <c r="M1408" i="2"/>
  <c r="M1376" i="2"/>
  <c r="M1344" i="2"/>
  <c r="K1529" i="2"/>
  <c r="J1308" i="2"/>
  <c r="D1276" i="2"/>
  <c r="D1244" i="2"/>
  <c r="D1212" i="2"/>
  <c r="D1180" i="2"/>
  <c r="G1389" i="2"/>
  <c r="A1296" i="2"/>
  <c r="A1264" i="2"/>
  <c r="A1232" i="2"/>
  <c r="A1200" i="2"/>
  <c r="N1465" i="2"/>
  <c r="H1305" i="2"/>
  <c r="G1273" i="2"/>
  <c r="G1241" i="2"/>
  <c r="G1209" i="2"/>
  <c r="M1292" i="2"/>
  <c r="M1260" i="2"/>
  <c r="M1228" i="2"/>
  <c r="M1196" i="2"/>
  <c r="K1360" i="2"/>
  <c r="E1297" i="2"/>
  <c r="E1265" i="2"/>
  <c r="E1233" i="2"/>
  <c r="T1419" i="2"/>
  <c r="J1300" i="2"/>
  <c r="J1276" i="2"/>
  <c r="J1252" i="2"/>
  <c r="J1228" i="2"/>
  <c r="Q1205" i="2"/>
  <c r="J1188" i="2"/>
  <c r="K1443" i="2"/>
  <c r="P1338" i="2"/>
  <c r="P1303" i="2"/>
  <c r="P1279" i="2"/>
  <c r="P1255" i="2"/>
  <c r="P1231" i="2"/>
  <c r="T1435" i="2"/>
  <c r="G1355" i="2"/>
  <c r="O1308" i="2"/>
  <c r="H1294" i="2"/>
  <c r="O1281" i="2"/>
  <c r="H1268" i="2"/>
  <c r="H1256" i="2"/>
  <c r="H1244" i="2"/>
  <c r="H1232" i="2"/>
  <c r="H1220" i="2"/>
  <c r="H1208" i="2"/>
  <c r="H1196" i="2"/>
  <c r="H1184" i="2"/>
  <c r="H1172" i="2"/>
  <c r="N1406" i="2"/>
  <c r="C1338" i="2"/>
  <c r="R1307" i="2"/>
  <c r="M1295" i="2"/>
  <c r="M1283" i="2"/>
  <c r="M1271" i="2"/>
  <c r="M1259" i="2"/>
  <c r="M1247" i="2"/>
  <c r="M1235" i="2"/>
  <c r="M1223" i="2"/>
  <c r="M1211" i="2"/>
  <c r="M1199" i="2"/>
  <c r="M1187" i="2"/>
  <c r="M1310" i="2"/>
  <c r="C1266" i="2"/>
  <c r="C1226" i="2"/>
  <c r="E1199" i="2"/>
  <c r="E1181" i="2"/>
  <c r="E1169" i="2"/>
  <c r="R1159" i="2"/>
  <c r="K1150" i="2"/>
  <c r="K1142" i="2"/>
  <c r="K1134" i="2"/>
  <c r="K1126" i="2"/>
  <c r="K1118" i="2"/>
  <c r="K1110" i="2"/>
  <c r="K1102" i="2"/>
  <c r="K1094" i="2"/>
  <c r="K1086" i="2"/>
  <c r="K1078" i="2"/>
  <c r="K1070" i="2"/>
  <c r="K1062" i="2"/>
  <c r="K1054" i="2"/>
  <c r="S1468" i="2"/>
  <c r="T1294" i="2"/>
  <c r="T1262" i="2"/>
  <c r="T1230" i="2"/>
  <c r="P1189" i="2"/>
  <c r="C1176" i="2"/>
  <c r="D1167" i="2"/>
  <c r="D1159" i="2"/>
  <c r="D1151" i="2"/>
  <c r="D1143" i="2"/>
  <c r="D1135" i="2"/>
  <c r="D1127" i="2"/>
  <c r="D1119" i="2"/>
  <c r="D1111" i="2"/>
  <c r="D1103" i="2"/>
  <c r="D1095" i="2"/>
  <c r="D1087" i="2"/>
  <c r="E1300" i="2"/>
  <c r="E1268" i="2"/>
  <c r="E1236" i="2"/>
  <c r="K1209" i="2"/>
  <c r="G1192" i="2"/>
  <c r="T1177" i="2"/>
  <c r="P1302" i="2"/>
  <c r="P1270" i="2"/>
  <c r="P1238" i="2"/>
  <c r="T1210" i="2"/>
  <c r="K1193" i="2"/>
  <c r="S1178" i="2"/>
  <c r="A1169" i="2"/>
  <c r="A1161" i="2"/>
  <c r="A1153" i="2"/>
  <c r="A1145" i="2"/>
  <c r="A1137" i="2"/>
  <c r="A1129" i="2"/>
  <c r="A1121" i="2"/>
  <c r="A1113" i="2"/>
  <c r="A1105" i="2"/>
  <c r="A1097" i="2"/>
  <c r="A1089" i="2"/>
  <c r="G1302" i="2"/>
  <c r="G1270" i="2"/>
  <c r="G1238" i="2"/>
  <c r="R1210" i="2"/>
  <c r="R1178" i="2"/>
  <c r="T1168" i="2"/>
  <c r="T1160" i="2"/>
  <c r="T1152" i="2"/>
  <c r="T1144" i="2"/>
  <c r="T1136" i="2"/>
  <c r="T1128" i="2"/>
  <c r="T1120" i="2"/>
  <c r="T1112" i="2"/>
  <c r="T1104" i="2"/>
  <c r="T1096" i="2"/>
  <c r="T1088" i="2"/>
  <c r="T1080" i="2"/>
  <c r="K1299" i="2"/>
  <c r="K1267" i="2"/>
  <c r="K1235" i="2"/>
  <c r="C1209" i="2"/>
  <c r="T1191" i="2"/>
  <c r="P1177" i="2"/>
  <c r="F1168" i="2"/>
  <c r="F1160" i="2"/>
  <c r="F1152" i="2"/>
  <c r="F1144" i="2"/>
  <c r="F1136" i="2"/>
  <c r="F1128" i="2"/>
  <c r="F1120" i="2"/>
  <c r="F1112" i="2"/>
  <c r="F1104" i="2"/>
  <c r="F1096" i="2"/>
  <c r="T1208" i="2"/>
  <c r="R1191" i="2"/>
  <c r="N1177" i="2"/>
  <c r="E1168" i="2"/>
  <c r="E1160" i="2"/>
  <c r="E1152" i="2"/>
  <c r="E1144" i="2"/>
  <c r="E1136" i="2"/>
  <c r="E1128" i="2"/>
  <c r="E1120" i="2"/>
  <c r="E1112" i="2"/>
  <c r="E1104" i="2"/>
  <c r="E1096" i="2"/>
  <c r="E1088" i="2"/>
  <c r="E1080" i="2"/>
  <c r="Q1307" i="2"/>
  <c r="T1274" i="2"/>
  <c r="T1242" i="2"/>
  <c r="G1214" i="2"/>
  <c r="P1195" i="2"/>
  <c r="M1180" i="2"/>
  <c r="D1170" i="2"/>
  <c r="D1162" i="2"/>
  <c r="D1154" i="2"/>
  <c r="D1146" i="2"/>
  <c r="D1138" i="2"/>
  <c r="D1130" i="2"/>
  <c r="D1122" i="2"/>
  <c r="D1114" i="2"/>
  <c r="D1106" i="2"/>
  <c r="D1098" i="2"/>
  <c r="D1090" i="2"/>
  <c r="D1082" i="2"/>
  <c r="D1074" i="2"/>
  <c r="D1066" i="2"/>
  <c r="D1058" i="2"/>
  <c r="E1341" i="2"/>
  <c r="R1282" i="2"/>
  <c r="R1250" i="2"/>
  <c r="E1220" i="2"/>
  <c r="N1199" i="2"/>
  <c r="R1183" i="2"/>
  <c r="C1172" i="2"/>
  <c r="C1164" i="2"/>
  <c r="C1156" i="2"/>
  <c r="C1148" i="2"/>
  <c r="C1140" i="2"/>
  <c r="C1132" i="2"/>
  <c r="C1124" i="2"/>
  <c r="C1116" i="2"/>
  <c r="C1108" i="2"/>
  <c r="C1100" i="2"/>
  <c r="C1092" i="2"/>
  <c r="C1084" i="2"/>
  <c r="N1340" i="2"/>
  <c r="P1282" i="2"/>
  <c r="P1250" i="2"/>
  <c r="C1220" i="2"/>
  <c r="K1199" i="2"/>
  <c r="P1183" i="2"/>
  <c r="A1172" i="2"/>
  <c r="A1164" i="2"/>
  <c r="A1156" i="2"/>
  <c r="A1148" i="2"/>
  <c r="A1140" i="2"/>
  <c r="A1132" i="2"/>
  <c r="A1124" i="2"/>
  <c r="A1116" i="2"/>
  <c r="A1108" i="2"/>
  <c r="A1100" i="2"/>
  <c r="J1608" i="2"/>
  <c r="F1571" i="2"/>
  <c r="R1475" i="2"/>
  <c r="P1505" i="2"/>
  <c r="A1497" i="2"/>
  <c r="S1542" i="2"/>
  <c r="D1474" i="2"/>
  <c r="P1542" i="2"/>
  <c r="S1577" i="2"/>
  <c r="J1344" i="2"/>
  <c r="F1472" i="2"/>
  <c r="A1365" i="2"/>
  <c r="G1402" i="2"/>
  <c r="M1367" i="2"/>
  <c r="T1510" i="2"/>
  <c r="R1406" i="2"/>
  <c r="R1336" i="2"/>
  <c r="J1383" i="2"/>
  <c r="J1319" i="2"/>
  <c r="T1443" i="2"/>
  <c r="C1380" i="2"/>
  <c r="C1364" i="2"/>
  <c r="C1348" i="2"/>
  <c r="G1486" i="2"/>
  <c r="A1432" i="2"/>
  <c r="A1400" i="2"/>
  <c r="A1368" i="2"/>
  <c r="A1336" i="2"/>
  <c r="T1564" i="2"/>
  <c r="M1443" i="2"/>
  <c r="S1407" i="2"/>
  <c r="S1375" i="2"/>
  <c r="S1343" i="2"/>
  <c r="F1510" i="2"/>
  <c r="P1307" i="2"/>
  <c r="J1275" i="2"/>
  <c r="J1243" i="2"/>
  <c r="J1211" i="2"/>
  <c r="J1179" i="2"/>
  <c r="G1385" i="2"/>
  <c r="H1295" i="2"/>
  <c r="H1263" i="2"/>
  <c r="H1231" i="2"/>
  <c r="H1199" i="2"/>
  <c r="E1456" i="2"/>
  <c r="N1304" i="2"/>
  <c r="N1272" i="2"/>
  <c r="N1240" i="2"/>
  <c r="N1208" i="2"/>
  <c r="C1334" i="2"/>
  <c r="S1291" i="2"/>
  <c r="S1259" i="2"/>
  <c r="S1227" i="2"/>
  <c r="S1195" i="2"/>
  <c r="K1356" i="2"/>
  <c r="K1290" i="2"/>
  <c r="K1258" i="2"/>
  <c r="K1226" i="2"/>
  <c r="T1379" i="2"/>
  <c r="D1295" i="2"/>
  <c r="D1271" i="2"/>
  <c r="D1247" i="2"/>
  <c r="D1223" i="2"/>
  <c r="D1205" i="2"/>
  <c r="J1184" i="2"/>
  <c r="R1431" i="2"/>
  <c r="C1336" i="2"/>
  <c r="G1431" i="2"/>
  <c r="G1341" i="2"/>
  <c r="T1307" i="2"/>
  <c r="O1293" i="2"/>
  <c r="A1279" i="2"/>
  <c r="O1267" i="2"/>
  <c r="A1255" i="2"/>
  <c r="O1243" i="2"/>
  <c r="A1231" i="2"/>
  <c r="O1219" i="2"/>
  <c r="A1207" i="2"/>
  <c r="O1195" i="2"/>
  <c r="A1183" i="2"/>
  <c r="C1589" i="2"/>
  <c r="N1398" i="2"/>
  <c r="F1294" i="2"/>
  <c r="F1282" i="2"/>
  <c r="F1270" i="2"/>
  <c r="F1258" i="2"/>
  <c r="F1246" i="2"/>
  <c r="F1234" i="2"/>
  <c r="F1222" i="2"/>
  <c r="F1210" i="2"/>
  <c r="F1198" i="2"/>
  <c r="F1186" i="2"/>
  <c r="K1223" i="2"/>
  <c r="R1197" i="2"/>
  <c r="E1180" i="2"/>
  <c r="K1168" i="2"/>
  <c r="K1158" i="2"/>
  <c r="R1149" i="2"/>
  <c r="R1141" i="2"/>
  <c r="R1133" i="2"/>
  <c r="R1125" i="2"/>
  <c r="R1117" i="2"/>
  <c r="R1109" i="2"/>
  <c r="R1101" i="2"/>
  <c r="R1093" i="2"/>
  <c r="R1085" i="2"/>
  <c r="R1077" i="2"/>
  <c r="R1069" i="2"/>
  <c r="R1061" i="2"/>
  <c r="R1053" i="2"/>
  <c r="K1426" i="2"/>
  <c r="G1292" i="2"/>
  <c r="G1260" i="2"/>
  <c r="G1228" i="2"/>
  <c r="R1204" i="2"/>
  <c r="C1175" i="2"/>
  <c r="J1166" i="2"/>
  <c r="J1158" i="2"/>
  <c r="J1150" i="2"/>
  <c r="J1142" i="2"/>
  <c r="J1134" i="2"/>
  <c r="J1126" i="2"/>
  <c r="J1118" i="2"/>
  <c r="J1110" i="2"/>
  <c r="J1102" i="2"/>
  <c r="J1094" i="2"/>
  <c r="R1560" i="2"/>
  <c r="K1297" i="2"/>
  <c r="K1265" i="2"/>
  <c r="K1233" i="2"/>
  <c r="R1207" i="2"/>
  <c r="T1190" i="2"/>
  <c r="T1176" i="2"/>
  <c r="P1167" i="2"/>
  <c r="P1159" i="2"/>
  <c r="P1151" i="2"/>
  <c r="P1143" i="2"/>
  <c r="P1135" i="2"/>
  <c r="P1127" i="2"/>
  <c r="P1119" i="2"/>
  <c r="P1111" i="2"/>
  <c r="P1103" i="2"/>
  <c r="P1095" i="2"/>
  <c r="P1087" i="2"/>
  <c r="P1079" i="2"/>
  <c r="P1071" i="2"/>
  <c r="P1063" i="2"/>
  <c r="C1300" i="2"/>
  <c r="C1268" i="2"/>
  <c r="C1236" i="2"/>
  <c r="E1192" i="2"/>
  <c r="S1177" i="2"/>
  <c r="H1168" i="2"/>
  <c r="H1160" i="2"/>
  <c r="H1152" i="2"/>
  <c r="H1144" i="2"/>
  <c r="H1136" i="2"/>
  <c r="H1128" i="2"/>
  <c r="H1120" i="2"/>
  <c r="H1112" i="2"/>
  <c r="H1104" i="2"/>
  <c r="H1096" i="2"/>
  <c r="H1088" i="2"/>
  <c r="N1299" i="2"/>
  <c r="N1267" i="2"/>
  <c r="N1235" i="2"/>
  <c r="E1209" i="2"/>
  <c r="C1192" i="2"/>
  <c r="R1177" i="2"/>
  <c r="G1168" i="2"/>
  <c r="G1160" i="2"/>
  <c r="G1152" i="2"/>
  <c r="G1144" i="2"/>
  <c r="G1136" i="2"/>
  <c r="G1128" i="2"/>
  <c r="G1120" i="2"/>
  <c r="G1112" i="2"/>
  <c r="G1104" i="2"/>
  <c r="G1096" i="2"/>
  <c r="G1088" i="2"/>
  <c r="R1532" i="2"/>
  <c r="R1296" i="2"/>
  <c r="R1264" i="2"/>
  <c r="R1232" i="2"/>
  <c r="K1207" i="2"/>
  <c r="N1190" i="2"/>
  <c r="P1176" i="2"/>
  <c r="M1167" i="2"/>
  <c r="M1159" i="2"/>
  <c r="M1151" i="2"/>
  <c r="M1143" i="2"/>
  <c r="M1135" i="2"/>
  <c r="M1127" i="2"/>
  <c r="M1119" i="2"/>
  <c r="M1111" i="2"/>
  <c r="M1103" i="2"/>
  <c r="T1514" i="2"/>
  <c r="P1296" i="2"/>
  <c r="P1264" i="2"/>
  <c r="P1232" i="2"/>
  <c r="K1190" i="2"/>
  <c r="N1176" i="2"/>
  <c r="K1167" i="2"/>
  <c r="K1159" i="2"/>
  <c r="K1151" i="2"/>
  <c r="K1143" i="2"/>
  <c r="H1489" i="2"/>
  <c r="M1568" i="2"/>
  <c r="E1455" i="2"/>
  <c r="C1505" i="2"/>
  <c r="H1496" i="2"/>
  <c r="F1542" i="2"/>
  <c r="J1473" i="2"/>
  <c r="H1572" i="2"/>
  <c r="Q1337" i="2"/>
  <c r="H1364" i="2"/>
  <c r="N1401" i="2"/>
  <c r="S1366" i="2"/>
  <c r="G1508" i="2"/>
  <c r="E1406" i="2"/>
  <c r="E1336" i="2"/>
  <c r="N1433" i="2"/>
  <c r="J1369" i="2"/>
  <c r="J1305" i="2"/>
  <c r="P1396" i="2"/>
  <c r="E1466" i="2"/>
  <c r="H1425" i="2"/>
  <c r="H1393" i="2"/>
  <c r="H1361" i="2"/>
  <c r="H1329" i="2"/>
  <c r="T1560" i="2"/>
  <c r="F1442" i="2"/>
  <c r="F1407" i="2"/>
  <c r="F1375" i="2"/>
  <c r="F1343" i="2"/>
  <c r="F1494" i="2"/>
  <c r="A1307" i="2"/>
  <c r="Q1274" i="2"/>
  <c r="Q1242" i="2"/>
  <c r="Q1210" i="2"/>
  <c r="Q1178" i="2"/>
  <c r="P1326" i="2"/>
  <c r="G1345" i="2"/>
  <c r="O1294" i="2"/>
  <c r="O1262" i="2"/>
  <c r="O1230" i="2"/>
  <c r="O1198" i="2"/>
  <c r="T1303" i="2"/>
  <c r="T1271" i="2"/>
  <c r="T1239" i="2"/>
  <c r="T1207" i="2"/>
  <c r="F1285" i="2"/>
  <c r="F1253" i="2"/>
  <c r="F1221" i="2"/>
  <c r="F1189" i="2"/>
  <c r="K1352" i="2"/>
  <c r="R1289" i="2"/>
  <c r="R1257" i="2"/>
  <c r="R1225" i="2"/>
  <c r="T1375" i="2"/>
  <c r="Q1293" i="2"/>
  <c r="Q1269" i="2"/>
  <c r="Q1245" i="2"/>
  <c r="Q1221" i="2"/>
  <c r="J1204" i="2"/>
  <c r="D1183" i="2"/>
  <c r="R1427" i="2"/>
  <c r="P1301" i="2"/>
  <c r="C1289" i="2"/>
  <c r="P1277" i="2"/>
  <c r="C1265" i="2"/>
  <c r="P1253" i="2"/>
  <c r="C1241" i="2"/>
  <c r="P1229" i="2"/>
  <c r="G1427" i="2"/>
  <c r="N1338" i="2"/>
  <c r="F1307" i="2"/>
  <c r="H1292" i="2"/>
  <c r="H1278" i="2"/>
  <c r="A1267" i="2"/>
  <c r="H1254" i="2"/>
  <c r="A1243" i="2"/>
  <c r="H1230" i="2"/>
  <c r="A1219" i="2"/>
  <c r="H1206" i="2"/>
  <c r="A1195" i="2"/>
  <c r="H1182" i="2"/>
  <c r="K1557" i="2"/>
  <c r="N1394" i="2"/>
  <c r="P1332" i="2"/>
  <c r="T1304" i="2"/>
  <c r="M1293" i="2"/>
  <c r="S1280" i="2"/>
  <c r="M1269" i="2"/>
  <c r="S1256" i="2"/>
  <c r="M1245" i="2"/>
  <c r="S1232" i="2"/>
  <c r="M1221" i="2"/>
  <c r="S1208" i="2"/>
  <c r="M1197" i="2"/>
  <c r="S1184" i="2"/>
  <c r="P1300" i="2"/>
  <c r="P1260" i="2"/>
  <c r="K1219" i="2"/>
  <c r="K1196" i="2"/>
  <c r="E1179" i="2"/>
  <c r="R1167" i="2"/>
  <c r="R1157" i="2"/>
  <c r="E1149" i="2"/>
  <c r="E1141" i="2"/>
  <c r="E1133" i="2"/>
  <c r="E1125" i="2"/>
  <c r="E1117" i="2"/>
  <c r="E1109" i="2"/>
  <c r="E1101" i="2"/>
  <c r="E1093" i="2"/>
  <c r="E1085" i="2"/>
  <c r="E1077" i="2"/>
  <c r="E1069" i="2"/>
  <c r="E1061" i="2"/>
  <c r="E1053" i="2"/>
  <c r="K1402" i="2"/>
  <c r="N1289" i="2"/>
  <c r="N1257" i="2"/>
  <c r="N1225" i="2"/>
  <c r="E1203" i="2"/>
  <c r="C1187" i="2"/>
  <c r="D1174" i="2"/>
  <c r="Q1165" i="2"/>
  <c r="Q1157" i="2"/>
  <c r="Q1149" i="2"/>
  <c r="Q1141" i="2"/>
  <c r="Q1133" i="2"/>
  <c r="Q1125" i="2"/>
  <c r="Q1117" i="2"/>
  <c r="Q1109" i="2"/>
  <c r="Q1101" i="2"/>
  <c r="Q1093" i="2"/>
  <c r="S1460" i="2"/>
  <c r="R1294" i="2"/>
  <c r="R1262" i="2"/>
  <c r="R1230" i="2"/>
  <c r="G1206" i="2"/>
  <c r="N1189" i="2"/>
  <c r="T1175" i="2"/>
  <c r="C1167" i="2"/>
  <c r="C1159" i="2"/>
  <c r="C1151" i="2"/>
  <c r="C1143" i="2"/>
  <c r="C1135" i="2"/>
  <c r="C1127" i="2"/>
  <c r="C1119" i="2"/>
  <c r="C1111" i="2"/>
  <c r="C1103" i="2"/>
  <c r="C1095" i="2"/>
  <c r="C1087" i="2"/>
  <c r="C1079" i="2"/>
  <c r="C1071" i="2"/>
  <c r="R1556" i="2"/>
  <c r="P1207" i="2"/>
  <c r="R1190" i="2"/>
  <c r="S1176" i="2"/>
  <c r="O1167" i="2"/>
  <c r="O1159" i="2"/>
  <c r="O1151" i="2"/>
  <c r="O1143" i="2"/>
  <c r="O1135" i="2"/>
  <c r="O1127" i="2"/>
  <c r="O1119" i="2"/>
  <c r="O1111" i="2"/>
  <c r="O1103" i="2"/>
  <c r="O1095" i="2"/>
  <c r="R1536" i="2"/>
  <c r="T1296" i="2"/>
  <c r="T1264" i="2"/>
  <c r="T1232" i="2"/>
  <c r="N1207" i="2"/>
  <c r="P1190" i="2"/>
  <c r="R1176" i="2"/>
  <c r="N1167" i="2"/>
  <c r="N1159" i="2"/>
  <c r="N1151" i="2"/>
  <c r="N1143" i="2"/>
  <c r="N1135" i="2"/>
  <c r="N1127" i="2"/>
  <c r="N1119" i="2"/>
  <c r="N1111" i="2"/>
  <c r="N1103" i="2"/>
  <c r="N1095" i="2"/>
  <c r="N1087" i="2"/>
  <c r="N1449" i="2"/>
  <c r="E1294" i="2"/>
  <c r="E1262" i="2"/>
  <c r="E1230" i="2"/>
  <c r="R1205" i="2"/>
  <c r="G1189" i="2"/>
  <c r="P1175" i="2"/>
  <c r="S1166" i="2"/>
  <c r="S1158" i="2"/>
  <c r="S1150" i="2"/>
  <c r="S1142" i="2"/>
  <c r="S1134" i="2"/>
  <c r="S1126" i="2"/>
  <c r="S1118" i="2"/>
  <c r="S1110" i="2"/>
  <c r="S1102" i="2"/>
  <c r="E1442" i="2"/>
  <c r="C1294" i="2"/>
  <c r="C1262" i="2"/>
  <c r="C1230" i="2"/>
  <c r="P1205" i="2"/>
  <c r="E1189" i="2"/>
  <c r="N1175" i="2"/>
  <c r="R1166" i="2"/>
  <c r="R1158" i="2"/>
  <c r="R1150" i="2"/>
  <c r="R1142" i="2"/>
  <c r="R1134" i="2"/>
  <c r="R1126" i="2"/>
  <c r="R1118" i="2"/>
  <c r="R1110" i="2"/>
  <c r="R1102" i="2"/>
  <c r="R1094" i="2"/>
  <c r="R1086" i="2"/>
  <c r="R1078" i="2"/>
  <c r="N1301" i="2"/>
  <c r="N1269" i="2"/>
  <c r="N1237" i="2"/>
  <c r="C1193" i="2"/>
  <c r="M1178" i="2"/>
  <c r="Q1168" i="2"/>
  <c r="Q1160" i="2"/>
  <c r="Q1152" i="2"/>
  <c r="Q1144" i="2"/>
  <c r="Q1136" i="2"/>
  <c r="Q1128" i="2"/>
  <c r="Q1120" i="2"/>
  <c r="Q1112" i="2"/>
  <c r="Q1104" i="2"/>
  <c r="Q1096" i="2"/>
  <c r="Q1088" i="2"/>
  <c r="Q1080" i="2"/>
  <c r="Q1072" i="2"/>
  <c r="Q1064" i="2"/>
  <c r="Q1056" i="2"/>
  <c r="P1312" i="2"/>
  <c r="K1277" i="2"/>
  <c r="K1245" i="2"/>
  <c r="E1216" i="2"/>
  <c r="T1196" i="2"/>
  <c r="K1181" i="2"/>
  <c r="P1170" i="2"/>
  <c r="P1162" i="2"/>
  <c r="P1154" i="2"/>
  <c r="P1146" i="2"/>
  <c r="R1617" i="2"/>
  <c r="A1599" i="2"/>
  <c r="O1454" i="2"/>
  <c r="F1551" i="2"/>
  <c r="K1452" i="2"/>
  <c r="P1545" i="2"/>
  <c r="A1453" i="2"/>
  <c r="D1613" i="2"/>
  <c r="D1436" i="2"/>
  <c r="G1568" i="2"/>
  <c r="D1337" i="2"/>
  <c r="O1363" i="2"/>
  <c r="T1400" i="2"/>
  <c r="S1364" i="2"/>
  <c r="G1492" i="2"/>
  <c r="K1405" i="2"/>
  <c r="R1334" i="2"/>
  <c r="S1432" i="2"/>
  <c r="Q1368" i="2"/>
  <c r="Q1304" i="2"/>
  <c r="P1430" i="2"/>
  <c r="P1378" i="2"/>
  <c r="P1362" i="2"/>
  <c r="P1346" i="2"/>
  <c r="O1424" i="2"/>
  <c r="O1392" i="2"/>
  <c r="O1360" i="2"/>
  <c r="O1328" i="2"/>
  <c r="T1520" i="2"/>
  <c r="N1432" i="2"/>
  <c r="M1400" i="2"/>
  <c r="M1368" i="2"/>
  <c r="M1336" i="2"/>
  <c r="T1417" i="2"/>
  <c r="D1300" i="2"/>
  <c r="D1268" i="2"/>
  <c r="D1236" i="2"/>
  <c r="D1204" i="2"/>
  <c r="R1528" i="2"/>
  <c r="C1324" i="2"/>
  <c r="N1342" i="2"/>
  <c r="A1288" i="2"/>
  <c r="A1256" i="2"/>
  <c r="A1224" i="2"/>
  <c r="A1192" i="2"/>
  <c r="E1401" i="2"/>
  <c r="G1297" i="2"/>
  <c r="G1265" i="2"/>
  <c r="G1233" i="2"/>
  <c r="K1569" i="2"/>
  <c r="P1328" i="2"/>
  <c r="M1284" i="2"/>
  <c r="M1252" i="2"/>
  <c r="M1220" i="2"/>
  <c r="M1188" i="2"/>
  <c r="G1323" i="2"/>
  <c r="E1289" i="2"/>
  <c r="E1257" i="2"/>
  <c r="E1225" i="2"/>
  <c r="T1371" i="2"/>
  <c r="D1293" i="2"/>
  <c r="D1269" i="2"/>
  <c r="D1245" i="2"/>
  <c r="D1221" i="2"/>
  <c r="J1200" i="2"/>
  <c r="Q1181" i="2"/>
  <c r="R1423" i="2"/>
  <c r="C1301" i="2"/>
  <c r="C1277" i="2"/>
  <c r="C1253" i="2"/>
  <c r="C1229" i="2"/>
  <c r="G1419" i="2"/>
  <c r="T1335" i="2"/>
  <c r="Q1305" i="2"/>
  <c r="O1291" i="2"/>
  <c r="O1277" i="2"/>
  <c r="O1265" i="2"/>
  <c r="O1253" i="2"/>
  <c r="O1241" i="2"/>
  <c r="O1229" i="2"/>
  <c r="O1217" i="2"/>
  <c r="O1205" i="2"/>
  <c r="O1193" i="2"/>
  <c r="O1181" i="2"/>
  <c r="S1512" i="2"/>
  <c r="N1390" i="2"/>
  <c r="F1304" i="2"/>
  <c r="S1292" i="2"/>
  <c r="F1280" i="2"/>
  <c r="S1268" i="2"/>
  <c r="F1256" i="2"/>
  <c r="S1244" i="2"/>
  <c r="F1232" i="2"/>
  <c r="S1220" i="2"/>
  <c r="F1208" i="2"/>
  <c r="S1196" i="2"/>
  <c r="F1184" i="2"/>
  <c r="C1298" i="2"/>
  <c r="K1217" i="2"/>
  <c r="E1195" i="2"/>
  <c r="E1178" i="2"/>
  <c r="K1166" i="2"/>
  <c r="E1157" i="2"/>
  <c r="K1148" i="2"/>
  <c r="K1140" i="2"/>
  <c r="K1132" i="2"/>
  <c r="K1124" i="2"/>
  <c r="K1116" i="2"/>
  <c r="K1108" i="2"/>
  <c r="K1100" i="2"/>
  <c r="K1092" i="2"/>
  <c r="K1084" i="2"/>
  <c r="K1076" i="2"/>
  <c r="K1068" i="2"/>
  <c r="K1060" i="2"/>
  <c r="K1052" i="2"/>
  <c r="K1378" i="2"/>
  <c r="T1286" i="2"/>
  <c r="T1254" i="2"/>
  <c r="P1201" i="2"/>
  <c r="P1185" i="2"/>
  <c r="F1173" i="2"/>
  <c r="D1165" i="2"/>
  <c r="D1157" i="2"/>
  <c r="D1149" i="2"/>
  <c r="D1141" i="2"/>
  <c r="D1133" i="2"/>
  <c r="D1125" i="2"/>
  <c r="D1117" i="2"/>
  <c r="D1109" i="2"/>
  <c r="D1101" i="2"/>
  <c r="D1093" i="2"/>
  <c r="E1423" i="2"/>
  <c r="E1292" i="2"/>
  <c r="E1260" i="2"/>
  <c r="E1228" i="2"/>
  <c r="P1204" i="2"/>
  <c r="G1188" i="2"/>
  <c r="T1174" i="2"/>
  <c r="G1459" i="2"/>
  <c r="P1294" i="2"/>
  <c r="P1262" i="2"/>
  <c r="P1230" i="2"/>
  <c r="E1206" i="2"/>
  <c r="K1189" i="2"/>
  <c r="S1175" i="2"/>
  <c r="A1167" i="2"/>
  <c r="A1159" i="2"/>
  <c r="A1151" i="2"/>
  <c r="A1143" i="2"/>
  <c r="A1135" i="2"/>
  <c r="A1127" i="2"/>
  <c r="A1119" i="2"/>
  <c r="A1111" i="2"/>
  <c r="A1103" i="2"/>
  <c r="A1095" i="2"/>
  <c r="G1451" i="2"/>
  <c r="G1294" i="2"/>
  <c r="G1262" i="2"/>
  <c r="G1230" i="2"/>
  <c r="C1206" i="2"/>
  <c r="R1175" i="2"/>
  <c r="T1166" i="2"/>
  <c r="T1158" i="2"/>
  <c r="T1150" i="2"/>
  <c r="T1142" i="2"/>
  <c r="T1134" i="2"/>
  <c r="T1126" i="2"/>
  <c r="T1118" i="2"/>
  <c r="T1110" i="2"/>
  <c r="T1102" i="2"/>
  <c r="T1094" i="2"/>
  <c r="T1086" i="2"/>
  <c r="K1418" i="2"/>
  <c r="K1291" i="2"/>
  <c r="K1259" i="2"/>
  <c r="K1227" i="2"/>
  <c r="G1204" i="2"/>
  <c r="T1187" i="2"/>
  <c r="P1174" i="2"/>
  <c r="F1166" i="2"/>
  <c r="F1158" i="2"/>
  <c r="F1150" i="2"/>
  <c r="F1142" i="2"/>
  <c r="F1134" i="2"/>
  <c r="F1126" i="2"/>
  <c r="F1118" i="2"/>
  <c r="F1110" i="2"/>
  <c r="F1102" i="2"/>
  <c r="E1415" i="2"/>
  <c r="E1204" i="2"/>
  <c r="R1187" i="2"/>
  <c r="N1174" i="2"/>
  <c r="E1166" i="2"/>
  <c r="E1158" i="2"/>
  <c r="E1150" i="2"/>
  <c r="E1142" i="2"/>
  <c r="E1134" i="2"/>
  <c r="E1126" i="2"/>
  <c r="E1118" i="2"/>
  <c r="E1110" i="2"/>
  <c r="E1102" i="2"/>
  <c r="E1094" i="2"/>
  <c r="E1086" i="2"/>
  <c r="E1078" i="2"/>
  <c r="T1298" i="2"/>
  <c r="T1266" i="2"/>
  <c r="T1234" i="2"/>
  <c r="E1615" i="2"/>
  <c r="D1647" i="2"/>
  <c r="N1621" i="2"/>
  <c r="A1454" i="2"/>
  <c r="F1475" i="2"/>
  <c r="C1545" i="2"/>
  <c r="O1443" i="2"/>
  <c r="P1608" i="2"/>
  <c r="J1435" i="2"/>
  <c r="P1456" i="2"/>
  <c r="J1312" i="2"/>
  <c r="A1333" i="2"/>
  <c r="G1370" i="2"/>
  <c r="S1348" i="2"/>
  <c r="K1389" i="2"/>
  <c r="R1320" i="2"/>
  <c r="J1431" i="2"/>
  <c r="J1367" i="2"/>
  <c r="E1664" i="2"/>
  <c r="S1462" i="2"/>
  <c r="A1424" i="2"/>
  <c r="A1392" i="2"/>
  <c r="A1360" i="2"/>
  <c r="A1328" i="2"/>
  <c r="E1518" i="2"/>
  <c r="S1431" i="2"/>
  <c r="S1399" i="2"/>
  <c r="S1367" i="2"/>
  <c r="S1335" i="2"/>
  <c r="T1413" i="2"/>
  <c r="J1299" i="2"/>
  <c r="J1267" i="2"/>
  <c r="J1235" i="2"/>
  <c r="J1203" i="2"/>
  <c r="N1509" i="2"/>
  <c r="T1339" i="2"/>
  <c r="H1287" i="2"/>
  <c r="H1255" i="2"/>
  <c r="H1223" i="2"/>
  <c r="H1191" i="2"/>
  <c r="E1397" i="2"/>
  <c r="N1296" i="2"/>
  <c r="N1264" i="2"/>
  <c r="N1232" i="2"/>
  <c r="K1545" i="2"/>
  <c r="S1283" i="2"/>
  <c r="S1251" i="2"/>
  <c r="S1219" i="2"/>
  <c r="S1187" i="2"/>
  <c r="N1320" i="2"/>
  <c r="K1282" i="2"/>
  <c r="K1250" i="2"/>
  <c r="K1218" i="2"/>
  <c r="K1336" i="2"/>
  <c r="J1292" i="2"/>
  <c r="J1268" i="2"/>
  <c r="J1244" i="2"/>
  <c r="J1220" i="2"/>
  <c r="D1199" i="2"/>
  <c r="D1181" i="2"/>
  <c r="R1399" i="2"/>
  <c r="K1317" i="2"/>
  <c r="P1287" i="2"/>
  <c r="P1263" i="2"/>
  <c r="P1239" i="2"/>
  <c r="G1415" i="2"/>
  <c r="N1330" i="2"/>
  <c r="A1303" i="2"/>
  <c r="A1291" i="2"/>
  <c r="H1276" i="2"/>
  <c r="H1264" i="2"/>
  <c r="H1252" i="2"/>
  <c r="H1240" i="2"/>
  <c r="H1228" i="2"/>
  <c r="H1216" i="2"/>
  <c r="H1204" i="2"/>
  <c r="H1192" i="2"/>
  <c r="H1180" i="2"/>
  <c r="T1480" i="2"/>
  <c r="N1382" i="2"/>
  <c r="C1322" i="2"/>
  <c r="M1303" i="2"/>
  <c r="M1291" i="2"/>
  <c r="M1279" i="2"/>
  <c r="M1267" i="2"/>
  <c r="M1255" i="2"/>
  <c r="M1243" i="2"/>
  <c r="M1231" i="2"/>
  <c r="M1219" i="2"/>
  <c r="M1207" i="2"/>
  <c r="M1195" i="2"/>
  <c r="M1183" i="2"/>
  <c r="C1250" i="2"/>
  <c r="K1215" i="2"/>
  <c r="R1193" i="2"/>
  <c r="E1177" i="2"/>
  <c r="R1165" i="2"/>
  <c r="R1155" i="2"/>
  <c r="R1147" i="2"/>
  <c r="R1139" i="2"/>
  <c r="R1131" i="2"/>
  <c r="R1123" i="2"/>
  <c r="R1115" i="2"/>
  <c r="R1107" i="2"/>
  <c r="R1099" i="2"/>
  <c r="R1091" i="2"/>
  <c r="R1083" i="2"/>
  <c r="R1075" i="2"/>
  <c r="R1067" i="2"/>
  <c r="R1059" i="2"/>
  <c r="R1051" i="2"/>
  <c r="K1354" i="2"/>
  <c r="G1284" i="2"/>
  <c r="G1252" i="2"/>
  <c r="K1184" i="2"/>
  <c r="K1172" i="2"/>
  <c r="J1164" i="2"/>
  <c r="J1156" i="2"/>
  <c r="J1148" i="2"/>
  <c r="J1140" i="2"/>
  <c r="J1132" i="2"/>
  <c r="J1124" i="2"/>
  <c r="J1116" i="2"/>
  <c r="J1108" i="2"/>
  <c r="J1100" i="2"/>
  <c r="J1092" i="2"/>
  <c r="E1399" i="2"/>
  <c r="K1289" i="2"/>
  <c r="K1257" i="2"/>
  <c r="K1225" i="2"/>
  <c r="C1203" i="2"/>
  <c r="T1186" i="2"/>
  <c r="C1174" i="2"/>
  <c r="P1165" i="2"/>
  <c r="P1157" i="2"/>
  <c r="P1149" i="2"/>
  <c r="P1141" i="2"/>
  <c r="P1133" i="2"/>
  <c r="P1125" i="2"/>
  <c r="P1117" i="2"/>
  <c r="P1109" i="2"/>
  <c r="P1101" i="2"/>
  <c r="P1093" i="2"/>
  <c r="P1085" i="2"/>
  <c r="P1077" i="2"/>
  <c r="P1069" i="2"/>
  <c r="K1422" i="2"/>
  <c r="C1292" i="2"/>
  <c r="C1260" i="2"/>
  <c r="C1228" i="2"/>
  <c r="K1204" i="2"/>
  <c r="E1188" i="2"/>
  <c r="S1174" i="2"/>
  <c r="H1166" i="2"/>
  <c r="H1158" i="2"/>
  <c r="H1150" i="2"/>
  <c r="H1142" i="2"/>
  <c r="H1134" i="2"/>
  <c r="H1126" i="2"/>
  <c r="H1118" i="2"/>
  <c r="H1110" i="2"/>
  <c r="H1102" i="2"/>
  <c r="H1094" i="2"/>
  <c r="E1419" i="2"/>
  <c r="N1291" i="2"/>
  <c r="N1259" i="2"/>
  <c r="N1227" i="2"/>
  <c r="C1188" i="2"/>
  <c r="R1174" i="2"/>
  <c r="G1166" i="2"/>
  <c r="G1158" i="2"/>
  <c r="G1150" i="2"/>
  <c r="G1142" i="2"/>
  <c r="G1134" i="2"/>
  <c r="G1126" i="2"/>
  <c r="G1118" i="2"/>
  <c r="G1110" i="2"/>
  <c r="G1102" i="2"/>
  <c r="G1094" i="2"/>
  <c r="G1086" i="2"/>
  <c r="K1394" i="2"/>
  <c r="R1288" i="2"/>
  <c r="R1256" i="2"/>
  <c r="R1224" i="2"/>
  <c r="P1202" i="2"/>
  <c r="N1186" i="2"/>
  <c r="R1173" i="2"/>
  <c r="M1165" i="2"/>
  <c r="M1157" i="2"/>
  <c r="M1149" i="2"/>
  <c r="M1141" i="2"/>
  <c r="M1133" i="2"/>
  <c r="M1125" i="2"/>
  <c r="M1117" i="2"/>
  <c r="M1109" i="2"/>
  <c r="M1101" i="2"/>
  <c r="E1391" i="2"/>
  <c r="P1288" i="2"/>
  <c r="D1816" i="2"/>
  <c r="J1640" i="2"/>
  <c r="O1616" i="2"/>
  <c r="M1472" i="2"/>
  <c r="A1443" i="2"/>
  <c r="M1606" i="2"/>
  <c r="Q1434" i="2"/>
  <c r="P1474" i="2"/>
  <c r="C1456" i="2"/>
  <c r="P1438" i="2"/>
  <c r="F1595" i="2"/>
  <c r="H1332" i="2"/>
  <c r="N1369" i="2"/>
  <c r="F1348" i="2"/>
  <c r="K1385" i="2"/>
  <c r="E1320" i="2"/>
  <c r="J1417" i="2"/>
  <c r="J1353" i="2"/>
  <c r="E1538" i="2"/>
  <c r="P1428" i="2"/>
  <c r="A1574" i="2"/>
  <c r="H1417" i="2"/>
  <c r="H1385" i="2"/>
  <c r="H1353" i="2"/>
  <c r="H1321" i="2"/>
  <c r="K1515" i="2"/>
  <c r="F1431" i="2"/>
  <c r="F1399" i="2"/>
  <c r="F1367" i="2"/>
  <c r="F1335" i="2"/>
  <c r="T1409" i="2"/>
  <c r="Q1298" i="2"/>
  <c r="Q1266" i="2"/>
  <c r="Q1234" i="2"/>
  <c r="Q1202" i="2"/>
  <c r="N1493" i="2"/>
  <c r="P1314" i="2"/>
  <c r="O1286" i="2"/>
  <c r="O1254" i="2"/>
  <c r="O1222" i="2"/>
  <c r="O1190" i="2"/>
  <c r="E1393" i="2"/>
  <c r="T1295" i="2"/>
  <c r="T1263" i="2"/>
  <c r="T1231" i="2"/>
  <c r="K1521" i="2"/>
  <c r="T1309" i="2"/>
  <c r="F1277" i="2"/>
  <c r="F1245" i="2"/>
  <c r="F1213" i="2"/>
  <c r="G1488" i="2"/>
  <c r="T1317" i="2"/>
  <c r="R1281" i="2"/>
  <c r="R1249" i="2"/>
  <c r="R1217" i="2"/>
  <c r="R1333" i="2"/>
  <c r="D1287" i="2"/>
  <c r="D1263" i="2"/>
  <c r="D1239" i="2"/>
  <c r="J1216" i="2"/>
  <c r="Q1197" i="2"/>
  <c r="J1180" i="2"/>
  <c r="R1391" i="2"/>
  <c r="N1315" i="2"/>
  <c r="G1411" i="2"/>
  <c r="T1327" i="2"/>
  <c r="H1302" i="2"/>
  <c r="O1289" i="2"/>
  <c r="O1275" i="2"/>
  <c r="A1263" i="2"/>
  <c r="O1251" i="2"/>
  <c r="A1239" i="2"/>
  <c r="O1227" i="2"/>
  <c r="A1215" i="2"/>
  <c r="O1203" i="2"/>
  <c r="A1191" i="2"/>
  <c r="O1179" i="2"/>
  <c r="M1459" i="2"/>
  <c r="N1378" i="2"/>
  <c r="F1302" i="2"/>
  <c r="F1290" i="2"/>
  <c r="F1278" i="2"/>
  <c r="F1266" i="2"/>
  <c r="F1254" i="2"/>
  <c r="F1242" i="2"/>
  <c r="F1230" i="2"/>
  <c r="F1218" i="2"/>
  <c r="F1206" i="2"/>
  <c r="F1194" i="2"/>
  <c r="F1182" i="2"/>
  <c r="P1292" i="2"/>
  <c r="K1213" i="2"/>
  <c r="K1192" i="2"/>
  <c r="E1175" i="2"/>
  <c r="E1165" i="2"/>
  <c r="E1155" i="2"/>
  <c r="E1147" i="2"/>
  <c r="E1139" i="2"/>
  <c r="E1131" i="2"/>
  <c r="E1123" i="2"/>
  <c r="E1115" i="2"/>
  <c r="E1107" i="2"/>
  <c r="E1099" i="2"/>
  <c r="E1091" i="2"/>
  <c r="E1083" i="2"/>
  <c r="E1075" i="2"/>
  <c r="E1067" i="2"/>
  <c r="E1059" i="2"/>
  <c r="E1051" i="2"/>
  <c r="G1335" i="2"/>
  <c r="N1281" i="2"/>
  <c r="N1249" i="2"/>
  <c r="C1199" i="2"/>
  <c r="G1183" i="2"/>
  <c r="Q1171" i="2"/>
  <c r="Q1163" i="2"/>
  <c r="Q1155" i="2"/>
  <c r="Q1147" i="2"/>
  <c r="Q1139" i="2"/>
  <c r="Q1131" i="2"/>
  <c r="Q1123" i="2"/>
  <c r="Q1115" i="2"/>
  <c r="Q1107" i="2"/>
  <c r="Q1099" i="2"/>
  <c r="Q1091" i="2"/>
  <c r="E1375" i="2"/>
  <c r="R1286" i="2"/>
  <c r="R1254" i="2"/>
  <c r="C1223" i="2"/>
  <c r="N1201" i="2"/>
  <c r="N1185" i="2"/>
  <c r="E1173" i="2"/>
  <c r="C1165" i="2"/>
  <c r="C1157" i="2"/>
  <c r="C1149" i="2"/>
  <c r="C1141" i="2"/>
  <c r="C1133" i="2"/>
  <c r="C1125" i="2"/>
  <c r="C1117" i="2"/>
  <c r="C1109" i="2"/>
  <c r="C1101" i="2"/>
  <c r="C1093" i="2"/>
  <c r="C1085" i="2"/>
  <c r="C1077" i="2"/>
  <c r="C1069" i="2"/>
  <c r="K1398" i="2"/>
  <c r="T1202" i="2"/>
  <c r="R1186" i="2"/>
  <c r="T1173" i="2"/>
  <c r="O1165" i="2"/>
  <c r="O1157" i="2"/>
  <c r="O1149" i="2"/>
  <c r="O1141" i="2"/>
  <c r="O1133" i="2"/>
  <c r="O1125" i="2"/>
  <c r="O1117" i="2"/>
  <c r="O1109" i="2"/>
  <c r="O1101" i="2"/>
  <c r="O1093" i="2"/>
  <c r="E1395" i="2"/>
  <c r="T1288" i="2"/>
  <c r="T1256" i="2"/>
  <c r="T1224" i="2"/>
  <c r="R1202" i="2"/>
  <c r="P1186" i="2"/>
  <c r="S1173" i="2"/>
  <c r="N1165" i="2"/>
  <c r="N1157" i="2"/>
  <c r="N1149" i="2"/>
  <c r="N1141" i="2"/>
  <c r="N1133" i="2"/>
  <c r="N1125" i="2"/>
  <c r="N1117" i="2"/>
  <c r="N1109" i="2"/>
  <c r="N1101" i="2"/>
  <c r="N1093" i="2"/>
  <c r="N1085" i="2"/>
  <c r="K1370" i="2"/>
  <c r="E1286" i="2"/>
  <c r="E1254" i="2"/>
  <c r="P1222" i="2"/>
  <c r="G1201" i="2"/>
  <c r="G1185" i="2"/>
  <c r="T1172" i="2"/>
  <c r="S1164" i="2"/>
  <c r="S1156" i="2"/>
  <c r="S1148" i="2"/>
  <c r="S1140" i="2"/>
  <c r="S1132" i="2"/>
  <c r="S1124" i="2"/>
  <c r="S1116" i="2"/>
  <c r="S1108" i="2"/>
  <c r="S1100" i="2"/>
  <c r="E1367" i="2"/>
  <c r="C1286" i="2"/>
  <c r="C1254" i="2"/>
  <c r="E1201" i="2"/>
  <c r="E1185" i="2"/>
  <c r="S1172" i="2"/>
  <c r="R1164" i="2"/>
  <c r="R1156" i="2"/>
  <c r="R1148" i="2"/>
  <c r="J1788" i="2"/>
  <c r="C1626" i="2"/>
  <c r="P1615" i="2"/>
  <c r="N1524" i="2"/>
  <c r="F1455" i="2"/>
  <c r="J1544" i="2"/>
  <c r="J1551" i="2"/>
  <c r="C1492" i="2"/>
  <c r="P1437" i="2"/>
  <c r="Q1585" i="2"/>
  <c r="O1331" i="2"/>
  <c r="T1368" i="2"/>
  <c r="M1347" i="2"/>
  <c r="R1384" i="2"/>
  <c r="R1318" i="2"/>
  <c r="Q1416" i="2"/>
  <c r="Q1352" i="2"/>
  <c r="E1526" i="2"/>
  <c r="P1406" i="2"/>
  <c r="N1569" i="2"/>
  <c r="O1416" i="2"/>
  <c r="O1384" i="2"/>
  <c r="O1352" i="2"/>
  <c r="O1320" i="2"/>
  <c r="R1488" i="2"/>
  <c r="M1424" i="2"/>
  <c r="M1392" i="2"/>
  <c r="M1360" i="2"/>
  <c r="M1328" i="2"/>
  <c r="T1369" i="2"/>
  <c r="D1292" i="2"/>
  <c r="D1260" i="2"/>
  <c r="D1228" i="2"/>
  <c r="D1196" i="2"/>
  <c r="R1417" i="2"/>
  <c r="O1307" i="2"/>
  <c r="A1280" i="2"/>
  <c r="A1248" i="2"/>
  <c r="A1216" i="2"/>
  <c r="A1184" i="2"/>
  <c r="E1353" i="2"/>
  <c r="G1289" i="2"/>
  <c r="G1257" i="2"/>
  <c r="G1225" i="2"/>
  <c r="N1424" i="2"/>
  <c r="A1309" i="2"/>
  <c r="M1276" i="2"/>
  <c r="M1244" i="2"/>
  <c r="M1212" i="2"/>
  <c r="R1474" i="2"/>
  <c r="E1281" i="2"/>
  <c r="E1249" i="2"/>
  <c r="E1217" i="2"/>
  <c r="E1331" i="2"/>
  <c r="Q1285" i="2"/>
  <c r="Q1261" i="2"/>
  <c r="Q1237" i="2"/>
  <c r="D1215" i="2"/>
  <c r="D1197" i="2"/>
  <c r="J1176" i="2"/>
  <c r="R1383" i="2"/>
  <c r="E1314" i="2"/>
  <c r="C1297" i="2"/>
  <c r="P1285" i="2"/>
  <c r="C1273" i="2"/>
  <c r="P1261" i="2"/>
  <c r="C1249" i="2"/>
  <c r="P1237" i="2"/>
  <c r="C1225" i="2"/>
  <c r="G1387" i="2"/>
  <c r="G1325" i="2"/>
  <c r="O1301" i="2"/>
  <c r="A1287" i="2"/>
  <c r="A1275" i="2"/>
  <c r="H1262" i="2"/>
  <c r="A1251" i="2"/>
  <c r="H1238" i="2"/>
  <c r="A1227" i="2"/>
  <c r="H1214" i="2"/>
  <c r="A1203" i="2"/>
  <c r="H1190" i="2"/>
  <c r="A1179" i="2"/>
  <c r="T1449" i="2"/>
  <c r="N1374" i="2"/>
  <c r="E1317" i="2"/>
  <c r="M1301" i="2"/>
  <c r="S1288" i="2"/>
  <c r="M1277" i="2"/>
  <c r="S1264" i="2"/>
  <c r="M1253" i="2"/>
  <c r="S1240" i="2"/>
  <c r="M1229" i="2"/>
  <c r="S1216" i="2"/>
  <c r="M1205" i="2"/>
  <c r="S1192" i="2"/>
  <c r="M1181" i="2"/>
  <c r="P1244" i="2"/>
  <c r="K1211" i="2"/>
  <c r="E1191" i="2"/>
  <c r="E1174" i="2"/>
  <c r="R1163" i="2"/>
  <c r="K1154" i="2"/>
  <c r="K1146" i="2"/>
  <c r="K1138" i="2"/>
  <c r="K1130" i="2"/>
  <c r="K1122" i="2"/>
  <c r="K1114" i="2"/>
  <c r="K1106" i="2"/>
  <c r="K1098" i="2"/>
  <c r="K1090" i="2"/>
  <c r="K1082" i="2"/>
  <c r="K1074" i="2"/>
  <c r="K1066" i="2"/>
  <c r="K1058" i="2"/>
  <c r="K1050" i="2"/>
  <c r="G1319" i="2"/>
  <c r="T1278" i="2"/>
  <c r="T1246" i="2"/>
  <c r="P1197" i="2"/>
  <c r="E1182" i="2"/>
  <c r="D1171" i="2"/>
  <c r="D1163" i="2"/>
  <c r="D1155" i="2"/>
  <c r="D1147" i="2"/>
  <c r="D1139" i="2"/>
  <c r="D1131" i="2"/>
  <c r="D1123" i="2"/>
  <c r="D1115" i="2"/>
  <c r="D1107" i="2"/>
  <c r="D1099" i="2"/>
  <c r="D1091" i="2"/>
  <c r="E1351" i="2"/>
  <c r="E1284" i="2"/>
  <c r="E1252" i="2"/>
  <c r="C1221" i="2"/>
  <c r="G1200" i="2"/>
  <c r="J1172" i="2"/>
  <c r="K1374" i="2"/>
  <c r="P1286" i="2"/>
  <c r="P1254" i="2"/>
  <c r="T1222" i="2"/>
  <c r="K1201" i="2"/>
  <c r="K1185" i="2"/>
  <c r="D1173" i="2"/>
  <c r="A1165" i="2"/>
  <c r="A1157" i="2"/>
  <c r="A1149" i="2"/>
  <c r="A1141" i="2"/>
  <c r="A1133" i="2"/>
  <c r="A1125" i="2"/>
  <c r="A1117" i="2"/>
  <c r="A1109" i="2"/>
  <c r="A1101" i="2"/>
  <c r="A1093" i="2"/>
  <c r="E1371" i="2"/>
  <c r="G1286" i="2"/>
  <c r="G1254" i="2"/>
  <c r="R1222" i="2"/>
  <c r="C1173" i="2"/>
  <c r="T1164" i="2"/>
  <c r="T1156" i="2"/>
  <c r="T1148" i="2"/>
  <c r="T1140" i="2"/>
  <c r="T1132" i="2"/>
  <c r="T1124" i="2"/>
  <c r="T1116" i="2"/>
  <c r="T1108" i="2"/>
  <c r="T1100" i="2"/>
  <c r="T1092" i="2"/>
  <c r="T1084" i="2"/>
  <c r="K1346" i="2"/>
  <c r="K1283" i="2"/>
  <c r="K1251" i="2"/>
  <c r="P1220" i="2"/>
  <c r="T1199" i="2"/>
  <c r="C1184" i="2"/>
  <c r="F1172" i="2"/>
  <c r="F1164" i="2"/>
  <c r="F1156" i="2"/>
  <c r="F1148" i="2"/>
  <c r="F1140" i="2"/>
  <c r="F1132" i="2"/>
  <c r="F1124" i="2"/>
  <c r="F1116" i="2"/>
  <c r="F1108" i="2"/>
  <c r="F1100" i="2"/>
  <c r="R1343" i="2"/>
  <c r="R1199" i="2"/>
  <c r="T1183" i="2"/>
  <c r="E1172" i="2"/>
  <c r="E1164" i="2"/>
  <c r="E1156" i="2"/>
  <c r="E1148" i="2"/>
  <c r="E1140" i="2"/>
  <c r="E1132" i="2"/>
  <c r="E1124" i="2"/>
  <c r="E1116" i="2"/>
  <c r="E1108" i="2"/>
  <c r="E1100" i="2"/>
  <c r="E1092" i="2"/>
  <c r="E1084" i="2"/>
  <c r="K1414" i="2"/>
  <c r="T1290" i="2"/>
  <c r="T1258" i="2"/>
  <c r="T1226" i="2"/>
  <c r="C1204" i="2"/>
  <c r="P1187" i="2"/>
  <c r="M1174" i="2"/>
  <c r="D1166" i="2"/>
  <c r="D1158" i="2"/>
  <c r="D1150" i="2"/>
  <c r="D1142" i="2"/>
  <c r="D1134" i="2"/>
  <c r="D1126" i="2"/>
  <c r="D1118" i="2"/>
  <c r="D1110" i="2"/>
  <c r="D1102" i="2"/>
  <c r="D1094" i="2"/>
  <c r="D1086" i="2"/>
  <c r="D1078" i="2"/>
  <c r="D1070" i="2"/>
  <c r="D1062" i="2"/>
  <c r="D1054" i="2"/>
  <c r="R1298" i="2"/>
  <c r="R1266" i="2"/>
  <c r="R1234" i="2"/>
  <c r="P1208" i="2"/>
  <c r="N1191" i="2"/>
  <c r="K1177" i="2"/>
  <c r="C1168" i="2"/>
  <c r="C1160" i="2"/>
  <c r="C1152" i="2"/>
  <c r="C1144" i="2"/>
  <c r="C1136" i="2"/>
  <c r="C1128" i="2"/>
  <c r="C1120" i="2"/>
  <c r="C1112" i="2"/>
  <c r="C1104" i="2"/>
  <c r="C1096" i="2"/>
  <c r="C1088" i="2"/>
  <c r="C1080" i="2"/>
  <c r="P1298" i="2"/>
  <c r="P1266" i="2"/>
  <c r="P1234" i="2"/>
  <c r="K1208" i="2"/>
  <c r="K1191" i="2"/>
  <c r="A1168" i="2"/>
  <c r="A1160" i="2"/>
  <c r="A1152" i="2"/>
  <c r="A1144" i="2"/>
  <c r="A1136" i="2"/>
  <c r="A1128" i="2"/>
  <c r="A1120" i="2"/>
  <c r="A1112" i="2"/>
  <c r="A1104" i="2"/>
  <c r="T1523" i="2"/>
  <c r="Q1543" i="2"/>
  <c r="Q1550" i="2"/>
  <c r="P1472" i="2"/>
  <c r="Q1409" i="2"/>
  <c r="T1466" i="2"/>
  <c r="A1429" i="2"/>
  <c r="K1531" i="2"/>
  <c r="G1338" i="2"/>
  <c r="S1414" i="2"/>
  <c r="M1331" i="2"/>
  <c r="G1447" i="2"/>
  <c r="R1368" i="2"/>
  <c r="G1526" i="2"/>
  <c r="J1415" i="2"/>
  <c r="J1351" i="2"/>
  <c r="R1518" i="2"/>
  <c r="C1406" i="2"/>
  <c r="P1388" i="2"/>
  <c r="C1372" i="2"/>
  <c r="C1356" i="2"/>
  <c r="N1565" i="2"/>
  <c r="S1446" i="2"/>
  <c r="A1416" i="2"/>
  <c r="A1384" i="2"/>
  <c r="A1352" i="2"/>
  <c r="A1320" i="2"/>
  <c r="E1486" i="2"/>
  <c r="S1423" i="2"/>
  <c r="S1391" i="2"/>
  <c r="S1359" i="2"/>
  <c r="S1327" i="2"/>
  <c r="T1365" i="2"/>
  <c r="J1291" i="2"/>
  <c r="J1259" i="2"/>
  <c r="J1227" i="2"/>
  <c r="J1195" i="2"/>
  <c r="R1413" i="2"/>
  <c r="T1306" i="2"/>
  <c r="G1312" i="2"/>
  <c r="H1279" i="2"/>
  <c r="H1247" i="2"/>
  <c r="H1215" i="2"/>
  <c r="H1183" i="2"/>
  <c r="E1349" i="2"/>
  <c r="N1288" i="2"/>
  <c r="N1256" i="2"/>
  <c r="N1224" i="2"/>
  <c r="N1420" i="2"/>
  <c r="F1308" i="2"/>
  <c r="S1275" i="2"/>
  <c r="S1243" i="2"/>
  <c r="S1211" i="2"/>
  <c r="E1464" i="2"/>
  <c r="O1306" i="2"/>
  <c r="K1274" i="2"/>
  <c r="K1242" i="2"/>
  <c r="J1611" i="2"/>
  <c r="P1310" i="2"/>
  <c r="D1285" i="2"/>
  <c r="D1261" i="2"/>
  <c r="D1237" i="2"/>
  <c r="Q1213" i="2"/>
  <c r="J1196" i="2"/>
  <c r="D1175" i="2"/>
  <c r="R1379" i="2"/>
  <c r="R1311" i="2"/>
  <c r="C1285" i="2"/>
  <c r="C1261" i="2"/>
  <c r="C1237" i="2"/>
  <c r="G1383" i="2"/>
  <c r="T1319" i="2"/>
  <c r="H1300" i="2"/>
  <c r="H1286" i="2"/>
  <c r="O1273" i="2"/>
  <c r="O1261" i="2"/>
  <c r="O1249" i="2"/>
  <c r="O1237" i="2"/>
  <c r="O1225" i="2"/>
  <c r="O1213" i="2"/>
  <c r="O1201" i="2"/>
  <c r="O1189" i="2"/>
  <c r="O1177" i="2"/>
  <c r="T1440" i="2"/>
  <c r="N1366" i="2"/>
  <c r="G1315" i="2"/>
  <c r="S1300" i="2"/>
  <c r="F1288" i="2"/>
  <c r="S1276" i="2"/>
  <c r="F1264" i="2"/>
  <c r="S1252" i="2"/>
  <c r="F1240" i="2"/>
  <c r="S1228" i="2"/>
  <c r="F1216" i="2"/>
  <c r="S1204" i="2"/>
  <c r="F1192" i="2"/>
  <c r="C1597" i="2"/>
  <c r="C1282" i="2"/>
  <c r="P1209" i="2"/>
  <c r="K1188" i="2"/>
  <c r="G1173" i="2"/>
  <c r="E1163" i="2"/>
  <c r="R1153" i="2"/>
  <c r="R1145" i="2"/>
  <c r="R1137" i="2"/>
  <c r="R1129" i="2"/>
  <c r="R1121" i="2"/>
  <c r="R1113" i="2"/>
  <c r="R1105" i="2"/>
  <c r="R1097" i="2"/>
  <c r="R1089" i="2"/>
  <c r="R1081" i="2"/>
  <c r="R1073" i="2"/>
  <c r="R1065" i="2"/>
  <c r="R1057" i="2"/>
  <c r="R1049" i="2"/>
  <c r="H1310" i="2"/>
  <c r="G1276" i="2"/>
  <c r="G1244" i="2"/>
  <c r="C1181" i="2"/>
  <c r="J1170" i="2"/>
  <c r="J1162" i="2"/>
  <c r="J1154" i="2"/>
  <c r="J1146" i="2"/>
  <c r="J1138" i="2"/>
  <c r="J1130" i="2"/>
  <c r="J1122" i="2"/>
  <c r="J1114" i="2"/>
  <c r="J1106" i="2"/>
  <c r="J1098" i="2"/>
  <c r="J1090" i="2"/>
  <c r="E1333" i="2"/>
  <c r="K1281" i="2"/>
  <c r="K1249" i="2"/>
  <c r="C1219" i="2"/>
  <c r="T1198" i="2"/>
  <c r="F1183" i="2"/>
  <c r="P1171" i="2"/>
  <c r="P1163" i="2"/>
  <c r="P1155" i="2"/>
  <c r="P1147" i="2"/>
  <c r="P1139" i="2"/>
  <c r="P1131" i="2"/>
  <c r="P1123" i="2"/>
  <c r="P1115" i="2"/>
  <c r="P1107" i="2"/>
  <c r="P1099" i="2"/>
  <c r="P1091" i="2"/>
  <c r="P1083" i="2"/>
  <c r="P1075" i="2"/>
  <c r="P1067" i="2"/>
  <c r="K1350" i="2"/>
  <c r="C1284" i="2"/>
  <c r="C1252" i="2"/>
  <c r="T1220" i="2"/>
  <c r="E1200" i="2"/>
  <c r="G1184" i="2"/>
  <c r="H1164" i="2"/>
  <c r="H1156" i="2"/>
  <c r="H1148" i="2"/>
  <c r="H1140" i="2"/>
  <c r="H1132" i="2"/>
  <c r="H1124" i="2"/>
  <c r="H1116" i="2"/>
  <c r="H1108" i="2"/>
  <c r="H1100" i="2"/>
  <c r="H1092" i="2"/>
  <c r="E1347" i="2"/>
  <c r="N1283" i="2"/>
  <c r="N1251" i="2"/>
  <c r="R1220" i="2"/>
  <c r="C1200" i="2"/>
  <c r="E1184" i="2"/>
  <c r="G1172" i="2"/>
  <c r="G1164" i="2"/>
  <c r="G1156" i="2"/>
  <c r="G1148" i="2"/>
  <c r="A1693" i="2"/>
  <c r="N1496" i="2"/>
  <c r="D1523" i="2"/>
  <c r="D1550" i="2"/>
  <c r="R1583" i="2"/>
  <c r="P1508" i="2"/>
  <c r="P1490" i="2"/>
  <c r="J1402" i="2"/>
  <c r="T1450" i="2"/>
  <c r="H1428" i="2"/>
  <c r="K1527" i="2"/>
  <c r="N1337" i="2"/>
  <c r="S1412" i="2"/>
  <c r="M1327" i="2"/>
  <c r="N1445" i="2"/>
  <c r="E1368" i="2"/>
  <c r="G1522" i="2"/>
  <c r="J1401" i="2"/>
  <c r="J1337" i="2"/>
  <c r="K1481" i="2"/>
  <c r="C1388" i="2"/>
  <c r="N1525" i="2"/>
  <c r="G1445" i="2"/>
  <c r="H1409" i="2"/>
  <c r="H1377" i="2"/>
  <c r="H1345" i="2"/>
  <c r="H1313" i="2"/>
  <c r="K1483" i="2"/>
  <c r="F1423" i="2"/>
  <c r="F1391" i="2"/>
  <c r="F1359" i="2"/>
  <c r="F1327" i="2"/>
  <c r="T1361" i="2"/>
  <c r="Q1290" i="2"/>
  <c r="Q1258" i="2"/>
  <c r="Q1226" i="2"/>
  <c r="Q1194" i="2"/>
  <c r="R1409" i="2"/>
  <c r="R1446" i="2"/>
  <c r="O1278" i="2"/>
  <c r="O1246" i="2"/>
  <c r="O1214" i="2"/>
  <c r="O1182" i="2"/>
  <c r="E1345" i="2"/>
  <c r="T1287" i="2"/>
  <c r="T1255" i="2"/>
  <c r="T1223" i="2"/>
  <c r="N1416" i="2"/>
  <c r="F1301" i="2"/>
  <c r="F1269" i="2"/>
  <c r="F1237" i="2"/>
  <c r="F1205" i="2"/>
  <c r="T1305" i="2"/>
  <c r="R1273" i="2"/>
  <c r="R1241" i="2"/>
  <c r="K1565" i="2"/>
  <c r="R1309" i="2"/>
  <c r="J1284" i="2"/>
  <c r="J1260" i="2"/>
  <c r="J1236" i="2"/>
  <c r="D1213" i="2"/>
  <c r="J1192" i="2"/>
  <c r="Q1173" i="2"/>
  <c r="R1375" i="2"/>
  <c r="O1310" i="2"/>
  <c r="P1295" i="2"/>
  <c r="P1271" i="2"/>
  <c r="P1247" i="2"/>
  <c r="K1598" i="2"/>
  <c r="G1379" i="2"/>
  <c r="O1299" i="2"/>
  <c r="O1285" i="2"/>
  <c r="H1272" i="2"/>
  <c r="H1260" i="2"/>
  <c r="H1248" i="2"/>
  <c r="H1236" i="2"/>
  <c r="H1224" i="2"/>
  <c r="H1212" i="2"/>
  <c r="H1200" i="2"/>
  <c r="H1188" i="2"/>
  <c r="H1176" i="2"/>
  <c r="N1430" i="2"/>
  <c r="N1358" i="2"/>
  <c r="S1313" i="2"/>
  <c r="M1299" i="2"/>
  <c r="M1287" i="2"/>
  <c r="M1275" i="2"/>
  <c r="M1263" i="2"/>
  <c r="M1251" i="2"/>
  <c r="M1239" i="2"/>
  <c r="M1227" i="2"/>
  <c r="M1215" i="2"/>
  <c r="M1203" i="2"/>
  <c r="M1191" i="2"/>
  <c r="E1427" i="2"/>
  <c r="P1236" i="2"/>
  <c r="E1208" i="2"/>
  <c r="E1187" i="2"/>
  <c r="R1171" i="2"/>
  <c r="K1162" i="2"/>
  <c r="E1153" i="2"/>
  <c r="E1145" i="2"/>
  <c r="E1137" i="2"/>
  <c r="E1129" i="2"/>
  <c r="E1121" i="2"/>
  <c r="E1113" i="2"/>
  <c r="E1105" i="2"/>
  <c r="E1097" i="2"/>
  <c r="E1089" i="2"/>
  <c r="E1081" i="2"/>
  <c r="E1073" i="2"/>
  <c r="E1065" i="2"/>
  <c r="E1057" i="2"/>
  <c r="E1049" i="2"/>
  <c r="P1305" i="2"/>
  <c r="N1273" i="2"/>
  <c r="N1241" i="2"/>
  <c r="C1195" i="2"/>
  <c r="C1180" i="2"/>
  <c r="Q1169" i="2"/>
  <c r="Q1161" i="2"/>
  <c r="Q1153" i="2"/>
  <c r="Q1145" i="2"/>
  <c r="Q1137" i="2"/>
  <c r="Q1129" i="2"/>
  <c r="Q1121" i="2"/>
  <c r="Q1113" i="2"/>
  <c r="Q1105" i="2"/>
  <c r="Q1097" i="2"/>
  <c r="Q1089" i="2"/>
  <c r="G1317" i="2"/>
  <c r="R1278" i="2"/>
  <c r="R1246" i="2"/>
  <c r="C1217" i="2"/>
  <c r="N1197" i="2"/>
  <c r="C1182" i="2"/>
  <c r="C1171" i="2"/>
  <c r="C1163" i="2"/>
  <c r="C1155" i="2"/>
  <c r="C1147" i="2"/>
  <c r="C1139" i="2"/>
  <c r="C1131" i="2"/>
  <c r="C1123" i="2"/>
  <c r="C1115" i="2"/>
  <c r="C1107" i="2"/>
  <c r="C1099" i="2"/>
  <c r="C1091" i="2"/>
  <c r="C1083" i="2"/>
  <c r="C1075" i="2"/>
  <c r="C1067" i="2"/>
  <c r="N1332" i="2"/>
  <c r="T1218" i="2"/>
  <c r="R1198" i="2"/>
  <c r="E1183" i="2"/>
  <c r="O1171" i="2"/>
  <c r="O1163" i="2"/>
  <c r="O1155" i="2"/>
  <c r="O1147" i="2"/>
  <c r="O1139" i="2"/>
  <c r="O1131" i="2"/>
  <c r="O1123" i="2"/>
  <c r="O1115" i="2"/>
  <c r="O1107" i="2"/>
  <c r="O1099" i="2"/>
  <c r="O1091" i="2"/>
  <c r="K1330" i="2"/>
  <c r="T1280" i="2"/>
  <c r="T1248" i="2"/>
  <c r="R1218" i="2"/>
  <c r="P1198" i="2"/>
  <c r="C1183" i="2"/>
  <c r="N1171" i="2"/>
  <c r="N1163" i="2"/>
  <c r="N1155" i="2"/>
  <c r="N1147" i="2"/>
  <c r="N1139" i="2"/>
  <c r="N1131" i="2"/>
  <c r="N1123" i="2"/>
  <c r="N1115" i="2"/>
  <c r="N1107" i="2"/>
  <c r="N1099" i="2"/>
  <c r="N1091" i="2"/>
  <c r="N1083" i="2"/>
  <c r="E1315" i="2"/>
  <c r="E1278" i="2"/>
  <c r="E1246" i="2"/>
  <c r="P1216" i="2"/>
  <c r="G1197" i="2"/>
  <c r="R1181" i="2"/>
  <c r="S1170" i="2"/>
  <c r="S1162" i="2"/>
  <c r="S1154" i="2"/>
  <c r="S1146" i="2"/>
  <c r="S1138" i="2"/>
  <c r="S1130" i="2"/>
  <c r="S1122" i="2"/>
  <c r="S1114" i="2"/>
  <c r="S1106" i="2"/>
  <c r="S1098" i="2"/>
  <c r="T1313" i="2"/>
  <c r="C1278" i="2"/>
  <c r="C1246" i="2"/>
  <c r="E1197" i="2"/>
  <c r="P1181" i="2"/>
  <c r="R1170" i="2"/>
  <c r="R1162" i="2"/>
  <c r="R1154" i="2"/>
  <c r="R1146" i="2"/>
  <c r="R1138" i="2"/>
  <c r="R1130" i="2"/>
  <c r="R1122" i="2"/>
  <c r="R1114" i="2"/>
  <c r="R1106" i="2"/>
  <c r="R1098" i="2"/>
  <c r="R1090" i="2"/>
  <c r="R1082" i="2"/>
  <c r="K1366" i="2"/>
  <c r="N1285" i="2"/>
  <c r="N1253" i="2"/>
  <c r="G1222" i="2"/>
  <c r="C1201" i="2"/>
  <c r="C1185" i="2"/>
  <c r="R1172" i="2"/>
  <c r="Q1164" i="2"/>
  <c r="Q1156" i="2"/>
  <c r="Q1148" i="2"/>
  <c r="Q1140" i="2"/>
  <c r="Q1132" i="2"/>
  <c r="Q1124" i="2"/>
  <c r="Q1116" i="2"/>
  <c r="Q1108" i="2"/>
  <c r="Q1100" i="2"/>
  <c r="Q1092" i="2"/>
  <c r="Q1084" i="2"/>
  <c r="Q1076" i="2"/>
  <c r="Q1068" i="2"/>
  <c r="Q1060" i="2"/>
  <c r="R1435" i="2"/>
  <c r="K1293" i="2"/>
  <c r="K1261" i="2"/>
  <c r="K1229" i="2"/>
  <c r="K1205" i="2"/>
  <c r="T1188" i="2"/>
  <c r="K1175" i="2"/>
  <c r="P1166" i="2"/>
  <c r="P1158" i="2"/>
  <c r="P1150" i="2"/>
  <c r="P1142" i="2"/>
  <c r="S1656" i="2"/>
  <c r="R1571" i="2"/>
  <c r="J1626" i="2"/>
  <c r="C1508" i="2"/>
  <c r="J1376" i="2"/>
  <c r="H1396" i="2"/>
  <c r="R1424" i="2"/>
  <c r="J1335" i="2"/>
  <c r="P1370" i="2"/>
  <c r="O1408" i="2"/>
  <c r="F1464" i="2"/>
  <c r="M1320" i="2"/>
  <c r="D1220" i="2"/>
  <c r="A1240" i="2"/>
  <c r="N1314" i="2"/>
  <c r="N1368" i="2"/>
  <c r="F1229" i="2"/>
  <c r="E1273" i="2"/>
  <c r="D1279" i="2"/>
  <c r="D1191" i="2"/>
  <c r="D1305" i="2"/>
  <c r="N1310" i="2"/>
  <c r="O1257" i="2"/>
  <c r="O1209" i="2"/>
  <c r="N1414" i="2"/>
  <c r="S1296" i="2"/>
  <c r="S1248" i="2"/>
  <c r="S1200" i="2"/>
  <c r="P1276" i="2"/>
  <c r="R1201" i="2"/>
  <c r="E1151" i="2"/>
  <c r="E1119" i="2"/>
  <c r="E1087" i="2"/>
  <c r="E1055" i="2"/>
  <c r="N1233" i="2"/>
  <c r="J1160" i="2"/>
  <c r="J1128" i="2"/>
  <c r="J1096" i="2"/>
  <c r="K1241" i="2"/>
  <c r="K1305" i="2"/>
  <c r="S1179" i="2"/>
  <c r="H1146" i="2"/>
  <c r="H1114" i="2"/>
  <c r="N1308" i="2"/>
  <c r="N1169" i="2"/>
  <c r="G1138" i="2"/>
  <c r="G1114" i="2"/>
  <c r="G1090" i="2"/>
  <c r="R1272" i="2"/>
  <c r="N1194" i="2"/>
  <c r="M1161" i="2"/>
  <c r="M1137" i="2"/>
  <c r="M1113" i="2"/>
  <c r="P1304" i="2"/>
  <c r="N1179" i="2"/>
  <c r="K1157" i="2"/>
  <c r="K1139" i="2"/>
  <c r="K1125" i="2"/>
  <c r="R1112" i="2"/>
  <c r="E1098" i="2"/>
  <c r="R1084" i="2"/>
  <c r="G1304" i="2"/>
  <c r="G1248" i="2"/>
  <c r="E1207" i="2"/>
  <c r="P1182" i="2"/>
  <c r="J1167" i="2"/>
  <c r="J1155" i="2"/>
  <c r="J1143" i="2"/>
  <c r="J1131" i="2"/>
  <c r="J1119" i="2"/>
  <c r="J1107" i="2"/>
  <c r="J1095" i="2"/>
  <c r="J1083" i="2"/>
  <c r="J1071" i="2"/>
  <c r="J1059" i="2"/>
  <c r="E1304" i="2"/>
  <c r="E1256" i="2"/>
  <c r="E1212" i="2"/>
  <c r="G1186" i="2"/>
  <c r="P1134" i="2"/>
  <c r="C1106" i="2"/>
  <c r="P1096" i="2"/>
  <c r="P1086" i="2"/>
  <c r="K1386" i="2"/>
  <c r="C1280" i="2"/>
  <c r="P1242" i="2"/>
  <c r="E1210" i="2"/>
  <c r="R1188" i="2"/>
  <c r="O1164" i="2"/>
  <c r="O1154" i="2"/>
  <c r="H1145" i="2"/>
  <c r="H1135" i="2"/>
  <c r="A1126" i="2"/>
  <c r="O1116" i="2"/>
  <c r="O1106" i="2"/>
  <c r="H1097" i="2"/>
  <c r="H1089" i="2"/>
  <c r="H1081" i="2"/>
  <c r="H1073" i="2"/>
  <c r="H1065" i="2"/>
  <c r="K1322" i="2"/>
  <c r="G1171" i="2"/>
  <c r="G1123" i="2"/>
  <c r="H1084" i="2"/>
  <c r="J1070" i="2"/>
  <c r="A1059" i="2"/>
  <c r="P1049" i="2"/>
  <c r="M1041" i="2"/>
  <c r="M1033" i="2"/>
  <c r="M1025" i="2"/>
  <c r="M1017" i="2"/>
  <c r="M1009" i="2"/>
  <c r="M1001" i="2"/>
  <c r="M993" i="2"/>
  <c r="N1217" i="2"/>
  <c r="F1147" i="2"/>
  <c r="F1099" i="2"/>
  <c r="H1076" i="2"/>
  <c r="H1064" i="2"/>
  <c r="C1054" i="2"/>
  <c r="K1045" i="2"/>
  <c r="K1037" i="2"/>
  <c r="K1029" i="2"/>
  <c r="K1021" i="2"/>
  <c r="K1013" i="2"/>
  <c r="K1005" i="2"/>
  <c r="K997" i="2"/>
  <c r="K989" i="2"/>
  <c r="K981" i="2"/>
  <c r="K973" i="2"/>
  <c r="K965" i="2"/>
  <c r="K957" i="2"/>
  <c r="K949" i="2"/>
  <c r="K941" i="2"/>
  <c r="K933" i="2"/>
  <c r="T1260" i="2"/>
  <c r="N1158" i="2"/>
  <c r="N1110" i="2"/>
  <c r="M1079" i="2"/>
  <c r="G1067" i="2"/>
  <c r="J1047" i="2"/>
  <c r="J1039" i="2"/>
  <c r="J1031" i="2"/>
  <c r="J1023" i="2"/>
  <c r="J1015" i="2"/>
  <c r="J1007" i="2"/>
  <c r="J999" i="2"/>
  <c r="J991" i="2"/>
  <c r="J983" i="2"/>
  <c r="J975" i="2"/>
  <c r="J967" i="2"/>
  <c r="J959" i="2"/>
  <c r="J951" i="2"/>
  <c r="J943" i="2"/>
  <c r="K1430" i="2"/>
  <c r="F1175" i="2"/>
  <c r="M1126" i="2"/>
  <c r="M1085" i="2"/>
  <c r="F1071" i="2"/>
  <c r="O1059" i="2"/>
  <c r="G1050" i="2"/>
  <c r="C1042" i="2"/>
  <c r="C1034" i="2"/>
  <c r="C1026" i="2"/>
  <c r="C1018" i="2"/>
  <c r="C1010" i="2"/>
  <c r="C1002" i="2"/>
  <c r="C994" i="2"/>
  <c r="G1226" i="2"/>
  <c r="T1149" i="2"/>
  <c r="T1101" i="2"/>
  <c r="D1077" i="2"/>
  <c r="D1065" i="2"/>
  <c r="O1054" i="2"/>
  <c r="A1046" i="2"/>
  <c r="A1038" i="2"/>
  <c r="A1030" i="2"/>
  <c r="A1022" i="2"/>
  <c r="A1014" i="2"/>
  <c r="A1006" i="2"/>
  <c r="A998" i="2"/>
  <c r="A990" i="2"/>
  <c r="A982" i="2"/>
  <c r="A974" i="2"/>
  <c r="A966" i="2"/>
  <c r="A958" i="2"/>
  <c r="A950" i="2"/>
  <c r="A942" i="2"/>
  <c r="A934" i="2"/>
  <c r="E1274" i="2"/>
  <c r="S1161" i="2"/>
  <c r="S1113" i="2"/>
  <c r="J1080" i="2"/>
  <c r="C1068" i="2"/>
  <c r="A1057" i="2"/>
  <c r="A1048" i="2"/>
  <c r="T1039" i="2"/>
  <c r="T1031" i="2"/>
  <c r="T1023" i="2"/>
  <c r="T1015" i="2"/>
  <c r="T1007" i="2"/>
  <c r="T999" i="2"/>
  <c r="P1211" i="2"/>
  <c r="G1145" i="2"/>
  <c r="G1097" i="2"/>
  <c r="T1075" i="2"/>
  <c r="T1063" i="2"/>
  <c r="P1053" i="2"/>
  <c r="F1045" i="2"/>
  <c r="F1037" i="2"/>
  <c r="F1029" i="2"/>
  <c r="F1021" i="2"/>
  <c r="F1013" i="2"/>
  <c r="F1005" i="2"/>
  <c r="F997" i="2"/>
  <c r="F989" i="2"/>
  <c r="F981" i="2"/>
  <c r="F973" i="2"/>
  <c r="N1223" i="2"/>
  <c r="F1149" i="2"/>
  <c r="F1101" i="2"/>
  <c r="S1076" i="2"/>
  <c r="S1064" i="2"/>
  <c r="J1054" i="2"/>
  <c r="R1045" i="2"/>
  <c r="R1037" i="2"/>
  <c r="R1029" i="2"/>
  <c r="R1021" i="2"/>
  <c r="R1013" i="2"/>
  <c r="R1005" i="2"/>
  <c r="R997" i="2"/>
  <c r="R989" i="2"/>
  <c r="R981" i="2"/>
  <c r="R973" i="2"/>
  <c r="R965" i="2"/>
  <c r="T1236" i="2"/>
  <c r="N1152" i="2"/>
  <c r="N1104" i="2"/>
  <c r="Q1077" i="2"/>
  <c r="Q1065" i="2"/>
  <c r="F1055" i="2"/>
  <c r="J1046" i="2"/>
  <c r="J1038" i="2"/>
  <c r="J1030" i="2"/>
  <c r="J1022" i="2"/>
  <c r="J1014" i="2"/>
  <c r="J1006" i="2"/>
  <c r="J998" i="2"/>
  <c r="J990" i="2"/>
  <c r="J982" i="2"/>
  <c r="J974" i="2"/>
  <c r="J966" i="2"/>
  <c r="J958" i="2"/>
  <c r="J950" i="2"/>
  <c r="J942" i="2"/>
  <c r="K1358" i="2"/>
  <c r="P1070" i="2"/>
  <c r="P1033" i="2"/>
  <c r="P1001" i="2"/>
  <c r="G981" i="2"/>
  <c r="S965" i="2"/>
  <c r="G953" i="2"/>
  <c r="G941" i="2"/>
  <c r="K930" i="2"/>
  <c r="E922" i="2"/>
  <c r="E914" i="2"/>
  <c r="E906" i="2"/>
  <c r="E898" i="2"/>
  <c r="E890" i="2"/>
  <c r="E882" i="2"/>
  <c r="E874" i="2"/>
  <c r="E866" i="2"/>
  <c r="E858" i="2"/>
  <c r="E850" i="2"/>
  <c r="E842" i="2"/>
  <c r="E834" i="2"/>
  <c r="E826" i="2"/>
  <c r="G1093" i="2"/>
  <c r="H1044" i="2"/>
  <c r="H1012" i="2"/>
  <c r="F957" i="2"/>
  <c r="F945" i="2"/>
  <c r="O933" i="2"/>
  <c r="Q924" i="2"/>
  <c r="Q916" i="2"/>
  <c r="Q908" i="2"/>
  <c r="Q900" i="2"/>
  <c r="Q892" i="2"/>
  <c r="Q884" i="2"/>
  <c r="Q876" i="2"/>
  <c r="Q868" i="2"/>
  <c r="Q860" i="2"/>
  <c r="Q852" i="2"/>
  <c r="Q844" i="2"/>
  <c r="Q836" i="2"/>
  <c r="Q828" i="2"/>
  <c r="N1078" i="2"/>
  <c r="T1038" i="2"/>
  <c r="T1006" i="2"/>
  <c r="O983" i="2"/>
  <c r="T967" i="2"/>
  <c r="E955" i="2"/>
  <c r="E943" i="2"/>
  <c r="T931" i="2"/>
  <c r="S1090" i="2"/>
  <c r="P1043" i="2"/>
  <c r="P1011" i="2"/>
  <c r="G986" i="2"/>
  <c r="G970" i="2"/>
  <c r="M1651" i="2"/>
  <c r="E1551" i="2"/>
  <c r="Q1369" i="2"/>
  <c r="K1523" i="2"/>
  <c r="F1412" i="2"/>
  <c r="R1366" i="2"/>
  <c r="J1321" i="2"/>
  <c r="A1408" i="2"/>
  <c r="N1462" i="2"/>
  <c r="S1319" i="2"/>
  <c r="J1219" i="2"/>
  <c r="T1438" i="2"/>
  <c r="H1239" i="2"/>
  <c r="G1281" i="2"/>
  <c r="M1204" i="2"/>
  <c r="K1266" i="2"/>
  <c r="Q1277" i="2"/>
  <c r="Q1189" i="2"/>
  <c r="P1245" i="2"/>
  <c r="A1299" i="2"/>
  <c r="A1247" i="2"/>
  <c r="A1199" i="2"/>
  <c r="N1350" i="2"/>
  <c r="F1296" i="2"/>
  <c r="F1248" i="2"/>
  <c r="F1200" i="2"/>
  <c r="R1185" i="2"/>
  <c r="K1144" i="2"/>
  <c r="K1112" i="2"/>
  <c r="K1080" i="2"/>
  <c r="K1048" i="2"/>
  <c r="P1193" i="2"/>
  <c r="Q1159" i="2"/>
  <c r="Q1127" i="2"/>
  <c r="Q1095" i="2"/>
  <c r="R1238" i="2"/>
  <c r="P1169" i="2"/>
  <c r="P1153" i="2"/>
  <c r="P1137" i="2"/>
  <c r="P1121" i="2"/>
  <c r="P1105" i="2"/>
  <c r="P1089" i="2"/>
  <c r="P1073" i="2"/>
  <c r="O1145" i="2"/>
  <c r="O1113" i="2"/>
  <c r="A1305" i="2"/>
  <c r="T1162" i="2"/>
  <c r="N1137" i="2"/>
  <c r="N1113" i="2"/>
  <c r="N1089" i="2"/>
  <c r="E1270" i="2"/>
  <c r="G1193" i="2"/>
  <c r="S1160" i="2"/>
  <c r="S1136" i="2"/>
  <c r="S1112" i="2"/>
  <c r="C1302" i="2"/>
  <c r="P1248" i="2"/>
  <c r="N1178" i="2"/>
  <c r="K1155" i="2"/>
  <c r="E1138" i="2"/>
  <c r="R1124" i="2"/>
  <c r="K1111" i="2"/>
  <c r="K1097" i="2"/>
  <c r="K1083" i="2"/>
  <c r="G1296" i="2"/>
  <c r="N1245" i="2"/>
  <c r="N1205" i="2"/>
  <c r="N1181" i="2"/>
  <c r="Q1166" i="2"/>
  <c r="Q1154" i="2"/>
  <c r="Q1142" i="2"/>
  <c r="Q1130" i="2"/>
  <c r="Q1118" i="2"/>
  <c r="Q1106" i="2"/>
  <c r="Q1094" i="2"/>
  <c r="Q1082" i="2"/>
  <c r="Q1070" i="2"/>
  <c r="Q1058" i="2"/>
  <c r="K1301" i="2"/>
  <c r="K1253" i="2"/>
  <c r="G1210" i="2"/>
  <c r="T1184" i="2"/>
  <c r="P1168" i="2"/>
  <c r="P1156" i="2"/>
  <c r="P1144" i="2"/>
  <c r="C1134" i="2"/>
  <c r="P1124" i="2"/>
  <c r="P1114" i="2"/>
  <c r="C1086" i="2"/>
  <c r="K1362" i="2"/>
  <c r="C1240" i="2"/>
  <c r="T1206" i="2"/>
  <c r="K1187" i="2"/>
  <c r="K1173" i="2"/>
  <c r="H1163" i="2"/>
  <c r="A1154" i="2"/>
  <c r="O1144" i="2"/>
  <c r="O1134" i="2"/>
  <c r="H1125" i="2"/>
  <c r="H1115" i="2"/>
  <c r="A1106" i="2"/>
  <c r="O1096" i="2"/>
  <c r="O1088" i="2"/>
  <c r="O1080" i="2"/>
  <c r="O1072" i="2"/>
  <c r="O1064" i="2"/>
  <c r="N1295" i="2"/>
  <c r="G1167" i="2"/>
  <c r="G1119" i="2"/>
  <c r="N1082" i="2"/>
  <c r="K1069" i="2"/>
  <c r="E1058" i="2"/>
  <c r="A1049" i="2"/>
  <c r="S1040" i="2"/>
  <c r="S1032" i="2"/>
  <c r="S1024" i="2"/>
  <c r="S1016" i="2"/>
  <c r="S1008" i="2"/>
  <c r="S1000" i="2"/>
  <c r="S992" i="2"/>
  <c r="P1206" i="2"/>
  <c r="F1143" i="2"/>
  <c r="G1095" i="2"/>
  <c r="H1053" i="2"/>
  <c r="R1044" i="2"/>
  <c r="R1036" i="2"/>
  <c r="R1028" i="2"/>
  <c r="R1020" i="2"/>
  <c r="R1012" i="2"/>
  <c r="R1004" i="2"/>
  <c r="R996" i="2"/>
  <c r="R988" i="2"/>
  <c r="R980" i="2"/>
  <c r="R972" i="2"/>
  <c r="R964" i="2"/>
  <c r="R956" i="2"/>
  <c r="R948" i="2"/>
  <c r="R940" i="2"/>
  <c r="R932" i="2"/>
  <c r="T1244" i="2"/>
  <c r="N1154" i="2"/>
  <c r="N1106" i="2"/>
  <c r="H1078" i="2"/>
  <c r="G1066" i="2"/>
  <c r="N1055" i="2"/>
  <c r="Q1046" i="2"/>
  <c r="Q1038" i="2"/>
  <c r="Q1030" i="2"/>
  <c r="Q1022" i="2"/>
  <c r="Q1014" i="2"/>
  <c r="Q1006" i="2"/>
  <c r="Q998" i="2"/>
  <c r="Q990" i="2"/>
  <c r="Q982" i="2"/>
  <c r="Q974" i="2"/>
  <c r="Q966" i="2"/>
  <c r="Q958" i="2"/>
  <c r="Q950" i="2"/>
  <c r="Q942" i="2"/>
  <c r="M1170" i="2"/>
  <c r="M1122" i="2"/>
  <c r="S1083" i="2"/>
  <c r="F1070" i="2"/>
  <c r="R1058" i="2"/>
  <c r="M1049" i="2"/>
  <c r="P1213" i="2"/>
  <c r="T1145" i="2"/>
  <c r="T1097" i="2"/>
  <c r="E1076" i="2"/>
  <c r="E1064" i="2"/>
  <c r="S1053" i="2"/>
  <c r="H1045" i="2"/>
  <c r="H1037" i="2"/>
  <c r="H1029" i="2"/>
  <c r="H1021" i="2"/>
  <c r="H1013" i="2"/>
  <c r="H1005" i="2"/>
  <c r="H997" i="2"/>
  <c r="H989" i="2"/>
  <c r="H981" i="2"/>
  <c r="H973" i="2"/>
  <c r="H965" i="2"/>
  <c r="H957" i="2"/>
  <c r="H949" i="2"/>
  <c r="H941" i="2"/>
  <c r="H933" i="2"/>
  <c r="E1258" i="2"/>
  <c r="S1157" i="2"/>
  <c r="S1109" i="2"/>
  <c r="F1079" i="2"/>
  <c r="A1067" i="2"/>
  <c r="F1056" i="2"/>
  <c r="G1047" i="2"/>
  <c r="G1039" i="2"/>
  <c r="G1031" i="2"/>
  <c r="G1023" i="2"/>
  <c r="G1015" i="2"/>
  <c r="G1007" i="2"/>
  <c r="G999" i="2"/>
  <c r="C1202" i="2"/>
  <c r="G1141" i="2"/>
  <c r="F1094" i="2"/>
  <c r="T1074" i="2"/>
  <c r="A1063" i="2"/>
  <c r="A1053" i="2"/>
  <c r="M1044" i="2"/>
  <c r="M1036" i="2"/>
  <c r="M1028" i="2"/>
  <c r="M1020" i="2"/>
  <c r="M1012" i="2"/>
  <c r="M1004" i="2"/>
  <c r="M996" i="2"/>
  <c r="M988" i="2"/>
  <c r="M980" i="2"/>
  <c r="M972" i="2"/>
  <c r="N1211" i="2"/>
  <c r="F1145" i="2"/>
  <c r="F1097" i="2"/>
  <c r="S1075" i="2"/>
  <c r="S1063" i="2"/>
  <c r="O1053" i="2"/>
  <c r="E1045" i="2"/>
  <c r="E1037" i="2"/>
  <c r="E1029" i="2"/>
  <c r="E1021" i="2"/>
  <c r="E1013" i="2"/>
  <c r="E1005" i="2"/>
  <c r="E997" i="2"/>
  <c r="E989" i="2"/>
  <c r="E981" i="2"/>
  <c r="E973" i="2"/>
  <c r="E965" i="2"/>
  <c r="P1221" i="2"/>
  <c r="N1148" i="2"/>
  <c r="N1100" i="2"/>
  <c r="R1076" i="2"/>
  <c r="R1064" i="2"/>
  <c r="Q1045" i="2"/>
  <c r="Q1037" i="2"/>
  <c r="Q1029" i="2"/>
  <c r="Q1021" i="2"/>
  <c r="Q1013" i="2"/>
  <c r="Q1005" i="2"/>
  <c r="Q997" i="2"/>
  <c r="Q989" i="2"/>
  <c r="Q981" i="2"/>
  <c r="Q973" i="2"/>
  <c r="Q965" i="2"/>
  <c r="Q957" i="2"/>
  <c r="Q949" i="2"/>
  <c r="Q941" i="2"/>
  <c r="R1252" i="2"/>
  <c r="P1066" i="2"/>
  <c r="C1031" i="2"/>
  <c r="C999" i="2"/>
  <c r="T979" i="2"/>
  <c r="P964" i="2"/>
  <c r="H952" i="2"/>
  <c r="H940" i="2"/>
  <c r="P929" i="2"/>
  <c r="K921" i="2"/>
  <c r="K913" i="2"/>
  <c r="K905" i="2"/>
  <c r="K897" i="2"/>
  <c r="K889" i="2"/>
  <c r="K881" i="2"/>
  <c r="K873" i="2"/>
  <c r="K865" i="2"/>
  <c r="K857" i="2"/>
  <c r="K849" i="2"/>
  <c r="K841" i="2"/>
  <c r="K833" i="2"/>
  <c r="K825" i="2"/>
  <c r="M1084" i="2"/>
  <c r="O1041" i="2"/>
  <c r="O1009" i="2"/>
  <c r="C985" i="2"/>
  <c r="F969" i="2"/>
  <c r="G956" i="2"/>
  <c r="G944" i="2"/>
  <c r="S932" i="2"/>
  <c r="D924" i="2"/>
  <c r="D916" i="2"/>
  <c r="D908" i="2"/>
  <c r="D900" i="2"/>
  <c r="D892" i="2"/>
  <c r="D884" i="2"/>
  <c r="D876" i="2"/>
  <c r="D868" i="2"/>
  <c r="D860" i="2"/>
  <c r="D852" i="2"/>
  <c r="D844" i="2"/>
  <c r="D836" i="2"/>
  <c r="D828" i="2"/>
  <c r="M1074" i="2"/>
  <c r="G1036" i="2"/>
  <c r="G1004" i="2"/>
  <c r="H982" i="2"/>
  <c r="S966" i="2"/>
  <c r="F954" i="2"/>
  <c r="F942" i="2"/>
  <c r="E931" i="2"/>
  <c r="P922" i="2"/>
  <c r="P914" i="2"/>
  <c r="P906" i="2"/>
  <c r="P898" i="2"/>
  <c r="P890" i="2"/>
  <c r="P882" i="2"/>
  <c r="P874" i="2"/>
  <c r="P866" i="2"/>
  <c r="O1569" i="2"/>
  <c r="C1526" i="2"/>
  <c r="K1449" i="2"/>
  <c r="K1434" i="2"/>
  <c r="S1390" i="2"/>
  <c r="R1352" i="2"/>
  <c r="K1477" i="2"/>
  <c r="H1401" i="2"/>
  <c r="T1460" i="2"/>
  <c r="F1319" i="2"/>
  <c r="Q1218" i="2"/>
  <c r="O1238" i="2"/>
  <c r="N1280" i="2"/>
  <c r="S1203" i="2"/>
  <c r="R1265" i="2"/>
  <c r="D1277" i="2"/>
  <c r="D1189" i="2"/>
  <c r="C1245" i="2"/>
  <c r="O1297" i="2"/>
  <c r="H1246" i="2"/>
  <c r="H1198" i="2"/>
  <c r="N1346" i="2"/>
  <c r="F1286" i="2"/>
  <c r="F1238" i="2"/>
  <c r="F1190" i="2"/>
  <c r="P1268" i="2"/>
  <c r="R1143" i="2"/>
  <c r="R1111" i="2"/>
  <c r="R1079" i="2"/>
  <c r="R1047" i="2"/>
  <c r="D1153" i="2"/>
  <c r="D1121" i="2"/>
  <c r="D1089" i="2"/>
  <c r="C1215" i="2"/>
  <c r="C1169" i="2"/>
  <c r="C1153" i="2"/>
  <c r="C1137" i="2"/>
  <c r="C1121" i="2"/>
  <c r="C1105" i="2"/>
  <c r="C1089" i="2"/>
  <c r="C1073" i="2"/>
  <c r="A1171" i="2"/>
  <c r="A1139" i="2"/>
  <c r="A1107" i="2"/>
  <c r="G1278" i="2"/>
  <c r="C1196" i="2"/>
  <c r="G1162" i="2"/>
  <c r="G1132" i="2"/>
  <c r="G1108" i="2"/>
  <c r="G1084" i="2"/>
  <c r="R1248" i="2"/>
  <c r="T1182" i="2"/>
  <c r="M1155" i="2"/>
  <c r="M1131" i="2"/>
  <c r="M1107" i="2"/>
  <c r="K1210" i="2"/>
  <c r="P1173" i="2"/>
  <c r="E1154" i="2"/>
  <c r="K1137" i="2"/>
  <c r="K1123" i="2"/>
  <c r="K1109" i="2"/>
  <c r="R1096" i="2"/>
  <c r="E1082" i="2"/>
  <c r="N1293" i="2"/>
  <c r="G1240" i="2"/>
  <c r="M1179" i="2"/>
  <c r="J1165" i="2"/>
  <c r="J1153" i="2"/>
  <c r="J1141" i="2"/>
  <c r="J1129" i="2"/>
  <c r="J1117" i="2"/>
  <c r="J1105" i="2"/>
  <c r="J1093" i="2"/>
  <c r="J1081" i="2"/>
  <c r="J1069" i="2"/>
  <c r="J1057" i="2"/>
  <c r="E1296" i="2"/>
  <c r="E1248" i="2"/>
  <c r="C1207" i="2"/>
  <c r="N1182" i="2"/>
  <c r="C1114" i="2"/>
  <c r="P1104" i="2"/>
  <c r="P1094" i="2"/>
  <c r="N1324" i="2"/>
  <c r="P1274" i="2"/>
  <c r="E1186" i="2"/>
  <c r="P1172" i="2"/>
  <c r="O1162" i="2"/>
  <c r="H1153" i="2"/>
  <c r="H1143" i="2"/>
  <c r="A1134" i="2"/>
  <c r="O1124" i="2"/>
  <c r="O1114" i="2"/>
  <c r="H1105" i="2"/>
  <c r="A1096" i="2"/>
  <c r="A1088" i="2"/>
  <c r="A1080" i="2"/>
  <c r="A1072" i="2"/>
  <c r="A1064" i="2"/>
  <c r="N1279" i="2"/>
  <c r="G1163" i="2"/>
  <c r="G1115" i="2"/>
  <c r="D1081" i="2"/>
  <c r="J1068" i="2"/>
  <c r="H1057" i="2"/>
  <c r="G1048" i="2"/>
  <c r="F1040" i="2"/>
  <c r="F1032" i="2"/>
  <c r="F1024" i="2"/>
  <c r="F1016" i="2"/>
  <c r="F1008" i="2"/>
  <c r="F1000" i="2"/>
  <c r="F992" i="2"/>
  <c r="T1197" i="2"/>
  <c r="F1139" i="2"/>
  <c r="N1092" i="2"/>
  <c r="H1074" i="2"/>
  <c r="J1062" i="2"/>
  <c r="N1052" i="2"/>
  <c r="E1044" i="2"/>
  <c r="E1036" i="2"/>
  <c r="E1028" i="2"/>
  <c r="E1020" i="2"/>
  <c r="E1012" i="2"/>
  <c r="E1004" i="2"/>
  <c r="E996" i="2"/>
  <c r="E988" i="2"/>
  <c r="E980" i="2"/>
  <c r="E972" i="2"/>
  <c r="E964" i="2"/>
  <c r="E956" i="2"/>
  <c r="E948" i="2"/>
  <c r="E940" i="2"/>
  <c r="E932" i="2"/>
  <c r="T1228" i="2"/>
  <c r="N1150" i="2"/>
  <c r="N1102" i="2"/>
  <c r="G1077" i="2"/>
  <c r="G1065" i="2"/>
  <c r="R1054" i="2"/>
  <c r="D1046" i="2"/>
  <c r="D1038" i="2"/>
  <c r="D1030" i="2"/>
  <c r="D1022" i="2"/>
  <c r="D1014" i="2"/>
  <c r="D1006" i="2"/>
  <c r="D998" i="2"/>
  <c r="D990" i="2"/>
  <c r="D982" i="2"/>
  <c r="D974" i="2"/>
  <c r="D966" i="2"/>
  <c r="D958" i="2"/>
  <c r="D950" i="2"/>
  <c r="D942" i="2"/>
  <c r="R1292" i="2"/>
  <c r="M1166" i="2"/>
  <c r="M1118" i="2"/>
  <c r="H1082" i="2"/>
  <c r="F1069" i="2"/>
  <c r="T1057" i="2"/>
  <c r="R1048" i="2"/>
  <c r="P1040" i="2"/>
  <c r="P1032" i="2"/>
  <c r="P1024" i="2"/>
  <c r="P1016" i="2"/>
  <c r="P1008" i="2"/>
  <c r="P1000" i="2"/>
  <c r="P992" i="2"/>
  <c r="N1203" i="2"/>
  <c r="T1141" i="2"/>
  <c r="N1094" i="2"/>
  <c r="D1075" i="2"/>
  <c r="D1063" i="2"/>
  <c r="D1053" i="2"/>
  <c r="O1044" i="2"/>
  <c r="O1036" i="2"/>
  <c r="O1028" i="2"/>
  <c r="O1020" i="2"/>
  <c r="O1012" i="2"/>
  <c r="O1004" i="2"/>
  <c r="O996" i="2"/>
  <c r="O988" i="2"/>
  <c r="O980" i="2"/>
  <c r="O972" i="2"/>
  <c r="O964" i="2"/>
  <c r="O956" i="2"/>
  <c r="O948" i="2"/>
  <c r="O940" i="2"/>
  <c r="O932" i="2"/>
  <c r="E1242" i="2"/>
  <c r="S1153" i="2"/>
  <c r="S1105" i="2"/>
  <c r="C1078" i="2"/>
  <c r="C1066" i="2"/>
  <c r="N1046" i="2"/>
  <c r="N1038" i="2"/>
  <c r="N1030" i="2"/>
  <c r="N1022" i="2"/>
  <c r="N1014" i="2"/>
  <c r="N1006" i="2"/>
  <c r="N998" i="2"/>
  <c r="C1194" i="2"/>
  <c r="G1137" i="2"/>
  <c r="M1091" i="2"/>
  <c r="T1073" i="2"/>
  <c r="E1062" i="2"/>
  <c r="G1052" i="2"/>
  <c r="S1043" i="2"/>
  <c r="S1035" i="2"/>
  <c r="S1027" i="2"/>
  <c r="S1019" i="2"/>
  <c r="S1011" i="2"/>
  <c r="S1003" i="2"/>
  <c r="S995" i="2"/>
  <c r="S987" i="2"/>
  <c r="S979" i="2"/>
  <c r="S971" i="2"/>
  <c r="T1201" i="2"/>
  <c r="F1141" i="2"/>
  <c r="T1093" i="2"/>
  <c r="S1074" i="2"/>
  <c r="T1062" i="2"/>
  <c r="T1052" i="2"/>
  <c r="K1044" i="2"/>
  <c r="K1036" i="2"/>
  <c r="K1028" i="2"/>
  <c r="K1020" i="2"/>
  <c r="K1012" i="2"/>
  <c r="K1004" i="2"/>
  <c r="K996" i="2"/>
  <c r="K988" i="2"/>
  <c r="K980" i="2"/>
  <c r="K972" i="2"/>
  <c r="K964" i="2"/>
  <c r="C1210" i="2"/>
  <c r="N1144" i="2"/>
  <c r="N1096" i="2"/>
  <c r="Q1075" i="2"/>
  <c r="Q1063" i="2"/>
  <c r="N1053" i="2"/>
  <c r="D1045" i="2"/>
  <c r="D1037" i="2"/>
  <c r="D1029" i="2"/>
  <c r="D1021" i="2"/>
  <c r="D1013" i="2"/>
  <c r="D1005" i="2"/>
  <c r="D997" i="2"/>
  <c r="D989" i="2"/>
  <c r="D981" i="2"/>
  <c r="D973" i="2"/>
  <c r="D965" i="2"/>
  <c r="D957" i="2"/>
  <c r="D949" i="2"/>
  <c r="D941" i="2"/>
  <c r="N1200" i="2"/>
  <c r="R1062" i="2"/>
  <c r="N996" i="2"/>
  <c r="N978" i="2"/>
  <c r="N963" i="2"/>
  <c r="G951" i="2"/>
  <c r="G939" i="2"/>
  <c r="T928" i="2"/>
  <c r="R920" i="2"/>
  <c r="R912" i="2"/>
  <c r="R904" i="2"/>
  <c r="R896" i="2"/>
  <c r="R888" i="2"/>
  <c r="R880" i="2"/>
  <c r="R872" i="2"/>
  <c r="R864" i="2"/>
  <c r="R856" i="2"/>
  <c r="R848" i="2"/>
  <c r="R840" i="2"/>
  <c r="R832" i="2"/>
  <c r="R824" i="2"/>
  <c r="P1078" i="2"/>
  <c r="A1039" i="2"/>
  <c r="A1007" i="2"/>
  <c r="P983" i="2"/>
  <c r="C968" i="2"/>
  <c r="F955" i="2"/>
  <c r="F943" i="2"/>
  <c r="C932" i="2"/>
  <c r="J923" i="2"/>
  <c r="J915" i="2"/>
  <c r="J907" i="2"/>
  <c r="J899" i="2"/>
  <c r="J891" i="2"/>
  <c r="J883" i="2"/>
  <c r="J875" i="2"/>
  <c r="J867" i="2"/>
  <c r="J859" i="2"/>
  <c r="J851" i="2"/>
  <c r="J843" i="2"/>
  <c r="J835" i="2"/>
  <c r="T1337" i="2"/>
  <c r="M1070" i="2"/>
  <c r="N1033" i="2"/>
  <c r="N1001" i="2"/>
  <c r="A981" i="2"/>
  <c r="O965" i="2"/>
  <c r="E953" i="2"/>
  <c r="E941" i="2"/>
  <c r="C922" i="2"/>
  <c r="C914" i="2"/>
  <c r="C906" i="2"/>
  <c r="C898" i="2"/>
  <c r="C890" i="2"/>
  <c r="C882" i="2"/>
  <c r="C874" i="2"/>
  <c r="C866" i="2"/>
  <c r="C858" i="2"/>
  <c r="C850" i="2"/>
  <c r="Q1433" i="2"/>
  <c r="S1388" i="2"/>
  <c r="E1352" i="2"/>
  <c r="K1475" i="2"/>
  <c r="N1521" i="2"/>
  <c r="O1376" i="2"/>
  <c r="M1416" i="2"/>
  <c r="R1329" i="2"/>
  <c r="D1188" i="2"/>
  <c r="G1393" i="2"/>
  <c r="A1208" i="2"/>
  <c r="T1279" i="2"/>
  <c r="F1197" i="2"/>
  <c r="E1241" i="2"/>
  <c r="D1255" i="2"/>
  <c r="G1609" i="2"/>
  <c r="C1281" i="2"/>
  <c r="K1537" i="2"/>
  <c r="A1295" i="2"/>
  <c r="O1245" i="2"/>
  <c r="O1197" i="2"/>
  <c r="M1285" i="2"/>
  <c r="M1237" i="2"/>
  <c r="M1189" i="2"/>
  <c r="G1182" i="2"/>
  <c r="E1143" i="2"/>
  <c r="E1111" i="2"/>
  <c r="E1079" i="2"/>
  <c r="F1587" i="2"/>
  <c r="C1191" i="2"/>
  <c r="J1152" i="2"/>
  <c r="J1120" i="2"/>
  <c r="J1088" i="2"/>
  <c r="C1213" i="2"/>
  <c r="T1216" i="2"/>
  <c r="H1170" i="2"/>
  <c r="H1138" i="2"/>
  <c r="H1106" i="2"/>
  <c r="N1275" i="2"/>
  <c r="P1194" i="2"/>
  <c r="N1161" i="2"/>
  <c r="T1130" i="2"/>
  <c r="T1106" i="2"/>
  <c r="T1082" i="2"/>
  <c r="K1243" i="2"/>
  <c r="P1180" i="2"/>
  <c r="F1154" i="2"/>
  <c r="F1130" i="2"/>
  <c r="F1106" i="2"/>
  <c r="P1240" i="2"/>
  <c r="K1171" i="2"/>
  <c r="K1153" i="2"/>
  <c r="R1136" i="2"/>
  <c r="E1122" i="2"/>
  <c r="R1108" i="2"/>
  <c r="K1095" i="2"/>
  <c r="K1081" i="2"/>
  <c r="G1288" i="2"/>
  <c r="G1232" i="2"/>
  <c r="P1199" i="2"/>
  <c r="M1177" i="2"/>
  <c r="D1164" i="2"/>
  <c r="D1152" i="2"/>
  <c r="D1140" i="2"/>
  <c r="D1128" i="2"/>
  <c r="D1116" i="2"/>
  <c r="D1104" i="2"/>
  <c r="D1092" i="2"/>
  <c r="D1080" i="2"/>
  <c r="D1068" i="2"/>
  <c r="D1056" i="2"/>
  <c r="R1290" i="2"/>
  <c r="R1242" i="2"/>
  <c r="R1203" i="2"/>
  <c r="K1180" i="2"/>
  <c r="C1166" i="2"/>
  <c r="C1154" i="2"/>
  <c r="C1142" i="2"/>
  <c r="P1132" i="2"/>
  <c r="P1122" i="2"/>
  <c r="C1094" i="2"/>
  <c r="P1084" i="2"/>
  <c r="M1312" i="2"/>
  <c r="C1272" i="2"/>
  <c r="C1232" i="2"/>
  <c r="P1203" i="2"/>
  <c r="R1184" i="2"/>
  <c r="H1171" i="2"/>
  <c r="A1162" i="2"/>
  <c r="O1152" i="2"/>
  <c r="O1142" i="2"/>
  <c r="H1133" i="2"/>
  <c r="H1123" i="2"/>
  <c r="A1114" i="2"/>
  <c r="O1104" i="2"/>
  <c r="H1095" i="2"/>
  <c r="H1087" i="2"/>
  <c r="H1079" i="2"/>
  <c r="H1071" i="2"/>
  <c r="H1063" i="2"/>
  <c r="N1263" i="2"/>
  <c r="G1159" i="2"/>
  <c r="G1111" i="2"/>
  <c r="O1079" i="2"/>
  <c r="K1067" i="2"/>
  <c r="M1056" i="2"/>
  <c r="M1047" i="2"/>
  <c r="M1039" i="2"/>
  <c r="M1031" i="2"/>
  <c r="M1023" i="2"/>
  <c r="M1015" i="2"/>
  <c r="M1007" i="2"/>
  <c r="M999" i="2"/>
  <c r="M991" i="2"/>
  <c r="T1189" i="2"/>
  <c r="F1135" i="2"/>
  <c r="T1089" i="2"/>
  <c r="N1061" i="2"/>
  <c r="S1051" i="2"/>
  <c r="K1043" i="2"/>
  <c r="K1035" i="2"/>
  <c r="K1027" i="2"/>
  <c r="K1019" i="2"/>
  <c r="K1011" i="2"/>
  <c r="K1003" i="2"/>
  <c r="K995" i="2"/>
  <c r="K987" i="2"/>
  <c r="K979" i="2"/>
  <c r="K971" i="2"/>
  <c r="K963" i="2"/>
  <c r="K955" i="2"/>
  <c r="K947" i="2"/>
  <c r="K939" i="2"/>
  <c r="K931" i="2"/>
  <c r="P1215" i="2"/>
  <c r="N1146" i="2"/>
  <c r="N1098" i="2"/>
  <c r="G1076" i="2"/>
  <c r="G1064" i="2"/>
  <c r="A1054" i="2"/>
  <c r="J1045" i="2"/>
  <c r="J1037" i="2"/>
  <c r="J1029" i="2"/>
  <c r="J1021" i="2"/>
  <c r="J1013" i="2"/>
  <c r="J1005" i="2"/>
  <c r="J997" i="2"/>
  <c r="J989" i="2"/>
  <c r="J981" i="2"/>
  <c r="J973" i="2"/>
  <c r="J965" i="2"/>
  <c r="J957" i="2"/>
  <c r="J949" i="2"/>
  <c r="J941" i="2"/>
  <c r="R1276" i="2"/>
  <c r="M1162" i="2"/>
  <c r="M1114" i="2"/>
  <c r="N1080" i="2"/>
  <c r="F1068" i="2"/>
  <c r="D1057" i="2"/>
  <c r="D1048" i="2"/>
  <c r="C1040" i="2"/>
  <c r="C1032" i="2"/>
  <c r="C1024" i="2"/>
  <c r="C1016" i="2"/>
  <c r="C1008" i="2"/>
  <c r="C1000" i="2"/>
  <c r="C992" i="2"/>
  <c r="T1137" i="2"/>
  <c r="T1091" i="2"/>
  <c r="E1074" i="2"/>
  <c r="G1062" i="2"/>
  <c r="A1044" i="2"/>
  <c r="A1036" i="2"/>
  <c r="A1028" i="2"/>
  <c r="A1020" i="2"/>
  <c r="A1012" i="2"/>
  <c r="A1004" i="2"/>
  <c r="A996" i="2"/>
  <c r="A988" i="2"/>
  <c r="A980" i="2"/>
  <c r="A972" i="2"/>
  <c r="A964" i="2"/>
  <c r="A956" i="2"/>
  <c r="A948" i="2"/>
  <c r="A940" i="2"/>
  <c r="A932" i="2"/>
  <c r="E1226" i="2"/>
  <c r="S1149" i="2"/>
  <c r="S1101" i="2"/>
  <c r="A1077" i="2"/>
  <c r="A1065" i="2"/>
  <c r="N1054" i="2"/>
  <c r="T1045" i="2"/>
  <c r="T1037" i="2"/>
  <c r="T1029" i="2"/>
  <c r="T1021" i="2"/>
  <c r="T1013" i="2"/>
  <c r="T1005" i="2"/>
  <c r="T997" i="2"/>
  <c r="C1186" i="2"/>
  <c r="G1133" i="2"/>
  <c r="S1088" i="2"/>
  <c r="T1072" i="2"/>
  <c r="F1061" i="2"/>
  <c r="M1051" i="2"/>
  <c r="F1043" i="2"/>
  <c r="F1035" i="2"/>
  <c r="F1027" i="2"/>
  <c r="F1019" i="2"/>
  <c r="F1011" i="2"/>
  <c r="F1003" i="2"/>
  <c r="F995" i="2"/>
  <c r="F987" i="2"/>
  <c r="F979" i="2"/>
  <c r="F971" i="2"/>
  <c r="T1193" i="2"/>
  <c r="F1137" i="2"/>
  <c r="G1091" i="2"/>
  <c r="S1073" i="2"/>
  <c r="C1062" i="2"/>
  <c r="F1052" i="2"/>
  <c r="R1043" i="2"/>
  <c r="R1035" i="2"/>
  <c r="R1027" i="2"/>
  <c r="R1019" i="2"/>
  <c r="R1011" i="2"/>
  <c r="R1003" i="2"/>
  <c r="R995" i="2"/>
  <c r="R987" i="2"/>
  <c r="R979" i="2"/>
  <c r="R971" i="2"/>
  <c r="R963" i="2"/>
  <c r="P1200" i="2"/>
  <c r="N1140" i="2"/>
  <c r="S1093" i="2"/>
  <c r="R1074" i="2"/>
  <c r="S1062" i="2"/>
  <c r="S1052" i="2"/>
  <c r="J1044" i="2"/>
  <c r="J1036" i="2"/>
  <c r="J1028" i="2"/>
  <c r="J1020" i="2"/>
  <c r="J1012" i="2"/>
  <c r="J1004" i="2"/>
  <c r="J996" i="2"/>
  <c r="J988" i="2"/>
  <c r="J980" i="2"/>
  <c r="J972" i="2"/>
  <c r="J964" i="2"/>
  <c r="J956" i="2"/>
  <c r="J948" i="2"/>
  <c r="J940" i="2"/>
  <c r="N1172" i="2"/>
  <c r="F1059" i="2"/>
  <c r="P1025" i="2"/>
  <c r="N994" i="2"/>
  <c r="G977" i="2"/>
  <c r="H950" i="2"/>
  <c r="H938" i="2"/>
  <c r="E928" i="2"/>
  <c r="E920" i="2"/>
  <c r="E912" i="2"/>
  <c r="E904" i="2"/>
  <c r="E896" i="2"/>
  <c r="E888" i="2"/>
  <c r="E880" i="2"/>
  <c r="E872" i="2"/>
  <c r="E864" i="2"/>
  <c r="E856" i="2"/>
  <c r="E848" i="2"/>
  <c r="E840" i="2"/>
  <c r="E832" i="2"/>
  <c r="E824" i="2"/>
  <c r="N1074" i="2"/>
  <c r="H1036" i="2"/>
  <c r="H1004" i="2"/>
  <c r="T966" i="2"/>
  <c r="G954" i="2"/>
  <c r="G942" i="2"/>
  <c r="F931" i="2"/>
  <c r="Q922" i="2"/>
  <c r="Q914" i="2"/>
  <c r="Q906" i="2"/>
  <c r="Q898" i="2"/>
  <c r="Q890" i="2"/>
  <c r="Q882" i="2"/>
  <c r="Q874" i="2"/>
  <c r="Q866" i="2"/>
  <c r="Q858" i="2"/>
  <c r="Q850" i="2"/>
  <c r="Q842" i="2"/>
  <c r="Q834" i="2"/>
  <c r="E1250" i="2"/>
  <c r="M1066" i="2"/>
  <c r="T1030" i="2"/>
  <c r="T998" i="2"/>
  <c r="O979" i="2"/>
  <c r="M964" i="2"/>
  <c r="F952" i="2"/>
  <c r="F940" i="2"/>
  <c r="N929" i="2"/>
  <c r="O1073" i="2"/>
  <c r="P1035" i="2"/>
  <c r="P1003" i="2"/>
  <c r="G982" i="2"/>
  <c r="J1448" i="2"/>
  <c r="K1643" i="2"/>
  <c r="T1336" i="2"/>
  <c r="S1326" i="2"/>
  <c r="F1516" i="2"/>
  <c r="P1451" i="2"/>
  <c r="G1518" i="2"/>
  <c r="A1376" i="2"/>
  <c r="S1415" i="2"/>
  <c r="E1327" i="2"/>
  <c r="J1187" i="2"/>
  <c r="H1207" i="2"/>
  <c r="G1249" i="2"/>
  <c r="M1300" i="2"/>
  <c r="K1234" i="2"/>
  <c r="Q1253" i="2"/>
  <c r="R1564" i="2"/>
  <c r="M1515" i="2"/>
  <c r="H1284" i="2"/>
  <c r="O1235" i="2"/>
  <c r="O1187" i="2"/>
  <c r="S1284" i="2"/>
  <c r="S1236" i="2"/>
  <c r="S1188" i="2"/>
  <c r="E1171" i="2"/>
  <c r="K1136" i="2"/>
  <c r="K1104" i="2"/>
  <c r="K1072" i="2"/>
  <c r="T1302" i="2"/>
  <c r="Q1151" i="2"/>
  <c r="Q1119" i="2"/>
  <c r="Q1087" i="2"/>
  <c r="C1211" i="2"/>
  <c r="P1278" i="2"/>
  <c r="T1214" i="2"/>
  <c r="O1169" i="2"/>
  <c r="O1137" i="2"/>
  <c r="O1105" i="2"/>
  <c r="T1272" i="2"/>
  <c r="T1154" i="2"/>
  <c r="G1130" i="2"/>
  <c r="G1106" i="2"/>
  <c r="G1082" i="2"/>
  <c r="R1240" i="2"/>
  <c r="P1179" i="2"/>
  <c r="M1153" i="2"/>
  <c r="M1129" i="2"/>
  <c r="M1105" i="2"/>
  <c r="C1238" i="2"/>
  <c r="K1202" i="2"/>
  <c r="E1170" i="2"/>
  <c r="R1152" i="2"/>
  <c r="K1135" i="2"/>
  <c r="K1121" i="2"/>
  <c r="K1107" i="2"/>
  <c r="K1093" i="2"/>
  <c r="R1080" i="2"/>
  <c r="T1282" i="2"/>
  <c r="N1229" i="2"/>
  <c r="M1176" i="2"/>
  <c r="J1163" i="2"/>
  <c r="J1151" i="2"/>
  <c r="J1139" i="2"/>
  <c r="J1127" i="2"/>
  <c r="J1115" i="2"/>
  <c r="J1103" i="2"/>
  <c r="J1091" i="2"/>
  <c r="J1079" i="2"/>
  <c r="J1067" i="2"/>
  <c r="J1055" i="2"/>
  <c r="E1288" i="2"/>
  <c r="E1240" i="2"/>
  <c r="G1202" i="2"/>
  <c r="K1179" i="2"/>
  <c r="C1122" i="2"/>
  <c r="P1112" i="2"/>
  <c r="P1102" i="2"/>
  <c r="C1307" i="2"/>
  <c r="E1202" i="2"/>
  <c r="M1182" i="2"/>
  <c r="O1170" i="2"/>
  <c r="H1161" i="2"/>
  <c r="H1151" i="2"/>
  <c r="A1142" i="2"/>
  <c r="O1132" i="2"/>
  <c r="O1122" i="2"/>
  <c r="H1113" i="2"/>
  <c r="H1103" i="2"/>
  <c r="O1094" i="2"/>
  <c r="O1086" i="2"/>
  <c r="O1078" i="2"/>
  <c r="O1070" i="2"/>
  <c r="O1062" i="2"/>
  <c r="N1247" i="2"/>
  <c r="G1155" i="2"/>
  <c r="G1107" i="2"/>
  <c r="M1078" i="2"/>
  <c r="J1066" i="2"/>
  <c r="P1055" i="2"/>
  <c r="S1046" i="2"/>
  <c r="S1038" i="2"/>
  <c r="S1030" i="2"/>
  <c r="S1022" i="2"/>
  <c r="S1014" i="2"/>
  <c r="S1006" i="2"/>
  <c r="S998" i="2"/>
  <c r="S990" i="2"/>
  <c r="F1131" i="2"/>
  <c r="M1087" i="2"/>
  <c r="H1072" i="2"/>
  <c r="P1060" i="2"/>
  <c r="D1051" i="2"/>
  <c r="R1042" i="2"/>
  <c r="R1034" i="2"/>
  <c r="R1026" i="2"/>
  <c r="R1018" i="2"/>
  <c r="R1010" i="2"/>
  <c r="R1002" i="2"/>
  <c r="R994" i="2"/>
  <c r="R986" i="2"/>
  <c r="R978" i="2"/>
  <c r="R970" i="2"/>
  <c r="R962" i="2"/>
  <c r="R954" i="2"/>
  <c r="R946" i="2"/>
  <c r="R938" i="2"/>
  <c r="R930" i="2"/>
  <c r="E1205" i="2"/>
  <c r="N1142" i="2"/>
  <c r="F1095" i="2"/>
  <c r="G1075" i="2"/>
  <c r="G1063" i="2"/>
  <c r="G1053" i="2"/>
  <c r="Q1044" i="2"/>
  <c r="Q1036" i="2"/>
  <c r="Q1028" i="2"/>
  <c r="Q1020" i="2"/>
  <c r="Q1012" i="2"/>
  <c r="Q1004" i="2"/>
  <c r="Q996" i="2"/>
  <c r="Q988" i="2"/>
  <c r="Q980" i="2"/>
  <c r="Q972" i="2"/>
  <c r="Q964" i="2"/>
  <c r="Q956" i="2"/>
  <c r="Q948" i="2"/>
  <c r="Q940" i="2"/>
  <c r="R1260" i="2"/>
  <c r="M1158" i="2"/>
  <c r="M1110" i="2"/>
  <c r="F1067" i="2"/>
  <c r="H1056" i="2"/>
  <c r="T1133" i="2"/>
  <c r="G1089" i="2"/>
  <c r="D1073" i="2"/>
  <c r="O1051" i="2"/>
  <c r="H1043" i="2"/>
  <c r="H1035" i="2"/>
  <c r="H1027" i="2"/>
  <c r="H1019" i="2"/>
  <c r="H1011" i="2"/>
  <c r="H1003" i="2"/>
  <c r="H995" i="2"/>
  <c r="H987" i="2"/>
  <c r="H979" i="2"/>
  <c r="H971" i="2"/>
  <c r="H963" i="2"/>
  <c r="H955" i="2"/>
  <c r="H947" i="2"/>
  <c r="H939" i="2"/>
  <c r="H931" i="2"/>
  <c r="N1213" i="2"/>
  <c r="S1145" i="2"/>
  <c r="S1097" i="2"/>
  <c r="C1076" i="2"/>
  <c r="C1064" i="2"/>
  <c r="Q1053" i="2"/>
  <c r="G1045" i="2"/>
  <c r="G1037" i="2"/>
  <c r="G1029" i="2"/>
  <c r="G1021" i="2"/>
  <c r="G1013" i="2"/>
  <c r="G1005" i="2"/>
  <c r="G997" i="2"/>
  <c r="G1179" i="2"/>
  <c r="G1129" i="2"/>
  <c r="N1086" i="2"/>
  <c r="T1071" i="2"/>
  <c r="H1060" i="2"/>
  <c r="R1050" i="2"/>
  <c r="M1042" i="2"/>
  <c r="M1034" i="2"/>
  <c r="M1026" i="2"/>
  <c r="M1018" i="2"/>
  <c r="M1010" i="2"/>
  <c r="M1002" i="2"/>
  <c r="M994" i="2"/>
  <c r="M986" i="2"/>
  <c r="M978" i="2"/>
  <c r="M970" i="2"/>
  <c r="T1185" i="2"/>
  <c r="F1133" i="2"/>
  <c r="N1088" i="2"/>
  <c r="S1072" i="2"/>
  <c r="D1061" i="2"/>
  <c r="K1051" i="2"/>
  <c r="E1043" i="2"/>
  <c r="E1035" i="2"/>
  <c r="E1027" i="2"/>
  <c r="E1019" i="2"/>
  <c r="E1011" i="2"/>
  <c r="E1003" i="2"/>
  <c r="E995" i="2"/>
  <c r="E987" i="2"/>
  <c r="E979" i="2"/>
  <c r="E971" i="2"/>
  <c r="E963" i="2"/>
  <c r="P1192" i="2"/>
  <c r="N1136" i="2"/>
  <c r="F1091" i="2"/>
  <c r="Q1073" i="2"/>
  <c r="T1061" i="2"/>
  <c r="E1052" i="2"/>
  <c r="Q1043" i="2"/>
  <c r="Q1035" i="2"/>
  <c r="Q1027" i="2"/>
  <c r="Q1019" i="2"/>
  <c r="Q1011" i="2"/>
  <c r="Q1003" i="2"/>
  <c r="Q995" i="2"/>
  <c r="Q987" i="2"/>
  <c r="Q979" i="2"/>
  <c r="Q971" i="2"/>
  <c r="Q963" i="2"/>
  <c r="Q955" i="2"/>
  <c r="Q947" i="2"/>
  <c r="Q939" i="2"/>
  <c r="Q1626" i="2"/>
  <c r="Q1447" i="2"/>
  <c r="T1546" i="2"/>
  <c r="S1310" i="2"/>
  <c r="G1466" i="2"/>
  <c r="N1491" i="2"/>
  <c r="H1369" i="2"/>
  <c r="F1415" i="2"/>
  <c r="K1324" i="2"/>
  <c r="Q1186" i="2"/>
  <c r="O1206" i="2"/>
  <c r="N1248" i="2"/>
  <c r="S1299" i="2"/>
  <c r="K1408" i="2"/>
  <c r="R1233" i="2"/>
  <c r="D1253" i="2"/>
  <c r="M1499" i="2"/>
  <c r="O1283" i="2"/>
  <c r="A1235" i="2"/>
  <c r="A1187" i="2"/>
  <c r="F1274" i="2"/>
  <c r="F1226" i="2"/>
  <c r="E1379" i="2"/>
  <c r="K1170" i="2"/>
  <c r="R1135" i="2"/>
  <c r="R1103" i="2"/>
  <c r="R1071" i="2"/>
  <c r="G1300" i="2"/>
  <c r="C1179" i="2"/>
  <c r="D1145" i="2"/>
  <c r="D1113" i="2"/>
  <c r="K1309" i="2"/>
  <c r="G1196" i="2"/>
  <c r="C1276" i="2"/>
  <c r="T1212" i="2"/>
  <c r="A1163" i="2"/>
  <c r="A1131" i="2"/>
  <c r="A1099" i="2"/>
  <c r="G1246" i="2"/>
  <c r="G1154" i="2"/>
  <c r="N1129" i="2"/>
  <c r="N1105" i="2"/>
  <c r="N1081" i="2"/>
  <c r="E1238" i="2"/>
  <c r="P1178" i="2"/>
  <c r="S1152" i="2"/>
  <c r="S1128" i="2"/>
  <c r="S1104" i="2"/>
  <c r="P1280" i="2"/>
  <c r="K1198" i="2"/>
  <c r="K1169" i="2"/>
  <c r="K1149" i="2"/>
  <c r="K1133" i="2"/>
  <c r="R1120" i="2"/>
  <c r="E1106" i="2"/>
  <c r="R1092" i="2"/>
  <c r="K1079" i="2"/>
  <c r="G1280" i="2"/>
  <c r="G1224" i="2"/>
  <c r="C1197" i="2"/>
  <c r="M1175" i="2"/>
  <c r="Q1162" i="2"/>
  <c r="Q1150" i="2"/>
  <c r="Q1138" i="2"/>
  <c r="Q1126" i="2"/>
  <c r="Q1114" i="2"/>
  <c r="Q1102" i="2"/>
  <c r="Q1090" i="2"/>
  <c r="Q1078" i="2"/>
  <c r="Q1066" i="2"/>
  <c r="Q1054" i="2"/>
  <c r="K1285" i="2"/>
  <c r="K1237" i="2"/>
  <c r="T1200" i="2"/>
  <c r="K1178" i="2"/>
  <c r="P1164" i="2"/>
  <c r="P1152" i="2"/>
  <c r="P1140" i="2"/>
  <c r="P1130" i="2"/>
  <c r="C1102" i="2"/>
  <c r="P1092" i="2"/>
  <c r="P1082" i="2"/>
  <c r="C1304" i="2"/>
  <c r="C1264" i="2"/>
  <c r="P1226" i="2"/>
  <c r="R1200" i="2"/>
  <c r="A1170" i="2"/>
  <c r="O1160" i="2"/>
  <c r="O1150" i="2"/>
  <c r="H1141" i="2"/>
  <c r="H1131" i="2"/>
  <c r="A1122" i="2"/>
  <c r="O1112" i="2"/>
  <c r="O1102" i="2"/>
  <c r="A1094" i="2"/>
  <c r="A1086" i="2"/>
  <c r="A1078" i="2"/>
  <c r="A1070" i="2"/>
  <c r="A1062" i="2"/>
  <c r="N1231" i="2"/>
  <c r="G1151" i="2"/>
  <c r="G1103" i="2"/>
  <c r="K1077" i="2"/>
  <c r="K1065" i="2"/>
  <c r="T1054" i="2"/>
  <c r="F1046" i="2"/>
  <c r="F1038" i="2"/>
  <c r="F1030" i="2"/>
  <c r="F1022" i="2"/>
  <c r="F1014" i="2"/>
  <c r="F1006" i="2"/>
  <c r="F998" i="2"/>
  <c r="R1480" i="2"/>
  <c r="F1176" i="2"/>
  <c r="F1127" i="2"/>
  <c r="Q1085" i="2"/>
  <c r="Q1059" i="2"/>
  <c r="E1042" i="2"/>
  <c r="E1034" i="2"/>
  <c r="E1026" i="2"/>
  <c r="E1018" i="2"/>
  <c r="E1010" i="2"/>
  <c r="E1002" i="2"/>
  <c r="E994" i="2"/>
  <c r="E986" i="2"/>
  <c r="E978" i="2"/>
  <c r="E970" i="2"/>
  <c r="E962" i="2"/>
  <c r="E954" i="2"/>
  <c r="E946" i="2"/>
  <c r="E938" i="2"/>
  <c r="E930" i="2"/>
  <c r="P1196" i="2"/>
  <c r="N1138" i="2"/>
  <c r="M1092" i="2"/>
  <c r="G1074" i="2"/>
  <c r="M1052" i="2"/>
  <c r="D1044" i="2"/>
  <c r="D1036" i="2"/>
  <c r="D1028" i="2"/>
  <c r="D1020" i="2"/>
  <c r="D1012" i="2"/>
  <c r="D1004" i="2"/>
  <c r="D996" i="2"/>
  <c r="D988" i="2"/>
  <c r="D980" i="2"/>
  <c r="D972" i="2"/>
  <c r="D964" i="2"/>
  <c r="D956" i="2"/>
  <c r="D948" i="2"/>
  <c r="D940" i="2"/>
  <c r="R1244" i="2"/>
  <c r="M1154" i="2"/>
  <c r="M1106" i="2"/>
  <c r="G1078" i="2"/>
  <c r="F1066" i="2"/>
  <c r="M1055" i="2"/>
  <c r="P1046" i="2"/>
  <c r="P1038" i="2"/>
  <c r="P1030" i="2"/>
  <c r="P1022" i="2"/>
  <c r="P1014" i="2"/>
  <c r="P1006" i="2"/>
  <c r="P998" i="2"/>
  <c r="P990" i="2"/>
  <c r="G1180" i="2"/>
  <c r="T1129" i="2"/>
  <c r="A1087" i="2"/>
  <c r="E1072" i="2"/>
  <c r="J1060" i="2"/>
  <c r="T1050" i="2"/>
  <c r="O1042" i="2"/>
  <c r="O1034" i="2"/>
  <c r="O1026" i="2"/>
  <c r="O1018" i="2"/>
  <c r="O1010" i="2"/>
  <c r="O1002" i="2"/>
  <c r="O994" i="2"/>
  <c r="O986" i="2"/>
  <c r="O978" i="2"/>
  <c r="O970" i="2"/>
  <c r="O962" i="2"/>
  <c r="O954" i="2"/>
  <c r="O946" i="2"/>
  <c r="O938" i="2"/>
  <c r="O930" i="2"/>
  <c r="K1203" i="2"/>
  <c r="S1141" i="2"/>
  <c r="M1094" i="2"/>
  <c r="A1075" i="2"/>
  <c r="C1063" i="2"/>
  <c r="C1053" i="2"/>
  <c r="N1044" i="2"/>
  <c r="N1036" i="2"/>
  <c r="N1028" i="2"/>
  <c r="N1020" i="2"/>
  <c r="N1012" i="2"/>
  <c r="N1004" i="2"/>
  <c r="E1383" i="2"/>
  <c r="J1173" i="2"/>
  <c r="G1125" i="2"/>
  <c r="D1085" i="2"/>
  <c r="T1070" i="2"/>
  <c r="K1059" i="2"/>
  <c r="D1050" i="2"/>
  <c r="S1041" i="2"/>
  <c r="S1033" i="2"/>
  <c r="S1025" i="2"/>
  <c r="S1017" i="2"/>
  <c r="S1009" i="2"/>
  <c r="S1001" i="2"/>
  <c r="S993" i="2"/>
  <c r="S985" i="2"/>
  <c r="S977" i="2"/>
  <c r="S969" i="2"/>
  <c r="F1179" i="2"/>
  <c r="F1129" i="2"/>
  <c r="M1086" i="2"/>
  <c r="S1071" i="2"/>
  <c r="G1060" i="2"/>
  <c r="Q1050" i="2"/>
  <c r="K1042" i="2"/>
  <c r="K1034" i="2"/>
  <c r="K1026" i="2"/>
  <c r="K1018" i="2"/>
  <c r="K1010" i="2"/>
  <c r="K1002" i="2"/>
  <c r="K994" i="2"/>
  <c r="K986" i="2"/>
  <c r="K978" i="2"/>
  <c r="K970" i="2"/>
  <c r="K962" i="2"/>
  <c r="P1184" i="2"/>
  <c r="N1132" i="2"/>
  <c r="M1088" i="2"/>
  <c r="R1072" i="2"/>
  <c r="C1061" i="2"/>
  <c r="J1051" i="2"/>
  <c r="D1043" i="2"/>
  <c r="D1035" i="2"/>
  <c r="D1027" i="2"/>
  <c r="D1019" i="2"/>
  <c r="D1011" i="2"/>
  <c r="D1003" i="2"/>
  <c r="D995" i="2"/>
  <c r="D987" i="2"/>
  <c r="D979" i="2"/>
  <c r="D971" i="2"/>
  <c r="D963" i="2"/>
  <c r="D955" i="2"/>
  <c r="D947" i="2"/>
  <c r="D939" i="2"/>
  <c r="M1140" i="2"/>
  <c r="R1052" i="2"/>
  <c r="N990" i="2"/>
  <c r="J1655" i="2"/>
  <c r="D1589" i="2"/>
  <c r="T1542" i="2"/>
  <c r="S1308" i="2"/>
  <c r="R1464" i="2"/>
  <c r="O1344" i="2"/>
  <c r="M1384" i="2"/>
  <c r="D1284" i="2"/>
  <c r="R1369" i="2"/>
  <c r="A1304" i="2"/>
  <c r="A1176" i="2"/>
  <c r="T1247" i="2"/>
  <c r="F1293" i="2"/>
  <c r="K1404" i="2"/>
  <c r="K1541" i="2"/>
  <c r="D1231" i="2"/>
  <c r="R1351" i="2"/>
  <c r="C1257" i="2"/>
  <c r="G1371" i="2"/>
  <c r="A1283" i="2"/>
  <c r="O1233" i="2"/>
  <c r="O1185" i="2"/>
  <c r="S1272" i="2"/>
  <c r="S1224" i="2"/>
  <c r="R1335" i="2"/>
  <c r="R1169" i="2"/>
  <c r="E1135" i="2"/>
  <c r="E1103" i="2"/>
  <c r="E1071" i="2"/>
  <c r="N1297" i="2"/>
  <c r="C1178" i="2"/>
  <c r="J1144" i="2"/>
  <c r="J1112" i="2"/>
  <c r="N1305" i="2"/>
  <c r="T1194" i="2"/>
  <c r="H1162" i="2"/>
  <c r="H1130" i="2"/>
  <c r="H1098" i="2"/>
  <c r="N1243" i="2"/>
  <c r="N1153" i="2"/>
  <c r="G1124" i="2"/>
  <c r="G1100" i="2"/>
  <c r="T1329" i="2"/>
  <c r="P1218" i="2"/>
  <c r="M1171" i="2"/>
  <c r="M1147" i="2"/>
  <c r="M1123" i="2"/>
  <c r="M1099" i="2"/>
  <c r="R1195" i="2"/>
  <c r="R1168" i="2"/>
  <c r="K1147" i="2"/>
  <c r="R1132" i="2"/>
  <c r="K1119" i="2"/>
  <c r="K1105" i="2"/>
  <c r="K1091" i="2"/>
  <c r="G1512" i="2"/>
  <c r="N1277" i="2"/>
  <c r="G1220" i="2"/>
  <c r="N1173" i="2"/>
  <c r="J1161" i="2"/>
  <c r="J1149" i="2"/>
  <c r="J1137" i="2"/>
  <c r="J1125" i="2"/>
  <c r="J1113" i="2"/>
  <c r="J1101" i="2"/>
  <c r="J1089" i="2"/>
  <c r="J1077" i="2"/>
  <c r="J1065" i="2"/>
  <c r="T1498" i="2"/>
  <c r="E1280" i="2"/>
  <c r="E1232" i="2"/>
  <c r="G1198" i="2"/>
  <c r="K1176" i="2"/>
  <c r="C1130" i="2"/>
  <c r="P1120" i="2"/>
  <c r="P1110" i="2"/>
  <c r="C1082" i="2"/>
  <c r="C1224" i="2"/>
  <c r="E1198" i="2"/>
  <c r="H1169" i="2"/>
  <c r="H1159" i="2"/>
  <c r="A1150" i="2"/>
  <c r="O1140" i="2"/>
  <c r="O1130" i="2"/>
  <c r="H1121" i="2"/>
  <c r="H1111" i="2"/>
  <c r="A1102" i="2"/>
  <c r="H1093" i="2"/>
  <c r="H1085" i="2"/>
  <c r="H1077" i="2"/>
  <c r="H1069" i="2"/>
  <c r="H1061" i="2"/>
  <c r="P1217" i="2"/>
  <c r="G1147" i="2"/>
  <c r="G1099" i="2"/>
  <c r="J1076" i="2"/>
  <c r="J1064" i="2"/>
  <c r="E1054" i="2"/>
  <c r="M1045" i="2"/>
  <c r="M1037" i="2"/>
  <c r="M1029" i="2"/>
  <c r="M1021" i="2"/>
  <c r="M1013" i="2"/>
  <c r="M1005" i="2"/>
  <c r="M997" i="2"/>
  <c r="T1321" i="2"/>
  <c r="F1171" i="2"/>
  <c r="F1123" i="2"/>
  <c r="F1084" i="2"/>
  <c r="H1070" i="2"/>
  <c r="T1058" i="2"/>
  <c r="O1049" i="2"/>
  <c r="K1041" i="2"/>
  <c r="K1033" i="2"/>
  <c r="K1025" i="2"/>
  <c r="K1017" i="2"/>
  <c r="K1009" i="2"/>
  <c r="K1001" i="2"/>
  <c r="K993" i="2"/>
  <c r="K985" i="2"/>
  <c r="K977" i="2"/>
  <c r="K969" i="2"/>
  <c r="K961" i="2"/>
  <c r="K953" i="2"/>
  <c r="K945" i="2"/>
  <c r="K937" i="2"/>
  <c r="K929" i="2"/>
  <c r="P1188" i="2"/>
  <c r="N1134" i="2"/>
  <c r="S1089" i="2"/>
  <c r="G1073" i="2"/>
  <c r="M1061" i="2"/>
  <c r="Q1051" i="2"/>
  <c r="J1043" i="2"/>
  <c r="J1035" i="2"/>
  <c r="J1027" i="2"/>
  <c r="J1019" i="2"/>
  <c r="J1011" i="2"/>
  <c r="J1003" i="2"/>
  <c r="J995" i="2"/>
  <c r="J987" i="2"/>
  <c r="J979" i="2"/>
  <c r="J971" i="2"/>
  <c r="J963" i="2"/>
  <c r="J955" i="2"/>
  <c r="J947" i="2"/>
  <c r="J939" i="2"/>
  <c r="R1228" i="2"/>
  <c r="M1150" i="2"/>
  <c r="M1102" i="2"/>
  <c r="F1077" i="2"/>
  <c r="F1065" i="2"/>
  <c r="P1054" i="2"/>
  <c r="C1046" i="2"/>
  <c r="C1038" i="2"/>
  <c r="C1030" i="2"/>
  <c r="C1022" i="2"/>
  <c r="C1014" i="2"/>
  <c r="C1006" i="2"/>
  <c r="C998" i="2"/>
  <c r="E1407" i="2"/>
  <c r="G1174" i="2"/>
  <c r="T1125" i="2"/>
  <c r="G1085" i="2"/>
  <c r="D1071" i="2"/>
  <c r="N1059" i="2"/>
  <c r="F1050" i="2"/>
  <c r="A1042" i="2"/>
  <c r="A1034" i="2"/>
  <c r="A1026" i="2"/>
  <c r="A1018" i="2"/>
  <c r="A1010" i="2"/>
  <c r="A1002" i="2"/>
  <c r="A994" i="2"/>
  <c r="A986" i="2"/>
  <c r="A978" i="2"/>
  <c r="A970" i="2"/>
  <c r="A962" i="2"/>
  <c r="A954" i="2"/>
  <c r="A946" i="2"/>
  <c r="A938" i="2"/>
  <c r="A930" i="2"/>
  <c r="G1195" i="2"/>
  <c r="S1137" i="2"/>
  <c r="S1091" i="2"/>
  <c r="C1074" i="2"/>
  <c r="F1062" i="2"/>
  <c r="H1052" i="2"/>
  <c r="T1043" i="2"/>
  <c r="T1035" i="2"/>
  <c r="T1027" i="2"/>
  <c r="T1019" i="2"/>
  <c r="T1011" i="2"/>
  <c r="T1003" i="2"/>
  <c r="N1303" i="2"/>
  <c r="G1169" i="2"/>
  <c r="G1121" i="2"/>
  <c r="M1083" i="2"/>
  <c r="T1069" i="2"/>
  <c r="M1058" i="2"/>
  <c r="F1041" i="2"/>
  <c r="F1033" i="2"/>
  <c r="F1025" i="2"/>
  <c r="F1017" i="2"/>
  <c r="F1009" i="2"/>
  <c r="F1001" i="2"/>
  <c r="F993" i="2"/>
  <c r="F985" i="2"/>
  <c r="F977" i="2"/>
  <c r="K1382" i="2"/>
  <c r="F1125" i="2"/>
  <c r="A1085" i="2"/>
  <c r="S1070" i="2"/>
  <c r="C1050" i="2"/>
  <c r="R1041" i="2"/>
  <c r="R1033" i="2"/>
  <c r="R1025" i="2"/>
  <c r="R1017" i="2"/>
  <c r="R1009" i="2"/>
  <c r="R1001" i="2"/>
  <c r="R993" i="2"/>
  <c r="R985" i="2"/>
  <c r="R977" i="2"/>
  <c r="R969" i="2"/>
  <c r="R961" i="2"/>
  <c r="G1178" i="2"/>
  <c r="N1128" i="2"/>
  <c r="J1086" i="2"/>
  <c r="Q1071" i="2"/>
  <c r="F1060" i="2"/>
  <c r="P1050" i="2"/>
  <c r="J1042" i="2"/>
  <c r="J1034" i="2"/>
  <c r="J1026" i="2"/>
  <c r="J1018" i="2"/>
  <c r="J1010" i="2"/>
  <c r="J1002" i="2"/>
  <c r="J994" i="2"/>
  <c r="J986" i="2"/>
  <c r="J978" i="2"/>
  <c r="J970" i="2"/>
  <c r="J962" i="2"/>
  <c r="J954" i="2"/>
  <c r="J946" i="2"/>
  <c r="J938" i="2"/>
  <c r="M1124" i="2"/>
  <c r="T1049" i="2"/>
  <c r="P1017" i="2"/>
  <c r="G989" i="2"/>
  <c r="G973" i="2"/>
  <c r="G959" i="2"/>
  <c r="G947" i="2"/>
  <c r="E926" i="2"/>
  <c r="E918" i="2"/>
  <c r="E910" i="2"/>
  <c r="E902" i="2"/>
  <c r="E894" i="2"/>
  <c r="E886" i="2"/>
  <c r="E878" i="2"/>
  <c r="E870" i="2"/>
  <c r="E862" i="2"/>
  <c r="E854" i="2"/>
  <c r="E846" i="2"/>
  <c r="E838" i="2"/>
  <c r="E830" i="2"/>
  <c r="P1062" i="2"/>
  <c r="H1028" i="2"/>
  <c r="M963" i="2"/>
  <c r="F951" i="2"/>
  <c r="F939" i="2"/>
  <c r="S928" i="2"/>
  <c r="Q920" i="2"/>
  <c r="Q912" i="2"/>
  <c r="Q904" i="2"/>
  <c r="Q896" i="2"/>
  <c r="Q888" i="2"/>
  <c r="Q880" i="2"/>
  <c r="Q872" i="2"/>
  <c r="Q864" i="2"/>
  <c r="Q856" i="2"/>
  <c r="Q848" i="2"/>
  <c r="Q840" i="2"/>
  <c r="Q832" i="2"/>
  <c r="S1155" i="2"/>
  <c r="Q1055" i="2"/>
  <c r="T1022" i="2"/>
  <c r="H992" i="2"/>
  <c r="O975" i="2"/>
  <c r="E961" i="2"/>
  <c r="E949" i="2"/>
  <c r="E937" i="2"/>
  <c r="N1192" i="2"/>
  <c r="S1061" i="2"/>
  <c r="P1027" i="2"/>
  <c r="G996" i="2"/>
  <c r="G978" i="2"/>
  <c r="G963" i="2"/>
  <c r="K1689" i="2"/>
  <c r="J1587" i="2"/>
  <c r="A1344" i="2"/>
  <c r="S1383" i="2"/>
  <c r="J1283" i="2"/>
  <c r="R1365" i="2"/>
  <c r="H1303" i="2"/>
  <c r="H1175" i="2"/>
  <c r="G1217" i="2"/>
  <c r="M1268" i="2"/>
  <c r="K1400" i="2"/>
  <c r="T1427" i="2"/>
  <c r="Q1229" i="2"/>
  <c r="C1344" i="2"/>
  <c r="P1293" i="2"/>
  <c r="G1367" i="2"/>
  <c r="A1271" i="2"/>
  <c r="A1223" i="2"/>
  <c r="A1175" i="2"/>
  <c r="K1311" i="2"/>
  <c r="F1272" i="2"/>
  <c r="F1224" i="2"/>
  <c r="R1319" i="2"/>
  <c r="C1234" i="2"/>
  <c r="R1161" i="2"/>
  <c r="K1128" i="2"/>
  <c r="K1096" i="2"/>
  <c r="K1064" i="2"/>
  <c r="T1270" i="2"/>
  <c r="C1177" i="2"/>
  <c r="Q1143" i="2"/>
  <c r="Q1111" i="2"/>
  <c r="R1302" i="2"/>
  <c r="N1193" i="2"/>
  <c r="P1161" i="2"/>
  <c r="P1145" i="2"/>
  <c r="P1129" i="2"/>
  <c r="P1113" i="2"/>
  <c r="P1097" i="2"/>
  <c r="P1081" i="2"/>
  <c r="P1065" i="2"/>
  <c r="K1197" i="2"/>
  <c r="O1161" i="2"/>
  <c r="O1129" i="2"/>
  <c r="O1097" i="2"/>
  <c r="T1240" i="2"/>
  <c r="S1181" i="2"/>
  <c r="T1146" i="2"/>
  <c r="T1122" i="2"/>
  <c r="T1098" i="2"/>
  <c r="K1308" i="2"/>
  <c r="P1214" i="2"/>
  <c r="F1170" i="2"/>
  <c r="F1146" i="2"/>
  <c r="F1122" i="2"/>
  <c r="F1098" i="2"/>
  <c r="P1272" i="2"/>
  <c r="P1224" i="2"/>
  <c r="K1194" i="2"/>
  <c r="K1165" i="2"/>
  <c r="E1146" i="2"/>
  <c r="K1131" i="2"/>
  <c r="K1117" i="2"/>
  <c r="R1104" i="2"/>
  <c r="E1090" i="2"/>
  <c r="R1440" i="2"/>
  <c r="G1272" i="2"/>
  <c r="G1218" i="2"/>
  <c r="P1191" i="2"/>
  <c r="D1172" i="2"/>
  <c r="D1160" i="2"/>
  <c r="D1148" i="2"/>
  <c r="D1136" i="2"/>
  <c r="D1124" i="2"/>
  <c r="D1112" i="2"/>
  <c r="D1100" i="2"/>
  <c r="D1088" i="2"/>
  <c r="D1076" i="2"/>
  <c r="D1064" i="2"/>
  <c r="E1411" i="2"/>
  <c r="R1274" i="2"/>
  <c r="R1226" i="2"/>
  <c r="N1195" i="2"/>
  <c r="K1174" i="2"/>
  <c r="C1162" i="2"/>
  <c r="C1150" i="2"/>
  <c r="P1138" i="2"/>
  <c r="C1110" i="2"/>
  <c r="P1100" i="2"/>
  <c r="P1090" i="2"/>
  <c r="C1296" i="2"/>
  <c r="P1258" i="2"/>
  <c r="C1222" i="2"/>
  <c r="R1196" i="2"/>
  <c r="O1168" i="2"/>
  <c r="O1158" i="2"/>
  <c r="H1149" i="2"/>
  <c r="H1139" i="2"/>
  <c r="A1130" i="2"/>
  <c r="O1120" i="2"/>
  <c r="O1110" i="2"/>
  <c r="H1101" i="2"/>
  <c r="O1092" i="2"/>
  <c r="O1084" i="2"/>
  <c r="O1076" i="2"/>
  <c r="O1068" i="2"/>
  <c r="O1060" i="2"/>
  <c r="R1206" i="2"/>
  <c r="G1143" i="2"/>
  <c r="M1095" i="2"/>
  <c r="K1075" i="2"/>
  <c r="K1063" i="2"/>
  <c r="S1044" i="2"/>
  <c r="S1036" i="2"/>
  <c r="S1028" i="2"/>
  <c r="S1020" i="2"/>
  <c r="S1012" i="2"/>
  <c r="S1004" i="2"/>
  <c r="S996" i="2"/>
  <c r="K1295" i="2"/>
  <c r="F1167" i="2"/>
  <c r="F1119" i="2"/>
  <c r="M1082" i="2"/>
  <c r="C1058" i="2"/>
  <c r="T1048" i="2"/>
  <c r="R1040" i="2"/>
  <c r="R1032" i="2"/>
  <c r="R1024" i="2"/>
  <c r="R1016" i="2"/>
  <c r="R1008" i="2"/>
  <c r="R1000" i="2"/>
  <c r="R992" i="2"/>
  <c r="R984" i="2"/>
  <c r="R976" i="2"/>
  <c r="R968" i="2"/>
  <c r="R960" i="2"/>
  <c r="R952" i="2"/>
  <c r="R944" i="2"/>
  <c r="R936" i="2"/>
  <c r="R928" i="2"/>
  <c r="G1181" i="2"/>
  <c r="N1130" i="2"/>
  <c r="G1087" i="2"/>
  <c r="G1072" i="2"/>
  <c r="N1060" i="2"/>
  <c r="C1051" i="2"/>
  <c r="Q1042" i="2"/>
  <c r="Q1034" i="2"/>
  <c r="Q1026" i="2"/>
  <c r="Q1018" i="2"/>
  <c r="Q1010" i="2"/>
  <c r="Q1002" i="2"/>
  <c r="Q994" i="2"/>
  <c r="Q986" i="2"/>
  <c r="Q978" i="2"/>
  <c r="Q970" i="2"/>
  <c r="Q962" i="2"/>
  <c r="Q954" i="2"/>
  <c r="Q946" i="2"/>
  <c r="Q938" i="2"/>
  <c r="N1215" i="2"/>
  <c r="M1146" i="2"/>
  <c r="M1098" i="2"/>
  <c r="F1076" i="2"/>
  <c r="F1064" i="2"/>
  <c r="T1053" i="2"/>
  <c r="J1306" i="2"/>
  <c r="T1169" i="2"/>
  <c r="T1121" i="2"/>
  <c r="Q1083" i="2"/>
  <c r="E1070" i="2"/>
  <c r="P1058" i="2"/>
  <c r="K1049" i="2"/>
  <c r="H1041" i="2"/>
  <c r="H1033" i="2"/>
  <c r="H1025" i="2"/>
  <c r="H1017" i="2"/>
  <c r="H1009" i="2"/>
  <c r="H1001" i="2"/>
  <c r="H993" i="2"/>
  <c r="H985" i="2"/>
  <c r="H977" i="2"/>
  <c r="H969" i="2"/>
  <c r="H961" i="2"/>
  <c r="H953" i="2"/>
  <c r="H945" i="2"/>
  <c r="H937" i="2"/>
  <c r="H929" i="2"/>
  <c r="G1187" i="2"/>
  <c r="S1133" i="2"/>
  <c r="F1089" i="2"/>
  <c r="A1073" i="2"/>
  <c r="G1061" i="2"/>
  <c r="N1051" i="2"/>
  <c r="G1043" i="2"/>
  <c r="G1035" i="2"/>
  <c r="G1027" i="2"/>
  <c r="G1019" i="2"/>
  <c r="G1011" i="2"/>
  <c r="G1003" i="2"/>
  <c r="N1287" i="2"/>
  <c r="G1165" i="2"/>
  <c r="G1117" i="2"/>
  <c r="S1081" i="2"/>
  <c r="T1068" i="2"/>
  <c r="P1057" i="2"/>
  <c r="O1048" i="2"/>
  <c r="M1040" i="2"/>
  <c r="M1032" i="2"/>
  <c r="M1024" i="2"/>
  <c r="M1016" i="2"/>
  <c r="M1008" i="2"/>
  <c r="M1000" i="2"/>
  <c r="M992" i="2"/>
  <c r="M984" i="2"/>
  <c r="M976" i="2"/>
  <c r="K1303" i="2"/>
  <c r="F1169" i="2"/>
  <c r="F1121" i="2"/>
  <c r="G1083" i="2"/>
  <c r="S1069" i="2"/>
  <c r="J1058" i="2"/>
  <c r="H1049" i="2"/>
  <c r="E1041" i="2"/>
  <c r="E1033" i="2"/>
  <c r="E1025" i="2"/>
  <c r="E1017" i="2"/>
  <c r="E1009" i="2"/>
  <c r="E1001" i="2"/>
  <c r="E993" i="2"/>
  <c r="Q1400" i="2"/>
  <c r="H1337" i="2"/>
  <c r="F1383" i="2"/>
  <c r="Q1282" i="2"/>
  <c r="R1361" i="2"/>
  <c r="O1302" i="2"/>
  <c r="O1174" i="2"/>
  <c r="N1216" i="2"/>
  <c r="S1267" i="2"/>
  <c r="T1423" i="2"/>
  <c r="D1229" i="2"/>
  <c r="C1293" i="2"/>
  <c r="G1363" i="2"/>
  <c r="H1270" i="2"/>
  <c r="H1222" i="2"/>
  <c r="H1174" i="2"/>
  <c r="K1310" i="2"/>
  <c r="F1262" i="2"/>
  <c r="F1214" i="2"/>
  <c r="E1161" i="2"/>
  <c r="R1127" i="2"/>
  <c r="R1095" i="2"/>
  <c r="R1063" i="2"/>
  <c r="G1268" i="2"/>
  <c r="N1209" i="2"/>
  <c r="D1169" i="2"/>
  <c r="D1137" i="2"/>
  <c r="D1105" i="2"/>
  <c r="E1276" i="2"/>
  <c r="C1161" i="2"/>
  <c r="C1145" i="2"/>
  <c r="C1129" i="2"/>
  <c r="C1113" i="2"/>
  <c r="C1097" i="2"/>
  <c r="C1081" i="2"/>
  <c r="C1065" i="2"/>
  <c r="E1196" i="2"/>
  <c r="A1155" i="2"/>
  <c r="A1123" i="2"/>
  <c r="A1091" i="2"/>
  <c r="R1216" i="2"/>
  <c r="R1180" i="2"/>
  <c r="G1146" i="2"/>
  <c r="G1122" i="2"/>
  <c r="G1098" i="2"/>
  <c r="S1304" i="2"/>
  <c r="P1212" i="2"/>
  <c r="M1169" i="2"/>
  <c r="M1145" i="2"/>
  <c r="M1121" i="2"/>
  <c r="M1097" i="2"/>
  <c r="C1270" i="2"/>
  <c r="E1193" i="2"/>
  <c r="K1163" i="2"/>
  <c r="K1145" i="2"/>
  <c r="E1130" i="2"/>
  <c r="R1116" i="2"/>
  <c r="K1103" i="2"/>
  <c r="K1089" i="2"/>
  <c r="K1390" i="2"/>
  <c r="G1264" i="2"/>
  <c r="G1216" i="2"/>
  <c r="J1171" i="2"/>
  <c r="J1159" i="2"/>
  <c r="J1147" i="2"/>
  <c r="J1135" i="2"/>
  <c r="J1123" i="2"/>
  <c r="J1111" i="2"/>
  <c r="J1099" i="2"/>
  <c r="J1087" i="2"/>
  <c r="J1075" i="2"/>
  <c r="J1063" i="2"/>
  <c r="E1387" i="2"/>
  <c r="E1272" i="2"/>
  <c r="E1224" i="2"/>
  <c r="G1194" i="2"/>
  <c r="M1173" i="2"/>
  <c r="C1138" i="2"/>
  <c r="P1128" i="2"/>
  <c r="P1118" i="2"/>
  <c r="C1090" i="2"/>
  <c r="P1080" i="2"/>
  <c r="C1256" i="2"/>
  <c r="C1218" i="2"/>
  <c r="K1195" i="2"/>
  <c r="H1167" i="2"/>
  <c r="A1158" i="2"/>
  <c r="O1148" i="2"/>
  <c r="O1138" i="2"/>
  <c r="H1129" i="2"/>
  <c r="H1119" i="2"/>
  <c r="A1110" i="2"/>
  <c r="O1100" i="2"/>
  <c r="A1092" i="2"/>
  <c r="A1084" i="2"/>
  <c r="A1076" i="2"/>
  <c r="A1068" i="2"/>
  <c r="A1060" i="2"/>
  <c r="C1198" i="2"/>
  <c r="G1139" i="2"/>
  <c r="S1092" i="2"/>
  <c r="J1074" i="2"/>
  <c r="M1062" i="2"/>
  <c r="O1052" i="2"/>
  <c r="F1044" i="2"/>
  <c r="F1036" i="2"/>
  <c r="F1028" i="2"/>
  <c r="F1020" i="2"/>
  <c r="F1012" i="2"/>
  <c r="F1004" i="2"/>
  <c r="F996" i="2"/>
  <c r="K1279" i="2"/>
  <c r="F1163" i="2"/>
  <c r="F1115" i="2"/>
  <c r="A1081" i="2"/>
  <c r="H1068" i="2"/>
  <c r="G1057" i="2"/>
  <c r="F1048" i="2"/>
  <c r="E1040" i="2"/>
  <c r="E1032" i="2"/>
  <c r="E1024" i="2"/>
  <c r="E1016" i="2"/>
  <c r="E1008" i="2"/>
  <c r="E1000" i="2"/>
  <c r="E992" i="2"/>
  <c r="E984" i="2"/>
  <c r="E976" i="2"/>
  <c r="E968" i="2"/>
  <c r="E960" i="2"/>
  <c r="E952" i="2"/>
  <c r="E944" i="2"/>
  <c r="E936" i="2"/>
  <c r="E1431" i="2"/>
  <c r="G1175" i="2"/>
  <c r="N1126" i="2"/>
  <c r="O1085" i="2"/>
  <c r="G1071" i="2"/>
  <c r="P1059" i="2"/>
  <c r="H1050" i="2"/>
  <c r="D1042" i="2"/>
  <c r="D1034" i="2"/>
  <c r="D1026" i="2"/>
  <c r="D1018" i="2"/>
  <c r="D1010" i="2"/>
  <c r="D1002" i="2"/>
  <c r="D994" i="2"/>
  <c r="D986" i="2"/>
  <c r="D978" i="2"/>
  <c r="D970" i="2"/>
  <c r="D962" i="2"/>
  <c r="D954" i="2"/>
  <c r="D946" i="2"/>
  <c r="D938" i="2"/>
  <c r="C1205" i="2"/>
  <c r="M1142" i="2"/>
  <c r="S1094" i="2"/>
  <c r="F1075" i="2"/>
  <c r="F1063" i="2"/>
  <c r="F1053" i="2"/>
  <c r="P1044" i="2"/>
  <c r="P1036" i="2"/>
  <c r="P1028" i="2"/>
  <c r="P1020" i="2"/>
  <c r="P1012" i="2"/>
  <c r="P1004" i="2"/>
  <c r="P996" i="2"/>
  <c r="G1290" i="2"/>
  <c r="T1165" i="2"/>
  <c r="T1117" i="2"/>
  <c r="F1082" i="2"/>
  <c r="D1069" i="2"/>
  <c r="S1057" i="2"/>
  <c r="Q1048" i="2"/>
  <c r="O1040" i="2"/>
  <c r="O1032" i="2"/>
  <c r="O1024" i="2"/>
  <c r="O1016" i="2"/>
  <c r="O1008" i="2"/>
  <c r="O1000" i="2"/>
  <c r="O992" i="2"/>
  <c r="O984" i="2"/>
  <c r="O976" i="2"/>
  <c r="O968" i="2"/>
  <c r="O960" i="2"/>
  <c r="O952" i="2"/>
  <c r="O944" i="2"/>
  <c r="O936" i="2"/>
  <c r="O928" i="2"/>
  <c r="F1180" i="2"/>
  <c r="S1129" i="2"/>
  <c r="S1086" i="2"/>
  <c r="C1072" i="2"/>
  <c r="S1050" i="2"/>
  <c r="N1042" i="2"/>
  <c r="N1034" i="2"/>
  <c r="N1026" i="2"/>
  <c r="N1018" i="2"/>
  <c r="N1010" i="2"/>
  <c r="N1002" i="2"/>
  <c r="N1271" i="2"/>
  <c r="G1161" i="2"/>
  <c r="G1113" i="2"/>
  <c r="H1080" i="2"/>
  <c r="T1067" i="2"/>
  <c r="T1056" i="2"/>
  <c r="T1047" i="2"/>
  <c r="S1039" i="2"/>
  <c r="S1031" i="2"/>
  <c r="S1023" i="2"/>
  <c r="S1015" i="2"/>
  <c r="S1007" i="2"/>
  <c r="S999" i="2"/>
  <c r="S991" i="2"/>
  <c r="S983" i="2"/>
  <c r="S975" i="2"/>
  <c r="K1287" i="2"/>
  <c r="F1165" i="2"/>
  <c r="F1117" i="2"/>
  <c r="Q1081" i="2"/>
  <c r="S1068" i="2"/>
  <c r="O1057" i="2"/>
  <c r="N1048" i="2"/>
  <c r="K1040" i="2"/>
  <c r="K1032" i="2"/>
  <c r="K1024" i="2"/>
  <c r="K1016" i="2"/>
  <c r="K1008" i="2"/>
  <c r="K1000" i="2"/>
  <c r="K992" i="2"/>
  <c r="K984" i="2"/>
  <c r="K976" i="2"/>
  <c r="K968" i="2"/>
  <c r="T1300" i="2"/>
  <c r="N1168" i="2"/>
  <c r="N1120" i="2"/>
  <c r="F1083" i="2"/>
  <c r="Q1069" i="2"/>
  <c r="G1049" i="2"/>
  <c r="D1041" i="2"/>
  <c r="D1033" i="2"/>
  <c r="D1025" i="2"/>
  <c r="D1017" i="2"/>
  <c r="D1009" i="2"/>
  <c r="D1001" i="2"/>
  <c r="D993" i="2"/>
  <c r="D985" i="2"/>
  <c r="D977" i="2"/>
  <c r="D969" i="2"/>
  <c r="D961" i="2"/>
  <c r="D953" i="2"/>
  <c r="D945" i="2"/>
  <c r="D937" i="2"/>
  <c r="M1093" i="2"/>
  <c r="N986" i="2"/>
  <c r="N970" i="2"/>
  <c r="G957" i="2"/>
  <c r="G945" i="2"/>
  <c r="P933" i="2"/>
  <c r="R924" i="2"/>
  <c r="R916" i="2"/>
  <c r="R908" i="2"/>
  <c r="R900" i="2"/>
  <c r="R892" i="2"/>
  <c r="R884" i="2"/>
  <c r="R876" i="2"/>
  <c r="R868" i="2"/>
  <c r="R860" i="2"/>
  <c r="R852" i="2"/>
  <c r="R844" i="2"/>
  <c r="R836" i="2"/>
  <c r="R828" i="2"/>
  <c r="T1155" i="2"/>
  <c r="S1055" i="2"/>
  <c r="A1023" i="2"/>
  <c r="P975" i="2"/>
  <c r="F961" i="2"/>
  <c r="F949" i="2"/>
  <c r="F937" i="2"/>
  <c r="J927" i="2"/>
  <c r="J919" i="2"/>
  <c r="J911" i="2"/>
  <c r="J903" i="2"/>
  <c r="J895" i="2"/>
  <c r="J887" i="2"/>
  <c r="J879" i="2"/>
  <c r="J871" i="2"/>
  <c r="J863" i="2"/>
  <c r="J855" i="2"/>
  <c r="J847" i="2"/>
  <c r="J839" i="2"/>
  <c r="J831" i="2"/>
  <c r="S1123" i="2"/>
  <c r="Q1049" i="2"/>
  <c r="N1017" i="2"/>
  <c r="A989" i="2"/>
  <c r="A973" i="2"/>
  <c r="E959" i="2"/>
  <c r="E947" i="2"/>
  <c r="F935" i="2"/>
  <c r="C926" i="2"/>
  <c r="C918" i="2"/>
  <c r="C910" i="2"/>
  <c r="C902" i="2"/>
  <c r="C894" i="2"/>
  <c r="C886" i="2"/>
  <c r="C878" i="2"/>
  <c r="C870" i="2"/>
  <c r="C862" i="2"/>
  <c r="C854" i="2"/>
  <c r="D1512" i="2"/>
  <c r="T1215" i="2"/>
  <c r="K1298" i="2"/>
  <c r="O1309" i="2"/>
  <c r="O1269" i="2"/>
  <c r="K1160" i="2"/>
  <c r="N1265" i="2"/>
  <c r="D1097" i="2"/>
  <c r="C1244" i="2"/>
  <c r="H1122" i="2"/>
  <c r="G1092" i="2"/>
  <c r="M1139" i="2"/>
  <c r="R1128" i="2"/>
  <c r="G1327" i="2"/>
  <c r="C1189" i="2"/>
  <c r="Q1134" i="2"/>
  <c r="Q1086" i="2"/>
  <c r="K1269" i="2"/>
  <c r="C1098" i="2"/>
  <c r="R1434" i="2"/>
  <c r="H1147" i="2"/>
  <c r="H1109" i="2"/>
  <c r="H1075" i="2"/>
  <c r="G1135" i="2"/>
  <c r="F1026" i="2"/>
  <c r="F994" i="2"/>
  <c r="J1078" i="2"/>
  <c r="S1054" i="2"/>
  <c r="R1022" i="2"/>
  <c r="R990" i="2"/>
  <c r="R958" i="2"/>
  <c r="T1292" i="2"/>
  <c r="G1069" i="2"/>
  <c r="D1040" i="2"/>
  <c r="D1008" i="2"/>
  <c r="D976" i="2"/>
  <c r="D944" i="2"/>
  <c r="M1089" i="2"/>
  <c r="T1161" i="2"/>
  <c r="H1031" i="2"/>
  <c r="H999" i="2"/>
  <c r="H967" i="2"/>
  <c r="H935" i="2"/>
  <c r="O1083" i="2"/>
  <c r="P1048" i="2"/>
  <c r="N1016" i="2"/>
  <c r="G1149" i="2"/>
  <c r="M1054" i="2"/>
  <c r="M1022" i="2"/>
  <c r="M990" i="2"/>
  <c r="F1161" i="2"/>
  <c r="K1030" i="2"/>
  <c r="K998" i="2"/>
  <c r="E969" i="2"/>
  <c r="N1124" i="2"/>
  <c r="G1059" i="2"/>
  <c r="Q1039" i="2"/>
  <c r="Q1015" i="2"/>
  <c r="Q991" i="2"/>
  <c r="Q967" i="2"/>
  <c r="Q943" i="2"/>
  <c r="C1047" i="2"/>
  <c r="H942" i="2"/>
  <c r="K923" i="2"/>
  <c r="K907" i="2"/>
  <c r="K891" i="2"/>
  <c r="K875" i="2"/>
  <c r="K859" i="2"/>
  <c r="K843" i="2"/>
  <c r="K827" i="2"/>
  <c r="Q1052" i="2"/>
  <c r="C973" i="2"/>
  <c r="G948" i="2"/>
  <c r="Q926" i="2"/>
  <c r="Q910" i="2"/>
  <c r="Q894" i="2"/>
  <c r="Q878" i="2"/>
  <c r="Q862" i="2"/>
  <c r="Q846" i="2"/>
  <c r="Q830" i="2"/>
  <c r="T1046" i="2"/>
  <c r="O987" i="2"/>
  <c r="F958" i="2"/>
  <c r="P900" i="2"/>
  <c r="P868" i="2"/>
  <c r="P858" i="2"/>
  <c r="P848" i="2"/>
  <c r="R1300" i="2"/>
  <c r="D1055" i="2"/>
  <c r="T980" i="2"/>
  <c r="F962" i="2"/>
  <c r="C950" i="2"/>
  <c r="C938" i="2"/>
  <c r="A928" i="2"/>
  <c r="A920" i="2"/>
  <c r="A912" i="2"/>
  <c r="A904" i="2"/>
  <c r="A896" i="2"/>
  <c r="A888" i="2"/>
  <c r="A880" i="2"/>
  <c r="A872" i="2"/>
  <c r="A864" i="2"/>
  <c r="A856" i="2"/>
  <c r="A848" i="2"/>
  <c r="A840" i="2"/>
  <c r="A832" i="2"/>
  <c r="G1298" i="2"/>
  <c r="N1069" i="2"/>
  <c r="A1033" i="2"/>
  <c r="A1001" i="2"/>
  <c r="S980" i="2"/>
  <c r="M965" i="2"/>
  <c r="A953" i="2"/>
  <c r="A941" i="2"/>
  <c r="G930" i="2"/>
  <c r="T921" i="2"/>
  <c r="T913" i="2"/>
  <c r="T905" i="2"/>
  <c r="T897" i="2"/>
  <c r="T889" i="2"/>
  <c r="T881" i="2"/>
  <c r="T873" i="2"/>
  <c r="T865" i="2"/>
  <c r="T857" i="2"/>
  <c r="T849" i="2"/>
  <c r="T841" i="2"/>
  <c r="T833" i="2"/>
  <c r="S1103" i="2"/>
  <c r="G1046" i="2"/>
  <c r="G1014" i="2"/>
  <c r="S957" i="2"/>
  <c r="S945" i="2"/>
  <c r="F934" i="2"/>
  <c r="F925" i="2"/>
  <c r="F917" i="2"/>
  <c r="F909" i="2"/>
  <c r="F901" i="2"/>
  <c r="F893" i="2"/>
  <c r="F885" i="2"/>
  <c r="F877" i="2"/>
  <c r="F869" i="2"/>
  <c r="F861" i="2"/>
  <c r="F853" i="2"/>
  <c r="F845" i="2"/>
  <c r="F1088" i="2"/>
  <c r="C1043" i="2"/>
  <c r="C1011" i="2"/>
  <c r="T985" i="2"/>
  <c r="T969" i="2"/>
  <c r="S956" i="2"/>
  <c r="S944" i="2"/>
  <c r="G933" i="2"/>
  <c r="K924" i="2"/>
  <c r="K916" i="2"/>
  <c r="K908" i="2"/>
  <c r="K900" i="2"/>
  <c r="K892" i="2"/>
  <c r="K884" i="2"/>
  <c r="K876" i="2"/>
  <c r="K868" i="2"/>
  <c r="T1147" i="2"/>
  <c r="G1054" i="2"/>
  <c r="O1021" i="2"/>
  <c r="N991" i="2"/>
  <c r="C975" i="2"/>
  <c r="P960" i="2"/>
  <c r="P948" i="2"/>
  <c r="P936" i="2"/>
  <c r="D927" i="2"/>
  <c r="D919" i="2"/>
  <c r="D911" i="2"/>
  <c r="D903" i="2"/>
  <c r="D895" i="2"/>
  <c r="D887" i="2"/>
  <c r="D879" i="2"/>
  <c r="D871" i="2"/>
  <c r="D863" i="2"/>
  <c r="S1099" i="2"/>
  <c r="N1045" i="2"/>
  <c r="N1013" i="2"/>
  <c r="N1071" i="2"/>
  <c r="H1034" i="2"/>
  <c r="H1002" i="2"/>
  <c r="M981" i="2"/>
  <c r="C966" i="2"/>
  <c r="M953" i="2"/>
  <c r="M941" i="2"/>
  <c r="N930" i="2"/>
  <c r="G922" i="2"/>
  <c r="G914" i="2"/>
  <c r="G906" i="2"/>
  <c r="G898" i="2"/>
  <c r="G890" i="2"/>
  <c r="G882" i="2"/>
  <c r="G874" i="2"/>
  <c r="G866" i="2"/>
  <c r="G858" i="2"/>
  <c r="G850" i="2"/>
  <c r="G842" i="2"/>
  <c r="P982" i="2"/>
  <c r="S898" i="2"/>
  <c r="S866" i="2"/>
  <c r="O845" i="2"/>
  <c r="C832" i="2"/>
  <c r="G822" i="2"/>
  <c r="G814" i="2"/>
  <c r="G806" i="2"/>
  <c r="G798" i="2"/>
  <c r="G790" i="2"/>
  <c r="G782" i="2"/>
  <c r="G774" i="2"/>
  <c r="G766" i="2"/>
  <c r="G758" i="2"/>
  <c r="G750" i="2"/>
  <c r="G742" i="2"/>
  <c r="G734" i="2"/>
  <c r="G726" i="2"/>
  <c r="G718" i="2"/>
  <c r="G710" i="2"/>
  <c r="E1266" i="2"/>
  <c r="G966" i="2"/>
  <c r="Q859" i="2"/>
  <c r="C841" i="2"/>
  <c r="E829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C1013" i="2"/>
  <c r="N945" i="2"/>
  <c r="A909" i="2"/>
  <c r="A877" i="2"/>
  <c r="P851" i="2"/>
  <c r="R835" i="2"/>
  <c r="A825" i="2"/>
  <c r="R816" i="2"/>
  <c r="R808" i="2"/>
  <c r="R800" i="2"/>
  <c r="R792" i="2"/>
  <c r="R784" i="2"/>
  <c r="R776" i="2"/>
  <c r="R768" i="2"/>
  <c r="R760" i="2"/>
  <c r="R752" i="2"/>
  <c r="R744" i="2"/>
  <c r="R736" i="2"/>
  <c r="R728" i="2"/>
  <c r="R720" i="2"/>
  <c r="R712" i="2"/>
  <c r="R704" i="2"/>
  <c r="M930" i="2"/>
  <c r="F898" i="2"/>
  <c r="F866" i="2"/>
  <c r="D845" i="2"/>
  <c r="Q831" i="2"/>
  <c r="D822" i="2"/>
  <c r="D814" i="2"/>
  <c r="D806" i="2"/>
  <c r="D798" i="2"/>
  <c r="D790" i="2"/>
  <c r="D782" i="2"/>
  <c r="D774" i="2"/>
  <c r="D766" i="2"/>
  <c r="D758" i="2"/>
  <c r="D750" i="2"/>
  <c r="D742" i="2"/>
  <c r="D734" i="2"/>
  <c r="D726" i="2"/>
  <c r="D718" i="2"/>
  <c r="D710" i="2"/>
  <c r="T1010" i="2"/>
  <c r="N944" i="2"/>
  <c r="M851" i="2"/>
  <c r="P835" i="2"/>
  <c r="S824" i="2"/>
  <c r="P816" i="2"/>
  <c r="P808" i="2"/>
  <c r="P800" i="2"/>
  <c r="P792" i="2"/>
  <c r="P784" i="2"/>
  <c r="P776" i="2"/>
  <c r="P768" i="2"/>
  <c r="P760" i="2"/>
  <c r="P752" i="2"/>
  <c r="P744" i="2"/>
  <c r="P736" i="2"/>
  <c r="P728" i="2"/>
  <c r="P720" i="2"/>
  <c r="J1511" i="2"/>
  <c r="K1433" i="2"/>
  <c r="N1376" i="2"/>
  <c r="R1297" i="2"/>
  <c r="O1259" i="2"/>
  <c r="K1152" i="2"/>
  <c r="T1238" i="2"/>
  <c r="K1273" i="2"/>
  <c r="O1121" i="2"/>
  <c r="T1090" i="2"/>
  <c r="F1138" i="2"/>
  <c r="K1127" i="2"/>
  <c r="R1313" i="2"/>
  <c r="J1133" i="2"/>
  <c r="J1085" i="2"/>
  <c r="E1264" i="2"/>
  <c r="P1148" i="2"/>
  <c r="K1410" i="2"/>
  <c r="O1146" i="2"/>
  <c r="O1108" i="2"/>
  <c r="O1074" i="2"/>
  <c r="G1131" i="2"/>
  <c r="T1051" i="2"/>
  <c r="M1019" i="2"/>
  <c r="K1263" i="2"/>
  <c r="E1022" i="2"/>
  <c r="E990" i="2"/>
  <c r="E958" i="2"/>
  <c r="T1276" i="2"/>
  <c r="G1068" i="2"/>
  <c r="J1033" i="2"/>
  <c r="J1001" i="2"/>
  <c r="J969" i="2"/>
  <c r="J937" i="2"/>
  <c r="F1087" i="2"/>
  <c r="T1157" i="2"/>
  <c r="C1057" i="2"/>
  <c r="O1030" i="2"/>
  <c r="O998" i="2"/>
  <c r="O966" i="2"/>
  <c r="O934" i="2"/>
  <c r="T1081" i="2"/>
  <c r="T1041" i="2"/>
  <c r="T1009" i="2"/>
  <c r="G1109" i="2"/>
  <c r="S1021" i="2"/>
  <c r="S989" i="2"/>
  <c r="F1157" i="2"/>
  <c r="S1056" i="2"/>
  <c r="R1023" i="2"/>
  <c r="R991" i="2"/>
  <c r="R967" i="2"/>
  <c r="N1116" i="2"/>
  <c r="D1039" i="2"/>
  <c r="D1015" i="2"/>
  <c r="D991" i="2"/>
  <c r="D967" i="2"/>
  <c r="D943" i="2"/>
  <c r="N992" i="2"/>
  <c r="G961" i="2"/>
  <c r="G937" i="2"/>
  <c r="R922" i="2"/>
  <c r="R906" i="2"/>
  <c r="R890" i="2"/>
  <c r="R874" i="2"/>
  <c r="R858" i="2"/>
  <c r="R842" i="2"/>
  <c r="R826" i="2"/>
  <c r="S1049" i="2"/>
  <c r="P971" i="2"/>
  <c r="F947" i="2"/>
  <c r="D926" i="2"/>
  <c r="D910" i="2"/>
  <c r="D894" i="2"/>
  <c r="D878" i="2"/>
  <c r="D862" i="2"/>
  <c r="D846" i="2"/>
  <c r="D830" i="2"/>
  <c r="G1044" i="2"/>
  <c r="H986" i="2"/>
  <c r="E957" i="2"/>
  <c r="N933" i="2"/>
  <c r="P920" i="2"/>
  <c r="P910" i="2"/>
  <c r="C900" i="2"/>
  <c r="P888" i="2"/>
  <c r="P878" i="2"/>
  <c r="C868" i="2"/>
  <c r="C848" i="2"/>
  <c r="R1236" i="2"/>
  <c r="D1052" i="2"/>
  <c r="C1009" i="2"/>
  <c r="N979" i="2"/>
  <c r="C961" i="2"/>
  <c r="C949" i="2"/>
  <c r="C937" i="2"/>
  <c r="H927" i="2"/>
  <c r="H919" i="2"/>
  <c r="H911" i="2"/>
  <c r="H903" i="2"/>
  <c r="H895" i="2"/>
  <c r="H887" i="2"/>
  <c r="H879" i="2"/>
  <c r="H871" i="2"/>
  <c r="H863" i="2"/>
  <c r="H855" i="2"/>
  <c r="H847" i="2"/>
  <c r="H839" i="2"/>
  <c r="H831" i="2"/>
  <c r="G1234" i="2"/>
  <c r="N1065" i="2"/>
  <c r="H1030" i="2"/>
  <c r="H998" i="2"/>
  <c r="M979" i="2"/>
  <c r="H964" i="2"/>
  <c r="T951" i="2"/>
  <c r="T939" i="2"/>
  <c r="J929" i="2"/>
  <c r="G921" i="2"/>
  <c r="G913" i="2"/>
  <c r="G905" i="2"/>
  <c r="G897" i="2"/>
  <c r="G889" i="2"/>
  <c r="G881" i="2"/>
  <c r="G873" i="2"/>
  <c r="G865" i="2"/>
  <c r="G857" i="2"/>
  <c r="G849" i="2"/>
  <c r="G841" i="2"/>
  <c r="G833" i="2"/>
  <c r="M1090" i="2"/>
  <c r="N1043" i="2"/>
  <c r="N1011" i="2"/>
  <c r="C986" i="2"/>
  <c r="C970" i="2"/>
  <c r="T956" i="2"/>
  <c r="T944" i="2"/>
  <c r="M924" i="2"/>
  <c r="M916" i="2"/>
  <c r="M908" i="2"/>
  <c r="M900" i="2"/>
  <c r="M892" i="2"/>
  <c r="M884" i="2"/>
  <c r="M876" i="2"/>
  <c r="M868" i="2"/>
  <c r="M860" i="2"/>
  <c r="M852" i="2"/>
  <c r="M844" i="2"/>
  <c r="M1081" i="2"/>
  <c r="N984" i="2"/>
  <c r="P968" i="2"/>
  <c r="R955" i="2"/>
  <c r="R943" i="2"/>
  <c r="K932" i="2"/>
  <c r="R923" i="2"/>
  <c r="R915" i="2"/>
  <c r="R907" i="2"/>
  <c r="R899" i="2"/>
  <c r="R891" i="2"/>
  <c r="R883" i="2"/>
  <c r="R875" i="2"/>
  <c r="R867" i="2"/>
  <c r="T1131" i="2"/>
  <c r="H1051" i="2"/>
  <c r="A1019" i="2"/>
  <c r="P989" i="2"/>
  <c r="P973" i="2"/>
  <c r="P959" i="2"/>
  <c r="P947" i="2"/>
  <c r="P935" i="2"/>
  <c r="J926" i="2"/>
  <c r="J918" i="2"/>
  <c r="J910" i="2"/>
  <c r="J902" i="2"/>
  <c r="J894" i="2"/>
  <c r="J886" i="2"/>
  <c r="J878" i="2"/>
  <c r="J870" i="2"/>
  <c r="J862" i="2"/>
  <c r="S1087" i="2"/>
  <c r="T1042" i="2"/>
  <c r="G1266" i="2"/>
  <c r="N1067" i="2"/>
  <c r="O1031" i="2"/>
  <c r="O999" i="2"/>
  <c r="F980" i="2"/>
  <c r="T964" i="2"/>
  <c r="K952" i="2"/>
  <c r="K940" i="2"/>
  <c r="R929" i="2"/>
  <c r="N921" i="2"/>
  <c r="N913" i="2"/>
  <c r="N905" i="2"/>
  <c r="N897" i="2"/>
  <c r="N889" i="2"/>
  <c r="N881" i="2"/>
  <c r="N873" i="2"/>
  <c r="N865" i="2"/>
  <c r="N857" i="2"/>
  <c r="N849" i="2"/>
  <c r="N841" i="2"/>
  <c r="F928" i="2"/>
  <c r="F896" i="2"/>
  <c r="F864" i="2"/>
  <c r="R843" i="2"/>
  <c r="C831" i="2"/>
  <c r="N821" i="2"/>
  <c r="N813" i="2"/>
  <c r="N805" i="2"/>
  <c r="N797" i="2"/>
  <c r="N789" i="2"/>
  <c r="N781" i="2"/>
  <c r="N773" i="2"/>
  <c r="N765" i="2"/>
  <c r="N757" i="2"/>
  <c r="N749" i="2"/>
  <c r="N741" i="2"/>
  <c r="N733" i="2"/>
  <c r="N725" i="2"/>
  <c r="N717" i="2"/>
  <c r="N709" i="2"/>
  <c r="S1111" i="2"/>
  <c r="O961" i="2"/>
  <c r="P919" i="2"/>
  <c r="P887" i="2"/>
  <c r="H858" i="2"/>
  <c r="S839" i="2"/>
  <c r="H828" i="2"/>
  <c r="M819" i="2"/>
  <c r="M811" i="2"/>
  <c r="M803" i="2"/>
  <c r="M795" i="2"/>
  <c r="M787" i="2"/>
  <c r="M779" i="2"/>
  <c r="M771" i="2"/>
  <c r="M763" i="2"/>
  <c r="M755" i="2"/>
  <c r="M747" i="2"/>
  <c r="M739" i="2"/>
  <c r="M731" i="2"/>
  <c r="M723" i="2"/>
  <c r="M715" i="2"/>
  <c r="M707" i="2"/>
  <c r="N941" i="2"/>
  <c r="H906" i="2"/>
  <c r="H874" i="2"/>
  <c r="F850" i="2"/>
  <c r="T834" i="2"/>
  <c r="F824" i="2"/>
  <c r="E816" i="2"/>
  <c r="E808" i="2"/>
  <c r="E800" i="2"/>
  <c r="E792" i="2"/>
  <c r="E784" i="2"/>
  <c r="E776" i="2"/>
  <c r="E768" i="2"/>
  <c r="E760" i="2"/>
  <c r="E752" i="2"/>
  <c r="E744" i="2"/>
  <c r="E736" i="2"/>
  <c r="E728" i="2"/>
  <c r="E720" i="2"/>
  <c r="E712" i="2"/>
  <c r="E704" i="2"/>
  <c r="C976" i="2"/>
  <c r="M927" i="2"/>
  <c r="M895" i="2"/>
  <c r="M863" i="2"/>
  <c r="O843" i="2"/>
  <c r="S830" i="2"/>
  <c r="J821" i="2"/>
  <c r="J813" i="2"/>
  <c r="J805" i="2"/>
  <c r="J797" i="2"/>
  <c r="J789" i="2"/>
  <c r="J781" i="2"/>
  <c r="J773" i="2"/>
  <c r="J765" i="2"/>
  <c r="J757" i="2"/>
  <c r="J749" i="2"/>
  <c r="J741" i="2"/>
  <c r="J733" i="2"/>
  <c r="J725" i="2"/>
  <c r="J717" i="2"/>
  <c r="J709" i="2"/>
  <c r="G1000" i="2"/>
  <c r="N940" i="2"/>
  <c r="P905" i="2"/>
  <c r="P873" i="2"/>
  <c r="Q849" i="2"/>
  <c r="P834" i="2"/>
  <c r="C824" i="2"/>
  <c r="C816" i="2"/>
  <c r="C808" i="2"/>
  <c r="C800" i="2"/>
  <c r="C792" i="2"/>
  <c r="C784" i="2"/>
  <c r="C776" i="2"/>
  <c r="C768" i="2"/>
  <c r="C760" i="2"/>
  <c r="C752" i="2"/>
  <c r="C744" i="2"/>
  <c r="C736" i="2"/>
  <c r="P1354" i="2"/>
  <c r="O1312" i="2"/>
  <c r="N1372" i="2"/>
  <c r="R1308" i="2"/>
  <c r="A1259" i="2"/>
  <c r="R1151" i="2"/>
  <c r="G1236" i="2"/>
  <c r="R1270" i="2"/>
  <c r="R1316" i="2"/>
  <c r="A1115" i="2"/>
  <c r="R1179" i="2"/>
  <c r="E1302" i="2"/>
  <c r="S1120" i="2"/>
  <c r="P1256" i="2"/>
  <c r="K1186" i="2"/>
  <c r="K1115" i="2"/>
  <c r="N1261" i="2"/>
  <c r="S1183" i="2"/>
  <c r="D1132" i="2"/>
  <c r="D1084" i="2"/>
  <c r="R1258" i="2"/>
  <c r="A1146" i="2"/>
  <c r="H1107" i="2"/>
  <c r="A1074" i="2"/>
  <c r="G1127" i="2"/>
  <c r="F1051" i="2"/>
  <c r="S1018" i="2"/>
  <c r="K1247" i="2"/>
  <c r="K1047" i="2"/>
  <c r="K1015" i="2"/>
  <c r="K983" i="2"/>
  <c r="K951" i="2"/>
  <c r="N1170" i="2"/>
  <c r="Q1032" i="2"/>
  <c r="Q1000" i="2"/>
  <c r="Q968" i="2"/>
  <c r="Q936" i="2"/>
  <c r="C1044" i="2"/>
  <c r="C1028" i="2"/>
  <c r="C1012" i="2"/>
  <c r="C996" i="2"/>
  <c r="T1153" i="2"/>
  <c r="G1056" i="2"/>
  <c r="A1024" i="2"/>
  <c r="A992" i="2"/>
  <c r="A960" i="2"/>
  <c r="K1406" i="2"/>
  <c r="A1071" i="2"/>
  <c r="G1041" i="2"/>
  <c r="G1009" i="2"/>
  <c r="G1105" i="2"/>
  <c r="F1047" i="2"/>
  <c r="F1015" i="2"/>
  <c r="F983" i="2"/>
  <c r="F1153" i="2"/>
  <c r="C1056" i="2"/>
  <c r="E1023" i="2"/>
  <c r="E991" i="2"/>
  <c r="E967" i="2"/>
  <c r="N1112" i="2"/>
  <c r="N1057" i="2"/>
  <c r="Q1033" i="2"/>
  <c r="Q1009" i="2"/>
  <c r="Q985" i="2"/>
  <c r="Q961" i="2"/>
  <c r="Q937" i="2"/>
  <c r="P1041" i="2"/>
  <c r="T987" i="2"/>
  <c r="H960" i="2"/>
  <c r="H936" i="2"/>
  <c r="K919" i="2"/>
  <c r="K903" i="2"/>
  <c r="K887" i="2"/>
  <c r="K871" i="2"/>
  <c r="K855" i="2"/>
  <c r="K839" i="2"/>
  <c r="K1338" i="2"/>
  <c r="A1047" i="2"/>
  <c r="G946" i="2"/>
  <c r="J925" i="2"/>
  <c r="J909" i="2"/>
  <c r="J893" i="2"/>
  <c r="J877" i="2"/>
  <c r="J861" i="2"/>
  <c r="J845" i="2"/>
  <c r="J829" i="2"/>
  <c r="N1041" i="2"/>
  <c r="A985" i="2"/>
  <c r="F956" i="2"/>
  <c r="Q932" i="2"/>
  <c r="C920" i="2"/>
  <c r="C888" i="2"/>
  <c r="P856" i="2"/>
  <c r="M1168" i="2"/>
  <c r="F1049" i="2"/>
  <c r="T976" i="2"/>
  <c r="C960" i="2"/>
  <c r="C948" i="2"/>
  <c r="C936" i="2"/>
  <c r="O926" i="2"/>
  <c r="O918" i="2"/>
  <c r="O910" i="2"/>
  <c r="O902" i="2"/>
  <c r="O894" i="2"/>
  <c r="O886" i="2"/>
  <c r="O878" i="2"/>
  <c r="O870" i="2"/>
  <c r="O862" i="2"/>
  <c r="O854" i="2"/>
  <c r="O846" i="2"/>
  <c r="O838" i="2"/>
  <c r="O830" i="2"/>
  <c r="Q1061" i="2"/>
  <c r="O1027" i="2"/>
  <c r="T995" i="2"/>
  <c r="F978" i="2"/>
  <c r="F963" i="2"/>
  <c r="A951" i="2"/>
  <c r="A939" i="2"/>
  <c r="N928" i="2"/>
  <c r="N920" i="2"/>
  <c r="N912" i="2"/>
  <c r="N904" i="2"/>
  <c r="N896" i="2"/>
  <c r="N888" i="2"/>
  <c r="N880" i="2"/>
  <c r="N872" i="2"/>
  <c r="N864" i="2"/>
  <c r="N856" i="2"/>
  <c r="N848" i="2"/>
  <c r="N840" i="2"/>
  <c r="N832" i="2"/>
  <c r="S1082" i="2"/>
  <c r="T1040" i="2"/>
  <c r="T1008" i="2"/>
  <c r="P984" i="2"/>
  <c r="S968" i="2"/>
  <c r="S955" i="2"/>
  <c r="S943" i="2"/>
  <c r="M932" i="2"/>
  <c r="S923" i="2"/>
  <c r="S915" i="2"/>
  <c r="S907" i="2"/>
  <c r="S899" i="2"/>
  <c r="S891" i="2"/>
  <c r="S883" i="2"/>
  <c r="S875" i="2"/>
  <c r="S867" i="2"/>
  <c r="S859" i="2"/>
  <c r="S851" i="2"/>
  <c r="S843" i="2"/>
  <c r="P1076" i="2"/>
  <c r="P1037" i="2"/>
  <c r="P1005" i="2"/>
  <c r="G983" i="2"/>
  <c r="N967" i="2"/>
  <c r="S954" i="2"/>
  <c r="S942" i="2"/>
  <c r="P931" i="2"/>
  <c r="E923" i="2"/>
  <c r="E915" i="2"/>
  <c r="E907" i="2"/>
  <c r="E899" i="2"/>
  <c r="E891" i="2"/>
  <c r="E883" i="2"/>
  <c r="E875" i="2"/>
  <c r="E867" i="2"/>
  <c r="T1115" i="2"/>
  <c r="H1016" i="2"/>
  <c r="P958" i="2"/>
  <c r="P946" i="2"/>
  <c r="S934" i="2"/>
  <c r="Q925" i="2"/>
  <c r="Q917" i="2"/>
  <c r="Q909" i="2"/>
  <c r="Q901" i="2"/>
  <c r="Q893" i="2"/>
  <c r="Q885" i="2"/>
  <c r="Q877" i="2"/>
  <c r="Q869" i="2"/>
  <c r="Q861" i="2"/>
  <c r="F1081" i="2"/>
  <c r="G1040" i="2"/>
  <c r="N1063" i="2"/>
  <c r="A1029" i="2"/>
  <c r="A997" i="2"/>
  <c r="S978" i="2"/>
  <c r="P963" i="2"/>
  <c r="M951" i="2"/>
  <c r="M939" i="2"/>
  <c r="C929" i="2"/>
  <c r="T920" i="2"/>
  <c r="T912" i="2"/>
  <c r="T904" i="2"/>
  <c r="T896" i="2"/>
  <c r="T888" i="2"/>
  <c r="T880" i="2"/>
  <c r="T872" i="2"/>
  <c r="T864" i="2"/>
  <c r="T856" i="2"/>
  <c r="T848" i="2"/>
  <c r="T840" i="2"/>
  <c r="C972" i="2"/>
  <c r="M925" i="2"/>
  <c r="M893" i="2"/>
  <c r="R861" i="2"/>
  <c r="J842" i="2"/>
  <c r="F830" i="2"/>
  <c r="T820" i="2"/>
  <c r="T812" i="2"/>
  <c r="T804" i="2"/>
  <c r="T796" i="2"/>
  <c r="T788" i="2"/>
  <c r="T780" i="2"/>
  <c r="T772" i="2"/>
  <c r="T764" i="2"/>
  <c r="T756" i="2"/>
  <c r="T748" i="2"/>
  <c r="T740" i="2"/>
  <c r="T732" i="2"/>
  <c r="T724" i="2"/>
  <c r="T716" i="2"/>
  <c r="T708" i="2"/>
  <c r="M1067" i="2"/>
  <c r="O957" i="2"/>
  <c r="C917" i="2"/>
  <c r="C885" i="2"/>
  <c r="K856" i="2"/>
  <c r="A839" i="2"/>
  <c r="J827" i="2"/>
  <c r="S818" i="2"/>
  <c r="S810" i="2"/>
  <c r="S802" i="2"/>
  <c r="S794" i="2"/>
  <c r="S786" i="2"/>
  <c r="S778" i="2"/>
  <c r="S770" i="2"/>
  <c r="S762" i="2"/>
  <c r="S754" i="2"/>
  <c r="S746" i="2"/>
  <c r="S738" i="2"/>
  <c r="S730" i="2"/>
  <c r="S722" i="2"/>
  <c r="S714" i="2"/>
  <c r="S706" i="2"/>
  <c r="C993" i="2"/>
  <c r="N937" i="2"/>
  <c r="O903" i="2"/>
  <c r="O871" i="2"/>
  <c r="J848" i="2"/>
  <c r="R833" i="2"/>
  <c r="K823" i="2"/>
  <c r="K815" i="2"/>
  <c r="K807" i="2"/>
  <c r="K799" i="2"/>
  <c r="K791" i="2"/>
  <c r="K783" i="2"/>
  <c r="K775" i="2"/>
  <c r="K767" i="2"/>
  <c r="K759" i="2"/>
  <c r="K751" i="2"/>
  <c r="K743" i="2"/>
  <c r="K735" i="2"/>
  <c r="K727" i="2"/>
  <c r="K719" i="2"/>
  <c r="K711" i="2"/>
  <c r="K703" i="2"/>
  <c r="P970" i="2"/>
  <c r="S924" i="2"/>
  <c r="S892" i="2"/>
  <c r="M861" i="2"/>
  <c r="F842" i="2"/>
  <c r="S829" i="2"/>
  <c r="Q820" i="2"/>
  <c r="Q812" i="2"/>
  <c r="Q804" i="2"/>
  <c r="Q796" i="2"/>
  <c r="Q788" i="2"/>
  <c r="Q780" i="2"/>
  <c r="Q772" i="2"/>
  <c r="Q764" i="2"/>
  <c r="Q756" i="2"/>
  <c r="Q748" i="2"/>
  <c r="Q740" i="2"/>
  <c r="Q732" i="2"/>
  <c r="Q724" i="2"/>
  <c r="Q716" i="2"/>
  <c r="Q708" i="2"/>
  <c r="G991" i="2"/>
  <c r="N936" i="2"/>
  <c r="C903" i="2"/>
  <c r="C871" i="2"/>
  <c r="H848" i="2"/>
  <c r="P833" i="2"/>
  <c r="T1059" i="2"/>
  <c r="M956" i="2"/>
  <c r="H916" i="2"/>
  <c r="H884" i="2"/>
  <c r="F856" i="2"/>
  <c r="M838" i="2"/>
  <c r="E827" i="2"/>
  <c r="O818" i="2"/>
  <c r="A1312" i="2"/>
  <c r="Q1301" i="2"/>
  <c r="C1233" i="2"/>
  <c r="O1221" i="2"/>
  <c r="F1298" i="2"/>
  <c r="E1127" i="2"/>
  <c r="E1244" i="2"/>
  <c r="H1309" i="2"/>
  <c r="H1090" i="2"/>
  <c r="T1170" i="2"/>
  <c r="R1280" i="2"/>
  <c r="M1115" i="2"/>
  <c r="R1182" i="2"/>
  <c r="E1114" i="2"/>
  <c r="G1256" i="2"/>
  <c r="Q1170" i="2"/>
  <c r="Q1122" i="2"/>
  <c r="Q1074" i="2"/>
  <c r="E1222" i="2"/>
  <c r="C1146" i="2"/>
  <c r="P1126" i="2"/>
  <c r="C1216" i="2"/>
  <c r="A1138" i="2"/>
  <c r="H1099" i="2"/>
  <c r="H1067" i="2"/>
  <c r="F1090" i="2"/>
  <c r="J1050" i="2"/>
  <c r="F1018" i="2"/>
  <c r="K1231" i="2"/>
  <c r="R1046" i="2"/>
  <c r="R1014" i="2"/>
  <c r="R982" i="2"/>
  <c r="R950" i="2"/>
  <c r="N1166" i="2"/>
  <c r="S1058" i="2"/>
  <c r="D1032" i="2"/>
  <c r="D1000" i="2"/>
  <c r="D968" i="2"/>
  <c r="D936" i="2"/>
  <c r="F1074" i="2"/>
  <c r="T1113" i="2"/>
  <c r="K1055" i="2"/>
  <c r="H1023" i="2"/>
  <c r="H991" i="2"/>
  <c r="H959" i="2"/>
  <c r="H1306" i="2"/>
  <c r="C1070" i="2"/>
  <c r="N1040" i="2"/>
  <c r="N1008" i="2"/>
  <c r="G1101" i="2"/>
  <c r="M1046" i="2"/>
  <c r="M1014" i="2"/>
  <c r="M982" i="2"/>
  <c r="F1113" i="2"/>
  <c r="G1055" i="2"/>
  <c r="K1022" i="2"/>
  <c r="K990" i="2"/>
  <c r="K966" i="2"/>
  <c r="N1108" i="2"/>
  <c r="R1056" i="2"/>
  <c r="J1032" i="2"/>
  <c r="J1008" i="2"/>
  <c r="J984" i="2"/>
  <c r="J960" i="2"/>
  <c r="J936" i="2"/>
  <c r="C1039" i="2"/>
  <c r="G985" i="2"/>
  <c r="H958" i="2"/>
  <c r="R918" i="2"/>
  <c r="R902" i="2"/>
  <c r="R886" i="2"/>
  <c r="R870" i="2"/>
  <c r="R854" i="2"/>
  <c r="R838" i="2"/>
  <c r="G1250" i="2"/>
  <c r="O1033" i="2"/>
  <c r="C989" i="2"/>
  <c r="P965" i="2"/>
  <c r="F941" i="2"/>
  <c r="D922" i="2"/>
  <c r="D906" i="2"/>
  <c r="D890" i="2"/>
  <c r="D874" i="2"/>
  <c r="D858" i="2"/>
  <c r="D842" i="2"/>
  <c r="G1199" i="2"/>
  <c r="G1028" i="2"/>
  <c r="H978" i="2"/>
  <c r="E951" i="2"/>
  <c r="P908" i="2"/>
  <c r="P876" i="2"/>
  <c r="C856" i="2"/>
  <c r="P846" i="2"/>
  <c r="M1152" i="2"/>
  <c r="C1001" i="2"/>
  <c r="N975" i="2"/>
  <c r="C959" i="2"/>
  <c r="C947" i="2"/>
  <c r="E935" i="2"/>
  <c r="A926" i="2"/>
  <c r="A918" i="2"/>
  <c r="A910" i="2"/>
  <c r="A902" i="2"/>
  <c r="A894" i="2"/>
  <c r="A886" i="2"/>
  <c r="A878" i="2"/>
  <c r="A870" i="2"/>
  <c r="A862" i="2"/>
  <c r="A854" i="2"/>
  <c r="A846" i="2"/>
  <c r="A838" i="2"/>
  <c r="A830" i="2"/>
  <c r="T1167" i="2"/>
  <c r="G1058" i="2"/>
  <c r="A1025" i="2"/>
  <c r="T993" i="2"/>
  <c r="S976" i="2"/>
  <c r="C962" i="2"/>
  <c r="T949" i="2"/>
  <c r="T937" i="2"/>
  <c r="T927" i="2"/>
  <c r="T919" i="2"/>
  <c r="T911" i="2"/>
  <c r="T903" i="2"/>
  <c r="T895" i="2"/>
  <c r="T887" i="2"/>
  <c r="T879" i="2"/>
  <c r="T871" i="2"/>
  <c r="T863" i="2"/>
  <c r="T855" i="2"/>
  <c r="T847" i="2"/>
  <c r="T839" i="2"/>
  <c r="T831" i="2"/>
  <c r="M1077" i="2"/>
  <c r="G1038" i="2"/>
  <c r="G1006" i="2"/>
  <c r="O967" i="2"/>
  <c r="T954" i="2"/>
  <c r="T942" i="2"/>
  <c r="Q931" i="2"/>
  <c r="F923" i="2"/>
  <c r="F915" i="2"/>
  <c r="F907" i="2"/>
  <c r="F899" i="2"/>
  <c r="F891" i="2"/>
  <c r="F883" i="2"/>
  <c r="F875" i="2"/>
  <c r="F867" i="2"/>
  <c r="F859" i="2"/>
  <c r="F851" i="2"/>
  <c r="F843" i="2"/>
  <c r="P1072" i="2"/>
  <c r="C1035" i="2"/>
  <c r="C1003" i="2"/>
  <c r="T981" i="2"/>
  <c r="R953" i="2"/>
  <c r="R941" i="2"/>
  <c r="T930" i="2"/>
  <c r="K922" i="2"/>
  <c r="K914" i="2"/>
  <c r="K906" i="2"/>
  <c r="K898" i="2"/>
  <c r="K890" i="2"/>
  <c r="K882" i="2"/>
  <c r="K874" i="2"/>
  <c r="K866" i="2"/>
  <c r="T1099" i="2"/>
  <c r="O1045" i="2"/>
  <c r="O1013" i="2"/>
  <c r="C987" i="2"/>
  <c r="C971" i="2"/>
  <c r="P957" i="2"/>
  <c r="P945" i="2"/>
  <c r="C934" i="2"/>
  <c r="D925" i="2"/>
  <c r="D917" i="2"/>
  <c r="D909" i="2"/>
  <c r="D901" i="2"/>
  <c r="D893" i="2"/>
  <c r="D885" i="2"/>
  <c r="D877" i="2"/>
  <c r="D869" i="2"/>
  <c r="D861" i="2"/>
  <c r="M1076" i="2"/>
  <c r="N1037" i="2"/>
  <c r="G1177" i="2"/>
  <c r="C1060" i="2"/>
  <c r="H1026" i="2"/>
  <c r="A995" i="2"/>
  <c r="M977" i="2"/>
  <c r="N962" i="2"/>
  <c r="K950" i="2"/>
  <c r="K938" i="2"/>
  <c r="G928" i="2"/>
  <c r="G920" i="2"/>
  <c r="G912" i="2"/>
  <c r="G904" i="2"/>
  <c r="G896" i="2"/>
  <c r="G888" i="2"/>
  <c r="G880" i="2"/>
  <c r="G872" i="2"/>
  <c r="G864" i="2"/>
  <c r="G856" i="2"/>
  <c r="G848" i="2"/>
  <c r="R1268" i="2"/>
  <c r="C967" i="2"/>
  <c r="S922" i="2"/>
  <c r="S890" i="2"/>
  <c r="R859" i="2"/>
  <c r="D841" i="2"/>
  <c r="F829" i="2"/>
  <c r="G820" i="2"/>
  <c r="G812" i="2"/>
  <c r="G804" i="2"/>
  <c r="G796" i="2"/>
  <c r="G788" i="2"/>
  <c r="G780" i="2"/>
  <c r="G772" i="2"/>
  <c r="G764" i="2"/>
  <c r="G756" i="2"/>
  <c r="G748" i="2"/>
  <c r="G740" i="2"/>
  <c r="G732" i="2"/>
  <c r="G724" i="2"/>
  <c r="G716" i="2"/>
  <c r="G708" i="2"/>
  <c r="N1047" i="2"/>
  <c r="O953" i="2"/>
  <c r="C855" i="2"/>
  <c r="S837" i="2"/>
  <c r="N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T986" i="2"/>
  <c r="S933" i="2"/>
  <c r="A901" i="2"/>
  <c r="A869" i="2"/>
  <c r="A847" i="2"/>
  <c r="T832" i="2"/>
  <c r="R822" i="2"/>
  <c r="R814" i="2"/>
  <c r="R806" i="2"/>
  <c r="R798" i="2"/>
  <c r="R790" i="2"/>
  <c r="R782" i="2"/>
  <c r="R774" i="2"/>
  <c r="R766" i="2"/>
  <c r="R758" i="2"/>
  <c r="R750" i="2"/>
  <c r="R742" i="2"/>
  <c r="R734" i="2"/>
  <c r="R726" i="2"/>
  <c r="R718" i="2"/>
  <c r="R710" i="2"/>
  <c r="G1208" i="2"/>
  <c r="T965" i="2"/>
  <c r="F922" i="2"/>
  <c r="F890" i="2"/>
  <c r="O859" i="2"/>
  <c r="S840" i="2"/>
  <c r="C829" i="2"/>
  <c r="D820" i="2"/>
  <c r="D812" i="2"/>
  <c r="D804" i="2"/>
  <c r="D796" i="2"/>
  <c r="D788" i="2"/>
  <c r="D780" i="2"/>
  <c r="D772" i="2"/>
  <c r="D764" i="2"/>
  <c r="D756" i="2"/>
  <c r="D748" i="2"/>
  <c r="D740" i="2"/>
  <c r="D732" i="2"/>
  <c r="D724" i="2"/>
  <c r="D716" i="2"/>
  <c r="D708" i="2"/>
  <c r="O985" i="2"/>
  <c r="E933" i="2"/>
  <c r="K846" i="2"/>
  <c r="P832" i="2"/>
  <c r="P822" i="2"/>
  <c r="P814" i="2"/>
  <c r="P806" i="2"/>
  <c r="P798" i="2"/>
  <c r="P790" i="2"/>
  <c r="P782" i="2"/>
  <c r="P774" i="2"/>
  <c r="P766" i="2"/>
  <c r="P758" i="2"/>
  <c r="P750" i="2"/>
  <c r="P742" i="2"/>
  <c r="P734" i="2"/>
  <c r="D1301" i="2"/>
  <c r="O1211" i="2"/>
  <c r="M1261" i="2"/>
  <c r="K1120" i="2"/>
  <c r="J1168" i="2"/>
  <c r="O1089" i="2"/>
  <c r="G1170" i="2"/>
  <c r="K1275" i="2"/>
  <c r="F1114" i="2"/>
  <c r="N1180" i="2"/>
  <c r="K1113" i="2"/>
  <c r="T1250" i="2"/>
  <c r="J1169" i="2"/>
  <c r="J1121" i="2"/>
  <c r="J1073" i="2"/>
  <c r="E1218" i="2"/>
  <c r="C1126" i="2"/>
  <c r="P1108" i="2"/>
  <c r="P1290" i="2"/>
  <c r="C1214" i="2"/>
  <c r="H1137" i="2"/>
  <c r="O1098" i="2"/>
  <c r="O1066" i="2"/>
  <c r="O1087" i="2"/>
  <c r="M1043" i="2"/>
  <c r="M1011" i="2"/>
  <c r="E1046" i="2"/>
  <c r="E1014" i="2"/>
  <c r="E982" i="2"/>
  <c r="E950" i="2"/>
  <c r="N1162" i="2"/>
  <c r="A1058" i="2"/>
  <c r="J1025" i="2"/>
  <c r="J993" i="2"/>
  <c r="J961" i="2"/>
  <c r="F1073" i="2"/>
  <c r="P1042" i="2"/>
  <c r="P1026" i="2"/>
  <c r="P1010" i="2"/>
  <c r="P994" i="2"/>
  <c r="T1109" i="2"/>
  <c r="O1022" i="2"/>
  <c r="O990" i="2"/>
  <c r="O958" i="2"/>
  <c r="E1290" i="2"/>
  <c r="A1069" i="2"/>
  <c r="T1033" i="2"/>
  <c r="T1001" i="2"/>
  <c r="D1079" i="2"/>
  <c r="S1045" i="2"/>
  <c r="S1013" i="2"/>
  <c r="S981" i="2"/>
  <c r="F1109" i="2"/>
  <c r="S1047" i="2"/>
  <c r="R1015" i="2"/>
  <c r="E985" i="2"/>
  <c r="E1359" i="2"/>
  <c r="S1084" i="2"/>
  <c r="A1056" i="2"/>
  <c r="Q1031" i="2"/>
  <c r="Q1007" i="2"/>
  <c r="Q983" i="2"/>
  <c r="Q959" i="2"/>
  <c r="Q935" i="2"/>
  <c r="T983" i="2"/>
  <c r="H956" i="2"/>
  <c r="K934" i="2"/>
  <c r="K917" i="2"/>
  <c r="K901" i="2"/>
  <c r="K885" i="2"/>
  <c r="K869" i="2"/>
  <c r="K853" i="2"/>
  <c r="K837" i="2"/>
  <c r="A1031" i="2"/>
  <c r="P987" i="2"/>
  <c r="N964" i="2"/>
  <c r="G940" i="2"/>
  <c r="J921" i="2"/>
  <c r="J905" i="2"/>
  <c r="J889" i="2"/>
  <c r="J873" i="2"/>
  <c r="J857" i="2"/>
  <c r="J841" i="2"/>
  <c r="S1171" i="2"/>
  <c r="N1025" i="2"/>
  <c r="A977" i="2"/>
  <c r="F950" i="2"/>
  <c r="Q928" i="2"/>
  <c r="P918" i="2"/>
  <c r="C908" i="2"/>
  <c r="P896" i="2"/>
  <c r="P886" i="2"/>
  <c r="C876" i="2"/>
  <c r="P864" i="2"/>
  <c r="C846" i="2"/>
  <c r="M1136" i="2"/>
  <c r="C1041" i="2"/>
  <c r="G974" i="2"/>
  <c r="C958" i="2"/>
  <c r="C946" i="2"/>
  <c r="H934" i="2"/>
  <c r="H925" i="2"/>
  <c r="H917" i="2"/>
  <c r="H909" i="2"/>
  <c r="H901" i="2"/>
  <c r="H893" i="2"/>
  <c r="H885" i="2"/>
  <c r="H877" i="2"/>
  <c r="H869" i="2"/>
  <c r="H861" i="2"/>
  <c r="H853" i="2"/>
  <c r="H845" i="2"/>
  <c r="H837" i="2"/>
  <c r="H829" i="2"/>
  <c r="T1151" i="2"/>
  <c r="C1055" i="2"/>
  <c r="H1022" i="2"/>
  <c r="T991" i="2"/>
  <c r="M975" i="2"/>
  <c r="A961" i="2"/>
  <c r="A949" i="2"/>
  <c r="A937" i="2"/>
  <c r="G927" i="2"/>
  <c r="G919" i="2"/>
  <c r="G911" i="2"/>
  <c r="G903" i="2"/>
  <c r="G895" i="2"/>
  <c r="G887" i="2"/>
  <c r="G879" i="2"/>
  <c r="G871" i="2"/>
  <c r="G863" i="2"/>
  <c r="G855" i="2"/>
  <c r="G847" i="2"/>
  <c r="G839" i="2"/>
  <c r="G831" i="2"/>
  <c r="M1073" i="2"/>
  <c r="N1035" i="2"/>
  <c r="N1003" i="2"/>
  <c r="C982" i="2"/>
  <c r="M966" i="2"/>
  <c r="S953" i="2"/>
  <c r="S941" i="2"/>
  <c r="A931" i="2"/>
  <c r="M922" i="2"/>
  <c r="M914" i="2"/>
  <c r="M906" i="2"/>
  <c r="M898" i="2"/>
  <c r="M890" i="2"/>
  <c r="M882" i="2"/>
  <c r="M874" i="2"/>
  <c r="M866" i="2"/>
  <c r="M858" i="2"/>
  <c r="M850" i="2"/>
  <c r="R1284" i="2"/>
  <c r="P1068" i="2"/>
  <c r="N980" i="2"/>
  <c r="G965" i="2"/>
  <c r="S952" i="2"/>
  <c r="S940" i="2"/>
  <c r="D930" i="2"/>
  <c r="R921" i="2"/>
  <c r="R913" i="2"/>
  <c r="R905" i="2"/>
  <c r="R897" i="2"/>
  <c r="R889" i="2"/>
  <c r="R881" i="2"/>
  <c r="R873" i="2"/>
  <c r="R865" i="2"/>
  <c r="T1087" i="2"/>
  <c r="A1043" i="2"/>
  <c r="A1011" i="2"/>
  <c r="P985" i="2"/>
  <c r="P969" i="2"/>
  <c r="P956" i="2"/>
  <c r="P944" i="2"/>
  <c r="F933" i="2"/>
  <c r="J924" i="2"/>
  <c r="J916" i="2"/>
  <c r="J908" i="2"/>
  <c r="J900" i="2"/>
  <c r="J892" i="2"/>
  <c r="J884" i="2"/>
  <c r="J876" i="2"/>
  <c r="J868" i="2"/>
  <c r="J860" i="2"/>
  <c r="M1072" i="2"/>
  <c r="T1034" i="2"/>
  <c r="T1159" i="2"/>
  <c r="O1056" i="2"/>
  <c r="O1023" i="2"/>
  <c r="A993" i="2"/>
  <c r="F976" i="2"/>
  <c r="M961" i="2"/>
  <c r="M949" i="2"/>
  <c r="M937" i="2"/>
  <c r="N927" i="2"/>
  <c r="N919" i="2"/>
  <c r="N911" i="2"/>
  <c r="N903" i="2"/>
  <c r="N895" i="2"/>
  <c r="N887" i="2"/>
  <c r="N879" i="2"/>
  <c r="N871" i="2"/>
  <c r="N863" i="2"/>
  <c r="N855" i="2"/>
  <c r="N847" i="2"/>
  <c r="M1112" i="2"/>
  <c r="M962" i="2"/>
  <c r="F920" i="2"/>
  <c r="F888" i="2"/>
  <c r="C840" i="2"/>
  <c r="N819" i="2"/>
  <c r="N811" i="2"/>
  <c r="N803" i="2"/>
  <c r="N795" i="2"/>
  <c r="N787" i="2"/>
  <c r="N779" i="2"/>
  <c r="N771" i="2"/>
  <c r="N763" i="2"/>
  <c r="N755" i="2"/>
  <c r="N747" i="2"/>
  <c r="N739" i="2"/>
  <c r="N731" i="2"/>
  <c r="N723" i="2"/>
  <c r="N715" i="2"/>
  <c r="M1352" i="2"/>
  <c r="J1212" i="2"/>
  <c r="A1211" i="2"/>
  <c r="S1260" i="2"/>
  <c r="R1119" i="2"/>
  <c r="Q1167" i="2"/>
  <c r="T1180" i="2"/>
  <c r="R1194" i="2"/>
  <c r="N1145" i="2"/>
  <c r="P1210" i="2"/>
  <c r="S1096" i="2"/>
  <c r="E1162" i="2"/>
  <c r="K1101" i="2"/>
  <c r="G1212" i="2"/>
  <c r="D1168" i="2"/>
  <c r="D1120" i="2"/>
  <c r="D1072" i="2"/>
  <c r="E1214" i="2"/>
  <c r="P1160" i="2"/>
  <c r="C1288" i="2"/>
  <c r="C1212" i="2"/>
  <c r="O1136" i="2"/>
  <c r="A1098" i="2"/>
  <c r="A1066" i="2"/>
  <c r="S1085" i="2"/>
  <c r="S1042" i="2"/>
  <c r="S1010" i="2"/>
  <c r="F1159" i="2"/>
  <c r="K1039" i="2"/>
  <c r="K1007" i="2"/>
  <c r="K975" i="2"/>
  <c r="K943" i="2"/>
  <c r="N1122" i="2"/>
  <c r="F1057" i="2"/>
  <c r="Q1024" i="2"/>
  <c r="Q992" i="2"/>
  <c r="Q960" i="2"/>
  <c r="N1196" i="2"/>
  <c r="F1072" i="2"/>
  <c r="T1105" i="2"/>
  <c r="C1048" i="2"/>
  <c r="A1016" i="2"/>
  <c r="A984" i="2"/>
  <c r="A952" i="2"/>
  <c r="F1174" i="2"/>
  <c r="G1033" i="2"/>
  <c r="G1001" i="2"/>
  <c r="T1077" i="2"/>
  <c r="F1039" i="2"/>
  <c r="F1007" i="2"/>
  <c r="F975" i="2"/>
  <c r="F1105" i="2"/>
  <c r="E1047" i="2"/>
  <c r="E1015" i="2"/>
  <c r="R983" i="2"/>
  <c r="T1284" i="2"/>
  <c r="O1081" i="2"/>
  <c r="D1031" i="2"/>
  <c r="D1007" i="2"/>
  <c r="D983" i="2"/>
  <c r="D959" i="2"/>
  <c r="D935" i="2"/>
  <c r="N982" i="2"/>
  <c r="G955" i="2"/>
  <c r="T932" i="2"/>
  <c r="E916" i="2"/>
  <c r="E900" i="2"/>
  <c r="E884" i="2"/>
  <c r="E868" i="2"/>
  <c r="E852" i="2"/>
  <c r="E836" i="2"/>
  <c r="T1171" i="2"/>
  <c r="O1025" i="2"/>
  <c r="H962" i="2"/>
  <c r="G938" i="2"/>
  <c r="D920" i="2"/>
  <c r="D904" i="2"/>
  <c r="D888" i="2"/>
  <c r="D872" i="2"/>
  <c r="D856" i="2"/>
  <c r="D840" i="2"/>
  <c r="S1139" i="2"/>
  <c r="G1020" i="2"/>
  <c r="H974" i="2"/>
  <c r="F948" i="2"/>
  <c r="C928" i="2"/>
  <c r="C896" i="2"/>
  <c r="C864" i="2"/>
  <c r="P854" i="2"/>
  <c r="M1120" i="2"/>
  <c r="G994" i="2"/>
  <c r="T972" i="2"/>
  <c r="C957" i="2"/>
  <c r="C945" i="2"/>
  <c r="M933" i="2"/>
  <c r="O924" i="2"/>
  <c r="O916" i="2"/>
  <c r="O908" i="2"/>
  <c r="O900" i="2"/>
  <c r="O892" i="2"/>
  <c r="O884" i="2"/>
  <c r="O876" i="2"/>
  <c r="O868" i="2"/>
  <c r="O860" i="2"/>
  <c r="O852" i="2"/>
  <c r="O844" i="2"/>
  <c r="O836" i="2"/>
  <c r="O828" i="2"/>
  <c r="T1135" i="2"/>
  <c r="C1052" i="2"/>
  <c r="O1019" i="2"/>
  <c r="F990" i="2"/>
  <c r="F974" i="2"/>
  <c r="T959" i="2"/>
  <c r="T947" i="2"/>
  <c r="T935" i="2"/>
  <c r="N926" i="2"/>
  <c r="N918" i="2"/>
  <c r="N910" i="2"/>
  <c r="N902" i="2"/>
  <c r="N894" i="2"/>
  <c r="N886" i="2"/>
  <c r="N878" i="2"/>
  <c r="N870" i="2"/>
  <c r="N862" i="2"/>
  <c r="N854" i="2"/>
  <c r="N846" i="2"/>
  <c r="N838" i="2"/>
  <c r="E1298" i="2"/>
  <c r="M1069" i="2"/>
  <c r="T1032" i="2"/>
  <c r="T1000" i="2"/>
  <c r="P980" i="2"/>
  <c r="T952" i="2"/>
  <c r="T940" i="2"/>
  <c r="F930" i="2"/>
  <c r="S921" i="2"/>
  <c r="S913" i="2"/>
  <c r="S905" i="2"/>
  <c r="S897" i="2"/>
  <c r="S889" i="2"/>
  <c r="S881" i="2"/>
  <c r="S873" i="2"/>
  <c r="S865" i="2"/>
  <c r="S857" i="2"/>
  <c r="S849" i="2"/>
  <c r="N1221" i="2"/>
  <c r="P1064" i="2"/>
  <c r="P1029" i="2"/>
  <c r="P997" i="2"/>
  <c r="G979" i="2"/>
  <c r="F964" i="2"/>
  <c r="R951" i="2"/>
  <c r="R939" i="2"/>
  <c r="G929" i="2"/>
  <c r="E921" i="2"/>
  <c r="E913" i="2"/>
  <c r="E905" i="2"/>
  <c r="E897" i="2"/>
  <c r="E889" i="2"/>
  <c r="E881" i="2"/>
  <c r="E873" i="2"/>
  <c r="E865" i="2"/>
  <c r="G1081" i="2"/>
  <c r="H1040" i="2"/>
  <c r="H1008" i="2"/>
  <c r="N968" i="2"/>
  <c r="P955" i="2"/>
  <c r="P943" i="2"/>
  <c r="J932" i="2"/>
  <c r="Q923" i="2"/>
  <c r="Q915" i="2"/>
  <c r="Q907" i="2"/>
  <c r="Q899" i="2"/>
  <c r="Q891" i="2"/>
  <c r="Q883" i="2"/>
  <c r="Q875" i="2"/>
  <c r="Q867" i="2"/>
  <c r="E1282" i="2"/>
  <c r="M1068" i="2"/>
  <c r="G1032" i="2"/>
  <c r="T1143" i="2"/>
  <c r="K1053" i="2"/>
  <c r="A1021" i="2"/>
  <c r="A991" i="2"/>
  <c r="S974" i="2"/>
  <c r="K960" i="2"/>
  <c r="K948" i="2"/>
  <c r="K936" i="2"/>
  <c r="T926" i="2"/>
  <c r="T918" i="2"/>
  <c r="T910" i="2"/>
  <c r="T902" i="2"/>
  <c r="T894" i="2"/>
  <c r="T886" i="2"/>
  <c r="T878" i="2"/>
  <c r="T870" i="2"/>
  <c r="T862" i="2"/>
  <c r="T854" i="2"/>
  <c r="T846" i="2"/>
  <c r="O1067" i="2"/>
  <c r="M917" i="2"/>
  <c r="M885" i="2"/>
  <c r="S856" i="2"/>
  <c r="C839" i="2"/>
  <c r="M827" i="2"/>
  <c r="T818" i="2"/>
  <c r="T810" i="2"/>
  <c r="T802" i="2"/>
  <c r="T794" i="2"/>
  <c r="T786" i="2"/>
  <c r="T778" i="2"/>
  <c r="T770" i="2"/>
  <c r="T762" i="2"/>
  <c r="O1427" i="2"/>
  <c r="K1425" i="2"/>
  <c r="S1351" i="2"/>
  <c r="A1272" i="2"/>
  <c r="F1261" i="2"/>
  <c r="J1208" i="2"/>
  <c r="O1173" i="2"/>
  <c r="F1250" i="2"/>
  <c r="E1095" i="2"/>
  <c r="D1161" i="2"/>
  <c r="T1179" i="2"/>
  <c r="T1181" i="2"/>
  <c r="R1214" i="2"/>
  <c r="G1140" i="2"/>
  <c r="N1198" i="2"/>
  <c r="R1327" i="2"/>
  <c r="K1161" i="2"/>
  <c r="R1100" i="2"/>
  <c r="Q1158" i="2"/>
  <c r="Q1110" i="2"/>
  <c r="Q1062" i="2"/>
  <c r="T1192" i="2"/>
  <c r="P1106" i="2"/>
  <c r="P1088" i="2"/>
  <c r="O1166" i="2"/>
  <c r="O1128" i="2"/>
  <c r="H1091" i="2"/>
  <c r="H1059" i="2"/>
  <c r="K1073" i="2"/>
  <c r="F1042" i="2"/>
  <c r="F1010" i="2"/>
  <c r="F1155" i="2"/>
  <c r="R1038" i="2"/>
  <c r="R1006" i="2"/>
  <c r="R974" i="2"/>
  <c r="R942" i="2"/>
  <c r="N1118" i="2"/>
  <c r="D1024" i="2"/>
  <c r="D992" i="2"/>
  <c r="D960" i="2"/>
  <c r="N1188" i="2"/>
  <c r="H1062" i="2"/>
  <c r="M1080" i="2"/>
  <c r="H1047" i="2"/>
  <c r="H1015" i="2"/>
  <c r="H983" i="2"/>
  <c r="H951" i="2"/>
  <c r="S1169" i="2"/>
  <c r="M1059" i="2"/>
  <c r="N1032" i="2"/>
  <c r="N1000" i="2"/>
  <c r="T1076" i="2"/>
  <c r="M1038" i="2"/>
  <c r="M1006" i="2"/>
  <c r="M974" i="2"/>
  <c r="G1080" i="2"/>
  <c r="K1046" i="2"/>
  <c r="K1014" i="2"/>
  <c r="E983" i="2"/>
  <c r="T1268" i="2"/>
  <c r="F1080" i="2"/>
  <c r="A1050" i="2"/>
  <c r="Q1025" i="2"/>
  <c r="Q1001" i="2"/>
  <c r="Q977" i="2"/>
  <c r="Q953" i="2"/>
  <c r="M1156" i="2"/>
  <c r="C1023" i="2"/>
  <c r="T975" i="2"/>
  <c r="H954" i="2"/>
  <c r="D932" i="2"/>
  <c r="K915" i="2"/>
  <c r="K899" i="2"/>
  <c r="K883" i="2"/>
  <c r="K867" i="2"/>
  <c r="K851" i="2"/>
  <c r="K835" i="2"/>
  <c r="T1139" i="2"/>
  <c r="H1020" i="2"/>
  <c r="G960" i="2"/>
  <c r="G936" i="2"/>
  <c r="Q918" i="2"/>
  <c r="Q902" i="2"/>
  <c r="Q886" i="2"/>
  <c r="Q870" i="2"/>
  <c r="Q854" i="2"/>
  <c r="Q838" i="2"/>
  <c r="S1107" i="2"/>
  <c r="T1014" i="2"/>
  <c r="O971" i="2"/>
  <c r="F946" i="2"/>
  <c r="P916" i="2"/>
  <c r="P884" i="2"/>
  <c r="P844" i="2"/>
  <c r="M1104" i="2"/>
  <c r="C1033" i="2"/>
  <c r="G992" i="2"/>
  <c r="N971" i="2"/>
  <c r="C956" i="2"/>
  <c r="C944" i="2"/>
  <c r="P932" i="2"/>
  <c r="A924" i="2"/>
  <c r="A916" i="2"/>
  <c r="A908" i="2"/>
  <c r="A900" i="2"/>
  <c r="A892" i="2"/>
  <c r="A884" i="2"/>
  <c r="A876" i="2"/>
  <c r="A868" i="2"/>
  <c r="A860" i="2"/>
  <c r="A852" i="2"/>
  <c r="A844" i="2"/>
  <c r="A836" i="2"/>
  <c r="A828" i="2"/>
  <c r="T1119" i="2"/>
  <c r="D1049" i="2"/>
  <c r="A1017" i="2"/>
  <c r="S988" i="2"/>
  <c r="S972" i="2"/>
  <c r="A959" i="2"/>
  <c r="A947" i="2"/>
  <c r="C935" i="2"/>
  <c r="T925" i="2"/>
  <c r="T917" i="2"/>
  <c r="T909" i="2"/>
  <c r="T901" i="2"/>
  <c r="T893" i="2"/>
  <c r="T885" i="2"/>
  <c r="T877" i="2"/>
  <c r="T869" i="2"/>
  <c r="T861" i="2"/>
  <c r="T853" i="2"/>
  <c r="T845" i="2"/>
  <c r="T837" i="2"/>
  <c r="E1234" i="2"/>
  <c r="M1065" i="2"/>
  <c r="G1030" i="2"/>
  <c r="G998" i="2"/>
  <c r="G964" i="2"/>
  <c r="S951" i="2"/>
  <c r="S939" i="2"/>
  <c r="F921" i="2"/>
  <c r="F913" i="2"/>
  <c r="F905" i="2"/>
  <c r="F897" i="2"/>
  <c r="F889" i="2"/>
  <c r="F881" i="2"/>
  <c r="F873" i="2"/>
  <c r="F865" i="2"/>
  <c r="F857" i="2"/>
  <c r="F849" i="2"/>
  <c r="N1184" i="2"/>
  <c r="A1061" i="2"/>
  <c r="C1027" i="2"/>
  <c r="O995" i="2"/>
  <c r="T977" i="2"/>
  <c r="A963" i="2"/>
  <c r="S950" i="2"/>
  <c r="S938" i="2"/>
  <c r="K928" i="2"/>
  <c r="K920" i="2"/>
  <c r="K912" i="2"/>
  <c r="K904" i="2"/>
  <c r="K896" i="2"/>
  <c r="K888" i="2"/>
  <c r="K880" i="2"/>
  <c r="K872" i="2"/>
  <c r="K864" i="2"/>
  <c r="N1076" i="2"/>
  <c r="O1037" i="2"/>
  <c r="O1005" i="2"/>
  <c r="C983" i="2"/>
  <c r="M967" i="2"/>
  <c r="P954" i="2"/>
  <c r="P942" i="2"/>
  <c r="O931" i="2"/>
  <c r="D923" i="2"/>
  <c r="D915" i="2"/>
  <c r="D907" i="2"/>
  <c r="D899" i="2"/>
  <c r="D891" i="2"/>
  <c r="D883" i="2"/>
  <c r="D875" i="2"/>
  <c r="D867" i="2"/>
  <c r="N1219" i="2"/>
  <c r="M1064" i="2"/>
  <c r="N1029" i="2"/>
  <c r="T1127" i="2"/>
  <c r="N1050" i="2"/>
  <c r="H1018" i="2"/>
  <c r="M989" i="2"/>
  <c r="M973" i="2"/>
  <c r="M959" i="2"/>
  <c r="M947" i="2"/>
  <c r="M935" i="2"/>
  <c r="G926" i="2"/>
  <c r="G918" i="2"/>
  <c r="G910" i="2"/>
  <c r="G902" i="2"/>
  <c r="G894" i="2"/>
  <c r="G886" i="2"/>
  <c r="G878" i="2"/>
  <c r="G870" i="2"/>
  <c r="G862" i="2"/>
  <c r="G854" i="2"/>
  <c r="G846" i="2"/>
  <c r="P1047" i="2"/>
  <c r="S914" i="2"/>
  <c r="S882" i="2"/>
  <c r="D855" i="2"/>
  <c r="C838" i="2"/>
  <c r="P826" i="2"/>
  <c r="G818" i="2"/>
  <c r="G810" i="2"/>
  <c r="G802" i="2"/>
  <c r="G794" i="2"/>
  <c r="G786" i="2"/>
  <c r="G778" i="2"/>
  <c r="G770" i="2"/>
  <c r="G762" i="2"/>
  <c r="G754" i="2"/>
  <c r="G746" i="2"/>
  <c r="G738" i="2"/>
  <c r="G730" i="2"/>
  <c r="G722" i="2"/>
  <c r="G714" i="2"/>
  <c r="G706" i="2"/>
  <c r="T1002" i="2"/>
  <c r="O941" i="2"/>
  <c r="H850" i="2"/>
  <c r="A835" i="2"/>
  <c r="G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T970" i="2"/>
  <c r="A925" i="2"/>
  <c r="A893" i="2"/>
  <c r="O861" i="2"/>
  <c r="H842" i="2"/>
  <c r="T829" i="2"/>
  <c r="R820" i="2"/>
  <c r="R812" i="2"/>
  <c r="R804" i="2"/>
  <c r="R796" i="2"/>
  <c r="R788" i="2"/>
  <c r="R780" i="2"/>
  <c r="R772" i="2"/>
  <c r="R764" i="2"/>
  <c r="R756" i="2"/>
  <c r="R748" i="2"/>
  <c r="R740" i="2"/>
  <c r="R732" i="2"/>
  <c r="R724" i="2"/>
  <c r="R716" i="2"/>
  <c r="R708" i="2"/>
  <c r="T1044" i="2"/>
  <c r="F914" i="2"/>
  <c r="F882" i="2"/>
  <c r="S854" i="2"/>
  <c r="Q837" i="2"/>
  <c r="K826" i="2"/>
  <c r="D818" i="2"/>
  <c r="D810" i="2"/>
  <c r="D802" i="2"/>
  <c r="D794" i="2"/>
  <c r="D786" i="2"/>
  <c r="D778" i="2"/>
  <c r="D770" i="2"/>
  <c r="D762" i="2"/>
  <c r="D754" i="2"/>
  <c r="D746" i="2"/>
  <c r="D738" i="2"/>
  <c r="D730" i="2"/>
  <c r="D722" i="2"/>
  <c r="D714" i="2"/>
  <c r="D706" i="2"/>
  <c r="O969" i="2"/>
  <c r="E861" i="2"/>
  <c r="S841" i="2"/>
  <c r="R829" i="2"/>
  <c r="P820" i="2"/>
  <c r="P812" i="2"/>
  <c r="P804" i="2"/>
  <c r="P796" i="2"/>
  <c r="P788" i="2"/>
  <c r="P780" i="2"/>
  <c r="P772" i="2"/>
  <c r="P764" i="2"/>
  <c r="P756" i="2"/>
  <c r="P748" i="2"/>
  <c r="P740" i="2"/>
  <c r="P732" i="2"/>
  <c r="P724" i="2"/>
  <c r="P716" i="2"/>
  <c r="A1397" i="2"/>
  <c r="F1351" i="2"/>
  <c r="H1271" i="2"/>
  <c r="M1236" i="2"/>
  <c r="D1207" i="2"/>
  <c r="P1269" i="2"/>
  <c r="N1426" i="2"/>
  <c r="M1213" i="2"/>
  <c r="K1088" i="2"/>
  <c r="J1136" i="2"/>
  <c r="T1178" i="2"/>
  <c r="S1180" i="2"/>
  <c r="R1212" i="2"/>
  <c r="T1138" i="2"/>
  <c r="T1195" i="2"/>
  <c r="S1307" i="2"/>
  <c r="R1160" i="2"/>
  <c r="K1099" i="2"/>
  <c r="R1208" i="2"/>
  <c r="J1157" i="2"/>
  <c r="J1109" i="2"/>
  <c r="J1061" i="2"/>
  <c r="G1190" i="2"/>
  <c r="C1158" i="2"/>
  <c r="E1194" i="2"/>
  <c r="A1166" i="2"/>
  <c r="H1127" i="2"/>
  <c r="O1090" i="2"/>
  <c r="O1058" i="2"/>
  <c r="J1072" i="2"/>
  <c r="M1035" i="2"/>
  <c r="M1003" i="2"/>
  <c r="F1151" i="2"/>
  <c r="H1066" i="2"/>
  <c r="E1038" i="2"/>
  <c r="E1006" i="2"/>
  <c r="E974" i="2"/>
  <c r="E942" i="2"/>
  <c r="N1114" i="2"/>
  <c r="N1049" i="2"/>
  <c r="J1017" i="2"/>
  <c r="J985" i="2"/>
  <c r="J953" i="2"/>
  <c r="F1181" i="2"/>
  <c r="K1061" i="2"/>
  <c r="G1274" i="2"/>
  <c r="G1079" i="2"/>
  <c r="O1046" i="2"/>
  <c r="O1014" i="2"/>
  <c r="O982" i="2"/>
  <c r="O950" i="2"/>
  <c r="S1165" i="2"/>
  <c r="N1058" i="2"/>
  <c r="T1025" i="2"/>
  <c r="N1255" i="2"/>
  <c r="T1066" i="2"/>
  <c r="S1037" i="2"/>
  <c r="S1005" i="2"/>
  <c r="S973" i="2"/>
  <c r="A1079" i="2"/>
  <c r="R1039" i="2"/>
  <c r="R1007" i="2"/>
  <c r="K982" i="2"/>
  <c r="T1252" i="2"/>
  <c r="T1078" i="2"/>
  <c r="M1048" i="2"/>
  <c r="J1024" i="2"/>
  <c r="J1000" i="2"/>
  <c r="J976" i="2"/>
  <c r="J952" i="2"/>
  <c r="M1108" i="2"/>
  <c r="N974" i="2"/>
  <c r="G949" i="2"/>
  <c r="G931" i="2"/>
  <c r="R914" i="2"/>
  <c r="R898" i="2"/>
  <c r="R882" i="2"/>
  <c r="R866" i="2"/>
  <c r="R850" i="2"/>
  <c r="R834" i="2"/>
  <c r="T1123" i="2"/>
  <c r="O1017" i="2"/>
  <c r="C981" i="2"/>
  <c r="F959" i="2"/>
  <c r="G935" i="2"/>
  <c r="D918" i="2"/>
  <c r="D902" i="2"/>
  <c r="D886" i="2"/>
  <c r="D870" i="2"/>
  <c r="D854" i="2"/>
  <c r="D838" i="2"/>
  <c r="F1093" i="2"/>
  <c r="G1012" i="2"/>
  <c r="H970" i="2"/>
  <c r="E945" i="2"/>
  <c r="P926" i="2"/>
  <c r="C916" i="2"/>
  <c r="P904" i="2"/>
  <c r="P894" i="2"/>
  <c r="C884" i="2"/>
  <c r="P872" i="2"/>
  <c r="P862" i="2"/>
  <c r="P852" i="2"/>
  <c r="C844" i="2"/>
  <c r="D1083" i="2"/>
  <c r="G990" i="2"/>
  <c r="A969" i="2"/>
  <c r="C955" i="2"/>
  <c r="C943" i="2"/>
  <c r="S931" i="2"/>
  <c r="H923" i="2"/>
  <c r="H915" i="2"/>
  <c r="H907" i="2"/>
  <c r="H899" i="2"/>
  <c r="H891" i="2"/>
  <c r="H883" i="2"/>
  <c r="H875" i="2"/>
  <c r="H867" i="2"/>
  <c r="H859" i="2"/>
  <c r="H851" i="2"/>
  <c r="H843" i="2"/>
  <c r="H835" i="2"/>
  <c r="H827" i="2"/>
  <c r="T1103" i="2"/>
  <c r="H1046" i="2"/>
  <c r="H1014" i="2"/>
  <c r="M987" i="2"/>
  <c r="M971" i="2"/>
  <c r="T957" i="2"/>
  <c r="T945" i="2"/>
  <c r="G934" i="2"/>
  <c r="G925" i="2"/>
  <c r="G917" i="2"/>
  <c r="G909" i="2"/>
  <c r="G901" i="2"/>
  <c r="G893" i="2"/>
  <c r="G885" i="2"/>
  <c r="G877" i="2"/>
  <c r="G869" i="2"/>
  <c r="G861" i="2"/>
  <c r="G853" i="2"/>
  <c r="G845" i="2"/>
  <c r="G837" i="2"/>
  <c r="G1191" i="2"/>
  <c r="P1061" i="2"/>
  <c r="N1027" i="2"/>
  <c r="P995" i="2"/>
  <c r="C978" i="2"/>
  <c r="C963" i="2"/>
  <c r="T950" i="2"/>
  <c r="T938" i="2"/>
  <c r="M928" i="2"/>
  <c r="M920" i="2"/>
  <c r="M912" i="2"/>
  <c r="M904" i="2"/>
  <c r="M896" i="2"/>
  <c r="M888" i="2"/>
  <c r="M880" i="2"/>
  <c r="M872" i="2"/>
  <c r="M864" i="2"/>
  <c r="M856" i="2"/>
  <c r="M848" i="2"/>
  <c r="M1164" i="2"/>
  <c r="M1057" i="2"/>
  <c r="O993" i="2"/>
  <c r="N976" i="2"/>
  <c r="S961" i="2"/>
  <c r="R949" i="2"/>
  <c r="R937" i="2"/>
  <c r="R927" i="2"/>
  <c r="R919" i="2"/>
  <c r="R911" i="2"/>
  <c r="R903" i="2"/>
  <c r="R895" i="2"/>
  <c r="R887" i="2"/>
  <c r="R879" i="2"/>
  <c r="R871" i="2"/>
  <c r="R863" i="2"/>
  <c r="N1072" i="2"/>
  <c r="A1035" i="2"/>
  <c r="A1003" i="2"/>
  <c r="P981" i="2"/>
  <c r="H966" i="2"/>
  <c r="P953" i="2"/>
  <c r="P941" i="2"/>
  <c r="S930" i="2"/>
  <c r="J922" i="2"/>
  <c r="J914" i="2"/>
  <c r="J906" i="2"/>
  <c r="J898" i="2"/>
  <c r="J890" i="2"/>
  <c r="J882" i="2"/>
  <c r="J874" i="2"/>
  <c r="J866" i="2"/>
  <c r="K1183" i="2"/>
  <c r="S1060" i="2"/>
  <c r="T1026" i="2"/>
  <c r="T1111" i="2"/>
  <c r="O1047" i="2"/>
  <c r="O1015" i="2"/>
  <c r="F988" i="2"/>
  <c r="F972" i="2"/>
  <c r="K958" i="2"/>
  <c r="K946" i="2"/>
  <c r="N934" i="2"/>
  <c r="N925" i="2"/>
  <c r="N917" i="2"/>
  <c r="N909" i="2"/>
  <c r="N901" i="2"/>
  <c r="N893" i="2"/>
  <c r="N885" i="2"/>
  <c r="N877" i="2"/>
  <c r="N869" i="2"/>
  <c r="N861" i="2"/>
  <c r="N853" i="2"/>
  <c r="N845" i="2"/>
  <c r="P1031" i="2"/>
  <c r="F912" i="2"/>
  <c r="F880" i="2"/>
  <c r="O853" i="2"/>
  <c r="C837" i="2"/>
  <c r="S825" i="2"/>
  <c r="N817" i="2"/>
  <c r="N809" i="2"/>
  <c r="N801" i="2"/>
  <c r="N793" i="2"/>
  <c r="N785" i="2"/>
  <c r="N777" i="2"/>
  <c r="N769" i="2"/>
  <c r="N761" i="2"/>
  <c r="N753" i="2"/>
  <c r="N745" i="2"/>
  <c r="N737" i="2"/>
  <c r="N729" i="2"/>
  <c r="N721" i="2"/>
  <c r="N713" i="2"/>
  <c r="N705" i="2"/>
  <c r="G993" i="2"/>
  <c r="O937" i="2"/>
  <c r="P903" i="2"/>
  <c r="P871" i="2"/>
  <c r="K848" i="2"/>
  <c r="S833" i="2"/>
  <c r="M823" i="2"/>
  <c r="M815" i="2"/>
  <c r="M807" i="2"/>
  <c r="M799" i="2"/>
  <c r="M791" i="2"/>
  <c r="M783" i="2"/>
  <c r="M775" i="2"/>
  <c r="M767" i="2"/>
  <c r="M759" i="2"/>
  <c r="M751" i="2"/>
  <c r="M743" i="2"/>
  <c r="M735" i="2"/>
  <c r="J1399" i="2"/>
  <c r="D1252" i="2"/>
  <c r="O1270" i="2"/>
  <c r="S1235" i="2"/>
  <c r="C1269" i="2"/>
  <c r="N1422" i="2"/>
  <c r="S1212" i="2"/>
  <c r="P1228" i="2"/>
  <c r="R1087" i="2"/>
  <c r="Q1135" i="2"/>
  <c r="N1121" i="2"/>
  <c r="S1168" i="2"/>
  <c r="R1144" i="2"/>
  <c r="R1088" i="2"/>
  <c r="D1156" i="2"/>
  <c r="D1108" i="2"/>
  <c r="D1060" i="2"/>
  <c r="N1187" i="2"/>
  <c r="R1192" i="2"/>
  <c r="H1165" i="2"/>
  <c r="O1126" i="2"/>
  <c r="A1090" i="2"/>
  <c r="T1482" i="2"/>
  <c r="K1071" i="2"/>
  <c r="S1034" i="2"/>
  <c r="S1002" i="2"/>
  <c r="F1111" i="2"/>
  <c r="K1031" i="2"/>
  <c r="K999" i="2"/>
  <c r="K967" i="2"/>
  <c r="K935" i="2"/>
  <c r="T1083" i="2"/>
  <c r="S1048" i="2"/>
  <c r="Q1016" i="2"/>
  <c r="Q984" i="2"/>
  <c r="Q952" i="2"/>
  <c r="M1138" i="2"/>
  <c r="M1060" i="2"/>
  <c r="C1036" i="2"/>
  <c r="C1020" i="2"/>
  <c r="C1004" i="2"/>
  <c r="G1258" i="2"/>
  <c r="F1078" i="2"/>
  <c r="A1040" i="2"/>
  <c r="A1008" i="2"/>
  <c r="A976" i="2"/>
  <c r="A944" i="2"/>
  <c r="S1125" i="2"/>
  <c r="Q1057" i="2"/>
  <c r="G1025" i="2"/>
  <c r="N1239" i="2"/>
  <c r="T1065" i="2"/>
  <c r="F1031" i="2"/>
  <c r="F999" i="2"/>
  <c r="K1271" i="2"/>
  <c r="S1077" i="2"/>
  <c r="E1039" i="2"/>
  <c r="E1007" i="2"/>
  <c r="E977" i="2"/>
  <c r="O1172" i="2"/>
  <c r="R1070" i="2"/>
  <c r="Q1047" i="2"/>
  <c r="Q1023" i="2"/>
  <c r="Q999" i="2"/>
  <c r="Q975" i="2"/>
  <c r="Q951" i="2"/>
  <c r="N1084" i="2"/>
  <c r="C1015" i="2"/>
  <c r="T971" i="2"/>
  <c r="H948" i="2"/>
  <c r="K927" i="2"/>
  <c r="K911" i="2"/>
  <c r="K895" i="2"/>
  <c r="K879" i="2"/>
  <c r="K863" i="2"/>
  <c r="K847" i="2"/>
  <c r="K831" i="2"/>
  <c r="T1107" i="2"/>
  <c r="A1015" i="2"/>
  <c r="P979" i="2"/>
  <c r="G958" i="2"/>
  <c r="J934" i="2"/>
  <c r="J917" i="2"/>
  <c r="J901" i="2"/>
  <c r="J885" i="2"/>
  <c r="J869" i="2"/>
  <c r="J853" i="2"/>
  <c r="J837" i="2"/>
  <c r="J1084" i="2"/>
  <c r="N1009" i="2"/>
  <c r="C969" i="2"/>
  <c r="F944" i="2"/>
  <c r="C904" i="2"/>
  <c r="C872" i="2"/>
  <c r="C852" i="2"/>
  <c r="O1077" i="2"/>
  <c r="C1025" i="2"/>
  <c r="T988" i="2"/>
  <c r="S967" i="2"/>
  <c r="C954" i="2"/>
  <c r="C942" i="2"/>
  <c r="D931" i="2"/>
  <c r="O922" i="2"/>
  <c r="O914" i="2"/>
  <c r="O906" i="2"/>
  <c r="O898" i="2"/>
  <c r="O890" i="2"/>
  <c r="O882" i="2"/>
  <c r="O874" i="2"/>
  <c r="O866" i="2"/>
  <c r="O858" i="2"/>
  <c r="O850" i="2"/>
  <c r="O842" i="2"/>
  <c r="O834" i="2"/>
  <c r="O826" i="2"/>
  <c r="N1090" i="2"/>
  <c r="O1043" i="2"/>
  <c r="O1011" i="2"/>
  <c r="F986" i="2"/>
  <c r="F970" i="2"/>
  <c r="A957" i="2"/>
  <c r="A945" i="2"/>
  <c r="J933" i="2"/>
  <c r="N924" i="2"/>
  <c r="N916" i="2"/>
  <c r="N908" i="2"/>
  <c r="N900" i="2"/>
  <c r="N892" i="2"/>
  <c r="N884" i="2"/>
  <c r="N876" i="2"/>
  <c r="N868" i="2"/>
  <c r="N860" i="2"/>
  <c r="N852" i="2"/>
  <c r="N844" i="2"/>
  <c r="N836" i="2"/>
  <c r="S1167" i="2"/>
  <c r="F1058" i="2"/>
  <c r="T1024" i="2"/>
  <c r="P993" i="2"/>
  <c r="P976" i="2"/>
  <c r="T961" i="2"/>
  <c r="S949" i="2"/>
  <c r="S937" i="2"/>
  <c r="S927" i="2"/>
  <c r="S919" i="2"/>
  <c r="S911" i="2"/>
  <c r="S903" i="2"/>
  <c r="S895" i="2"/>
  <c r="S887" i="2"/>
  <c r="S879" i="2"/>
  <c r="S871" i="2"/>
  <c r="S863" i="2"/>
  <c r="S855" i="2"/>
  <c r="S847" i="2"/>
  <c r="M1148" i="2"/>
  <c r="H1054" i="2"/>
  <c r="P1021" i="2"/>
  <c r="O991" i="2"/>
  <c r="G975" i="2"/>
  <c r="S960" i="2"/>
  <c r="S948" i="2"/>
  <c r="S936" i="2"/>
  <c r="E927" i="2"/>
  <c r="E919" i="2"/>
  <c r="E911" i="2"/>
  <c r="E903" i="2"/>
  <c r="E895" i="2"/>
  <c r="E887" i="2"/>
  <c r="E879" i="2"/>
  <c r="E871" i="2"/>
  <c r="G1282" i="2"/>
  <c r="N1068" i="2"/>
  <c r="H1032" i="2"/>
  <c r="H1000" i="2"/>
  <c r="F965" i="2"/>
  <c r="P952" i="2"/>
  <c r="P940" i="2"/>
  <c r="C930" i="2"/>
  <c r="Q921" i="2"/>
  <c r="Q913" i="2"/>
  <c r="Q905" i="2"/>
  <c r="Q897" i="2"/>
  <c r="Q889" i="2"/>
  <c r="Q881" i="2"/>
  <c r="Q873" i="2"/>
  <c r="Q865" i="2"/>
  <c r="S1163" i="2"/>
  <c r="G1024" i="2"/>
  <c r="T1095" i="2"/>
  <c r="A1045" i="2"/>
  <c r="A1013" i="2"/>
  <c r="S986" i="2"/>
  <c r="S970" i="2"/>
  <c r="M957" i="2"/>
  <c r="M945" i="2"/>
  <c r="R933" i="2"/>
  <c r="T924" i="2"/>
  <c r="T916" i="2"/>
  <c r="T908" i="2"/>
  <c r="T900" i="2"/>
  <c r="T892" i="2"/>
  <c r="T884" i="2"/>
  <c r="T876" i="2"/>
  <c r="T868" i="2"/>
  <c r="T860" i="2"/>
  <c r="T852" i="2"/>
  <c r="T844" i="2"/>
  <c r="P1015" i="2"/>
  <c r="M909" i="2"/>
  <c r="M877" i="2"/>
  <c r="R851" i="2"/>
  <c r="C836" i="2"/>
  <c r="D825" i="2"/>
  <c r="T816" i="2"/>
  <c r="T808" i="2"/>
  <c r="T800" i="2"/>
  <c r="T792" i="2"/>
  <c r="T784" i="2"/>
  <c r="T776" i="2"/>
  <c r="T768" i="2"/>
  <c r="T760" i="2"/>
  <c r="T752" i="2"/>
  <c r="T744" i="2"/>
  <c r="T736" i="2"/>
  <c r="T728" i="2"/>
  <c r="T720" i="2"/>
  <c r="T712" i="2"/>
  <c r="T704" i="2"/>
  <c r="A987" i="2"/>
  <c r="T933" i="2"/>
  <c r="C901" i="2"/>
  <c r="C869" i="2"/>
  <c r="C847" i="2"/>
  <c r="A833" i="2"/>
  <c r="S822" i="2"/>
  <c r="S814" i="2"/>
  <c r="S806" i="2"/>
  <c r="S798" i="2"/>
  <c r="S790" i="2"/>
  <c r="S782" i="2"/>
  <c r="S774" i="2"/>
  <c r="S766" i="2"/>
  <c r="S758" i="2"/>
  <c r="S750" i="2"/>
  <c r="S742" i="2"/>
  <c r="S734" i="2"/>
  <c r="S726" i="2"/>
  <c r="S718" i="2"/>
  <c r="S710" i="2"/>
  <c r="M1096" i="2"/>
  <c r="N961" i="2"/>
  <c r="O919" i="2"/>
  <c r="O887" i="2"/>
  <c r="F858" i="2"/>
  <c r="R839" i="2"/>
  <c r="G828" i="2"/>
  <c r="K819" i="2"/>
  <c r="K811" i="2"/>
  <c r="K803" i="2"/>
  <c r="K795" i="2"/>
  <c r="K787" i="2"/>
  <c r="K779" i="2"/>
  <c r="K771" i="2"/>
  <c r="K763" i="2"/>
  <c r="K755" i="2"/>
  <c r="K747" i="2"/>
  <c r="K739" i="2"/>
  <c r="K731" i="2"/>
  <c r="K723" i="2"/>
  <c r="K715" i="2"/>
  <c r="K707" i="2"/>
  <c r="T1012" i="2"/>
  <c r="S908" i="2"/>
  <c r="S876" i="2"/>
  <c r="O851" i="2"/>
  <c r="Q835" i="2"/>
  <c r="T824" i="2"/>
  <c r="Q816" i="2"/>
  <c r="Q808" i="2"/>
  <c r="Q800" i="2"/>
  <c r="Q792" i="2"/>
  <c r="Q784" i="2"/>
  <c r="Q776" i="2"/>
  <c r="Q768" i="2"/>
  <c r="Q760" i="2"/>
  <c r="Q752" i="2"/>
  <c r="Q744" i="2"/>
  <c r="Q736" i="2"/>
  <c r="Q728" i="2"/>
  <c r="Q720" i="2"/>
  <c r="Q712" i="2"/>
  <c r="H1086" i="2"/>
  <c r="N960" i="2"/>
  <c r="C919" i="2"/>
  <c r="C887" i="2"/>
  <c r="Q857" i="2"/>
  <c r="P839" i="2"/>
  <c r="C828" i="2"/>
  <c r="N985" i="2"/>
  <c r="D933" i="2"/>
  <c r="H900" i="2"/>
  <c r="H868" i="2"/>
  <c r="J846" i="2"/>
  <c r="M832" i="2"/>
  <c r="O822" i="2"/>
  <c r="O814" i="2"/>
  <c r="Q1401" i="2"/>
  <c r="E1063" i="2"/>
  <c r="K1141" i="2"/>
  <c r="Q1146" i="2"/>
  <c r="O1156" i="2"/>
  <c r="R1060" i="2"/>
  <c r="N1079" i="2"/>
  <c r="R1030" i="2"/>
  <c r="J1082" i="2"/>
  <c r="J977" i="2"/>
  <c r="A1051" i="2"/>
  <c r="E1068" i="2"/>
  <c r="O974" i="2"/>
  <c r="N1024" i="2"/>
  <c r="F1023" i="2"/>
  <c r="R1031" i="2"/>
  <c r="Q1067" i="2"/>
  <c r="J992" i="2"/>
  <c r="G943" i="2"/>
  <c r="K877" i="2"/>
  <c r="N1070" i="2"/>
  <c r="C977" i="2"/>
  <c r="D898" i="2"/>
  <c r="D834" i="2"/>
  <c r="E939" i="2"/>
  <c r="P880" i="2"/>
  <c r="C1017" i="2"/>
  <c r="C951" i="2"/>
  <c r="O912" i="2"/>
  <c r="O880" i="2"/>
  <c r="O848" i="2"/>
  <c r="N1077" i="2"/>
  <c r="P967" i="2"/>
  <c r="G923" i="2"/>
  <c r="G891" i="2"/>
  <c r="G859" i="2"/>
  <c r="S1135" i="2"/>
  <c r="T946" i="2"/>
  <c r="F911" i="2"/>
  <c r="F879" i="2"/>
  <c r="F847" i="2"/>
  <c r="C1019" i="2"/>
  <c r="R959" i="2"/>
  <c r="K918" i="2"/>
  <c r="K886" i="2"/>
  <c r="N1064" i="2"/>
  <c r="P938" i="2"/>
  <c r="J904" i="2"/>
  <c r="J872" i="2"/>
  <c r="N1021" i="2"/>
  <c r="A1005" i="2"/>
  <c r="K942" i="2"/>
  <c r="T906" i="2"/>
  <c r="T874" i="2"/>
  <c r="T842" i="2"/>
  <c r="C834" i="2"/>
  <c r="G800" i="2"/>
  <c r="G768" i="2"/>
  <c r="N743" i="2"/>
  <c r="N719" i="2"/>
  <c r="N1015" i="2"/>
  <c r="C909" i="2"/>
  <c r="P861" i="2"/>
  <c r="C825" i="2"/>
  <c r="M805" i="2"/>
  <c r="M785" i="2"/>
  <c r="F766" i="2"/>
  <c r="S748" i="2"/>
  <c r="S728" i="2"/>
  <c r="S712" i="2"/>
  <c r="N981" i="2"/>
  <c r="H898" i="2"/>
  <c r="E845" i="2"/>
  <c r="E822" i="2"/>
  <c r="E806" i="2"/>
  <c r="E790" i="2"/>
  <c r="E774" i="2"/>
  <c r="E758" i="2"/>
  <c r="E742" i="2"/>
  <c r="E726" i="2"/>
  <c r="E710" i="2"/>
  <c r="F906" i="2"/>
  <c r="R849" i="2"/>
  <c r="D824" i="2"/>
  <c r="D808" i="2"/>
  <c r="D792" i="2"/>
  <c r="D776" i="2"/>
  <c r="D760" i="2"/>
  <c r="D744" i="2"/>
  <c r="D728" i="2"/>
  <c r="D712" i="2"/>
  <c r="N956" i="2"/>
  <c r="P897" i="2"/>
  <c r="H856" i="2"/>
  <c r="F827" i="2"/>
  <c r="C814" i="2"/>
  <c r="P802" i="2"/>
  <c r="C790" i="2"/>
  <c r="P778" i="2"/>
  <c r="C766" i="2"/>
  <c r="P754" i="2"/>
  <c r="C742" i="2"/>
  <c r="P730" i="2"/>
  <c r="C712" i="2"/>
  <c r="T1085" i="2"/>
  <c r="M948" i="2"/>
  <c r="O905" i="2"/>
  <c r="O865" i="2"/>
  <c r="R841" i="2"/>
  <c r="T827" i="2"/>
  <c r="H817" i="2"/>
  <c r="O808" i="2"/>
  <c r="O800" i="2"/>
  <c r="O792" i="2"/>
  <c r="O784" i="2"/>
  <c r="O776" i="2"/>
  <c r="O768" i="2"/>
  <c r="O760" i="2"/>
  <c r="O752" i="2"/>
  <c r="O744" i="2"/>
  <c r="O736" i="2"/>
  <c r="O728" i="2"/>
  <c r="O720" i="2"/>
  <c r="O712" i="2"/>
  <c r="P1056" i="2"/>
  <c r="F916" i="2"/>
  <c r="F884" i="2"/>
  <c r="R855" i="2"/>
  <c r="K838" i="2"/>
  <c r="D827" i="2"/>
  <c r="N818" i="2"/>
  <c r="N810" i="2"/>
  <c r="N802" i="2"/>
  <c r="N794" i="2"/>
  <c r="N786" i="2"/>
  <c r="N778" i="2"/>
  <c r="N770" i="2"/>
  <c r="N762" i="2"/>
  <c r="N754" i="2"/>
  <c r="N746" i="2"/>
  <c r="N738" i="2"/>
  <c r="N730" i="2"/>
  <c r="N722" i="2"/>
  <c r="O973" i="2"/>
  <c r="S862" i="2"/>
  <c r="C843" i="2"/>
  <c r="K830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T978" i="2"/>
  <c r="D929" i="2"/>
  <c r="A897" i="2"/>
  <c r="A865" i="2"/>
  <c r="J844" i="2"/>
  <c r="R821" i="2"/>
  <c r="R813" i="2"/>
  <c r="R805" i="2"/>
  <c r="R797" i="2"/>
  <c r="R789" i="2"/>
  <c r="R781" i="2"/>
  <c r="R773" i="2"/>
  <c r="R765" i="2"/>
  <c r="R757" i="2"/>
  <c r="R749" i="2"/>
  <c r="R741" i="2"/>
  <c r="R733" i="2"/>
  <c r="R725" i="2"/>
  <c r="R717" i="2"/>
  <c r="R709" i="2"/>
  <c r="M1128" i="2"/>
  <c r="S962" i="2"/>
  <c r="K858" i="2"/>
  <c r="G840" i="2"/>
  <c r="K828" i="2"/>
  <c r="P819" i="2"/>
  <c r="P811" i="2"/>
  <c r="P803" i="2"/>
  <c r="P795" i="2"/>
  <c r="P787" i="2"/>
  <c r="P779" i="2"/>
  <c r="P771" i="2"/>
  <c r="P763" i="2"/>
  <c r="P755" i="2"/>
  <c r="P747" i="2"/>
  <c r="P739" i="2"/>
  <c r="P731" i="2"/>
  <c r="P723" i="2"/>
  <c r="P715" i="2"/>
  <c r="P707" i="2"/>
  <c r="D849" i="2"/>
  <c r="Q791" i="2"/>
  <c r="Q743" i="2"/>
  <c r="O705" i="2"/>
  <c r="O696" i="2"/>
  <c r="O688" i="2"/>
  <c r="O680" i="2"/>
  <c r="O672" i="2"/>
  <c r="O664" i="2"/>
  <c r="O656" i="2"/>
  <c r="O648" i="2"/>
  <c r="O640" i="2"/>
  <c r="O632" i="2"/>
  <c r="O624" i="2"/>
  <c r="O616" i="2"/>
  <c r="O608" i="2"/>
  <c r="O600" i="2"/>
  <c r="O592" i="2"/>
  <c r="O584" i="2"/>
  <c r="O576" i="2"/>
  <c r="O568" i="2"/>
  <c r="O560" i="2"/>
  <c r="O552" i="2"/>
  <c r="O544" i="2"/>
  <c r="O536" i="2"/>
  <c r="O528" i="2"/>
  <c r="O520" i="2"/>
  <c r="O512" i="2"/>
  <c r="O504" i="2"/>
  <c r="O496" i="2"/>
  <c r="O488" i="2"/>
  <c r="O480" i="2"/>
  <c r="O472" i="2"/>
  <c r="O464" i="2"/>
  <c r="O456" i="2"/>
  <c r="O448" i="2"/>
  <c r="O440" i="2"/>
  <c r="O432" i="2"/>
  <c r="O424" i="2"/>
  <c r="A849" i="2"/>
  <c r="O791" i="2"/>
  <c r="O743" i="2"/>
  <c r="J705" i="2"/>
  <c r="N696" i="2"/>
  <c r="N688" i="2"/>
  <c r="N680" i="2"/>
  <c r="N672" i="2"/>
  <c r="N664" i="2"/>
  <c r="N656" i="2"/>
  <c r="N648" i="2"/>
  <c r="N640" i="2"/>
  <c r="N632" i="2"/>
  <c r="N624" i="2"/>
  <c r="N616" i="2"/>
  <c r="N608" i="2"/>
  <c r="N600" i="2"/>
  <c r="N592" i="2"/>
  <c r="N584" i="2"/>
  <c r="N576" i="2"/>
  <c r="N568" i="2"/>
  <c r="N560" i="2"/>
  <c r="N552" i="2"/>
  <c r="N544" i="2"/>
  <c r="N536" i="2"/>
  <c r="N528" i="2"/>
  <c r="N520" i="2"/>
  <c r="N512" i="2"/>
  <c r="N504" i="2"/>
  <c r="K1056" i="2"/>
  <c r="G1116" i="2"/>
  <c r="R1140" i="2"/>
  <c r="J1145" i="2"/>
  <c r="G1496" i="2"/>
  <c r="H1155" i="2"/>
  <c r="S1059" i="2"/>
  <c r="E1030" i="2"/>
  <c r="S1080" i="2"/>
  <c r="Q976" i="2"/>
  <c r="D1067" i="2"/>
  <c r="A968" i="2"/>
  <c r="T1017" i="2"/>
  <c r="M998" i="2"/>
  <c r="E1031" i="2"/>
  <c r="R1066" i="2"/>
  <c r="D975" i="2"/>
  <c r="E876" i="2"/>
  <c r="N1066" i="2"/>
  <c r="J897" i="2"/>
  <c r="J833" i="2"/>
  <c r="F938" i="2"/>
  <c r="C880" i="2"/>
  <c r="P860" i="2"/>
  <c r="P842" i="2"/>
  <c r="C941" i="2"/>
  <c r="A906" i="2"/>
  <c r="A874" i="2"/>
  <c r="A842" i="2"/>
  <c r="N1073" i="2"/>
  <c r="N966" i="2"/>
  <c r="N922" i="2"/>
  <c r="N890" i="2"/>
  <c r="N858" i="2"/>
  <c r="S1119" i="2"/>
  <c r="T936" i="2"/>
  <c r="M910" i="2"/>
  <c r="M878" i="2"/>
  <c r="M846" i="2"/>
  <c r="S958" i="2"/>
  <c r="R917" i="2"/>
  <c r="R885" i="2"/>
  <c r="T1060" i="2"/>
  <c r="C979" i="2"/>
  <c r="P937" i="2"/>
  <c r="Q903" i="2"/>
  <c r="Q871" i="2"/>
  <c r="T1018" i="2"/>
  <c r="M985" i="2"/>
  <c r="C933" i="2"/>
  <c r="G900" i="2"/>
  <c r="G868" i="2"/>
  <c r="T1004" i="2"/>
  <c r="S906" i="2"/>
  <c r="C833" i="2"/>
  <c r="N799" i="2"/>
  <c r="N767" i="2"/>
  <c r="T742" i="2"/>
  <c r="T718" i="2"/>
  <c r="O981" i="2"/>
  <c r="M853" i="2"/>
  <c r="F822" i="2"/>
  <c r="S804" i="2"/>
  <c r="S784" i="2"/>
  <c r="M765" i="2"/>
  <c r="M745" i="2"/>
  <c r="M727" i="2"/>
  <c r="M711" i="2"/>
  <c r="G976" i="2"/>
  <c r="O895" i="2"/>
  <c r="P843" i="2"/>
  <c r="K821" i="2"/>
  <c r="K805" i="2"/>
  <c r="K789" i="2"/>
  <c r="K773" i="2"/>
  <c r="K757" i="2"/>
  <c r="K741" i="2"/>
  <c r="K725" i="2"/>
  <c r="K709" i="2"/>
  <c r="M903" i="2"/>
  <c r="J823" i="2"/>
  <c r="J807" i="2"/>
  <c r="J791" i="2"/>
  <c r="J775" i="2"/>
  <c r="J759" i="2"/>
  <c r="J743" i="2"/>
  <c r="J727" i="2"/>
  <c r="J711" i="2"/>
  <c r="N952" i="2"/>
  <c r="C895" i="2"/>
  <c r="K854" i="2"/>
  <c r="J826" i="2"/>
  <c r="C802" i="2"/>
  <c r="C778" i="2"/>
  <c r="C754" i="2"/>
  <c r="C730" i="2"/>
  <c r="C720" i="2"/>
  <c r="G1042" i="2"/>
  <c r="M944" i="2"/>
  <c r="A903" i="2"/>
  <c r="C863" i="2"/>
  <c r="M840" i="2"/>
  <c r="O816" i="2"/>
  <c r="A808" i="2"/>
  <c r="A800" i="2"/>
  <c r="A792" i="2"/>
  <c r="A784" i="2"/>
  <c r="A776" i="2"/>
  <c r="A768" i="2"/>
  <c r="A760" i="2"/>
  <c r="A752" i="2"/>
  <c r="A744" i="2"/>
  <c r="A736" i="2"/>
  <c r="A728" i="2"/>
  <c r="A720" i="2"/>
  <c r="A712" i="2"/>
  <c r="P1039" i="2"/>
  <c r="M913" i="2"/>
  <c r="M881" i="2"/>
  <c r="N837" i="2"/>
  <c r="H826" i="2"/>
  <c r="T817" i="2"/>
  <c r="T809" i="2"/>
  <c r="T801" i="2"/>
  <c r="T793" i="2"/>
  <c r="T785" i="2"/>
  <c r="T777" i="2"/>
  <c r="T769" i="2"/>
  <c r="T761" i="2"/>
  <c r="T753" i="2"/>
  <c r="T745" i="2"/>
  <c r="T737" i="2"/>
  <c r="T729" i="2"/>
  <c r="T721" i="2"/>
  <c r="M968" i="2"/>
  <c r="P923" i="2"/>
  <c r="P891" i="2"/>
  <c r="S860" i="2"/>
  <c r="P841" i="2"/>
  <c r="O829" i="2"/>
  <c r="M820" i="2"/>
  <c r="M812" i="2"/>
  <c r="M804" i="2"/>
  <c r="M796" i="2"/>
  <c r="M788" i="2"/>
  <c r="M780" i="2"/>
  <c r="M772" i="2"/>
  <c r="M764" i="2"/>
  <c r="M756" i="2"/>
  <c r="M748" i="2"/>
  <c r="M740" i="2"/>
  <c r="M732" i="2"/>
  <c r="M724" i="2"/>
  <c r="M716" i="2"/>
  <c r="M708" i="2"/>
  <c r="N973" i="2"/>
  <c r="H926" i="2"/>
  <c r="H894" i="2"/>
  <c r="K862" i="2"/>
  <c r="A843" i="2"/>
  <c r="J830" i="2"/>
  <c r="E821" i="2"/>
  <c r="E813" i="2"/>
  <c r="E805" i="2"/>
  <c r="E797" i="2"/>
  <c r="E789" i="2"/>
  <c r="E781" i="2"/>
  <c r="E773" i="2"/>
  <c r="E765" i="2"/>
  <c r="E757" i="2"/>
  <c r="E749" i="2"/>
  <c r="E741" i="2"/>
  <c r="E733" i="2"/>
  <c r="E725" i="2"/>
  <c r="E717" i="2"/>
  <c r="E709" i="2"/>
  <c r="O1071" i="2"/>
  <c r="N958" i="2"/>
  <c r="P917" i="2"/>
  <c r="P885" i="2"/>
  <c r="C857" i="2"/>
  <c r="E839" i="2"/>
  <c r="O827" i="2"/>
  <c r="C819" i="2"/>
  <c r="C811" i="2"/>
  <c r="C803" i="2"/>
  <c r="C795" i="2"/>
  <c r="C787" i="2"/>
  <c r="C779" i="2"/>
  <c r="C771" i="2"/>
  <c r="C763" i="2"/>
  <c r="C755" i="2"/>
  <c r="C747" i="2"/>
  <c r="C739" i="2"/>
  <c r="C731" i="2"/>
  <c r="C723" i="2"/>
  <c r="C715" i="2"/>
  <c r="C707" i="2"/>
  <c r="H840" i="2"/>
  <c r="Q787" i="2"/>
  <c r="Q739" i="2"/>
  <c r="M704" i="2"/>
  <c r="A696" i="2"/>
  <c r="A688" i="2"/>
  <c r="A680" i="2"/>
  <c r="A672" i="2"/>
  <c r="A664" i="2"/>
  <c r="A656" i="2"/>
  <c r="A648" i="2"/>
  <c r="A640" i="2"/>
  <c r="A632" i="2"/>
  <c r="A624" i="2"/>
  <c r="A616" i="2"/>
  <c r="A608" i="2"/>
  <c r="A600" i="2"/>
  <c r="A592" i="2"/>
  <c r="A584" i="2"/>
  <c r="A576" i="2"/>
  <c r="A568" i="2"/>
  <c r="A560" i="2"/>
  <c r="A552" i="2"/>
  <c r="A544" i="2"/>
  <c r="A536" i="2"/>
  <c r="A528" i="2"/>
  <c r="A520" i="2"/>
  <c r="A512" i="2"/>
  <c r="A504" i="2"/>
  <c r="A496" i="2"/>
  <c r="A488" i="2"/>
  <c r="A480" i="2"/>
  <c r="A472" i="2"/>
  <c r="A464" i="2"/>
  <c r="A456" i="2"/>
  <c r="A448" i="2"/>
  <c r="A440" i="2"/>
  <c r="A432" i="2"/>
  <c r="A424" i="2"/>
  <c r="F840" i="2"/>
  <c r="O787" i="2"/>
  <c r="O739" i="2"/>
  <c r="J704" i="2"/>
  <c r="T695" i="2"/>
  <c r="T687" i="2"/>
  <c r="T679" i="2"/>
  <c r="T671" i="2"/>
  <c r="T663" i="2"/>
  <c r="T655" i="2"/>
  <c r="T647" i="2"/>
  <c r="T639" i="2"/>
  <c r="T631" i="2"/>
  <c r="T623" i="2"/>
  <c r="T615" i="2"/>
  <c r="T607" i="2"/>
  <c r="T599" i="2"/>
  <c r="T591" i="2"/>
  <c r="T583" i="2"/>
  <c r="T575" i="2"/>
  <c r="T567" i="2"/>
  <c r="T559" i="2"/>
  <c r="T551" i="2"/>
  <c r="T543" i="2"/>
  <c r="T535" i="2"/>
  <c r="T527" i="2"/>
  <c r="T519" i="2"/>
  <c r="T511" i="2"/>
  <c r="T503" i="2"/>
  <c r="J1513" i="2"/>
  <c r="R1312" i="2"/>
  <c r="R1055" i="2"/>
  <c r="T1114" i="2"/>
  <c r="K1129" i="2"/>
  <c r="D1144" i="2"/>
  <c r="E1190" i="2"/>
  <c r="O1118" i="2"/>
  <c r="K1023" i="2"/>
  <c r="G1070" i="2"/>
  <c r="D952" i="2"/>
  <c r="P1002" i="2"/>
  <c r="E1066" i="2"/>
  <c r="H943" i="2"/>
  <c r="G1017" i="2"/>
  <c r="S997" i="2"/>
  <c r="K1006" i="2"/>
  <c r="Q969" i="2"/>
  <c r="R926" i="2"/>
  <c r="R862" i="2"/>
  <c r="D1059" i="2"/>
  <c r="D896" i="2"/>
  <c r="D832" i="2"/>
  <c r="F936" i="2"/>
  <c r="C860" i="2"/>
  <c r="C842" i="2"/>
  <c r="C940" i="2"/>
  <c r="H905" i="2"/>
  <c r="H873" i="2"/>
  <c r="H841" i="2"/>
  <c r="A1041" i="2"/>
  <c r="T955" i="2"/>
  <c r="T915" i="2"/>
  <c r="T883" i="2"/>
  <c r="T851" i="2"/>
  <c r="A1055" i="2"/>
  <c r="S935" i="2"/>
  <c r="S909" i="2"/>
  <c r="S877" i="2"/>
  <c r="S845" i="2"/>
  <c r="P1013" i="2"/>
  <c r="R957" i="2"/>
  <c r="E917" i="2"/>
  <c r="E885" i="2"/>
  <c r="K1057" i="2"/>
  <c r="P977" i="2"/>
  <c r="F929" i="2"/>
  <c r="D897" i="2"/>
  <c r="D865" i="2"/>
  <c r="G1016" i="2"/>
  <c r="F984" i="2"/>
  <c r="G932" i="2"/>
  <c r="N899" i="2"/>
  <c r="N867" i="2"/>
  <c r="T994" i="2"/>
  <c r="F904" i="2"/>
  <c r="T798" i="2"/>
  <c r="T766" i="2"/>
  <c r="T738" i="2"/>
  <c r="T714" i="2"/>
  <c r="H976" i="2"/>
  <c r="Q851" i="2"/>
  <c r="M821" i="2"/>
  <c r="M801" i="2"/>
  <c r="F782" i="2"/>
  <c r="S764" i="2"/>
  <c r="S744" i="2"/>
  <c r="F726" i="2"/>
  <c r="F710" i="2"/>
  <c r="F966" i="2"/>
  <c r="H890" i="2"/>
  <c r="A841" i="2"/>
  <c r="E820" i="2"/>
  <c r="E804" i="2"/>
  <c r="E788" i="2"/>
  <c r="E772" i="2"/>
  <c r="E756" i="2"/>
  <c r="E740" i="2"/>
  <c r="E724" i="2"/>
  <c r="E708" i="2"/>
  <c r="S900" i="2"/>
  <c r="S846" i="2"/>
  <c r="Q822" i="2"/>
  <c r="Q806" i="2"/>
  <c r="Q790" i="2"/>
  <c r="Q774" i="2"/>
  <c r="Q758" i="2"/>
  <c r="Q742" i="2"/>
  <c r="Q726" i="2"/>
  <c r="Q710" i="2"/>
  <c r="N948" i="2"/>
  <c r="C853" i="2"/>
  <c r="O825" i="2"/>
  <c r="C812" i="2"/>
  <c r="C788" i="2"/>
  <c r="C764" i="2"/>
  <c r="C740" i="2"/>
  <c r="P710" i="2"/>
  <c r="G1026" i="2"/>
  <c r="M940" i="2"/>
  <c r="O897" i="2"/>
  <c r="C861" i="2"/>
  <c r="O839" i="2"/>
  <c r="N825" i="2"/>
  <c r="A816" i="2"/>
  <c r="H807" i="2"/>
  <c r="H799" i="2"/>
  <c r="H791" i="2"/>
  <c r="H783" i="2"/>
  <c r="H775" i="2"/>
  <c r="H767" i="2"/>
  <c r="H759" i="2"/>
  <c r="H751" i="2"/>
  <c r="H743" i="2"/>
  <c r="H735" i="2"/>
  <c r="H727" i="2"/>
  <c r="H719" i="2"/>
  <c r="H711" i="2"/>
  <c r="P1023" i="2"/>
  <c r="S910" i="2"/>
  <c r="S878" i="2"/>
  <c r="S852" i="2"/>
  <c r="K836" i="2"/>
  <c r="M825" i="2"/>
  <c r="G817" i="2"/>
  <c r="G809" i="2"/>
  <c r="G801" i="2"/>
  <c r="G793" i="2"/>
  <c r="G785" i="2"/>
  <c r="G777" i="2"/>
  <c r="G769" i="2"/>
  <c r="G761" i="2"/>
  <c r="G753" i="2"/>
  <c r="G745" i="2"/>
  <c r="G737" i="2"/>
  <c r="G729" i="2"/>
  <c r="S1159" i="2"/>
  <c r="T963" i="2"/>
  <c r="C921" i="2"/>
  <c r="C889" i="2"/>
  <c r="C859" i="2"/>
  <c r="J840" i="2"/>
  <c r="P828" i="2"/>
  <c r="S819" i="2"/>
  <c r="S811" i="2"/>
  <c r="S803" i="2"/>
  <c r="S795" i="2"/>
  <c r="S787" i="2"/>
  <c r="S779" i="2"/>
  <c r="S771" i="2"/>
  <c r="S763" i="2"/>
  <c r="S755" i="2"/>
  <c r="S747" i="2"/>
  <c r="S739" i="2"/>
  <c r="S731" i="2"/>
  <c r="S723" i="2"/>
  <c r="S715" i="2"/>
  <c r="S707" i="2"/>
  <c r="O923" i="2"/>
  <c r="O891" i="2"/>
  <c r="K860" i="2"/>
  <c r="O841" i="2"/>
  <c r="N829" i="2"/>
  <c r="K820" i="2"/>
  <c r="K812" i="2"/>
  <c r="K804" i="2"/>
  <c r="K796" i="2"/>
  <c r="K788" i="2"/>
  <c r="K780" i="2"/>
  <c r="K772" i="2"/>
  <c r="K764" i="2"/>
  <c r="K756" i="2"/>
  <c r="K748" i="2"/>
  <c r="K740" i="2"/>
  <c r="K732" i="2"/>
  <c r="K724" i="2"/>
  <c r="K716" i="2"/>
  <c r="K708" i="2"/>
  <c r="O1050" i="2"/>
  <c r="N954" i="2"/>
  <c r="C915" i="2"/>
  <c r="C883" i="2"/>
  <c r="M855" i="2"/>
  <c r="G838" i="2"/>
  <c r="S826" i="2"/>
  <c r="H834" i="2"/>
  <c r="Q783" i="2"/>
  <c r="Q735" i="2"/>
  <c r="M703" i="2"/>
  <c r="H695" i="2"/>
  <c r="H687" i="2"/>
  <c r="H679" i="2"/>
  <c r="H671" i="2"/>
  <c r="H663" i="2"/>
  <c r="H655" i="2"/>
  <c r="H647" i="2"/>
  <c r="H639" i="2"/>
  <c r="H631" i="2"/>
  <c r="H623" i="2"/>
  <c r="H615" i="2"/>
  <c r="H607" i="2"/>
  <c r="H599" i="2"/>
  <c r="H591" i="2"/>
  <c r="H583" i="2"/>
  <c r="H575" i="2"/>
  <c r="H567" i="2"/>
  <c r="H559" i="2"/>
  <c r="H551" i="2"/>
  <c r="H543" i="2"/>
  <c r="H535" i="2"/>
  <c r="H527" i="2"/>
  <c r="H519" i="2"/>
  <c r="H511" i="2"/>
  <c r="H503" i="2"/>
  <c r="H495" i="2"/>
  <c r="H487" i="2"/>
  <c r="H479" i="2"/>
  <c r="H471" i="2"/>
  <c r="H463" i="2"/>
  <c r="H455" i="2"/>
  <c r="H447" i="2"/>
  <c r="H439" i="2"/>
  <c r="H431" i="2"/>
  <c r="H423" i="2"/>
  <c r="F834" i="2"/>
  <c r="O783" i="2"/>
  <c r="O735" i="2"/>
  <c r="J703" i="2"/>
  <c r="G695" i="2"/>
  <c r="G687" i="2"/>
  <c r="G679" i="2"/>
  <c r="G671" i="2"/>
  <c r="G663" i="2"/>
  <c r="G655" i="2"/>
  <c r="G647" i="2"/>
  <c r="G639" i="2"/>
  <c r="G631" i="2"/>
  <c r="G623" i="2"/>
  <c r="G615" i="2"/>
  <c r="G607" i="2"/>
  <c r="G599" i="2"/>
  <c r="G591" i="2"/>
  <c r="G583" i="2"/>
  <c r="G575" i="2"/>
  <c r="G567" i="2"/>
  <c r="G559" i="2"/>
  <c r="G551" i="2"/>
  <c r="G543" i="2"/>
  <c r="G535" i="2"/>
  <c r="G527" i="2"/>
  <c r="G519" i="2"/>
  <c r="G511" i="2"/>
  <c r="G503" i="2"/>
  <c r="F1305" i="2"/>
  <c r="O1311" i="2"/>
  <c r="H1154" i="2"/>
  <c r="N1097" i="2"/>
  <c r="K1087" i="2"/>
  <c r="Q1098" i="2"/>
  <c r="C1118" i="2"/>
  <c r="P1098" i="2"/>
  <c r="A1118" i="2"/>
  <c r="F1034" i="2"/>
  <c r="R998" i="2"/>
  <c r="J945" i="2"/>
  <c r="O942" i="2"/>
  <c r="P1223" i="2"/>
  <c r="F991" i="2"/>
  <c r="R999" i="2"/>
  <c r="J968" i="2"/>
  <c r="P1009" i="2"/>
  <c r="K925" i="2"/>
  <c r="K861" i="2"/>
  <c r="O1001" i="2"/>
  <c r="F953" i="2"/>
  <c r="D882" i="2"/>
  <c r="N1062" i="2"/>
  <c r="P912" i="2"/>
  <c r="C939" i="2"/>
  <c r="O904" i="2"/>
  <c r="O872" i="2"/>
  <c r="O840" i="2"/>
  <c r="H1038" i="2"/>
  <c r="A955" i="2"/>
  <c r="G915" i="2"/>
  <c r="G883" i="2"/>
  <c r="G851" i="2"/>
  <c r="A1052" i="2"/>
  <c r="C974" i="2"/>
  <c r="A935" i="2"/>
  <c r="F903" i="2"/>
  <c r="F871" i="2"/>
  <c r="M1132" i="2"/>
  <c r="R947" i="2"/>
  <c r="K910" i="2"/>
  <c r="K878" i="2"/>
  <c r="J928" i="2"/>
  <c r="J896" i="2"/>
  <c r="J864" i="2"/>
  <c r="S982" i="2"/>
  <c r="J931" i="2"/>
  <c r="T898" i="2"/>
  <c r="T866" i="2"/>
  <c r="C988" i="2"/>
  <c r="M901" i="2"/>
  <c r="H824" i="2"/>
  <c r="G792" i="2"/>
  <c r="G760" i="2"/>
  <c r="G736" i="2"/>
  <c r="G712" i="2"/>
  <c r="A971" i="2"/>
  <c r="P895" i="2"/>
  <c r="M845" i="2"/>
  <c r="S820" i="2"/>
  <c r="S800" i="2"/>
  <c r="M781" i="2"/>
  <c r="M761" i="2"/>
  <c r="F742" i="2"/>
  <c r="M725" i="2"/>
  <c r="M709" i="2"/>
  <c r="N957" i="2"/>
  <c r="A885" i="2"/>
  <c r="T838" i="2"/>
  <c r="R818" i="2"/>
  <c r="R802" i="2"/>
  <c r="R786" i="2"/>
  <c r="R770" i="2"/>
  <c r="R754" i="2"/>
  <c r="R738" i="2"/>
  <c r="R722" i="2"/>
  <c r="R706" i="2"/>
  <c r="M887" i="2"/>
  <c r="Q839" i="2"/>
  <c r="J819" i="2"/>
  <c r="J803" i="2"/>
  <c r="J787" i="2"/>
  <c r="J771" i="2"/>
  <c r="J755" i="2"/>
  <c r="J739" i="2"/>
  <c r="J723" i="2"/>
  <c r="J707" i="2"/>
  <c r="T929" i="2"/>
  <c r="P889" i="2"/>
  <c r="C845" i="2"/>
  <c r="C728" i="2"/>
  <c r="P718" i="2"/>
  <c r="C710" i="2"/>
  <c r="M936" i="2"/>
  <c r="A895" i="2"/>
  <c r="E859" i="2"/>
  <c r="O837" i="2"/>
  <c r="Q824" i="2"/>
  <c r="H815" i="2"/>
  <c r="O806" i="2"/>
  <c r="O798" i="2"/>
  <c r="O790" i="2"/>
  <c r="O782" i="2"/>
  <c r="O774" i="2"/>
  <c r="O766" i="2"/>
  <c r="O758" i="2"/>
  <c r="O750" i="2"/>
  <c r="O742" i="2"/>
  <c r="O734" i="2"/>
  <c r="O726" i="2"/>
  <c r="O718" i="2"/>
  <c r="O710" i="2"/>
  <c r="G1010" i="2"/>
  <c r="F908" i="2"/>
  <c r="F876" i="2"/>
  <c r="D851" i="2"/>
  <c r="N835" i="2"/>
  <c r="P824" i="2"/>
  <c r="N816" i="2"/>
  <c r="N808" i="2"/>
  <c r="N800" i="2"/>
  <c r="N792" i="2"/>
  <c r="N784" i="2"/>
  <c r="N776" i="2"/>
  <c r="N768" i="2"/>
  <c r="N760" i="2"/>
  <c r="N752" i="2"/>
  <c r="N744" i="2"/>
  <c r="N736" i="2"/>
  <c r="N728" i="2"/>
  <c r="Q1079" i="2"/>
  <c r="O959" i="2"/>
  <c r="M857" i="2"/>
  <c r="M839" i="2"/>
  <c r="R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M1144" i="2"/>
  <c r="S963" i="2"/>
  <c r="A921" i="2"/>
  <c r="A889" i="2"/>
  <c r="A859" i="2"/>
  <c r="N828" i="2"/>
  <c r="R819" i="2"/>
  <c r="R811" i="2"/>
  <c r="R803" i="2"/>
  <c r="R795" i="2"/>
  <c r="R787" i="2"/>
  <c r="R779" i="2"/>
  <c r="R771" i="2"/>
  <c r="R763" i="2"/>
  <c r="R755" i="2"/>
  <c r="R747" i="2"/>
  <c r="R739" i="2"/>
  <c r="R731" i="2"/>
  <c r="R723" i="2"/>
  <c r="R715" i="2"/>
  <c r="R707" i="2"/>
  <c r="N950" i="2"/>
  <c r="Q853" i="2"/>
  <c r="E837" i="2"/>
  <c r="C826" i="2"/>
  <c r="P817" i="2"/>
  <c r="P809" i="2"/>
  <c r="P801" i="2"/>
  <c r="P793" i="2"/>
  <c r="P785" i="2"/>
  <c r="P777" i="2"/>
  <c r="P769" i="2"/>
  <c r="P761" i="2"/>
  <c r="P753" i="2"/>
  <c r="P745" i="2"/>
  <c r="P737" i="2"/>
  <c r="P729" i="2"/>
  <c r="P721" i="2"/>
  <c r="P713" i="2"/>
  <c r="S1143" i="2"/>
  <c r="M828" i="2"/>
  <c r="Q779" i="2"/>
  <c r="Q731" i="2"/>
  <c r="P702" i="2"/>
  <c r="O694" i="2"/>
  <c r="O686" i="2"/>
  <c r="O678" i="2"/>
  <c r="O670" i="2"/>
  <c r="O662" i="2"/>
  <c r="O654" i="2"/>
  <c r="O646" i="2"/>
  <c r="O638" i="2"/>
  <c r="O630" i="2"/>
  <c r="O622" i="2"/>
  <c r="O614" i="2"/>
  <c r="O606" i="2"/>
  <c r="O598" i="2"/>
  <c r="O590" i="2"/>
  <c r="O582" i="2"/>
  <c r="O574" i="2"/>
  <c r="O566" i="2"/>
  <c r="O558" i="2"/>
  <c r="O550" i="2"/>
  <c r="O542" i="2"/>
  <c r="O534" i="2"/>
  <c r="O526" i="2"/>
  <c r="O518" i="2"/>
  <c r="O510" i="2"/>
  <c r="O502" i="2"/>
  <c r="O494" i="2"/>
  <c r="O486" i="2"/>
  <c r="O478" i="2"/>
  <c r="O470" i="2"/>
  <c r="O462" i="2"/>
  <c r="O454" i="2"/>
  <c r="O446" i="2"/>
  <c r="O438" i="2"/>
  <c r="O430" i="2"/>
  <c r="S1127" i="2"/>
  <c r="J828" i="2"/>
  <c r="O779" i="2"/>
  <c r="O731" i="2"/>
  <c r="O702" i="2"/>
  <c r="N694" i="2"/>
  <c r="N686" i="2"/>
  <c r="N678" i="2"/>
  <c r="N670" i="2"/>
  <c r="N662" i="2"/>
  <c r="N654" i="2"/>
  <c r="N646" i="2"/>
  <c r="N638" i="2"/>
  <c r="N630" i="2"/>
  <c r="N622" i="2"/>
  <c r="N614" i="2"/>
  <c r="N606" i="2"/>
  <c r="N598" i="2"/>
  <c r="N590" i="2"/>
  <c r="N582" i="2"/>
  <c r="N574" i="2"/>
  <c r="N566" i="2"/>
  <c r="N558" i="2"/>
  <c r="N550" i="2"/>
  <c r="N542" i="2"/>
  <c r="N534" i="2"/>
  <c r="N526" i="2"/>
  <c r="N518" i="2"/>
  <c r="N510" i="2"/>
  <c r="N502" i="2"/>
  <c r="D1129" i="2"/>
  <c r="O1153" i="2"/>
  <c r="M1163" i="2"/>
  <c r="K1085" i="2"/>
  <c r="J1097" i="2"/>
  <c r="H1117" i="2"/>
  <c r="M1027" i="2"/>
  <c r="E998" i="2"/>
  <c r="Q944" i="2"/>
  <c r="A936" i="2"/>
  <c r="G1157" i="2"/>
  <c r="K1255" i="2"/>
  <c r="E999" i="2"/>
  <c r="D1047" i="2"/>
  <c r="D951" i="2"/>
  <c r="C1007" i="2"/>
  <c r="E924" i="2"/>
  <c r="E860" i="2"/>
  <c r="A999" i="2"/>
  <c r="G952" i="2"/>
  <c r="J881" i="2"/>
  <c r="C1059" i="2"/>
  <c r="C912" i="2"/>
  <c r="P892" i="2"/>
  <c r="O1069" i="2"/>
  <c r="N987" i="2"/>
  <c r="H930" i="2"/>
  <c r="A898" i="2"/>
  <c r="A866" i="2"/>
  <c r="A834" i="2"/>
  <c r="O1035" i="2"/>
  <c r="T953" i="2"/>
  <c r="N914" i="2"/>
  <c r="N882" i="2"/>
  <c r="N850" i="2"/>
  <c r="C1049" i="2"/>
  <c r="P972" i="2"/>
  <c r="M902" i="2"/>
  <c r="M870" i="2"/>
  <c r="M1116" i="2"/>
  <c r="S946" i="2"/>
  <c r="R909" i="2"/>
  <c r="R877" i="2"/>
  <c r="O1029" i="2"/>
  <c r="Q927" i="2"/>
  <c r="Q895" i="2"/>
  <c r="Q863" i="2"/>
  <c r="F1086" i="2"/>
  <c r="M969" i="2"/>
  <c r="G924" i="2"/>
  <c r="G892" i="2"/>
  <c r="G860" i="2"/>
  <c r="S874" i="2"/>
  <c r="N823" i="2"/>
  <c r="N791" i="2"/>
  <c r="N759" i="2"/>
  <c r="N735" i="2"/>
  <c r="N711" i="2"/>
  <c r="O949" i="2"/>
  <c r="C893" i="2"/>
  <c r="Q843" i="2"/>
  <c r="M817" i="2"/>
  <c r="F798" i="2"/>
  <c r="S780" i="2"/>
  <c r="S760" i="2"/>
  <c r="M741" i="2"/>
  <c r="S724" i="2"/>
  <c r="S708" i="2"/>
  <c r="N953" i="2"/>
  <c r="H882" i="2"/>
  <c r="R837" i="2"/>
  <c r="E818" i="2"/>
  <c r="E802" i="2"/>
  <c r="E786" i="2"/>
  <c r="E770" i="2"/>
  <c r="E754" i="2"/>
  <c r="E738" i="2"/>
  <c r="E722" i="2"/>
  <c r="E706" i="2"/>
  <c r="S884" i="2"/>
  <c r="S838" i="2"/>
  <c r="Q818" i="2"/>
  <c r="Q802" i="2"/>
  <c r="Q786" i="2"/>
  <c r="Q770" i="2"/>
  <c r="Q754" i="2"/>
  <c r="Q738" i="2"/>
  <c r="Q722" i="2"/>
  <c r="Q706" i="2"/>
  <c r="C927" i="2"/>
  <c r="M843" i="2"/>
  <c r="C822" i="2"/>
  <c r="P810" i="2"/>
  <c r="C798" i="2"/>
  <c r="P786" i="2"/>
  <c r="C774" i="2"/>
  <c r="P762" i="2"/>
  <c r="C750" i="2"/>
  <c r="P738" i="2"/>
  <c r="C718" i="2"/>
  <c r="P999" i="2"/>
  <c r="S929" i="2"/>
  <c r="H892" i="2"/>
  <c r="P857" i="2"/>
  <c r="M836" i="2"/>
  <c r="A824" i="2"/>
  <c r="A814" i="2"/>
  <c r="A806" i="2"/>
  <c r="A798" i="2"/>
  <c r="A790" i="2"/>
  <c r="A782" i="2"/>
  <c r="A774" i="2"/>
  <c r="A766" i="2"/>
  <c r="A758" i="2"/>
  <c r="A750" i="2"/>
  <c r="A742" i="2"/>
  <c r="A734" i="2"/>
  <c r="A726" i="2"/>
  <c r="A718" i="2"/>
  <c r="A710" i="2"/>
  <c r="N999" i="2"/>
  <c r="M905" i="2"/>
  <c r="M873" i="2"/>
  <c r="O849" i="2"/>
  <c r="K834" i="2"/>
  <c r="T823" i="2"/>
  <c r="T815" i="2"/>
  <c r="T807" i="2"/>
  <c r="T799" i="2"/>
  <c r="T791" i="2"/>
  <c r="T783" i="2"/>
  <c r="T775" i="2"/>
  <c r="T767" i="2"/>
  <c r="T759" i="2"/>
  <c r="T751" i="2"/>
  <c r="T743" i="2"/>
  <c r="T735" i="2"/>
  <c r="T727" i="2"/>
  <c r="N1056" i="2"/>
  <c r="O955" i="2"/>
  <c r="P915" i="2"/>
  <c r="P883" i="2"/>
  <c r="Q855" i="2"/>
  <c r="J838" i="2"/>
  <c r="C827" i="2"/>
  <c r="M818" i="2"/>
  <c r="M810" i="2"/>
  <c r="M802" i="2"/>
  <c r="M794" i="2"/>
  <c r="M786" i="2"/>
  <c r="M778" i="2"/>
  <c r="M770" i="2"/>
  <c r="M762" i="2"/>
  <c r="M754" i="2"/>
  <c r="M746" i="2"/>
  <c r="M738" i="2"/>
  <c r="M730" i="2"/>
  <c r="M722" i="2"/>
  <c r="M714" i="2"/>
  <c r="O1075" i="2"/>
  <c r="N959" i="2"/>
  <c r="H918" i="2"/>
  <c r="H886" i="2"/>
  <c r="E857" i="2"/>
  <c r="Q827" i="2"/>
  <c r="E819" i="2"/>
  <c r="E811" i="2"/>
  <c r="E803" i="2"/>
  <c r="E795" i="2"/>
  <c r="E787" i="2"/>
  <c r="E779" i="2"/>
  <c r="E771" i="2"/>
  <c r="E763" i="2"/>
  <c r="E755" i="2"/>
  <c r="E747" i="2"/>
  <c r="E739" i="2"/>
  <c r="E731" i="2"/>
  <c r="E723" i="2"/>
  <c r="E715" i="2"/>
  <c r="E707" i="2"/>
  <c r="N946" i="2"/>
  <c r="P909" i="2"/>
  <c r="P877" i="2"/>
  <c r="H852" i="2"/>
  <c r="G836" i="2"/>
  <c r="F825" i="2"/>
  <c r="C817" i="2"/>
  <c r="C809" i="2"/>
  <c r="C801" i="2"/>
  <c r="C793" i="2"/>
  <c r="C785" i="2"/>
  <c r="C777" i="2"/>
  <c r="C769" i="2"/>
  <c r="C761" i="2"/>
  <c r="C753" i="2"/>
  <c r="C745" i="2"/>
  <c r="C737" i="2"/>
  <c r="C729" i="2"/>
  <c r="C721" i="2"/>
  <c r="C713" i="2"/>
  <c r="T996" i="2"/>
  <c r="Q823" i="2"/>
  <c r="Q775" i="2"/>
  <c r="Q727" i="2"/>
  <c r="A702" i="2"/>
  <c r="A694" i="2"/>
  <c r="A686" i="2"/>
  <c r="A678" i="2"/>
  <c r="J1385" i="2"/>
  <c r="Q1103" i="2"/>
  <c r="S1144" i="2"/>
  <c r="E1363" i="2"/>
  <c r="O1082" i="2"/>
  <c r="F1002" i="2"/>
  <c r="R966" i="2"/>
  <c r="J1041" i="2"/>
  <c r="M1134" i="2"/>
  <c r="O1038" i="2"/>
  <c r="S1117" i="2"/>
  <c r="T1064" i="2"/>
  <c r="E975" i="2"/>
  <c r="J1040" i="2"/>
  <c r="J944" i="2"/>
  <c r="G969" i="2"/>
  <c r="K909" i="2"/>
  <c r="K845" i="2"/>
  <c r="J930" i="2"/>
  <c r="D866" i="2"/>
  <c r="H996" i="2"/>
  <c r="H1058" i="2"/>
  <c r="N983" i="2"/>
  <c r="P928" i="2"/>
  <c r="O896" i="2"/>
  <c r="O864" i="2"/>
  <c r="O832" i="2"/>
  <c r="H1006" i="2"/>
  <c r="A943" i="2"/>
  <c r="G907" i="2"/>
  <c r="G875" i="2"/>
  <c r="G843" i="2"/>
  <c r="N1019" i="2"/>
  <c r="F927" i="2"/>
  <c r="F895" i="2"/>
  <c r="F863" i="2"/>
  <c r="N988" i="2"/>
  <c r="R935" i="2"/>
  <c r="K902" i="2"/>
  <c r="K870" i="2"/>
  <c r="H1024" i="2"/>
  <c r="T962" i="2"/>
  <c r="J920" i="2"/>
  <c r="J888" i="2"/>
  <c r="S1131" i="2"/>
  <c r="N1075" i="2"/>
  <c r="F967" i="2"/>
  <c r="T922" i="2"/>
  <c r="T890" i="2"/>
  <c r="T858" i="2"/>
  <c r="M869" i="2"/>
  <c r="G816" i="2"/>
  <c r="G784" i="2"/>
  <c r="T754" i="2"/>
  <c r="T730" i="2"/>
  <c r="N707" i="2"/>
  <c r="Q930" i="2"/>
  <c r="A837" i="2"/>
  <c r="F814" i="2"/>
  <c r="S796" i="2"/>
  <c r="S776" i="2"/>
  <c r="M757" i="2"/>
  <c r="M737" i="2"/>
  <c r="S720" i="2"/>
  <c r="S704" i="2"/>
  <c r="P930" i="2"/>
  <c r="H866" i="2"/>
  <c r="R831" i="2"/>
  <c r="E814" i="2"/>
  <c r="E798" i="2"/>
  <c r="E782" i="2"/>
  <c r="E766" i="2"/>
  <c r="E750" i="2"/>
  <c r="E734" i="2"/>
  <c r="E718" i="2"/>
  <c r="S1095" i="2"/>
  <c r="F874" i="2"/>
  <c r="S834" i="2"/>
  <c r="D816" i="2"/>
  <c r="D800" i="2"/>
  <c r="D784" i="2"/>
  <c r="D768" i="2"/>
  <c r="D752" i="2"/>
  <c r="D736" i="2"/>
  <c r="D720" i="2"/>
  <c r="E1060" i="2"/>
  <c r="P921" i="2"/>
  <c r="C879" i="2"/>
  <c r="P838" i="2"/>
  <c r="C820" i="2"/>
  <c r="C796" i="2"/>
  <c r="C772" i="2"/>
  <c r="C748" i="2"/>
  <c r="C726" i="2"/>
  <c r="C716" i="2"/>
  <c r="C708" i="2"/>
  <c r="G980" i="2"/>
  <c r="H924" i="2"/>
  <c r="A887" i="2"/>
  <c r="A853" i="2"/>
  <c r="M834" i="2"/>
  <c r="A822" i="2"/>
  <c r="O812" i="2"/>
  <c r="O804" i="2"/>
  <c r="O796" i="2"/>
  <c r="O788" i="2"/>
  <c r="O780" i="2"/>
  <c r="O772" i="2"/>
  <c r="O764" i="2"/>
  <c r="O756" i="2"/>
  <c r="O748" i="2"/>
  <c r="O740" i="2"/>
  <c r="O732" i="2"/>
  <c r="O724" i="2"/>
  <c r="O716" i="2"/>
  <c r="O708" i="2"/>
  <c r="A933" i="2"/>
  <c r="F900" i="2"/>
  <c r="F868" i="2"/>
  <c r="K832" i="2"/>
  <c r="N822" i="2"/>
  <c r="N814" i="2"/>
  <c r="N806" i="2"/>
  <c r="N798" i="2"/>
  <c r="N790" i="2"/>
  <c r="N782" i="2"/>
  <c r="N774" i="2"/>
  <c r="N766" i="2"/>
  <c r="N758" i="2"/>
  <c r="N750" i="2"/>
  <c r="N742" i="2"/>
  <c r="N734" i="2"/>
  <c r="N726" i="2"/>
  <c r="N1023" i="2"/>
  <c r="O947" i="2"/>
  <c r="K852" i="2"/>
  <c r="J836" i="2"/>
  <c r="J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C1037" i="2"/>
  <c r="N951" i="2"/>
  <c r="A913" i="2"/>
  <c r="A881" i="2"/>
  <c r="F854" i="2"/>
  <c r="F826" i="2"/>
  <c r="R817" i="2"/>
  <c r="R809" i="2"/>
  <c r="R801" i="2"/>
  <c r="R793" i="2"/>
  <c r="R785" i="2"/>
  <c r="R777" i="2"/>
  <c r="R769" i="2"/>
  <c r="R761" i="2"/>
  <c r="R753" i="2"/>
  <c r="R745" i="2"/>
  <c r="R737" i="2"/>
  <c r="R729" i="2"/>
  <c r="R721" i="2"/>
  <c r="R713" i="2"/>
  <c r="R705" i="2"/>
  <c r="G995" i="2"/>
  <c r="N938" i="2"/>
  <c r="C849" i="2"/>
  <c r="G834" i="2"/>
  <c r="P823" i="2"/>
  <c r="P815" i="2"/>
  <c r="P807" i="2"/>
  <c r="P799" i="2"/>
  <c r="P791" i="2"/>
  <c r="P783" i="2"/>
  <c r="P775" i="2"/>
  <c r="P767" i="2"/>
  <c r="P759" i="2"/>
  <c r="P751" i="2"/>
  <c r="P743" i="2"/>
  <c r="P735" i="2"/>
  <c r="P727" i="2"/>
  <c r="Q1336" i="2"/>
  <c r="P1443" i="2"/>
  <c r="E1325" i="2"/>
  <c r="A1082" i="2"/>
  <c r="M995" i="2"/>
  <c r="E966" i="2"/>
  <c r="Q1040" i="2"/>
  <c r="M1130" i="2"/>
  <c r="A1032" i="2"/>
  <c r="F1085" i="2"/>
  <c r="E1056" i="2"/>
  <c r="S1067" i="2"/>
  <c r="K974" i="2"/>
  <c r="D1023" i="2"/>
  <c r="S1078" i="2"/>
  <c r="F968" i="2"/>
  <c r="E908" i="2"/>
  <c r="E844" i="2"/>
  <c r="O929" i="2"/>
  <c r="J865" i="2"/>
  <c r="H994" i="2"/>
  <c r="P924" i="2"/>
  <c r="P870" i="2"/>
  <c r="P966" i="2"/>
  <c r="A922" i="2"/>
  <c r="A890" i="2"/>
  <c r="A858" i="2"/>
  <c r="A826" i="2"/>
  <c r="O1003" i="2"/>
  <c r="T941" i="2"/>
  <c r="N906" i="2"/>
  <c r="N874" i="2"/>
  <c r="N842" i="2"/>
  <c r="T1016" i="2"/>
  <c r="T960" i="2"/>
  <c r="M926" i="2"/>
  <c r="M894" i="2"/>
  <c r="M862" i="2"/>
  <c r="J1048" i="2"/>
  <c r="G987" i="2"/>
  <c r="T934" i="2"/>
  <c r="R901" i="2"/>
  <c r="R869" i="2"/>
  <c r="O997" i="2"/>
  <c r="P961" i="2"/>
  <c r="Q919" i="2"/>
  <c r="Q887" i="2"/>
  <c r="S1115" i="2"/>
  <c r="H1042" i="2"/>
  <c r="K956" i="2"/>
  <c r="G916" i="2"/>
  <c r="G884" i="2"/>
  <c r="G852" i="2"/>
  <c r="N815" i="2"/>
  <c r="N783" i="2"/>
  <c r="G752" i="2"/>
  <c r="G728" i="2"/>
  <c r="T706" i="2"/>
  <c r="P927" i="2"/>
  <c r="P879" i="2"/>
  <c r="S835" i="2"/>
  <c r="M813" i="2"/>
  <c r="M793" i="2"/>
  <c r="F774" i="2"/>
  <c r="S756" i="2"/>
  <c r="S736" i="2"/>
  <c r="M719" i="2"/>
  <c r="R1209" i="2"/>
  <c r="O927" i="2"/>
  <c r="O863" i="2"/>
  <c r="T830" i="2"/>
  <c r="K813" i="2"/>
  <c r="K797" i="2"/>
  <c r="K781" i="2"/>
  <c r="K765" i="2"/>
  <c r="K749" i="2"/>
  <c r="K733" i="2"/>
  <c r="K717" i="2"/>
  <c r="M1063" i="2"/>
  <c r="M871" i="2"/>
  <c r="Q833" i="2"/>
  <c r="J815" i="2"/>
  <c r="J799" i="2"/>
  <c r="J783" i="2"/>
  <c r="J767" i="2"/>
  <c r="J751" i="2"/>
  <c r="J735" i="2"/>
  <c r="J719" i="2"/>
  <c r="P837" i="2"/>
  <c r="T974" i="2"/>
  <c r="O921" i="2"/>
  <c r="O881" i="2"/>
  <c r="E851" i="2"/>
  <c r="O833" i="2"/>
  <c r="H821" i="2"/>
  <c r="A812" i="2"/>
  <c r="A804" i="2"/>
  <c r="A796" i="2"/>
  <c r="A788" i="2"/>
  <c r="A780" i="2"/>
  <c r="A772" i="2"/>
  <c r="A764" i="2"/>
  <c r="A756" i="2"/>
  <c r="A748" i="2"/>
  <c r="A740" i="2"/>
  <c r="A732" i="2"/>
  <c r="A724" i="2"/>
  <c r="A716" i="2"/>
  <c r="A708" i="2"/>
  <c r="C980" i="2"/>
  <c r="Q929" i="2"/>
  <c r="M897" i="2"/>
  <c r="M865" i="2"/>
  <c r="S844" i="2"/>
  <c r="N831" i="2"/>
  <c r="T821" i="2"/>
  <c r="T813" i="2"/>
  <c r="T805" i="2"/>
  <c r="T797" i="2"/>
  <c r="T789" i="2"/>
  <c r="T781" i="2"/>
  <c r="T773" i="2"/>
  <c r="T765" i="2"/>
  <c r="T757" i="2"/>
  <c r="T749" i="2"/>
  <c r="T741" i="2"/>
  <c r="T733" i="2"/>
  <c r="T725" i="2"/>
  <c r="G1008" i="2"/>
  <c r="O943" i="2"/>
  <c r="P907" i="2"/>
  <c r="P875" i="2"/>
  <c r="C851" i="2"/>
  <c r="M835" i="2"/>
  <c r="N824" i="2"/>
  <c r="M816" i="2"/>
  <c r="M808" i="2"/>
  <c r="M800" i="2"/>
  <c r="M792" i="2"/>
  <c r="M784" i="2"/>
  <c r="M776" i="2"/>
  <c r="M768" i="2"/>
  <c r="M760" i="2"/>
  <c r="M752" i="2"/>
  <c r="M744" i="2"/>
  <c r="M736" i="2"/>
  <c r="M728" i="2"/>
  <c r="M720" i="2"/>
  <c r="M712" i="2"/>
  <c r="C1021" i="2"/>
  <c r="N947" i="2"/>
  <c r="H910" i="2"/>
  <c r="H878" i="2"/>
  <c r="J852" i="2"/>
  <c r="E817" i="2"/>
  <c r="E809" i="2"/>
  <c r="E801" i="2"/>
  <c r="E793" i="2"/>
  <c r="E785" i="2"/>
  <c r="E777" i="2"/>
  <c r="E769" i="2"/>
  <c r="E761" i="2"/>
  <c r="E753" i="2"/>
  <c r="E745" i="2"/>
  <c r="E737" i="2"/>
  <c r="E729" i="2"/>
  <c r="E721" i="2"/>
  <c r="E713" i="2"/>
  <c r="E705" i="2"/>
  <c r="H988" i="2"/>
  <c r="Q934" i="2"/>
  <c r="P901" i="2"/>
  <c r="P869" i="2"/>
  <c r="M847" i="2"/>
  <c r="E833" i="2"/>
  <c r="C823" i="2"/>
  <c r="C815" i="2"/>
  <c r="C807" i="2"/>
  <c r="C799" i="2"/>
  <c r="C791" i="2"/>
  <c r="C783" i="2"/>
  <c r="C775" i="2"/>
  <c r="C767" i="2"/>
  <c r="C759" i="2"/>
  <c r="C751" i="2"/>
  <c r="C743" i="2"/>
  <c r="C735" i="2"/>
  <c r="C727" i="2"/>
  <c r="C719" i="2"/>
  <c r="C711" i="2"/>
  <c r="S920" i="2"/>
  <c r="Q811" i="2"/>
  <c r="Q763" i="2"/>
  <c r="Q717" i="2"/>
  <c r="A700" i="2"/>
  <c r="A692" i="2"/>
  <c r="A684" i="2"/>
  <c r="A676" i="2"/>
  <c r="A668" i="2"/>
  <c r="A660" i="2"/>
  <c r="A652" i="2"/>
  <c r="A644" i="2"/>
  <c r="A636" i="2"/>
  <c r="A628" i="2"/>
  <c r="A620" i="2"/>
  <c r="A612" i="2"/>
  <c r="K1318" i="2"/>
  <c r="E1307" i="2"/>
  <c r="C1190" i="2"/>
  <c r="S994" i="2"/>
  <c r="K959" i="2"/>
  <c r="D1016" i="2"/>
  <c r="F1092" i="2"/>
  <c r="P1034" i="2"/>
  <c r="H1007" i="2"/>
  <c r="H1055" i="2"/>
  <c r="S1066" i="2"/>
  <c r="N1164" i="2"/>
  <c r="Q1017" i="2"/>
  <c r="P1074" i="2"/>
  <c r="A967" i="2"/>
  <c r="R894" i="2"/>
  <c r="R830" i="2"/>
  <c r="D928" i="2"/>
  <c r="D864" i="2"/>
  <c r="H990" i="2"/>
  <c r="C924" i="2"/>
  <c r="P850" i="2"/>
  <c r="N965" i="2"/>
  <c r="H921" i="2"/>
  <c r="H889" i="2"/>
  <c r="H857" i="2"/>
  <c r="H825" i="2"/>
  <c r="S984" i="2"/>
  <c r="N932" i="2"/>
  <c r="T899" i="2"/>
  <c r="T867" i="2"/>
  <c r="T835" i="2"/>
  <c r="P991" i="2"/>
  <c r="S959" i="2"/>
  <c r="S925" i="2"/>
  <c r="S893" i="2"/>
  <c r="S861" i="2"/>
  <c r="P1045" i="2"/>
  <c r="T973" i="2"/>
  <c r="D934" i="2"/>
  <c r="E901" i="2"/>
  <c r="E869" i="2"/>
  <c r="N995" i="2"/>
  <c r="P951" i="2"/>
  <c r="D913" i="2"/>
  <c r="D881" i="2"/>
  <c r="O1039" i="2"/>
  <c r="M955" i="2"/>
  <c r="N915" i="2"/>
  <c r="N883" i="2"/>
  <c r="N851" i="2"/>
  <c r="T814" i="2"/>
  <c r="T782" i="2"/>
  <c r="N751" i="2"/>
  <c r="N727" i="2"/>
  <c r="G704" i="2"/>
  <c r="C925" i="2"/>
  <c r="C877" i="2"/>
  <c r="S831" i="2"/>
  <c r="S812" i="2"/>
  <c r="S792" i="2"/>
  <c r="M773" i="2"/>
  <c r="M753" i="2"/>
  <c r="F734" i="2"/>
  <c r="F718" i="2"/>
  <c r="O1063" i="2"/>
  <c r="H922" i="2"/>
  <c r="P859" i="2"/>
  <c r="D829" i="2"/>
  <c r="E812" i="2"/>
  <c r="E796" i="2"/>
  <c r="E780" i="2"/>
  <c r="E764" i="2"/>
  <c r="E748" i="2"/>
  <c r="E732" i="2"/>
  <c r="E716" i="2"/>
  <c r="T1028" i="2"/>
  <c r="Q933" i="2"/>
  <c r="S868" i="2"/>
  <c r="S832" i="2"/>
  <c r="Q814" i="2"/>
  <c r="Q798" i="2"/>
  <c r="Q782" i="2"/>
  <c r="Q766" i="2"/>
  <c r="Q750" i="2"/>
  <c r="Q734" i="2"/>
  <c r="Q718" i="2"/>
  <c r="P913" i="2"/>
  <c r="P836" i="2"/>
  <c r="P818" i="2"/>
  <c r="C806" i="2"/>
  <c r="P794" i="2"/>
  <c r="C782" i="2"/>
  <c r="P770" i="2"/>
  <c r="C758" i="2"/>
  <c r="P746" i="2"/>
  <c r="C734" i="2"/>
  <c r="C724" i="2"/>
  <c r="P714" i="2"/>
  <c r="P706" i="2"/>
  <c r="N969" i="2"/>
  <c r="A919" i="2"/>
  <c r="A879" i="2"/>
  <c r="P849" i="2"/>
  <c r="O831" i="2"/>
  <c r="O820" i="2"/>
  <c r="H811" i="2"/>
  <c r="H803" i="2"/>
  <c r="H795" i="2"/>
  <c r="H787" i="2"/>
  <c r="H779" i="2"/>
  <c r="H771" i="2"/>
  <c r="H763" i="2"/>
  <c r="H755" i="2"/>
  <c r="H747" i="2"/>
  <c r="H739" i="2"/>
  <c r="H731" i="2"/>
  <c r="H723" i="2"/>
  <c r="H715" i="2"/>
  <c r="H707" i="2"/>
  <c r="P974" i="2"/>
  <c r="S926" i="2"/>
  <c r="S894" i="2"/>
  <c r="A863" i="2"/>
  <c r="D843" i="2"/>
  <c r="M830" i="2"/>
  <c r="G821" i="2"/>
  <c r="G813" i="2"/>
  <c r="G805" i="2"/>
  <c r="G797" i="2"/>
  <c r="G789" i="2"/>
  <c r="G781" i="2"/>
  <c r="G773" i="2"/>
  <c r="G765" i="2"/>
  <c r="G757" i="2"/>
  <c r="G749" i="2"/>
  <c r="G741" i="2"/>
  <c r="G733" i="2"/>
  <c r="G725" i="2"/>
  <c r="N997" i="2"/>
  <c r="O939" i="2"/>
  <c r="C905" i="2"/>
  <c r="C873" i="2"/>
  <c r="M849" i="2"/>
  <c r="J834" i="2"/>
  <c r="S823" i="2"/>
  <c r="S815" i="2"/>
  <c r="S807" i="2"/>
  <c r="S799" i="2"/>
  <c r="S791" i="2"/>
  <c r="S783" i="2"/>
  <c r="S775" i="2"/>
  <c r="S767" i="2"/>
  <c r="S759" i="2"/>
  <c r="S751" i="2"/>
  <c r="S743" i="2"/>
  <c r="S735" i="2"/>
  <c r="S727" i="2"/>
  <c r="S719" i="2"/>
  <c r="S711" i="2"/>
  <c r="P1007" i="2"/>
  <c r="N943" i="2"/>
  <c r="O907" i="2"/>
  <c r="O875" i="2"/>
  <c r="A851" i="2"/>
  <c r="M824" i="2"/>
  <c r="K816" i="2"/>
  <c r="K808" i="2"/>
  <c r="K800" i="2"/>
  <c r="K792" i="2"/>
  <c r="K784" i="2"/>
  <c r="K776" i="2"/>
  <c r="K768" i="2"/>
  <c r="K760" i="2"/>
  <c r="K752" i="2"/>
  <c r="K744" i="2"/>
  <c r="K736" i="2"/>
  <c r="K728" i="2"/>
  <c r="K720" i="2"/>
  <c r="K712" i="2"/>
  <c r="K704" i="2"/>
  <c r="A983" i="2"/>
  <c r="N931" i="2"/>
  <c r="C899" i="2"/>
  <c r="C867" i="2"/>
  <c r="Q845" i="2"/>
  <c r="G832" i="2"/>
  <c r="S904" i="2"/>
  <c r="Q807" i="2"/>
  <c r="Q759" i="2"/>
  <c r="D715" i="2"/>
  <c r="H699" i="2"/>
  <c r="H691" i="2"/>
  <c r="H683" i="2"/>
  <c r="H675" i="2"/>
  <c r="H667" i="2"/>
  <c r="H659" i="2"/>
  <c r="H651" i="2"/>
  <c r="H643" i="2"/>
  <c r="H635" i="2"/>
  <c r="H627" i="2"/>
  <c r="H619" i="2"/>
  <c r="H611" i="2"/>
  <c r="H603" i="2"/>
  <c r="H595" i="2"/>
  <c r="H587" i="2"/>
  <c r="H579" i="2"/>
  <c r="H571" i="2"/>
  <c r="H563" i="2"/>
  <c r="H555" i="2"/>
  <c r="H547" i="2"/>
  <c r="H539" i="2"/>
  <c r="H531" i="2"/>
  <c r="H523" i="2"/>
  <c r="H515" i="2"/>
  <c r="H507" i="2"/>
  <c r="H499" i="2"/>
  <c r="H491" i="2"/>
  <c r="H483" i="2"/>
  <c r="H475" i="2"/>
  <c r="H467" i="2"/>
  <c r="H459" i="2"/>
  <c r="H451" i="2"/>
  <c r="H443" i="2"/>
  <c r="H435" i="2"/>
  <c r="H427" i="2"/>
  <c r="H904" i="2"/>
  <c r="O807" i="2"/>
  <c r="O759" i="2"/>
  <c r="A715" i="2"/>
  <c r="G699" i="2"/>
  <c r="G691" i="2"/>
  <c r="G683" i="2"/>
  <c r="G675" i="2"/>
  <c r="G667" i="2"/>
  <c r="G659" i="2"/>
  <c r="G651" i="2"/>
  <c r="G643" i="2"/>
  <c r="G635" i="2"/>
  <c r="G627" i="2"/>
  <c r="G619" i="2"/>
  <c r="G611" i="2"/>
  <c r="G603" i="2"/>
  <c r="G595" i="2"/>
  <c r="G587" i="2"/>
  <c r="G579" i="2"/>
  <c r="G571" i="2"/>
  <c r="G563" i="2"/>
  <c r="G555" i="2"/>
  <c r="G547" i="2"/>
  <c r="G539" i="2"/>
  <c r="G531" i="2"/>
  <c r="G523" i="2"/>
  <c r="G515" i="2"/>
  <c r="G507" i="2"/>
  <c r="G499" i="2"/>
  <c r="E1316" i="2"/>
  <c r="T1204" i="2"/>
  <c r="P1246" i="2"/>
  <c r="Q1172" i="2"/>
  <c r="C1248" i="2"/>
  <c r="K1182" i="2"/>
  <c r="J1056" i="2"/>
  <c r="R934" i="2"/>
  <c r="J1009" i="2"/>
  <c r="G1242" i="2"/>
  <c r="O1006" i="2"/>
  <c r="S1065" i="2"/>
  <c r="N1160" i="2"/>
  <c r="J1016" i="2"/>
  <c r="T1055" i="2"/>
  <c r="K893" i="2"/>
  <c r="K829" i="2"/>
  <c r="D914" i="2"/>
  <c r="D850" i="2"/>
  <c r="O920" i="2"/>
  <c r="O888" i="2"/>
  <c r="O856" i="2"/>
  <c r="O824" i="2"/>
  <c r="M983" i="2"/>
  <c r="R931" i="2"/>
  <c r="G899" i="2"/>
  <c r="G867" i="2"/>
  <c r="G835" i="2"/>
  <c r="C990" i="2"/>
  <c r="T958" i="2"/>
  <c r="F919" i="2"/>
  <c r="F887" i="2"/>
  <c r="F855" i="2"/>
  <c r="N972" i="2"/>
  <c r="K926" i="2"/>
  <c r="K894" i="2"/>
  <c r="P1219" i="2"/>
  <c r="N993" i="2"/>
  <c r="P950" i="2"/>
  <c r="J912" i="2"/>
  <c r="J880" i="2"/>
  <c r="F1054" i="2"/>
  <c r="A1037" i="2"/>
  <c r="K954" i="2"/>
  <c r="T914" i="2"/>
  <c r="T882" i="2"/>
  <c r="T850" i="2"/>
  <c r="S848" i="2"/>
  <c r="G808" i="2"/>
  <c r="G776" i="2"/>
  <c r="T750" i="2"/>
  <c r="T726" i="2"/>
  <c r="N703" i="2"/>
  <c r="A831" i="2"/>
  <c r="M809" i="2"/>
  <c r="F790" i="2"/>
  <c r="S772" i="2"/>
  <c r="S752" i="2"/>
  <c r="M733" i="2"/>
  <c r="M717" i="2"/>
  <c r="C1045" i="2"/>
  <c r="A917" i="2"/>
  <c r="J856" i="2"/>
  <c r="R810" i="2"/>
  <c r="R794" i="2"/>
  <c r="R778" i="2"/>
  <c r="R762" i="2"/>
  <c r="R746" i="2"/>
  <c r="R730" i="2"/>
  <c r="R714" i="2"/>
  <c r="G1002" i="2"/>
  <c r="M919" i="2"/>
  <c r="R857" i="2"/>
  <c r="F828" i="2"/>
  <c r="J811" i="2"/>
  <c r="J795" i="2"/>
  <c r="J779" i="2"/>
  <c r="J763" i="2"/>
  <c r="J747" i="2"/>
  <c r="J731" i="2"/>
  <c r="J715" i="2"/>
  <c r="H980" i="2"/>
  <c r="C911" i="2"/>
  <c r="P865" i="2"/>
  <c r="P831" i="2"/>
  <c r="C818" i="2"/>
  <c r="C794" i="2"/>
  <c r="C770" i="2"/>
  <c r="C746" i="2"/>
  <c r="C714" i="2"/>
  <c r="C706" i="2"/>
  <c r="A965" i="2"/>
  <c r="O913" i="2"/>
  <c r="H876" i="2"/>
  <c r="F848" i="2"/>
  <c r="N830" i="2"/>
  <c r="A820" i="2"/>
  <c r="O810" i="2"/>
  <c r="O802" i="2"/>
  <c r="O794" i="2"/>
  <c r="O786" i="2"/>
  <c r="O778" i="2"/>
  <c r="O770" i="2"/>
  <c r="O762" i="2"/>
  <c r="O754" i="2"/>
  <c r="O746" i="2"/>
  <c r="O738" i="2"/>
  <c r="O730" i="2"/>
  <c r="O722" i="2"/>
  <c r="O714" i="2"/>
  <c r="O706" i="2"/>
  <c r="F924" i="2"/>
  <c r="F892" i="2"/>
  <c r="A861" i="2"/>
  <c r="Q841" i="2"/>
  <c r="P829" i="2"/>
  <c r="N820" i="2"/>
  <c r="N812" i="2"/>
  <c r="N804" i="2"/>
  <c r="N796" i="2"/>
  <c r="N788" i="2"/>
  <c r="N780" i="2"/>
  <c r="N772" i="2"/>
  <c r="N764" i="2"/>
  <c r="N756" i="2"/>
  <c r="N748" i="2"/>
  <c r="N740" i="2"/>
  <c r="N732" i="2"/>
  <c r="N724" i="2"/>
  <c r="O989" i="2"/>
  <c r="O935" i="2"/>
  <c r="Q847" i="2"/>
  <c r="M833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C997" i="2"/>
  <c r="N939" i="2"/>
  <c r="A905" i="2"/>
  <c r="A873" i="2"/>
  <c r="E849" i="2"/>
  <c r="R823" i="2"/>
  <c r="R815" i="2"/>
  <c r="R807" i="2"/>
  <c r="R799" i="2"/>
  <c r="R791" i="2"/>
  <c r="R783" i="2"/>
  <c r="R775" i="2"/>
  <c r="R767" i="2"/>
  <c r="R759" i="2"/>
  <c r="R751" i="2"/>
  <c r="R743" i="2"/>
  <c r="R735" i="2"/>
  <c r="R727" i="2"/>
  <c r="R719" i="2"/>
  <c r="R711" i="2"/>
  <c r="R703" i="2"/>
  <c r="O977" i="2"/>
  <c r="H844" i="2"/>
  <c r="E831" i="2"/>
  <c r="P821" i="2"/>
  <c r="P813" i="2"/>
  <c r="P805" i="2"/>
  <c r="P797" i="2"/>
  <c r="P789" i="2"/>
  <c r="P781" i="2"/>
  <c r="P773" i="2"/>
  <c r="P765" i="2"/>
  <c r="P757" i="2"/>
  <c r="P749" i="2"/>
  <c r="P741" i="2"/>
  <c r="P733" i="2"/>
  <c r="P725" i="2"/>
  <c r="P717" i="2"/>
  <c r="P709" i="2"/>
  <c r="S888" i="2"/>
  <c r="Q803" i="2"/>
  <c r="Q755" i="2"/>
  <c r="J712" i="2"/>
  <c r="O698" i="2"/>
  <c r="O690" i="2"/>
  <c r="O682" i="2"/>
  <c r="O674" i="2"/>
  <c r="O666" i="2"/>
  <c r="O658" i="2"/>
  <c r="O650" i="2"/>
  <c r="O642" i="2"/>
  <c r="O634" i="2"/>
  <c r="O626" i="2"/>
  <c r="O618" i="2"/>
  <c r="O610" i="2"/>
  <c r="O602" i="2"/>
  <c r="O594" i="2"/>
  <c r="O586" i="2"/>
  <c r="O578" i="2"/>
  <c r="O570" i="2"/>
  <c r="O562" i="2"/>
  <c r="O554" i="2"/>
  <c r="O546" i="2"/>
  <c r="O538" i="2"/>
  <c r="O530" i="2"/>
  <c r="O522" i="2"/>
  <c r="O514" i="2"/>
  <c r="O506" i="2"/>
  <c r="O498" i="2"/>
  <c r="O490" i="2"/>
  <c r="O482" i="2"/>
  <c r="O474" i="2"/>
  <c r="O466" i="2"/>
  <c r="O458" i="2"/>
  <c r="O450" i="2"/>
  <c r="O442" i="2"/>
  <c r="O434" i="2"/>
  <c r="O426" i="2"/>
  <c r="H888" i="2"/>
  <c r="O803" i="2"/>
  <c r="O755" i="2"/>
  <c r="H712" i="2"/>
  <c r="N698" i="2"/>
  <c r="N690" i="2"/>
  <c r="N682" i="2"/>
  <c r="N674" i="2"/>
  <c r="N666" i="2"/>
  <c r="N658" i="2"/>
  <c r="N650" i="2"/>
  <c r="N642" i="2"/>
  <c r="N634" i="2"/>
  <c r="N626" i="2"/>
  <c r="N618" i="2"/>
  <c r="N610" i="2"/>
  <c r="N602" i="2"/>
  <c r="N594" i="2"/>
  <c r="N586" i="2"/>
  <c r="N578" i="2"/>
  <c r="N570" i="2"/>
  <c r="N562" i="2"/>
  <c r="N554" i="2"/>
  <c r="N546" i="2"/>
  <c r="N538" i="2"/>
  <c r="N530" i="2"/>
  <c r="N522" i="2"/>
  <c r="N514" i="2"/>
  <c r="N506" i="2"/>
  <c r="J1251" i="2"/>
  <c r="H1083" i="2"/>
  <c r="Q1008" i="2"/>
  <c r="G1153" i="2"/>
  <c r="H946" i="2"/>
  <c r="P1052" i="2"/>
  <c r="A850" i="2"/>
  <c r="N898" i="2"/>
  <c r="S885" i="2"/>
  <c r="T989" i="2"/>
  <c r="D905" i="2"/>
  <c r="H968" i="2"/>
  <c r="D847" i="2"/>
  <c r="T734" i="2"/>
  <c r="M789" i="2"/>
  <c r="S716" i="2"/>
  <c r="K769" i="2"/>
  <c r="K705" i="2"/>
  <c r="M911" i="2"/>
  <c r="Q794" i="2"/>
  <c r="Q730" i="2"/>
  <c r="P722" i="2"/>
  <c r="J854" i="2"/>
  <c r="H809" i="2"/>
  <c r="H777" i="2"/>
  <c r="H745" i="2"/>
  <c r="H713" i="2"/>
  <c r="R847" i="2"/>
  <c r="G811" i="2"/>
  <c r="G779" i="2"/>
  <c r="G747" i="2"/>
  <c r="A979" i="2"/>
  <c r="G826" i="2"/>
  <c r="S793" i="2"/>
  <c r="S761" i="2"/>
  <c r="S729" i="2"/>
  <c r="F846" i="2"/>
  <c r="K794" i="2"/>
  <c r="K762" i="2"/>
  <c r="K730" i="2"/>
  <c r="M842" i="2"/>
  <c r="C813" i="2"/>
  <c r="S872" i="2"/>
  <c r="Q709" i="2"/>
  <c r="A682" i="2"/>
  <c r="H661" i="2"/>
  <c r="A642" i="2"/>
  <c r="A622" i="2"/>
  <c r="O604" i="2"/>
  <c r="O588" i="2"/>
  <c r="O572" i="2"/>
  <c r="O556" i="2"/>
  <c r="O540" i="2"/>
  <c r="O524" i="2"/>
  <c r="O508" i="2"/>
  <c r="O492" i="2"/>
  <c r="O476" i="2"/>
  <c r="O460" i="2"/>
  <c r="O444" i="2"/>
  <c r="O428" i="2"/>
  <c r="O815" i="2"/>
  <c r="H720" i="2"/>
  <c r="N692" i="2"/>
  <c r="N676" i="2"/>
  <c r="N660" i="2"/>
  <c r="N644" i="2"/>
  <c r="N628" i="2"/>
  <c r="N612" i="2"/>
  <c r="N596" i="2"/>
  <c r="N580" i="2"/>
  <c r="N564" i="2"/>
  <c r="N548" i="2"/>
  <c r="N532" i="2"/>
  <c r="N516" i="2"/>
  <c r="N500" i="2"/>
  <c r="T491" i="2"/>
  <c r="T483" i="2"/>
  <c r="T475" i="2"/>
  <c r="T467" i="2"/>
  <c r="T459" i="2"/>
  <c r="T451" i="2"/>
  <c r="T443" i="2"/>
  <c r="T435" i="2"/>
  <c r="T427" i="2"/>
  <c r="T419" i="2"/>
  <c r="T411" i="2"/>
  <c r="T403" i="2"/>
  <c r="T395" i="2"/>
  <c r="O847" i="2"/>
  <c r="D791" i="2"/>
  <c r="D743" i="2"/>
  <c r="H705" i="2"/>
  <c r="M696" i="2"/>
  <c r="M688" i="2"/>
  <c r="M680" i="2"/>
  <c r="M672" i="2"/>
  <c r="M664" i="2"/>
  <c r="M656" i="2"/>
  <c r="M648" i="2"/>
  <c r="M640" i="2"/>
  <c r="M632" i="2"/>
  <c r="M624" i="2"/>
  <c r="M616" i="2"/>
  <c r="M608" i="2"/>
  <c r="M600" i="2"/>
  <c r="M592" i="2"/>
  <c r="M584" i="2"/>
  <c r="M576" i="2"/>
  <c r="M568" i="2"/>
  <c r="M560" i="2"/>
  <c r="M552" i="2"/>
  <c r="M544" i="2"/>
  <c r="M536" i="2"/>
  <c r="M528" i="2"/>
  <c r="M520" i="2"/>
  <c r="M512" i="2"/>
  <c r="M504" i="2"/>
  <c r="M496" i="2"/>
  <c r="M488" i="2"/>
  <c r="M480" i="2"/>
  <c r="M472" i="2"/>
  <c r="M464" i="2"/>
  <c r="M456" i="2"/>
  <c r="M448" i="2"/>
  <c r="M440" i="2"/>
  <c r="M432" i="2"/>
  <c r="M424" i="2"/>
  <c r="D839" i="2"/>
  <c r="A787" i="2"/>
  <c r="A739" i="2"/>
  <c r="H704" i="2"/>
  <c r="R695" i="2"/>
  <c r="R687" i="2"/>
  <c r="R679" i="2"/>
  <c r="R671" i="2"/>
  <c r="R663" i="2"/>
  <c r="R655" i="2"/>
  <c r="R647" i="2"/>
  <c r="R639" i="2"/>
  <c r="R631" i="2"/>
  <c r="R623" i="2"/>
  <c r="R615" i="2"/>
  <c r="R607" i="2"/>
  <c r="R599" i="2"/>
  <c r="R591" i="2"/>
  <c r="R583" i="2"/>
  <c r="R575" i="2"/>
  <c r="R567" i="2"/>
  <c r="R559" i="2"/>
  <c r="R551" i="2"/>
  <c r="R543" i="2"/>
  <c r="R535" i="2"/>
  <c r="R527" i="2"/>
  <c r="R519" i="2"/>
  <c r="R511" i="2"/>
  <c r="R503" i="2"/>
  <c r="R495" i="2"/>
  <c r="R487" i="2"/>
  <c r="R479" i="2"/>
  <c r="R471" i="2"/>
  <c r="R463" i="2"/>
  <c r="R455" i="2"/>
  <c r="R447" i="2"/>
  <c r="R439" i="2"/>
  <c r="R431" i="2"/>
  <c r="R423" i="2"/>
  <c r="R845" i="2"/>
  <c r="J790" i="2"/>
  <c r="J742" i="2"/>
  <c r="F705" i="2"/>
  <c r="J696" i="2"/>
  <c r="J688" i="2"/>
  <c r="J680" i="2"/>
  <c r="J672" i="2"/>
  <c r="J664" i="2"/>
  <c r="J656" i="2"/>
  <c r="J648" i="2"/>
  <c r="J640" i="2"/>
  <c r="J632" i="2"/>
  <c r="J624" i="2"/>
  <c r="J616" i="2"/>
  <c r="J608" i="2"/>
  <c r="J600" i="2"/>
  <c r="J592" i="2"/>
  <c r="J584" i="2"/>
  <c r="J576" i="2"/>
  <c r="J568" i="2"/>
  <c r="J560" i="2"/>
  <c r="J552" i="2"/>
  <c r="J544" i="2"/>
  <c r="J536" i="2"/>
  <c r="J528" i="2"/>
  <c r="J520" i="2"/>
  <c r="J512" i="2"/>
  <c r="J504" i="2"/>
  <c r="J496" i="2"/>
  <c r="J488" i="2"/>
  <c r="J480" i="2"/>
  <c r="J472" i="2"/>
  <c r="J464" i="2"/>
  <c r="J456" i="2"/>
  <c r="J448" i="2"/>
  <c r="J440" i="2"/>
  <c r="J432" i="2"/>
  <c r="J424" i="2"/>
  <c r="F838" i="2"/>
  <c r="H786" i="2"/>
  <c r="H738" i="2"/>
  <c r="C704" i="2"/>
  <c r="P695" i="2"/>
  <c r="P687" i="2"/>
  <c r="P679" i="2"/>
  <c r="P671" i="2"/>
  <c r="P663" i="2"/>
  <c r="P655" i="2"/>
  <c r="P647" i="2"/>
  <c r="P639" i="2"/>
  <c r="P631" i="2"/>
  <c r="P623" i="2"/>
  <c r="P615" i="2"/>
  <c r="P607" i="2"/>
  <c r="P599" i="2"/>
  <c r="P591" i="2"/>
  <c r="P583" i="2"/>
  <c r="P575" i="2"/>
  <c r="P567" i="2"/>
  <c r="P559" i="2"/>
  <c r="P551" i="2"/>
  <c r="P543" i="2"/>
  <c r="P535" i="2"/>
  <c r="P527" i="2"/>
  <c r="P519" i="2"/>
  <c r="Q1250" i="2"/>
  <c r="F1162" i="2"/>
  <c r="G1176" i="2"/>
  <c r="D984" i="2"/>
  <c r="Q1041" i="2"/>
  <c r="H944" i="2"/>
  <c r="C892" i="2"/>
  <c r="T984" i="2"/>
  <c r="H849" i="2"/>
  <c r="T891" i="2"/>
  <c r="S869" i="2"/>
  <c r="G971" i="2"/>
  <c r="A1027" i="2"/>
  <c r="D889" i="2"/>
  <c r="K944" i="2"/>
  <c r="C835" i="2"/>
  <c r="T722" i="2"/>
  <c r="S788" i="2"/>
  <c r="M713" i="2"/>
  <c r="M826" i="2"/>
  <c r="E762" i="2"/>
  <c r="T992" i="2"/>
  <c r="M879" i="2"/>
  <c r="J793" i="2"/>
  <c r="J729" i="2"/>
  <c r="C780" i="2"/>
  <c r="C738" i="2"/>
  <c r="C722" i="2"/>
  <c r="F1177" i="2"/>
  <c r="A845" i="2"/>
  <c r="H805" i="2"/>
  <c r="H773" i="2"/>
  <c r="H741" i="2"/>
  <c r="H709" i="2"/>
  <c r="G807" i="2"/>
  <c r="G775" i="2"/>
  <c r="G743" i="2"/>
  <c r="O951" i="2"/>
  <c r="C881" i="2"/>
  <c r="M822" i="2"/>
  <c r="M790" i="2"/>
  <c r="M758" i="2"/>
  <c r="M726" i="2"/>
  <c r="N955" i="2"/>
  <c r="E823" i="2"/>
  <c r="E791" i="2"/>
  <c r="E759" i="2"/>
  <c r="E727" i="2"/>
  <c r="F841" i="2"/>
  <c r="C773" i="2"/>
  <c r="C717" i="2"/>
  <c r="S858" i="2"/>
  <c r="F707" i="2"/>
  <c r="H681" i="2"/>
  <c r="O660" i="2"/>
  <c r="H641" i="2"/>
  <c r="H621" i="2"/>
  <c r="A604" i="2"/>
  <c r="A588" i="2"/>
  <c r="A572" i="2"/>
  <c r="A556" i="2"/>
  <c r="A540" i="2"/>
  <c r="A524" i="2"/>
  <c r="A508" i="2"/>
  <c r="A492" i="2"/>
  <c r="A476" i="2"/>
  <c r="A460" i="2"/>
  <c r="A444" i="2"/>
  <c r="A428" i="2"/>
  <c r="O811" i="2"/>
  <c r="O717" i="2"/>
  <c r="T691" i="2"/>
  <c r="T675" i="2"/>
  <c r="T659" i="2"/>
  <c r="T643" i="2"/>
  <c r="T627" i="2"/>
  <c r="T611" i="2"/>
  <c r="T595" i="2"/>
  <c r="T579" i="2"/>
  <c r="T563" i="2"/>
  <c r="T547" i="2"/>
  <c r="T531" i="2"/>
  <c r="T515" i="2"/>
  <c r="T499" i="2"/>
  <c r="G491" i="2"/>
  <c r="G483" i="2"/>
  <c r="G475" i="2"/>
  <c r="G467" i="2"/>
  <c r="G459" i="2"/>
  <c r="G451" i="2"/>
  <c r="G443" i="2"/>
  <c r="G435" i="2"/>
  <c r="G427" i="2"/>
  <c r="G419" i="2"/>
  <c r="G411" i="2"/>
  <c r="G403" i="2"/>
  <c r="G395" i="2"/>
  <c r="F839" i="2"/>
  <c r="D787" i="2"/>
  <c r="D739" i="2"/>
  <c r="S695" i="2"/>
  <c r="S687" i="2"/>
  <c r="S679" i="2"/>
  <c r="S671" i="2"/>
  <c r="S663" i="2"/>
  <c r="S655" i="2"/>
  <c r="S647" i="2"/>
  <c r="S639" i="2"/>
  <c r="S631" i="2"/>
  <c r="S623" i="2"/>
  <c r="S615" i="2"/>
  <c r="S607" i="2"/>
  <c r="S599" i="2"/>
  <c r="S591" i="2"/>
  <c r="S583" i="2"/>
  <c r="S575" i="2"/>
  <c r="S567" i="2"/>
  <c r="S559" i="2"/>
  <c r="S551" i="2"/>
  <c r="S543" i="2"/>
  <c r="S535" i="2"/>
  <c r="S527" i="2"/>
  <c r="S519" i="2"/>
  <c r="S511" i="2"/>
  <c r="S503" i="2"/>
  <c r="S495" i="2"/>
  <c r="S487" i="2"/>
  <c r="S479" i="2"/>
  <c r="S471" i="2"/>
  <c r="S463" i="2"/>
  <c r="S455" i="2"/>
  <c r="S447" i="2"/>
  <c r="S439" i="2"/>
  <c r="S431" i="2"/>
  <c r="S423" i="2"/>
  <c r="D833" i="2"/>
  <c r="A783" i="2"/>
  <c r="A735" i="2"/>
  <c r="H703" i="2"/>
  <c r="E695" i="2"/>
  <c r="E687" i="2"/>
  <c r="E679" i="2"/>
  <c r="E671" i="2"/>
  <c r="E663" i="2"/>
  <c r="D1096" i="2"/>
  <c r="O1061" i="2"/>
  <c r="M1030" i="2"/>
  <c r="D999" i="2"/>
  <c r="G962" i="2"/>
  <c r="H833" i="2"/>
  <c r="T875" i="2"/>
  <c r="M854" i="2"/>
  <c r="Q879" i="2"/>
  <c r="M943" i="2"/>
  <c r="G720" i="2"/>
  <c r="M777" i="2"/>
  <c r="M705" i="2"/>
  <c r="Q825" i="2"/>
  <c r="K761" i="2"/>
  <c r="P986" i="2"/>
  <c r="J785" i="2"/>
  <c r="J721" i="2"/>
  <c r="E843" i="2"/>
  <c r="A802" i="2"/>
  <c r="A770" i="2"/>
  <c r="A738" i="2"/>
  <c r="M1160" i="2"/>
  <c r="K840" i="2"/>
  <c r="T803" i="2"/>
  <c r="T771" i="2"/>
  <c r="T739" i="2"/>
  <c r="S821" i="2"/>
  <c r="S789" i="2"/>
  <c r="S757" i="2"/>
  <c r="S725" i="2"/>
  <c r="N935" i="2"/>
  <c r="K822" i="2"/>
  <c r="K790" i="2"/>
  <c r="K758" i="2"/>
  <c r="K726" i="2"/>
  <c r="N1005" i="2"/>
  <c r="P893" i="2"/>
  <c r="E835" i="2"/>
  <c r="C733" i="2"/>
  <c r="Q819" i="2"/>
  <c r="H701" i="2"/>
  <c r="H677" i="2"/>
  <c r="A658" i="2"/>
  <c r="A638" i="2"/>
  <c r="O620" i="2"/>
  <c r="A602" i="2"/>
  <c r="A586" i="2"/>
  <c r="A570" i="2"/>
  <c r="A554" i="2"/>
  <c r="A538" i="2"/>
  <c r="A522" i="2"/>
  <c r="A506" i="2"/>
  <c r="A490" i="2"/>
  <c r="A474" i="2"/>
  <c r="A458" i="2"/>
  <c r="A442" i="2"/>
  <c r="A426" i="2"/>
  <c r="O799" i="2"/>
  <c r="O709" i="2"/>
  <c r="T689" i="2"/>
  <c r="T673" i="2"/>
  <c r="T657" i="2"/>
  <c r="T641" i="2"/>
  <c r="T625" i="2"/>
  <c r="T609" i="2"/>
  <c r="T593" i="2"/>
  <c r="T577" i="2"/>
  <c r="T561" i="2"/>
  <c r="T545" i="2"/>
  <c r="T529" i="2"/>
  <c r="T513" i="2"/>
  <c r="N498" i="2"/>
  <c r="N490" i="2"/>
  <c r="N482" i="2"/>
  <c r="N474" i="2"/>
  <c r="N466" i="2"/>
  <c r="N458" i="2"/>
  <c r="N450" i="2"/>
  <c r="N442" i="2"/>
  <c r="N434" i="2"/>
  <c r="N426" i="2"/>
  <c r="N418" i="2"/>
  <c r="N410" i="2"/>
  <c r="N402" i="2"/>
  <c r="N394" i="2"/>
  <c r="F833" i="2"/>
  <c r="D783" i="2"/>
  <c r="D735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471" i="2"/>
  <c r="F463" i="2"/>
  <c r="F455" i="2"/>
  <c r="F447" i="2"/>
  <c r="F439" i="2"/>
  <c r="F431" i="2"/>
  <c r="M1071" i="2"/>
  <c r="N827" i="2"/>
  <c r="A779" i="2"/>
  <c r="A731" i="2"/>
  <c r="M702" i="2"/>
  <c r="K694" i="2"/>
  <c r="K686" i="2"/>
  <c r="K678" i="2"/>
  <c r="K670" i="2"/>
  <c r="K662" i="2"/>
  <c r="K654" i="2"/>
  <c r="K646" i="2"/>
  <c r="K638" i="2"/>
  <c r="K630" i="2"/>
  <c r="K622" i="2"/>
  <c r="K614" i="2"/>
  <c r="K606" i="2"/>
  <c r="K598" i="2"/>
  <c r="K590" i="2"/>
  <c r="K582" i="2"/>
  <c r="K574" i="2"/>
  <c r="K566" i="2"/>
  <c r="K558" i="2"/>
  <c r="K550" i="2"/>
  <c r="K542" i="2"/>
  <c r="K534" i="2"/>
  <c r="K526" i="2"/>
  <c r="K518" i="2"/>
  <c r="K510" i="2"/>
  <c r="K502" i="2"/>
  <c r="K494" i="2"/>
  <c r="K486" i="2"/>
  <c r="K478" i="2"/>
  <c r="K470" i="2"/>
  <c r="K462" i="2"/>
  <c r="K454" i="2"/>
  <c r="K446" i="2"/>
  <c r="K438" i="2"/>
  <c r="K430" i="2"/>
  <c r="K422" i="2"/>
  <c r="H832" i="2"/>
  <c r="J782" i="2"/>
  <c r="J734" i="2"/>
  <c r="G703" i="2"/>
  <c r="D695" i="2"/>
  <c r="D687" i="2"/>
  <c r="D679" i="2"/>
  <c r="D671" i="2"/>
  <c r="D663" i="2"/>
  <c r="D655" i="2"/>
  <c r="D647" i="2"/>
  <c r="D639" i="2"/>
  <c r="D631" i="2"/>
  <c r="D623" i="2"/>
  <c r="D615" i="2"/>
  <c r="D607" i="2"/>
  <c r="D599" i="2"/>
  <c r="D591" i="2"/>
  <c r="D583" i="2"/>
  <c r="D575" i="2"/>
  <c r="D567" i="2"/>
  <c r="C1208" i="2"/>
  <c r="S1029" i="2"/>
  <c r="Q993" i="2"/>
  <c r="R910" i="2"/>
  <c r="F960" i="2"/>
  <c r="C953" i="2"/>
  <c r="N866" i="2"/>
  <c r="S853" i="2"/>
  <c r="R945" i="2"/>
  <c r="D873" i="2"/>
  <c r="N923" i="2"/>
  <c r="T822" i="2"/>
  <c r="T710" i="2"/>
  <c r="M769" i="2"/>
  <c r="C1029" i="2"/>
  <c r="K817" i="2"/>
  <c r="K753" i="2"/>
  <c r="D853" i="2"/>
  <c r="Q778" i="2"/>
  <c r="Q714" i="2"/>
  <c r="C756" i="2"/>
  <c r="C991" i="2"/>
  <c r="O835" i="2"/>
  <c r="H801" i="2"/>
  <c r="H769" i="2"/>
  <c r="H737" i="2"/>
  <c r="T1079" i="2"/>
  <c r="M921" i="2"/>
  <c r="N839" i="2"/>
  <c r="G803" i="2"/>
  <c r="G771" i="2"/>
  <c r="G739" i="2"/>
  <c r="E929" i="2"/>
  <c r="S817" i="2"/>
  <c r="S785" i="2"/>
  <c r="S753" i="2"/>
  <c r="S721" i="2"/>
  <c r="H932" i="2"/>
  <c r="K818" i="2"/>
  <c r="K786" i="2"/>
  <c r="K754" i="2"/>
  <c r="K722" i="2"/>
  <c r="H972" i="2"/>
  <c r="C891" i="2"/>
  <c r="H830" i="2"/>
  <c r="C789" i="2"/>
  <c r="Q815" i="2"/>
  <c r="O700" i="2"/>
  <c r="O676" i="2"/>
  <c r="H657" i="2"/>
  <c r="H637" i="2"/>
  <c r="A618" i="2"/>
  <c r="H601" i="2"/>
  <c r="H585" i="2"/>
  <c r="H569" i="2"/>
  <c r="H553" i="2"/>
  <c r="H537" i="2"/>
  <c r="H521" i="2"/>
  <c r="H505" i="2"/>
  <c r="H489" i="2"/>
  <c r="H473" i="2"/>
  <c r="H457" i="2"/>
  <c r="H441" i="2"/>
  <c r="H425" i="2"/>
  <c r="O795" i="2"/>
  <c r="D707" i="2"/>
  <c r="G689" i="2"/>
  <c r="G673" i="2"/>
  <c r="G657" i="2"/>
  <c r="G641" i="2"/>
  <c r="G625" i="2"/>
  <c r="G609" i="2"/>
  <c r="G593" i="2"/>
  <c r="G577" i="2"/>
  <c r="G561" i="2"/>
  <c r="G545" i="2"/>
  <c r="G529" i="2"/>
  <c r="G513" i="2"/>
  <c r="T497" i="2"/>
  <c r="T489" i="2"/>
  <c r="T481" i="2"/>
  <c r="T473" i="2"/>
  <c r="T465" i="2"/>
  <c r="T457" i="2"/>
  <c r="T449" i="2"/>
  <c r="T441" i="2"/>
  <c r="T433" i="2"/>
  <c r="T425" i="2"/>
  <c r="T417" i="2"/>
  <c r="T409" i="2"/>
  <c r="T401" i="2"/>
  <c r="M1075" i="2"/>
  <c r="P827" i="2"/>
  <c r="D779" i="2"/>
  <c r="D731" i="2"/>
  <c r="N702" i="2"/>
  <c r="M694" i="2"/>
  <c r="M686" i="2"/>
  <c r="M678" i="2"/>
  <c r="M670" i="2"/>
  <c r="M662" i="2"/>
  <c r="M654" i="2"/>
  <c r="M646" i="2"/>
  <c r="M638" i="2"/>
  <c r="M630" i="2"/>
  <c r="M622" i="2"/>
  <c r="M614" i="2"/>
  <c r="M606" i="2"/>
  <c r="M598" i="2"/>
  <c r="M590" i="2"/>
  <c r="M582" i="2"/>
  <c r="M574" i="2"/>
  <c r="M566" i="2"/>
  <c r="M558" i="2"/>
  <c r="M550" i="2"/>
  <c r="M542" i="2"/>
  <c r="M534" i="2"/>
  <c r="M526" i="2"/>
  <c r="M518" i="2"/>
  <c r="M510" i="2"/>
  <c r="M502" i="2"/>
  <c r="M494" i="2"/>
  <c r="M486" i="2"/>
  <c r="M478" i="2"/>
  <c r="M470" i="2"/>
  <c r="M462" i="2"/>
  <c r="M454" i="2"/>
  <c r="M446" i="2"/>
  <c r="M438" i="2"/>
  <c r="M430" i="2"/>
  <c r="G988" i="2"/>
  <c r="A823" i="2"/>
  <c r="A775" i="2"/>
  <c r="A727" i="2"/>
  <c r="R701" i="2"/>
  <c r="R693" i="2"/>
  <c r="R685" i="2"/>
  <c r="R677" i="2"/>
  <c r="R669" i="2"/>
  <c r="R661" i="2"/>
  <c r="R653" i="2"/>
  <c r="R645" i="2"/>
  <c r="R637" i="2"/>
  <c r="R629" i="2"/>
  <c r="R621" i="2"/>
  <c r="R613" i="2"/>
  <c r="R605" i="2"/>
  <c r="R597" i="2"/>
  <c r="R589" i="2"/>
  <c r="R581" i="2"/>
  <c r="R573" i="2"/>
  <c r="R565" i="2"/>
  <c r="R557" i="2"/>
  <c r="R549" i="2"/>
  <c r="R541" i="2"/>
  <c r="R533" i="2"/>
  <c r="R525" i="2"/>
  <c r="R517" i="2"/>
  <c r="R509" i="2"/>
  <c r="R501" i="2"/>
  <c r="R493" i="2"/>
  <c r="R485" i="2"/>
  <c r="R477" i="2"/>
  <c r="R469" i="2"/>
  <c r="R461" i="2"/>
  <c r="R453" i="2"/>
  <c r="R445" i="2"/>
  <c r="R437" i="2"/>
  <c r="R429" i="2"/>
  <c r="J1053" i="2"/>
  <c r="T826" i="2"/>
  <c r="J778" i="2"/>
  <c r="J730" i="2"/>
  <c r="J702" i="2"/>
  <c r="J694" i="2"/>
  <c r="J686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C1170" i="2"/>
  <c r="S1026" i="2"/>
  <c r="O1055" i="2"/>
  <c r="J1052" i="2"/>
  <c r="H1039" i="2"/>
  <c r="K1239" i="2"/>
  <c r="Q945" i="2"/>
  <c r="E892" i="2"/>
  <c r="O1065" i="2"/>
  <c r="C952" i="2"/>
  <c r="A1083" i="2"/>
  <c r="T859" i="2"/>
  <c r="T948" i="2"/>
  <c r="M1100" i="2"/>
  <c r="R925" i="2"/>
  <c r="S1147" i="2"/>
  <c r="G908" i="2"/>
  <c r="N807" i="2"/>
  <c r="T702" i="2"/>
  <c r="P863" i="2"/>
  <c r="S768" i="2"/>
  <c r="E810" i="2"/>
  <c r="E746" i="2"/>
  <c r="J777" i="2"/>
  <c r="J713" i="2"/>
  <c r="P881" i="2"/>
  <c r="M960" i="2"/>
  <c r="Q829" i="2"/>
  <c r="H797" i="2"/>
  <c r="H765" i="2"/>
  <c r="H733" i="2"/>
  <c r="T990" i="2"/>
  <c r="S918" i="2"/>
  <c r="N833" i="2"/>
  <c r="G799" i="2"/>
  <c r="G767" i="2"/>
  <c r="G735" i="2"/>
  <c r="P867" i="2"/>
  <c r="M814" i="2"/>
  <c r="M782" i="2"/>
  <c r="M750" i="2"/>
  <c r="M718" i="2"/>
  <c r="O915" i="2"/>
  <c r="E815" i="2"/>
  <c r="E783" i="2"/>
  <c r="E751" i="2"/>
  <c r="E719" i="2"/>
  <c r="C749" i="2"/>
  <c r="Q799" i="2"/>
  <c r="A698" i="2"/>
  <c r="A674" i="2"/>
  <c r="A654" i="2"/>
  <c r="O636" i="2"/>
  <c r="H617" i="2"/>
  <c r="A598" i="2"/>
  <c r="A582" i="2"/>
  <c r="A566" i="2"/>
  <c r="A550" i="2"/>
  <c r="A534" i="2"/>
  <c r="A518" i="2"/>
  <c r="A502" i="2"/>
  <c r="A486" i="2"/>
  <c r="A470" i="2"/>
  <c r="A454" i="2"/>
  <c r="A438" i="2"/>
  <c r="C995" i="2"/>
  <c r="O775" i="2"/>
  <c r="T701" i="2"/>
  <c r="T685" i="2"/>
  <c r="T669" i="2"/>
  <c r="T653" i="2"/>
  <c r="T637" i="2"/>
  <c r="T621" i="2"/>
  <c r="T605" i="2"/>
  <c r="T589" i="2"/>
  <c r="T573" i="2"/>
  <c r="T557" i="2"/>
  <c r="T541" i="2"/>
  <c r="T525" i="2"/>
  <c r="T509" i="2"/>
  <c r="G497" i="2"/>
  <c r="G489" i="2"/>
  <c r="G481" i="2"/>
  <c r="G473" i="2"/>
  <c r="G465" i="2"/>
  <c r="G457" i="2"/>
  <c r="G449" i="2"/>
  <c r="G441" i="2"/>
  <c r="G433" i="2"/>
  <c r="G425" i="2"/>
  <c r="G417" i="2"/>
  <c r="G409" i="2"/>
  <c r="G401" i="2"/>
  <c r="D823" i="2"/>
  <c r="D775" i="2"/>
  <c r="D727" i="2"/>
  <c r="S701" i="2"/>
  <c r="S693" i="2"/>
  <c r="S685" i="2"/>
  <c r="S677" i="2"/>
  <c r="S669" i="2"/>
  <c r="S661" i="2"/>
  <c r="S653" i="2"/>
  <c r="S645" i="2"/>
  <c r="S637" i="2"/>
  <c r="S629" i="2"/>
  <c r="S621" i="2"/>
  <c r="S613" i="2"/>
  <c r="S605" i="2"/>
  <c r="S597" i="2"/>
  <c r="S589" i="2"/>
  <c r="S581" i="2"/>
  <c r="S573" i="2"/>
  <c r="S565" i="2"/>
  <c r="S557" i="2"/>
  <c r="S549" i="2"/>
  <c r="S541" i="2"/>
  <c r="S533" i="2"/>
  <c r="S525" i="2"/>
  <c r="S517" i="2"/>
  <c r="S509" i="2"/>
  <c r="S501" i="2"/>
  <c r="S493" i="2"/>
  <c r="S485" i="2"/>
  <c r="S477" i="2"/>
  <c r="S469" i="2"/>
  <c r="S461" i="2"/>
  <c r="S453" i="2"/>
  <c r="S445" i="2"/>
  <c r="S437" i="2"/>
  <c r="S429" i="2"/>
  <c r="M958" i="2"/>
  <c r="A819" i="2"/>
  <c r="A771" i="2"/>
  <c r="A723" i="2"/>
  <c r="E701" i="2"/>
  <c r="E693" i="2"/>
  <c r="E685" i="2"/>
  <c r="E677" i="2"/>
  <c r="E669" i="2"/>
  <c r="E661" i="2"/>
  <c r="A1147" i="2"/>
  <c r="P1051" i="2"/>
  <c r="A1000" i="2"/>
  <c r="R878" i="2"/>
  <c r="M929" i="2"/>
  <c r="A1009" i="2"/>
  <c r="T843" i="2"/>
  <c r="S947" i="2"/>
  <c r="E925" i="2"/>
  <c r="N907" i="2"/>
  <c r="T806" i="2"/>
  <c r="N1031" i="2"/>
  <c r="F758" i="2"/>
  <c r="N949" i="2"/>
  <c r="K809" i="2"/>
  <c r="K745" i="2"/>
  <c r="S836" i="2"/>
  <c r="J769" i="2"/>
  <c r="F1178" i="2"/>
  <c r="C732" i="2"/>
  <c r="M952" i="2"/>
  <c r="T828" i="2"/>
  <c r="A794" i="2"/>
  <c r="A762" i="2"/>
  <c r="A730" i="2"/>
  <c r="S902" i="2"/>
  <c r="S828" i="2"/>
  <c r="T795" i="2"/>
  <c r="T763" i="2"/>
  <c r="T731" i="2"/>
  <c r="C865" i="2"/>
  <c r="S813" i="2"/>
  <c r="S781" i="2"/>
  <c r="S749" i="2"/>
  <c r="S717" i="2"/>
  <c r="H902" i="2"/>
  <c r="K814" i="2"/>
  <c r="K782" i="2"/>
  <c r="K750" i="2"/>
  <c r="K718" i="2"/>
  <c r="N942" i="2"/>
  <c r="J824" i="2"/>
  <c r="C805" i="2"/>
  <c r="P711" i="2"/>
  <c r="Q795" i="2"/>
  <c r="H697" i="2"/>
  <c r="H673" i="2"/>
  <c r="H653" i="2"/>
  <c r="A634" i="2"/>
  <c r="A614" i="2"/>
  <c r="H597" i="2"/>
  <c r="H581" i="2"/>
  <c r="H565" i="2"/>
  <c r="H549" i="2"/>
  <c r="H533" i="2"/>
  <c r="H517" i="2"/>
  <c r="H501" i="2"/>
  <c r="H485" i="2"/>
  <c r="H469" i="2"/>
  <c r="H453" i="2"/>
  <c r="H437" i="2"/>
  <c r="P962" i="2"/>
  <c r="O771" i="2"/>
  <c r="G701" i="2"/>
  <c r="G685" i="2"/>
  <c r="G669" i="2"/>
  <c r="G653" i="2"/>
  <c r="G637" i="2"/>
  <c r="G621" i="2"/>
  <c r="G605" i="2"/>
  <c r="G589" i="2"/>
  <c r="G573" i="2"/>
  <c r="G557" i="2"/>
  <c r="G541" i="2"/>
  <c r="G525" i="2"/>
  <c r="G509" i="2"/>
  <c r="N496" i="2"/>
  <c r="N488" i="2"/>
  <c r="N480" i="2"/>
  <c r="N472" i="2"/>
  <c r="N464" i="2"/>
  <c r="N456" i="2"/>
  <c r="N448" i="2"/>
  <c r="N440" i="2"/>
  <c r="N432" i="2"/>
  <c r="N424" i="2"/>
  <c r="N416" i="2"/>
  <c r="N408" i="2"/>
  <c r="N400" i="2"/>
  <c r="D819" i="2"/>
  <c r="D771" i="2"/>
  <c r="D723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7" i="2"/>
  <c r="F469" i="2"/>
  <c r="F461" i="2"/>
  <c r="F453" i="2"/>
  <c r="F445" i="2"/>
  <c r="F437" i="2"/>
  <c r="F429" i="2"/>
  <c r="P934" i="2"/>
  <c r="A815" i="2"/>
  <c r="A767" i="2"/>
  <c r="Q719" i="2"/>
  <c r="K700" i="2"/>
  <c r="K692" i="2"/>
  <c r="K684" i="2"/>
  <c r="K676" i="2"/>
  <c r="K668" i="2"/>
  <c r="K660" i="2"/>
  <c r="K652" i="2"/>
  <c r="K644" i="2"/>
  <c r="K636" i="2"/>
  <c r="K628" i="2"/>
  <c r="K620" i="2"/>
  <c r="K612" i="2"/>
  <c r="K604" i="2"/>
  <c r="K596" i="2"/>
  <c r="K588" i="2"/>
  <c r="K580" i="2"/>
  <c r="K572" i="2"/>
  <c r="K564" i="2"/>
  <c r="K556" i="2"/>
  <c r="K548" i="2"/>
  <c r="K540" i="2"/>
  <c r="K532" i="2"/>
  <c r="K524" i="2"/>
  <c r="K516" i="2"/>
  <c r="K508" i="2"/>
  <c r="K500" i="2"/>
  <c r="K492" i="2"/>
  <c r="K484" i="2"/>
  <c r="K476" i="2"/>
  <c r="K468" i="2"/>
  <c r="K460" i="2"/>
  <c r="K452" i="2"/>
  <c r="K444" i="2"/>
  <c r="K436" i="2"/>
  <c r="K428" i="2"/>
  <c r="J818" i="2"/>
  <c r="J770" i="2"/>
  <c r="J722" i="2"/>
  <c r="D701" i="2"/>
  <c r="D693" i="2"/>
  <c r="D685" i="2"/>
  <c r="D677" i="2"/>
  <c r="F1107" i="2"/>
  <c r="K991" i="2"/>
  <c r="H975" i="2"/>
  <c r="R846" i="2"/>
  <c r="G950" i="2"/>
  <c r="A914" i="2"/>
  <c r="F982" i="2"/>
  <c r="N834" i="2"/>
  <c r="E909" i="2"/>
  <c r="G1051" i="2"/>
  <c r="N891" i="2"/>
  <c r="T790" i="2"/>
  <c r="O945" i="2"/>
  <c r="C830" i="2"/>
  <c r="F750" i="2"/>
  <c r="H914" i="2"/>
  <c r="K801" i="2"/>
  <c r="K737" i="2"/>
  <c r="G827" i="2"/>
  <c r="Q762" i="2"/>
  <c r="A927" i="2"/>
  <c r="H793" i="2"/>
  <c r="H761" i="2"/>
  <c r="H729" i="2"/>
  <c r="M889" i="2"/>
  <c r="S827" i="2"/>
  <c r="G795" i="2"/>
  <c r="G763" i="2"/>
  <c r="G731" i="2"/>
  <c r="C913" i="2"/>
  <c r="H854" i="2"/>
  <c r="S809" i="2"/>
  <c r="S777" i="2"/>
  <c r="S745" i="2"/>
  <c r="S713" i="2"/>
  <c r="O899" i="2"/>
  <c r="K810" i="2"/>
  <c r="K778" i="2"/>
  <c r="K746" i="2"/>
  <c r="K714" i="2"/>
  <c r="C875" i="2"/>
  <c r="C765" i="2"/>
  <c r="Q771" i="2"/>
  <c r="H693" i="2"/>
  <c r="A670" i="2"/>
  <c r="O652" i="2"/>
  <c r="H633" i="2"/>
  <c r="H613" i="2"/>
  <c r="O596" i="2"/>
  <c r="O580" i="2"/>
  <c r="O564" i="2"/>
  <c r="O548" i="2"/>
  <c r="O532" i="2"/>
  <c r="O516" i="2"/>
  <c r="O500" i="2"/>
  <c r="O484" i="2"/>
  <c r="O468" i="2"/>
  <c r="O452" i="2"/>
  <c r="O436" i="2"/>
  <c r="M938" i="2"/>
  <c r="O767" i="2"/>
  <c r="N700" i="2"/>
  <c r="N684" i="2"/>
  <c r="N668" i="2"/>
  <c r="N652" i="2"/>
  <c r="N636" i="2"/>
  <c r="N620" i="2"/>
  <c r="N604" i="2"/>
  <c r="N588" i="2"/>
  <c r="N572" i="2"/>
  <c r="N556" i="2"/>
  <c r="N540" i="2"/>
  <c r="N524" i="2"/>
  <c r="N508" i="2"/>
  <c r="T495" i="2"/>
  <c r="T487" i="2"/>
  <c r="T479" i="2"/>
  <c r="T471" i="2"/>
  <c r="T463" i="2"/>
  <c r="T455" i="2"/>
  <c r="T447" i="2"/>
  <c r="T439" i="2"/>
  <c r="T431" i="2"/>
  <c r="T423" i="2"/>
  <c r="T415" i="2"/>
  <c r="T407" i="2"/>
  <c r="T399" i="2"/>
  <c r="J935" i="2"/>
  <c r="D815" i="2"/>
  <c r="D767" i="2"/>
  <c r="T719" i="2"/>
  <c r="M700" i="2"/>
  <c r="M692" i="2"/>
  <c r="M684" i="2"/>
  <c r="M676" i="2"/>
  <c r="M668" i="2"/>
  <c r="M660" i="2"/>
  <c r="M652" i="2"/>
  <c r="M644" i="2"/>
  <c r="M636" i="2"/>
  <c r="M628" i="2"/>
  <c r="M620" i="2"/>
  <c r="M612" i="2"/>
  <c r="M604" i="2"/>
  <c r="M596" i="2"/>
  <c r="M588" i="2"/>
  <c r="M580" i="2"/>
  <c r="M572" i="2"/>
  <c r="M564" i="2"/>
  <c r="M556" i="2"/>
  <c r="M548" i="2"/>
  <c r="M540" i="2"/>
  <c r="M532" i="2"/>
  <c r="M524" i="2"/>
  <c r="M516" i="2"/>
  <c r="M508" i="2"/>
  <c r="M500" i="2"/>
  <c r="M492" i="2"/>
  <c r="M484" i="2"/>
  <c r="M476" i="2"/>
  <c r="M468" i="2"/>
  <c r="M460" i="2"/>
  <c r="M452" i="2"/>
  <c r="M444" i="2"/>
  <c r="M436" i="2"/>
  <c r="M428" i="2"/>
  <c r="O917" i="2"/>
  <c r="A811" i="2"/>
  <c r="A763" i="2"/>
  <c r="D717" i="2"/>
  <c r="R699" i="2"/>
  <c r="R691" i="2"/>
  <c r="R683" i="2"/>
  <c r="R675" i="2"/>
  <c r="R667" i="2"/>
  <c r="R659" i="2"/>
  <c r="R651" i="2"/>
  <c r="R643" i="2"/>
  <c r="R635" i="2"/>
  <c r="R627" i="2"/>
  <c r="R619" i="2"/>
  <c r="R611" i="2"/>
  <c r="R603" i="2"/>
  <c r="R595" i="2"/>
  <c r="R587" i="2"/>
  <c r="R579" i="2"/>
  <c r="R571" i="2"/>
  <c r="R563" i="2"/>
  <c r="R555" i="2"/>
  <c r="R547" i="2"/>
  <c r="R539" i="2"/>
  <c r="R531" i="2"/>
  <c r="R523" i="2"/>
  <c r="R515" i="2"/>
  <c r="R507" i="2"/>
  <c r="R499" i="2"/>
  <c r="R491" i="2"/>
  <c r="R483" i="2"/>
  <c r="R475" i="2"/>
  <c r="R467" i="2"/>
  <c r="R459" i="2"/>
  <c r="R451" i="2"/>
  <c r="R443" i="2"/>
  <c r="R435" i="2"/>
  <c r="R427" i="2"/>
  <c r="F932" i="2"/>
  <c r="J814" i="2"/>
  <c r="J766" i="2"/>
  <c r="O719" i="2"/>
  <c r="J700" i="2"/>
  <c r="J692" i="2"/>
  <c r="J684" i="2"/>
  <c r="J676" i="2"/>
  <c r="J668" i="2"/>
  <c r="J660" i="2"/>
  <c r="J652" i="2"/>
  <c r="J644" i="2"/>
  <c r="J636" i="2"/>
  <c r="J628" i="2"/>
  <c r="J620" i="2"/>
  <c r="J612" i="2"/>
  <c r="J604" i="2"/>
  <c r="J596" i="2"/>
  <c r="J588" i="2"/>
  <c r="J580" i="2"/>
  <c r="J572" i="2"/>
  <c r="J564" i="2"/>
  <c r="J556" i="2"/>
  <c r="J548" i="2"/>
  <c r="J540" i="2"/>
  <c r="J532" i="2"/>
  <c r="J524" i="2"/>
  <c r="J516" i="2"/>
  <c r="J508" i="2"/>
  <c r="J500" i="2"/>
  <c r="J492" i="2"/>
  <c r="J484" i="2"/>
  <c r="J476" i="2"/>
  <c r="J468" i="2"/>
  <c r="J460" i="2"/>
  <c r="J452" i="2"/>
  <c r="J444" i="2"/>
  <c r="J436" i="2"/>
  <c r="J428" i="2"/>
  <c r="A915" i="2"/>
  <c r="H810" i="2"/>
  <c r="H762" i="2"/>
  <c r="N716" i="2"/>
  <c r="P699" i="2"/>
  <c r="P691" i="2"/>
  <c r="P683" i="2"/>
  <c r="P675" i="2"/>
  <c r="P667" i="2"/>
  <c r="P659" i="2"/>
  <c r="P651" i="2"/>
  <c r="P643" i="2"/>
  <c r="P635" i="2"/>
  <c r="P627" i="2"/>
  <c r="P619" i="2"/>
  <c r="P611" i="2"/>
  <c r="P603" i="2"/>
  <c r="P595" i="2"/>
  <c r="P587" i="2"/>
  <c r="P579" i="2"/>
  <c r="P571" i="2"/>
  <c r="P563" i="2"/>
  <c r="P555" i="2"/>
  <c r="P547" i="2"/>
  <c r="P539" i="2"/>
  <c r="P531" i="2"/>
  <c r="P523" i="2"/>
  <c r="F1202" i="2"/>
  <c r="G1343" i="2"/>
  <c r="F1103" i="2"/>
  <c r="E934" i="2"/>
  <c r="S1121" i="2"/>
  <c r="K1038" i="2"/>
  <c r="E828" i="2"/>
  <c r="J913" i="2"/>
  <c r="P902" i="2"/>
  <c r="H913" i="2"/>
  <c r="T968" i="2"/>
  <c r="S1151" i="2"/>
  <c r="R893" i="2"/>
  <c r="C964" i="2"/>
  <c r="H1048" i="2"/>
  <c r="G876" i="2"/>
  <c r="M934" i="2"/>
  <c r="N775" i="2"/>
  <c r="R825" i="2"/>
  <c r="M749" i="2"/>
  <c r="O911" i="2"/>
  <c r="E794" i="2"/>
  <c r="E730" i="2"/>
  <c r="P825" i="2"/>
  <c r="J761" i="2"/>
  <c r="E863" i="2"/>
  <c r="C810" i="2"/>
  <c r="P712" i="2"/>
  <c r="A911" i="2"/>
  <c r="H823" i="2"/>
  <c r="H789" i="2"/>
  <c r="H757" i="2"/>
  <c r="H725" i="2"/>
  <c r="S964" i="2"/>
  <c r="S886" i="2"/>
  <c r="G823" i="2"/>
  <c r="G791" i="2"/>
  <c r="G759" i="2"/>
  <c r="G727" i="2"/>
  <c r="H846" i="2"/>
  <c r="M806" i="2"/>
  <c r="M774" i="2"/>
  <c r="M742" i="2"/>
  <c r="M710" i="2"/>
  <c r="O883" i="2"/>
  <c r="E807" i="2"/>
  <c r="E775" i="2"/>
  <c r="E743" i="2"/>
  <c r="E711" i="2"/>
  <c r="P925" i="2"/>
  <c r="C821" i="2"/>
  <c r="C725" i="2"/>
  <c r="C709" i="2"/>
  <c r="Q767" i="2"/>
  <c r="O692" i="2"/>
  <c r="H669" i="2"/>
  <c r="A650" i="2"/>
  <c r="A630" i="2"/>
  <c r="O612" i="2"/>
  <c r="A596" i="2"/>
  <c r="A580" i="2"/>
  <c r="A564" i="2"/>
  <c r="A548" i="2"/>
  <c r="A532" i="2"/>
  <c r="A516" i="2"/>
  <c r="A500" i="2"/>
  <c r="A484" i="2"/>
  <c r="A468" i="2"/>
  <c r="A452" i="2"/>
  <c r="A436" i="2"/>
  <c r="H920" i="2"/>
  <c r="O763" i="2"/>
  <c r="T699" i="2"/>
  <c r="T683" i="2"/>
  <c r="T667" i="2"/>
  <c r="T651" i="2"/>
  <c r="T635" i="2"/>
  <c r="T619" i="2"/>
  <c r="T603" i="2"/>
  <c r="T587" i="2"/>
  <c r="T571" i="2"/>
  <c r="T555" i="2"/>
  <c r="T539" i="2"/>
  <c r="T523" i="2"/>
  <c r="T507" i="2"/>
  <c r="G495" i="2"/>
  <c r="G487" i="2"/>
  <c r="G479" i="2"/>
  <c r="G471" i="2"/>
  <c r="G463" i="2"/>
  <c r="G455" i="2"/>
  <c r="G447" i="2"/>
  <c r="G439" i="2"/>
  <c r="G431" i="2"/>
  <c r="G423" i="2"/>
  <c r="G415" i="2"/>
  <c r="G407" i="2"/>
  <c r="G399" i="2"/>
  <c r="F918" i="2"/>
  <c r="D811" i="2"/>
  <c r="D763" i="2"/>
  <c r="G717" i="2"/>
  <c r="S699" i="2"/>
  <c r="S691" i="2"/>
  <c r="S683" i="2"/>
  <c r="S675" i="2"/>
  <c r="S667" i="2"/>
  <c r="S659" i="2"/>
  <c r="S651" i="2"/>
  <c r="S643" i="2"/>
  <c r="S635" i="2"/>
  <c r="S627" i="2"/>
  <c r="S619" i="2"/>
  <c r="S611" i="2"/>
  <c r="S603" i="2"/>
  <c r="S595" i="2"/>
  <c r="S587" i="2"/>
  <c r="S579" i="2"/>
  <c r="S571" i="2"/>
  <c r="S563" i="2"/>
  <c r="S555" i="2"/>
  <c r="S547" i="2"/>
  <c r="S539" i="2"/>
  <c r="S531" i="2"/>
  <c r="S523" i="2"/>
  <c r="S515" i="2"/>
  <c r="S507" i="2"/>
  <c r="S499" i="2"/>
  <c r="S491" i="2"/>
  <c r="S483" i="2"/>
  <c r="S475" i="2"/>
  <c r="S467" i="2"/>
  <c r="S459" i="2"/>
  <c r="S451" i="2"/>
  <c r="S443" i="2"/>
  <c r="S435" i="2"/>
  <c r="S427" i="2"/>
  <c r="O901" i="2"/>
  <c r="A807" i="2"/>
  <c r="A759" i="2"/>
  <c r="J714" i="2"/>
  <c r="E699" i="2"/>
  <c r="E691" i="2"/>
  <c r="E683" i="2"/>
  <c r="E675" i="2"/>
  <c r="E667" i="2"/>
  <c r="E659" i="2"/>
  <c r="E651" i="2"/>
  <c r="E643" i="2"/>
  <c r="E635" i="2"/>
  <c r="E627" i="2"/>
  <c r="E619" i="2"/>
  <c r="E611" i="2"/>
  <c r="E603" i="2"/>
  <c r="E595" i="2"/>
  <c r="E587" i="2"/>
  <c r="E579" i="2"/>
  <c r="N1311" i="2"/>
  <c r="R975" i="2"/>
  <c r="D912" i="2"/>
  <c r="H897" i="2"/>
  <c r="T943" i="2"/>
  <c r="G1022" i="2"/>
  <c r="M918" i="2"/>
  <c r="E893" i="2"/>
  <c r="P949" i="2"/>
  <c r="N875" i="2"/>
  <c r="T774" i="2"/>
  <c r="S816" i="2"/>
  <c r="S740" i="2"/>
  <c r="O879" i="2"/>
  <c r="K793" i="2"/>
  <c r="K729" i="2"/>
  <c r="J817" i="2"/>
  <c r="J753" i="2"/>
  <c r="A975" i="2"/>
  <c r="M859" i="2"/>
  <c r="H908" i="2"/>
  <c r="H819" i="2"/>
  <c r="A786" i="2"/>
  <c r="A754" i="2"/>
  <c r="A722" i="2"/>
  <c r="S870" i="2"/>
  <c r="T819" i="2"/>
  <c r="T787" i="2"/>
  <c r="T755" i="2"/>
  <c r="T723" i="2"/>
  <c r="K844" i="2"/>
  <c r="S805" i="2"/>
  <c r="S773" i="2"/>
  <c r="S741" i="2"/>
  <c r="S709" i="2"/>
  <c r="H870" i="2"/>
  <c r="K806" i="2"/>
  <c r="K774" i="2"/>
  <c r="K742" i="2"/>
  <c r="K710" i="2"/>
  <c r="C923" i="2"/>
  <c r="C781" i="2"/>
  <c r="Q751" i="2"/>
  <c r="A690" i="2"/>
  <c r="O668" i="2"/>
  <c r="H649" i="2"/>
  <c r="H629" i="2"/>
  <c r="A610" i="2"/>
  <c r="A594" i="2"/>
  <c r="A578" i="2"/>
  <c r="A562" i="2"/>
  <c r="A546" i="2"/>
  <c r="A530" i="2"/>
  <c r="A514" i="2"/>
  <c r="A498" i="2"/>
  <c r="A482" i="2"/>
  <c r="A466" i="2"/>
  <c r="A450" i="2"/>
  <c r="A434" i="2"/>
  <c r="H872" i="2"/>
  <c r="O751" i="2"/>
  <c r="T697" i="2"/>
  <c r="T681" i="2"/>
  <c r="T665" i="2"/>
  <c r="T649" i="2"/>
  <c r="T633" i="2"/>
  <c r="T617" i="2"/>
  <c r="T601" i="2"/>
  <c r="T585" i="2"/>
  <c r="T569" i="2"/>
  <c r="T553" i="2"/>
  <c r="T537" i="2"/>
  <c r="T521" i="2"/>
  <c r="T505" i="2"/>
  <c r="N494" i="2"/>
  <c r="N486" i="2"/>
  <c r="N478" i="2"/>
  <c r="N470" i="2"/>
  <c r="N462" i="2"/>
  <c r="N454" i="2"/>
  <c r="N446" i="2"/>
  <c r="N438" i="2"/>
  <c r="N430" i="2"/>
  <c r="N422" i="2"/>
  <c r="N414" i="2"/>
  <c r="N406" i="2"/>
  <c r="N398" i="2"/>
  <c r="F902" i="2"/>
  <c r="D807" i="2"/>
  <c r="D759" i="2"/>
  <c r="N714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5" i="2"/>
  <c r="F467" i="2"/>
  <c r="F459" i="2"/>
  <c r="F451" i="2"/>
  <c r="F443" i="2"/>
  <c r="F435" i="2"/>
  <c r="F427" i="2"/>
  <c r="O885" i="2"/>
  <c r="A803" i="2"/>
  <c r="A755" i="2"/>
  <c r="Q711" i="2"/>
  <c r="K698" i="2"/>
  <c r="K690" i="2"/>
  <c r="K682" i="2"/>
  <c r="K674" i="2"/>
  <c r="K666" i="2"/>
  <c r="K658" i="2"/>
  <c r="K650" i="2"/>
  <c r="K642" i="2"/>
  <c r="K634" i="2"/>
  <c r="K626" i="2"/>
  <c r="K618" i="2"/>
  <c r="K610" i="2"/>
  <c r="K602" i="2"/>
  <c r="K594" i="2"/>
  <c r="K586" i="2"/>
  <c r="K578" i="2"/>
  <c r="K570" i="2"/>
  <c r="K562" i="2"/>
  <c r="K554" i="2"/>
  <c r="K546" i="2"/>
  <c r="K538" i="2"/>
  <c r="K530" i="2"/>
  <c r="K522" i="2"/>
  <c r="K514" i="2"/>
  <c r="K506" i="2"/>
  <c r="K498" i="2"/>
  <c r="K490" i="2"/>
  <c r="K482" i="2"/>
  <c r="K474" i="2"/>
  <c r="K466" i="2"/>
  <c r="K458" i="2"/>
  <c r="K450" i="2"/>
  <c r="K442" i="2"/>
  <c r="K434" i="2"/>
  <c r="K426" i="2"/>
  <c r="M899" i="2"/>
  <c r="J806" i="2"/>
  <c r="J758" i="2"/>
  <c r="H714" i="2"/>
  <c r="D699" i="2"/>
  <c r="D691" i="2"/>
  <c r="D683" i="2"/>
  <c r="D675" i="2"/>
  <c r="D667" i="2"/>
  <c r="D659" i="2"/>
  <c r="D651" i="2"/>
  <c r="D643" i="2"/>
  <c r="D635" i="2"/>
  <c r="D627" i="2"/>
  <c r="D619" i="2"/>
  <c r="D611" i="2"/>
  <c r="D603" i="2"/>
  <c r="D595" i="2"/>
  <c r="D587" i="2"/>
  <c r="D579" i="2"/>
  <c r="D571" i="2"/>
  <c r="D563" i="2"/>
  <c r="D555" i="2"/>
  <c r="D547" i="2"/>
  <c r="D539" i="2"/>
  <c r="D531" i="2"/>
  <c r="D523" i="2"/>
  <c r="D515" i="2"/>
  <c r="D507" i="2"/>
  <c r="D499" i="2"/>
  <c r="D491" i="2"/>
  <c r="D483" i="2"/>
  <c r="D475" i="2"/>
  <c r="D467" i="2"/>
  <c r="D459" i="2"/>
  <c r="P1136" i="2"/>
  <c r="E1050" i="2"/>
  <c r="R1068" i="2"/>
  <c r="J849" i="2"/>
  <c r="H881" i="2"/>
  <c r="T923" i="2"/>
  <c r="S901" i="2"/>
  <c r="N1183" i="2"/>
  <c r="D921" i="2"/>
  <c r="H1010" i="2"/>
  <c r="G844" i="2"/>
  <c r="T746" i="2"/>
  <c r="F806" i="2"/>
  <c r="M729" i="2"/>
  <c r="E853" i="2"/>
  <c r="E778" i="2"/>
  <c r="E714" i="2"/>
  <c r="J809" i="2"/>
  <c r="J745" i="2"/>
  <c r="P830" i="2"/>
  <c r="P708" i="2"/>
  <c r="O873" i="2"/>
  <c r="H813" i="2"/>
  <c r="H781" i="2"/>
  <c r="H749" i="2"/>
  <c r="H717" i="2"/>
  <c r="O857" i="2"/>
  <c r="G815" i="2"/>
  <c r="G783" i="2"/>
  <c r="G751" i="2"/>
  <c r="N1039" i="2"/>
  <c r="C897" i="2"/>
  <c r="J832" i="2"/>
  <c r="M798" i="2"/>
  <c r="M766" i="2"/>
  <c r="M734" i="2"/>
  <c r="N989" i="2"/>
  <c r="P855" i="2"/>
  <c r="E799" i="2"/>
  <c r="E767" i="2"/>
  <c r="E735" i="2"/>
  <c r="E703" i="2"/>
  <c r="H860" i="2"/>
  <c r="C797" i="2"/>
  <c r="O963" i="2"/>
  <c r="Q723" i="2"/>
  <c r="H685" i="2"/>
  <c r="H665" i="2"/>
  <c r="H645" i="2"/>
  <c r="A626" i="2"/>
  <c r="A606" i="2"/>
  <c r="A590" i="2"/>
  <c r="A574" i="2"/>
  <c r="A558" i="2"/>
  <c r="A542" i="2"/>
  <c r="A526" i="2"/>
  <c r="A510" i="2"/>
  <c r="A494" i="2"/>
  <c r="A478" i="2"/>
  <c r="A462" i="2"/>
  <c r="A446" i="2"/>
  <c r="A430" i="2"/>
  <c r="O823" i="2"/>
  <c r="O727" i="2"/>
  <c r="T693" i="2"/>
  <c r="T677" i="2"/>
  <c r="T661" i="2"/>
  <c r="T645" i="2"/>
  <c r="T629" i="2"/>
  <c r="T613" i="2"/>
  <c r="T597" i="2"/>
  <c r="T581" i="2"/>
  <c r="T565" i="2"/>
  <c r="T549" i="2"/>
  <c r="T533" i="2"/>
  <c r="T517" i="2"/>
  <c r="T501" i="2"/>
  <c r="G493" i="2"/>
  <c r="G485" i="2"/>
  <c r="G477" i="2"/>
  <c r="G469" i="2"/>
  <c r="G461" i="2"/>
  <c r="G453" i="2"/>
  <c r="G445" i="2"/>
  <c r="G437" i="2"/>
  <c r="G429" i="2"/>
  <c r="G421" i="2"/>
  <c r="G413" i="2"/>
  <c r="G405" i="2"/>
  <c r="G397" i="2"/>
  <c r="F870" i="2"/>
  <c r="D799" i="2"/>
  <c r="D751" i="2"/>
  <c r="G709" i="2"/>
  <c r="S697" i="2"/>
  <c r="S689" i="2"/>
  <c r="S681" i="2"/>
  <c r="S673" i="2"/>
  <c r="S665" i="2"/>
  <c r="S657" i="2"/>
  <c r="S649" i="2"/>
  <c r="S641" i="2"/>
  <c r="S633" i="2"/>
  <c r="S625" i="2"/>
  <c r="S617" i="2"/>
  <c r="S609" i="2"/>
  <c r="S601" i="2"/>
  <c r="S593" i="2"/>
  <c r="S585" i="2"/>
  <c r="S577" i="2"/>
  <c r="S569" i="2"/>
  <c r="S561" i="2"/>
  <c r="S553" i="2"/>
  <c r="S545" i="2"/>
  <c r="S537" i="2"/>
  <c r="S529" i="2"/>
  <c r="S521" i="2"/>
  <c r="S513" i="2"/>
  <c r="S505" i="2"/>
  <c r="S497" i="2"/>
  <c r="S489" i="2"/>
  <c r="S481" i="2"/>
  <c r="S473" i="2"/>
  <c r="S465" i="2"/>
  <c r="S457" i="2"/>
  <c r="S449" i="2"/>
  <c r="S441" i="2"/>
  <c r="P1018" i="2"/>
  <c r="T907" i="2"/>
  <c r="T758" i="2"/>
  <c r="S808" i="2"/>
  <c r="J801" i="2"/>
  <c r="C786" i="2"/>
  <c r="A818" i="2"/>
  <c r="G755" i="2"/>
  <c r="H862" i="2"/>
  <c r="C757" i="2"/>
  <c r="A646" i="2"/>
  <c r="H545" i="2"/>
  <c r="H449" i="2"/>
  <c r="G665" i="2"/>
  <c r="G569" i="2"/>
  <c r="T485" i="2"/>
  <c r="T437" i="2"/>
  <c r="M698" i="2"/>
  <c r="M650" i="2"/>
  <c r="M602" i="2"/>
  <c r="M554" i="2"/>
  <c r="M506" i="2"/>
  <c r="M458" i="2"/>
  <c r="O869" i="2"/>
  <c r="R697" i="2"/>
  <c r="R665" i="2"/>
  <c r="E645" i="2"/>
  <c r="E625" i="2"/>
  <c r="E607" i="2"/>
  <c r="R585" i="2"/>
  <c r="E569" i="2"/>
  <c r="E553" i="2"/>
  <c r="E537" i="2"/>
  <c r="E521" i="2"/>
  <c r="E505" i="2"/>
  <c r="E489" i="2"/>
  <c r="E473" i="2"/>
  <c r="E457" i="2"/>
  <c r="E441" i="2"/>
  <c r="E425" i="2"/>
  <c r="J802" i="2"/>
  <c r="O711" i="2"/>
  <c r="J690" i="2"/>
  <c r="J674" i="2"/>
  <c r="D661" i="2"/>
  <c r="Q647" i="2"/>
  <c r="Q633" i="2"/>
  <c r="Q619" i="2"/>
  <c r="Q605" i="2"/>
  <c r="D593" i="2"/>
  <c r="J578" i="2"/>
  <c r="D565" i="2"/>
  <c r="D553" i="2"/>
  <c r="D541" i="2"/>
  <c r="D529" i="2"/>
  <c r="D517" i="2"/>
  <c r="D505" i="2"/>
  <c r="D493" i="2"/>
  <c r="D481" i="2"/>
  <c r="D469" i="2"/>
  <c r="D457" i="2"/>
  <c r="D447" i="2"/>
  <c r="Q437" i="2"/>
  <c r="Q427" i="2"/>
  <c r="A867" i="2"/>
  <c r="H790" i="2"/>
  <c r="H730" i="2"/>
  <c r="C701" i="2"/>
  <c r="C691" i="2"/>
  <c r="P681" i="2"/>
  <c r="C653" i="2"/>
  <c r="C643" i="2"/>
  <c r="P633" i="2"/>
  <c r="C605" i="2"/>
  <c r="C595" i="2"/>
  <c r="P585" i="2"/>
  <c r="C557" i="2"/>
  <c r="C547" i="2"/>
  <c r="P537" i="2"/>
  <c r="S912" i="2"/>
  <c r="Q809" i="2"/>
  <c r="Q761" i="2"/>
  <c r="J716" i="2"/>
  <c r="O699" i="2"/>
  <c r="O691" i="2"/>
  <c r="O683" i="2"/>
  <c r="O675" i="2"/>
  <c r="O667" i="2"/>
  <c r="O659" i="2"/>
  <c r="O651" i="2"/>
  <c r="O643" i="2"/>
  <c r="O635" i="2"/>
  <c r="O627" i="2"/>
  <c r="O619" i="2"/>
  <c r="O611" i="2"/>
  <c r="O603" i="2"/>
  <c r="O595" i="2"/>
  <c r="O587" i="2"/>
  <c r="O579" i="2"/>
  <c r="O571" i="2"/>
  <c r="P853" i="2"/>
  <c r="O793" i="2"/>
  <c r="O745" i="2"/>
  <c r="A706" i="2"/>
  <c r="T696" i="2"/>
  <c r="T688" i="2"/>
  <c r="T680" i="2"/>
  <c r="T672" i="2"/>
  <c r="T664" i="2"/>
  <c r="T656" i="2"/>
  <c r="T648" i="2"/>
  <c r="T640" i="2"/>
  <c r="T632" i="2"/>
  <c r="T624" i="2"/>
  <c r="T616" i="2"/>
  <c r="T608" i="2"/>
  <c r="T600" i="2"/>
  <c r="T592" i="2"/>
  <c r="T584" i="2"/>
  <c r="T576" i="2"/>
  <c r="T568" i="2"/>
  <c r="T560" i="2"/>
  <c r="T552" i="2"/>
  <c r="T544" i="2"/>
  <c r="T536" i="2"/>
  <c r="T528" i="2"/>
  <c r="N1156" i="2"/>
  <c r="P988" i="2"/>
  <c r="G744" i="2"/>
  <c r="M797" i="2"/>
  <c r="Q746" i="2"/>
  <c r="C762" i="2"/>
  <c r="A810" i="2"/>
  <c r="T747" i="2"/>
  <c r="O867" i="2"/>
  <c r="A827" i="2"/>
  <c r="K850" i="2"/>
  <c r="O644" i="2"/>
  <c r="H541" i="2"/>
  <c r="H445" i="2"/>
  <c r="G661" i="2"/>
  <c r="G565" i="2"/>
  <c r="N484" i="2"/>
  <c r="N436" i="2"/>
  <c r="F697" i="2"/>
  <c r="F649" i="2"/>
  <c r="F601" i="2"/>
  <c r="F553" i="2"/>
  <c r="F505" i="2"/>
  <c r="F457" i="2"/>
  <c r="A857" i="2"/>
  <c r="E697" i="2"/>
  <c r="E665" i="2"/>
  <c r="R641" i="2"/>
  <c r="K624" i="2"/>
  <c r="E605" i="2"/>
  <c r="E585" i="2"/>
  <c r="K568" i="2"/>
  <c r="K552" i="2"/>
  <c r="K536" i="2"/>
  <c r="K520" i="2"/>
  <c r="K504" i="2"/>
  <c r="K488" i="2"/>
  <c r="K472" i="2"/>
  <c r="K456" i="2"/>
  <c r="K440" i="2"/>
  <c r="K424" i="2"/>
  <c r="J798" i="2"/>
  <c r="A709" i="2"/>
  <c r="Q689" i="2"/>
  <c r="Q673" i="2"/>
  <c r="Q659" i="2"/>
  <c r="Q645" i="2"/>
  <c r="D633" i="2"/>
  <c r="J618" i="2"/>
  <c r="D605" i="2"/>
  <c r="Q591" i="2"/>
  <c r="Q577" i="2"/>
  <c r="Q563" i="2"/>
  <c r="Q551" i="2"/>
  <c r="Q539" i="2"/>
  <c r="Q527" i="2"/>
  <c r="Q515" i="2"/>
  <c r="Q503" i="2"/>
  <c r="Q491" i="2"/>
  <c r="Q479" i="2"/>
  <c r="Q467" i="2"/>
  <c r="Q455" i="2"/>
  <c r="J446" i="2"/>
  <c r="D437" i="2"/>
  <c r="D427" i="2"/>
  <c r="E855" i="2"/>
  <c r="H782" i="2"/>
  <c r="H726" i="2"/>
  <c r="C681" i="2"/>
  <c r="C671" i="2"/>
  <c r="P661" i="2"/>
  <c r="C633" i="2"/>
  <c r="C623" i="2"/>
  <c r="P613" i="2"/>
  <c r="C585" i="2"/>
  <c r="C575" i="2"/>
  <c r="P565" i="2"/>
  <c r="C537" i="2"/>
  <c r="C527" i="2"/>
  <c r="P517" i="2"/>
  <c r="P509" i="2"/>
  <c r="P501" i="2"/>
  <c r="P493" i="2"/>
  <c r="S896" i="2"/>
  <c r="Q805" i="2"/>
  <c r="Q757" i="2"/>
  <c r="Q713" i="2"/>
  <c r="A699" i="2"/>
  <c r="A691" i="2"/>
  <c r="A683" i="2"/>
  <c r="A675" i="2"/>
  <c r="A667" i="2"/>
  <c r="A659" i="2"/>
  <c r="P1116" i="2"/>
  <c r="S732" i="2"/>
  <c r="J737" i="2"/>
  <c r="P840" i="2"/>
  <c r="C804" i="2"/>
  <c r="H785" i="2"/>
  <c r="G723" i="2"/>
  <c r="M837" i="2"/>
  <c r="P847" i="2"/>
  <c r="O628" i="2"/>
  <c r="H529" i="2"/>
  <c r="H433" i="2"/>
  <c r="G649" i="2"/>
  <c r="G553" i="2"/>
  <c r="T477" i="2"/>
  <c r="T429" i="2"/>
  <c r="F886" i="2"/>
  <c r="M690" i="2"/>
  <c r="M642" i="2"/>
  <c r="M594" i="2"/>
  <c r="M546" i="2"/>
  <c r="M498" i="2"/>
  <c r="M450" i="2"/>
  <c r="E847" i="2"/>
  <c r="K696" i="2"/>
  <c r="K664" i="2"/>
  <c r="E641" i="2"/>
  <c r="E623" i="2"/>
  <c r="R601" i="2"/>
  <c r="K584" i="2"/>
  <c r="E567" i="2"/>
  <c r="E551" i="2"/>
  <c r="E535" i="2"/>
  <c r="E519" i="2"/>
  <c r="E503" i="2"/>
  <c r="E487" i="2"/>
  <c r="E471" i="2"/>
  <c r="E455" i="2"/>
  <c r="E439" i="2"/>
  <c r="E423" i="2"/>
  <c r="J794" i="2"/>
  <c r="M706" i="2"/>
  <c r="D689" i="2"/>
  <c r="D673" i="2"/>
  <c r="J658" i="2"/>
  <c r="D645" i="2"/>
  <c r="Q631" i="2"/>
  <c r="Q617" i="2"/>
  <c r="Q603" i="2"/>
  <c r="Q589" i="2"/>
  <c r="D577" i="2"/>
  <c r="J562" i="2"/>
  <c r="D551" i="2"/>
  <c r="J538" i="2"/>
  <c r="D527" i="2"/>
  <c r="J514" i="2"/>
  <c r="D503" i="2"/>
  <c r="J490" i="2"/>
  <c r="D479" i="2"/>
  <c r="J466" i="2"/>
  <c r="D455" i="2"/>
  <c r="Q445" i="2"/>
  <c r="Q435" i="2"/>
  <c r="J426" i="2"/>
  <c r="P845" i="2"/>
  <c r="H778" i="2"/>
  <c r="H722" i="2"/>
  <c r="C699" i="2"/>
  <c r="P689" i="2"/>
  <c r="C661" i="2"/>
  <c r="C651" i="2"/>
  <c r="P641" i="2"/>
  <c r="C613" i="2"/>
  <c r="C603" i="2"/>
  <c r="P593" i="2"/>
  <c r="C565" i="2"/>
  <c r="C555" i="2"/>
  <c r="P545" i="2"/>
  <c r="C517" i="2"/>
  <c r="C509" i="2"/>
  <c r="C501" i="2"/>
  <c r="C493" i="2"/>
  <c r="S880" i="2"/>
  <c r="Q801" i="2"/>
  <c r="Q753" i="2"/>
  <c r="D711" i="2"/>
  <c r="H698" i="2"/>
  <c r="H690" i="2"/>
  <c r="H682" i="2"/>
  <c r="H674" i="2"/>
  <c r="H666" i="2"/>
  <c r="H658" i="2"/>
  <c r="H650" i="2"/>
  <c r="H642" i="2"/>
  <c r="H634" i="2"/>
  <c r="H626" i="2"/>
  <c r="H618" i="2"/>
  <c r="H610" i="2"/>
  <c r="H602" i="2"/>
  <c r="H594" i="2"/>
  <c r="H586" i="2"/>
  <c r="H578" i="2"/>
  <c r="H570" i="2"/>
  <c r="D837" i="2"/>
  <c r="O785" i="2"/>
  <c r="O737" i="2"/>
  <c r="T703" i="2"/>
  <c r="N695" i="2"/>
  <c r="N687" i="2"/>
  <c r="N679" i="2"/>
  <c r="N671" i="2"/>
  <c r="N663" i="2"/>
  <c r="N655" i="2"/>
  <c r="N647" i="2"/>
  <c r="N639" i="2"/>
  <c r="N631" i="2"/>
  <c r="N623" i="2"/>
  <c r="N615" i="2"/>
  <c r="N607" i="2"/>
  <c r="N599" i="2"/>
  <c r="N591" i="2"/>
  <c r="N583" i="2"/>
  <c r="N575" i="2"/>
  <c r="N567" i="2"/>
  <c r="N559" i="2"/>
  <c r="N551" i="2"/>
  <c r="N543" i="2"/>
  <c r="N535" i="2"/>
  <c r="N527" i="2"/>
  <c r="P1019" i="2"/>
  <c r="M721" i="2"/>
  <c r="A829" i="2"/>
  <c r="A778" i="2"/>
  <c r="H984" i="2"/>
  <c r="M831" i="2"/>
  <c r="K802" i="2"/>
  <c r="H625" i="2"/>
  <c r="H525" i="2"/>
  <c r="H429" i="2"/>
  <c r="G645" i="2"/>
  <c r="G549" i="2"/>
  <c r="N476" i="2"/>
  <c r="N428" i="2"/>
  <c r="D857" i="2"/>
  <c r="F689" i="2"/>
  <c r="F641" i="2"/>
  <c r="F593" i="2"/>
  <c r="F545" i="2"/>
  <c r="F497" i="2"/>
  <c r="F449" i="2"/>
  <c r="A799" i="2"/>
  <c r="R689" i="2"/>
  <c r="R657" i="2"/>
  <c r="K640" i="2"/>
  <c r="E621" i="2"/>
  <c r="E601" i="2"/>
  <c r="E583" i="2"/>
  <c r="E565" i="2"/>
  <c r="E549" i="2"/>
  <c r="E533" i="2"/>
  <c r="E517" i="2"/>
  <c r="E501" i="2"/>
  <c r="E485" i="2"/>
  <c r="E469" i="2"/>
  <c r="E453" i="2"/>
  <c r="E437" i="2"/>
  <c r="C984" i="2"/>
  <c r="J786" i="2"/>
  <c r="D704" i="2"/>
  <c r="Q687" i="2"/>
  <c r="Q671" i="2"/>
  <c r="Q657" i="2"/>
  <c r="Q643" i="2"/>
  <c r="Q629" i="2"/>
  <c r="D617" i="2"/>
  <c r="J602" i="2"/>
  <c r="D589" i="2"/>
  <c r="Q575" i="2"/>
  <c r="Q561" i="2"/>
  <c r="Q549" i="2"/>
  <c r="Q537" i="2"/>
  <c r="Q525" i="2"/>
  <c r="Q513" i="2"/>
  <c r="Q501" i="2"/>
  <c r="Q489" i="2"/>
  <c r="Q477" i="2"/>
  <c r="Q465" i="2"/>
  <c r="J454" i="2"/>
  <c r="D445" i="2"/>
  <c r="D435" i="2"/>
  <c r="Q425" i="2"/>
  <c r="F832" i="2"/>
  <c r="H774" i="2"/>
  <c r="G719" i="2"/>
  <c r="C689" i="2"/>
  <c r="C679" i="2"/>
  <c r="P669" i="2"/>
  <c r="C641" i="2"/>
  <c r="C631" i="2"/>
  <c r="P621" i="2"/>
  <c r="C593" i="2"/>
  <c r="C583" i="2"/>
  <c r="P573" i="2"/>
  <c r="C545" i="2"/>
  <c r="C535" i="2"/>
  <c r="P525" i="2"/>
  <c r="S864" i="2"/>
  <c r="Q797" i="2"/>
  <c r="Q749" i="2"/>
  <c r="J708" i="2"/>
  <c r="O697" i="2"/>
  <c r="O689" i="2"/>
  <c r="O681" i="2"/>
  <c r="O673" i="2"/>
  <c r="O665" i="2"/>
  <c r="O657" i="2"/>
  <c r="O649" i="2"/>
  <c r="O641" i="2"/>
  <c r="O633" i="2"/>
  <c r="O625" i="2"/>
  <c r="O617" i="2"/>
  <c r="O609" i="2"/>
  <c r="O601" i="2"/>
  <c r="O593" i="2"/>
  <c r="O585" i="2"/>
  <c r="O577" i="2"/>
  <c r="O569" i="2"/>
  <c r="D831" i="2"/>
  <c r="O781" i="2"/>
  <c r="O733" i="2"/>
  <c r="C703" i="2"/>
  <c r="T694" i="2"/>
  <c r="T686" i="2"/>
  <c r="T678" i="2"/>
  <c r="T670" i="2"/>
  <c r="T662" i="2"/>
  <c r="T654" i="2"/>
  <c r="T646" i="2"/>
  <c r="T638" i="2"/>
  <c r="T630" i="2"/>
  <c r="T622" i="2"/>
  <c r="T614" i="2"/>
  <c r="T606" i="2"/>
  <c r="T598" i="2"/>
  <c r="T590" i="2"/>
  <c r="T582" i="2"/>
  <c r="T574" i="2"/>
  <c r="T566" i="2"/>
  <c r="T558" i="2"/>
  <c r="T550" i="2"/>
  <c r="T542" i="2"/>
  <c r="T534" i="2"/>
  <c r="T526" i="2"/>
  <c r="T518" i="2"/>
  <c r="T510" i="2"/>
  <c r="T502" i="2"/>
  <c r="T494" i="2"/>
  <c r="T486" i="2"/>
  <c r="T478" i="2"/>
  <c r="T470" i="2"/>
  <c r="T462" i="2"/>
  <c r="T454" i="2"/>
  <c r="T446" i="2"/>
  <c r="T438" i="2"/>
  <c r="H1157" i="2"/>
  <c r="P939" i="2"/>
  <c r="P911" i="2"/>
  <c r="H753" i="2"/>
  <c r="S801" i="2"/>
  <c r="K798" i="2"/>
  <c r="H609" i="2"/>
  <c r="H513" i="2"/>
  <c r="J858" i="2"/>
  <c r="G633" i="2"/>
  <c r="G537" i="2"/>
  <c r="T469" i="2"/>
  <c r="T421" i="2"/>
  <c r="D803" i="2"/>
  <c r="M682" i="2"/>
  <c r="M634" i="2"/>
  <c r="M586" i="2"/>
  <c r="M538" i="2"/>
  <c r="M490" i="2"/>
  <c r="M442" i="2"/>
  <c r="A795" i="2"/>
  <c r="E689" i="2"/>
  <c r="E657" i="2"/>
  <c r="E639" i="2"/>
  <c r="R617" i="2"/>
  <c r="K600" i="2"/>
  <c r="E581" i="2"/>
  <c r="E563" i="2"/>
  <c r="E547" i="2"/>
  <c r="E531" i="2"/>
  <c r="E515" i="2"/>
  <c r="E499" i="2"/>
  <c r="E483" i="2"/>
  <c r="E467" i="2"/>
  <c r="E451" i="2"/>
  <c r="E435" i="2"/>
  <c r="J774" i="2"/>
  <c r="Q701" i="2"/>
  <c r="Q685" i="2"/>
  <c r="Q669" i="2"/>
  <c r="D657" i="2"/>
  <c r="J642" i="2"/>
  <c r="D629" i="2"/>
  <c r="Q615" i="2"/>
  <c r="Q601" i="2"/>
  <c r="Q587" i="2"/>
  <c r="Q573" i="2"/>
  <c r="D561" i="2"/>
  <c r="D549" i="2"/>
  <c r="D537" i="2"/>
  <c r="D525" i="2"/>
  <c r="D513" i="2"/>
  <c r="D501" i="2"/>
  <c r="D489" i="2"/>
  <c r="D477" i="2"/>
  <c r="D465" i="2"/>
  <c r="Q453" i="2"/>
  <c r="Q443" i="2"/>
  <c r="J434" i="2"/>
  <c r="D425" i="2"/>
  <c r="Q826" i="2"/>
  <c r="H770" i="2"/>
  <c r="T713" i="2"/>
  <c r="P697" i="2"/>
  <c r="C669" i="2"/>
  <c r="C659" i="2"/>
  <c r="P649" i="2"/>
  <c r="C621" i="2"/>
  <c r="C611" i="2"/>
  <c r="P601" i="2"/>
  <c r="C573" i="2"/>
  <c r="C563" i="2"/>
  <c r="P553" i="2"/>
  <c r="C525" i="2"/>
  <c r="P515" i="2"/>
  <c r="P507" i="2"/>
  <c r="P499" i="2"/>
  <c r="P491" i="2"/>
  <c r="R853" i="2"/>
  <c r="Q793" i="2"/>
  <c r="Q745" i="2"/>
  <c r="H706" i="2"/>
  <c r="A697" i="2"/>
  <c r="A689" i="2"/>
  <c r="A681" i="2"/>
  <c r="A673" i="2"/>
  <c r="A665" i="2"/>
  <c r="A657" i="2"/>
  <c r="A649" i="2"/>
  <c r="A641" i="2"/>
  <c r="A633" i="2"/>
  <c r="A625" i="2"/>
  <c r="A617" i="2"/>
  <c r="A609" i="2"/>
  <c r="A601" i="2"/>
  <c r="A593" i="2"/>
  <c r="A585" i="2"/>
  <c r="A577" i="2"/>
  <c r="G1034" i="2"/>
  <c r="T825" i="2"/>
  <c r="O777" i="2"/>
  <c r="O729" i="2"/>
  <c r="G702" i="2"/>
  <c r="G694" i="2"/>
  <c r="G686" i="2"/>
  <c r="G678" i="2"/>
  <c r="G670" i="2"/>
  <c r="G662" i="2"/>
  <c r="G654" i="2"/>
  <c r="G646" i="2"/>
  <c r="G638" i="2"/>
  <c r="G630" i="2"/>
  <c r="G622" i="2"/>
  <c r="G614" i="2"/>
  <c r="G606" i="2"/>
  <c r="G598" i="2"/>
  <c r="G590" i="2"/>
  <c r="G582" i="2"/>
  <c r="G574" i="2"/>
  <c r="G566" i="2"/>
  <c r="G558" i="2"/>
  <c r="G550" i="2"/>
  <c r="G542" i="2"/>
  <c r="G534" i="2"/>
  <c r="G526" i="2"/>
  <c r="Q911" i="2"/>
  <c r="A855" i="2"/>
  <c r="C965" i="2"/>
  <c r="A746" i="2"/>
  <c r="D859" i="2"/>
  <c r="S797" i="2"/>
  <c r="K770" i="2"/>
  <c r="C907" i="2"/>
  <c r="H605" i="2"/>
  <c r="H509" i="2"/>
  <c r="O819" i="2"/>
  <c r="G629" i="2"/>
  <c r="G533" i="2"/>
  <c r="N468" i="2"/>
  <c r="N420" i="2"/>
  <c r="D795" i="2"/>
  <c r="F681" i="2"/>
  <c r="F633" i="2"/>
  <c r="F585" i="2"/>
  <c r="F537" i="2"/>
  <c r="F489" i="2"/>
  <c r="F441" i="2"/>
  <c r="A791" i="2"/>
  <c r="K688" i="2"/>
  <c r="K656" i="2"/>
  <c r="E637" i="2"/>
  <c r="E617" i="2"/>
  <c r="E599" i="2"/>
  <c r="R577" i="2"/>
  <c r="R561" i="2"/>
  <c r="R545" i="2"/>
  <c r="R529" i="2"/>
  <c r="R513" i="2"/>
  <c r="R497" i="2"/>
  <c r="R481" i="2"/>
  <c r="R465" i="2"/>
  <c r="R449" i="2"/>
  <c r="R433" i="2"/>
  <c r="M915" i="2"/>
  <c r="J762" i="2"/>
  <c r="Q699" i="2"/>
  <c r="Q683" i="2"/>
  <c r="D669" i="2"/>
  <c r="Q655" i="2"/>
  <c r="Q641" i="2"/>
  <c r="Q627" i="2"/>
  <c r="Q613" i="2"/>
  <c r="D601" i="2"/>
  <c r="J586" i="2"/>
  <c r="D573" i="2"/>
  <c r="Q559" i="2"/>
  <c r="Q547" i="2"/>
  <c r="Q535" i="2"/>
  <c r="Q523" i="2"/>
  <c r="Q511" i="2"/>
  <c r="Q499" i="2"/>
  <c r="Q487" i="2"/>
  <c r="Q475" i="2"/>
  <c r="Q463" i="2"/>
  <c r="D453" i="2"/>
  <c r="D443" i="2"/>
  <c r="Q433" i="2"/>
  <c r="Q423" i="2"/>
  <c r="H822" i="2"/>
  <c r="H766" i="2"/>
  <c r="G711" i="2"/>
  <c r="C697" i="2"/>
  <c r="C687" i="2"/>
  <c r="P677" i="2"/>
  <c r="C649" i="2"/>
  <c r="C639" i="2"/>
  <c r="P629" i="2"/>
  <c r="C601" i="2"/>
  <c r="C591" i="2"/>
  <c r="P581" i="2"/>
  <c r="C553" i="2"/>
  <c r="C543" i="2"/>
  <c r="P533" i="2"/>
  <c r="C515" i="2"/>
  <c r="C507" i="2"/>
  <c r="C499" i="2"/>
  <c r="C491" i="2"/>
  <c r="Q789" i="2"/>
  <c r="Q741" i="2"/>
  <c r="C705" i="2"/>
  <c r="H696" i="2"/>
  <c r="H688" i="2"/>
  <c r="H680" i="2"/>
  <c r="H672" i="2"/>
  <c r="H664" i="2"/>
  <c r="H656" i="2"/>
  <c r="H648" i="2"/>
  <c r="H640" i="2"/>
  <c r="H632" i="2"/>
  <c r="H624" i="2"/>
  <c r="H616" i="2"/>
  <c r="H608" i="2"/>
  <c r="H600" i="2"/>
  <c r="H592" i="2"/>
  <c r="H584" i="2"/>
  <c r="H576" i="2"/>
  <c r="N977" i="2"/>
  <c r="O821" i="2"/>
  <c r="O773" i="2"/>
  <c r="O725" i="2"/>
  <c r="N701" i="2"/>
  <c r="N693" i="2"/>
  <c r="N685" i="2"/>
  <c r="N677" i="2"/>
  <c r="N669" i="2"/>
  <c r="N661" i="2"/>
  <c r="N653" i="2"/>
  <c r="N645" i="2"/>
  <c r="N637" i="2"/>
  <c r="N629" i="2"/>
  <c r="N621" i="2"/>
  <c r="N613" i="2"/>
  <c r="N605" i="2"/>
  <c r="N597" i="2"/>
  <c r="N589" i="2"/>
  <c r="N581" i="2"/>
  <c r="N573" i="2"/>
  <c r="N565" i="2"/>
  <c r="N557" i="2"/>
  <c r="N549" i="2"/>
  <c r="N541" i="2"/>
  <c r="N533" i="2"/>
  <c r="N525" i="2"/>
  <c r="E1048" i="2"/>
  <c r="T836" i="2"/>
  <c r="H721" i="2"/>
  <c r="S769" i="2"/>
  <c r="K766" i="2"/>
  <c r="Q747" i="2"/>
  <c r="H593" i="2"/>
  <c r="H497" i="2"/>
  <c r="O747" i="2"/>
  <c r="G617" i="2"/>
  <c r="G521" i="2"/>
  <c r="T461" i="2"/>
  <c r="T413" i="2"/>
  <c r="D755" i="2"/>
  <c r="M674" i="2"/>
  <c r="M626" i="2"/>
  <c r="M578" i="2"/>
  <c r="M530" i="2"/>
  <c r="M482" i="2"/>
  <c r="M434" i="2"/>
  <c r="A751" i="2"/>
  <c r="R681" i="2"/>
  <c r="E655" i="2"/>
  <c r="R633" i="2"/>
  <c r="K616" i="2"/>
  <c r="E597" i="2"/>
  <c r="E577" i="2"/>
  <c r="E561" i="2"/>
  <c r="E545" i="2"/>
  <c r="E529" i="2"/>
  <c r="E513" i="2"/>
  <c r="E497" i="2"/>
  <c r="E481" i="2"/>
  <c r="E465" i="2"/>
  <c r="E449" i="2"/>
  <c r="E433" i="2"/>
  <c r="M883" i="2"/>
  <c r="J754" i="2"/>
  <c r="J698" i="2"/>
  <c r="J682" i="2"/>
  <c r="Q667" i="2"/>
  <c r="Q653" i="2"/>
  <c r="D641" i="2"/>
  <c r="J626" i="2"/>
  <c r="D613" i="2"/>
  <c r="Q599" i="2"/>
  <c r="Q585" i="2"/>
  <c r="Q571" i="2"/>
  <c r="D559" i="2"/>
  <c r="J546" i="2"/>
  <c r="D535" i="2"/>
  <c r="J522" i="2"/>
  <c r="D511" i="2"/>
  <c r="J498" i="2"/>
  <c r="D487" i="2"/>
  <c r="J474" i="2"/>
  <c r="D463" i="2"/>
  <c r="Q451" i="2"/>
  <c r="J442" i="2"/>
  <c r="D433" i="2"/>
  <c r="M1050" i="2"/>
  <c r="H818" i="2"/>
  <c r="H758" i="2"/>
  <c r="N708" i="2"/>
  <c r="C677" i="2"/>
  <c r="C667" i="2"/>
  <c r="P657" i="2"/>
  <c r="C629" i="2"/>
  <c r="C619" i="2"/>
  <c r="P609" i="2"/>
  <c r="C581" i="2"/>
  <c r="C571" i="2"/>
  <c r="P561" i="2"/>
  <c r="C533" i="2"/>
  <c r="C523" i="2"/>
  <c r="F837" i="2"/>
  <c r="Q785" i="2"/>
  <c r="Q737" i="2"/>
  <c r="A704" i="2"/>
  <c r="O695" i="2"/>
  <c r="O687" i="2"/>
  <c r="O679" i="2"/>
  <c r="O671" i="2"/>
  <c r="O663" i="2"/>
  <c r="O655" i="2"/>
  <c r="O647" i="2"/>
  <c r="O639" i="2"/>
  <c r="O631" i="2"/>
  <c r="O623" i="2"/>
  <c r="O615" i="2"/>
  <c r="O607" i="2"/>
  <c r="O599" i="2"/>
  <c r="O591" i="2"/>
  <c r="O583" i="2"/>
  <c r="O575" i="2"/>
  <c r="M950" i="2"/>
  <c r="O817" i="2"/>
  <c r="O769" i="2"/>
  <c r="O721" i="2"/>
  <c r="T700" i="2"/>
  <c r="T692" i="2"/>
  <c r="T684" i="2"/>
  <c r="T676" i="2"/>
  <c r="T668" i="2"/>
  <c r="T660" i="2"/>
  <c r="T652" i="2"/>
  <c r="T644" i="2"/>
  <c r="T636" i="2"/>
  <c r="T628" i="2"/>
  <c r="T620" i="2"/>
  <c r="T612" i="2"/>
  <c r="T604" i="2"/>
  <c r="T596" i="2"/>
  <c r="T588" i="2"/>
  <c r="T580" i="2"/>
  <c r="T572" i="2"/>
  <c r="T564" i="2"/>
  <c r="T556" i="2"/>
  <c r="T548" i="2"/>
  <c r="T540" i="2"/>
  <c r="T532" i="2"/>
  <c r="T524" i="2"/>
  <c r="A714" i="2"/>
  <c r="S765" i="2"/>
  <c r="K738" i="2"/>
  <c r="J720" i="2"/>
  <c r="H589" i="2"/>
  <c r="H493" i="2"/>
  <c r="O723" i="2"/>
  <c r="G613" i="2"/>
  <c r="G517" i="2"/>
  <c r="N460" i="2"/>
  <c r="N412" i="2"/>
  <c r="D747" i="2"/>
  <c r="F673" i="2"/>
  <c r="F625" i="2"/>
  <c r="F577" i="2"/>
  <c r="F529" i="2"/>
  <c r="F481" i="2"/>
  <c r="S433" i="2"/>
  <c r="A747" i="2"/>
  <c r="E681" i="2"/>
  <c r="E653" i="2"/>
  <c r="E633" i="2"/>
  <c r="E615" i="2"/>
  <c r="R593" i="2"/>
  <c r="K576" i="2"/>
  <c r="K560" i="2"/>
  <c r="K544" i="2"/>
  <c r="K528" i="2"/>
  <c r="K512" i="2"/>
  <c r="K496" i="2"/>
  <c r="K480" i="2"/>
  <c r="K464" i="2"/>
  <c r="K448" i="2"/>
  <c r="K432" i="2"/>
  <c r="M867" i="2"/>
  <c r="J750" i="2"/>
  <c r="Q697" i="2"/>
  <c r="Q681" i="2"/>
  <c r="J666" i="2"/>
  <c r="D653" i="2"/>
  <c r="Q639" i="2"/>
  <c r="Q625" i="2"/>
  <c r="Q611" i="2"/>
  <c r="Q597" i="2"/>
  <c r="D585" i="2"/>
  <c r="J570" i="2"/>
  <c r="Q557" i="2"/>
  <c r="Q545" i="2"/>
  <c r="Q533" i="2"/>
  <c r="Q521" i="2"/>
  <c r="Q509" i="2"/>
  <c r="Q497" i="2"/>
  <c r="Q485" i="2"/>
  <c r="Q473" i="2"/>
  <c r="Q461" i="2"/>
  <c r="D451" i="2"/>
  <c r="Q441" i="2"/>
  <c r="Q431" i="2"/>
  <c r="T982" i="2"/>
  <c r="H814" i="2"/>
  <c r="H754" i="2"/>
  <c r="J706" i="2"/>
  <c r="C695" i="2"/>
  <c r="P685" i="2"/>
  <c r="C657" i="2"/>
  <c r="C647" i="2"/>
  <c r="P637" i="2"/>
  <c r="C609" i="2"/>
  <c r="C599" i="2"/>
  <c r="P589" i="2"/>
  <c r="C561" i="2"/>
  <c r="C551" i="2"/>
  <c r="P541" i="2"/>
  <c r="P513" i="2"/>
  <c r="P505" i="2"/>
  <c r="P497" i="2"/>
  <c r="P489" i="2"/>
  <c r="F831" i="2"/>
  <c r="Q781" i="2"/>
  <c r="Q733" i="2"/>
  <c r="D703" i="2"/>
  <c r="A695" i="2"/>
  <c r="A687" i="2"/>
  <c r="A679" i="2"/>
  <c r="A671" i="2"/>
  <c r="A663" i="2"/>
  <c r="A655" i="2"/>
  <c r="A647" i="2"/>
  <c r="A639" i="2"/>
  <c r="A631" i="2"/>
  <c r="A623" i="2"/>
  <c r="A615" i="2"/>
  <c r="A607" i="2"/>
  <c r="A599" i="2"/>
  <c r="A591" i="2"/>
  <c r="A583" i="2"/>
  <c r="A575" i="2"/>
  <c r="H928" i="2"/>
  <c r="O813" i="2"/>
  <c r="O765" i="2"/>
  <c r="A719" i="2"/>
  <c r="G700" i="2"/>
  <c r="G692" i="2"/>
  <c r="G684" i="2"/>
  <c r="G676" i="2"/>
  <c r="G668" i="2"/>
  <c r="G660" i="2"/>
  <c r="G652" i="2"/>
  <c r="G644" i="2"/>
  <c r="G636" i="2"/>
  <c r="G628" i="2"/>
  <c r="G620" i="2"/>
  <c r="G612" i="2"/>
  <c r="G604" i="2"/>
  <c r="G596" i="2"/>
  <c r="G588" i="2"/>
  <c r="G580" i="2"/>
  <c r="G572" i="2"/>
  <c r="G564" i="2"/>
  <c r="G556" i="2"/>
  <c r="G548" i="2"/>
  <c r="G540" i="2"/>
  <c r="G532" i="2"/>
  <c r="G524" i="2"/>
  <c r="G516" i="2"/>
  <c r="G508" i="2"/>
  <c r="G500" i="2"/>
  <c r="G492" i="2"/>
  <c r="G484" i="2"/>
  <c r="G476" i="2"/>
  <c r="G468" i="2"/>
  <c r="G460" i="2"/>
  <c r="G452" i="2"/>
  <c r="G444" i="2"/>
  <c r="G436" i="2"/>
  <c r="J1104" i="2"/>
  <c r="A882" i="2"/>
  <c r="E877" i="2"/>
  <c r="S1079" i="2"/>
  <c r="F872" i="2"/>
  <c r="K785" i="2"/>
  <c r="S916" i="2"/>
  <c r="P726" i="2"/>
  <c r="G819" i="2"/>
  <c r="S737" i="2"/>
  <c r="K734" i="2"/>
  <c r="H689" i="2"/>
  <c r="H577" i="2"/>
  <c r="H481" i="2"/>
  <c r="G697" i="2"/>
  <c r="G601" i="2"/>
  <c r="G505" i="2"/>
  <c r="T453" i="2"/>
  <c r="T405" i="2"/>
  <c r="T711" i="2"/>
  <c r="M666" i="2"/>
  <c r="M618" i="2"/>
  <c r="M570" i="2"/>
  <c r="M522" i="2"/>
  <c r="M474" i="2"/>
  <c r="F433" i="2"/>
  <c r="A743" i="2"/>
  <c r="K680" i="2"/>
  <c r="R649" i="2"/>
  <c r="K632" i="2"/>
  <c r="E613" i="2"/>
  <c r="E593" i="2"/>
  <c r="E575" i="2"/>
  <c r="E559" i="2"/>
  <c r="E543" i="2"/>
  <c r="E527" i="2"/>
  <c r="E511" i="2"/>
  <c r="E495" i="2"/>
  <c r="E479" i="2"/>
  <c r="E463" i="2"/>
  <c r="E447" i="2"/>
  <c r="E431" i="2"/>
  <c r="O855" i="2"/>
  <c r="J746" i="2"/>
  <c r="D697" i="2"/>
  <c r="D681" i="2"/>
  <c r="Q665" i="2"/>
  <c r="Q651" i="2"/>
  <c r="Q637" i="2"/>
  <c r="D625" i="2"/>
  <c r="J610" i="2"/>
  <c r="D597" i="2"/>
  <c r="Q583" i="2"/>
  <c r="Q569" i="2"/>
  <c r="D557" i="2"/>
  <c r="D545" i="2"/>
  <c r="D533" i="2"/>
  <c r="D521" i="2"/>
  <c r="D509" i="2"/>
  <c r="D497" i="2"/>
  <c r="D485" i="2"/>
  <c r="D473" i="2"/>
  <c r="D461" i="2"/>
  <c r="J450" i="2"/>
  <c r="D441" i="2"/>
  <c r="D431" i="2"/>
  <c r="M954" i="2"/>
  <c r="H806" i="2"/>
  <c r="H750" i="2"/>
  <c r="D705" i="2"/>
  <c r="C685" i="2"/>
  <c r="C675" i="2"/>
  <c r="P665" i="2"/>
  <c r="C637" i="2"/>
  <c r="C627" i="2"/>
  <c r="P617" i="2"/>
  <c r="C589" i="2"/>
  <c r="C579" i="2"/>
  <c r="P569" i="2"/>
  <c r="C541" i="2"/>
  <c r="C531" i="2"/>
  <c r="P521" i="2"/>
  <c r="C513" i="2"/>
  <c r="C505" i="2"/>
  <c r="C497" i="2"/>
  <c r="T1036" i="2"/>
  <c r="D826" i="2"/>
  <c r="Q777" i="2"/>
  <c r="Q729" i="2"/>
  <c r="H702" i="2"/>
  <c r="H694" i="2"/>
  <c r="H686" i="2"/>
  <c r="H678" i="2"/>
  <c r="H670" i="2"/>
  <c r="H662" i="2"/>
  <c r="H654" i="2"/>
  <c r="H646" i="2"/>
  <c r="H638" i="2"/>
  <c r="H630" i="2"/>
  <c r="H622" i="2"/>
  <c r="H614" i="2"/>
  <c r="H606" i="2"/>
  <c r="H598" i="2"/>
  <c r="H590" i="2"/>
  <c r="H582" i="2"/>
  <c r="H574" i="2"/>
  <c r="H912" i="2"/>
  <c r="O809" i="2"/>
  <c r="O761" i="2"/>
  <c r="H716" i="2"/>
  <c r="N699" i="2"/>
  <c r="N691" i="2"/>
  <c r="N683" i="2"/>
  <c r="N675" i="2"/>
  <c r="N667" i="2"/>
  <c r="N659" i="2"/>
  <c r="N651" i="2"/>
  <c r="N643" i="2"/>
  <c r="N635" i="2"/>
  <c r="N627" i="2"/>
  <c r="N619" i="2"/>
  <c r="N611" i="2"/>
  <c r="N603" i="2"/>
  <c r="N595" i="2"/>
  <c r="N587" i="2"/>
  <c r="N579" i="2"/>
  <c r="N571" i="2"/>
  <c r="N563" i="2"/>
  <c r="N555" i="2"/>
  <c r="N547" i="2"/>
  <c r="N539" i="2"/>
  <c r="N531" i="2"/>
  <c r="N523" i="2"/>
  <c r="D880" i="2"/>
  <c r="S917" i="2"/>
  <c r="N859" i="2"/>
  <c r="K721" i="2"/>
  <c r="A871" i="2"/>
  <c r="G787" i="2"/>
  <c r="M1053" i="2"/>
  <c r="K702" i="2"/>
  <c r="A666" i="2"/>
  <c r="H561" i="2"/>
  <c r="H465" i="2"/>
  <c r="G681" i="2"/>
  <c r="G585" i="2"/>
  <c r="T493" i="2"/>
  <c r="T445" i="2"/>
  <c r="T397" i="2"/>
  <c r="M658" i="2"/>
  <c r="M610" i="2"/>
  <c r="M562" i="2"/>
  <c r="M514" i="2"/>
  <c r="M466" i="2"/>
  <c r="S425" i="2"/>
  <c r="N706" i="2"/>
  <c r="E673" i="2"/>
  <c r="K648" i="2"/>
  <c r="E629" i="2"/>
  <c r="E609" i="2"/>
  <c r="E591" i="2"/>
  <c r="E571" i="2"/>
  <c r="E555" i="2"/>
  <c r="E539" i="2"/>
  <c r="E523" i="2"/>
  <c r="E507" i="2"/>
  <c r="E491" i="2"/>
  <c r="E475" i="2"/>
  <c r="E459" i="2"/>
  <c r="E443" i="2"/>
  <c r="E427" i="2"/>
  <c r="J822" i="2"/>
  <c r="J726" i="2"/>
  <c r="Q693" i="2"/>
  <c r="Q677" i="2"/>
  <c r="Q663" i="2"/>
  <c r="Q649" i="2"/>
  <c r="Q635" i="2"/>
  <c r="Q621" i="2"/>
  <c r="D609" i="2"/>
  <c r="J594" i="2"/>
  <c r="D581" i="2"/>
  <c r="Q567" i="2"/>
  <c r="J554" i="2"/>
  <c r="D543" i="2"/>
  <c r="J530" i="2"/>
  <c r="D519" i="2"/>
  <c r="J506" i="2"/>
  <c r="D495" i="2"/>
  <c r="J482" i="2"/>
  <c r="D471" i="2"/>
  <c r="J458" i="2"/>
  <c r="D449" i="2"/>
  <c r="D439" i="2"/>
  <c r="Q429" i="2"/>
  <c r="A899" i="2"/>
  <c r="H798" i="2"/>
  <c r="H742" i="2"/>
  <c r="C693" i="2"/>
  <c r="C683" i="2"/>
  <c r="P673" i="2"/>
  <c r="C645" i="2"/>
  <c r="C635" i="2"/>
  <c r="P625" i="2"/>
  <c r="C597" i="2"/>
  <c r="C587" i="2"/>
  <c r="P577" i="2"/>
  <c r="C549" i="2"/>
  <c r="C539" i="2"/>
  <c r="P529" i="2"/>
  <c r="P511" i="2"/>
  <c r="P503" i="2"/>
  <c r="P495" i="2"/>
  <c r="Q817" i="2"/>
  <c r="Q769" i="2"/>
  <c r="Q721" i="2"/>
  <c r="A701" i="2"/>
  <c r="A693" i="2"/>
  <c r="A685" i="2"/>
  <c r="A677" i="2"/>
  <c r="A669" i="2"/>
  <c r="A661" i="2"/>
  <c r="A653" i="2"/>
  <c r="A645" i="2"/>
  <c r="A637" i="2"/>
  <c r="A629" i="2"/>
  <c r="A621" i="2"/>
  <c r="A613" i="2"/>
  <c r="A605" i="2"/>
  <c r="A597" i="2"/>
  <c r="A589" i="2"/>
  <c r="A581" i="2"/>
  <c r="A573" i="2"/>
  <c r="H880" i="2"/>
  <c r="O801" i="2"/>
  <c r="O753" i="2"/>
  <c r="A711" i="2"/>
  <c r="G698" i="2"/>
  <c r="G690" i="2"/>
  <c r="G682" i="2"/>
  <c r="G674" i="2"/>
  <c r="G666" i="2"/>
  <c r="G658" i="2"/>
  <c r="G650" i="2"/>
  <c r="G642" i="2"/>
  <c r="G634" i="2"/>
  <c r="G626" i="2"/>
  <c r="G618" i="2"/>
  <c r="G610" i="2"/>
  <c r="G602" i="2"/>
  <c r="G594" i="2"/>
  <c r="G586" i="2"/>
  <c r="G578" i="2"/>
  <c r="G570" i="2"/>
  <c r="G562" i="2"/>
  <c r="G554" i="2"/>
  <c r="G546" i="2"/>
  <c r="G538" i="2"/>
  <c r="G530" i="2"/>
  <c r="G522" i="2"/>
  <c r="D848" i="2"/>
  <c r="C931" i="2"/>
  <c r="M886" i="2"/>
  <c r="N843" i="2"/>
  <c r="K713" i="2"/>
  <c r="Q810" i="2"/>
  <c r="T779" i="2"/>
  <c r="G984" i="2"/>
  <c r="A662" i="2"/>
  <c r="H557" i="2"/>
  <c r="H461" i="2"/>
  <c r="G677" i="2"/>
  <c r="G581" i="2"/>
  <c r="N492" i="2"/>
  <c r="N444" i="2"/>
  <c r="N396" i="2"/>
  <c r="F657" i="2"/>
  <c r="F609" i="2"/>
  <c r="F561" i="2"/>
  <c r="F513" i="2"/>
  <c r="F465" i="2"/>
  <c r="F425" i="2"/>
  <c r="G705" i="2"/>
  <c r="K672" i="2"/>
  <c r="E647" i="2"/>
  <c r="R625" i="2"/>
  <c r="K608" i="2"/>
  <c r="E589" i="2"/>
  <c r="R569" i="2"/>
  <c r="R553" i="2"/>
  <c r="R537" i="2"/>
  <c r="R521" i="2"/>
  <c r="R505" i="2"/>
  <c r="R489" i="2"/>
  <c r="R473" i="2"/>
  <c r="R457" i="2"/>
  <c r="R441" i="2"/>
  <c r="R425" i="2"/>
  <c r="J810" i="2"/>
  <c r="A717" i="2"/>
  <c r="Q691" i="2"/>
  <c r="Q675" i="2"/>
  <c r="Q661" i="2"/>
  <c r="D649" i="2"/>
  <c r="J634" i="2"/>
  <c r="D621" i="2"/>
  <c r="Q607" i="2"/>
  <c r="Q593" i="2"/>
  <c r="Q579" i="2"/>
  <c r="Q565" i="2"/>
  <c r="Q553" i="2"/>
  <c r="Q541" i="2"/>
  <c r="Q529" i="2"/>
  <c r="Q517" i="2"/>
  <c r="Q505" i="2"/>
  <c r="Q493" i="2"/>
  <c r="Q481" i="2"/>
  <c r="Q469" i="2"/>
  <c r="Q457" i="2"/>
  <c r="Q447" i="2"/>
  <c r="J438" i="2"/>
  <c r="D429" i="2"/>
  <c r="A883" i="2"/>
  <c r="H794" i="2"/>
  <c r="H734" i="2"/>
  <c r="P701" i="2"/>
  <c r="C673" i="2"/>
  <c r="C663" i="2"/>
  <c r="P653" i="2"/>
  <c r="C625" i="2"/>
  <c r="C615" i="2"/>
  <c r="P605" i="2"/>
  <c r="C577" i="2"/>
  <c r="C567" i="2"/>
  <c r="P557" i="2"/>
  <c r="C529" i="2"/>
  <c r="C519" i="2"/>
  <c r="C511" i="2"/>
  <c r="C503" i="2"/>
  <c r="C495" i="2"/>
  <c r="A929" i="2"/>
  <c r="Q813" i="2"/>
  <c r="Q765" i="2"/>
  <c r="D719" i="2"/>
  <c r="H700" i="2"/>
  <c r="H692" i="2"/>
  <c r="H684" i="2"/>
  <c r="H676" i="2"/>
  <c r="H668" i="2"/>
  <c r="H660" i="2"/>
  <c r="H652" i="2"/>
  <c r="H644" i="2"/>
  <c r="H636" i="2"/>
  <c r="H628" i="2"/>
  <c r="H620" i="2"/>
  <c r="H612" i="2"/>
  <c r="H604" i="2"/>
  <c r="H596" i="2"/>
  <c r="H588" i="2"/>
  <c r="H580" i="2"/>
  <c r="H572" i="2"/>
  <c r="H864" i="2"/>
  <c r="O797" i="2"/>
  <c r="O749" i="2"/>
  <c r="H708" i="2"/>
  <c r="N697" i="2"/>
  <c r="N689" i="2"/>
  <c r="N681" i="2"/>
  <c r="N673" i="2"/>
  <c r="N665" i="2"/>
  <c r="N657" i="2"/>
  <c r="N649" i="2"/>
  <c r="N641" i="2"/>
  <c r="N633" i="2"/>
  <c r="N625" i="2"/>
  <c r="N617" i="2"/>
  <c r="N609" i="2"/>
  <c r="N601" i="2"/>
  <c r="N593" i="2"/>
  <c r="N585" i="2"/>
  <c r="N577" i="2"/>
  <c r="N569" i="2"/>
  <c r="N561" i="2"/>
  <c r="N553" i="2"/>
  <c r="N545" i="2"/>
  <c r="N537" i="2"/>
  <c r="N529" i="2"/>
  <c r="G501" i="2"/>
  <c r="F473" i="2"/>
  <c r="E509" i="2"/>
  <c r="J650" i="2"/>
  <c r="Q495" i="2"/>
  <c r="Q821" i="2"/>
  <c r="A643" i="2"/>
  <c r="A595" i="2"/>
  <c r="O741" i="2"/>
  <c r="G664" i="2"/>
  <c r="G616" i="2"/>
  <c r="G568" i="2"/>
  <c r="N521" i="2"/>
  <c r="G512" i="2"/>
  <c r="G502" i="2"/>
  <c r="T492" i="2"/>
  <c r="T482" i="2"/>
  <c r="N473" i="2"/>
  <c r="G464" i="2"/>
  <c r="G454" i="2"/>
  <c r="T444" i="2"/>
  <c r="T434" i="2"/>
  <c r="T426" i="2"/>
  <c r="T418" i="2"/>
  <c r="T410" i="2"/>
  <c r="T402" i="2"/>
  <c r="T394" i="2"/>
  <c r="H836" i="2"/>
  <c r="D785" i="2"/>
  <c r="D737" i="2"/>
  <c r="S703" i="2"/>
  <c r="M695" i="2"/>
  <c r="M687" i="2"/>
  <c r="M679" i="2"/>
  <c r="M671" i="2"/>
  <c r="M663" i="2"/>
  <c r="M655" i="2"/>
  <c r="M647" i="2"/>
  <c r="M639" i="2"/>
  <c r="M631" i="2"/>
  <c r="M623" i="2"/>
  <c r="M615" i="2"/>
  <c r="M607" i="2"/>
  <c r="M599" i="2"/>
  <c r="M591" i="2"/>
  <c r="M583" i="2"/>
  <c r="M575" i="2"/>
  <c r="M567" i="2"/>
  <c r="M559" i="2"/>
  <c r="M551" i="2"/>
  <c r="M543" i="2"/>
  <c r="M535" i="2"/>
  <c r="M527" i="2"/>
  <c r="M519" i="2"/>
  <c r="M511" i="2"/>
  <c r="M503" i="2"/>
  <c r="M495" i="2"/>
  <c r="M487" i="2"/>
  <c r="M479" i="2"/>
  <c r="M471" i="2"/>
  <c r="M463" i="2"/>
  <c r="M455" i="2"/>
  <c r="M447" i="2"/>
  <c r="M439" i="2"/>
  <c r="M431" i="2"/>
  <c r="M423" i="2"/>
  <c r="M829" i="2"/>
  <c r="J780" i="2"/>
  <c r="J732" i="2"/>
  <c r="R702" i="2"/>
  <c r="Q694" i="2"/>
  <c r="Q686" i="2"/>
  <c r="Q678" i="2"/>
  <c r="Q670" i="2"/>
  <c r="Q662" i="2"/>
  <c r="Q654" i="2"/>
  <c r="Q646" i="2"/>
  <c r="Q638" i="2"/>
  <c r="Q630" i="2"/>
  <c r="Q622" i="2"/>
  <c r="Q614" i="2"/>
  <c r="Q606" i="2"/>
  <c r="Q598" i="2"/>
  <c r="Q590" i="2"/>
  <c r="Q582" i="2"/>
  <c r="Q574" i="2"/>
  <c r="Q566" i="2"/>
  <c r="Q558" i="2"/>
  <c r="Q550" i="2"/>
  <c r="Q542" i="2"/>
  <c r="Q534" i="2"/>
  <c r="Q526" i="2"/>
  <c r="Q518" i="2"/>
  <c r="Q510" i="2"/>
  <c r="Q502" i="2"/>
  <c r="Q494" i="2"/>
  <c r="Q486" i="2"/>
  <c r="Q478" i="2"/>
  <c r="Q470" i="2"/>
  <c r="Q462" i="2"/>
  <c r="Q454" i="2"/>
  <c r="Q446" i="2"/>
  <c r="Q438" i="2"/>
  <c r="Q430" i="2"/>
  <c r="Q422" i="2"/>
  <c r="E694" i="2"/>
  <c r="E646" i="2"/>
  <c r="E598" i="2"/>
  <c r="P556" i="2"/>
  <c r="P524" i="2"/>
  <c r="P492" i="2"/>
  <c r="P467" i="2"/>
  <c r="P443" i="2"/>
  <c r="O421" i="2"/>
  <c r="C412" i="2"/>
  <c r="J402" i="2"/>
  <c r="C393" i="2"/>
  <c r="C385" i="2"/>
  <c r="C377" i="2"/>
  <c r="C369" i="2"/>
  <c r="C361" i="2"/>
  <c r="C353" i="2"/>
  <c r="C345" i="2"/>
  <c r="C337" i="2"/>
  <c r="C329" i="2"/>
  <c r="C321" i="2"/>
  <c r="C313" i="2"/>
  <c r="C305" i="2"/>
  <c r="C297" i="2"/>
  <c r="C289" i="2"/>
  <c r="C281" i="2"/>
  <c r="C273" i="2"/>
  <c r="C265" i="2"/>
  <c r="C257" i="2"/>
  <c r="C249" i="2"/>
  <c r="C241" i="2"/>
  <c r="C233" i="2"/>
  <c r="C225" i="2"/>
  <c r="C217" i="2"/>
  <c r="C209" i="2"/>
  <c r="C201" i="2"/>
  <c r="C193" i="2"/>
  <c r="C185" i="2"/>
  <c r="C177" i="2"/>
  <c r="C169" i="2"/>
  <c r="C161" i="2"/>
  <c r="C153" i="2"/>
  <c r="H752" i="2"/>
  <c r="C666" i="2"/>
  <c r="C618" i="2"/>
  <c r="C570" i="2"/>
  <c r="O537" i="2"/>
  <c r="O505" i="2"/>
  <c r="O477" i="2"/>
  <c r="O453" i="2"/>
  <c r="O429" i="2"/>
  <c r="A416" i="2"/>
  <c r="Q396" i="2"/>
  <c r="H388" i="2"/>
  <c r="H380" i="2"/>
  <c r="H372" i="2"/>
  <c r="H364" i="2"/>
  <c r="H356" i="2"/>
  <c r="H348" i="2"/>
  <c r="H340" i="2"/>
  <c r="H332" i="2"/>
  <c r="H324" i="2"/>
  <c r="H316" i="2"/>
  <c r="H308" i="2"/>
  <c r="H300" i="2"/>
  <c r="H292" i="2"/>
  <c r="H284" i="2"/>
  <c r="H276" i="2"/>
  <c r="H268" i="2"/>
  <c r="H260" i="2"/>
  <c r="H252" i="2"/>
  <c r="H244" i="2"/>
  <c r="H236" i="2"/>
  <c r="H228" i="2"/>
  <c r="H220" i="2"/>
  <c r="H212" i="2"/>
  <c r="H204" i="2"/>
  <c r="H196" i="2"/>
  <c r="H188" i="2"/>
  <c r="H180" i="2"/>
  <c r="H172" i="2"/>
  <c r="H164" i="2"/>
  <c r="H156" i="2"/>
  <c r="H148" i="2"/>
  <c r="K689" i="2"/>
  <c r="K641" i="2"/>
  <c r="K593" i="2"/>
  <c r="K553" i="2"/>
  <c r="K521" i="2"/>
  <c r="K489" i="2"/>
  <c r="K465" i="2"/>
  <c r="K441" i="2"/>
  <c r="P420" i="2"/>
  <c r="D411" i="2"/>
  <c r="K401" i="2"/>
  <c r="G392" i="2"/>
  <c r="G384" i="2"/>
  <c r="G376" i="2"/>
  <c r="G368" i="2"/>
  <c r="G360" i="2"/>
  <c r="G352" i="2"/>
  <c r="G344" i="2"/>
  <c r="G336" i="2"/>
  <c r="G328" i="2"/>
  <c r="G320" i="2"/>
  <c r="G312" i="2"/>
  <c r="G304" i="2"/>
  <c r="G296" i="2"/>
  <c r="G288" i="2"/>
  <c r="G280" i="2"/>
  <c r="G272" i="2"/>
  <c r="G264" i="2"/>
  <c r="G256" i="2"/>
  <c r="G248" i="2"/>
  <c r="G240" i="2"/>
  <c r="G232" i="2"/>
  <c r="G224" i="2"/>
  <c r="G216" i="2"/>
  <c r="G208" i="2"/>
  <c r="G200" i="2"/>
  <c r="G192" i="2"/>
  <c r="G184" i="2"/>
  <c r="G176" i="2"/>
  <c r="G168" i="2"/>
  <c r="G160" i="2"/>
  <c r="G152" i="2"/>
  <c r="H748" i="2"/>
  <c r="R415" i="2"/>
  <c r="F406" i="2"/>
  <c r="O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284" i="2"/>
  <c r="F276" i="2"/>
  <c r="F268" i="2"/>
  <c r="F260" i="2"/>
  <c r="F252" i="2"/>
  <c r="F244" i="2"/>
  <c r="F236" i="2"/>
  <c r="F228" i="2"/>
  <c r="F220" i="2"/>
  <c r="N452" i="2"/>
  <c r="M426" i="2"/>
  <c r="E493" i="2"/>
  <c r="D637" i="2"/>
  <c r="Q483" i="2"/>
  <c r="C655" i="2"/>
  <c r="C569" i="2"/>
  <c r="P549" i="2"/>
  <c r="Q773" i="2"/>
  <c r="O637" i="2"/>
  <c r="O589" i="2"/>
  <c r="O713" i="2"/>
  <c r="T658" i="2"/>
  <c r="T610" i="2"/>
  <c r="T562" i="2"/>
  <c r="T520" i="2"/>
  <c r="N511" i="2"/>
  <c r="N501" i="2"/>
  <c r="N491" i="2"/>
  <c r="G482" i="2"/>
  <c r="T472" i="2"/>
  <c r="N463" i="2"/>
  <c r="N453" i="2"/>
  <c r="N443" i="2"/>
  <c r="G434" i="2"/>
  <c r="G426" i="2"/>
  <c r="G418" i="2"/>
  <c r="G410" i="2"/>
  <c r="G402" i="2"/>
  <c r="G394" i="2"/>
  <c r="D781" i="2"/>
  <c r="D733" i="2"/>
  <c r="A703" i="2"/>
  <c r="S694" i="2"/>
  <c r="S686" i="2"/>
  <c r="S678" i="2"/>
  <c r="S670" i="2"/>
  <c r="S662" i="2"/>
  <c r="S654" i="2"/>
  <c r="S646" i="2"/>
  <c r="S638" i="2"/>
  <c r="S630" i="2"/>
  <c r="S622" i="2"/>
  <c r="S614" i="2"/>
  <c r="S606" i="2"/>
  <c r="S598" i="2"/>
  <c r="S590" i="2"/>
  <c r="S582" i="2"/>
  <c r="S574" i="2"/>
  <c r="S566" i="2"/>
  <c r="S558" i="2"/>
  <c r="S550" i="2"/>
  <c r="S542" i="2"/>
  <c r="S534" i="2"/>
  <c r="S526" i="2"/>
  <c r="S518" i="2"/>
  <c r="S510" i="2"/>
  <c r="S502" i="2"/>
  <c r="S494" i="2"/>
  <c r="S486" i="2"/>
  <c r="S478" i="2"/>
  <c r="S470" i="2"/>
  <c r="S462" i="2"/>
  <c r="S454" i="2"/>
  <c r="S446" i="2"/>
  <c r="S438" i="2"/>
  <c r="S430" i="2"/>
  <c r="N1007" i="2"/>
  <c r="K824" i="2"/>
  <c r="J776" i="2"/>
  <c r="J728" i="2"/>
  <c r="D702" i="2"/>
  <c r="D694" i="2"/>
  <c r="D686" i="2"/>
  <c r="D678" i="2"/>
  <c r="D670" i="2"/>
  <c r="D662" i="2"/>
  <c r="D654" i="2"/>
  <c r="D646" i="2"/>
  <c r="D638" i="2"/>
  <c r="D630" i="2"/>
  <c r="D622" i="2"/>
  <c r="D614" i="2"/>
  <c r="D606" i="2"/>
  <c r="D598" i="2"/>
  <c r="D590" i="2"/>
  <c r="D582" i="2"/>
  <c r="D574" i="2"/>
  <c r="D566" i="2"/>
  <c r="D558" i="2"/>
  <c r="D550" i="2"/>
  <c r="D542" i="2"/>
  <c r="D534" i="2"/>
  <c r="D526" i="2"/>
  <c r="D518" i="2"/>
  <c r="D510" i="2"/>
  <c r="D502" i="2"/>
  <c r="D494" i="2"/>
  <c r="D486" i="2"/>
  <c r="D478" i="2"/>
  <c r="D470" i="2"/>
  <c r="D462" i="2"/>
  <c r="D454" i="2"/>
  <c r="D446" i="2"/>
  <c r="D438" i="2"/>
  <c r="D430" i="2"/>
  <c r="D422" i="2"/>
  <c r="E690" i="2"/>
  <c r="E642" i="2"/>
  <c r="E594" i="2"/>
  <c r="C554" i="2"/>
  <c r="C522" i="2"/>
  <c r="C490" i="2"/>
  <c r="P465" i="2"/>
  <c r="P441" i="2"/>
  <c r="R420" i="2"/>
  <c r="F411" i="2"/>
  <c r="O401" i="2"/>
  <c r="H728" i="2"/>
  <c r="C662" i="2"/>
  <c r="C614" i="2"/>
  <c r="A567" i="2"/>
  <c r="A535" i="2"/>
  <c r="A503" i="2"/>
  <c r="O475" i="2"/>
  <c r="O451" i="2"/>
  <c r="O427" i="2"/>
  <c r="E415" i="2"/>
  <c r="M405" i="2"/>
  <c r="A396" i="2"/>
  <c r="O387" i="2"/>
  <c r="O379" i="2"/>
  <c r="O371" i="2"/>
  <c r="O363" i="2"/>
  <c r="O355" i="2"/>
  <c r="O347" i="2"/>
  <c r="O339" i="2"/>
  <c r="O331" i="2"/>
  <c r="O323" i="2"/>
  <c r="O315" i="2"/>
  <c r="O307" i="2"/>
  <c r="O299" i="2"/>
  <c r="O291" i="2"/>
  <c r="O283" i="2"/>
  <c r="O275" i="2"/>
  <c r="O267" i="2"/>
  <c r="O259" i="2"/>
  <c r="O251" i="2"/>
  <c r="O243" i="2"/>
  <c r="O235" i="2"/>
  <c r="O227" i="2"/>
  <c r="O219" i="2"/>
  <c r="O211" i="2"/>
  <c r="O203" i="2"/>
  <c r="O195" i="2"/>
  <c r="O187" i="2"/>
  <c r="O179" i="2"/>
  <c r="O171" i="2"/>
  <c r="O163" i="2"/>
  <c r="O155" i="2"/>
  <c r="G972" i="2"/>
  <c r="K685" i="2"/>
  <c r="K637" i="2"/>
  <c r="K589" i="2"/>
  <c r="R550" i="2"/>
  <c r="R518" i="2"/>
  <c r="K487" i="2"/>
  <c r="K463" i="2"/>
  <c r="K439" i="2"/>
  <c r="S419" i="2"/>
  <c r="H410" i="2"/>
  <c r="P400" i="2"/>
  <c r="N391" i="2"/>
  <c r="N383" i="2"/>
  <c r="N375" i="2"/>
  <c r="N367" i="2"/>
  <c r="N359" i="2"/>
  <c r="N351" i="2"/>
  <c r="N343" i="2"/>
  <c r="N335" i="2"/>
  <c r="N327" i="2"/>
  <c r="N319" i="2"/>
  <c r="N311" i="2"/>
  <c r="N303" i="2"/>
  <c r="N295" i="2"/>
  <c r="N287" i="2"/>
  <c r="N279" i="2"/>
  <c r="N271" i="2"/>
  <c r="N263" i="2"/>
  <c r="N255" i="2"/>
  <c r="N247" i="2"/>
  <c r="N239" i="2"/>
  <c r="N231" i="2"/>
  <c r="N223" i="2"/>
  <c r="N215" i="2"/>
  <c r="N207" i="2"/>
  <c r="N199" i="2"/>
  <c r="N191" i="2"/>
  <c r="N183" i="2"/>
  <c r="N175" i="2"/>
  <c r="N167" i="2"/>
  <c r="N159" i="2"/>
  <c r="N151" i="2"/>
  <c r="H724" i="2"/>
  <c r="P566" i="2"/>
  <c r="P534" i="2"/>
  <c r="P502" i="2"/>
  <c r="C415" i="2"/>
  <c r="J405" i="2"/>
  <c r="R395" i="2"/>
  <c r="M387" i="2"/>
  <c r="M379" i="2"/>
  <c r="M371" i="2"/>
  <c r="M363" i="2"/>
  <c r="M355" i="2"/>
  <c r="M347" i="2"/>
  <c r="M339" i="2"/>
  <c r="M331" i="2"/>
  <c r="M323" i="2"/>
  <c r="M315" i="2"/>
  <c r="M307" i="2"/>
  <c r="M299" i="2"/>
  <c r="M291" i="2"/>
  <c r="M283" i="2"/>
  <c r="M275" i="2"/>
  <c r="M267" i="2"/>
  <c r="M259" i="2"/>
  <c r="M251" i="2"/>
  <c r="M243" i="2"/>
  <c r="M235" i="2"/>
  <c r="M227" i="2"/>
  <c r="M219" i="2"/>
  <c r="M211" i="2"/>
  <c r="H865" i="2"/>
  <c r="O889" i="2"/>
  <c r="S733" i="2"/>
  <c r="N404" i="2"/>
  <c r="D709" i="2"/>
  <c r="E477" i="2"/>
  <c r="Q623" i="2"/>
  <c r="Q471" i="2"/>
  <c r="Q725" i="2"/>
  <c r="A635" i="2"/>
  <c r="A587" i="2"/>
  <c r="A705" i="2"/>
  <c r="G656" i="2"/>
  <c r="G608" i="2"/>
  <c r="G560" i="2"/>
  <c r="G520" i="2"/>
  <c r="G510" i="2"/>
  <c r="T500" i="2"/>
  <c r="T490" i="2"/>
  <c r="N481" i="2"/>
  <c r="G472" i="2"/>
  <c r="G462" i="2"/>
  <c r="T452" i="2"/>
  <c r="T442" i="2"/>
  <c r="N433" i="2"/>
  <c r="N425" i="2"/>
  <c r="N417" i="2"/>
  <c r="N409" i="2"/>
  <c r="N401" i="2"/>
  <c r="T1020" i="2"/>
  <c r="G825" i="2"/>
  <c r="D777" i="2"/>
  <c r="D729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478" i="2"/>
  <c r="F470" i="2"/>
  <c r="F462" i="2"/>
  <c r="F454" i="2"/>
  <c r="F446" i="2"/>
  <c r="F438" i="2"/>
  <c r="F430" i="2"/>
  <c r="G968" i="2"/>
  <c r="J820" i="2"/>
  <c r="J772" i="2"/>
  <c r="J724" i="2"/>
  <c r="J701" i="2"/>
  <c r="J693" i="2"/>
  <c r="J685" i="2"/>
  <c r="J677" i="2"/>
  <c r="J669" i="2"/>
  <c r="J661" i="2"/>
  <c r="J653" i="2"/>
  <c r="J645" i="2"/>
  <c r="J637" i="2"/>
  <c r="J629" i="2"/>
  <c r="J621" i="2"/>
  <c r="J613" i="2"/>
  <c r="J605" i="2"/>
  <c r="J597" i="2"/>
  <c r="J589" i="2"/>
  <c r="J581" i="2"/>
  <c r="J573" i="2"/>
  <c r="J565" i="2"/>
  <c r="J557" i="2"/>
  <c r="J549" i="2"/>
  <c r="J541" i="2"/>
  <c r="J533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G1018" i="2"/>
  <c r="E686" i="2"/>
  <c r="E638" i="2"/>
  <c r="E590" i="2"/>
  <c r="P487" i="2"/>
  <c r="P463" i="2"/>
  <c r="P439" i="2"/>
  <c r="C420" i="2"/>
  <c r="J410" i="2"/>
  <c r="R400" i="2"/>
  <c r="P391" i="2"/>
  <c r="P383" i="2"/>
  <c r="P375" i="2"/>
  <c r="P367" i="2"/>
  <c r="P359" i="2"/>
  <c r="P351" i="2"/>
  <c r="P343" i="2"/>
  <c r="P335" i="2"/>
  <c r="P327" i="2"/>
  <c r="P319" i="2"/>
  <c r="P311" i="2"/>
  <c r="P303" i="2"/>
  <c r="P295" i="2"/>
  <c r="P287" i="2"/>
  <c r="P279" i="2"/>
  <c r="P271" i="2"/>
  <c r="P263" i="2"/>
  <c r="P255" i="2"/>
  <c r="P247" i="2"/>
  <c r="P239" i="2"/>
  <c r="P231" i="2"/>
  <c r="P223" i="2"/>
  <c r="P215" i="2"/>
  <c r="P207" i="2"/>
  <c r="P199" i="2"/>
  <c r="P191" i="2"/>
  <c r="P183" i="2"/>
  <c r="P175" i="2"/>
  <c r="P167" i="2"/>
  <c r="P159" i="2"/>
  <c r="P151" i="2"/>
  <c r="T709" i="2"/>
  <c r="C658" i="2"/>
  <c r="C610" i="2"/>
  <c r="H564" i="2"/>
  <c r="H532" i="2"/>
  <c r="H500" i="2"/>
  <c r="O473" i="2"/>
  <c r="O449" i="2"/>
  <c r="O425" i="2"/>
  <c r="Q404" i="2"/>
  <c r="E395" i="2"/>
  <c r="A387" i="2"/>
  <c r="A379" i="2"/>
  <c r="A371" i="2"/>
  <c r="A363" i="2"/>
  <c r="A355" i="2"/>
  <c r="A347" i="2"/>
  <c r="A339" i="2"/>
  <c r="A331" i="2"/>
  <c r="A323" i="2"/>
  <c r="A315" i="2"/>
  <c r="A307" i="2"/>
  <c r="A299" i="2"/>
  <c r="A291" i="2"/>
  <c r="A283" i="2"/>
  <c r="A275" i="2"/>
  <c r="A267" i="2"/>
  <c r="A259" i="2"/>
  <c r="A251" i="2"/>
  <c r="A243" i="2"/>
  <c r="A235" i="2"/>
  <c r="A227" i="2"/>
  <c r="A219" i="2"/>
  <c r="A211" i="2"/>
  <c r="A203" i="2"/>
  <c r="A195" i="2"/>
  <c r="A187" i="2"/>
  <c r="A179" i="2"/>
  <c r="A171" i="2"/>
  <c r="A163" i="2"/>
  <c r="A155" i="2"/>
  <c r="F862" i="2"/>
  <c r="K681" i="2"/>
  <c r="K633" i="2"/>
  <c r="K585" i="2"/>
  <c r="E548" i="2"/>
  <c r="E516" i="2"/>
  <c r="K485" i="2"/>
  <c r="K461" i="2"/>
  <c r="K437" i="2"/>
  <c r="D419" i="2"/>
  <c r="K409" i="2"/>
  <c r="S399" i="2"/>
  <c r="T390" i="2"/>
  <c r="T382" i="2"/>
  <c r="T374" i="2"/>
  <c r="T366" i="2"/>
  <c r="T358" i="2"/>
  <c r="T350" i="2"/>
  <c r="T342" i="2"/>
  <c r="T334" i="2"/>
  <c r="T326" i="2"/>
  <c r="T318" i="2"/>
  <c r="T310" i="2"/>
  <c r="T302" i="2"/>
  <c r="T294" i="2"/>
  <c r="T286" i="2"/>
  <c r="T278" i="2"/>
  <c r="T270" i="2"/>
  <c r="T262" i="2"/>
  <c r="T254" i="2"/>
  <c r="T246" i="2"/>
  <c r="T238" i="2"/>
  <c r="T230" i="2"/>
  <c r="T222" i="2"/>
  <c r="T214" i="2"/>
  <c r="T206" i="2"/>
  <c r="T198" i="2"/>
  <c r="T190" i="2"/>
  <c r="T182" i="2"/>
  <c r="T174" i="2"/>
  <c r="T166" i="2"/>
  <c r="T158" i="2"/>
  <c r="T150" i="2"/>
  <c r="G707" i="2"/>
  <c r="C564" i="2"/>
  <c r="C532" i="2"/>
  <c r="C500" i="2"/>
  <c r="F414" i="2"/>
  <c r="O404" i="2"/>
  <c r="C395" i="2"/>
  <c r="S386" i="2"/>
  <c r="S378" i="2"/>
  <c r="S370" i="2"/>
  <c r="S362" i="2"/>
  <c r="S354" i="2"/>
  <c r="S346" i="2"/>
  <c r="S338" i="2"/>
  <c r="S330" i="2"/>
  <c r="S322" i="2"/>
  <c r="S314" i="2"/>
  <c r="S306" i="2"/>
  <c r="S298" i="2"/>
  <c r="S290" i="2"/>
  <c r="S282" i="2"/>
  <c r="S274" i="2"/>
  <c r="S266" i="2"/>
  <c r="S258" i="2"/>
  <c r="S250" i="2"/>
  <c r="S242" i="2"/>
  <c r="S234" i="2"/>
  <c r="S226" i="2"/>
  <c r="S218" i="2"/>
  <c r="T811" i="2"/>
  <c r="K706" i="2"/>
  <c r="R673" i="2"/>
  <c r="E461" i="2"/>
  <c r="Q609" i="2"/>
  <c r="Q459" i="2"/>
  <c r="O701" i="2"/>
  <c r="O629" i="2"/>
  <c r="O581" i="2"/>
  <c r="T698" i="2"/>
  <c r="T650" i="2"/>
  <c r="T602" i="2"/>
  <c r="T554" i="2"/>
  <c r="N519" i="2"/>
  <c r="N509" i="2"/>
  <c r="N499" i="2"/>
  <c r="G490" i="2"/>
  <c r="T480" i="2"/>
  <c r="N471" i="2"/>
  <c r="N461" i="2"/>
  <c r="N451" i="2"/>
  <c r="G442" i="2"/>
  <c r="T432" i="2"/>
  <c r="T424" i="2"/>
  <c r="T416" i="2"/>
  <c r="T408" i="2"/>
  <c r="T400" i="2"/>
  <c r="D821" i="2"/>
  <c r="D773" i="2"/>
  <c r="D725" i="2"/>
  <c r="M701" i="2"/>
  <c r="M693" i="2"/>
  <c r="M685" i="2"/>
  <c r="M677" i="2"/>
  <c r="M669" i="2"/>
  <c r="M661" i="2"/>
  <c r="M653" i="2"/>
  <c r="M645" i="2"/>
  <c r="M637" i="2"/>
  <c r="M629" i="2"/>
  <c r="M621" i="2"/>
  <c r="M613" i="2"/>
  <c r="M605" i="2"/>
  <c r="M597" i="2"/>
  <c r="M589" i="2"/>
  <c r="M581" i="2"/>
  <c r="M573" i="2"/>
  <c r="M565" i="2"/>
  <c r="M557" i="2"/>
  <c r="M549" i="2"/>
  <c r="M541" i="2"/>
  <c r="M533" i="2"/>
  <c r="M525" i="2"/>
  <c r="M517" i="2"/>
  <c r="M509" i="2"/>
  <c r="M501" i="2"/>
  <c r="M493" i="2"/>
  <c r="M485" i="2"/>
  <c r="M477" i="2"/>
  <c r="M469" i="2"/>
  <c r="M461" i="2"/>
  <c r="M453" i="2"/>
  <c r="M445" i="2"/>
  <c r="M437" i="2"/>
  <c r="M429" i="2"/>
  <c r="J816" i="2"/>
  <c r="J768" i="2"/>
  <c r="A721" i="2"/>
  <c r="Q700" i="2"/>
  <c r="Q692" i="2"/>
  <c r="Q684" i="2"/>
  <c r="Q676" i="2"/>
  <c r="Q668" i="2"/>
  <c r="Q660" i="2"/>
  <c r="Q652" i="2"/>
  <c r="Q644" i="2"/>
  <c r="Q636" i="2"/>
  <c r="Q628" i="2"/>
  <c r="Q620" i="2"/>
  <c r="Q612" i="2"/>
  <c r="Q604" i="2"/>
  <c r="Q596" i="2"/>
  <c r="Q588" i="2"/>
  <c r="Q580" i="2"/>
  <c r="Q572" i="2"/>
  <c r="Q564" i="2"/>
  <c r="Q556" i="2"/>
  <c r="Q548" i="2"/>
  <c r="Q540" i="2"/>
  <c r="Q532" i="2"/>
  <c r="Q524" i="2"/>
  <c r="Q516" i="2"/>
  <c r="Q508" i="2"/>
  <c r="Q500" i="2"/>
  <c r="Q492" i="2"/>
  <c r="Q484" i="2"/>
  <c r="Q476" i="2"/>
  <c r="Q468" i="2"/>
  <c r="Q460" i="2"/>
  <c r="Q452" i="2"/>
  <c r="Q444" i="2"/>
  <c r="Q436" i="2"/>
  <c r="Q428" i="2"/>
  <c r="O877" i="2"/>
  <c r="E682" i="2"/>
  <c r="E634" i="2"/>
  <c r="E586" i="2"/>
  <c r="P548" i="2"/>
  <c r="P516" i="2"/>
  <c r="P485" i="2"/>
  <c r="P461" i="2"/>
  <c r="P437" i="2"/>
  <c r="F419" i="2"/>
  <c r="O409" i="2"/>
  <c r="C400" i="2"/>
  <c r="C391" i="2"/>
  <c r="C383" i="2"/>
  <c r="C375" i="2"/>
  <c r="C367" i="2"/>
  <c r="C359" i="2"/>
  <c r="C351" i="2"/>
  <c r="C343" i="2"/>
  <c r="C335" i="2"/>
  <c r="C327" i="2"/>
  <c r="C319" i="2"/>
  <c r="C311" i="2"/>
  <c r="C303" i="2"/>
  <c r="C295" i="2"/>
  <c r="C287" i="2"/>
  <c r="C279" i="2"/>
  <c r="C271" i="2"/>
  <c r="C263" i="2"/>
  <c r="C255" i="2"/>
  <c r="C247" i="2"/>
  <c r="C239" i="2"/>
  <c r="C231" i="2"/>
  <c r="C223" i="2"/>
  <c r="C215" i="2"/>
  <c r="C207" i="2"/>
  <c r="C199" i="2"/>
  <c r="C191" i="2"/>
  <c r="C183" i="2"/>
  <c r="C175" i="2"/>
  <c r="C167" i="2"/>
  <c r="C159" i="2"/>
  <c r="C151" i="2"/>
  <c r="C702" i="2"/>
  <c r="C654" i="2"/>
  <c r="C606" i="2"/>
  <c r="O561" i="2"/>
  <c r="O529" i="2"/>
  <c r="O497" i="2"/>
  <c r="O471" i="2"/>
  <c r="O447" i="2"/>
  <c r="O423" i="2"/>
  <c r="M413" i="2"/>
  <c r="A404" i="2"/>
  <c r="H386" i="2"/>
  <c r="H378" i="2"/>
  <c r="H370" i="2"/>
  <c r="H362" i="2"/>
  <c r="H354" i="2"/>
  <c r="H346" i="2"/>
  <c r="H338" i="2"/>
  <c r="H330" i="2"/>
  <c r="H322" i="2"/>
  <c r="H314" i="2"/>
  <c r="H306" i="2"/>
  <c r="H298" i="2"/>
  <c r="H290" i="2"/>
  <c r="H282" i="2"/>
  <c r="H274" i="2"/>
  <c r="H266" i="2"/>
  <c r="H258" i="2"/>
  <c r="H250" i="2"/>
  <c r="H242" i="2"/>
  <c r="H234" i="2"/>
  <c r="H226" i="2"/>
  <c r="H218" i="2"/>
  <c r="H210" i="2"/>
  <c r="H202" i="2"/>
  <c r="H194" i="2"/>
  <c r="H186" i="2"/>
  <c r="H178" i="2"/>
  <c r="H170" i="2"/>
  <c r="H162" i="2"/>
  <c r="H154" i="2"/>
  <c r="A821" i="2"/>
  <c r="K677" i="2"/>
  <c r="K629" i="2"/>
  <c r="K581" i="2"/>
  <c r="K545" i="2"/>
  <c r="K513" i="2"/>
  <c r="K483" i="2"/>
  <c r="K459" i="2"/>
  <c r="K435" i="2"/>
  <c r="H418" i="2"/>
  <c r="P408" i="2"/>
  <c r="D399" i="2"/>
  <c r="G390" i="2"/>
  <c r="G382" i="2"/>
  <c r="G374" i="2"/>
  <c r="G366" i="2"/>
  <c r="G358" i="2"/>
  <c r="G350" i="2"/>
  <c r="G342" i="2"/>
  <c r="G334" i="2"/>
  <c r="G326" i="2"/>
  <c r="G318" i="2"/>
  <c r="G310" i="2"/>
  <c r="G302" i="2"/>
  <c r="G294" i="2"/>
  <c r="G286" i="2"/>
  <c r="G278" i="2"/>
  <c r="G270" i="2"/>
  <c r="G262" i="2"/>
  <c r="G254" i="2"/>
  <c r="G246" i="2"/>
  <c r="G238" i="2"/>
  <c r="G230" i="2"/>
  <c r="G222" i="2"/>
  <c r="G214" i="2"/>
  <c r="G206" i="2"/>
  <c r="G198" i="2"/>
  <c r="G190" i="2"/>
  <c r="G182" i="2"/>
  <c r="G174" i="2"/>
  <c r="G166" i="2"/>
  <c r="G158" i="2"/>
  <c r="G150" i="2"/>
  <c r="J413" i="2"/>
  <c r="R403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66" i="2"/>
  <c r="F258" i="2"/>
  <c r="F250" i="2"/>
  <c r="F242" i="2"/>
  <c r="F234" i="2"/>
  <c r="F226" i="2"/>
  <c r="F218" i="2"/>
  <c r="F210" i="2"/>
  <c r="F202" i="2"/>
  <c r="K777" i="2"/>
  <c r="E649" i="2"/>
  <c r="E445" i="2"/>
  <c r="Q595" i="2"/>
  <c r="Q449" i="2"/>
  <c r="P693" i="2"/>
  <c r="C607" i="2"/>
  <c r="C521" i="2"/>
  <c r="O693" i="2"/>
  <c r="A627" i="2"/>
  <c r="A579" i="2"/>
  <c r="G696" i="2"/>
  <c r="G648" i="2"/>
  <c r="G600" i="2"/>
  <c r="G552" i="2"/>
  <c r="G518" i="2"/>
  <c r="T508" i="2"/>
  <c r="T498" i="2"/>
  <c r="N489" i="2"/>
  <c r="G480" i="2"/>
  <c r="G470" i="2"/>
  <c r="T460" i="2"/>
  <c r="T450" i="2"/>
  <c r="N441" i="2"/>
  <c r="G432" i="2"/>
  <c r="G424" i="2"/>
  <c r="G416" i="2"/>
  <c r="G408" i="2"/>
  <c r="G400" i="2"/>
  <c r="D817" i="2"/>
  <c r="D769" i="2"/>
  <c r="G721" i="2"/>
  <c r="S700" i="2"/>
  <c r="S692" i="2"/>
  <c r="S684" i="2"/>
  <c r="S676" i="2"/>
  <c r="S668" i="2"/>
  <c r="S660" i="2"/>
  <c r="S652" i="2"/>
  <c r="S644" i="2"/>
  <c r="S636" i="2"/>
  <c r="S628" i="2"/>
  <c r="S620" i="2"/>
  <c r="S612" i="2"/>
  <c r="S604" i="2"/>
  <c r="S596" i="2"/>
  <c r="S588" i="2"/>
  <c r="S580" i="2"/>
  <c r="S572" i="2"/>
  <c r="S564" i="2"/>
  <c r="S556" i="2"/>
  <c r="S548" i="2"/>
  <c r="S540" i="2"/>
  <c r="S532" i="2"/>
  <c r="S524" i="2"/>
  <c r="S516" i="2"/>
  <c r="S508" i="2"/>
  <c r="S500" i="2"/>
  <c r="S492" i="2"/>
  <c r="S484" i="2"/>
  <c r="S476" i="2"/>
  <c r="S468" i="2"/>
  <c r="S460" i="2"/>
  <c r="S452" i="2"/>
  <c r="S444" i="2"/>
  <c r="S436" i="2"/>
  <c r="S428" i="2"/>
  <c r="M923" i="2"/>
  <c r="J812" i="2"/>
  <c r="J764" i="2"/>
  <c r="H718" i="2"/>
  <c r="D700" i="2"/>
  <c r="D692" i="2"/>
  <c r="D684" i="2"/>
  <c r="D676" i="2"/>
  <c r="D668" i="2"/>
  <c r="D660" i="2"/>
  <c r="D652" i="2"/>
  <c r="D644" i="2"/>
  <c r="D636" i="2"/>
  <c r="D628" i="2"/>
  <c r="D620" i="2"/>
  <c r="D612" i="2"/>
  <c r="D604" i="2"/>
  <c r="D596" i="2"/>
  <c r="D588" i="2"/>
  <c r="D580" i="2"/>
  <c r="D572" i="2"/>
  <c r="D564" i="2"/>
  <c r="D556" i="2"/>
  <c r="D548" i="2"/>
  <c r="D540" i="2"/>
  <c r="D532" i="2"/>
  <c r="D524" i="2"/>
  <c r="D516" i="2"/>
  <c r="D508" i="2"/>
  <c r="D500" i="2"/>
  <c r="D492" i="2"/>
  <c r="D484" i="2"/>
  <c r="D476" i="2"/>
  <c r="D468" i="2"/>
  <c r="D460" i="2"/>
  <c r="D452" i="2"/>
  <c r="D444" i="2"/>
  <c r="D436" i="2"/>
  <c r="D428" i="2"/>
  <c r="E825" i="2"/>
  <c r="E678" i="2"/>
  <c r="E630" i="2"/>
  <c r="E582" i="2"/>
  <c r="C546" i="2"/>
  <c r="C514" i="2"/>
  <c r="P483" i="2"/>
  <c r="P459" i="2"/>
  <c r="P435" i="2"/>
  <c r="J418" i="2"/>
  <c r="R408" i="2"/>
  <c r="F399" i="2"/>
  <c r="C698" i="2"/>
  <c r="C650" i="2"/>
  <c r="C602" i="2"/>
  <c r="A559" i="2"/>
  <c r="A527" i="2"/>
  <c r="A495" i="2"/>
  <c r="O469" i="2"/>
  <c r="O445" i="2"/>
  <c r="J422" i="2"/>
  <c r="Q412" i="2"/>
  <c r="E403" i="2"/>
  <c r="O393" i="2"/>
  <c r="O385" i="2"/>
  <c r="O377" i="2"/>
  <c r="O369" i="2"/>
  <c r="O361" i="2"/>
  <c r="O353" i="2"/>
  <c r="O345" i="2"/>
  <c r="O337" i="2"/>
  <c r="O329" i="2"/>
  <c r="O321" i="2"/>
  <c r="O313" i="2"/>
  <c r="O305" i="2"/>
  <c r="O297" i="2"/>
  <c r="O289" i="2"/>
  <c r="O281" i="2"/>
  <c r="O273" i="2"/>
  <c r="O265" i="2"/>
  <c r="O257" i="2"/>
  <c r="O249" i="2"/>
  <c r="O241" i="2"/>
  <c r="O233" i="2"/>
  <c r="O225" i="2"/>
  <c r="O217" i="2"/>
  <c r="O209" i="2"/>
  <c r="O201" i="2"/>
  <c r="O193" i="2"/>
  <c r="O185" i="2"/>
  <c r="O177" i="2"/>
  <c r="O169" i="2"/>
  <c r="O161" i="2"/>
  <c r="O153" i="2"/>
  <c r="A797" i="2"/>
  <c r="K673" i="2"/>
  <c r="K625" i="2"/>
  <c r="K577" i="2"/>
  <c r="R542" i="2"/>
  <c r="R510" i="2"/>
  <c r="K481" i="2"/>
  <c r="K457" i="2"/>
  <c r="K433" i="2"/>
  <c r="K417" i="2"/>
  <c r="S407" i="2"/>
  <c r="H398" i="2"/>
  <c r="N389" i="2"/>
  <c r="N381" i="2"/>
  <c r="N373" i="2"/>
  <c r="N365" i="2"/>
  <c r="N357" i="2"/>
  <c r="N349" i="2"/>
  <c r="N341" i="2"/>
  <c r="N333" i="2"/>
  <c r="N325" i="2"/>
  <c r="N317" i="2"/>
  <c r="N309" i="2"/>
  <c r="N301" i="2"/>
  <c r="N293" i="2"/>
  <c r="N285" i="2"/>
  <c r="N277" i="2"/>
  <c r="N269" i="2"/>
  <c r="N261" i="2"/>
  <c r="N253" i="2"/>
  <c r="N245" i="2"/>
  <c r="N237" i="2"/>
  <c r="N229" i="2"/>
  <c r="N221" i="2"/>
  <c r="N213" i="2"/>
  <c r="N205" i="2"/>
  <c r="N197" i="2"/>
  <c r="N189" i="2"/>
  <c r="N181" i="2"/>
  <c r="N173" i="2"/>
  <c r="N165" i="2"/>
  <c r="N157" i="2"/>
  <c r="N149" i="2"/>
  <c r="P558" i="2"/>
  <c r="P526" i="2"/>
  <c r="P494" i="2"/>
  <c r="H422" i="2"/>
  <c r="O412" i="2"/>
  <c r="C403" i="2"/>
  <c r="M393" i="2"/>
  <c r="M385" i="2"/>
  <c r="M377" i="2"/>
  <c r="M369" i="2"/>
  <c r="M361" i="2"/>
  <c r="M353" i="2"/>
  <c r="M345" i="2"/>
  <c r="M337" i="2"/>
  <c r="M329" i="2"/>
  <c r="M321" i="2"/>
  <c r="M313" i="2"/>
  <c r="M305" i="2"/>
  <c r="M297" i="2"/>
  <c r="M289" i="2"/>
  <c r="M281" i="2"/>
  <c r="M273" i="2"/>
  <c r="M265" i="2"/>
  <c r="M257" i="2"/>
  <c r="M249" i="2"/>
  <c r="M241" i="2"/>
  <c r="M233" i="2"/>
  <c r="M225" i="2"/>
  <c r="O1007" i="2"/>
  <c r="A707" i="2"/>
  <c r="E631" i="2"/>
  <c r="E429" i="2"/>
  <c r="Q581" i="2"/>
  <c r="Q439" i="2"/>
  <c r="O685" i="2"/>
  <c r="O621" i="2"/>
  <c r="O573" i="2"/>
  <c r="T690" i="2"/>
  <c r="T642" i="2"/>
  <c r="T594" i="2"/>
  <c r="T546" i="2"/>
  <c r="N517" i="2"/>
  <c r="N507" i="2"/>
  <c r="G498" i="2"/>
  <c r="T488" i="2"/>
  <c r="N479" i="2"/>
  <c r="N469" i="2"/>
  <c r="N459" i="2"/>
  <c r="G450" i="2"/>
  <c r="T440" i="2"/>
  <c r="N431" i="2"/>
  <c r="N423" i="2"/>
  <c r="N415" i="2"/>
  <c r="N407" i="2"/>
  <c r="N399" i="2"/>
  <c r="F926" i="2"/>
  <c r="D813" i="2"/>
  <c r="D765" i="2"/>
  <c r="N71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476" i="2"/>
  <c r="F468" i="2"/>
  <c r="F460" i="2"/>
  <c r="F452" i="2"/>
  <c r="F444" i="2"/>
  <c r="F436" i="2"/>
  <c r="F428" i="2"/>
  <c r="M907" i="2"/>
  <c r="J808" i="2"/>
  <c r="J760" i="2"/>
  <c r="O715" i="2"/>
  <c r="J699" i="2"/>
  <c r="J691" i="2"/>
  <c r="J683" i="2"/>
  <c r="J675" i="2"/>
  <c r="J667" i="2"/>
  <c r="J659" i="2"/>
  <c r="J651" i="2"/>
  <c r="J643" i="2"/>
  <c r="J635" i="2"/>
  <c r="J627" i="2"/>
  <c r="J619" i="2"/>
  <c r="J611" i="2"/>
  <c r="J603" i="2"/>
  <c r="J595" i="2"/>
  <c r="J587" i="2"/>
  <c r="J579" i="2"/>
  <c r="J571" i="2"/>
  <c r="J563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A801" i="2"/>
  <c r="E674" i="2"/>
  <c r="E626" i="2"/>
  <c r="E578" i="2"/>
  <c r="P481" i="2"/>
  <c r="P457" i="2"/>
  <c r="P433" i="2"/>
  <c r="O417" i="2"/>
  <c r="C408" i="2"/>
  <c r="J398" i="2"/>
  <c r="P389" i="2"/>
  <c r="P381" i="2"/>
  <c r="P373" i="2"/>
  <c r="P365" i="2"/>
  <c r="P357" i="2"/>
  <c r="P349" i="2"/>
  <c r="P341" i="2"/>
  <c r="P333" i="2"/>
  <c r="P325" i="2"/>
  <c r="P317" i="2"/>
  <c r="P309" i="2"/>
  <c r="P301" i="2"/>
  <c r="P293" i="2"/>
  <c r="P285" i="2"/>
  <c r="P277" i="2"/>
  <c r="P269" i="2"/>
  <c r="P261" i="2"/>
  <c r="P253" i="2"/>
  <c r="P245" i="2"/>
  <c r="P237" i="2"/>
  <c r="P229" i="2"/>
  <c r="P221" i="2"/>
  <c r="P213" i="2"/>
  <c r="P205" i="2"/>
  <c r="P197" i="2"/>
  <c r="P189" i="2"/>
  <c r="P181" i="2"/>
  <c r="P173" i="2"/>
  <c r="P165" i="2"/>
  <c r="P157" i="2"/>
  <c r="P149" i="2"/>
  <c r="C694" i="2"/>
  <c r="C646" i="2"/>
  <c r="C598" i="2"/>
  <c r="H556" i="2"/>
  <c r="H524" i="2"/>
  <c r="H492" i="2"/>
  <c r="O467" i="2"/>
  <c r="O443" i="2"/>
  <c r="M421" i="2"/>
  <c r="A412" i="2"/>
  <c r="A393" i="2"/>
  <c r="A385" i="2"/>
  <c r="A377" i="2"/>
  <c r="A369" i="2"/>
  <c r="A361" i="2"/>
  <c r="A353" i="2"/>
  <c r="A345" i="2"/>
  <c r="A337" i="2"/>
  <c r="A329" i="2"/>
  <c r="A321" i="2"/>
  <c r="A313" i="2"/>
  <c r="A305" i="2"/>
  <c r="A297" i="2"/>
  <c r="A289" i="2"/>
  <c r="A281" i="2"/>
  <c r="A273" i="2"/>
  <c r="A265" i="2"/>
  <c r="A257" i="2"/>
  <c r="A249" i="2"/>
  <c r="A241" i="2"/>
  <c r="A233" i="2"/>
  <c r="A225" i="2"/>
  <c r="A217" i="2"/>
  <c r="A209" i="2"/>
  <c r="A201" i="2"/>
  <c r="A193" i="2"/>
  <c r="A185" i="2"/>
  <c r="A177" i="2"/>
  <c r="A169" i="2"/>
  <c r="A161" i="2"/>
  <c r="A153" i="2"/>
  <c r="A773" i="2"/>
  <c r="K669" i="2"/>
  <c r="K621" i="2"/>
  <c r="K573" i="2"/>
  <c r="E540" i="2"/>
  <c r="E508" i="2"/>
  <c r="K479" i="2"/>
  <c r="K455" i="2"/>
  <c r="K431" i="2"/>
  <c r="P416" i="2"/>
  <c r="D407" i="2"/>
  <c r="K397" i="2"/>
  <c r="T388" i="2"/>
  <c r="T380" i="2"/>
  <c r="T372" i="2"/>
  <c r="T364" i="2"/>
  <c r="T356" i="2"/>
  <c r="R609" i="2"/>
  <c r="D569" i="2"/>
  <c r="J430" i="2"/>
  <c r="O677" i="2"/>
  <c r="A619" i="2"/>
  <c r="A571" i="2"/>
  <c r="G688" i="2"/>
  <c r="G640" i="2"/>
  <c r="G592" i="2"/>
  <c r="G544" i="2"/>
  <c r="T516" i="2"/>
  <c r="T506" i="2"/>
  <c r="N497" i="2"/>
  <c r="G488" i="2"/>
  <c r="G478" i="2"/>
  <c r="T468" i="2"/>
  <c r="T458" i="2"/>
  <c r="N449" i="2"/>
  <c r="G440" i="2"/>
  <c r="T430" i="2"/>
  <c r="T422" i="2"/>
  <c r="T414" i="2"/>
  <c r="T406" i="2"/>
  <c r="T398" i="2"/>
  <c r="F910" i="2"/>
  <c r="D809" i="2"/>
  <c r="D761" i="2"/>
  <c r="T715" i="2"/>
  <c r="M699" i="2"/>
  <c r="M691" i="2"/>
  <c r="M683" i="2"/>
  <c r="M675" i="2"/>
  <c r="M667" i="2"/>
  <c r="M659" i="2"/>
  <c r="M651" i="2"/>
  <c r="M643" i="2"/>
  <c r="M635" i="2"/>
  <c r="M627" i="2"/>
  <c r="M619" i="2"/>
  <c r="M611" i="2"/>
  <c r="M603" i="2"/>
  <c r="M595" i="2"/>
  <c r="M587" i="2"/>
  <c r="M579" i="2"/>
  <c r="M571" i="2"/>
  <c r="M563" i="2"/>
  <c r="M555" i="2"/>
  <c r="M547" i="2"/>
  <c r="M539" i="2"/>
  <c r="M531" i="2"/>
  <c r="M523" i="2"/>
  <c r="M515" i="2"/>
  <c r="M507" i="2"/>
  <c r="M499" i="2"/>
  <c r="M491" i="2"/>
  <c r="M483" i="2"/>
  <c r="M475" i="2"/>
  <c r="M467" i="2"/>
  <c r="M459" i="2"/>
  <c r="M451" i="2"/>
  <c r="M443" i="2"/>
  <c r="M435" i="2"/>
  <c r="M427" i="2"/>
  <c r="M891" i="2"/>
  <c r="J804" i="2"/>
  <c r="J756" i="2"/>
  <c r="A713" i="2"/>
  <c r="Q698" i="2"/>
  <c r="Q690" i="2"/>
  <c r="Q682" i="2"/>
  <c r="Q674" i="2"/>
  <c r="Q666" i="2"/>
  <c r="Q658" i="2"/>
  <c r="Q650" i="2"/>
  <c r="Q642" i="2"/>
  <c r="Q634" i="2"/>
  <c r="Q626" i="2"/>
  <c r="Q618" i="2"/>
  <c r="Q610" i="2"/>
  <c r="Q602" i="2"/>
  <c r="Q594" i="2"/>
  <c r="Q586" i="2"/>
  <c r="Q578" i="2"/>
  <c r="Q570" i="2"/>
  <c r="Q562" i="2"/>
  <c r="Q554" i="2"/>
  <c r="Q546" i="2"/>
  <c r="Q538" i="2"/>
  <c r="Q530" i="2"/>
  <c r="Q522" i="2"/>
  <c r="Q514" i="2"/>
  <c r="Q506" i="2"/>
  <c r="Q498" i="2"/>
  <c r="Q490" i="2"/>
  <c r="Q482" i="2"/>
  <c r="Q474" i="2"/>
  <c r="Q466" i="2"/>
  <c r="Q458" i="2"/>
  <c r="Q450" i="2"/>
  <c r="Q442" i="2"/>
  <c r="Q434" i="2"/>
  <c r="Q426" i="2"/>
  <c r="A777" i="2"/>
  <c r="E670" i="2"/>
  <c r="E622" i="2"/>
  <c r="E574" i="2"/>
  <c r="P540" i="2"/>
  <c r="P508" i="2"/>
  <c r="P479" i="2"/>
  <c r="P455" i="2"/>
  <c r="P431" i="2"/>
  <c r="R416" i="2"/>
  <c r="F407" i="2"/>
  <c r="O397" i="2"/>
  <c r="C389" i="2"/>
  <c r="C381" i="2"/>
  <c r="C373" i="2"/>
  <c r="C365" i="2"/>
  <c r="C357" i="2"/>
  <c r="C349" i="2"/>
  <c r="C341" i="2"/>
  <c r="C333" i="2"/>
  <c r="C325" i="2"/>
  <c r="C317" i="2"/>
  <c r="C309" i="2"/>
  <c r="C301" i="2"/>
  <c r="C293" i="2"/>
  <c r="C285" i="2"/>
  <c r="C277" i="2"/>
  <c r="C269" i="2"/>
  <c r="C261" i="2"/>
  <c r="C253" i="2"/>
  <c r="C245" i="2"/>
  <c r="C237" i="2"/>
  <c r="C229" i="2"/>
  <c r="C221" i="2"/>
  <c r="C213" i="2"/>
  <c r="C205" i="2"/>
  <c r="C197" i="2"/>
  <c r="C189" i="2"/>
  <c r="C181" i="2"/>
  <c r="C173" i="2"/>
  <c r="C165" i="2"/>
  <c r="C157" i="2"/>
  <c r="C149" i="2"/>
  <c r="C690" i="2"/>
  <c r="C642" i="2"/>
  <c r="C594" i="2"/>
  <c r="O553" i="2"/>
  <c r="O521" i="2"/>
  <c r="O489" i="2"/>
  <c r="O465" i="2"/>
  <c r="O441" i="2"/>
  <c r="Q420" i="2"/>
  <c r="E411" i="2"/>
  <c r="M401" i="2"/>
  <c r="H392" i="2"/>
  <c r="H384" i="2"/>
  <c r="H376" i="2"/>
  <c r="H368" i="2"/>
  <c r="H360" i="2"/>
  <c r="H352" i="2"/>
  <c r="H344" i="2"/>
  <c r="H336" i="2"/>
  <c r="H328" i="2"/>
  <c r="H320" i="2"/>
  <c r="H312" i="2"/>
  <c r="H304" i="2"/>
  <c r="H296" i="2"/>
  <c r="H288" i="2"/>
  <c r="H280" i="2"/>
  <c r="H272" i="2"/>
  <c r="H264" i="2"/>
  <c r="H256" i="2"/>
  <c r="H248" i="2"/>
  <c r="H240" i="2"/>
  <c r="H232" i="2"/>
  <c r="H224" i="2"/>
  <c r="H216" i="2"/>
  <c r="H208" i="2"/>
  <c r="H200" i="2"/>
  <c r="H192" i="2"/>
  <c r="H184" i="2"/>
  <c r="H176" i="2"/>
  <c r="H168" i="2"/>
  <c r="H160" i="2"/>
  <c r="H152" i="2"/>
  <c r="A749" i="2"/>
  <c r="K665" i="2"/>
  <c r="K617" i="2"/>
  <c r="K569" i="2"/>
  <c r="K537" i="2"/>
  <c r="K505" i="2"/>
  <c r="K477" i="2"/>
  <c r="K453" i="2"/>
  <c r="K429" i="2"/>
  <c r="S415" i="2"/>
  <c r="H406" i="2"/>
  <c r="P396" i="2"/>
  <c r="G388" i="2"/>
  <c r="G380" i="2"/>
  <c r="G372" i="2"/>
  <c r="G364" i="2"/>
  <c r="G356" i="2"/>
  <c r="G348" i="2"/>
  <c r="G340" i="2"/>
  <c r="G332" i="2"/>
  <c r="G324" i="2"/>
  <c r="G316" i="2"/>
  <c r="G308" i="2"/>
  <c r="G300" i="2"/>
  <c r="G292" i="2"/>
  <c r="G284" i="2"/>
  <c r="G276" i="2"/>
  <c r="G268" i="2"/>
  <c r="G260" i="2"/>
  <c r="G252" i="2"/>
  <c r="G244" i="2"/>
  <c r="G236" i="2"/>
  <c r="G228" i="2"/>
  <c r="G220" i="2"/>
  <c r="G212" i="2"/>
  <c r="G204" i="2"/>
  <c r="G196" i="2"/>
  <c r="G188" i="2"/>
  <c r="G180" i="2"/>
  <c r="G172" i="2"/>
  <c r="G164" i="2"/>
  <c r="G156" i="2"/>
  <c r="G148" i="2"/>
  <c r="O420" i="2"/>
  <c r="C411" i="2"/>
  <c r="J401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80" i="2"/>
  <c r="F272" i="2"/>
  <c r="F264" i="2"/>
  <c r="F256" i="2"/>
  <c r="F248" i="2"/>
  <c r="F240" i="2"/>
  <c r="F232" i="2"/>
  <c r="F224" i="2"/>
  <c r="F216" i="2"/>
  <c r="J1049" i="2"/>
  <c r="O684" i="2"/>
  <c r="K592" i="2"/>
  <c r="H838" i="2"/>
  <c r="Q555" i="2"/>
  <c r="M931" i="2"/>
  <c r="C665" i="2"/>
  <c r="P645" i="2"/>
  <c r="C559" i="2"/>
  <c r="O669" i="2"/>
  <c r="O613" i="2"/>
  <c r="H896" i="2"/>
  <c r="T682" i="2"/>
  <c r="T634" i="2"/>
  <c r="T586" i="2"/>
  <c r="T538" i="2"/>
  <c r="N515" i="2"/>
  <c r="G506" i="2"/>
  <c r="T496" i="2"/>
  <c r="N487" i="2"/>
  <c r="N477" i="2"/>
  <c r="N467" i="2"/>
  <c r="G458" i="2"/>
  <c r="T448" i="2"/>
  <c r="N439" i="2"/>
  <c r="G430" i="2"/>
  <c r="G422" i="2"/>
  <c r="G414" i="2"/>
  <c r="G406" i="2"/>
  <c r="G398" i="2"/>
  <c r="F894" i="2"/>
  <c r="D805" i="2"/>
  <c r="D757" i="2"/>
  <c r="G713" i="2"/>
  <c r="S698" i="2"/>
  <c r="S690" i="2"/>
  <c r="S682" i="2"/>
  <c r="S674" i="2"/>
  <c r="S666" i="2"/>
  <c r="S658" i="2"/>
  <c r="S650" i="2"/>
  <c r="S642" i="2"/>
  <c r="S634" i="2"/>
  <c r="S626" i="2"/>
  <c r="S618" i="2"/>
  <c r="S610" i="2"/>
  <c r="S602" i="2"/>
  <c r="S594" i="2"/>
  <c r="S586" i="2"/>
  <c r="S578" i="2"/>
  <c r="S570" i="2"/>
  <c r="S562" i="2"/>
  <c r="S554" i="2"/>
  <c r="S546" i="2"/>
  <c r="S538" i="2"/>
  <c r="S530" i="2"/>
  <c r="S522" i="2"/>
  <c r="S514" i="2"/>
  <c r="S506" i="2"/>
  <c r="S498" i="2"/>
  <c r="S490" i="2"/>
  <c r="S482" i="2"/>
  <c r="S474" i="2"/>
  <c r="S466" i="2"/>
  <c r="S458" i="2"/>
  <c r="S450" i="2"/>
  <c r="S442" i="2"/>
  <c r="S434" i="2"/>
  <c r="S426" i="2"/>
  <c r="M875" i="2"/>
  <c r="J800" i="2"/>
  <c r="J752" i="2"/>
  <c r="H710" i="2"/>
  <c r="D698" i="2"/>
  <c r="D690" i="2"/>
  <c r="D682" i="2"/>
  <c r="D674" i="2"/>
  <c r="D666" i="2"/>
  <c r="D658" i="2"/>
  <c r="D650" i="2"/>
  <c r="D642" i="2"/>
  <c r="D634" i="2"/>
  <c r="D626" i="2"/>
  <c r="D618" i="2"/>
  <c r="D610" i="2"/>
  <c r="D602" i="2"/>
  <c r="D594" i="2"/>
  <c r="D586" i="2"/>
  <c r="D578" i="2"/>
  <c r="D570" i="2"/>
  <c r="D562" i="2"/>
  <c r="D554" i="2"/>
  <c r="D546" i="2"/>
  <c r="D538" i="2"/>
  <c r="D530" i="2"/>
  <c r="D522" i="2"/>
  <c r="D514" i="2"/>
  <c r="D506" i="2"/>
  <c r="D498" i="2"/>
  <c r="D490" i="2"/>
  <c r="D482" i="2"/>
  <c r="D474" i="2"/>
  <c r="D466" i="2"/>
  <c r="D458" i="2"/>
  <c r="D450" i="2"/>
  <c r="D442" i="2"/>
  <c r="D434" i="2"/>
  <c r="D426" i="2"/>
  <c r="A753" i="2"/>
  <c r="E666" i="2"/>
  <c r="E618" i="2"/>
  <c r="E570" i="2"/>
  <c r="C538" i="2"/>
  <c r="C506" i="2"/>
  <c r="P477" i="2"/>
  <c r="P453" i="2"/>
  <c r="T1163" i="2"/>
  <c r="H573" i="2"/>
  <c r="F665" i="2"/>
  <c r="E573" i="2"/>
  <c r="J738" i="2"/>
  <c r="Q543" i="2"/>
  <c r="H802" i="2"/>
  <c r="O661" i="2"/>
  <c r="A611" i="2"/>
  <c r="F844" i="2"/>
  <c r="G680" i="2"/>
  <c r="G632" i="2"/>
  <c r="G584" i="2"/>
  <c r="G536" i="2"/>
  <c r="T514" i="2"/>
  <c r="N505" i="2"/>
  <c r="G496" i="2"/>
  <c r="G486" i="2"/>
  <c r="T476" i="2"/>
  <c r="T466" i="2"/>
  <c r="N457" i="2"/>
  <c r="G448" i="2"/>
  <c r="G438" i="2"/>
  <c r="N429" i="2"/>
  <c r="N421" i="2"/>
  <c r="N413" i="2"/>
  <c r="N405" i="2"/>
  <c r="N397" i="2"/>
  <c r="F878" i="2"/>
  <c r="D801" i="2"/>
  <c r="D753" i="2"/>
  <c r="N710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474" i="2"/>
  <c r="F466" i="2"/>
  <c r="F458" i="2"/>
  <c r="F450" i="2"/>
  <c r="F442" i="2"/>
  <c r="F434" i="2"/>
  <c r="F426" i="2"/>
  <c r="J796" i="2"/>
  <c r="J748" i="2"/>
  <c r="O707" i="2"/>
  <c r="J697" i="2"/>
  <c r="J689" i="2"/>
  <c r="J681" i="2"/>
  <c r="J673" i="2"/>
  <c r="J665" i="2"/>
  <c r="J657" i="2"/>
  <c r="J649" i="2"/>
  <c r="J641" i="2"/>
  <c r="J633" i="2"/>
  <c r="J625" i="2"/>
  <c r="J617" i="2"/>
  <c r="J609" i="2"/>
  <c r="J601" i="2"/>
  <c r="J593" i="2"/>
  <c r="J585" i="2"/>
  <c r="J577" i="2"/>
  <c r="J569" i="2"/>
  <c r="J561" i="2"/>
  <c r="J553" i="2"/>
  <c r="J545" i="2"/>
  <c r="J537" i="2"/>
  <c r="J529" i="2"/>
  <c r="J521" i="2"/>
  <c r="J513" i="2"/>
  <c r="J505" i="2"/>
  <c r="J497" i="2"/>
  <c r="J489" i="2"/>
  <c r="J481" i="2"/>
  <c r="J473" i="2"/>
  <c r="J465" i="2"/>
  <c r="J457" i="2"/>
  <c r="J449" i="2"/>
  <c r="J441" i="2"/>
  <c r="J433" i="2"/>
  <c r="J425" i="2"/>
  <c r="A729" i="2"/>
  <c r="E662" i="2"/>
  <c r="E614" i="2"/>
  <c r="P475" i="2"/>
  <c r="P451" i="2"/>
  <c r="P427" i="2"/>
  <c r="F415" i="2"/>
  <c r="O405" i="2"/>
  <c r="C396" i="2"/>
  <c r="P387" i="2"/>
  <c r="P379" i="2"/>
  <c r="P371" i="2"/>
  <c r="P363" i="2"/>
  <c r="P355" i="2"/>
  <c r="P347" i="2"/>
  <c r="P339" i="2"/>
  <c r="P331" i="2"/>
  <c r="P323" i="2"/>
  <c r="P315" i="2"/>
  <c r="P307" i="2"/>
  <c r="P299" i="2"/>
  <c r="P291" i="2"/>
  <c r="P283" i="2"/>
  <c r="P275" i="2"/>
  <c r="P267" i="2"/>
  <c r="P259" i="2"/>
  <c r="P251" i="2"/>
  <c r="P243" i="2"/>
  <c r="P235" i="2"/>
  <c r="P227" i="2"/>
  <c r="P219" i="2"/>
  <c r="P211" i="2"/>
  <c r="P203" i="2"/>
  <c r="P195" i="2"/>
  <c r="P187" i="2"/>
  <c r="P179" i="2"/>
  <c r="P171" i="2"/>
  <c r="P163" i="2"/>
  <c r="P155" i="2"/>
  <c r="A875" i="2"/>
  <c r="C682" i="2"/>
  <c r="C634" i="2"/>
  <c r="C586" i="2"/>
  <c r="H548" i="2"/>
  <c r="H516" i="2"/>
  <c r="O485" i="2"/>
  <c r="O461" i="2"/>
  <c r="O437" i="2"/>
  <c r="E419" i="2"/>
  <c r="M409" i="2"/>
  <c r="A400" i="2"/>
  <c r="A391" i="2"/>
  <c r="A383" i="2"/>
  <c r="A375" i="2"/>
  <c r="A367" i="2"/>
  <c r="A359" i="2"/>
  <c r="A351" i="2"/>
  <c r="A343" i="2"/>
  <c r="A335" i="2"/>
  <c r="A327" i="2"/>
  <c r="A319" i="2"/>
  <c r="A311" i="2"/>
  <c r="A303" i="2"/>
  <c r="A295" i="2"/>
  <c r="A287" i="2"/>
  <c r="A279" i="2"/>
  <c r="A271" i="2"/>
  <c r="A263" i="2"/>
  <c r="A255" i="2"/>
  <c r="A247" i="2"/>
  <c r="A239" i="2"/>
  <c r="A231" i="2"/>
  <c r="A223" i="2"/>
  <c r="A215" i="2"/>
  <c r="A207" i="2"/>
  <c r="A199" i="2"/>
  <c r="A191" i="2"/>
  <c r="A183" i="2"/>
  <c r="A175" i="2"/>
  <c r="A167" i="2"/>
  <c r="A159" i="2"/>
  <c r="A151" i="2"/>
  <c r="Q707" i="2"/>
  <c r="K657" i="2"/>
  <c r="K609" i="2"/>
  <c r="E564" i="2"/>
  <c r="E532" i="2"/>
  <c r="E500" i="2"/>
  <c r="K473" i="2"/>
  <c r="K449" i="2"/>
  <c r="K425" i="2"/>
  <c r="H414" i="2"/>
  <c r="P404" i="2"/>
  <c r="D395" i="2"/>
  <c r="T386" i="2"/>
  <c r="T378" i="2"/>
  <c r="T370" i="2"/>
  <c r="T362" i="2"/>
  <c r="T354" i="2"/>
  <c r="T346" i="2"/>
  <c r="T338" i="2"/>
  <c r="T330" i="2"/>
  <c r="T322" i="2"/>
  <c r="T314" i="2"/>
  <c r="T306" i="2"/>
  <c r="T298" i="2"/>
  <c r="T290" i="2"/>
  <c r="T282" i="2"/>
  <c r="T274" i="2"/>
  <c r="T266" i="2"/>
  <c r="T258" i="2"/>
  <c r="T250" i="2"/>
  <c r="T242" i="2"/>
  <c r="T234" i="2"/>
  <c r="T226" i="2"/>
  <c r="T218" i="2"/>
  <c r="T210" i="2"/>
  <c r="T202" i="2"/>
  <c r="T194" i="2"/>
  <c r="T186" i="2"/>
  <c r="T178" i="2"/>
  <c r="T170" i="2"/>
  <c r="T162" i="2"/>
  <c r="T154" i="2"/>
  <c r="F860" i="2"/>
  <c r="C548" i="2"/>
  <c r="C516" i="2"/>
  <c r="C419" i="2"/>
  <c r="J409" i="2"/>
  <c r="R399" i="2"/>
  <c r="S390" i="2"/>
  <c r="S382" i="2"/>
  <c r="S374" i="2"/>
  <c r="S366" i="2"/>
  <c r="S358" i="2"/>
  <c r="S350" i="2"/>
  <c r="S342" i="2"/>
  <c r="S334" i="2"/>
  <c r="S326" i="2"/>
  <c r="S318" i="2"/>
  <c r="S310" i="2"/>
  <c r="S302" i="2"/>
  <c r="S294" i="2"/>
  <c r="S286" i="2"/>
  <c r="S278" i="2"/>
  <c r="S270" i="2"/>
  <c r="S262" i="2"/>
  <c r="S254" i="2"/>
  <c r="S246" i="2"/>
  <c r="S238" i="2"/>
  <c r="S230" i="2"/>
  <c r="S222" i="2"/>
  <c r="S214" i="2"/>
  <c r="S206" i="2"/>
  <c r="P899" i="2"/>
  <c r="H477" i="2"/>
  <c r="F617" i="2"/>
  <c r="E557" i="2"/>
  <c r="Q695" i="2"/>
  <c r="Q531" i="2"/>
  <c r="H746" i="2"/>
  <c r="P978" i="2"/>
  <c r="O653" i="2"/>
  <c r="O605" i="2"/>
  <c r="O805" i="2"/>
  <c r="T674" i="2"/>
  <c r="T626" i="2"/>
  <c r="T578" i="2"/>
  <c r="T530" i="2"/>
  <c r="G514" i="2"/>
  <c r="T504" i="2"/>
  <c r="N495" i="2"/>
  <c r="N485" i="2"/>
  <c r="N475" i="2"/>
  <c r="G466" i="2"/>
  <c r="T456" i="2"/>
  <c r="N447" i="2"/>
  <c r="N437" i="2"/>
  <c r="T428" i="2"/>
  <c r="T420" i="2"/>
  <c r="T412" i="2"/>
  <c r="T404" i="2"/>
  <c r="T396" i="2"/>
  <c r="D797" i="2"/>
  <c r="D749" i="2"/>
  <c r="T707" i="2"/>
  <c r="M697" i="2"/>
  <c r="M689" i="2"/>
  <c r="M681" i="2"/>
  <c r="M673" i="2"/>
  <c r="M665" i="2"/>
  <c r="M657" i="2"/>
  <c r="M649" i="2"/>
  <c r="M641" i="2"/>
  <c r="M633" i="2"/>
  <c r="M625" i="2"/>
  <c r="M617" i="2"/>
  <c r="M609" i="2"/>
  <c r="M601" i="2"/>
  <c r="M593" i="2"/>
  <c r="M585" i="2"/>
  <c r="M577" i="2"/>
  <c r="M569" i="2"/>
  <c r="M561" i="2"/>
  <c r="M553" i="2"/>
  <c r="M545" i="2"/>
  <c r="M537" i="2"/>
  <c r="M529" i="2"/>
  <c r="M521" i="2"/>
  <c r="M513" i="2"/>
  <c r="M505" i="2"/>
  <c r="M497" i="2"/>
  <c r="M489" i="2"/>
  <c r="M481" i="2"/>
  <c r="M473" i="2"/>
  <c r="M465" i="2"/>
  <c r="M457" i="2"/>
  <c r="M449" i="2"/>
  <c r="M441" i="2"/>
  <c r="M433" i="2"/>
  <c r="M425" i="2"/>
  <c r="S850" i="2"/>
  <c r="J792" i="2"/>
  <c r="J744" i="2"/>
  <c r="Q705" i="2"/>
  <c r="Q696" i="2"/>
  <c r="Q688" i="2"/>
  <c r="Q680" i="2"/>
  <c r="Q672" i="2"/>
  <c r="Q664" i="2"/>
  <c r="Q656" i="2"/>
  <c r="Q648" i="2"/>
  <c r="Q640" i="2"/>
  <c r="Q632" i="2"/>
  <c r="Q624" i="2"/>
  <c r="Q616" i="2"/>
  <c r="Q608" i="2"/>
  <c r="Q600" i="2"/>
  <c r="Q592" i="2"/>
  <c r="Q584" i="2"/>
  <c r="Q576" i="2"/>
  <c r="Q568" i="2"/>
  <c r="Q560" i="2"/>
  <c r="Q552" i="2"/>
  <c r="Q544" i="2"/>
  <c r="Q536" i="2"/>
  <c r="Q528" i="2"/>
  <c r="Q520" i="2"/>
  <c r="Q512" i="2"/>
  <c r="Q504" i="2"/>
  <c r="C741" i="2"/>
  <c r="P719" i="2"/>
  <c r="G693" i="2"/>
  <c r="F569" i="2"/>
  <c r="E541" i="2"/>
  <c r="Q679" i="2"/>
  <c r="Q519" i="2"/>
  <c r="F703" i="2"/>
  <c r="C617" i="2"/>
  <c r="P597" i="2"/>
  <c r="A651" i="2"/>
  <c r="A603" i="2"/>
  <c r="O789" i="2"/>
  <c r="G672" i="2"/>
  <c r="G624" i="2"/>
  <c r="G576" i="2"/>
  <c r="G528" i="2"/>
  <c r="N513" i="2"/>
  <c r="G504" i="2"/>
  <c r="G494" i="2"/>
  <c r="T484" i="2"/>
  <c r="T474" i="2"/>
  <c r="N465" i="2"/>
  <c r="G456" i="2"/>
  <c r="G446" i="2"/>
  <c r="T436" i="2"/>
  <c r="G428" i="2"/>
  <c r="G420" i="2"/>
  <c r="G412" i="2"/>
  <c r="G404" i="2"/>
  <c r="G396" i="2"/>
  <c r="D793" i="2"/>
  <c r="D745" i="2"/>
  <c r="T705" i="2"/>
  <c r="S696" i="2"/>
  <c r="S688" i="2"/>
  <c r="S680" i="2"/>
  <c r="S672" i="2"/>
  <c r="S664" i="2"/>
  <c r="S656" i="2"/>
  <c r="S648" i="2"/>
  <c r="S640" i="2"/>
  <c r="S632" i="2"/>
  <c r="S624" i="2"/>
  <c r="S616" i="2"/>
  <c r="S608" i="2"/>
  <c r="S600" i="2"/>
  <c r="S592" i="2"/>
  <c r="S584" i="2"/>
  <c r="S576" i="2"/>
  <c r="S568" i="2"/>
  <c r="S560" i="2"/>
  <c r="S552" i="2"/>
  <c r="S544" i="2"/>
  <c r="S536" i="2"/>
  <c r="S528" i="2"/>
  <c r="S520" i="2"/>
  <c r="S512" i="2"/>
  <c r="S504" i="2"/>
  <c r="S496" i="2"/>
  <c r="S488" i="2"/>
  <c r="S480" i="2"/>
  <c r="S472" i="2"/>
  <c r="S464" i="2"/>
  <c r="S456" i="2"/>
  <c r="S448" i="2"/>
  <c r="S440" i="2"/>
  <c r="S432" i="2"/>
  <c r="S424" i="2"/>
  <c r="M841" i="2"/>
  <c r="J788" i="2"/>
  <c r="J740" i="2"/>
  <c r="O704" i="2"/>
  <c r="D696" i="2"/>
  <c r="D688" i="2"/>
  <c r="D680" i="2"/>
  <c r="D672" i="2"/>
  <c r="D664" i="2"/>
  <c r="D656" i="2"/>
  <c r="D648" i="2"/>
  <c r="D640" i="2"/>
  <c r="D632" i="2"/>
  <c r="D624" i="2"/>
  <c r="D616" i="2"/>
  <c r="D608" i="2"/>
  <c r="D600" i="2"/>
  <c r="D592" i="2"/>
  <c r="D584" i="2"/>
  <c r="D576" i="2"/>
  <c r="D568" i="2"/>
  <c r="D560" i="2"/>
  <c r="D552" i="2"/>
  <c r="D544" i="2"/>
  <c r="D536" i="2"/>
  <c r="D528" i="2"/>
  <c r="D520" i="2"/>
  <c r="D512" i="2"/>
  <c r="D504" i="2"/>
  <c r="D496" i="2"/>
  <c r="D488" i="2"/>
  <c r="D480" i="2"/>
  <c r="D472" i="2"/>
  <c r="D464" i="2"/>
  <c r="D456" i="2"/>
  <c r="D448" i="2"/>
  <c r="D440" i="2"/>
  <c r="D432" i="2"/>
  <c r="D424" i="2"/>
  <c r="E702" i="2"/>
  <c r="E654" i="2"/>
  <c r="E606" i="2"/>
  <c r="C562" i="2"/>
  <c r="C530" i="2"/>
  <c r="C498" i="2"/>
  <c r="P471" i="2"/>
  <c r="P447" i="2"/>
  <c r="P423" i="2"/>
  <c r="O413" i="2"/>
  <c r="C404" i="2"/>
  <c r="J394" i="2"/>
  <c r="H800" i="2"/>
  <c r="C674" i="2"/>
  <c r="C626" i="2"/>
  <c r="C578" i="2"/>
  <c r="A543" i="2"/>
  <c r="A511" i="2"/>
  <c r="O481" i="2"/>
  <c r="O457" i="2"/>
  <c r="O433" i="2"/>
  <c r="M417" i="2"/>
  <c r="A408" i="2"/>
  <c r="O389" i="2"/>
  <c r="O381" i="2"/>
  <c r="O373" i="2"/>
  <c r="O365" i="2"/>
  <c r="O357" i="2"/>
  <c r="O349" i="2"/>
  <c r="O341" i="2"/>
  <c r="O333" i="2"/>
  <c r="O325" i="2"/>
  <c r="O317" i="2"/>
  <c r="O309" i="2"/>
  <c r="O301" i="2"/>
  <c r="O293" i="2"/>
  <c r="O285" i="2"/>
  <c r="O277" i="2"/>
  <c r="O269" i="2"/>
  <c r="O261" i="2"/>
  <c r="O253" i="2"/>
  <c r="O245" i="2"/>
  <c r="O237" i="2"/>
  <c r="O229" i="2"/>
  <c r="O221" i="2"/>
  <c r="O213" i="2"/>
  <c r="O205" i="2"/>
  <c r="O197" i="2"/>
  <c r="O189" i="2"/>
  <c r="O181" i="2"/>
  <c r="O173" i="2"/>
  <c r="O165" i="2"/>
  <c r="O157" i="2"/>
  <c r="O149" i="2"/>
  <c r="K697" i="2"/>
  <c r="K649" i="2"/>
  <c r="K601" i="2"/>
  <c r="R558" i="2"/>
  <c r="R526" i="2"/>
  <c r="R494" i="2"/>
  <c r="K469" i="2"/>
  <c r="K445" i="2"/>
  <c r="P412" i="2"/>
  <c r="D403" i="2"/>
  <c r="N393" i="2"/>
  <c r="N385" i="2"/>
  <c r="N377" i="2"/>
  <c r="N369" i="2"/>
  <c r="N361" i="2"/>
  <c r="N353" i="2"/>
  <c r="N345" i="2"/>
  <c r="N337" i="2"/>
  <c r="N329" i="2"/>
  <c r="N321" i="2"/>
  <c r="N313" i="2"/>
  <c r="N305" i="2"/>
  <c r="N297" i="2"/>
  <c r="N289" i="2"/>
  <c r="N281" i="2"/>
  <c r="N273" i="2"/>
  <c r="N265" i="2"/>
  <c r="N257" i="2"/>
  <c r="N249" i="2"/>
  <c r="N241" i="2"/>
  <c r="N233" i="2"/>
  <c r="N225" i="2"/>
  <c r="N217" i="2"/>
  <c r="N209" i="2"/>
  <c r="N201" i="2"/>
  <c r="N193" i="2"/>
  <c r="N185" i="2"/>
  <c r="N177" i="2"/>
  <c r="N169" i="2"/>
  <c r="N161" i="2"/>
  <c r="N153" i="2"/>
  <c r="H796" i="2"/>
  <c r="P542" i="2"/>
  <c r="P510" i="2"/>
  <c r="J417" i="2"/>
  <c r="R407" i="2"/>
  <c r="F398" i="2"/>
  <c r="M389" i="2"/>
  <c r="M381" i="2"/>
  <c r="G597" i="2"/>
  <c r="F521" i="2"/>
  <c r="E525" i="2"/>
  <c r="D665" i="2"/>
  <c r="Q507" i="2"/>
  <c r="O645" i="2"/>
  <c r="O597" i="2"/>
  <c r="O757" i="2"/>
  <c r="T666" i="2"/>
  <c r="T618" i="2"/>
  <c r="T570" i="2"/>
  <c r="T522" i="2"/>
  <c r="T512" i="2"/>
  <c r="N503" i="2"/>
  <c r="N493" i="2"/>
  <c r="N483" i="2"/>
  <c r="G474" i="2"/>
  <c r="T464" i="2"/>
  <c r="N455" i="2"/>
  <c r="N445" i="2"/>
  <c r="N435" i="2"/>
  <c r="N427" i="2"/>
  <c r="N419" i="2"/>
  <c r="N411" i="2"/>
  <c r="N403" i="2"/>
  <c r="N395" i="2"/>
  <c r="S842" i="2"/>
  <c r="D789" i="2"/>
  <c r="D741" i="2"/>
  <c r="Q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472" i="2"/>
  <c r="F464" i="2"/>
  <c r="F456" i="2"/>
  <c r="F448" i="2"/>
  <c r="F440" i="2"/>
  <c r="F432" i="2"/>
  <c r="F424" i="2"/>
  <c r="F835" i="2"/>
  <c r="J784" i="2"/>
  <c r="J736" i="2"/>
  <c r="P703" i="2"/>
  <c r="J695" i="2"/>
  <c r="J687" i="2"/>
  <c r="J679" i="2"/>
  <c r="J671" i="2"/>
  <c r="J663" i="2"/>
  <c r="J655" i="2"/>
  <c r="J647" i="2"/>
  <c r="J639" i="2"/>
  <c r="J631" i="2"/>
  <c r="J623" i="2"/>
  <c r="J615" i="2"/>
  <c r="J607" i="2"/>
  <c r="J599" i="2"/>
  <c r="J591" i="2"/>
  <c r="J583" i="2"/>
  <c r="J575" i="2"/>
  <c r="J567" i="2"/>
  <c r="J559" i="2"/>
  <c r="J551" i="2"/>
  <c r="J543" i="2"/>
  <c r="J535" i="2"/>
  <c r="J527" i="2"/>
  <c r="J519" i="2"/>
  <c r="J511" i="2"/>
  <c r="J503" i="2"/>
  <c r="J495" i="2"/>
  <c r="J487" i="2"/>
  <c r="J479" i="2"/>
  <c r="J471" i="2"/>
  <c r="J463" i="2"/>
  <c r="J455" i="2"/>
  <c r="J447" i="2"/>
  <c r="J439" i="2"/>
  <c r="J431" i="2"/>
  <c r="J423" i="2"/>
  <c r="E698" i="2"/>
  <c r="E650" i="2"/>
  <c r="E602" i="2"/>
  <c r="P469" i="2"/>
  <c r="P445" i="2"/>
  <c r="M422" i="2"/>
  <c r="R412" i="2"/>
  <c r="F403" i="2"/>
  <c r="P393" i="2"/>
  <c r="P385" i="2"/>
  <c r="P377" i="2"/>
  <c r="P369" i="2"/>
  <c r="P361" i="2"/>
  <c r="P353" i="2"/>
  <c r="P345" i="2"/>
  <c r="P337" i="2"/>
  <c r="P329" i="2"/>
  <c r="P321" i="2"/>
  <c r="P313" i="2"/>
  <c r="P305" i="2"/>
  <c r="P297" i="2"/>
  <c r="P289" i="2"/>
  <c r="P281" i="2"/>
  <c r="P273" i="2"/>
  <c r="P265" i="2"/>
  <c r="P257" i="2"/>
  <c r="P249" i="2"/>
  <c r="P241" i="2"/>
  <c r="P233" i="2"/>
  <c r="P225" i="2"/>
  <c r="P217" i="2"/>
  <c r="P209" i="2"/>
  <c r="P201" i="2"/>
  <c r="P193" i="2"/>
  <c r="P185" i="2"/>
  <c r="P177" i="2"/>
  <c r="P169" i="2"/>
  <c r="P161" i="2"/>
  <c r="P153" i="2"/>
  <c r="H776" i="2"/>
  <c r="C670" i="2"/>
  <c r="C622" i="2"/>
  <c r="C574" i="2"/>
  <c r="H540" i="2"/>
  <c r="H508" i="2"/>
  <c r="O479" i="2"/>
  <c r="O455" i="2"/>
  <c r="O431" i="2"/>
  <c r="Q416" i="2"/>
  <c r="E407" i="2"/>
  <c r="M397" i="2"/>
  <c r="A389" i="2"/>
  <c r="A381" i="2"/>
  <c r="A373" i="2"/>
  <c r="A365" i="2"/>
  <c r="A357" i="2"/>
  <c r="A349" i="2"/>
  <c r="A341" i="2"/>
  <c r="A333" i="2"/>
  <c r="A325" i="2"/>
  <c r="A317" i="2"/>
  <c r="A309" i="2"/>
  <c r="A301" i="2"/>
  <c r="A293" i="2"/>
  <c r="A285" i="2"/>
  <c r="A277" i="2"/>
  <c r="A269" i="2"/>
  <c r="A261" i="2"/>
  <c r="A253" i="2"/>
  <c r="A245" i="2"/>
  <c r="A237" i="2"/>
  <c r="A229" i="2"/>
  <c r="A221" i="2"/>
  <c r="A213" i="2"/>
  <c r="A205" i="2"/>
  <c r="A197" i="2"/>
  <c r="A189" i="2"/>
  <c r="A181" i="2"/>
  <c r="A173" i="2"/>
  <c r="A165" i="2"/>
  <c r="A157" i="2"/>
  <c r="A149" i="2"/>
  <c r="K693" i="2"/>
  <c r="K645" i="2"/>
  <c r="K597" i="2"/>
  <c r="E556" i="2"/>
  <c r="E524" i="2"/>
  <c r="E492" i="2"/>
  <c r="K467" i="2"/>
  <c r="K443" i="2"/>
  <c r="K421" i="2"/>
  <c r="S411" i="2"/>
  <c r="H402" i="2"/>
  <c r="T392" i="2"/>
  <c r="T384" i="2"/>
  <c r="T376" i="2"/>
  <c r="T368" i="2"/>
  <c r="T360" i="2"/>
  <c r="T352" i="2"/>
  <c r="T344" i="2"/>
  <c r="T336" i="2"/>
  <c r="T328" i="2"/>
  <c r="T320" i="2"/>
  <c r="T312" i="2"/>
  <c r="T304" i="2"/>
  <c r="T296" i="2"/>
  <c r="T288" i="2"/>
  <c r="T280" i="2"/>
  <c r="T272" i="2"/>
  <c r="T264" i="2"/>
  <c r="T256" i="2"/>
  <c r="T248" i="2"/>
  <c r="T240" i="2"/>
  <c r="T232" i="2"/>
  <c r="T224" i="2"/>
  <c r="T216" i="2"/>
  <c r="T208" i="2"/>
  <c r="T200" i="2"/>
  <c r="T192" i="2"/>
  <c r="T184" i="2"/>
  <c r="T176" i="2"/>
  <c r="T168" i="2"/>
  <c r="T160" i="2"/>
  <c r="T152" i="2"/>
  <c r="H772" i="2"/>
  <c r="C540" i="2"/>
  <c r="C508" i="2"/>
  <c r="O416" i="2"/>
  <c r="C407" i="2"/>
  <c r="J397" i="2"/>
  <c r="S388" i="2"/>
  <c r="S380" i="2"/>
  <c r="S372" i="2"/>
  <c r="S364" i="2"/>
  <c r="S356" i="2"/>
  <c r="S348" i="2"/>
  <c r="S340" i="2"/>
  <c r="S332" i="2"/>
  <c r="S324" i="2"/>
  <c r="S316" i="2"/>
  <c r="S308" i="2"/>
  <c r="S300" i="2"/>
  <c r="S292" i="2"/>
  <c r="S284" i="2"/>
  <c r="S276" i="2"/>
  <c r="S268" i="2"/>
  <c r="S260" i="2"/>
  <c r="S252" i="2"/>
  <c r="S244" i="2"/>
  <c r="S236" i="2"/>
  <c r="S228" i="2"/>
  <c r="Q496" i="2"/>
  <c r="E610" i="2"/>
  <c r="P500" i="2"/>
  <c r="C315" i="2"/>
  <c r="C219" i="2"/>
  <c r="C638" i="2"/>
  <c r="O439" i="2"/>
  <c r="H350" i="2"/>
  <c r="H302" i="2"/>
  <c r="H254" i="2"/>
  <c r="H206" i="2"/>
  <c r="H158" i="2"/>
  <c r="K529" i="2"/>
  <c r="K405" i="2"/>
  <c r="N355" i="2"/>
  <c r="N323" i="2"/>
  <c r="N291" i="2"/>
  <c r="N259" i="2"/>
  <c r="N227" i="2"/>
  <c r="N195" i="2"/>
  <c r="N163" i="2"/>
  <c r="F402" i="2"/>
  <c r="M373" i="2"/>
  <c r="M349" i="2"/>
  <c r="M325" i="2"/>
  <c r="M301" i="2"/>
  <c r="M277" i="2"/>
  <c r="M253" i="2"/>
  <c r="M229" i="2"/>
  <c r="F212" i="2"/>
  <c r="M201" i="2"/>
  <c r="M193" i="2"/>
  <c r="M185" i="2"/>
  <c r="M177" i="2"/>
  <c r="M169" i="2"/>
  <c r="M161" i="2"/>
  <c r="M153" i="2"/>
  <c r="A793" i="2"/>
  <c r="R672" i="2"/>
  <c r="R624" i="2"/>
  <c r="R576" i="2"/>
  <c r="H542" i="2"/>
  <c r="H510" i="2"/>
  <c r="C481" i="2"/>
  <c r="C457" i="2"/>
  <c r="C433" i="2"/>
  <c r="Q407" i="2"/>
  <c r="M942" i="2"/>
  <c r="P684" i="2"/>
  <c r="P636" i="2"/>
  <c r="P588" i="2"/>
  <c r="E550" i="2"/>
  <c r="E518" i="2"/>
  <c r="A487" i="2"/>
  <c r="A463" i="2"/>
  <c r="A439" i="2"/>
  <c r="P419" i="2"/>
  <c r="D410" i="2"/>
  <c r="K400" i="2"/>
  <c r="J391" i="2"/>
  <c r="J383" i="2"/>
  <c r="J375" i="2"/>
  <c r="J367" i="2"/>
  <c r="J359" i="2"/>
  <c r="J351" i="2"/>
  <c r="J343" i="2"/>
  <c r="J335" i="2"/>
  <c r="J327" i="2"/>
  <c r="J319" i="2"/>
  <c r="J311" i="2"/>
  <c r="J303" i="2"/>
  <c r="J295" i="2"/>
  <c r="J287" i="2"/>
  <c r="J279" i="2"/>
  <c r="J271" i="2"/>
  <c r="J263" i="2"/>
  <c r="J255" i="2"/>
  <c r="J247" i="2"/>
  <c r="J239" i="2"/>
  <c r="J231" i="2"/>
  <c r="J223" i="2"/>
  <c r="J215" i="2"/>
  <c r="J207" i="2"/>
  <c r="J199" i="2"/>
  <c r="J191" i="2"/>
  <c r="J183" i="2"/>
  <c r="J175" i="2"/>
  <c r="J167" i="2"/>
  <c r="J159" i="2"/>
  <c r="J151" i="2"/>
  <c r="A741" i="2"/>
  <c r="E664" i="2"/>
  <c r="E616" i="2"/>
  <c r="P568" i="2"/>
  <c r="P536" i="2"/>
  <c r="P504" i="2"/>
  <c r="R476" i="2"/>
  <c r="R452" i="2"/>
  <c r="R428" i="2"/>
  <c r="O415" i="2"/>
  <c r="C406" i="2"/>
  <c r="J396" i="2"/>
  <c r="C388" i="2"/>
  <c r="C380" i="2"/>
  <c r="C372" i="2"/>
  <c r="C364" i="2"/>
  <c r="C356" i="2"/>
  <c r="C348" i="2"/>
  <c r="C340" i="2"/>
  <c r="C332" i="2"/>
  <c r="C324" i="2"/>
  <c r="C316" i="2"/>
  <c r="C308" i="2"/>
  <c r="C300" i="2"/>
  <c r="C292" i="2"/>
  <c r="C284" i="2"/>
  <c r="C276" i="2"/>
  <c r="C268" i="2"/>
  <c r="C260" i="2"/>
  <c r="C688" i="2"/>
  <c r="C640" i="2"/>
  <c r="C592" i="2"/>
  <c r="H552" i="2"/>
  <c r="H520" i="2"/>
  <c r="P488" i="2"/>
  <c r="P464" i="2"/>
  <c r="P440" i="2"/>
  <c r="Q410" i="2"/>
  <c r="E401" i="2"/>
  <c r="A392" i="2"/>
  <c r="A384" i="2"/>
  <c r="A376" i="2"/>
  <c r="A368" i="2"/>
  <c r="A360" i="2"/>
  <c r="A352" i="2"/>
  <c r="A344" i="2"/>
  <c r="A336" i="2"/>
  <c r="A328" i="2"/>
  <c r="A320" i="2"/>
  <c r="O909" i="2"/>
  <c r="K683" i="2"/>
  <c r="K635" i="2"/>
  <c r="K587" i="2"/>
  <c r="K549" i="2"/>
  <c r="K517" i="2"/>
  <c r="K419" i="2"/>
  <c r="S409" i="2"/>
  <c r="H400" i="2"/>
  <c r="G391" i="2"/>
  <c r="G383" i="2"/>
  <c r="G375" i="2"/>
  <c r="G367" i="2"/>
  <c r="G359" i="2"/>
  <c r="G351" i="2"/>
  <c r="G343" i="2"/>
  <c r="G335" i="2"/>
  <c r="G327" i="2"/>
  <c r="G319" i="2"/>
  <c r="G311" i="2"/>
  <c r="G303" i="2"/>
  <c r="G295" i="2"/>
  <c r="G287" i="2"/>
  <c r="G279" i="2"/>
  <c r="G271" i="2"/>
  <c r="G263" i="2"/>
  <c r="G255" i="2"/>
  <c r="G247" i="2"/>
  <c r="G239" i="2"/>
  <c r="G231" i="2"/>
  <c r="G223" i="2"/>
  <c r="G215" i="2"/>
  <c r="G207" i="2"/>
  <c r="G199" i="2"/>
  <c r="G191" i="2"/>
  <c r="G183" i="2"/>
  <c r="G175" i="2"/>
  <c r="G167" i="2"/>
  <c r="G159" i="2"/>
  <c r="G151" i="2"/>
  <c r="H462" i="2"/>
  <c r="F400" i="2"/>
  <c r="D375" i="2"/>
  <c r="D351" i="2"/>
  <c r="D327" i="2"/>
  <c r="R304" i="2"/>
  <c r="Q285" i="2"/>
  <c r="K266" i="2"/>
  <c r="H249" i="2"/>
  <c r="H233" i="2"/>
  <c r="H217" i="2"/>
  <c r="H201" i="2"/>
  <c r="H185" i="2"/>
  <c r="H169" i="2"/>
  <c r="H153" i="2"/>
  <c r="Q142" i="2"/>
  <c r="Q134" i="2"/>
  <c r="Q126" i="2"/>
  <c r="Q118" i="2"/>
  <c r="Q110" i="2"/>
  <c r="Q102" i="2"/>
  <c r="Q94" i="2"/>
  <c r="Q86" i="2"/>
  <c r="Q78" i="2"/>
  <c r="Q70" i="2"/>
  <c r="Q62" i="2"/>
  <c r="Q54" i="2"/>
  <c r="Q46" i="2"/>
  <c r="Q38" i="2"/>
  <c r="Q30" i="2"/>
  <c r="Q22" i="2"/>
  <c r="Q14" i="2"/>
  <c r="Q488" i="2"/>
  <c r="C371" i="2"/>
  <c r="C275" i="2"/>
  <c r="C179" i="2"/>
  <c r="C630" i="2"/>
  <c r="O435" i="2"/>
  <c r="O391" i="2"/>
  <c r="O343" i="2"/>
  <c r="O295" i="2"/>
  <c r="O247" i="2"/>
  <c r="O199" i="2"/>
  <c r="O151" i="2"/>
  <c r="R502" i="2"/>
  <c r="S403" i="2"/>
  <c r="G354" i="2"/>
  <c r="G322" i="2"/>
  <c r="G290" i="2"/>
  <c r="G258" i="2"/>
  <c r="G226" i="2"/>
  <c r="G194" i="2"/>
  <c r="G162" i="2"/>
  <c r="C524" i="2"/>
  <c r="O400" i="2"/>
  <c r="S368" i="2"/>
  <c r="S344" i="2"/>
  <c r="S320" i="2"/>
  <c r="S296" i="2"/>
  <c r="S272" i="2"/>
  <c r="S248" i="2"/>
  <c r="S224" i="2"/>
  <c r="S210" i="2"/>
  <c r="S200" i="2"/>
  <c r="S192" i="2"/>
  <c r="S184" i="2"/>
  <c r="S176" i="2"/>
  <c r="S168" i="2"/>
  <c r="S160" i="2"/>
  <c r="S152" i="2"/>
  <c r="A769" i="2"/>
  <c r="R668" i="2"/>
  <c r="R620" i="2"/>
  <c r="R572" i="2"/>
  <c r="O539" i="2"/>
  <c r="O507" i="2"/>
  <c r="C479" i="2"/>
  <c r="C455" i="2"/>
  <c r="C431" i="2"/>
  <c r="M416" i="2"/>
  <c r="A407" i="2"/>
  <c r="J850" i="2"/>
  <c r="P680" i="2"/>
  <c r="P632" i="2"/>
  <c r="P584" i="2"/>
  <c r="K547" i="2"/>
  <c r="K515" i="2"/>
  <c r="A485" i="2"/>
  <c r="A461" i="2"/>
  <c r="A437" i="2"/>
  <c r="S418" i="2"/>
  <c r="H409" i="2"/>
  <c r="P399" i="2"/>
  <c r="Q390" i="2"/>
  <c r="Q382" i="2"/>
  <c r="Q374" i="2"/>
  <c r="Q366" i="2"/>
  <c r="Q358" i="2"/>
  <c r="Q350" i="2"/>
  <c r="Q342" i="2"/>
  <c r="Q334" i="2"/>
  <c r="Q326" i="2"/>
  <c r="Q318" i="2"/>
  <c r="Q310" i="2"/>
  <c r="Q302" i="2"/>
  <c r="Q294" i="2"/>
  <c r="Q286" i="2"/>
  <c r="Q278" i="2"/>
  <c r="Q270" i="2"/>
  <c r="Q262" i="2"/>
  <c r="Q254" i="2"/>
  <c r="Q246" i="2"/>
  <c r="Q238" i="2"/>
  <c r="Q230" i="2"/>
  <c r="Q222" i="2"/>
  <c r="Q214" i="2"/>
  <c r="Q206" i="2"/>
  <c r="Q198" i="2"/>
  <c r="Q190" i="2"/>
  <c r="Q182" i="2"/>
  <c r="Q174" i="2"/>
  <c r="Q166" i="2"/>
  <c r="Q158" i="2"/>
  <c r="Q150" i="2"/>
  <c r="J718" i="2"/>
  <c r="E660" i="2"/>
  <c r="E612" i="2"/>
  <c r="C566" i="2"/>
  <c r="C534" i="2"/>
  <c r="C502" i="2"/>
  <c r="R474" i="2"/>
  <c r="R450" i="2"/>
  <c r="R426" i="2"/>
  <c r="R414" i="2"/>
  <c r="F405" i="2"/>
  <c r="O395" i="2"/>
  <c r="A923" i="2"/>
  <c r="C684" i="2"/>
  <c r="C636" i="2"/>
  <c r="C588" i="2"/>
  <c r="O549" i="2"/>
  <c r="O517" i="2"/>
  <c r="P486" i="2"/>
  <c r="P462" i="2"/>
  <c r="P438" i="2"/>
  <c r="M419" i="2"/>
  <c r="A410" i="2"/>
  <c r="H391" i="2"/>
  <c r="H383" i="2"/>
  <c r="H375" i="2"/>
  <c r="H367" i="2"/>
  <c r="H359" i="2"/>
  <c r="H351" i="2"/>
  <c r="H343" i="2"/>
  <c r="H335" i="2"/>
  <c r="H327" i="2"/>
  <c r="H319" i="2"/>
  <c r="F836" i="2"/>
  <c r="K679" i="2"/>
  <c r="K631" i="2"/>
  <c r="K583" i="2"/>
  <c r="R546" i="2"/>
  <c r="R514" i="2"/>
  <c r="P418" i="2"/>
  <c r="D409" i="2"/>
  <c r="K399" i="2"/>
  <c r="N390" i="2"/>
  <c r="N382" i="2"/>
  <c r="N374" i="2"/>
  <c r="N366" i="2"/>
  <c r="N358" i="2"/>
  <c r="N350" i="2"/>
  <c r="N342" i="2"/>
  <c r="N334" i="2"/>
  <c r="N326" i="2"/>
  <c r="N318" i="2"/>
  <c r="N310" i="2"/>
  <c r="N302" i="2"/>
  <c r="N294" i="2"/>
  <c r="N286" i="2"/>
  <c r="N278" i="2"/>
  <c r="N270" i="2"/>
  <c r="N262" i="2"/>
  <c r="N254" i="2"/>
  <c r="N246" i="2"/>
  <c r="N238" i="2"/>
  <c r="N230" i="2"/>
  <c r="N222" i="2"/>
  <c r="N214" i="2"/>
  <c r="N206" i="2"/>
  <c r="N198" i="2"/>
  <c r="N190" i="2"/>
  <c r="N182" i="2"/>
  <c r="N174" i="2"/>
  <c r="N166" i="2"/>
  <c r="N158" i="2"/>
  <c r="N150" i="2"/>
  <c r="H454" i="2"/>
  <c r="P397" i="2"/>
  <c r="D373" i="2"/>
  <c r="D349" i="2"/>
  <c r="D325" i="2"/>
  <c r="F303" i="2"/>
  <c r="A284" i="2"/>
  <c r="R264" i="2"/>
  <c r="A248" i="2"/>
  <c r="A232" i="2"/>
  <c r="A216" i="2"/>
  <c r="A200" i="2"/>
  <c r="A184" i="2"/>
  <c r="A168" i="2"/>
  <c r="A152" i="2"/>
  <c r="D142" i="2"/>
  <c r="D134" i="2"/>
  <c r="D126" i="2"/>
  <c r="D118" i="2"/>
  <c r="D110" i="2"/>
  <c r="D102" i="2"/>
  <c r="D94" i="2"/>
  <c r="D86" i="2"/>
  <c r="D78" i="2"/>
  <c r="D70" i="2"/>
  <c r="D62" i="2"/>
  <c r="D54" i="2"/>
  <c r="D46" i="2"/>
  <c r="D38" i="2"/>
  <c r="D30" i="2"/>
  <c r="Q480" i="2"/>
  <c r="P564" i="2"/>
  <c r="P473" i="2"/>
  <c r="C331" i="2"/>
  <c r="C235" i="2"/>
  <c r="C590" i="2"/>
  <c r="A420" i="2"/>
  <c r="H390" i="2"/>
  <c r="H342" i="2"/>
  <c r="H294" i="2"/>
  <c r="H246" i="2"/>
  <c r="H198" i="2"/>
  <c r="H150" i="2"/>
  <c r="K497" i="2"/>
  <c r="S395" i="2"/>
  <c r="T348" i="2"/>
  <c r="T316" i="2"/>
  <c r="T284" i="2"/>
  <c r="T252" i="2"/>
  <c r="T220" i="2"/>
  <c r="T188" i="2"/>
  <c r="T156" i="2"/>
  <c r="C399" i="2"/>
  <c r="M367" i="2"/>
  <c r="M343" i="2"/>
  <c r="M319" i="2"/>
  <c r="M295" i="2"/>
  <c r="M271" i="2"/>
  <c r="M247" i="2"/>
  <c r="M223" i="2"/>
  <c r="M209" i="2"/>
  <c r="F200" i="2"/>
  <c r="F192" i="2"/>
  <c r="F184" i="2"/>
  <c r="F176" i="2"/>
  <c r="F168" i="2"/>
  <c r="F160" i="2"/>
  <c r="F152" i="2"/>
  <c r="A745" i="2"/>
  <c r="R664" i="2"/>
  <c r="R616" i="2"/>
  <c r="A569" i="2"/>
  <c r="A537" i="2"/>
  <c r="A505" i="2"/>
  <c r="C477" i="2"/>
  <c r="C453" i="2"/>
  <c r="C429" i="2"/>
  <c r="Q415" i="2"/>
  <c r="E406" i="2"/>
  <c r="H816" i="2"/>
  <c r="P676" i="2"/>
  <c r="P628" i="2"/>
  <c r="P580" i="2"/>
  <c r="R544" i="2"/>
  <c r="R512" i="2"/>
  <c r="A483" i="2"/>
  <c r="A459" i="2"/>
  <c r="A435" i="2"/>
  <c r="D418" i="2"/>
  <c r="K408" i="2"/>
  <c r="S398" i="2"/>
  <c r="D390" i="2"/>
  <c r="D382" i="2"/>
  <c r="D374" i="2"/>
  <c r="D366" i="2"/>
  <c r="D358" i="2"/>
  <c r="D350" i="2"/>
  <c r="D342" i="2"/>
  <c r="D334" i="2"/>
  <c r="D326" i="2"/>
  <c r="D318" i="2"/>
  <c r="D310" i="2"/>
  <c r="D302" i="2"/>
  <c r="D294" i="2"/>
  <c r="D286" i="2"/>
  <c r="D278" i="2"/>
  <c r="D270" i="2"/>
  <c r="D262" i="2"/>
  <c r="D254" i="2"/>
  <c r="D246" i="2"/>
  <c r="D238" i="2"/>
  <c r="D230" i="2"/>
  <c r="D222" i="2"/>
  <c r="D214" i="2"/>
  <c r="D206" i="2"/>
  <c r="D198" i="2"/>
  <c r="D190" i="2"/>
  <c r="D182" i="2"/>
  <c r="D174" i="2"/>
  <c r="D166" i="2"/>
  <c r="D158" i="2"/>
  <c r="D150" i="2"/>
  <c r="P704" i="2"/>
  <c r="E656" i="2"/>
  <c r="E608" i="2"/>
  <c r="R472" i="2"/>
  <c r="R448" i="2"/>
  <c r="R424" i="2"/>
  <c r="C414" i="2"/>
  <c r="J404" i="2"/>
  <c r="R394" i="2"/>
  <c r="P386" i="2"/>
  <c r="P378" i="2"/>
  <c r="P370" i="2"/>
  <c r="P362" i="2"/>
  <c r="P354" i="2"/>
  <c r="P346" i="2"/>
  <c r="P338" i="2"/>
  <c r="P330" i="2"/>
  <c r="P322" i="2"/>
  <c r="P314" i="2"/>
  <c r="P306" i="2"/>
  <c r="P298" i="2"/>
  <c r="P290" i="2"/>
  <c r="P282" i="2"/>
  <c r="P274" i="2"/>
  <c r="P266" i="2"/>
  <c r="E841" i="2"/>
  <c r="C680" i="2"/>
  <c r="C632" i="2"/>
  <c r="C584" i="2"/>
  <c r="A547" i="2"/>
  <c r="A515" i="2"/>
  <c r="P484" i="2"/>
  <c r="P460" i="2"/>
  <c r="P436" i="2"/>
  <c r="Q418" i="2"/>
  <c r="E409" i="2"/>
  <c r="M399" i="2"/>
  <c r="O390" i="2"/>
  <c r="O382" i="2"/>
  <c r="O374" i="2"/>
  <c r="O366" i="2"/>
  <c r="O358" i="2"/>
  <c r="O350" i="2"/>
  <c r="O342" i="2"/>
  <c r="O334" i="2"/>
  <c r="O326" i="2"/>
  <c r="O318" i="2"/>
  <c r="A809" i="2"/>
  <c r="K675" i="2"/>
  <c r="K627" i="2"/>
  <c r="K579" i="2"/>
  <c r="E544" i="2"/>
  <c r="E512" i="2"/>
  <c r="S417" i="2"/>
  <c r="H408" i="2"/>
  <c r="P398" i="2"/>
  <c r="T389" i="2"/>
  <c r="T381" i="2"/>
  <c r="T373" i="2"/>
  <c r="T365" i="2"/>
  <c r="T357" i="2"/>
  <c r="T349" i="2"/>
  <c r="T341" i="2"/>
  <c r="T333" i="2"/>
  <c r="T325" i="2"/>
  <c r="T317" i="2"/>
  <c r="T309" i="2"/>
  <c r="T301" i="2"/>
  <c r="T293" i="2"/>
  <c r="T285" i="2"/>
  <c r="T277" i="2"/>
  <c r="T269" i="2"/>
  <c r="T261" i="2"/>
  <c r="T253" i="2"/>
  <c r="T245" i="2"/>
  <c r="T237" i="2"/>
  <c r="T229" i="2"/>
  <c r="T221" i="2"/>
  <c r="T213" i="2"/>
  <c r="T205" i="2"/>
  <c r="T197" i="2"/>
  <c r="T189" i="2"/>
  <c r="T181" i="2"/>
  <c r="T173" i="2"/>
  <c r="T165" i="2"/>
  <c r="T157" i="2"/>
  <c r="T149" i="2"/>
  <c r="C560" i="2"/>
  <c r="H446" i="2"/>
  <c r="H395" i="2"/>
  <c r="D371" i="2"/>
  <c r="D347" i="2"/>
  <c r="D323" i="2"/>
  <c r="Q301" i="2"/>
  <c r="K282" i="2"/>
  <c r="F263" i="2"/>
  <c r="O246" i="2"/>
  <c r="O230" i="2"/>
  <c r="O214" i="2"/>
  <c r="O198" i="2"/>
  <c r="O182" i="2"/>
  <c r="O166" i="2"/>
  <c r="O150" i="2"/>
  <c r="J141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  <c r="J5" i="2"/>
  <c r="C48" i="2"/>
  <c r="P32" i="2"/>
  <c r="C16" i="2"/>
  <c r="C2" i="2"/>
  <c r="A20" i="2"/>
  <c r="Q5" i="2"/>
  <c r="P143" i="2"/>
  <c r="R570" i="2"/>
  <c r="E454" i="2"/>
  <c r="R372" i="2"/>
  <c r="R348" i="2"/>
  <c r="R324" i="2"/>
  <c r="E303" i="2"/>
  <c r="S283" i="2"/>
  <c r="O264" i="2"/>
  <c r="S247" i="2"/>
  <c r="S231" i="2"/>
  <c r="S215" i="2"/>
  <c r="S199" i="2"/>
  <c r="S183" i="2"/>
  <c r="S167" i="2"/>
  <c r="S151" i="2"/>
  <c r="C142" i="2"/>
  <c r="C134" i="2"/>
  <c r="C126" i="2"/>
  <c r="C118" i="2"/>
  <c r="C110" i="2"/>
  <c r="C102" i="2"/>
  <c r="C94" i="2"/>
  <c r="C86" i="2"/>
  <c r="C78" i="2"/>
  <c r="C70" i="2"/>
  <c r="C62" i="2"/>
  <c r="C52" i="2"/>
  <c r="P34" i="2"/>
  <c r="P18" i="2"/>
  <c r="H41" i="2"/>
  <c r="H15" i="2"/>
  <c r="S221" i="2"/>
  <c r="P650" i="2"/>
  <c r="K495" i="2"/>
  <c r="S412" i="2"/>
  <c r="M382" i="2"/>
  <c r="M358" i="2"/>
  <c r="M334" i="2"/>
  <c r="D311" i="2"/>
  <c r="R291" i="2"/>
  <c r="M272" i="2"/>
  <c r="K254" i="2"/>
  <c r="K238" i="2"/>
  <c r="K222" i="2"/>
  <c r="K206" i="2"/>
  <c r="K190" i="2"/>
  <c r="K174" i="2"/>
  <c r="K158" i="2"/>
  <c r="H145" i="2"/>
  <c r="H137" i="2"/>
  <c r="H129" i="2"/>
  <c r="H121" i="2"/>
  <c r="H113" i="2"/>
  <c r="Q472" i="2"/>
  <c r="P449" i="2"/>
  <c r="C387" i="2"/>
  <c r="C291" i="2"/>
  <c r="C195" i="2"/>
  <c r="C582" i="2"/>
  <c r="O383" i="2"/>
  <c r="O335" i="2"/>
  <c r="O287" i="2"/>
  <c r="O239" i="2"/>
  <c r="O191" i="2"/>
  <c r="A725" i="2"/>
  <c r="K475" i="2"/>
  <c r="H394" i="2"/>
  <c r="N347" i="2"/>
  <c r="N315" i="2"/>
  <c r="N283" i="2"/>
  <c r="N251" i="2"/>
  <c r="N219" i="2"/>
  <c r="N187" i="2"/>
  <c r="N155" i="2"/>
  <c r="P518" i="2"/>
  <c r="S392" i="2"/>
  <c r="F366" i="2"/>
  <c r="F342" i="2"/>
  <c r="F318" i="2"/>
  <c r="F294" i="2"/>
  <c r="F270" i="2"/>
  <c r="F246" i="2"/>
  <c r="F222" i="2"/>
  <c r="S208" i="2"/>
  <c r="M199" i="2"/>
  <c r="M191" i="2"/>
  <c r="M183" i="2"/>
  <c r="M175" i="2"/>
  <c r="M167" i="2"/>
  <c r="M159" i="2"/>
  <c r="M151" i="2"/>
  <c r="D721" i="2"/>
  <c r="R660" i="2"/>
  <c r="R612" i="2"/>
  <c r="H566" i="2"/>
  <c r="H534" i="2"/>
  <c r="H502" i="2"/>
  <c r="C475" i="2"/>
  <c r="C451" i="2"/>
  <c r="C427" i="2"/>
  <c r="A415" i="2"/>
  <c r="H792" i="2"/>
  <c r="P672" i="2"/>
  <c r="P624" i="2"/>
  <c r="P576" i="2"/>
  <c r="E542" i="2"/>
  <c r="E510" i="2"/>
  <c r="A481" i="2"/>
  <c r="A457" i="2"/>
  <c r="A433" i="2"/>
  <c r="H417" i="2"/>
  <c r="P407" i="2"/>
  <c r="D398" i="2"/>
  <c r="J389" i="2"/>
  <c r="J381" i="2"/>
  <c r="J373" i="2"/>
  <c r="J365" i="2"/>
  <c r="J357" i="2"/>
  <c r="J349" i="2"/>
  <c r="J341" i="2"/>
  <c r="J333" i="2"/>
  <c r="J325" i="2"/>
  <c r="J317" i="2"/>
  <c r="J309" i="2"/>
  <c r="J301" i="2"/>
  <c r="J293" i="2"/>
  <c r="J285" i="2"/>
  <c r="J277" i="2"/>
  <c r="J269" i="2"/>
  <c r="J261" i="2"/>
  <c r="J253" i="2"/>
  <c r="J245" i="2"/>
  <c r="J237" i="2"/>
  <c r="J229" i="2"/>
  <c r="J221" i="2"/>
  <c r="J213" i="2"/>
  <c r="J205" i="2"/>
  <c r="J197" i="2"/>
  <c r="J189" i="2"/>
  <c r="J181" i="2"/>
  <c r="J173" i="2"/>
  <c r="J165" i="2"/>
  <c r="J157" i="2"/>
  <c r="J149" i="2"/>
  <c r="E700" i="2"/>
  <c r="E652" i="2"/>
  <c r="E604" i="2"/>
  <c r="P560" i="2"/>
  <c r="P528" i="2"/>
  <c r="P496" i="2"/>
  <c r="R470" i="2"/>
  <c r="R446" i="2"/>
  <c r="C423" i="2"/>
  <c r="F413" i="2"/>
  <c r="O403" i="2"/>
  <c r="C394" i="2"/>
  <c r="C386" i="2"/>
  <c r="C378" i="2"/>
  <c r="C370" i="2"/>
  <c r="C362" i="2"/>
  <c r="C354" i="2"/>
  <c r="C346" i="2"/>
  <c r="C338" i="2"/>
  <c r="C330" i="2"/>
  <c r="C322" i="2"/>
  <c r="C314" i="2"/>
  <c r="C306" i="2"/>
  <c r="C298" i="2"/>
  <c r="C290" i="2"/>
  <c r="C282" i="2"/>
  <c r="C274" i="2"/>
  <c r="C266" i="2"/>
  <c r="H812" i="2"/>
  <c r="C676" i="2"/>
  <c r="C628" i="2"/>
  <c r="C580" i="2"/>
  <c r="H544" i="2"/>
  <c r="H512" i="2"/>
  <c r="P482" i="2"/>
  <c r="P458" i="2"/>
  <c r="P434" i="2"/>
  <c r="A418" i="2"/>
  <c r="Q398" i="2"/>
  <c r="A390" i="2"/>
  <c r="A382" i="2"/>
  <c r="A374" i="2"/>
  <c r="A366" i="2"/>
  <c r="A358" i="2"/>
  <c r="A350" i="2"/>
  <c r="A342" i="2"/>
  <c r="A334" i="2"/>
  <c r="A326" i="2"/>
  <c r="A318" i="2"/>
  <c r="A785" i="2"/>
  <c r="K671" i="2"/>
  <c r="K623" i="2"/>
  <c r="K575" i="2"/>
  <c r="K541" i="2"/>
  <c r="K509" i="2"/>
  <c r="D417" i="2"/>
  <c r="K407" i="2"/>
  <c r="S397" i="2"/>
  <c r="G389" i="2"/>
  <c r="G381" i="2"/>
  <c r="G373" i="2"/>
  <c r="G365" i="2"/>
  <c r="G357" i="2"/>
  <c r="G349" i="2"/>
  <c r="G341" i="2"/>
  <c r="G333" i="2"/>
  <c r="G325" i="2"/>
  <c r="G317" i="2"/>
  <c r="G309" i="2"/>
  <c r="G301" i="2"/>
  <c r="G293" i="2"/>
  <c r="G285" i="2"/>
  <c r="G277" i="2"/>
  <c r="G269" i="2"/>
  <c r="G261" i="2"/>
  <c r="G253" i="2"/>
  <c r="G245" i="2"/>
  <c r="G237" i="2"/>
  <c r="G229" i="2"/>
  <c r="G221" i="2"/>
  <c r="G213" i="2"/>
  <c r="G205" i="2"/>
  <c r="G197" i="2"/>
  <c r="G189" i="2"/>
  <c r="G181" i="2"/>
  <c r="G173" i="2"/>
  <c r="G165" i="2"/>
  <c r="G157" i="2"/>
  <c r="A907" i="2"/>
  <c r="H438" i="2"/>
  <c r="D393" i="2"/>
  <c r="D369" i="2"/>
  <c r="D345" i="2"/>
  <c r="D321" i="2"/>
  <c r="A300" i="2"/>
  <c r="R280" i="2"/>
  <c r="Q261" i="2"/>
  <c r="H245" i="2"/>
  <c r="H229" i="2"/>
  <c r="H213" i="2"/>
  <c r="H197" i="2"/>
  <c r="H181" i="2"/>
  <c r="H165" i="2"/>
  <c r="H149" i="2"/>
  <c r="Q140" i="2"/>
  <c r="Q132" i="2"/>
  <c r="Q124" i="2"/>
  <c r="Q116" i="2"/>
  <c r="Q108" i="2"/>
  <c r="Q100" i="2"/>
  <c r="Q92" i="2"/>
  <c r="Q84" i="2"/>
  <c r="Q76" i="2"/>
  <c r="Q68" i="2"/>
  <c r="Q60" i="2"/>
  <c r="Q52" i="2"/>
  <c r="Q44" i="2"/>
  <c r="Q36" i="2"/>
  <c r="Q28" i="2"/>
  <c r="Q20" i="2"/>
  <c r="Q12" i="2"/>
  <c r="Q4" i="2"/>
  <c r="P46" i="2"/>
  <c r="P14" i="2"/>
  <c r="O40" i="2"/>
  <c r="O18" i="2"/>
  <c r="S263" i="2"/>
  <c r="P139" i="2"/>
  <c r="O559" i="2"/>
  <c r="E446" i="2"/>
  <c r="A395" i="2"/>
  <c r="R370" i="2"/>
  <c r="R346" i="2"/>
  <c r="R322" i="2"/>
  <c r="K301" i="2"/>
  <c r="J282" i="2"/>
  <c r="E263" i="2"/>
  <c r="M246" i="2"/>
  <c r="M230" i="2"/>
  <c r="M214" i="2"/>
  <c r="M198" i="2"/>
  <c r="M182" i="2"/>
  <c r="M166" i="2"/>
  <c r="M150" i="2"/>
  <c r="P50" i="2"/>
  <c r="C18" i="2"/>
  <c r="A36" i="2"/>
  <c r="A14" i="2"/>
  <c r="F211" i="2"/>
  <c r="P634" i="2"/>
  <c r="C486" i="2"/>
  <c r="P409" i="2"/>
  <c r="M380" i="2"/>
  <c r="M356" i="2"/>
  <c r="M332" i="2"/>
  <c r="H309" i="2"/>
  <c r="E290" i="2"/>
  <c r="D271" i="2"/>
  <c r="E253" i="2"/>
  <c r="E237" i="2"/>
  <c r="E221" i="2"/>
  <c r="E205" i="2"/>
  <c r="E189" i="2"/>
  <c r="E173" i="2"/>
  <c r="E157" i="2"/>
  <c r="O144" i="2"/>
  <c r="O136" i="2"/>
  <c r="O128" i="2"/>
  <c r="Q464" i="2"/>
  <c r="P429" i="2"/>
  <c r="C347" i="2"/>
  <c r="C251" i="2"/>
  <c r="C155" i="2"/>
  <c r="A551" i="2"/>
  <c r="H382" i="2"/>
  <c r="H334" i="2"/>
  <c r="H286" i="2"/>
  <c r="H238" i="2"/>
  <c r="H190" i="2"/>
  <c r="K701" i="2"/>
  <c r="K471" i="2"/>
  <c r="N387" i="2"/>
  <c r="G346" i="2"/>
  <c r="G314" i="2"/>
  <c r="G282" i="2"/>
  <c r="G250" i="2"/>
  <c r="G218" i="2"/>
  <c r="G186" i="2"/>
  <c r="G154" i="2"/>
  <c r="M391" i="2"/>
  <c r="M365" i="2"/>
  <c r="M341" i="2"/>
  <c r="M317" i="2"/>
  <c r="M293" i="2"/>
  <c r="M269" i="2"/>
  <c r="M245" i="2"/>
  <c r="M221" i="2"/>
  <c r="F208" i="2"/>
  <c r="S198" i="2"/>
  <c r="S190" i="2"/>
  <c r="S182" i="2"/>
  <c r="S174" i="2"/>
  <c r="S166" i="2"/>
  <c r="S158" i="2"/>
  <c r="S150" i="2"/>
  <c r="S705" i="2"/>
  <c r="R656" i="2"/>
  <c r="R608" i="2"/>
  <c r="O563" i="2"/>
  <c r="O531" i="2"/>
  <c r="O499" i="2"/>
  <c r="C473" i="2"/>
  <c r="C449" i="2"/>
  <c r="C425" i="2"/>
  <c r="E414" i="2"/>
  <c r="M404" i="2"/>
  <c r="H768" i="2"/>
  <c r="P668" i="2"/>
  <c r="P620" i="2"/>
  <c r="P572" i="2"/>
  <c r="K539" i="2"/>
  <c r="K507" i="2"/>
  <c r="A479" i="2"/>
  <c r="A455" i="2"/>
  <c r="A431" i="2"/>
  <c r="K416" i="2"/>
  <c r="S406" i="2"/>
  <c r="H397" i="2"/>
  <c r="Q388" i="2"/>
  <c r="Q380" i="2"/>
  <c r="Q372" i="2"/>
  <c r="Q364" i="2"/>
  <c r="Q356" i="2"/>
  <c r="Q348" i="2"/>
  <c r="Q340" i="2"/>
  <c r="Q332" i="2"/>
  <c r="Q324" i="2"/>
  <c r="Q316" i="2"/>
  <c r="Q308" i="2"/>
  <c r="Q300" i="2"/>
  <c r="Q292" i="2"/>
  <c r="Q284" i="2"/>
  <c r="Q276" i="2"/>
  <c r="Q268" i="2"/>
  <c r="Q260" i="2"/>
  <c r="Q252" i="2"/>
  <c r="Q244" i="2"/>
  <c r="Q236" i="2"/>
  <c r="Q228" i="2"/>
  <c r="Q220" i="2"/>
  <c r="Q212" i="2"/>
  <c r="Q204" i="2"/>
  <c r="Q196" i="2"/>
  <c r="Q188" i="2"/>
  <c r="Q180" i="2"/>
  <c r="Q172" i="2"/>
  <c r="Q164" i="2"/>
  <c r="Q156" i="2"/>
  <c r="Q148" i="2"/>
  <c r="E696" i="2"/>
  <c r="E648" i="2"/>
  <c r="E600" i="2"/>
  <c r="C558" i="2"/>
  <c r="C526" i="2"/>
  <c r="C494" i="2"/>
  <c r="R468" i="2"/>
  <c r="R444" i="2"/>
  <c r="C422" i="2"/>
  <c r="J412" i="2"/>
  <c r="R402" i="2"/>
  <c r="H788" i="2"/>
  <c r="C672" i="2"/>
  <c r="C624" i="2"/>
  <c r="C576" i="2"/>
  <c r="O541" i="2"/>
  <c r="O509" i="2"/>
  <c r="P480" i="2"/>
  <c r="P456" i="2"/>
  <c r="P432" i="2"/>
  <c r="E417" i="2"/>
  <c r="M407" i="2"/>
  <c r="A398" i="2"/>
  <c r="H389" i="2"/>
  <c r="H381" i="2"/>
  <c r="H373" i="2"/>
  <c r="H365" i="2"/>
  <c r="H357" i="2"/>
  <c r="H349" i="2"/>
  <c r="H341" i="2"/>
  <c r="H333" i="2"/>
  <c r="H325" i="2"/>
  <c r="H317" i="2"/>
  <c r="A761" i="2"/>
  <c r="K667" i="2"/>
  <c r="K619" i="2"/>
  <c r="K571" i="2"/>
  <c r="R538" i="2"/>
  <c r="R506" i="2"/>
  <c r="H416" i="2"/>
  <c r="P406" i="2"/>
  <c r="D397" i="2"/>
  <c r="N388" i="2"/>
  <c r="N380" i="2"/>
  <c r="N372" i="2"/>
  <c r="N364" i="2"/>
  <c r="N356" i="2"/>
  <c r="N348" i="2"/>
  <c r="N340" i="2"/>
  <c r="N332" i="2"/>
  <c r="N324" i="2"/>
  <c r="N316" i="2"/>
  <c r="N308" i="2"/>
  <c r="N300" i="2"/>
  <c r="N292" i="2"/>
  <c r="N284" i="2"/>
  <c r="N276" i="2"/>
  <c r="N268" i="2"/>
  <c r="N260" i="2"/>
  <c r="N252" i="2"/>
  <c r="N244" i="2"/>
  <c r="N236" i="2"/>
  <c r="N228" i="2"/>
  <c r="N220" i="2"/>
  <c r="N212" i="2"/>
  <c r="N204" i="2"/>
  <c r="N196" i="2"/>
  <c r="N188" i="2"/>
  <c r="N180" i="2"/>
  <c r="N172" i="2"/>
  <c r="N164" i="2"/>
  <c r="N156" i="2"/>
  <c r="H760" i="2"/>
  <c r="P538" i="2"/>
  <c r="H430" i="2"/>
  <c r="D391" i="2"/>
  <c r="D367" i="2"/>
  <c r="D343" i="2"/>
  <c r="D319" i="2"/>
  <c r="K298" i="2"/>
  <c r="F279" i="2"/>
  <c r="A260" i="2"/>
  <c r="A244" i="2"/>
  <c r="A228" i="2"/>
  <c r="A212" i="2"/>
  <c r="A196" i="2"/>
  <c r="A180" i="2"/>
  <c r="A164" i="2"/>
  <c r="D140" i="2"/>
  <c r="D132" i="2"/>
  <c r="D124" i="2"/>
  <c r="D116" i="2"/>
  <c r="D108" i="2"/>
  <c r="D100" i="2"/>
  <c r="D92" i="2"/>
  <c r="D84" i="2"/>
  <c r="D76" i="2"/>
  <c r="D68" i="2"/>
  <c r="D60" i="2"/>
  <c r="D52" i="2"/>
  <c r="D44" i="2"/>
  <c r="D36" i="2"/>
  <c r="D28" i="2"/>
  <c r="D20" i="2"/>
  <c r="D12" i="2"/>
  <c r="D4" i="2"/>
  <c r="C30" i="2"/>
  <c r="C14" i="2"/>
  <c r="H37" i="2"/>
  <c r="O16" i="2"/>
  <c r="S237" i="2"/>
  <c r="O893" i="2"/>
  <c r="A549" i="2"/>
  <c r="E438" i="2"/>
  <c r="R392" i="2"/>
  <c r="R368" i="2"/>
  <c r="R344" i="2"/>
  <c r="R320" i="2"/>
  <c r="S299" i="2"/>
  <c r="O280" i="2"/>
  <c r="K261" i="2"/>
  <c r="F245" i="2"/>
  <c r="F229" i="2"/>
  <c r="F213" i="2"/>
  <c r="F197" i="2"/>
  <c r="F181" i="2"/>
  <c r="F165" i="2"/>
  <c r="G149" i="2"/>
  <c r="P140" i="2"/>
  <c r="P132" i="2"/>
  <c r="P124" i="2"/>
  <c r="P116" i="2"/>
  <c r="P108" i="2"/>
  <c r="P100" i="2"/>
  <c r="P92" i="2"/>
  <c r="P84" i="2"/>
  <c r="P76" i="2"/>
  <c r="P68" i="2"/>
  <c r="Q456" i="2"/>
  <c r="P425" i="2"/>
  <c r="C307" i="2"/>
  <c r="C211" i="2"/>
  <c r="O545" i="2"/>
  <c r="O375" i="2"/>
  <c r="O327" i="2"/>
  <c r="O279" i="2"/>
  <c r="O231" i="2"/>
  <c r="O183" i="2"/>
  <c r="K661" i="2"/>
  <c r="K451" i="2"/>
  <c r="G386" i="2"/>
  <c r="T340" i="2"/>
  <c r="T308" i="2"/>
  <c r="T276" i="2"/>
  <c r="T244" i="2"/>
  <c r="T212" i="2"/>
  <c r="T180" i="2"/>
  <c r="T148" i="2"/>
  <c r="F390" i="2"/>
  <c r="S360" i="2"/>
  <c r="S336" i="2"/>
  <c r="S312" i="2"/>
  <c r="S288" i="2"/>
  <c r="S264" i="2"/>
  <c r="S240" i="2"/>
  <c r="S220" i="2"/>
  <c r="M207" i="2"/>
  <c r="F198" i="2"/>
  <c r="F190" i="2"/>
  <c r="F182" i="2"/>
  <c r="F174" i="2"/>
  <c r="F166" i="2"/>
  <c r="F158" i="2"/>
  <c r="F150" i="2"/>
  <c r="R700" i="2"/>
  <c r="R652" i="2"/>
  <c r="R604" i="2"/>
  <c r="A561" i="2"/>
  <c r="A529" i="2"/>
  <c r="A497" i="2"/>
  <c r="C471" i="2"/>
  <c r="C447" i="2"/>
  <c r="F423" i="2"/>
  <c r="Q403" i="2"/>
  <c r="H744" i="2"/>
  <c r="P664" i="2"/>
  <c r="P616" i="2"/>
  <c r="R568" i="2"/>
  <c r="R536" i="2"/>
  <c r="R504" i="2"/>
  <c r="A477" i="2"/>
  <c r="A453" i="2"/>
  <c r="A429" i="2"/>
  <c r="P415" i="2"/>
  <c r="D406" i="2"/>
  <c r="K396" i="2"/>
  <c r="D388" i="2"/>
  <c r="D380" i="2"/>
  <c r="D372" i="2"/>
  <c r="D364" i="2"/>
  <c r="D356" i="2"/>
  <c r="D348" i="2"/>
  <c r="D340" i="2"/>
  <c r="D332" i="2"/>
  <c r="D324" i="2"/>
  <c r="D316" i="2"/>
  <c r="D308" i="2"/>
  <c r="D300" i="2"/>
  <c r="D292" i="2"/>
  <c r="D284" i="2"/>
  <c r="D276" i="2"/>
  <c r="D268" i="2"/>
  <c r="D260" i="2"/>
  <c r="D252" i="2"/>
  <c r="D244" i="2"/>
  <c r="D236" i="2"/>
  <c r="D228" i="2"/>
  <c r="D220" i="2"/>
  <c r="D212" i="2"/>
  <c r="D204" i="2"/>
  <c r="D196" i="2"/>
  <c r="D188" i="2"/>
  <c r="D180" i="2"/>
  <c r="D172" i="2"/>
  <c r="D164" i="2"/>
  <c r="D156" i="2"/>
  <c r="D148" i="2"/>
  <c r="E692" i="2"/>
  <c r="E644" i="2"/>
  <c r="E596" i="2"/>
  <c r="R466" i="2"/>
  <c r="R442" i="2"/>
  <c r="F421" i="2"/>
  <c r="O411" i="2"/>
  <c r="C402" i="2"/>
  <c r="P392" i="2"/>
  <c r="P384" i="2"/>
  <c r="P376" i="2"/>
  <c r="P368" i="2"/>
  <c r="P360" i="2"/>
  <c r="P352" i="2"/>
  <c r="P344" i="2"/>
  <c r="P336" i="2"/>
  <c r="P328" i="2"/>
  <c r="P320" i="2"/>
  <c r="P312" i="2"/>
  <c r="P304" i="2"/>
  <c r="P296" i="2"/>
  <c r="P288" i="2"/>
  <c r="P280" i="2"/>
  <c r="P272" i="2"/>
  <c r="P264" i="2"/>
  <c r="H764" i="2"/>
  <c r="C668" i="2"/>
  <c r="C620" i="2"/>
  <c r="C572" i="2"/>
  <c r="A539" i="2"/>
  <c r="A507" i="2"/>
  <c r="P478" i="2"/>
  <c r="P454" i="2"/>
  <c r="P430" i="2"/>
  <c r="Q406" i="2"/>
  <c r="E397" i="2"/>
  <c r="O388" i="2"/>
  <c r="O380" i="2"/>
  <c r="O372" i="2"/>
  <c r="O364" i="2"/>
  <c r="O356" i="2"/>
  <c r="O348" i="2"/>
  <c r="O340" i="2"/>
  <c r="O332" i="2"/>
  <c r="O324" i="2"/>
  <c r="O316" i="2"/>
  <c r="A737" i="2"/>
  <c r="K663" i="2"/>
  <c r="K615" i="2"/>
  <c r="E568" i="2"/>
  <c r="E536" i="2"/>
  <c r="E504" i="2"/>
  <c r="K415" i="2"/>
  <c r="S405" i="2"/>
  <c r="H396" i="2"/>
  <c r="T387" i="2"/>
  <c r="T379" i="2"/>
  <c r="T371" i="2"/>
  <c r="T363" i="2"/>
  <c r="T355" i="2"/>
  <c r="T347" i="2"/>
  <c r="T339" i="2"/>
  <c r="T331" i="2"/>
  <c r="T323" i="2"/>
  <c r="T315" i="2"/>
  <c r="T307" i="2"/>
  <c r="T299" i="2"/>
  <c r="T291" i="2"/>
  <c r="T283" i="2"/>
  <c r="T275" i="2"/>
  <c r="T267" i="2"/>
  <c r="T259" i="2"/>
  <c r="T251" i="2"/>
  <c r="T243" i="2"/>
  <c r="T235" i="2"/>
  <c r="T227" i="2"/>
  <c r="T219" i="2"/>
  <c r="T211" i="2"/>
  <c r="T203" i="2"/>
  <c r="T195" i="2"/>
  <c r="T187" i="2"/>
  <c r="T179" i="2"/>
  <c r="T171" i="2"/>
  <c r="T163" i="2"/>
  <c r="T155" i="2"/>
  <c r="C528" i="2"/>
  <c r="R422" i="2"/>
  <c r="D389" i="2"/>
  <c r="D365" i="2"/>
  <c r="D341" i="2"/>
  <c r="D317" i="2"/>
  <c r="R296" i="2"/>
  <c r="Q277" i="2"/>
  <c r="O258" i="2"/>
  <c r="O242" i="2"/>
  <c r="O226" i="2"/>
  <c r="O210" i="2"/>
  <c r="O194" i="2"/>
  <c r="O178" i="2"/>
  <c r="O162" i="2"/>
  <c r="K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Q448" i="2"/>
  <c r="C416" i="2"/>
  <c r="C363" i="2"/>
  <c r="C267" i="2"/>
  <c r="C171" i="2"/>
  <c r="A519" i="2"/>
  <c r="Q408" i="2"/>
  <c r="H374" i="2"/>
  <c r="H326" i="2"/>
  <c r="H278" i="2"/>
  <c r="H230" i="2"/>
  <c r="H182" i="2"/>
  <c r="K653" i="2"/>
  <c r="K447" i="2"/>
  <c r="N379" i="2"/>
  <c r="N339" i="2"/>
  <c r="N307" i="2"/>
  <c r="N275" i="2"/>
  <c r="N243" i="2"/>
  <c r="N211" i="2"/>
  <c r="N179" i="2"/>
  <c r="G967" i="2"/>
  <c r="J421" i="2"/>
  <c r="S384" i="2"/>
  <c r="M359" i="2"/>
  <c r="M335" i="2"/>
  <c r="M311" i="2"/>
  <c r="M287" i="2"/>
  <c r="M263" i="2"/>
  <c r="M239" i="2"/>
  <c r="M217" i="2"/>
  <c r="F206" i="2"/>
  <c r="M197" i="2"/>
  <c r="M189" i="2"/>
  <c r="M181" i="2"/>
  <c r="M173" i="2"/>
  <c r="M165" i="2"/>
  <c r="M157" i="2"/>
  <c r="M149" i="2"/>
  <c r="R696" i="2"/>
  <c r="R648" i="2"/>
  <c r="R600" i="2"/>
  <c r="H558" i="2"/>
  <c r="H526" i="2"/>
  <c r="H494" i="2"/>
  <c r="C469" i="2"/>
  <c r="C445" i="2"/>
  <c r="F422" i="2"/>
  <c r="M412" i="2"/>
  <c r="A403" i="2"/>
  <c r="N720" i="2"/>
  <c r="P660" i="2"/>
  <c r="P612" i="2"/>
  <c r="E566" i="2"/>
  <c r="E534" i="2"/>
  <c r="E502" i="2"/>
  <c r="A475" i="2"/>
  <c r="A451" i="2"/>
  <c r="A427" i="2"/>
  <c r="S414" i="2"/>
  <c r="H405" i="2"/>
  <c r="P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203" i="2"/>
  <c r="J195" i="2"/>
  <c r="J187" i="2"/>
  <c r="J179" i="2"/>
  <c r="J171" i="2"/>
  <c r="J163" i="2"/>
  <c r="J155" i="2"/>
  <c r="J147" i="2"/>
  <c r="E688" i="2"/>
  <c r="E640" i="2"/>
  <c r="E592" i="2"/>
  <c r="P552" i="2"/>
  <c r="P520" i="2"/>
  <c r="R488" i="2"/>
  <c r="R464" i="2"/>
  <c r="R440" i="2"/>
  <c r="J420" i="2"/>
  <c r="R410" i="2"/>
  <c r="F401" i="2"/>
  <c r="C392" i="2"/>
  <c r="C384" i="2"/>
  <c r="C376" i="2"/>
  <c r="C368" i="2"/>
  <c r="C360" i="2"/>
  <c r="C352" i="2"/>
  <c r="C344" i="2"/>
  <c r="C336" i="2"/>
  <c r="C328" i="2"/>
  <c r="C320" i="2"/>
  <c r="C312" i="2"/>
  <c r="C304" i="2"/>
  <c r="C296" i="2"/>
  <c r="C288" i="2"/>
  <c r="C280" i="2"/>
  <c r="C272" i="2"/>
  <c r="C264" i="2"/>
  <c r="H740" i="2"/>
  <c r="C664" i="2"/>
  <c r="C616" i="2"/>
  <c r="H568" i="2"/>
  <c r="H536" i="2"/>
  <c r="H504" i="2"/>
  <c r="P476" i="2"/>
  <c r="P452" i="2"/>
  <c r="P428" i="2"/>
  <c r="M415" i="2"/>
  <c r="A406" i="2"/>
  <c r="A388" i="2"/>
  <c r="A380" i="2"/>
  <c r="A372" i="2"/>
  <c r="A364" i="2"/>
  <c r="A356" i="2"/>
  <c r="A348" i="2"/>
  <c r="A340" i="2"/>
  <c r="A332" i="2"/>
  <c r="A324" i="2"/>
  <c r="A316" i="2"/>
  <c r="Q715" i="2"/>
  <c r="K659" i="2"/>
  <c r="K611" i="2"/>
  <c r="K565" i="2"/>
  <c r="K533" i="2"/>
  <c r="K501" i="2"/>
  <c r="P414" i="2"/>
  <c r="D405" i="2"/>
  <c r="K395" i="2"/>
  <c r="G387" i="2"/>
  <c r="G379" i="2"/>
  <c r="G371" i="2"/>
  <c r="G363" i="2"/>
  <c r="G355" i="2"/>
  <c r="G347" i="2"/>
  <c r="G339" i="2"/>
  <c r="G331" i="2"/>
  <c r="G323" i="2"/>
  <c r="G315" i="2"/>
  <c r="G307" i="2"/>
  <c r="G299" i="2"/>
  <c r="G291" i="2"/>
  <c r="G283" i="2"/>
  <c r="G275" i="2"/>
  <c r="G267" i="2"/>
  <c r="G259" i="2"/>
  <c r="G251" i="2"/>
  <c r="G243" i="2"/>
  <c r="G235" i="2"/>
  <c r="G227" i="2"/>
  <c r="G219" i="2"/>
  <c r="G211" i="2"/>
  <c r="G203" i="2"/>
  <c r="G195" i="2"/>
  <c r="G187" i="2"/>
  <c r="G179" i="2"/>
  <c r="G171" i="2"/>
  <c r="G163" i="2"/>
  <c r="G155" i="2"/>
  <c r="J419" i="2"/>
  <c r="D387" i="2"/>
  <c r="D363" i="2"/>
  <c r="D339" i="2"/>
  <c r="D315" i="2"/>
  <c r="F295" i="2"/>
  <c r="A276" i="2"/>
  <c r="H257" i="2"/>
  <c r="H241" i="2"/>
  <c r="H225" i="2"/>
  <c r="H209" i="2"/>
  <c r="H193" i="2"/>
  <c r="H177" i="2"/>
  <c r="H161" i="2"/>
  <c r="Q146" i="2"/>
  <c r="Q138" i="2"/>
  <c r="Q130" i="2"/>
  <c r="Q122" i="2"/>
  <c r="Q114" i="2"/>
  <c r="Q106" i="2"/>
  <c r="Q98" i="2"/>
  <c r="Q90" i="2"/>
  <c r="Q82" i="2"/>
  <c r="Q74" i="2"/>
  <c r="Q66" i="2"/>
  <c r="Q58" i="2"/>
  <c r="Q50" i="2"/>
  <c r="Q42" i="2"/>
  <c r="Q34" i="2"/>
  <c r="Q26" i="2"/>
  <c r="Q18" i="2"/>
  <c r="Q10" i="2"/>
  <c r="Q440" i="2"/>
  <c r="P532" i="2"/>
  <c r="J414" i="2"/>
  <c r="C323" i="2"/>
  <c r="C227" i="2"/>
  <c r="O513" i="2"/>
  <c r="O367" i="2"/>
  <c r="O319" i="2"/>
  <c r="O271" i="2"/>
  <c r="O223" i="2"/>
  <c r="O175" i="2"/>
  <c r="K613" i="2"/>
  <c r="K427" i="2"/>
  <c r="G378" i="2"/>
  <c r="G338" i="2"/>
  <c r="G306" i="2"/>
  <c r="G274" i="2"/>
  <c r="G242" i="2"/>
  <c r="G210" i="2"/>
  <c r="G178" i="2"/>
  <c r="H820" i="2"/>
  <c r="C556" i="2"/>
  <c r="C492" i="2"/>
  <c r="R419" i="2"/>
  <c r="M383" i="2"/>
  <c r="F358" i="2"/>
  <c r="F334" i="2"/>
  <c r="F310" i="2"/>
  <c r="F286" i="2"/>
  <c r="F262" i="2"/>
  <c r="F238" i="2"/>
  <c r="S216" i="2"/>
  <c r="M205" i="2"/>
  <c r="S196" i="2"/>
  <c r="S188" i="2"/>
  <c r="S180" i="2"/>
  <c r="S172" i="2"/>
  <c r="S164" i="2"/>
  <c r="S156" i="2"/>
  <c r="S148" i="2"/>
  <c r="R692" i="2"/>
  <c r="R644" i="2"/>
  <c r="R596" i="2"/>
  <c r="O555" i="2"/>
  <c r="O523" i="2"/>
  <c r="O491" i="2"/>
  <c r="C467" i="2"/>
  <c r="C443" i="2"/>
  <c r="Q411" i="2"/>
  <c r="E402" i="2"/>
  <c r="P705" i="2"/>
  <c r="P656" i="2"/>
  <c r="P608" i="2"/>
  <c r="K563" i="2"/>
  <c r="K531" i="2"/>
  <c r="K499" i="2"/>
  <c r="A473" i="2"/>
  <c r="A449" i="2"/>
  <c r="A425" i="2"/>
  <c r="D414" i="2"/>
  <c r="K404" i="2"/>
  <c r="S394" i="2"/>
  <c r="Q386" i="2"/>
  <c r="Q378" i="2"/>
  <c r="Q370" i="2"/>
  <c r="Q362" i="2"/>
  <c r="Q354" i="2"/>
  <c r="Q346" i="2"/>
  <c r="Q338" i="2"/>
  <c r="Q330" i="2"/>
  <c r="Q322" i="2"/>
  <c r="Q314" i="2"/>
  <c r="Q306" i="2"/>
  <c r="Q298" i="2"/>
  <c r="Q290" i="2"/>
  <c r="Q282" i="2"/>
  <c r="Q274" i="2"/>
  <c r="Q266" i="2"/>
  <c r="Q258" i="2"/>
  <c r="Q250" i="2"/>
  <c r="Q242" i="2"/>
  <c r="Q234" i="2"/>
  <c r="Q226" i="2"/>
  <c r="Q218" i="2"/>
  <c r="Q210" i="2"/>
  <c r="Q202" i="2"/>
  <c r="Q194" i="2"/>
  <c r="Q186" i="2"/>
  <c r="Q178" i="2"/>
  <c r="Q170" i="2"/>
  <c r="Q162" i="2"/>
  <c r="Q154" i="2"/>
  <c r="O925" i="2"/>
  <c r="E684" i="2"/>
  <c r="E636" i="2"/>
  <c r="E588" i="2"/>
  <c r="C550" i="2"/>
  <c r="C518" i="2"/>
  <c r="R486" i="2"/>
  <c r="R462" i="2"/>
  <c r="R438" i="2"/>
  <c r="O419" i="2"/>
  <c r="C410" i="2"/>
  <c r="J400" i="2"/>
  <c r="T717" i="2"/>
  <c r="C660" i="2"/>
  <c r="C612" i="2"/>
  <c r="O565" i="2"/>
  <c r="O533" i="2"/>
  <c r="O501" i="2"/>
  <c r="P474" i="2"/>
  <c r="P450" i="2"/>
  <c r="P426" i="2"/>
  <c r="Q414" i="2"/>
  <c r="E405" i="2"/>
  <c r="M395" i="2"/>
  <c r="H387" i="2"/>
  <c r="H379" i="2"/>
  <c r="H371" i="2"/>
  <c r="H363" i="2"/>
  <c r="H355" i="2"/>
  <c r="H347" i="2"/>
  <c r="H339" i="2"/>
  <c r="H331" i="2"/>
  <c r="H323" i="2"/>
  <c r="H315" i="2"/>
  <c r="Q703" i="2"/>
  <c r="K655" i="2"/>
  <c r="K607" i="2"/>
  <c r="R562" i="2"/>
  <c r="R530" i="2"/>
  <c r="R498" i="2"/>
  <c r="S413" i="2"/>
  <c r="H404" i="2"/>
  <c r="P394" i="2"/>
  <c r="N386" i="2"/>
  <c r="N378" i="2"/>
  <c r="N370" i="2"/>
  <c r="N362" i="2"/>
  <c r="N354" i="2"/>
  <c r="N346" i="2"/>
  <c r="N338" i="2"/>
  <c r="N330" i="2"/>
  <c r="N322" i="2"/>
  <c r="N314" i="2"/>
  <c r="N306" i="2"/>
  <c r="N298" i="2"/>
  <c r="N290" i="2"/>
  <c r="N282" i="2"/>
  <c r="N274" i="2"/>
  <c r="N266" i="2"/>
  <c r="N258" i="2"/>
  <c r="N250" i="2"/>
  <c r="N242" i="2"/>
  <c r="N234" i="2"/>
  <c r="N226" i="2"/>
  <c r="N218" i="2"/>
  <c r="N210" i="2"/>
  <c r="N202" i="2"/>
  <c r="N194" i="2"/>
  <c r="N186" i="2"/>
  <c r="N178" i="2"/>
  <c r="N170" i="2"/>
  <c r="N162" i="2"/>
  <c r="N154" i="2"/>
  <c r="P506" i="2"/>
  <c r="F416" i="2"/>
  <c r="D385" i="2"/>
  <c r="D361" i="2"/>
  <c r="D337" i="2"/>
  <c r="D313" i="2"/>
  <c r="Q293" i="2"/>
  <c r="K274" i="2"/>
  <c r="A256" i="2"/>
  <c r="A240" i="2"/>
  <c r="A224" i="2"/>
  <c r="A208" i="2"/>
  <c r="A192" i="2"/>
  <c r="A176" i="2"/>
  <c r="A160" i="2"/>
  <c r="D146" i="2"/>
  <c r="D138" i="2"/>
  <c r="D130" i="2"/>
  <c r="D122" i="2"/>
  <c r="D114" i="2"/>
  <c r="D106" i="2"/>
  <c r="D98" i="2"/>
  <c r="D90" i="2"/>
  <c r="D82" i="2"/>
  <c r="D74" i="2"/>
  <c r="D66" i="2"/>
  <c r="D58" i="2"/>
  <c r="D50" i="2"/>
  <c r="D42" i="2"/>
  <c r="D34" i="2"/>
  <c r="D26" i="2"/>
  <c r="D18" i="2"/>
  <c r="D10" i="2"/>
  <c r="D2" i="2"/>
  <c r="P10" i="2"/>
  <c r="H31" i="2"/>
  <c r="H11" i="2"/>
  <c r="M208" i="2"/>
  <c r="R682" i="2"/>
  <c r="A517" i="2"/>
  <c r="R386" i="2"/>
  <c r="R362" i="2"/>
  <c r="R338" i="2"/>
  <c r="R314" i="2"/>
  <c r="E295" i="2"/>
  <c r="S275" i="2"/>
  <c r="F257" i="2"/>
  <c r="F241" i="2"/>
  <c r="F225" i="2"/>
  <c r="F209" i="2"/>
  <c r="F193" i="2"/>
  <c r="F177" i="2"/>
  <c r="Q432" i="2"/>
  <c r="J406" i="2"/>
  <c r="C379" i="2"/>
  <c r="C283" i="2"/>
  <c r="C187" i="2"/>
  <c r="C1005" i="2"/>
  <c r="O487" i="2"/>
  <c r="H366" i="2"/>
  <c r="H318" i="2"/>
  <c r="H270" i="2"/>
  <c r="H222" i="2"/>
  <c r="H174" i="2"/>
  <c r="K605" i="2"/>
  <c r="K423" i="2"/>
  <c r="N371" i="2"/>
  <c r="T332" i="2"/>
  <c r="T300" i="2"/>
  <c r="T268" i="2"/>
  <c r="T236" i="2"/>
  <c r="T204" i="2"/>
  <c r="T172" i="2"/>
  <c r="F418" i="2"/>
  <c r="F382" i="2"/>
  <c r="M357" i="2"/>
  <c r="M333" i="2"/>
  <c r="M309" i="2"/>
  <c r="M285" i="2"/>
  <c r="M261" i="2"/>
  <c r="M237" i="2"/>
  <c r="M215" i="2"/>
  <c r="S204" i="2"/>
  <c r="F196" i="2"/>
  <c r="F188" i="2"/>
  <c r="F180" i="2"/>
  <c r="F172" i="2"/>
  <c r="F164" i="2"/>
  <c r="F156" i="2"/>
  <c r="F148" i="2"/>
  <c r="R688" i="2"/>
  <c r="R640" i="2"/>
  <c r="R592" i="2"/>
  <c r="A553" i="2"/>
  <c r="A521" i="2"/>
  <c r="C489" i="2"/>
  <c r="C465" i="2"/>
  <c r="C441" i="2"/>
  <c r="M420" i="2"/>
  <c r="A411" i="2"/>
  <c r="P700" i="2"/>
  <c r="P652" i="2"/>
  <c r="P604" i="2"/>
  <c r="R560" i="2"/>
  <c r="R528" i="2"/>
  <c r="R496" i="2"/>
  <c r="A471" i="2"/>
  <c r="A447" i="2"/>
  <c r="D423" i="2"/>
  <c r="H413" i="2"/>
  <c r="P403" i="2"/>
  <c r="D394" i="2"/>
  <c r="D386" i="2"/>
  <c r="D378" i="2"/>
  <c r="D370" i="2"/>
  <c r="D362" i="2"/>
  <c r="D354" i="2"/>
  <c r="D346" i="2"/>
  <c r="D338" i="2"/>
  <c r="D330" i="2"/>
  <c r="D322" i="2"/>
  <c r="D314" i="2"/>
  <c r="D306" i="2"/>
  <c r="D298" i="2"/>
  <c r="D290" i="2"/>
  <c r="D282" i="2"/>
  <c r="D274" i="2"/>
  <c r="D266" i="2"/>
  <c r="D258" i="2"/>
  <c r="D250" i="2"/>
  <c r="D242" i="2"/>
  <c r="D234" i="2"/>
  <c r="D226" i="2"/>
  <c r="D218" i="2"/>
  <c r="D210" i="2"/>
  <c r="D202" i="2"/>
  <c r="D194" i="2"/>
  <c r="D186" i="2"/>
  <c r="D178" i="2"/>
  <c r="D170" i="2"/>
  <c r="D162" i="2"/>
  <c r="D154" i="2"/>
  <c r="K842" i="2"/>
  <c r="E680" i="2"/>
  <c r="E632" i="2"/>
  <c r="E584" i="2"/>
  <c r="R484" i="2"/>
  <c r="R460" i="2"/>
  <c r="R436" i="2"/>
  <c r="R418" i="2"/>
  <c r="F409" i="2"/>
  <c r="O399" i="2"/>
  <c r="P390" i="2"/>
  <c r="P382" i="2"/>
  <c r="P374" i="2"/>
  <c r="P366" i="2"/>
  <c r="P358" i="2"/>
  <c r="P350" i="2"/>
  <c r="P342" i="2"/>
  <c r="P334" i="2"/>
  <c r="P326" i="2"/>
  <c r="P318" i="2"/>
  <c r="P310" i="2"/>
  <c r="P302" i="2"/>
  <c r="P294" i="2"/>
  <c r="P286" i="2"/>
  <c r="P278" i="2"/>
  <c r="P270" i="2"/>
  <c r="P262" i="2"/>
  <c r="N704" i="2"/>
  <c r="C656" i="2"/>
  <c r="C608" i="2"/>
  <c r="A563" i="2"/>
  <c r="A531" i="2"/>
  <c r="A499" i="2"/>
  <c r="P472" i="2"/>
  <c r="P448" i="2"/>
  <c r="P424" i="2"/>
  <c r="A414" i="2"/>
  <c r="Q394" i="2"/>
  <c r="O386" i="2"/>
  <c r="O378" i="2"/>
  <c r="O370" i="2"/>
  <c r="O362" i="2"/>
  <c r="O354" i="2"/>
  <c r="O346" i="2"/>
  <c r="O338" i="2"/>
  <c r="O330" i="2"/>
  <c r="O322" i="2"/>
  <c r="O314" i="2"/>
  <c r="K699" i="2"/>
  <c r="K651" i="2"/>
  <c r="K603" i="2"/>
  <c r="E560" i="2"/>
  <c r="E528" i="2"/>
  <c r="E496" i="2"/>
  <c r="S422" i="2"/>
  <c r="D413" i="2"/>
  <c r="K403" i="2"/>
  <c r="T393" i="2"/>
  <c r="T385" i="2"/>
  <c r="T377" i="2"/>
  <c r="T369" i="2"/>
  <c r="T361" i="2"/>
  <c r="T353" i="2"/>
  <c r="T345" i="2"/>
  <c r="T337" i="2"/>
  <c r="T329" i="2"/>
  <c r="T321" i="2"/>
  <c r="T313" i="2"/>
  <c r="T305" i="2"/>
  <c r="T297" i="2"/>
  <c r="T289" i="2"/>
  <c r="T281" i="2"/>
  <c r="T273" i="2"/>
  <c r="T265" i="2"/>
  <c r="T257" i="2"/>
  <c r="T249" i="2"/>
  <c r="T241" i="2"/>
  <c r="T233" i="2"/>
  <c r="T225" i="2"/>
  <c r="T217" i="2"/>
  <c r="T209" i="2"/>
  <c r="T201" i="2"/>
  <c r="T193" i="2"/>
  <c r="T185" i="2"/>
  <c r="T177" i="2"/>
  <c r="T169" i="2"/>
  <c r="T161" i="2"/>
  <c r="T153" i="2"/>
  <c r="C496" i="2"/>
  <c r="C413" i="2"/>
  <c r="D383" i="2"/>
  <c r="D359" i="2"/>
  <c r="D335" i="2"/>
  <c r="F311" i="2"/>
  <c r="A292" i="2"/>
  <c r="R272" i="2"/>
  <c r="O254" i="2"/>
  <c r="O238" i="2"/>
  <c r="O222" i="2"/>
  <c r="O206" i="2"/>
  <c r="O190" i="2"/>
  <c r="O174" i="2"/>
  <c r="O158" i="2"/>
  <c r="J145" i="2"/>
  <c r="J137" i="2"/>
  <c r="J129" i="2"/>
  <c r="J121" i="2"/>
  <c r="J113" i="2"/>
  <c r="J105" i="2"/>
  <c r="J97" i="2"/>
  <c r="J89" i="2"/>
  <c r="J81" i="2"/>
  <c r="J73" i="2"/>
  <c r="J65" i="2"/>
  <c r="J57" i="2"/>
  <c r="J49" i="2"/>
  <c r="J41" i="2"/>
  <c r="J33" i="2"/>
  <c r="J25" i="2"/>
  <c r="J17" i="2"/>
  <c r="J9" i="2"/>
  <c r="C40" i="2"/>
  <c r="C24" i="2"/>
  <c r="A30" i="2"/>
  <c r="A10" i="2"/>
  <c r="S201" i="2"/>
  <c r="R666" i="2"/>
  <c r="H506" i="2"/>
  <c r="E416" i="2"/>
  <c r="R384" i="2"/>
  <c r="R360" i="2"/>
  <c r="R336" i="2"/>
  <c r="R312" i="2"/>
  <c r="K293" i="2"/>
  <c r="J274" i="2"/>
  <c r="S255" i="2"/>
  <c r="S239" i="2"/>
  <c r="S223" i="2"/>
  <c r="S207" i="2"/>
  <c r="S191" i="2"/>
  <c r="S175" i="2"/>
  <c r="Q424" i="2"/>
  <c r="R404" i="2"/>
  <c r="C339" i="2"/>
  <c r="C243" i="2"/>
  <c r="O483" i="2"/>
  <c r="Q400" i="2"/>
  <c r="O359" i="2"/>
  <c r="O311" i="2"/>
  <c r="O263" i="2"/>
  <c r="O215" i="2"/>
  <c r="O167" i="2"/>
  <c r="R566" i="2"/>
  <c r="G370" i="2"/>
  <c r="N331" i="2"/>
  <c r="N299" i="2"/>
  <c r="N267" i="2"/>
  <c r="N235" i="2"/>
  <c r="N203" i="2"/>
  <c r="N171" i="2"/>
  <c r="P550" i="2"/>
  <c r="R411" i="2"/>
  <c r="S376" i="2"/>
  <c r="S352" i="2"/>
  <c r="S328" i="2"/>
  <c r="S304" i="2"/>
  <c r="S280" i="2"/>
  <c r="S256" i="2"/>
  <c r="S232" i="2"/>
  <c r="F214" i="2"/>
  <c r="F204" i="2"/>
  <c r="M195" i="2"/>
  <c r="M187" i="2"/>
  <c r="M179" i="2"/>
  <c r="M171" i="2"/>
  <c r="M163" i="2"/>
  <c r="M155" i="2"/>
  <c r="M946" i="2"/>
  <c r="R684" i="2"/>
  <c r="R636" i="2"/>
  <c r="R588" i="2"/>
  <c r="H550" i="2"/>
  <c r="H518" i="2"/>
  <c r="C487" i="2"/>
  <c r="C463" i="2"/>
  <c r="C439" i="2"/>
  <c r="Q419" i="2"/>
  <c r="E410" i="2"/>
  <c r="M400" i="2"/>
  <c r="P696" i="2"/>
  <c r="P648" i="2"/>
  <c r="P600" i="2"/>
  <c r="E558" i="2"/>
  <c r="E526" i="2"/>
  <c r="E494" i="2"/>
  <c r="A469" i="2"/>
  <c r="A445" i="2"/>
  <c r="E422" i="2"/>
  <c r="K412" i="2"/>
  <c r="S402" i="2"/>
  <c r="J393" i="2"/>
  <c r="J385" i="2"/>
  <c r="J377" i="2"/>
  <c r="J369" i="2"/>
  <c r="J361" i="2"/>
  <c r="J353" i="2"/>
  <c r="J345" i="2"/>
  <c r="J337" i="2"/>
  <c r="J329" i="2"/>
  <c r="J321" i="2"/>
  <c r="J313" i="2"/>
  <c r="J305" i="2"/>
  <c r="J297" i="2"/>
  <c r="J289" i="2"/>
  <c r="J281" i="2"/>
  <c r="J273" i="2"/>
  <c r="J265" i="2"/>
  <c r="J257" i="2"/>
  <c r="J249" i="2"/>
  <c r="J241" i="2"/>
  <c r="J233" i="2"/>
  <c r="J225" i="2"/>
  <c r="J217" i="2"/>
  <c r="J209" i="2"/>
  <c r="J201" i="2"/>
  <c r="J193" i="2"/>
  <c r="J185" i="2"/>
  <c r="J177" i="2"/>
  <c r="J169" i="2"/>
  <c r="J161" i="2"/>
  <c r="J153" i="2"/>
  <c r="A813" i="2"/>
  <c r="E676" i="2"/>
  <c r="E628" i="2"/>
  <c r="E580" i="2"/>
  <c r="P544" i="2"/>
  <c r="P512" i="2"/>
  <c r="R482" i="2"/>
  <c r="R458" i="2"/>
  <c r="R434" i="2"/>
  <c r="C418" i="2"/>
  <c r="J408" i="2"/>
  <c r="R398" i="2"/>
  <c r="C390" i="2"/>
  <c r="C382" i="2"/>
  <c r="C374" i="2"/>
  <c r="C366" i="2"/>
  <c r="C358" i="2"/>
  <c r="C350" i="2"/>
  <c r="C342" i="2"/>
  <c r="C334" i="2"/>
  <c r="C326" i="2"/>
  <c r="C318" i="2"/>
  <c r="C310" i="2"/>
  <c r="C302" i="2"/>
  <c r="C294" i="2"/>
  <c r="C286" i="2"/>
  <c r="C278" i="2"/>
  <c r="C270" i="2"/>
  <c r="C262" i="2"/>
  <c r="C700" i="2"/>
  <c r="C652" i="2"/>
  <c r="C604" i="2"/>
  <c r="H560" i="2"/>
  <c r="H528" i="2"/>
  <c r="H496" i="2"/>
  <c r="P470" i="2"/>
  <c r="P446" i="2"/>
  <c r="A423" i="2"/>
  <c r="E413" i="2"/>
  <c r="M403" i="2"/>
  <c r="A394" i="2"/>
  <c r="A386" i="2"/>
  <c r="A378" i="2"/>
  <c r="A370" i="2"/>
  <c r="A362" i="2"/>
  <c r="A354" i="2"/>
  <c r="A346" i="2"/>
  <c r="A338" i="2"/>
  <c r="A330" i="2"/>
  <c r="A322" i="2"/>
  <c r="A314" i="2"/>
  <c r="K695" i="2"/>
  <c r="K647" i="2"/>
  <c r="K599" i="2"/>
  <c r="K557" i="2"/>
  <c r="K525" i="2"/>
  <c r="K493" i="2"/>
  <c r="S421" i="2"/>
  <c r="H412" i="2"/>
  <c r="P402" i="2"/>
  <c r="G393" i="2"/>
  <c r="G385" i="2"/>
  <c r="G377" i="2"/>
  <c r="G369" i="2"/>
  <c r="G361" i="2"/>
  <c r="G353" i="2"/>
  <c r="G345" i="2"/>
  <c r="G337" i="2"/>
  <c r="G329" i="2"/>
  <c r="G321" i="2"/>
  <c r="G313" i="2"/>
  <c r="G305" i="2"/>
  <c r="G297" i="2"/>
  <c r="G289" i="2"/>
  <c r="G281" i="2"/>
  <c r="G273" i="2"/>
  <c r="G265" i="2"/>
  <c r="G257" i="2"/>
  <c r="G249" i="2"/>
  <c r="G241" i="2"/>
  <c r="G233" i="2"/>
  <c r="G225" i="2"/>
  <c r="G217" i="2"/>
  <c r="G209" i="2"/>
  <c r="G201" i="2"/>
  <c r="G193" i="2"/>
  <c r="G185" i="2"/>
  <c r="G177" i="2"/>
  <c r="G169" i="2"/>
  <c r="G161" i="2"/>
  <c r="G153" i="2"/>
  <c r="H486" i="2"/>
  <c r="R409" i="2"/>
  <c r="D381" i="2"/>
  <c r="D357" i="2"/>
  <c r="D333" i="2"/>
  <c r="Q309" i="2"/>
  <c r="K290" i="2"/>
  <c r="F271" i="2"/>
  <c r="H253" i="2"/>
  <c r="H237" i="2"/>
  <c r="H221" i="2"/>
  <c r="H205" i="2"/>
  <c r="H189" i="2"/>
  <c r="H173" i="2"/>
  <c r="H157" i="2"/>
  <c r="Q144" i="2"/>
  <c r="Q136" i="2"/>
  <c r="Q128" i="2"/>
  <c r="Q120" i="2"/>
  <c r="Q112" i="2"/>
  <c r="Q104" i="2"/>
  <c r="Q96" i="2"/>
  <c r="Q88" i="2"/>
  <c r="Q80" i="2"/>
  <c r="Q72" i="2"/>
  <c r="Q64" i="2"/>
  <c r="Q56" i="2"/>
  <c r="Q48" i="2"/>
  <c r="Q40" i="2"/>
  <c r="Q32" i="2"/>
  <c r="Q24" i="2"/>
  <c r="Q16" i="2"/>
  <c r="Q8" i="2"/>
  <c r="P54" i="2"/>
  <c r="P38" i="2"/>
  <c r="C8" i="2"/>
  <c r="A28" i="2"/>
  <c r="O8" i="2"/>
  <c r="M188" i="2"/>
  <c r="R650" i="2"/>
  <c r="O495" i="2"/>
  <c r="A413" i="2"/>
  <c r="R382" i="2"/>
  <c r="R358" i="2"/>
  <c r="R334" i="2"/>
  <c r="E311" i="2"/>
  <c r="S291" i="2"/>
  <c r="O272" i="2"/>
  <c r="M254" i="2"/>
  <c r="M238" i="2"/>
  <c r="M222" i="2"/>
  <c r="M206" i="2"/>
  <c r="M190" i="2"/>
  <c r="M174" i="2"/>
  <c r="M158" i="2"/>
  <c r="P56" i="2"/>
  <c r="C42" i="2"/>
  <c r="C26" i="2"/>
  <c r="P8" i="2"/>
  <c r="O24" i="2"/>
  <c r="A2" i="2"/>
  <c r="A891" i="2"/>
  <c r="R548" i="2"/>
  <c r="C438" i="2"/>
  <c r="M392" i="2"/>
  <c r="M368" i="2"/>
  <c r="M344" i="2"/>
  <c r="M320" i="2"/>
  <c r="R299" i="2"/>
  <c r="M280" i="2"/>
  <c r="H261" i="2"/>
  <c r="E245" i="2"/>
  <c r="E229" i="2"/>
  <c r="E213" i="2"/>
  <c r="E197" i="2"/>
  <c r="E181" i="2"/>
  <c r="E165" i="2"/>
  <c r="F149" i="2"/>
  <c r="O140" i="2"/>
  <c r="O132" i="2"/>
  <c r="O124" i="2"/>
  <c r="J710" i="2"/>
  <c r="R396" i="2"/>
  <c r="C299" i="2"/>
  <c r="C203" i="2"/>
  <c r="C686" i="2"/>
  <c r="O463" i="2"/>
  <c r="E399" i="2"/>
  <c r="H358" i="2"/>
  <c r="H310" i="2"/>
  <c r="H262" i="2"/>
  <c r="H214" i="2"/>
  <c r="H166" i="2"/>
  <c r="K561" i="2"/>
  <c r="D415" i="2"/>
  <c r="N363" i="2"/>
  <c r="G330" i="2"/>
  <c r="G298" i="2"/>
  <c r="G266" i="2"/>
  <c r="G234" i="2"/>
  <c r="G202" i="2"/>
  <c r="G170" i="2"/>
  <c r="F410" i="2"/>
  <c r="M375" i="2"/>
  <c r="M351" i="2"/>
  <c r="M327" i="2"/>
  <c r="M303" i="2"/>
  <c r="M279" i="2"/>
  <c r="M255" i="2"/>
  <c r="M231" i="2"/>
  <c r="M213" i="2"/>
  <c r="M203" i="2"/>
  <c r="S194" i="2"/>
  <c r="S186" i="2"/>
  <c r="S178" i="2"/>
  <c r="S170" i="2"/>
  <c r="S162" i="2"/>
  <c r="S154" i="2"/>
  <c r="F852" i="2"/>
  <c r="R680" i="2"/>
  <c r="R632" i="2"/>
  <c r="R584" i="2"/>
  <c r="O547" i="2"/>
  <c r="O515" i="2"/>
  <c r="C485" i="2"/>
  <c r="C461" i="2"/>
  <c r="C437" i="2"/>
  <c r="A419" i="2"/>
  <c r="Q399" i="2"/>
  <c r="P692" i="2"/>
  <c r="P644" i="2"/>
  <c r="P596" i="2"/>
  <c r="K555" i="2"/>
  <c r="K523" i="2"/>
  <c r="K491" i="2"/>
  <c r="A467" i="2"/>
  <c r="A443" i="2"/>
  <c r="H421" i="2"/>
  <c r="P411" i="2"/>
  <c r="D402" i="2"/>
  <c r="Q392" i="2"/>
  <c r="Q384" i="2"/>
  <c r="Q376" i="2"/>
  <c r="Q368" i="2"/>
  <c r="Q360" i="2"/>
  <c r="Q352" i="2"/>
  <c r="Q344" i="2"/>
  <c r="Q336" i="2"/>
  <c r="Q328" i="2"/>
  <c r="Q320" i="2"/>
  <c r="Q312" i="2"/>
  <c r="Q304" i="2"/>
  <c r="Q296" i="2"/>
  <c r="Q288" i="2"/>
  <c r="Q280" i="2"/>
  <c r="Q272" i="2"/>
  <c r="Q264" i="2"/>
  <c r="Q256" i="2"/>
  <c r="Q248" i="2"/>
  <c r="Q240" i="2"/>
  <c r="Q232" i="2"/>
  <c r="Q224" i="2"/>
  <c r="Q216" i="2"/>
  <c r="Q208" i="2"/>
  <c r="Q200" i="2"/>
  <c r="Q192" i="2"/>
  <c r="Q184" i="2"/>
  <c r="Q176" i="2"/>
  <c r="Q168" i="2"/>
  <c r="Q160" i="2"/>
  <c r="Q152" i="2"/>
  <c r="A789" i="2"/>
  <c r="E672" i="2"/>
  <c r="E624" i="2"/>
  <c r="E576" i="2"/>
  <c r="C542" i="2"/>
  <c r="C510" i="2"/>
  <c r="R480" i="2"/>
  <c r="R456" i="2"/>
  <c r="R432" i="2"/>
  <c r="F417" i="2"/>
  <c r="O407" i="2"/>
  <c r="C398" i="2"/>
  <c r="C696" i="2"/>
  <c r="C648" i="2"/>
  <c r="C600" i="2"/>
  <c r="O557" i="2"/>
  <c r="O525" i="2"/>
  <c r="O493" i="2"/>
  <c r="P468" i="2"/>
  <c r="P444" i="2"/>
  <c r="A422" i="2"/>
  <c r="Q402" i="2"/>
  <c r="H393" i="2"/>
  <c r="H385" i="2"/>
  <c r="H377" i="2"/>
  <c r="H369" i="2"/>
  <c r="H361" i="2"/>
  <c r="H353" i="2"/>
  <c r="H345" i="2"/>
  <c r="H337" i="2"/>
  <c r="H329" i="2"/>
  <c r="H321" i="2"/>
  <c r="H313" i="2"/>
  <c r="K691" i="2"/>
  <c r="K643" i="2"/>
  <c r="K595" i="2"/>
  <c r="R554" i="2"/>
  <c r="R522" i="2"/>
  <c r="R490" i="2"/>
  <c r="D421" i="2"/>
  <c r="K411" i="2"/>
  <c r="S401" i="2"/>
  <c r="N392" i="2"/>
  <c r="N384" i="2"/>
  <c r="N376" i="2"/>
  <c r="N368" i="2"/>
  <c r="N360" i="2"/>
  <c r="N352" i="2"/>
  <c r="N344" i="2"/>
  <c r="N336" i="2"/>
  <c r="N328" i="2"/>
  <c r="N320" i="2"/>
  <c r="N312" i="2"/>
  <c r="N304" i="2"/>
  <c r="N296" i="2"/>
  <c r="N288" i="2"/>
  <c r="N280" i="2"/>
  <c r="N272" i="2"/>
  <c r="N264" i="2"/>
  <c r="N256" i="2"/>
  <c r="N248" i="2"/>
  <c r="N240" i="2"/>
  <c r="N232" i="2"/>
  <c r="N224" i="2"/>
  <c r="N216" i="2"/>
  <c r="N208" i="2"/>
  <c r="N200" i="2"/>
  <c r="N192" i="2"/>
  <c r="N184" i="2"/>
  <c r="N176" i="2"/>
  <c r="N168" i="2"/>
  <c r="N160" i="2"/>
  <c r="N152" i="2"/>
  <c r="H478" i="2"/>
  <c r="O406" i="2"/>
  <c r="D379" i="2"/>
  <c r="D355" i="2"/>
  <c r="D331" i="2"/>
  <c r="A308" i="2"/>
  <c r="R288" i="2"/>
  <c r="Q269" i="2"/>
  <c r="A252" i="2"/>
  <c r="A236" i="2"/>
  <c r="A220" i="2"/>
  <c r="A204" i="2"/>
  <c r="A188" i="2"/>
  <c r="A172" i="2"/>
  <c r="A156" i="2"/>
  <c r="D144" i="2"/>
  <c r="D136" i="2"/>
  <c r="D128" i="2"/>
  <c r="D120" i="2"/>
  <c r="D112" i="2"/>
  <c r="D104" i="2"/>
  <c r="D96" i="2"/>
  <c r="D88" i="2"/>
  <c r="D80" i="2"/>
  <c r="D72" i="2"/>
  <c r="D64" i="2"/>
  <c r="D56" i="2"/>
  <c r="D48" i="2"/>
  <c r="D40" i="2"/>
  <c r="D32" i="2"/>
  <c r="D24" i="2"/>
  <c r="D16" i="2"/>
  <c r="D8" i="2"/>
  <c r="C38" i="2"/>
  <c r="C22" i="2"/>
  <c r="P6" i="2"/>
  <c r="H27" i="2"/>
  <c r="H7" i="2"/>
  <c r="S177" i="2"/>
  <c r="R634" i="2"/>
  <c r="E486" i="2"/>
  <c r="Q409" i="2"/>
  <c r="R380" i="2"/>
  <c r="R356" i="2"/>
  <c r="R332" i="2"/>
  <c r="K309" i="2"/>
  <c r="J290" i="2"/>
  <c r="E271" i="2"/>
  <c r="F253" i="2"/>
  <c r="F237" i="2"/>
  <c r="F221" i="2"/>
  <c r="F205" i="2"/>
  <c r="F189" i="2"/>
  <c r="F173" i="2"/>
  <c r="F157" i="2"/>
  <c r="P144" i="2"/>
  <c r="P136" i="2"/>
  <c r="P128" i="2"/>
  <c r="P120" i="2"/>
  <c r="P112" i="2"/>
  <c r="P104" i="2"/>
  <c r="P96" i="2"/>
  <c r="P88" i="2"/>
  <c r="P80" i="2"/>
  <c r="P72" i="2"/>
  <c r="P64" i="2"/>
  <c r="C56" i="2"/>
  <c r="P40" i="2"/>
  <c r="P24" i="2"/>
  <c r="O22" i="2"/>
  <c r="J8" i="2"/>
  <c r="H756" i="2"/>
  <c r="E538" i="2"/>
  <c r="C430" i="2"/>
  <c r="M390" i="2"/>
  <c r="M366" i="2"/>
  <c r="M342" i="2"/>
  <c r="M318" i="2"/>
  <c r="E298" i="2"/>
  <c r="D279" i="2"/>
  <c r="R259" i="2"/>
  <c r="R243" i="2"/>
  <c r="R227" i="2"/>
  <c r="R211" i="2"/>
  <c r="R195" i="2"/>
  <c r="R179" i="2"/>
  <c r="R163" i="2"/>
  <c r="C148" i="2"/>
  <c r="A140" i="2"/>
  <c r="A132" i="2"/>
  <c r="A124" i="2"/>
  <c r="A116" i="2"/>
  <c r="E658" i="2"/>
  <c r="F395" i="2"/>
  <c r="C355" i="2"/>
  <c r="C259" i="2"/>
  <c r="C163" i="2"/>
  <c r="C678" i="2"/>
  <c r="O459" i="2"/>
  <c r="O351" i="2"/>
  <c r="O303" i="2"/>
  <c r="O255" i="2"/>
  <c r="O207" i="2"/>
  <c r="O159" i="2"/>
  <c r="R534" i="2"/>
  <c r="K413" i="2"/>
  <c r="G362" i="2"/>
  <c r="T324" i="2"/>
  <c r="T292" i="2"/>
  <c r="T260" i="2"/>
  <c r="T228" i="2"/>
  <c r="T196" i="2"/>
  <c r="T164" i="2"/>
  <c r="O408" i="2"/>
  <c r="F374" i="2"/>
  <c r="F350" i="2"/>
  <c r="F326" i="2"/>
  <c r="F302" i="2"/>
  <c r="F278" i="2"/>
  <c r="F254" i="2"/>
  <c r="F230" i="2"/>
  <c r="S212" i="2"/>
  <c r="S202" i="2"/>
  <c r="F194" i="2"/>
  <c r="F186" i="2"/>
  <c r="F178" i="2"/>
  <c r="F170" i="2"/>
  <c r="F162" i="2"/>
  <c r="F154" i="2"/>
  <c r="A817" i="2"/>
  <c r="R676" i="2"/>
  <c r="R628" i="2"/>
  <c r="R580" i="2"/>
  <c r="A545" i="2"/>
  <c r="A513" i="2"/>
  <c r="C483" i="2"/>
  <c r="C459" i="2"/>
  <c r="C435" i="2"/>
  <c r="E418" i="2"/>
  <c r="M408" i="2"/>
  <c r="A399" i="2"/>
  <c r="P688" i="2"/>
  <c r="P640" i="2"/>
  <c r="P592" i="2"/>
  <c r="R552" i="2"/>
  <c r="R520" i="2"/>
  <c r="A489" i="2"/>
  <c r="A465" i="2"/>
  <c r="A441" i="2"/>
  <c r="K420" i="2"/>
  <c r="S410" i="2"/>
  <c r="H401" i="2"/>
  <c r="D392" i="2"/>
  <c r="D384" i="2"/>
  <c r="D376" i="2"/>
  <c r="D368" i="2"/>
  <c r="D360" i="2"/>
  <c r="D352" i="2"/>
  <c r="D344" i="2"/>
  <c r="D336" i="2"/>
  <c r="D328" i="2"/>
  <c r="D320" i="2"/>
  <c r="D312" i="2"/>
  <c r="D304" i="2"/>
  <c r="D296" i="2"/>
  <c r="D288" i="2"/>
  <c r="D280" i="2"/>
  <c r="D272" i="2"/>
  <c r="D264" i="2"/>
  <c r="D256" i="2"/>
  <c r="D248" i="2"/>
  <c r="D240" i="2"/>
  <c r="D232" i="2"/>
  <c r="D224" i="2"/>
  <c r="D216" i="2"/>
  <c r="D208" i="2"/>
  <c r="D200" i="2"/>
  <c r="D192" i="2"/>
  <c r="D184" i="2"/>
  <c r="D176" i="2"/>
  <c r="D168" i="2"/>
  <c r="D160" i="2"/>
  <c r="D152" i="2"/>
  <c r="A765" i="2"/>
  <c r="E668" i="2"/>
  <c r="E620" i="2"/>
  <c r="E572" i="2"/>
  <c r="R478" i="2"/>
  <c r="R454" i="2"/>
  <c r="R430" i="2"/>
  <c r="J416" i="2"/>
  <c r="R406" i="2"/>
  <c r="F397" i="2"/>
  <c r="P388" i="2"/>
  <c r="P380" i="2"/>
  <c r="P372" i="2"/>
  <c r="P364" i="2"/>
  <c r="P356" i="2"/>
  <c r="P348" i="2"/>
  <c r="P340" i="2"/>
  <c r="P332" i="2"/>
  <c r="P324" i="2"/>
  <c r="P316" i="2"/>
  <c r="P308" i="2"/>
  <c r="P300" i="2"/>
  <c r="P292" i="2"/>
  <c r="P284" i="2"/>
  <c r="P276" i="2"/>
  <c r="P268" i="2"/>
  <c r="P260" i="2"/>
  <c r="C692" i="2"/>
  <c r="C644" i="2"/>
  <c r="C596" i="2"/>
  <c r="A555" i="2"/>
  <c r="A523" i="2"/>
  <c r="A491" i="2"/>
  <c r="P466" i="2"/>
  <c r="P442" i="2"/>
  <c r="E421" i="2"/>
  <c r="M411" i="2"/>
  <c r="A402" i="2"/>
  <c r="O392" i="2"/>
  <c r="O384" i="2"/>
  <c r="O376" i="2"/>
  <c r="O368" i="2"/>
  <c r="O360" i="2"/>
  <c r="O352" i="2"/>
  <c r="O344" i="2"/>
  <c r="O336" i="2"/>
  <c r="O328" i="2"/>
  <c r="O320" i="2"/>
  <c r="O312" i="2"/>
  <c r="K687" i="2"/>
  <c r="K639" i="2"/>
  <c r="K591" i="2"/>
  <c r="E552" i="2"/>
  <c r="E520" i="2"/>
  <c r="H420" i="2"/>
  <c r="P410" i="2"/>
  <c r="D401" i="2"/>
  <c r="T391" i="2"/>
  <c r="T383" i="2"/>
  <c r="T375" i="2"/>
  <c r="T367" i="2"/>
  <c r="T359" i="2"/>
  <c r="T351" i="2"/>
  <c r="T343" i="2"/>
  <c r="T335" i="2"/>
  <c r="T327" i="2"/>
  <c r="T319" i="2"/>
  <c r="T311" i="2"/>
  <c r="T303" i="2"/>
  <c r="T295" i="2"/>
  <c r="T287" i="2"/>
  <c r="T279" i="2"/>
  <c r="T271" i="2"/>
  <c r="T263" i="2"/>
  <c r="T255" i="2"/>
  <c r="T247" i="2"/>
  <c r="T239" i="2"/>
  <c r="T231" i="2"/>
  <c r="T223" i="2"/>
  <c r="T215" i="2"/>
  <c r="T207" i="2"/>
  <c r="T199" i="2"/>
  <c r="T191" i="2"/>
  <c r="T183" i="2"/>
  <c r="T175" i="2"/>
  <c r="T167" i="2"/>
  <c r="T159" i="2"/>
  <c r="T151" i="2"/>
  <c r="H470" i="2"/>
  <c r="J403" i="2"/>
  <c r="D377" i="2"/>
  <c r="D353" i="2"/>
  <c r="D329" i="2"/>
  <c r="K306" i="2"/>
  <c r="F287" i="2"/>
  <c r="A268" i="2"/>
  <c r="O250" i="2"/>
  <c r="O234" i="2"/>
  <c r="O218" i="2"/>
  <c r="O202" i="2"/>
  <c r="O186" i="2"/>
  <c r="O170" i="2"/>
  <c r="O154" i="2"/>
  <c r="J143" i="2"/>
  <c r="J135" i="2"/>
  <c r="J127" i="2"/>
  <c r="J119" i="2"/>
  <c r="J111" i="2"/>
  <c r="J103" i="2"/>
  <c r="J95" i="2"/>
  <c r="J87" i="2"/>
  <c r="J79" i="2"/>
  <c r="J71" i="2"/>
  <c r="J63" i="2"/>
  <c r="J55" i="2"/>
  <c r="J47" i="2"/>
  <c r="J39" i="2"/>
  <c r="J31" i="2"/>
  <c r="J23" i="2"/>
  <c r="J15" i="2"/>
  <c r="J7" i="2"/>
  <c r="P36" i="2"/>
  <c r="P20" i="2"/>
  <c r="C6" i="2"/>
  <c r="H25" i="2"/>
  <c r="H5" i="2"/>
  <c r="M168" i="2"/>
  <c r="R618" i="2"/>
  <c r="E478" i="2"/>
  <c r="M406" i="2"/>
  <c r="R378" i="2"/>
  <c r="R354" i="2"/>
  <c r="R330" i="2"/>
  <c r="S307" i="2"/>
  <c r="O288" i="2"/>
  <c r="K269" i="2"/>
  <c r="S251" i="2"/>
  <c r="S235" i="2"/>
  <c r="S219" i="2"/>
  <c r="S203" i="2"/>
  <c r="S187" i="2"/>
  <c r="S171" i="2"/>
  <c r="S155" i="2"/>
  <c r="C144" i="2"/>
  <c r="C136" i="2"/>
  <c r="C128" i="2"/>
  <c r="C120" i="2"/>
  <c r="C112" i="2"/>
  <c r="C104" i="2"/>
  <c r="C96" i="2"/>
  <c r="C88" i="2"/>
  <c r="C80" i="2"/>
  <c r="C72" i="2"/>
  <c r="D22" i="2"/>
  <c r="P48" i="2"/>
  <c r="O12" i="2"/>
  <c r="O527" i="2"/>
  <c r="R374" i="2"/>
  <c r="O304" i="2"/>
  <c r="F249" i="2"/>
  <c r="F201" i="2"/>
  <c r="S159" i="2"/>
  <c r="C12" i="2"/>
  <c r="H19" i="2"/>
  <c r="S169" i="2"/>
  <c r="R516" i="2"/>
  <c r="D400" i="2"/>
  <c r="M362" i="2"/>
  <c r="M326" i="2"/>
  <c r="D295" i="2"/>
  <c r="E266" i="2"/>
  <c r="E241" i="2"/>
  <c r="E217" i="2"/>
  <c r="E193" i="2"/>
  <c r="E169" i="2"/>
  <c r="O146" i="2"/>
  <c r="O134" i="2"/>
  <c r="O122" i="2"/>
  <c r="O112" i="2"/>
  <c r="O104" i="2"/>
  <c r="O96" i="2"/>
  <c r="O88" i="2"/>
  <c r="O80" i="2"/>
  <c r="O72" i="2"/>
  <c r="O64" i="2"/>
  <c r="O56" i="2"/>
  <c r="O48" i="2"/>
  <c r="H39" i="2"/>
  <c r="H13" i="2"/>
  <c r="Q147" i="2"/>
  <c r="H444" i="2"/>
  <c r="M394" i="2"/>
  <c r="K370" i="2"/>
  <c r="K346" i="2"/>
  <c r="K322" i="2"/>
  <c r="F301" i="2"/>
  <c r="A282" i="2"/>
  <c r="R262" i="2"/>
  <c r="J246" i="2"/>
  <c r="J230" i="2"/>
  <c r="J214" i="2"/>
  <c r="J198" i="2"/>
  <c r="J182" i="2"/>
  <c r="J166" i="2"/>
  <c r="J150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21" i="2"/>
  <c r="G13" i="2"/>
  <c r="G5" i="2"/>
  <c r="D7" i="2"/>
  <c r="C143" i="2"/>
  <c r="A557" i="2"/>
  <c r="E444" i="2"/>
  <c r="K394" i="2"/>
  <c r="J370" i="2"/>
  <c r="J346" i="2"/>
  <c r="J322" i="2"/>
  <c r="E301" i="2"/>
  <c r="S281" i="2"/>
  <c r="O262" i="2"/>
  <c r="E246" i="2"/>
  <c r="E230" i="2"/>
  <c r="E214" i="2"/>
  <c r="E198" i="2"/>
  <c r="E182" i="2"/>
  <c r="E166" i="2"/>
  <c r="E150" i="2"/>
  <c r="F141" i="2"/>
  <c r="F133" i="2"/>
  <c r="F125" i="2"/>
  <c r="F117" i="2"/>
  <c r="F109" i="2"/>
  <c r="F101" i="2"/>
  <c r="F93" i="2"/>
  <c r="F85" i="2"/>
  <c r="F77" i="2"/>
  <c r="F69" i="2"/>
  <c r="F61" i="2"/>
  <c r="F53" i="2"/>
  <c r="F45" i="2"/>
  <c r="F37" i="2"/>
  <c r="F29" i="2"/>
  <c r="F21" i="2"/>
  <c r="F13" i="2"/>
  <c r="F5" i="2"/>
  <c r="D29" i="2"/>
  <c r="M232" i="2"/>
  <c r="C145" i="2"/>
  <c r="K567" i="2"/>
  <c r="C452" i="2"/>
  <c r="M396" i="2"/>
  <c r="E372" i="2"/>
  <c r="E348" i="2"/>
  <c r="E324" i="2"/>
  <c r="M302" i="2"/>
  <c r="H283" i="2"/>
  <c r="E264" i="2"/>
  <c r="R141" i="2"/>
  <c r="R133" i="2"/>
  <c r="R125" i="2"/>
  <c r="R117" i="2"/>
  <c r="R109" i="2"/>
  <c r="R101" i="2"/>
  <c r="R93" i="2"/>
  <c r="R85" i="2"/>
  <c r="R77" i="2"/>
  <c r="R69" i="2"/>
  <c r="R61" i="2"/>
  <c r="R53" i="2"/>
  <c r="R45" i="2"/>
  <c r="R37" i="2"/>
  <c r="R29" i="2"/>
  <c r="R21" i="2"/>
  <c r="R13" i="2"/>
  <c r="R5" i="2"/>
  <c r="Q29" i="2"/>
  <c r="M240" i="2"/>
  <c r="P145" i="2"/>
  <c r="H450" i="2"/>
  <c r="F396" i="2"/>
  <c r="S371" i="2"/>
  <c r="S347" i="2"/>
  <c r="S323" i="2"/>
  <c r="K302" i="2"/>
  <c r="F283" i="2"/>
  <c r="A264" i="2"/>
  <c r="H247" i="2"/>
  <c r="H231" i="2"/>
  <c r="H215" i="2"/>
  <c r="H199" i="2"/>
  <c r="H183" i="2"/>
  <c r="H167" i="2"/>
  <c r="H151" i="2"/>
  <c r="Q141" i="2"/>
  <c r="Q133" i="2"/>
  <c r="Q125" i="2"/>
  <c r="Q117" i="2"/>
  <c r="Q109" i="2"/>
  <c r="Q101" i="2"/>
  <c r="Q93" i="2"/>
  <c r="Q85" i="2"/>
  <c r="Q77" i="2"/>
  <c r="Q69" i="2"/>
  <c r="Q61" i="2"/>
  <c r="Q53" i="2"/>
  <c r="Q45" i="2"/>
  <c r="Q19" i="2"/>
  <c r="C147" i="2"/>
  <c r="A565" i="2"/>
  <c r="E450" i="2"/>
  <c r="E396" i="2"/>
  <c r="R371" i="2"/>
  <c r="R347" i="2"/>
  <c r="R323" i="2"/>
  <c r="J302" i="2"/>
  <c r="E283" i="2"/>
  <c r="S253" i="2"/>
  <c r="F219" i="2"/>
  <c r="P674" i="2"/>
  <c r="K511" i="2"/>
  <c r="P417" i="2"/>
  <c r="Q385" i="2"/>
  <c r="Q361" i="2"/>
  <c r="Q337" i="2"/>
  <c r="Q313" i="2"/>
  <c r="E294" i="2"/>
  <c r="D275" i="2"/>
  <c r="K256" i="2"/>
  <c r="K240" i="2"/>
  <c r="K224" i="2"/>
  <c r="K208" i="2"/>
  <c r="K192" i="2"/>
  <c r="K176" i="2"/>
  <c r="K160" i="2"/>
  <c r="H146" i="2"/>
  <c r="H138" i="2"/>
  <c r="H130" i="2"/>
  <c r="H122" i="2"/>
  <c r="H114" i="2"/>
  <c r="H106" i="2"/>
  <c r="H98" i="2"/>
  <c r="H90" i="2"/>
  <c r="H82" i="2"/>
  <c r="H74" i="2"/>
  <c r="H66" i="2"/>
  <c r="H58" i="2"/>
  <c r="H50" i="2"/>
  <c r="H42" i="2"/>
  <c r="H34" i="2"/>
  <c r="H26" i="2"/>
  <c r="H18" i="2"/>
  <c r="H10" i="2"/>
  <c r="H2" i="2"/>
  <c r="C552" i="2"/>
  <c r="A781" i="2"/>
  <c r="A541" i="2"/>
  <c r="E432" i="2"/>
  <c r="F391" i="2"/>
  <c r="F367" i="2"/>
  <c r="F343" i="2"/>
  <c r="F319" i="2"/>
  <c r="O298" i="2"/>
  <c r="K279" i="2"/>
  <c r="J260" i="2"/>
  <c r="E244" i="2"/>
  <c r="E228" i="2"/>
  <c r="E212" i="2"/>
  <c r="E196" i="2"/>
  <c r="E180" i="2"/>
  <c r="E164" i="2"/>
  <c r="K148" i="2"/>
  <c r="F140" i="2"/>
  <c r="F132" i="2"/>
  <c r="F124" i="2"/>
  <c r="F116" i="2"/>
  <c r="F108" i="2"/>
  <c r="F100" i="2"/>
  <c r="F92" i="2"/>
  <c r="F84" i="2"/>
  <c r="F76" i="2"/>
  <c r="F68" i="2"/>
  <c r="F60" i="2"/>
  <c r="F52" i="2"/>
  <c r="F44" i="2"/>
  <c r="F36" i="2"/>
  <c r="F28" i="2"/>
  <c r="F20" i="2"/>
  <c r="F12" i="2"/>
  <c r="F4" i="2"/>
  <c r="P590" i="2"/>
  <c r="C464" i="2"/>
  <c r="S400" i="2"/>
  <c r="E375" i="2"/>
  <c r="E351" i="2"/>
  <c r="E327" i="2"/>
  <c r="D305" i="2"/>
  <c r="R285" i="2"/>
  <c r="K300" i="2"/>
  <c r="D187" i="2"/>
  <c r="G126" i="2"/>
  <c r="G94" i="2"/>
  <c r="G62" i="2"/>
  <c r="G30" i="2"/>
  <c r="E46" i="2"/>
  <c r="D199" i="2"/>
  <c r="G58" i="2"/>
  <c r="R124" i="2"/>
  <c r="K343" i="2"/>
  <c r="P202" i="2"/>
  <c r="K131" i="2"/>
  <c r="K99" i="2"/>
  <c r="K67" i="2"/>
  <c r="K3" i="2"/>
  <c r="N103" i="2"/>
  <c r="E122" i="2"/>
  <c r="R266" i="2"/>
  <c r="Q169" i="2"/>
  <c r="R290" i="2"/>
  <c r="G82" i="2"/>
  <c r="R116" i="2"/>
  <c r="Q295" i="2"/>
  <c r="N125" i="2"/>
  <c r="N93" i="2"/>
  <c r="N61" i="2"/>
  <c r="N29" i="2"/>
  <c r="O410" i="2"/>
  <c r="J232" i="2"/>
  <c r="G142" i="2"/>
  <c r="K109" i="2"/>
  <c r="K77" i="2"/>
  <c r="K45" i="2"/>
  <c r="K13" i="2"/>
  <c r="G10" i="2"/>
  <c r="E42" i="2"/>
  <c r="C240" i="2"/>
  <c r="E146" i="2"/>
  <c r="P111" i="2"/>
  <c r="P79" i="2"/>
  <c r="P47" i="2"/>
  <c r="P15" i="2"/>
  <c r="K308" i="2"/>
  <c r="R306" i="2"/>
  <c r="Q189" i="2"/>
  <c r="C127" i="2"/>
  <c r="C95" i="2"/>
  <c r="C63" i="2"/>
  <c r="C31" i="2"/>
  <c r="G116" i="2"/>
  <c r="T54" i="2"/>
  <c r="C113" i="2"/>
  <c r="R44" i="2"/>
  <c r="R144" i="2"/>
  <c r="N105" i="2"/>
  <c r="T30" i="2"/>
  <c r="P166" i="2"/>
  <c r="K260" i="2"/>
  <c r="J164" i="2"/>
  <c r="R118" i="2"/>
  <c r="R86" i="2"/>
  <c r="R54" i="2"/>
  <c r="R22" i="2"/>
  <c r="R282" i="2"/>
  <c r="K371" i="2"/>
  <c r="P107" i="2"/>
  <c r="K55" i="2"/>
  <c r="E90" i="2"/>
  <c r="E84" i="2"/>
  <c r="E20" i="2"/>
  <c r="C129" i="2"/>
  <c r="R269" i="2"/>
  <c r="R36" i="2"/>
  <c r="S309" i="2"/>
  <c r="S96" i="2"/>
  <c r="S24" i="2"/>
  <c r="E341" i="2"/>
  <c r="T48" i="2"/>
  <c r="P258" i="2"/>
  <c r="T36" i="2"/>
  <c r="D191" i="2"/>
  <c r="G16" i="2"/>
  <c r="P182" i="2"/>
  <c r="P49" i="2"/>
  <c r="K351" i="2"/>
  <c r="K105" i="2"/>
  <c r="C172" i="2"/>
  <c r="C49" i="2"/>
  <c r="E144" i="2"/>
  <c r="R318" i="2"/>
  <c r="R286" i="2"/>
  <c r="G119" i="2"/>
  <c r="G55" i="2"/>
  <c r="R598" i="2"/>
  <c r="E234" i="2"/>
  <c r="F127" i="2"/>
  <c r="F63" i="2"/>
  <c r="S165" i="2"/>
  <c r="R143" i="2"/>
  <c r="R55" i="2"/>
  <c r="A288" i="2"/>
  <c r="Q143" i="2"/>
  <c r="Q87" i="2"/>
  <c r="R610" i="2"/>
  <c r="F239" i="2"/>
  <c r="Q319" i="2"/>
  <c r="K196" i="2"/>
  <c r="H124" i="2"/>
  <c r="H60" i="2"/>
  <c r="H12" i="2"/>
  <c r="F349" i="2"/>
  <c r="E184" i="2"/>
  <c r="F86" i="2"/>
  <c r="F38" i="2"/>
  <c r="E381" i="2"/>
  <c r="G38" i="2"/>
  <c r="P226" i="2"/>
  <c r="Q193" i="2"/>
  <c r="N101" i="2"/>
  <c r="T52" i="2"/>
  <c r="K377" i="2"/>
  <c r="T14" i="2"/>
  <c r="Q303" i="2"/>
  <c r="P198" i="2"/>
  <c r="J19" i="2"/>
  <c r="H3" i="2"/>
  <c r="E470" i="2"/>
  <c r="R366" i="2"/>
  <c r="J298" i="2"/>
  <c r="S243" i="2"/>
  <c r="S195" i="2"/>
  <c r="M154" i="2"/>
  <c r="P138" i="2"/>
  <c r="P126" i="2"/>
  <c r="P114" i="2"/>
  <c r="P102" i="2"/>
  <c r="P90" i="2"/>
  <c r="P78" i="2"/>
  <c r="P66" i="2"/>
  <c r="C32" i="2"/>
  <c r="C10" i="2"/>
  <c r="H17" i="2"/>
  <c r="S153" i="2"/>
  <c r="E506" i="2"/>
  <c r="C397" i="2"/>
  <c r="M360" i="2"/>
  <c r="M324" i="2"/>
  <c r="H293" i="2"/>
  <c r="M264" i="2"/>
  <c r="R239" i="2"/>
  <c r="R215" i="2"/>
  <c r="R191" i="2"/>
  <c r="R167" i="2"/>
  <c r="A146" i="2"/>
  <c r="A134" i="2"/>
  <c r="A122" i="2"/>
  <c r="A112" i="2"/>
  <c r="A104" i="2"/>
  <c r="A96" i="2"/>
  <c r="A88" i="2"/>
  <c r="A80" i="2"/>
  <c r="A72" i="2"/>
  <c r="A64" i="2"/>
  <c r="A56" i="2"/>
  <c r="A48" i="2"/>
  <c r="O38" i="2"/>
  <c r="O10" i="2"/>
  <c r="D835" i="2"/>
  <c r="P546" i="2"/>
  <c r="H436" i="2"/>
  <c r="K392" i="2"/>
  <c r="K368" i="2"/>
  <c r="K344" i="2"/>
  <c r="K320" i="2"/>
  <c r="Q299" i="2"/>
  <c r="K280" i="2"/>
  <c r="F261" i="2"/>
  <c r="D245" i="2"/>
  <c r="D229" i="2"/>
  <c r="D213" i="2"/>
  <c r="D197" i="2"/>
  <c r="D181" i="2"/>
  <c r="D165" i="2"/>
  <c r="E149" i="2"/>
  <c r="N140" i="2"/>
  <c r="N132" i="2"/>
  <c r="N124" i="2"/>
  <c r="N116" i="2"/>
  <c r="N108" i="2"/>
  <c r="N100" i="2"/>
  <c r="N92" i="2"/>
  <c r="N84" i="2"/>
  <c r="N76" i="2"/>
  <c r="N68" i="2"/>
  <c r="N60" i="2"/>
  <c r="N52" i="2"/>
  <c r="N44" i="2"/>
  <c r="N36" i="2"/>
  <c r="N28" i="2"/>
  <c r="N20" i="2"/>
  <c r="N12" i="2"/>
  <c r="N4" i="2"/>
  <c r="J2" i="2"/>
  <c r="G830" i="2"/>
  <c r="H546" i="2"/>
  <c r="E436" i="2"/>
  <c r="J392" i="2"/>
  <c r="J368" i="2"/>
  <c r="J344" i="2"/>
  <c r="J320" i="2"/>
  <c r="K299" i="2"/>
  <c r="J280" i="2"/>
  <c r="E261" i="2"/>
  <c r="R244" i="2"/>
  <c r="R228" i="2"/>
  <c r="R212" i="2"/>
  <c r="R196" i="2"/>
  <c r="R180" i="2"/>
  <c r="R164" i="2"/>
  <c r="D149" i="2"/>
  <c r="M140" i="2"/>
  <c r="M132" i="2"/>
  <c r="M124" i="2"/>
  <c r="M116" i="2"/>
  <c r="M108" i="2"/>
  <c r="M100" i="2"/>
  <c r="M92" i="2"/>
  <c r="M84" i="2"/>
  <c r="M76" i="2"/>
  <c r="M68" i="2"/>
  <c r="M60" i="2"/>
  <c r="M52" i="2"/>
  <c r="M44" i="2"/>
  <c r="M36" i="2"/>
  <c r="M28" i="2"/>
  <c r="M20" i="2"/>
  <c r="M12" i="2"/>
  <c r="M4" i="2"/>
  <c r="Q25" i="2"/>
  <c r="M228" i="2"/>
  <c r="P141" i="2"/>
  <c r="R556" i="2"/>
  <c r="C444" i="2"/>
  <c r="E394" i="2"/>
  <c r="E370" i="2"/>
  <c r="E346" i="2"/>
  <c r="E322" i="2"/>
  <c r="D301" i="2"/>
  <c r="R281" i="2"/>
  <c r="M262" i="2"/>
  <c r="C246" i="2"/>
  <c r="C230" i="2"/>
  <c r="C214" i="2"/>
  <c r="C198" i="2"/>
  <c r="C182" i="2"/>
  <c r="C166" i="2"/>
  <c r="C150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3" i="2"/>
  <c r="E5" i="2"/>
  <c r="J28" i="2"/>
  <c r="S233" i="2"/>
  <c r="C141" i="2"/>
  <c r="P554" i="2"/>
  <c r="H442" i="2"/>
  <c r="S393" i="2"/>
  <c r="S369" i="2"/>
  <c r="S345" i="2"/>
  <c r="S321" i="2"/>
  <c r="R300" i="2"/>
  <c r="Q281" i="2"/>
  <c r="K262" i="2"/>
  <c r="A246" i="2"/>
  <c r="A230" i="2"/>
  <c r="A214" i="2"/>
  <c r="A198" i="2"/>
  <c r="A182" i="2"/>
  <c r="A166" i="2"/>
  <c r="A150" i="2"/>
  <c r="D141" i="2"/>
  <c r="D133" i="2"/>
  <c r="D125" i="2"/>
  <c r="D117" i="2"/>
  <c r="D109" i="2"/>
  <c r="D101" i="2"/>
  <c r="D93" i="2"/>
  <c r="D85" i="2"/>
  <c r="D77" i="2"/>
  <c r="D69" i="2"/>
  <c r="D61" i="2"/>
  <c r="D53" i="2"/>
  <c r="D45" i="2"/>
  <c r="J16" i="2"/>
  <c r="H554" i="2"/>
  <c r="E442" i="2"/>
  <c r="R393" i="2"/>
  <c r="R369" i="2"/>
  <c r="R345" i="2"/>
  <c r="R321" i="2"/>
  <c r="O300" i="2"/>
  <c r="K281" i="2"/>
  <c r="M252" i="2"/>
  <c r="S209" i="2"/>
  <c r="P658" i="2"/>
  <c r="R500" i="2"/>
  <c r="K414" i="2"/>
  <c r="Q383" i="2"/>
  <c r="Q359" i="2"/>
  <c r="Q335" i="2"/>
  <c r="R311" i="2"/>
  <c r="M292" i="2"/>
  <c r="H273" i="2"/>
  <c r="E255" i="2"/>
  <c r="E239" i="2"/>
  <c r="E223" i="2"/>
  <c r="E207" i="2"/>
  <c r="E191" i="2"/>
  <c r="E175" i="2"/>
  <c r="E159" i="2"/>
  <c r="O145" i="2"/>
  <c r="O137" i="2"/>
  <c r="O129" i="2"/>
  <c r="O121" i="2"/>
  <c r="O113" i="2"/>
  <c r="O105" i="2"/>
  <c r="O97" i="2"/>
  <c r="O89" i="2"/>
  <c r="O81" i="2"/>
  <c r="O73" i="2"/>
  <c r="O65" i="2"/>
  <c r="O57" i="2"/>
  <c r="O49" i="2"/>
  <c r="O41" i="2"/>
  <c r="O33" i="2"/>
  <c r="O25" i="2"/>
  <c r="O17" i="2"/>
  <c r="O9" i="2"/>
  <c r="H784" i="2"/>
  <c r="S702" i="2"/>
  <c r="H530" i="2"/>
  <c r="E424" i="2"/>
  <c r="F389" i="2"/>
  <c r="F365" i="2"/>
  <c r="F341" i="2"/>
  <c r="F317" i="2"/>
  <c r="E297" i="2"/>
  <c r="S277" i="2"/>
  <c r="R258" i="2"/>
  <c r="R242" i="2"/>
  <c r="R226" i="2"/>
  <c r="R210" i="2"/>
  <c r="R194" i="2"/>
  <c r="R178" i="2"/>
  <c r="R162" i="2"/>
  <c r="N147" i="2"/>
  <c r="M139" i="2"/>
  <c r="M131" i="2"/>
  <c r="M123" i="2"/>
  <c r="M115" i="2"/>
  <c r="M107" i="2"/>
  <c r="M99" i="2"/>
  <c r="M91" i="2"/>
  <c r="M83" i="2"/>
  <c r="M75" i="2"/>
  <c r="M67" i="2"/>
  <c r="M59" i="2"/>
  <c r="M51" i="2"/>
  <c r="M43" i="2"/>
  <c r="M35" i="2"/>
  <c r="M27" i="2"/>
  <c r="M19" i="2"/>
  <c r="M11" i="2"/>
  <c r="M3" i="2"/>
  <c r="P574" i="2"/>
  <c r="C456" i="2"/>
  <c r="Q397" i="2"/>
  <c r="E373" i="2"/>
  <c r="E349" i="2"/>
  <c r="E325" i="2"/>
  <c r="H303" i="2"/>
  <c r="E284" i="2"/>
  <c r="F281" i="2"/>
  <c r="D179" i="2"/>
  <c r="N123" i="2"/>
  <c r="N91" i="2"/>
  <c r="N59" i="2"/>
  <c r="N27" i="2"/>
  <c r="R40" i="2"/>
  <c r="D175" i="2"/>
  <c r="N47" i="2"/>
  <c r="E114" i="2"/>
  <c r="K319" i="2"/>
  <c r="P194" i="2"/>
  <c r="R128" i="2"/>
  <c r="R96" i="2"/>
  <c r="R64" i="2"/>
  <c r="P37" i="2"/>
  <c r="G90" i="2"/>
  <c r="R108" i="2"/>
  <c r="Q257" i="2"/>
  <c r="Q161" i="2"/>
  <c r="P117" i="2"/>
  <c r="P85" i="2"/>
  <c r="P53" i="2"/>
  <c r="Q263" i="2"/>
  <c r="T68" i="2"/>
  <c r="R100" i="2"/>
  <c r="K276" i="2"/>
  <c r="T122" i="2"/>
  <c r="T90" i="2"/>
  <c r="T58" i="2"/>
  <c r="T26" i="2"/>
  <c r="C417" i="2"/>
  <c r="J224" i="2"/>
  <c r="R138" i="2"/>
  <c r="R106" i="2"/>
  <c r="R74" i="2"/>
  <c r="R42" i="2"/>
  <c r="R10" i="2"/>
  <c r="K355" i="2"/>
  <c r="K15" i="2"/>
  <c r="C232" i="2"/>
  <c r="E142" i="2"/>
  <c r="C109" i="2"/>
  <c r="C77" i="2"/>
  <c r="C45" i="2"/>
  <c r="C13" i="2"/>
  <c r="P158" i="2"/>
  <c r="Q287" i="2"/>
  <c r="Q181" i="2"/>
  <c r="G108" i="2"/>
  <c r="N49" i="2"/>
  <c r="C81" i="2"/>
  <c r="R28" i="2"/>
  <c r="R140" i="2"/>
  <c r="G100" i="2"/>
  <c r="T22" i="2"/>
  <c r="J252" i="2"/>
  <c r="J156" i="2"/>
  <c r="E116" i="2"/>
  <c r="E52" i="2"/>
  <c r="E260" i="2"/>
  <c r="C65" i="2"/>
  <c r="P99" i="2"/>
  <c r="O290" i="2"/>
  <c r="S48" i="2"/>
  <c r="C424" i="2"/>
  <c r="T112" i="2"/>
  <c r="G2" i="2"/>
  <c r="Q225" i="2"/>
  <c r="K23" i="2"/>
  <c r="K313" i="2"/>
  <c r="K335" i="2"/>
  <c r="T124" i="2"/>
  <c r="T86" i="2"/>
  <c r="C105" i="2"/>
  <c r="K9" i="2"/>
  <c r="C204" i="2"/>
  <c r="E36" i="2"/>
  <c r="S211" i="2"/>
  <c r="O402" i="2"/>
  <c r="G127" i="2"/>
  <c r="G71" i="2"/>
  <c r="J18" i="2"/>
  <c r="J328" i="2"/>
  <c r="E186" i="2"/>
  <c r="F87" i="2"/>
  <c r="F15" i="2"/>
  <c r="E330" i="2"/>
  <c r="R79" i="2"/>
  <c r="R23" i="2"/>
  <c r="S329" i="2"/>
  <c r="H155" i="2"/>
  <c r="Q95" i="2"/>
  <c r="A405" i="2"/>
  <c r="Q391" i="2"/>
  <c r="K180" i="2"/>
  <c r="H76" i="2"/>
  <c r="H464" i="2"/>
  <c r="E248" i="2"/>
  <c r="F102" i="2"/>
  <c r="F14" i="2"/>
  <c r="M290" i="2"/>
  <c r="D239" i="2"/>
  <c r="K317" i="2"/>
  <c r="N69" i="2"/>
  <c r="K21" i="2"/>
  <c r="T44" i="2"/>
  <c r="P206" i="2"/>
  <c r="R62" i="2"/>
  <c r="D14" i="2"/>
  <c r="C44" i="2"/>
  <c r="P12" i="2"/>
  <c r="Q11" i="2"/>
  <c r="E462" i="2"/>
  <c r="R364" i="2"/>
  <c r="O296" i="2"/>
  <c r="M242" i="2"/>
  <c r="M194" i="2"/>
  <c r="F153" i="2"/>
  <c r="C138" i="2"/>
  <c r="C114" i="2"/>
  <c r="C90" i="2"/>
  <c r="C66" i="2"/>
  <c r="C54" i="2"/>
  <c r="P30" i="2"/>
  <c r="A12" i="2"/>
  <c r="C478" i="2"/>
  <c r="O394" i="2"/>
  <c r="M354" i="2"/>
  <c r="M322" i="2"/>
  <c r="M288" i="2"/>
  <c r="D263" i="2"/>
  <c r="R235" i="2"/>
  <c r="K214" i="2"/>
  <c r="R187" i="2"/>
  <c r="K166" i="2"/>
  <c r="A144" i="2"/>
  <c r="H133" i="2"/>
  <c r="O120" i="2"/>
  <c r="H111" i="2"/>
  <c r="H103" i="2"/>
  <c r="H95" i="2"/>
  <c r="H87" i="2"/>
  <c r="H79" i="2"/>
  <c r="H71" i="2"/>
  <c r="H63" i="2"/>
  <c r="H55" i="2"/>
  <c r="H47" i="2"/>
  <c r="A38" i="2"/>
  <c r="O6" i="2"/>
  <c r="H736" i="2"/>
  <c r="C536" i="2"/>
  <c r="H428" i="2"/>
  <c r="K390" i="2"/>
  <c r="K366" i="2"/>
  <c r="K342" i="2"/>
  <c r="K318" i="2"/>
  <c r="A298" i="2"/>
  <c r="R278" i="2"/>
  <c r="Q259" i="2"/>
  <c r="Q243" i="2"/>
  <c r="Q227" i="2"/>
  <c r="Q211" i="2"/>
  <c r="Q195" i="2"/>
  <c r="Q179" i="2"/>
  <c r="Q163" i="2"/>
  <c r="A148" i="2"/>
  <c r="T139" i="2"/>
  <c r="T131" i="2"/>
  <c r="T123" i="2"/>
  <c r="T115" i="2"/>
  <c r="T107" i="2"/>
  <c r="T99" i="2"/>
  <c r="T91" i="2"/>
  <c r="T83" i="2"/>
  <c r="T75" i="2"/>
  <c r="T67" i="2"/>
  <c r="T59" i="2"/>
  <c r="T51" i="2"/>
  <c r="T43" i="2"/>
  <c r="T35" i="2"/>
  <c r="T27" i="2"/>
  <c r="T19" i="2"/>
  <c r="T11" i="2"/>
  <c r="T3" i="2"/>
  <c r="O260" i="2"/>
  <c r="A733" i="2"/>
  <c r="O535" i="2"/>
  <c r="E428" i="2"/>
  <c r="J390" i="2"/>
  <c r="J366" i="2"/>
  <c r="J342" i="2"/>
  <c r="J318" i="2"/>
  <c r="S297" i="2"/>
  <c r="O278" i="2"/>
  <c r="K259" i="2"/>
  <c r="K243" i="2"/>
  <c r="K227" i="2"/>
  <c r="K211" i="2"/>
  <c r="K195" i="2"/>
  <c r="K179" i="2"/>
  <c r="K163" i="2"/>
  <c r="T147" i="2"/>
  <c r="S139" i="2"/>
  <c r="S131" i="2"/>
  <c r="S123" i="2"/>
  <c r="S115" i="2"/>
  <c r="S107" i="2"/>
  <c r="S99" i="2"/>
  <c r="S91" i="2"/>
  <c r="S83" i="2"/>
  <c r="S75" i="2"/>
  <c r="S67" i="2"/>
  <c r="S59" i="2"/>
  <c r="S51" i="2"/>
  <c r="S43" i="2"/>
  <c r="S35" i="2"/>
  <c r="S27" i="2"/>
  <c r="S19" i="2"/>
  <c r="S11" i="2"/>
  <c r="S3" i="2"/>
  <c r="Q23" i="2"/>
  <c r="M220" i="2"/>
  <c r="G829" i="2"/>
  <c r="E546" i="2"/>
  <c r="C436" i="2"/>
  <c r="E392" i="2"/>
  <c r="E368" i="2"/>
  <c r="E344" i="2"/>
  <c r="E320" i="2"/>
  <c r="H299" i="2"/>
  <c r="E280" i="2"/>
  <c r="D261" i="2"/>
  <c r="P244" i="2"/>
  <c r="P228" i="2"/>
  <c r="P212" i="2"/>
  <c r="P196" i="2"/>
  <c r="P180" i="2"/>
  <c r="P164" i="2"/>
  <c r="R148" i="2"/>
  <c r="K140" i="2"/>
  <c r="K132" i="2"/>
  <c r="K124" i="2"/>
  <c r="K116" i="2"/>
  <c r="K108" i="2"/>
  <c r="K100" i="2"/>
  <c r="K92" i="2"/>
  <c r="K84" i="2"/>
  <c r="K76" i="2"/>
  <c r="K68" i="2"/>
  <c r="K60" i="2"/>
  <c r="K52" i="2"/>
  <c r="K44" i="2"/>
  <c r="K36" i="2"/>
  <c r="K28" i="2"/>
  <c r="K20" i="2"/>
  <c r="K12" i="2"/>
  <c r="K4" i="2"/>
  <c r="J26" i="2"/>
  <c r="F223" i="2"/>
  <c r="H808" i="2"/>
  <c r="C544" i="2"/>
  <c r="H434" i="2"/>
  <c r="S391" i="2"/>
  <c r="S367" i="2"/>
  <c r="S343" i="2"/>
  <c r="S319" i="2"/>
  <c r="F299" i="2"/>
  <c r="A280" i="2"/>
  <c r="R260" i="2"/>
  <c r="O244" i="2"/>
  <c r="O228" i="2"/>
  <c r="O212" i="2"/>
  <c r="O196" i="2"/>
  <c r="O180" i="2"/>
  <c r="O164" i="2"/>
  <c r="P148" i="2"/>
  <c r="J140" i="2"/>
  <c r="J132" i="2"/>
  <c r="J124" i="2"/>
  <c r="J116" i="2"/>
  <c r="J108" i="2"/>
  <c r="J100" i="2"/>
  <c r="J92" i="2"/>
  <c r="J84" i="2"/>
  <c r="J76" i="2"/>
  <c r="J68" i="2"/>
  <c r="J60" i="2"/>
  <c r="J52" i="2"/>
  <c r="D43" i="2"/>
  <c r="Q13" i="2"/>
  <c r="A805" i="2"/>
  <c r="O543" i="2"/>
  <c r="E434" i="2"/>
  <c r="R391" i="2"/>
  <c r="R367" i="2"/>
  <c r="R343" i="2"/>
  <c r="R319" i="2"/>
  <c r="E299" i="2"/>
  <c r="S279" i="2"/>
  <c r="F251" i="2"/>
  <c r="M196" i="2"/>
  <c r="P642" i="2"/>
  <c r="E490" i="2"/>
  <c r="H411" i="2"/>
  <c r="Q381" i="2"/>
  <c r="Q357" i="2"/>
  <c r="Q333" i="2"/>
  <c r="E310" i="2"/>
  <c r="D291" i="2"/>
  <c r="R271" i="2"/>
  <c r="R253" i="2"/>
  <c r="R237" i="2"/>
  <c r="R221" i="2"/>
  <c r="R205" i="2"/>
  <c r="R189" i="2"/>
  <c r="R173" i="2"/>
  <c r="R157" i="2"/>
  <c r="A145" i="2"/>
  <c r="A137" i="2"/>
  <c r="A129" i="2"/>
  <c r="A121" i="2"/>
  <c r="A113" i="2"/>
  <c r="A105" i="2"/>
  <c r="A97" i="2"/>
  <c r="A89" i="2"/>
  <c r="A81" i="2"/>
  <c r="A73" i="2"/>
  <c r="A65" i="2"/>
  <c r="A57" i="2"/>
  <c r="A49" i="2"/>
  <c r="A41" i="2"/>
  <c r="A33" i="2"/>
  <c r="A25" i="2"/>
  <c r="A17" i="2"/>
  <c r="A9" i="2"/>
  <c r="O703" i="2"/>
  <c r="P530" i="2"/>
  <c r="R686" i="2"/>
  <c r="O519" i="2"/>
  <c r="E420" i="2"/>
  <c r="F387" i="2"/>
  <c r="F363" i="2"/>
  <c r="F339" i="2"/>
  <c r="F315" i="2"/>
  <c r="K295" i="2"/>
  <c r="J276" i="2"/>
  <c r="K257" i="2"/>
  <c r="K241" i="2"/>
  <c r="K225" i="2"/>
  <c r="K209" i="2"/>
  <c r="K193" i="2"/>
  <c r="K177" i="2"/>
  <c r="K161" i="2"/>
  <c r="S146" i="2"/>
  <c r="S138" i="2"/>
  <c r="S130" i="2"/>
  <c r="S122" i="2"/>
  <c r="S114" i="2"/>
  <c r="S106" i="2"/>
  <c r="S98" i="2"/>
  <c r="S90" i="2"/>
  <c r="S82" i="2"/>
  <c r="S74" i="2"/>
  <c r="S66" i="2"/>
  <c r="S58" i="2"/>
  <c r="S50" i="2"/>
  <c r="S42" i="2"/>
  <c r="S34" i="2"/>
  <c r="S26" i="2"/>
  <c r="S18" i="2"/>
  <c r="S10" i="2"/>
  <c r="S2" i="2"/>
  <c r="E562" i="2"/>
  <c r="C448" i="2"/>
  <c r="E371" i="2"/>
  <c r="E347" i="2"/>
  <c r="E323" i="2"/>
  <c r="R301" i="2"/>
  <c r="M282" i="2"/>
  <c r="K268" i="2"/>
  <c r="D171" i="2"/>
  <c r="T120" i="2"/>
  <c r="T88" i="2"/>
  <c r="T56" i="2"/>
  <c r="T24" i="2"/>
  <c r="E38" i="2"/>
  <c r="D151" i="2"/>
  <c r="N39" i="2"/>
  <c r="K103" i="2"/>
  <c r="R298" i="2"/>
  <c r="P186" i="2"/>
  <c r="E126" i="2"/>
  <c r="E94" i="2"/>
  <c r="E62" i="2"/>
  <c r="C27" i="2"/>
  <c r="G74" i="2"/>
  <c r="E82" i="2"/>
  <c r="Q249" i="2"/>
  <c r="Q153" i="2"/>
  <c r="C115" i="2"/>
  <c r="C83" i="2"/>
  <c r="C51" i="2"/>
  <c r="D247" i="2"/>
  <c r="N55" i="2"/>
  <c r="R84" i="2"/>
  <c r="M266" i="2"/>
  <c r="G120" i="2"/>
  <c r="G88" i="2"/>
  <c r="G56" i="2"/>
  <c r="G24" i="2"/>
  <c r="K385" i="2"/>
  <c r="J216" i="2"/>
  <c r="E136" i="2"/>
  <c r="E104" i="2"/>
  <c r="E72" i="2"/>
  <c r="E40" i="2"/>
  <c r="R2" i="2"/>
  <c r="F289" i="2"/>
  <c r="R413" i="2"/>
  <c r="C224" i="2"/>
  <c r="R132" i="2"/>
  <c r="Q271" i="2"/>
  <c r="Q173" i="2"/>
  <c r="P121" i="2"/>
  <c r="P89" i="2"/>
  <c r="P57" i="2"/>
  <c r="P25" i="2"/>
  <c r="T102" i="2"/>
  <c r="T46" i="2"/>
  <c r="P67" i="2"/>
  <c r="E10" i="2"/>
  <c r="N137" i="2"/>
  <c r="T94" i="2"/>
  <c r="N17" i="2"/>
  <c r="R52" i="2"/>
  <c r="J244" i="2"/>
  <c r="M148" i="2"/>
  <c r="K113" i="2"/>
  <c r="K81" i="2"/>
  <c r="K49" i="2"/>
  <c r="K17" i="2"/>
  <c r="C252" i="2"/>
  <c r="P59" i="2"/>
  <c r="C228" i="2"/>
  <c r="P91" i="2"/>
  <c r="R12" i="2"/>
  <c r="P75" i="2"/>
  <c r="R638" i="2"/>
  <c r="S80" i="2"/>
  <c r="D297" i="2"/>
  <c r="E118" i="2"/>
  <c r="E96" i="2"/>
  <c r="Q245" i="2"/>
  <c r="J220" i="2"/>
  <c r="J218" i="2"/>
  <c r="M402" i="2"/>
  <c r="F143" i="2"/>
  <c r="F71" i="2"/>
  <c r="J6" i="2"/>
  <c r="D269" i="2"/>
  <c r="R111" i="2"/>
  <c r="R39" i="2"/>
  <c r="C405" i="2"/>
  <c r="H203" i="2"/>
  <c r="Q111" i="2"/>
  <c r="M180" i="2"/>
  <c r="H804" i="2"/>
  <c r="K228" i="2"/>
  <c r="H108" i="2"/>
  <c r="H36" i="2"/>
  <c r="F325" i="2"/>
  <c r="E152" i="2"/>
  <c r="F62" i="2"/>
  <c r="E333" i="2"/>
  <c r="R8" i="2"/>
  <c r="N145" i="2"/>
  <c r="K53" i="2"/>
  <c r="Q213" i="2"/>
  <c r="R30" i="2"/>
  <c r="J11" i="2"/>
  <c r="P42" i="2"/>
  <c r="F227" i="2"/>
  <c r="E430" i="2"/>
  <c r="R352" i="2"/>
  <c r="E287" i="2"/>
  <c r="M234" i="2"/>
  <c r="M186" i="2"/>
  <c r="E148" i="2"/>
  <c r="C124" i="2"/>
  <c r="C100" i="2"/>
  <c r="C76" i="2"/>
  <c r="P52" i="2"/>
  <c r="H9" i="2"/>
  <c r="P698" i="2"/>
  <c r="C470" i="2"/>
  <c r="M388" i="2"/>
  <c r="M352" i="2"/>
  <c r="M316" i="2"/>
  <c r="D287" i="2"/>
  <c r="K258" i="2"/>
  <c r="K234" i="2"/>
  <c r="K210" i="2"/>
  <c r="K186" i="2"/>
  <c r="K162" i="2"/>
  <c r="H143" i="2"/>
  <c r="H131" i="2"/>
  <c r="A120" i="2"/>
  <c r="O110" i="2"/>
  <c r="O102" i="2"/>
  <c r="O94" i="2"/>
  <c r="O86" i="2"/>
  <c r="O78" i="2"/>
  <c r="O70" i="2"/>
  <c r="O62" i="2"/>
  <c r="O54" i="2"/>
  <c r="O46" i="2"/>
  <c r="O36" i="2"/>
  <c r="O4" i="2"/>
  <c r="R421" i="2"/>
  <c r="K388" i="2"/>
  <c r="K364" i="2"/>
  <c r="K340" i="2"/>
  <c r="K316" i="2"/>
  <c r="K296" i="2"/>
  <c r="F277" i="2"/>
  <c r="J258" i="2"/>
  <c r="J242" i="2"/>
  <c r="J226" i="2"/>
  <c r="J210" i="2"/>
  <c r="J194" i="2"/>
  <c r="J178" i="2"/>
  <c r="J162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3" i="2"/>
  <c r="M236" i="2"/>
  <c r="R694" i="2"/>
  <c r="A525" i="2"/>
  <c r="Q421" i="2"/>
  <c r="J388" i="2"/>
  <c r="J364" i="2"/>
  <c r="J340" i="2"/>
  <c r="J316" i="2"/>
  <c r="J296" i="2"/>
  <c r="E277" i="2"/>
  <c r="E258" i="2"/>
  <c r="E242" i="2"/>
  <c r="E226" i="2"/>
  <c r="E210" i="2"/>
  <c r="E194" i="2"/>
  <c r="E178" i="2"/>
  <c r="E162" i="2"/>
  <c r="F147" i="2"/>
  <c r="F139" i="2"/>
  <c r="F131" i="2"/>
  <c r="F123" i="2"/>
  <c r="F115" i="2"/>
  <c r="F107" i="2"/>
  <c r="F99" i="2"/>
  <c r="F91" i="2"/>
  <c r="F83" i="2"/>
  <c r="F75" i="2"/>
  <c r="F67" i="2"/>
  <c r="F59" i="2"/>
  <c r="F51" i="2"/>
  <c r="F43" i="2"/>
  <c r="F35" i="2"/>
  <c r="F27" i="2"/>
  <c r="F19" i="2"/>
  <c r="F11" i="2"/>
  <c r="F3" i="2"/>
  <c r="Q21" i="2"/>
  <c r="M212" i="2"/>
  <c r="H732" i="2"/>
  <c r="K535" i="2"/>
  <c r="C428" i="2"/>
  <c r="E390" i="2"/>
  <c r="E366" i="2"/>
  <c r="E342" i="2"/>
  <c r="E318" i="2"/>
  <c r="R297" i="2"/>
  <c r="M278" i="2"/>
  <c r="S147" i="2"/>
  <c r="R139" i="2"/>
  <c r="R131" i="2"/>
  <c r="R123" i="2"/>
  <c r="R115" i="2"/>
  <c r="R107" i="2"/>
  <c r="R99" i="2"/>
  <c r="R91" i="2"/>
  <c r="R83" i="2"/>
  <c r="R75" i="2"/>
  <c r="R67" i="2"/>
  <c r="R59" i="2"/>
  <c r="R51" i="2"/>
  <c r="R43" i="2"/>
  <c r="R35" i="2"/>
  <c r="R27" i="2"/>
  <c r="R19" i="2"/>
  <c r="R11" i="2"/>
  <c r="R3" i="2"/>
  <c r="D25" i="2"/>
  <c r="S213" i="2"/>
  <c r="G715" i="2"/>
  <c r="H426" i="2"/>
  <c r="S389" i="2"/>
  <c r="S365" i="2"/>
  <c r="S341" i="2"/>
  <c r="S317" i="2"/>
  <c r="Q297" i="2"/>
  <c r="K278" i="2"/>
  <c r="H259" i="2"/>
  <c r="H243" i="2"/>
  <c r="H227" i="2"/>
  <c r="H211" i="2"/>
  <c r="H195" i="2"/>
  <c r="H179" i="2"/>
  <c r="H163" i="2"/>
  <c r="R147" i="2"/>
  <c r="Q139" i="2"/>
  <c r="Q131" i="2"/>
  <c r="Q123" i="2"/>
  <c r="Q115" i="2"/>
  <c r="Q107" i="2"/>
  <c r="Q99" i="2"/>
  <c r="Q91" i="2"/>
  <c r="Q83" i="2"/>
  <c r="Q75" i="2"/>
  <c r="Q67" i="2"/>
  <c r="Q59" i="2"/>
  <c r="Q51" i="2"/>
  <c r="J42" i="2"/>
  <c r="J10" i="2"/>
  <c r="D713" i="2"/>
  <c r="A533" i="2"/>
  <c r="E426" i="2"/>
  <c r="R389" i="2"/>
  <c r="R365" i="2"/>
  <c r="R341" i="2"/>
  <c r="R317" i="2"/>
  <c r="K297" i="2"/>
  <c r="J278" i="2"/>
  <c r="S249" i="2"/>
  <c r="F187" i="2"/>
  <c r="P626" i="2"/>
  <c r="C482" i="2"/>
  <c r="D408" i="2"/>
  <c r="Q379" i="2"/>
  <c r="Q355" i="2"/>
  <c r="Q331" i="2"/>
  <c r="M308" i="2"/>
  <c r="H289" i="2"/>
  <c r="E270" i="2"/>
  <c r="K252" i="2"/>
  <c r="K236" i="2"/>
  <c r="K220" i="2"/>
  <c r="K204" i="2"/>
  <c r="K188" i="2"/>
  <c r="K172" i="2"/>
  <c r="K156" i="2"/>
  <c r="H144" i="2"/>
  <c r="H136" i="2"/>
  <c r="H128" i="2"/>
  <c r="H120" i="2"/>
  <c r="H112" i="2"/>
  <c r="H104" i="2"/>
  <c r="H96" i="2"/>
  <c r="H88" i="2"/>
  <c r="H80" i="2"/>
  <c r="H72" i="2"/>
  <c r="H64" i="2"/>
  <c r="H56" i="2"/>
  <c r="H48" i="2"/>
  <c r="H40" i="2"/>
  <c r="H32" i="2"/>
  <c r="H24" i="2"/>
  <c r="H16" i="2"/>
  <c r="H8" i="2"/>
  <c r="C520" i="2"/>
  <c r="R670" i="2"/>
  <c r="A509" i="2"/>
  <c r="A417" i="2"/>
  <c r="F385" i="2"/>
  <c r="F361" i="2"/>
  <c r="F337" i="2"/>
  <c r="F313" i="2"/>
  <c r="S293" i="2"/>
  <c r="O274" i="2"/>
  <c r="E256" i="2"/>
  <c r="E240" i="2"/>
  <c r="E224" i="2"/>
  <c r="E208" i="2"/>
  <c r="E192" i="2"/>
  <c r="E176" i="2"/>
  <c r="E160" i="2"/>
  <c r="F146" i="2"/>
  <c r="F138" i="2"/>
  <c r="F130" i="2"/>
  <c r="F122" i="2"/>
  <c r="F114" i="2"/>
  <c r="F106" i="2"/>
  <c r="F98" i="2"/>
  <c r="F90" i="2"/>
  <c r="F82" i="2"/>
  <c r="F74" i="2"/>
  <c r="F66" i="2"/>
  <c r="F58" i="2"/>
  <c r="F50" i="2"/>
  <c r="F42" i="2"/>
  <c r="F34" i="2"/>
  <c r="F26" i="2"/>
  <c r="F18" i="2"/>
  <c r="F10" i="2"/>
  <c r="F2" i="2"/>
  <c r="K551" i="2"/>
  <c r="C440" i="2"/>
  <c r="E393" i="2"/>
  <c r="E369" i="2"/>
  <c r="E345" i="2"/>
  <c r="E321" i="2"/>
  <c r="E300" i="2"/>
  <c r="D281" i="2"/>
  <c r="D259" i="2"/>
  <c r="D163" i="2"/>
  <c r="G118" i="2"/>
  <c r="G86" i="2"/>
  <c r="G54" i="2"/>
  <c r="G22" i="2"/>
  <c r="R32" i="2"/>
  <c r="G138" i="2"/>
  <c r="T28" i="2"/>
  <c r="K87" i="2"/>
  <c r="Q279" i="2"/>
  <c r="P178" i="2"/>
  <c r="K123" i="2"/>
  <c r="K91" i="2"/>
  <c r="K59" i="2"/>
  <c r="C19" i="2"/>
  <c r="N63" i="2"/>
  <c r="R60" i="2"/>
  <c r="Q241" i="2"/>
  <c r="T146" i="2"/>
  <c r="D231" i="2"/>
  <c r="G42" i="2"/>
  <c r="R68" i="2"/>
  <c r="N117" i="2"/>
  <c r="N85" i="2"/>
  <c r="N53" i="2"/>
  <c r="N21" i="2"/>
  <c r="K361" i="2"/>
  <c r="J208" i="2"/>
  <c r="K133" i="2"/>
  <c r="K101" i="2"/>
  <c r="K69" i="2"/>
  <c r="K37" i="2"/>
  <c r="K381" i="2"/>
  <c r="P254" i="2"/>
  <c r="K383" i="2"/>
  <c r="C216" i="2"/>
  <c r="P135" i="2"/>
  <c r="P103" i="2"/>
  <c r="P71" i="2"/>
  <c r="P39" i="2"/>
  <c r="K357" i="2"/>
  <c r="K119" i="2"/>
  <c r="A262" i="2"/>
  <c r="Q165" i="2"/>
  <c r="C119" i="2"/>
  <c r="C87" i="2"/>
  <c r="C55" i="2"/>
  <c r="C23" i="2"/>
  <c r="N97" i="2"/>
  <c r="N41" i="2"/>
  <c r="C57" i="2"/>
  <c r="C401" i="2"/>
  <c r="T134" i="2"/>
  <c r="N89" i="2"/>
  <c r="N9" i="2"/>
  <c r="E26" i="2"/>
  <c r="J236" i="2"/>
  <c r="G144" i="2"/>
  <c r="R110" i="2"/>
  <c r="R78" i="2"/>
  <c r="R46" i="2"/>
  <c r="R14" i="2"/>
  <c r="C244" i="2"/>
  <c r="C121" i="2"/>
  <c r="P51" i="2"/>
  <c r="C212" i="2"/>
  <c r="E76" i="2"/>
  <c r="C236" i="2"/>
  <c r="P43" i="2"/>
  <c r="E488" i="2"/>
  <c r="S72" i="2"/>
  <c r="Q702" i="2"/>
  <c r="R277" i="2"/>
  <c r="T16" i="2"/>
  <c r="K63" i="2"/>
  <c r="H424" i="2"/>
  <c r="G80" i="2"/>
  <c r="E64" i="2"/>
  <c r="P113" i="2"/>
  <c r="T78" i="2"/>
  <c r="K41" i="2"/>
  <c r="R6" i="2"/>
  <c r="C196" i="2"/>
  <c r="S259" i="2"/>
  <c r="K376" i="2"/>
  <c r="G143" i="2"/>
  <c r="G79" i="2"/>
  <c r="G15" i="2"/>
  <c r="J376" i="2"/>
  <c r="E202" i="2"/>
  <c r="F95" i="2"/>
  <c r="F31" i="2"/>
  <c r="P405" i="2"/>
  <c r="R103" i="2"/>
  <c r="R31" i="2"/>
  <c r="H474" i="2"/>
  <c r="H219" i="2"/>
  <c r="Q119" i="2"/>
  <c r="Q55" i="2"/>
  <c r="R353" i="2"/>
  <c r="C434" i="2"/>
  <c r="R279" i="2"/>
  <c r="N148" i="2"/>
  <c r="H84" i="2"/>
  <c r="H20" i="2"/>
  <c r="F373" i="2"/>
  <c r="E216" i="2"/>
  <c r="F110" i="2"/>
  <c r="F46" i="2"/>
  <c r="K410" i="2"/>
  <c r="G134" i="2"/>
  <c r="N87" i="2"/>
  <c r="P230" i="2"/>
  <c r="P214" i="2"/>
  <c r="J160" i="2"/>
  <c r="P119" i="2"/>
  <c r="C71" i="2"/>
  <c r="G52" i="2"/>
  <c r="C156" i="2"/>
  <c r="Q6" i="2"/>
  <c r="M216" i="2"/>
  <c r="P422" i="2"/>
  <c r="R350" i="2"/>
  <c r="K285" i="2"/>
  <c r="F233" i="2"/>
  <c r="F185" i="2"/>
  <c r="C64" i="2"/>
  <c r="C28" i="2"/>
  <c r="C4" i="2"/>
  <c r="A8" i="2"/>
  <c r="P682" i="2"/>
  <c r="C462" i="2"/>
  <c r="M386" i="2"/>
  <c r="M350" i="2"/>
  <c r="M314" i="2"/>
  <c r="H285" i="2"/>
  <c r="E257" i="2"/>
  <c r="E233" i="2"/>
  <c r="E209" i="2"/>
  <c r="E185" i="2"/>
  <c r="E161" i="2"/>
  <c r="O142" i="2"/>
  <c r="O130" i="2"/>
  <c r="H119" i="2"/>
  <c r="A110" i="2"/>
  <c r="A102" i="2"/>
  <c r="A94" i="2"/>
  <c r="A86" i="2"/>
  <c r="A78" i="2"/>
  <c r="A70" i="2"/>
  <c r="A62" i="2"/>
  <c r="A54" i="2"/>
  <c r="A46" i="2"/>
  <c r="O34" i="2"/>
  <c r="O2" i="2"/>
  <c r="P514" i="2"/>
  <c r="O418" i="2"/>
  <c r="K386" i="2"/>
  <c r="K362" i="2"/>
  <c r="K338" i="2"/>
  <c r="K314" i="2"/>
  <c r="R294" i="2"/>
  <c r="Q275" i="2"/>
  <c r="D257" i="2"/>
  <c r="D241" i="2"/>
  <c r="D225" i="2"/>
  <c r="D209" i="2"/>
  <c r="D193" i="2"/>
  <c r="D177" i="2"/>
  <c r="D161" i="2"/>
  <c r="N146" i="2"/>
  <c r="N138" i="2"/>
  <c r="N130" i="2"/>
  <c r="N122" i="2"/>
  <c r="N114" i="2"/>
  <c r="N106" i="2"/>
  <c r="N98" i="2"/>
  <c r="N90" i="2"/>
  <c r="N82" i="2"/>
  <c r="N74" i="2"/>
  <c r="N66" i="2"/>
  <c r="N58" i="2"/>
  <c r="N50" i="2"/>
  <c r="N42" i="2"/>
  <c r="N34" i="2"/>
  <c r="N26" i="2"/>
  <c r="N18" i="2"/>
  <c r="N10" i="2"/>
  <c r="N2" i="2"/>
  <c r="S225" i="2"/>
  <c r="R678" i="2"/>
  <c r="H514" i="2"/>
  <c r="M418" i="2"/>
  <c r="J386" i="2"/>
  <c r="J362" i="2"/>
  <c r="J338" i="2"/>
  <c r="J314" i="2"/>
  <c r="O294" i="2"/>
  <c r="K275" i="2"/>
  <c r="R256" i="2"/>
  <c r="R240" i="2"/>
  <c r="R224" i="2"/>
  <c r="R208" i="2"/>
  <c r="R192" i="2"/>
  <c r="R176" i="2"/>
  <c r="R160" i="2"/>
  <c r="M146" i="2"/>
  <c r="M138" i="2"/>
  <c r="M130" i="2"/>
  <c r="M122" i="2"/>
  <c r="M114" i="2"/>
  <c r="M106" i="2"/>
  <c r="M98" i="2"/>
  <c r="M90" i="2"/>
  <c r="M82" i="2"/>
  <c r="M74" i="2"/>
  <c r="M66" i="2"/>
  <c r="M58" i="2"/>
  <c r="M50" i="2"/>
  <c r="M42" i="2"/>
  <c r="M34" i="2"/>
  <c r="M26" i="2"/>
  <c r="M18" i="2"/>
  <c r="M10" i="2"/>
  <c r="M2" i="2"/>
  <c r="D19" i="2"/>
  <c r="S205" i="2"/>
  <c r="P694" i="2"/>
  <c r="R524" i="2"/>
  <c r="P421" i="2"/>
  <c r="E388" i="2"/>
  <c r="E364" i="2"/>
  <c r="E340" i="2"/>
  <c r="E316" i="2"/>
  <c r="E296" i="2"/>
  <c r="D277" i="2"/>
  <c r="C258" i="2"/>
  <c r="C242" i="2"/>
  <c r="C226" i="2"/>
  <c r="C210" i="2"/>
  <c r="C194" i="2"/>
  <c r="C178" i="2"/>
  <c r="C162" i="2"/>
  <c r="E147" i="2"/>
  <c r="E139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3" i="2"/>
  <c r="J22" i="2"/>
  <c r="F207" i="2"/>
  <c r="P522" i="2"/>
  <c r="C421" i="2"/>
  <c r="S387" i="2"/>
  <c r="S363" i="2"/>
  <c r="S339" i="2"/>
  <c r="S315" i="2"/>
  <c r="A296" i="2"/>
  <c r="R276" i="2"/>
  <c r="A258" i="2"/>
  <c r="A242" i="2"/>
  <c r="A226" i="2"/>
  <c r="A210" i="2"/>
  <c r="A194" i="2"/>
  <c r="A178" i="2"/>
  <c r="A162" i="2"/>
  <c r="D147" i="2"/>
  <c r="D139" i="2"/>
  <c r="D131" i="2"/>
  <c r="D123" i="2"/>
  <c r="D115" i="2"/>
  <c r="D107" i="2"/>
  <c r="D99" i="2"/>
  <c r="D91" i="2"/>
  <c r="D83" i="2"/>
  <c r="D75" i="2"/>
  <c r="D67" i="2"/>
  <c r="D59" i="2"/>
  <c r="D51" i="2"/>
  <c r="Q41" i="2"/>
  <c r="J4" i="2"/>
  <c r="R690" i="2"/>
  <c r="H522" i="2"/>
  <c r="A421" i="2"/>
  <c r="R387" i="2"/>
  <c r="R363" i="2"/>
  <c r="R339" i="2"/>
  <c r="R315" i="2"/>
  <c r="S295" i="2"/>
  <c r="O276" i="2"/>
  <c r="M248" i="2"/>
  <c r="F175" i="2"/>
  <c r="P610" i="2"/>
  <c r="C474" i="2"/>
  <c r="S404" i="2"/>
  <c r="Q377" i="2"/>
  <c r="Q353" i="2"/>
  <c r="Q329" i="2"/>
  <c r="D307" i="2"/>
  <c r="R287" i="2"/>
  <c r="M268" i="2"/>
  <c r="E251" i="2"/>
  <c r="E235" i="2"/>
  <c r="E219" i="2"/>
  <c r="E203" i="2"/>
  <c r="E187" i="2"/>
  <c r="E171" i="2"/>
  <c r="E155" i="2"/>
  <c r="O143" i="2"/>
  <c r="O135" i="2"/>
  <c r="O127" i="2"/>
  <c r="O119" i="2"/>
  <c r="O111" i="2"/>
  <c r="O103" i="2"/>
  <c r="O95" i="2"/>
  <c r="O87" i="2"/>
  <c r="O79" i="2"/>
  <c r="O71" i="2"/>
  <c r="O63" i="2"/>
  <c r="O55" i="2"/>
  <c r="O47" i="2"/>
  <c r="O39" i="2"/>
  <c r="O31" i="2"/>
  <c r="O23" i="2"/>
  <c r="O15" i="2"/>
  <c r="O7" i="2"/>
  <c r="R654" i="2"/>
  <c r="H498" i="2"/>
  <c r="Q413" i="2"/>
  <c r="F383" i="2"/>
  <c r="F359" i="2"/>
  <c r="F335" i="2"/>
  <c r="K311" i="2"/>
  <c r="J292" i="2"/>
  <c r="E273" i="2"/>
  <c r="R254" i="2"/>
  <c r="R238" i="2"/>
  <c r="R222" i="2"/>
  <c r="R206" i="2"/>
  <c r="R190" i="2"/>
  <c r="R174" i="2"/>
  <c r="R158" i="2"/>
  <c r="M145" i="2"/>
  <c r="M137" i="2"/>
  <c r="M129" i="2"/>
  <c r="M121" i="2"/>
  <c r="M113" i="2"/>
  <c r="M105" i="2"/>
  <c r="M97" i="2"/>
  <c r="M89" i="2"/>
  <c r="M81" i="2"/>
  <c r="M73" i="2"/>
  <c r="M65" i="2"/>
  <c r="M57" i="2"/>
  <c r="M49" i="2"/>
  <c r="M41" i="2"/>
  <c r="M33" i="2"/>
  <c r="M25" i="2"/>
  <c r="M17" i="2"/>
  <c r="M9" i="2"/>
  <c r="H780" i="2"/>
  <c r="R540" i="2"/>
  <c r="C432" i="2"/>
  <c r="E391" i="2"/>
  <c r="E367" i="2"/>
  <c r="E343" i="2"/>
  <c r="E319" i="2"/>
  <c r="M298" i="2"/>
  <c r="H279" i="2"/>
  <c r="D251" i="2"/>
  <c r="D155" i="2"/>
  <c r="N115" i="2"/>
  <c r="N83" i="2"/>
  <c r="N51" i="2"/>
  <c r="N19" i="2"/>
  <c r="E30" i="2"/>
  <c r="E8" i="2"/>
  <c r="N127" i="2"/>
  <c r="N15" i="2"/>
  <c r="E74" i="2"/>
  <c r="E268" i="2"/>
  <c r="P170" i="2"/>
  <c r="R120" i="2"/>
  <c r="R88" i="2"/>
  <c r="R56" i="2"/>
  <c r="C11" i="2"/>
  <c r="G50" i="2"/>
  <c r="E34" i="2"/>
  <c r="Q233" i="2"/>
  <c r="T142" i="2"/>
  <c r="P109" i="2"/>
  <c r="P77" i="2"/>
  <c r="P45" i="2"/>
  <c r="D215" i="2"/>
  <c r="N31" i="2"/>
  <c r="E50" i="2"/>
  <c r="T114" i="2"/>
  <c r="T82" i="2"/>
  <c r="T50" i="2"/>
  <c r="T18" i="2"/>
  <c r="K337" i="2"/>
  <c r="J200" i="2"/>
  <c r="R130" i="2"/>
  <c r="R98" i="2"/>
  <c r="R66" i="2"/>
  <c r="R34" i="2"/>
  <c r="N135" i="2"/>
  <c r="P238" i="2"/>
  <c r="K359" i="2"/>
  <c r="C208" i="2"/>
  <c r="C133" i="2"/>
  <c r="C101" i="2"/>
  <c r="C69" i="2"/>
  <c r="C37" i="2"/>
  <c r="D167" i="2"/>
  <c r="E98" i="2"/>
  <c r="Q253" i="2"/>
  <c r="Q157" i="2"/>
  <c r="G92" i="2"/>
  <c r="T38" i="2"/>
  <c r="K375" i="2"/>
  <c r="G132" i="2"/>
  <c r="G84" i="2"/>
  <c r="G4" i="2"/>
  <c r="K7" i="2"/>
  <c r="J228" i="2"/>
  <c r="G140" i="2"/>
  <c r="E108" i="2"/>
  <c r="E44" i="2"/>
  <c r="E12" i="2"/>
  <c r="C188" i="2"/>
  <c r="F381" i="2"/>
  <c r="S104" i="2"/>
  <c r="S40" i="2"/>
  <c r="S8" i="2"/>
  <c r="E317" i="2"/>
  <c r="T80" i="2"/>
  <c r="G122" i="2"/>
  <c r="C3" i="2"/>
  <c r="C75" i="2"/>
  <c r="G112" i="2"/>
  <c r="E128" i="2"/>
  <c r="K71" i="2"/>
  <c r="P17" i="2"/>
  <c r="N129" i="2"/>
  <c r="K73" i="2"/>
  <c r="R70" i="2"/>
  <c r="C164" i="2"/>
  <c r="C33" i="2"/>
  <c r="R602" i="2"/>
  <c r="K328" i="2"/>
  <c r="G103" i="2"/>
  <c r="G23" i="2"/>
  <c r="O286" i="2"/>
  <c r="F135" i="2"/>
  <c r="F55" i="2"/>
  <c r="C476" i="2"/>
  <c r="R95" i="2"/>
  <c r="R7" i="2"/>
  <c r="F307" i="2"/>
  <c r="Q135" i="2"/>
  <c r="Q33" i="2"/>
  <c r="S257" i="2"/>
  <c r="M260" i="2"/>
  <c r="H132" i="2"/>
  <c r="H52" i="2"/>
  <c r="E456" i="2"/>
  <c r="E200" i="2"/>
  <c r="F78" i="2"/>
  <c r="P638" i="2"/>
  <c r="G70" i="2"/>
  <c r="K75" i="2"/>
  <c r="P13" i="2"/>
  <c r="J256" i="2"/>
  <c r="P87" i="2"/>
  <c r="G68" i="2"/>
  <c r="R94" i="2"/>
  <c r="D6" i="2"/>
  <c r="P4" i="2"/>
  <c r="S157" i="2"/>
  <c r="R342" i="2"/>
  <c r="E279" i="2"/>
  <c r="S227" i="2"/>
  <c r="S179" i="2"/>
  <c r="P146" i="2"/>
  <c r="P134" i="2"/>
  <c r="P122" i="2"/>
  <c r="P110" i="2"/>
  <c r="P98" i="2"/>
  <c r="P86" i="2"/>
  <c r="P74" i="2"/>
  <c r="P26" i="2"/>
  <c r="P2" i="2"/>
  <c r="A6" i="2"/>
  <c r="P666" i="2"/>
  <c r="C454" i="2"/>
  <c r="M384" i="2"/>
  <c r="M348" i="2"/>
  <c r="M312" i="2"/>
  <c r="R283" i="2"/>
  <c r="R255" i="2"/>
  <c r="R231" i="2"/>
  <c r="R207" i="2"/>
  <c r="R183" i="2"/>
  <c r="R159" i="2"/>
  <c r="A142" i="2"/>
  <c r="A130" i="2"/>
  <c r="O118" i="2"/>
  <c r="H109" i="2"/>
  <c r="H101" i="2"/>
  <c r="H93" i="2"/>
  <c r="H85" i="2"/>
  <c r="H77" i="2"/>
  <c r="H69" i="2"/>
  <c r="H61" i="2"/>
  <c r="H53" i="2"/>
  <c r="H45" i="2"/>
  <c r="A32" i="2"/>
  <c r="Q7" i="2"/>
  <c r="C504" i="2"/>
  <c r="J415" i="2"/>
  <c r="K384" i="2"/>
  <c r="K360" i="2"/>
  <c r="K336" i="2"/>
  <c r="K312" i="2"/>
  <c r="F293" i="2"/>
  <c r="A274" i="2"/>
  <c r="Q255" i="2"/>
  <c r="Q239" i="2"/>
  <c r="Q223" i="2"/>
  <c r="Q207" i="2"/>
  <c r="Q191" i="2"/>
  <c r="Q175" i="2"/>
  <c r="Q159" i="2"/>
  <c r="T145" i="2"/>
  <c r="T137" i="2"/>
  <c r="T129" i="2"/>
  <c r="T121" i="2"/>
  <c r="T113" i="2"/>
  <c r="T105" i="2"/>
  <c r="T97" i="2"/>
  <c r="T89" i="2"/>
  <c r="T81" i="2"/>
  <c r="T73" i="2"/>
  <c r="T65" i="2"/>
  <c r="T57" i="2"/>
  <c r="T49" i="2"/>
  <c r="T41" i="2"/>
  <c r="T33" i="2"/>
  <c r="T25" i="2"/>
  <c r="T17" i="2"/>
  <c r="T9" i="2"/>
  <c r="Q35" i="2"/>
  <c r="F215" i="2"/>
  <c r="R662" i="2"/>
  <c r="O503" i="2"/>
  <c r="J384" i="2"/>
  <c r="J360" i="2"/>
  <c r="J336" i="2"/>
  <c r="J312" i="2"/>
  <c r="E293" i="2"/>
  <c r="S273" i="2"/>
  <c r="K255" i="2"/>
  <c r="K239" i="2"/>
  <c r="K223" i="2"/>
  <c r="K207" i="2"/>
  <c r="K191" i="2"/>
  <c r="K175" i="2"/>
  <c r="K159" i="2"/>
  <c r="S145" i="2"/>
  <c r="S137" i="2"/>
  <c r="S129" i="2"/>
  <c r="S121" i="2"/>
  <c r="S113" i="2"/>
  <c r="S105" i="2"/>
  <c r="S97" i="2"/>
  <c r="S89" i="2"/>
  <c r="S81" i="2"/>
  <c r="S73" i="2"/>
  <c r="S65" i="2"/>
  <c r="S57" i="2"/>
  <c r="S49" i="2"/>
  <c r="S41" i="2"/>
  <c r="S33" i="2"/>
  <c r="S25" i="2"/>
  <c r="S17" i="2"/>
  <c r="S9" i="2"/>
  <c r="Q43" i="2"/>
  <c r="D17" i="2"/>
  <c r="F199" i="2"/>
  <c r="P678" i="2"/>
  <c r="E514" i="2"/>
  <c r="K418" i="2"/>
  <c r="E386" i="2"/>
  <c r="E362" i="2"/>
  <c r="E338" i="2"/>
  <c r="E314" i="2"/>
  <c r="M294" i="2"/>
  <c r="H275" i="2"/>
  <c r="P256" i="2"/>
  <c r="P240" i="2"/>
  <c r="P224" i="2"/>
  <c r="P208" i="2"/>
  <c r="P192" i="2"/>
  <c r="P176" i="2"/>
  <c r="P160" i="2"/>
  <c r="K146" i="2"/>
  <c r="K138" i="2"/>
  <c r="K130" i="2"/>
  <c r="K122" i="2"/>
  <c r="K114" i="2"/>
  <c r="K106" i="2"/>
  <c r="K98" i="2"/>
  <c r="K90" i="2"/>
  <c r="K82" i="2"/>
  <c r="K74" i="2"/>
  <c r="K66" i="2"/>
  <c r="K58" i="2"/>
  <c r="K50" i="2"/>
  <c r="K42" i="2"/>
  <c r="K34" i="2"/>
  <c r="K26" i="2"/>
  <c r="K18" i="2"/>
  <c r="K10" i="2"/>
  <c r="K2" i="2"/>
  <c r="J20" i="2"/>
  <c r="M200" i="2"/>
  <c r="C512" i="2"/>
  <c r="R417" i="2"/>
  <c r="S385" i="2"/>
  <c r="S361" i="2"/>
  <c r="S337" i="2"/>
  <c r="S313" i="2"/>
  <c r="K294" i="2"/>
  <c r="F275" i="2"/>
  <c r="O256" i="2"/>
  <c r="O240" i="2"/>
  <c r="O224" i="2"/>
  <c r="O208" i="2"/>
  <c r="O192" i="2"/>
  <c r="O176" i="2"/>
  <c r="O160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D41" i="2"/>
  <c r="F259" i="2"/>
  <c r="R674" i="2"/>
  <c r="O511" i="2"/>
  <c r="Q417" i="2"/>
  <c r="R385" i="2"/>
  <c r="R361" i="2"/>
  <c r="R337" i="2"/>
  <c r="R313" i="2"/>
  <c r="J294" i="2"/>
  <c r="E275" i="2"/>
  <c r="F247" i="2"/>
  <c r="M164" i="2"/>
  <c r="P594" i="2"/>
  <c r="C466" i="2"/>
  <c r="P401" i="2"/>
  <c r="Q375" i="2"/>
  <c r="Q351" i="2"/>
  <c r="Q327" i="2"/>
  <c r="H305" i="2"/>
  <c r="E286" i="2"/>
  <c r="D267" i="2"/>
  <c r="R249" i="2"/>
  <c r="R233" i="2"/>
  <c r="R217" i="2"/>
  <c r="R201" i="2"/>
  <c r="R185" i="2"/>
  <c r="R169" i="2"/>
  <c r="R153" i="2"/>
  <c r="A143" i="2"/>
  <c r="A135" i="2"/>
  <c r="A127" i="2"/>
  <c r="A119" i="2"/>
  <c r="A111" i="2"/>
  <c r="A103" i="2"/>
  <c r="A95" i="2"/>
  <c r="A87" i="2"/>
  <c r="A79" i="2"/>
  <c r="A71" i="2"/>
  <c r="A63" i="2"/>
  <c r="A55" i="2"/>
  <c r="A47" i="2"/>
  <c r="A39" i="2"/>
  <c r="A31" i="2"/>
  <c r="A23" i="2"/>
  <c r="A15" i="2"/>
  <c r="A7" i="2"/>
  <c r="P498" i="2"/>
  <c r="M410" i="2"/>
  <c r="F357" i="2"/>
  <c r="F333" i="2"/>
  <c r="K237" i="2"/>
  <c r="K221" i="2"/>
  <c r="K205" i="2"/>
  <c r="K189" i="2"/>
  <c r="K173" i="2"/>
  <c r="K157" i="2"/>
  <c r="S144" i="2"/>
  <c r="S136" i="2"/>
  <c r="S128" i="2"/>
  <c r="S112" i="2"/>
  <c r="S64" i="2"/>
  <c r="E365" i="2"/>
  <c r="E86" i="2"/>
  <c r="E32" i="2"/>
  <c r="C220" i="2"/>
  <c r="P130" i="2"/>
  <c r="R63" i="2"/>
  <c r="F134" i="2"/>
  <c r="J3" i="2"/>
  <c r="C34" i="2"/>
  <c r="O148" i="2"/>
  <c r="R340" i="2"/>
  <c r="K277" i="2"/>
  <c r="M226" i="2"/>
  <c r="M178" i="2"/>
  <c r="C146" i="2"/>
  <c r="C122" i="2"/>
  <c r="C98" i="2"/>
  <c r="C74" i="2"/>
  <c r="P62" i="2"/>
  <c r="C46" i="2"/>
  <c r="P22" i="2"/>
  <c r="A34" i="2"/>
  <c r="A4" i="2"/>
  <c r="P618" i="2"/>
  <c r="C446" i="2"/>
  <c r="M378" i="2"/>
  <c r="M346" i="2"/>
  <c r="R307" i="2"/>
  <c r="E282" i="2"/>
  <c r="R251" i="2"/>
  <c r="K230" i="2"/>
  <c r="R203" i="2"/>
  <c r="K182" i="2"/>
  <c r="R155" i="2"/>
  <c r="H141" i="2"/>
  <c r="A128" i="2"/>
  <c r="A118" i="2"/>
  <c r="O108" i="2"/>
  <c r="O100" i="2"/>
  <c r="O92" i="2"/>
  <c r="O84" i="2"/>
  <c r="O76" i="2"/>
  <c r="O68" i="2"/>
  <c r="O60" i="2"/>
  <c r="O52" i="2"/>
  <c r="O44" i="2"/>
  <c r="H29" i="2"/>
  <c r="D3" i="2"/>
  <c r="F412" i="2"/>
  <c r="K382" i="2"/>
  <c r="K358" i="2"/>
  <c r="K334" i="2"/>
  <c r="R310" i="2"/>
  <c r="Q291" i="2"/>
  <c r="K272" i="2"/>
  <c r="J254" i="2"/>
  <c r="J238" i="2"/>
  <c r="J222" i="2"/>
  <c r="J206" i="2"/>
  <c r="J190" i="2"/>
  <c r="J174" i="2"/>
  <c r="J158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Q27" i="2"/>
  <c r="F203" i="2"/>
  <c r="R646" i="2"/>
  <c r="A493" i="2"/>
  <c r="E412" i="2"/>
  <c r="J382" i="2"/>
  <c r="J358" i="2"/>
  <c r="J334" i="2"/>
  <c r="O310" i="2"/>
  <c r="K291" i="2"/>
  <c r="J272" i="2"/>
  <c r="E254" i="2"/>
  <c r="E238" i="2"/>
  <c r="E222" i="2"/>
  <c r="E206" i="2"/>
  <c r="E190" i="2"/>
  <c r="E174" i="2"/>
  <c r="E158" i="2"/>
  <c r="F145" i="2"/>
  <c r="F137" i="2"/>
  <c r="F129" i="2"/>
  <c r="F121" i="2"/>
  <c r="F113" i="2"/>
  <c r="F105" i="2"/>
  <c r="F97" i="2"/>
  <c r="F89" i="2"/>
  <c r="F81" i="2"/>
  <c r="F73" i="2"/>
  <c r="F65" i="2"/>
  <c r="F57" i="2"/>
  <c r="F49" i="2"/>
  <c r="F41" i="2"/>
  <c r="F33" i="2"/>
  <c r="F25" i="2"/>
  <c r="F17" i="2"/>
  <c r="F9" i="2"/>
  <c r="Q39" i="2"/>
  <c r="D15" i="2"/>
  <c r="S189" i="2"/>
  <c r="P662" i="2"/>
  <c r="K503" i="2"/>
  <c r="H415" i="2"/>
  <c r="E384" i="2"/>
  <c r="E360" i="2"/>
  <c r="E336" i="2"/>
  <c r="E312" i="2"/>
  <c r="D293" i="2"/>
  <c r="R273" i="2"/>
  <c r="R145" i="2"/>
  <c r="R137" i="2"/>
  <c r="R129" i="2"/>
  <c r="R121" i="2"/>
  <c r="R113" i="2"/>
  <c r="R105" i="2"/>
  <c r="R97" i="2"/>
  <c r="R89" i="2"/>
  <c r="R81" i="2"/>
  <c r="R73" i="2"/>
  <c r="R65" i="2"/>
  <c r="R57" i="2"/>
  <c r="R49" i="2"/>
  <c r="R41" i="2"/>
  <c r="R33" i="2"/>
  <c r="R25" i="2"/>
  <c r="R17" i="2"/>
  <c r="R9" i="2"/>
  <c r="J44" i="2"/>
  <c r="Q17" i="2"/>
  <c r="F191" i="2"/>
  <c r="O414" i="2"/>
  <c r="S383" i="2"/>
  <c r="S359" i="2"/>
  <c r="S335" i="2"/>
  <c r="A312" i="2"/>
  <c r="R292" i="2"/>
  <c r="Q273" i="2"/>
  <c r="H255" i="2"/>
  <c r="H239" i="2"/>
  <c r="H223" i="2"/>
  <c r="H207" i="2"/>
  <c r="H191" i="2"/>
  <c r="H175" i="2"/>
  <c r="H159" i="2"/>
  <c r="Q145" i="2"/>
  <c r="Q137" i="2"/>
  <c r="Q129" i="2"/>
  <c r="Q121" i="2"/>
  <c r="Q113" i="2"/>
  <c r="Q105" i="2"/>
  <c r="Q97" i="2"/>
  <c r="Q89" i="2"/>
  <c r="Q81" i="2"/>
  <c r="Q73" i="2"/>
  <c r="Q65" i="2"/>
  <c r="Q57" i="2"/>
  <c r="Q49" i="2"/>
  <c r="J40" i="2"/>
  <c r="M224" i="2"/>
  <c r="R658" i="2"/>
  <c r="A501" i="2"/>
  <c r="M414" i="2"/>
  <c r="R383" i="2"/>
  <c r="R359" i="2"/>
  <c r="R335" i="2"/>
  <c r="S311" i="2"/>
  <c r="O292" i="2"/>
  <c r="K273" i="2"/>
  <c r="S245" i="2"/>
  <c r="F155" i="2"/>
  <c r="P578" i="2"/>
  <c r="C458" i="2"/>
  <c r="K398" i="2"/>
  <c r="Q373" i="2"/>
  <c r="Q349" i="2"/>
  <c r="Q325" i="2"/>
  <c r="R303" i="2"/>
  <c r="M284" i="2"/>
  <c r="H265" i="2"/>
  <c r="K248" i="2"/>
  <c r="K232" i="2"/>
  <c r="K216" i="2"/>
  <c r="K200" i="2"/>
  <c r="K184" i="2"/>
  <c r="K168" i="2"/>
  <c r="K152" i="2"/>
  <c r="H142" i="2"/>
  <c r="H134" i="2"/>
  <c r="H126" i="2"/>
  <c r="H118" i="2"/>
  <c r="H110" i="2"/>
  <c r="H102" i="2"/>
  <c r="H94" i="2"/>
  <c r="H86" i="2"/>
  <c r="H78" i="2"/>
  <c r="H70" i="2"/>
  <c r="H62" i="2"/>
  <c r="H54" i="2"/>
  <c r="H46" i="2"/>
  <c r="H38" i="2"/>
  <c r="H30" i="2"/>
  <c r="H22" i="2"/>
  <c r="H14" i="2"/>
  <c r="H6" i="2"/>
  <c r="H488" i="2"/>
  <c r="R622" i="2"/>
  <c r="E480" i="2"/>
  <c r="F379" i="2"/>
  <c r="F355" i="2"/>
  <c r="F331" i="2"/>
  <c r="J308" i="2"/>
  <c r="E289" i="2"/>
  <c r="S269" i="2"/>
  <c r="E252" i="2"/>
  <c r="E236" i="2"/>
  <c r="E220" i="2"/>
  <c r="E204" i="2"/>
  <c r="E188" i="2"/>
  <c r="E172" i="2"/>
  <c r="E156" i="2"/>
  <c r="F144" i="2"/>
  <c r="F136" i="2"/>
  <c r="F128" i="2"/>
  <c r="F120" i="2"/>
  <c r="F112" i="2"/>
  <c r="F104" i="2"/>
  <c r="F96" i="2"/>
  <c r="F88" i="2"/>
  <c r="F80" i="2"/>
  <c r="F72" i="2"/>
  <c r="F64" i="2"/>
  <c r="F56" i="2"/>
  <c r="F48" i="2"/>
  <c r="F40" i="2"/>
  <c r="F32" i="2"/>
  <c r="F24" i="2"/>
  <c r="F16" i="2"/>
  <c r="F8" i="2"/>
  <c r="P686" i="2"/>
  <c r="K519" i="2"/>
  <c r="D420" i="2"/>
  <c r="E387" i="2"/>
  <c r="E363" i="2"/>
  <c r="E339" i="2"/>
  <c r="E315" i="2"/>
  <c r="H295" i="2"/>
  <c r="E276" i="2"/>
  <c r="D235" i="2"/>
  <c r="N143" i="2"/>
  <c r="G110" i="2"/>
  <c r="G78" i="2"/>
  <c r="G46" i="2"/>
  <c r="G14" i="2"/>
  <c r="E22" i="2"/>
  <c r="A310" i="2"/>
  <c r="G114" i="2"/>
  <c r="K331" i="2"/>
  <c r="K47" i="2"/>
  <c r="P250" i="2"/>
  <c r="P154" i="2"/>
  <c r="K115" i="2"/>
  <c r="K83" i="2"/>
  <c r="R48" i="2"/>
  <c r="C5" i="2"/>
  <c r="N23" i="2"/>
  <c r="K389" i="2"/>
  <c r="Q217" i="2"/>
  <c r="C35" i="2"/>
  <c r="D159" i="2"/>
  <c r="T4" i="2"/>
  <c r="R4" i="2"/>
  <c r="R142" i="2"/>
  <c r="N109" i="2"/>
  <c r="N77" i="2"/>
  <c r="N45" i="2"/>
  <c r="N13" i="2"/>
  <c r="A294" i="2"/>
  <c r="J184" i="2"/>
  <c r="K125" i="2"/>
  <c r="K93" i="2"/>
  <c r="K61" i="2"/>
  <c r="K29" i="2"/>
  <c r="T92" i="2"/>
  <c r="K141" i="2"/>
  <c r="Q311" i="2"/>
  <c r="C192" i="2"/>
  <c r="P127" i="2"/>
  <c r="P95" i="2"/>
  <c r="P63" i="2"/>
  <c r="P31" i="2"/>
  <c r="T100" i="2"/>
  <c r="K39" i="2"/>
  <c r="Q237" i="2"/>
  <c r="T144" i="2"/>
  <c r="C111" i="2"/>
  <c r="C79" i="2"/>
  <c r="C47" i="2"/>
  <c r="C15" i="2"/>
  <c r="N81" i="2"/>
  <c r="G28" i="2"/>
  <c r="P27" i="2"/>
  <c r="K327" i="2"/>
  <c r="T126" i="2"/>
  <c r="T70" i="2"/>
  <c r="C73" i="2"/>
  <c r="K373" i="2"/>
  <c r="J212" i="2"/>
  <c r="R134" i="2"/>
  <c r="C25" i="2"/>
  <c r="P142" i="2"/>
  <c r="J202" i="2"/>
  <c r="G39" i="2"/>
  <c r="S305" i="2"/>
  <c r="F111" i="2"/>
  <c r="D33" i="2"/>
  <c r="E288" i="2"/>
  <c r="R127" i="2"/>
  <c r="D9" i="2"/>
  <c r="H235" i="2"/>
  <c r="Q63" i="2"/>
  <c r="S287" i="2"/>
  <c r="K244" i="2"/>
  <c r="H92" i="2"/>
  <c r="J284" i="2"/>
  <c r="F126" i="2"/>
  <c r="F22" i="2"/>
  <c r="K369" i="2"/>
  <c r="K139" i="2"/>
  <c r="N5" i="2"/>
  <c r="C168" i="2"/>
  <c r="C39" i="2"/>
  <c r="J188" i="2"/>
  <c r="Q2" i="2"/>
  <c r="H35" i="2"/>
  <c r="A757" i="2"/>
  <c r="E400" i="2"/>
  <c r="R328" i="2"/>
  <c r="S267" i="2"/>
  <c r="M218" i="2"/>
  <c r="M170" i="2"/>
  <c r="C132" i="2"/>
  <c r="C108" i="2"/>
  <c r="C84" i="2"/>
  <c r="P44" i="2"/>
  <c r="O32" i="2"/>
  <c r="Q3" i="2"/>
  <c r="P602" i="2"/>
  <c r="O422" i="2"/>
  <c r="M376" i="2"/>
  <c r="M340" i="2"/>
  <c r="E306" i="2"/>
  <c r="H277" i="2"/>
  <c r="K250" i="2"/>
  <c r="K226" i="2"/>
  <c r="K202" i="2"/>
  <c r="K178" i="2"/>
  <c r="K154" i="2"/>
  <c r="H139" i="2"/>
  <c r="H127" i="2"/>
  <c r="H117" i="2"/>
  <c r="A108" i="2"/>
  <c r="A100" i="2"/>
  <c r="A92" i="2"/>
  <c r="A84" i="2"/>
  <c r="A76" i="2"/>
  <c r="A68" i="2"/>
  <c r="A60" i="2"/>
  <c r="A52" i="2"/>
  <c r="A44" i="2"/>
  <c r="A26" i="2"/>
  <c r="J262" i="2"/>
  <c r="H484" i="2"/>
  <c r="C409" i="2"/>
  <c r="K380" i="2"/>
  <c r="K356" i="2"/>
  <c r="K332" i="2"/>
  <c r="F309" i="2"/>
  <c r="A290" i="2"/>
  <c r="R270" i="2"/>
  <c r="D253" i="2"/>
  <c r="D237" i="2"/>
  <c r="D221" i="2"/>
  <c r="D205" i="2"/>
  <c r="D189" i="2"/>
  <c r="D173" i="2"/>
  <c r="D157" i="2"/>
  <c r="N144" i="2"/>
  <c r="N136" i="2"/>
  <c r="N128" i="2"/>
  <c r="N120" i="2"/>
  <c r="N112" i="2"/>
  <c r="N104" i="2"/>
  <c r="N96" i="2"/>
  <c r="N88" i="2"/>
  <c r="N80" i="2"/>
  <c r="N72" i="2"/>
  <c r="N64" i="2"/>
  <c r="N56" i="2"/>
  <c r="N48" i="2"/>
  <c r="N40" i="2"/>
  <c r="N32" i="2"/>
  <c r="N24" i="2"/>
  <c r="N16" i="2"/>
  <c r="N8" i="2"/>
  <c r="J24" i="2"/>
  <c r="S193" i="2"/>
  <c r="R630" i="2"/>
  <c r="E484" i="2"/>
  <c r="A409" i="2"/>
  <c r="J380" i="2"/>
  <c r="J356" i="2"/>
  <c r="J332" i="2"/>
  <c r="E309" i="2"/>
  <c r="S289" i="2"/>
  <c r="O270" i="2"/>
  <c r="R252" i="2"/>
  <c r="R236" i="2"/>
  <c r="R220" i="2"/>
  <c r="R204" i="2"/>
  <c r="R188" i="2"/>
  <c r="R172" i="2"/>
  <c r="R156" i="2"/>
  <c r="M144" i="2"/>
  <c r="M136" i="2"/>
  <c r="M128" i="2"/>
  <c r="M120" i="2"/>
  <c r="M112" i="2"/>
  <c r="M104" i="2"/>
  <c r="M96" i="2"/>
  <c r="M88" i="2"/>
  <c r="M80" i="2"/>
  <c r="M72" i="2"/>
  <c r="M64" i="2"/>
  <c r="M56" i="2"/>
  <c r="M48" i="2"/>
  <c r="M40" i="2"/>
  <c r="M32" i="2"/>
  <c r="M24" i="2"/>
  <c r="M16" i="2"/>
  <c r="M8" i="2"/>
  <c r="D37" i="2"/>
  <c r="D13" i="2"/>
  <c r="M184" i="2"/>
  <c r="P646" i="2"/>
  <c r="R492" i="2"/>
  <c r="D412" i="2"/>
  <c r="E382" i="2"/>
  <c r="E358" i="2"/>
  <c r="E334" i="2"/>
  <c r="M310" i="2"/>
  <c r="H291" i="2"/>
  <c r="E272" i="2"/>
  <c r="C254" i="2"/>
  <c r="C238" i="2"/>
  <c r="C222" i="2"/>
  <c r="C206" i="2"/>
  <c r="C190" i="2"/>
  <c r="C174" i="2"/>
  <c r="C158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D39" i="2"/>
  <c r="Q15" i="2"/>
  <c r="S185" i="2"/>
  <c r="P490" i="2"/>
  <c r="J411" i="2"/>
  <c r="S381" i="2"/>
  <c r="S357" i="2"/>
  <c r="S333" i="2"/>
  <c r="K310" i="2"/>
  <c r="F291" i="2"/>
  <c r="A272" i="2"/>
  <c r="A254" i="2"/>
  <c r="A238" i="2"/>
  <c r="A222" i="2"/>
  <c r="A206" i="2"/>
  <c r="A190" i="2"/>
  <c r="A174" i="2"/>
  <c r="A158" i="2"/>
  <c r="D145" i="2"/>
  <c r="D137" i="2"/>
  <c r="D129" i="2"/>
  <c r="D121" i="2"/>
  <c r="D113" i="2"/>
  <c r="D105" i="2"/>
  <c r="D97" i="2"/>
  <c r="D89" i="2"/>
  <c r="D81" i="2"/>
  <c r="D73" i="2"/>
  <c r="D65" i="2"/>
  <c r="D57" i="2"/>
  <c r="D49" i="2"/>
  <c r="J38" i="2"/>
  <c r="M204" i="2"/>
  <c r="R642" i="2"/>
  <c r="H490" i="2"/>
  <c r="R381" i="2"/>
  <c r="R357" i="2"/>
  <c r="R333" i="2"/>
  <c r="J310" i="2"/>
  <c r="E291" i="2"/>
  <c r="S271" i="2"/>
  <c r="M244" i="2"/>
  <c r="R564" i="2"/>
  <c r="C450" i="2"/>
  <c r="D396" i="2"/>
  <c r="Q371" i="2"/>
  <c r="Q347" i="2"/>
  <c r="Q323" i="2"/>
  <c r="E302" i="2"/>
  <c r="D283" i="2"/>
  <c r="R263" i="2"/>
  <c r="E247" i="2"/>
  <c r="E231" i="2"/>
  <c r="E215" i="2"/>
  <c r="E199" i="2"/>
  <c r="E183" i="2"/>
  <c r="E167" i="2"/>
  <c r="E151" i="2"/>
  <c r="O141" i="2"/>
  <c r="O133" i="2"/>
  <c r="O125" i="2"/>
  <c r="O117" i="2"/>
  <c r="O109" i="2"/>
  <c r="O101" i="2"/>
  <c r="O93" i="2"/>
  <c r="O85" i="2"/>
  <c r="O77" i="2"/>
  <c r="O69" i="2"/>
  <c r="O61" i="2"/>
  <c r="O53" i="2"/>
  <c r="O45" i="2"/>
  <c r="O37" i="2"/>
  <c r="O29" i="2"/>
  <c r="O21" i="2"/>
  <c r="O13" i="2"/>
  <c r="O5" i="2"/>
  <c r="H480" i="2"/>
  <c r="R606" i="2"/>
  <c r="E472" i="2"/>
  <c r="E404" i="2"/>
  <c r="F377" i="2"/>
  <c r="F353" i="2"/>
  <c r="F329" i="2"/>
  <c r="O306" i="2"/>
  <c r="K287" i="2"/>
  <c r="J268" i="2"/>
  <c r="R250" i="2"/>
  <c r="R234" i="2"/>
  <c r="R218" i="2"/>
  <c r="R202" i="2"/>
  <c r="R186" i="2"/>
  <c r="R170" i="2"/>
  <c r="R154" i="2"/>
  <c r="M143" i="2"/>
  <c r="M135" i="2"/>
  <c r="M127" i="2"/>
  <c r="M119" i="2"/>
  <c r="M111" i="2"/>
  <c r="M103" i="2"/>
  <c r="M95" i="2"/>
  <c r="M87" i="2"/>
  <c r="M79" i="2"/>
  <c r="M71" i="2"/>
  <c r="M63" i="2"/>
  <c r="M55" i="2"/>
  <c r="M47" i="2"/>
  <c r="M39" i="2"/>
  <c r="M31" i="2"/>
  <c r="M23" i="2"/>
  <c r="M15" i="2"/>
  <c r="M7" i="2"/>
  <c r="P670" i="2"/>
  <c r="R508" i="2"/>
  <c r="S416" i="2"/>
  <c r="E385" i="2"/>
  <c r="E361" i="2"/>
  <c r="E337" i="2"/>
  <c r="E313" i="2"/>
  <c r="R293" i="2"/>
  <c r="H440" i="2"/>
  <c r="D227" i="2"/>
  <c r="N139" i="2"/>
  <c r="N107" i="2"/>
  <c r="N75" i="2"/>
  <c r="N43" i="2"/>
  <c r="N11" i="2"/>
  <c r="R16" i="2"/>
  <c r="F273" i="2"/>
  <c r="G106" i="2"/>
  <c r="D273" i="2"/>
  <c r="K31" i="2"/>
  <c r="P242" i="2"/>
  <c r="M147" i="2"/>
  <c r="R112" i="2"/>
  <c r="R80" i="2"/>
  <c r="K43" i="2"/>
  <c r="K333" i="2"/>
  <c r="T12" i="2"/>
  <c r="K365" i="2"/>
  <c r="Q209" i="2"/>
  <c r="P133" i="2"/>
  <c r="P101" i="2"/>
  <c r="P69" i="2"/>
  <c r="P29" i="2"/>
  <c r="N141" i="2"/>
  <c r="J407" i="2"/>
  <c r="F420" i="2"/>
  <c r="T138" i="2"/>
  <c r="T106" i="2"/>
  <c r="T74" i="2"/>
  <c r="T42" i="2"/>
  <c r="T10" i="2"/>
  <c r="R274" i="2"/>
  <c r="J176" i="2"/>
  <c r="R122" i="2"/>
  <c r="R90" i="2"/>
  <c r="R58" i="2"/>
  <c r="R26" i="2"/>
  <c r="N79" i="2"/>
  <c r="K127" i="2"/>
  <c r="K292" i="2"/>
  <c r="C184" i="2"/>
  <c r="C125" i="2"/>
  <c r="C93" i="2"/>
  <c r="C61" i="2"/>
  <c r="C29" i="2"/>
  <c r="T84" i="2"/>
  <c r="E2" i="2"/>
  <c r="Q229" i="2"/>
  <c r="T140" i="2"/>
  <c r="G76" i="2"/>
  <c r="N25" i="2"/>
  <c r="P19" i="2"/>
  <c r="F305" i="2"/>
  <c r="G124" i="2"/>
  <c r="T62" i="2"/>
  <c r="K349" i="2"/>
  <c r="J204" i="2"/>
  <c r="E132" i="2"/>
  <c r="E100" i="2"/>
  <c r="E68" i="2"/>
  <c r="E4" i="2"/>
  <c r="S163" i="2"/>
  <c r="J234" i="2"/>
  <c r="G47" i="2"/>
  <c r="J352" i="2"/>
  <c r="E154" i="2"/>
  <c r="F47" i="2"/>
  <c r="H307" i="2"/>
  <c r="R119" i="2"/>
  <c r="J34" i="2"/>
  <c r="H251" i="2"/>
  <c r="Q71" i="2"/>
  <c r="E307" i="2"/>
  <c r="D299" i="2"/>
  <c r="H100" i="2"/>
  <c r="H4" i="2"/>
  <c r="E265" i="2"/>
  <c r="F118" i="2"/>
  <c r="F30" i="2"/>
  <c r="R309" i="2"/>
  <c r="P222" i="2"/>
  <c r="N37" i="2"/>
  <c r="D265" i="2"/>
  <c r="C103" i="2"/>
  <c r="P131" i="2"/>
  <c r="P28" i="2"/>
  <c r="H33" i="2"/>
  <c r="R698" i="2"/>
  <c r="R326" i="2"/>
  <c r="J266" i="2"/>
  <c r="F217" i="2"/>
  <c r="F169" i="2"/>
  <c r="P60" i="2"/>
  <c r="C20" i="2"/>
  <c r="O30" i="2"/>
  <c r="K265" i="2"/>
  <c r="P586" i="2"/>
  <c r="H419" i="2"/>
  <c r="M374" i="2"/>
  <c r="M338" i="2"/>
  <c r="M304" i="2"/>
  <c r="R275" i="2"/>
  <c r="E249" i="2"/>
  <c r="E225" i="2"/>
  <c r="E201" i="2"/>
  <c r="E177" i="2"/>
  <c r="E153" i="2"/>
  <c r="O138" i="2"/>
  <c r="O126" i="2"/>
  <c r="O116" i="2"/>
  <c r="H107" i="2"/>
  <c r="H99" i="2"/>
  <c r="H91" i="2"/>
  <c r="H83" i="2"/>
  <c r="H75" i="2"/>
  <c r="H67" i="2"/>
  <c r="H59" i="2"/>
  <c r="H51" i="2"/>
  <c r="H43" i="2"/>
  <c r="A24" i="2"/>
  <c r="S217" i="2"/>
  <c r="H476" i="2"/>
  <c r="R405" i="2"/>
  <c r="K378" i="2"/>
  <c r="K354" i="2"/>
  <c r="K330" i="2"/>
  <c r="Q307" i="2"/>
  <c r="K288" i="2"/>
  <c r="F269" i="2"/>
  <c r="Q251" i="2"/>
  <c r="Q235" i="2"/>
  <c r="Q219" i="2"/>
  <c r="Q203" i="2"/>
  <c r="Q187" i="2"/>
  <c r="Q171" i="2"/>
  <c r="Q155" i="2"/>
  <c r="T143" i="2"/>
  <c r="T135" i="2"/>
  <c r="T127" i="2"/>
  <c r="T119" i="2"/>
  <c r="T111" i="2"/>
  <c r="T103" i="2"/>
  <c r="T95" i="2"/>
  <c r="T87" i="2"/>
  <c r="T79" i="2"/>
  <c r="T71" i="2"/>
  <c r="T63" i="2"/>
  <c r="T55" i="2"/>
  <c r="T47" i="2"/>
  <c r="T39" i="2"/>
  <c r="T31" i="2"/>
  <c r="T23" i="2"/>
  <c r="T15" i="2"/>
  <c r="T7" i="2"/>
  <c r="D21" i="2"/>
  <c r="S181" i="2"/>
  <c r="R614" i="2"/>
  <c r="E476" i="2"/>
  <c r="Q405" i="2"/>
  <c r="J378" i="2"/>
  <c r="J354" i="2"/>
  <c r="J330" i="2"/>
  <c r="K307" i="2"/>
  <c r="J288" i="2"/>
  <c r="E269" i="2"/>
  <c r="K251" i="2"/>
  <c r="K235" i="2"/>
  <c r="K219" i="2"/>
  <c r="K203" i="2"/>
  <c r="K187" i="2"/>
  <c r="K171" i="2"/>
  <c r="K155" i="2"/>
  <c r="S143" i="2"/>
  <c r="S135" i="2"/>
  <c r="S127" i="2"/>
  <c r="S119" i="2"/>
  <c r="S111" i="2"/>
  <c r="S103" i="2"/>
  <c r="S95" i="2"/>
  <c r="S87" i="2"/>
  <c r="S79" i="2"/>
  <c r="S71" i="2"/>
  <c r="S63" i="2"/>
  <c r="S55" i="2"/>
  <c r="S47" i="2"/>
  <c r="S39" i="2"/>
  <c r="S31" i="2"/>
  <c r="S23" i="2"/>
  <c r="S15" i="2"/>
  <c r="S7" i="2"/>
  <c r="D35" i="2"/>
  <c r="Q9" i="2"/>
  <c r="S173" i="2"/>
  <c r="P630" i="2"/>
  <c r="C484" i="2"/>
  <c r="S408" i="2"/>
  <c r="E380" i="2"/>
  <c r="E356" i="2"/>
  <c r="E332" i="2"/>
  <c r="D309" i="2"/>
  <c r="R289" i="2"/>
  <c r="M270" i="2"/>
  <c r="P252" i="2"/>
  <c r="P236" i="2"/>
  <c r="P220" i="2"/>
  <c r="P204" i="2"/>
  <c r="P188" i="2"/>
  <c r="P172" i="2"/>
  <c r="P156" i="2"/>
  <c r="K144" i="2"/>
  <c r="K136" i="2"/>
  <c r="K128" i="2"/>
  <c r="K120" i="2"/>
  <c r="K112" i="2"/>
  <c r="K104" i="2"/>
  <c r="K96" i="2"/>
  <c r="K88" i="2"/>
  <c r="K80" i="2"/>
  <c r="K72" i="2"/>
  <c r="K64" i="2"/>
  <c r="K56" i="2"/>
  <c r="K48" i="2"/>
  <c r="K40" i="2"/>
  <c r="K32" i="2"/>
  <c r="K24" i="2"/>
  <c r="K16" i="2"/>
  <c r="K8" i="2"/>
  <c r="J36" i="2"/>
  <c r="J12" i="2"/>
  <c r="M176" i="2"/>
  <c r="H482" i="2"/>
  <c r="F408" i="2"/>
  <c r="S379" i="2"/>
  <c r="S355" i="2"/>
  <c r="S331" i="2"/>
  <c r="R308" i="2"/>
  <c r="Q289" i="2"/>
  <c r="K270" i="2"/>
  <c r="O252" i="2"/>
  <c r="O236" i="2"/>
  <c r="O220" i="2"/>
  <c r="O204" i="2"/>
  <c r="O188" i="2"/>
  <c r="O172" i="2"/>
  <c r="O156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Q37" i="2"/>
  <c r="M192" i="2"/>
  <c r="R626" i="2"/>
  <c r="E482" i="2"/>
  <c r="E408" i="2"/>
  <c r="R379" i="2"/>
  <c r="R355" i="2"/>
  <c r="R331" i="2"/>
  <c r="O308" i="2"/>
  <c r="K289" i="2"/>
  <c r="J270" i="2"/>
  <c r="F243" i="2"/>
  <c r="E554" i="2"/>
  <c r="C442" i="2"/>
  <c r="Q393" i="2"/>
  <c r="Q369" i="2"/>
  <c r="Q345" i="2"/>
  <c r="Q321" i="2"/>
  <c r="M300" i="2"/>
  <c r="H281" i="2"/>
  <c r="E262" i="2"/>
  <c r="R245" i="2"/>
  <c r="R229" i="2"/>
  <c r="R213" i="2"/>
  <c r="R197" i="2"/>
  <c r="R181" i="2"/>
  <c r="R165" i="2"/>
  <c r="R149" i="2"/>
  <c r="A141" i="2"/>
  <c r="A133" i="2"/>
  <c r="A125" i="2"/>
  <c r="A117" i="2"/>
  <c r="A109" i="2"/>
  <c r="A101" i="2"/>
  <c r="A93" i="2"/>
  <c r="A85" i="2"/>
  <c r="A77" i="2"/>
  <c r="A69" i="2"/>
  <c r="A61" i="2"/>
  <c r="A53" i="2"/>
  <c r="A45" i="2"/>
  <c r="A37" i="2"/>
  <c r="A29" i="2"/>
  <c r="A21" i="2"/>
  <c r="A13" i="2"/>
  <c r="A5" i="2"/>
  <c r="H472" i="2"/>
  <c r="R590" i="2"/>
  <c r="E464" i="2"/>
  <c r="A401" i="2"/>
  <c r="F375" i="2"/>
  <c r="F351" i="2"/>
  <c r="F327" i="2"/>
  <c r="E305" i="2"/>
  <c r="S285" i="2"/>
  <c r="O266" i="2"/>
  <c r="K249" i="2"/>
  <c r="K233" i="2"/>
  <c r="K217" i="2"/>
  <c r="K201" i="2"/>
  <c r="K185" i="2"/>
  <c r="K169" i="2"/>
  <c r="K153" i="2"/>
  <c r="S142" i="2"/>
  <c r="S134" i="2"/>
  <c r="S126" i="2"/>
  <c r="S118" i="2"/>
  <c r="S110" i="2"/>
  <c r="S102" i="2"/>
  <c r="S94" i="2"/>
  <c r="S86" i="2"/>
  <c r="S78" i="2"/>
  <c r="S70" i="2"/>
  <c r="S62" i="2"/>
  <c r="S54" i="2"/>
  <c r="S46" i="2"/>
  <c r="S38" i="2"/>
  <c r="S30" i="2"/>
  <c r="S22" i="2"/>
  <c r="S14" i="2"/>
  <c r="S6" i="2"/>
  <c r="P654" i="2"/>
  <c r="E498" i="2"/>
  <c r="P413" i="2"/>
  <c r="E383" i="2"/>
  <c r="E359" i="2"/>
  <c r="E335" i="2"/>
  <c r="H311" i="2"/>
  <c r="E292" i="2"/>
  <c r="K393" i="2"/>
  <c r="D219" i="2"/>
  <c r="T136" i="2"/>
  <c r="T104" i="2"/>
  <c r="T72" i="2"/>
  <c r="T40" i="2"/>
  <c r="T8" i="2"/>
  <c r="E14" i="2"/>
  <c r="D255" i="2"/>
  <c r="G98" i="2"/>
  <c r="P246" i="2"/>
  <c r="E18" i="2"/>
  <c r="P234" i="2"/>
  <c r="K143" i="2"/>
  <c r="E110" i="2"/>
  <c r="E78" i="2"/>
  <c r="K35" i="2"/>
  <c r="D183" i="2"/>
  <c r="K379" i="2"/>
  <c r="K341" i="2"/>
  <c r="Q201" i="2"/>
  <c r="C131" i="2"/>
  <c r="C99" i="2"/>
  <c r="C67" i="2"/>
  <c r="P21" i="2"/>
  <c r="G130" i="2"/>
  <c r="H263" i="2"/>
  <c r="K387" i="2"/>
  <c r="G136" i="2"/>
  <c r="G104" i="2"/>
  <c r="G72" i="2"/>
  <c r="G40" i="2"/>
  <c r="G8" i="2"/>
  <c r="F265" i="2"/>
  <c r="J168" i="2"/>
  <c r="E120" i="2"/>
  <c r="E88" i="2"/>
  <c r="E56" i="2"/>
  <c r="E24" i="2"/>
  <c r="G66" i="2"/>
  <c r="K111" i="2"/>
  <c r="M274" i="2"/>
  <c r="C176" i="2"/>
  <c r="T60" i="2"/>
  <c r="F404" i="2"/>
  <c r="Q221" i="2"/>
  <c r="P137" i="2"/>
  <c r="P105" i="2"/>
  <c r="P73" i="2"/>
  <c r="P41" i="2"/>
  <c r="P9" i="2"/>
  <c r="N73" i="2"/>
  <c r="G20" i="2"/>
  <c r="P11" i="2"/>
  <c r="A286" i="2"/>
  <c r="N121" i="2"/>
  <c r="N57" i="2"/>
  <c r="C41" i="2"/>
  <c r="K325" i="2"/>
  <c r="J196" i="2"/>
  <c r="K129" i="2"/>
  <c r="K97" i="2"/>
  <c r="K65" i="2"/>
  <c r="K33" i="2"/>
  <c r="Q395" i="2"/>
  <c r="C180" i="2"/>
  <c r="C137" i="2"/>
  <c r="P118" i="2"/>
  <c r="P106" i="2"/>
  <c r="P94" i="2"/>
  <c r="P82" i="2"/>
  <c r="P70" i="2"/>
  <c r="C60" i="2"/>
  <c r="P16" i="2"/>
  <c r="O28" i="2"/>
  <c r="F235" i="2"/>
  <c r="P570" i="2"/>
  <c r="D416" i="2"/>
  <c r="M372" i="2"/>
  <c r="M336" i="2"/>
  <c r="D303" i="2"/>
  <c r="E274" i="2"/>
  <c r="R247" i="2"/>
  <c r="R223" i="2"/>
  <c r="R199" i="2"/>
  <c r="R175" i="2"/>
  <c r="R151" i="2"/>
  <c r="A138" i="2"/>
  <c r="A126" i="2"/>
  <c r="H115" i="2"/>
  <c r="O106" i="2"/>
  <c r="O98" i="2"/>
  <c r="O90" i="2"/>
  <c r="O82" i="2"/>
  <c r="O74" i="2"/>
  <c r="O66" i="2"/>
  <c r="O58" i="2"/>
  <c r="O50" i="2"/>
  <c r="O42" i="2"/>
  <c r="O20" i="2"/>
  <c r="F195" i="2"/>
  <c r="H468" i="2"/>
  <c r="A306" i="2"/>
  <c r="J250" i="2"/>
  <c r="J186" i="2"/>
  <c r="J170" i="2"/>
  <c r="J154" i="2"/>
  <c r="G111" i="2"/>
  <c r="G87" i="2"/>
  <c r="G31" i="2"/>
  <c r="E468" i="2"/>
  <c r="E218" i="2"/>
  <c r="F119" i="2"/>
  <c r="F39" i="2"/>
  <c r="P614" i="2"/>
  <c r="R135" i="2"/>
  <c r="R47" i="2"/>
  <c r="S377" i="2"/>
  <c r="H187" i="2"/>
  <c r="Q103" i="2"/>
  <c r="E474" i="2"/>
  <c r="K543" i="2"/>
  <c r="K212" i="2"/>
  <c r="H116" i="2"/>
  <c r="H28" i="2"/>
  <c r="K303" i="2"/>
  <c r="F142" i="2"/>
  <c r="F54" i="2"/>
  <c r="E357" i="2"/>
  <c r="G6" i="2"/>
  <c r="K27" i="2"/>
  <c r="K363" i="2"/>
  <c r="K95" i="2"/>
  <c r="C135" i="2"/>
  <c r="T118" i="2"/>
  <c r="C89" i="2"/>
  <c r="A22" i="2"/>
  <c r="R586" i="2"/>
  <c r="R388" i="2"/>
  <c r="R316" i="2"/>
  <c r="M258" i="2"/>
  <c r="M210" i="2"/>
  <c r="M162" i="2"/>
  <c r="C130" i="2"/>
  <c r="C106" i="2"/>
  <c r="C82" i="2"/>
  <c r="P58" i="2"/>
  <c r="O26" i="2"/>
  <c r="S197" i="2"/>
  <c r="K559" i="2"/>
  <c r="K406" i="2"/>
  <c r="M370" i="2"/>
  <c r="M330" i="2"/>
  <c r="H301" i="2"/>
  <c r="H269" i="2"/>
  <c r="K246" i="2"/>
  <c r="R219" i="2"/>
  <c r="K198" i="2"/>
  <c r="R171" i="2"/>
  <c r="K150" i="2"/>
  <c r="A136" i="2"/>
  <c r="H125" i="2"/>
  <c r="O114" i="2"/>
  <c r="A106" i="2"/>
  <c r="A98" i="2"/>
  <c r="A90" i="2"/>
  <c r="A82" i="2"/>
  <c r="A74" i="2"/>
  <c r="A66" i="2"/>
  <c r="A58" i="2"/>
  <c r="A50" i="2"/>
  <c r="A42" i="2"/>
  <c r="A18" i="2"/>
  <c r="F179" i="2"/>
  <c r="H460" i="2"/>
  <c r="J399" i="2"/>
  <c r="K374" i="2"/>
  <c r="K350" i="2"/>
  <c r="K326" i="2"/>
  <c r="K304" i="2"/>
  <c r="F285" i="2"/>
  <c r="A266" i="2"/>
  <c r="D249" i="2"/>
  <c r="D233" i="2"/>
  <c r="D217" i="2"/>
  <c r="D201" i="2"/>
  <c r="D185" i="2"/>
  <c r="D169" i="2"/>
  <c r="D153" i="2"/>
  <c r="N142" i="2"/>
  <c r="N134" i="2"/>
  <c r="N126" i="2"/>
  <c r="N118" i="2"/>
  <c r="N110" i="2"/>
  <c r="N102" i="2"/>
  <c r="N94" i="2"/>
  <c r="N86" i="2"/>
  <c r="N78" i="2"/>
  <c r="N70" i="2"/>
  <c r="N62" i="2"/>
  <c r="N54" i="2"/>
  <c r="N46" i="2"/>
  <c r="N38" i="2"/>
  <c r="N30" i="2"/>
  <c r="N22" i="2"/>
  <c r="N14" i="2"/>
  <c r="N6" i="2"/>
  <c r="J14" i="2"/>
  <c r="M160" i="2"/>
  <c r="R582" i="2"/>
  <c r="E460" i="2"/>
  <c r="J374" i="2"/>
  <c r="J350" i="2"/>
  <c r="J326" i="2"/>
  <c r="J304" i="2"/>
  <c r="E285" i="2"/>
  <c r="S265" i="2"/>
  <c r="R248" i="2"/>
  <c r="R232" i="2"/>
  <c r="R216" i="2"/>
  <c r="R200" i="2"/>
  <c r="R184" i="2"/>
  <c r="R168" i="2"/>
  <c r="R152" i="2"/>
  <c r="M142" i="2"/>
  <c r="M134" i="2"/>
  <c r="M126" i="2"/>
  <c r="M118" i="2"/>
  <c r="M110" i="2"/>
  <c r="M102" i="2"/>
  <c r="M94" i="2"/>
  <c r="M86" i="2"/>
  <c r="M78" i="2"/>
  <c r="M70" i="2"/>
  <c r="M62" i="2"/>
  <c r="M54" i="2"/>
  <c r="M46" i="2"/>
  <c r="M38" i="2"/>
  <c r="M30" i="2"/>
  <c r="M22" i="2"/>
  <c r="M14" i="2"/>
  <c r="M6" i="2"/>
  <c r="Q31" i="2"/>
  <c r="E267" i="2"/>
  <c r="F159" i="2"/>
  <c r="P598" i="2"/>
  <c r="C468" i="2"/>
  <c r="K402" i="2"/>
  <c r="E376" i="2"/>
  <c r="E352" i="2"/>
  <c r="E328" i="2"/>
  <c r="R305" i="2"/>
  <c r="M286" i="2"/>
  <c r="H267" i="2"/>
  <c r="C250" i="2"/>
  <c r="C234" i="2"/>
  <c r="C218" i="2"/>
  <c r="C202" i="2"/>
  <c r="C186" i="2"/>
  <c r="C170" i="2"/>
  <c r="C154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7" i="2"/>
  <c r="J32" i="2"/>
  <c r="D5" i="2"/>
  <c r="S161" i="2"/>
  <c r="H466" i="2"/>
  <c r="R401" i="2"/>
  <c r="S375" i="2"/>
  <c r="S351" i="2"/>
  <c r="S327" i="2"/>
  <c r="Q305" i="2"/>
  <c r="K286" i="2"/>
  <c r="F267" i="2"/>
  <c r="A250" i="2"/>
  <c r="A234" i="2"/>
  <c r="A218" i="2"/>
  <c r="A202" i="2"/>
  <c r="A186" i="2"/>
  <c r="A170" i="2"/>
  <c r="A154" i="2"/>
  <c r="D143" i="2"/>
  <c r="D135" i="2"/>
  <c r="D127" i="2"/>
  <c r="D119" i="2"/>
  <c r="D111" i="2"/>
  <c r="D103" i="2"/>
  <c r="D95" i="2"/>
  <c r="D87" i="2"/>
  <c r="D79" i="2"/>
  <c r="D71" i="2"/>
  <c r="D63" i="2"/>
  <c r="D55" i="2"/>
  <c r="D47" i="2"/>
  <c r="D27" i="2"/>
  <c r="F167" i="2"/>
  <c r="R594" i="2"/>
  <c r="E466" i="2"/>
  <c r="Q401" i="2"/>
  <c r="R375" i="2"/>
  <c r="R351" i="2"/>
  <c r="R327" i="2"/>
  <c r="K305" i="2"/>
  <c r="J286" i="2"/>
  <c r="M256" i="2"/>
  <c r="F231" i="2"/>
  <c r="N712" i="2"/>
  <c r="R532" i="2"/>
  <c r="C426" i="2"/>
  <c r="Q389" i="2"/>
  <c r="Q365" i="2"/>
  <c r="Q341" i="2"/>
  <c r="Q317" i="2"/>
  <c r="H297" i="2"/>
  <c r="E278" i="2"/>
  <c r="E259" i="2"/>
  <c r="E243" i="2"/>
  <c r="E227" i="2"/>
  <c r="E211" i="2"/>
  <c r="E195" i="2"/>
  <c r="E179" i="2"/>
  <c r="E163" i="2"/>
  <c r="P147" i="2"/>
  <c r="O139" i="2"/>
  <c r="O131" i="2"/>
  <c r="O123" i="2"/>
  <c r="O115" i="2"/>
  <c r="O107" i="2"/>
  <c r="O99" i="2"/>
  <c r="O91" i="2"/>
  <c r="O83" i="2"/>
  <c r="O75" i="2"/>
  <c r="O67" i="2"/>
  <c r="O59" i="2"/>
  <c r="O51" i="2"/>
  <c r="O43" i="2"/>
  <c r="O35" i="2"/>
  <c r="O27" i="2"/>
  <c r="O19" i="2"/>
  <c r="O11" i="2"/>
  <c r="O3" i="2"/>
  <c r="H456" i="2"/>
  <c r="H562" i="2"/>
  <c r="E448" i="2"/>
  <c r="J395" i="2"/>
  <c r="F371" i="2"/>
  <c r="F347" i="2"/>
  <c r="F323" i="2"/>
  <c r="S301" i="2"/>
  <c r="O282" i="2"/>
  <c r="K263" i="2"/>
  <c r="R246" i="2"/>
  <c r="R230" i="2"/>
  <c r="R214" i="2"/>
  <c r="R198" i="2"/>
  <c r="R182" i="2"/>
  <c r="R166" i="2"/>
  <c r="R150" i="2"/>
  <c r="M141" i="2"/>
  <c r="M133" i="2"/>
  <c r="M125" i="2"/>
  <c r="M117" i="2"/>
  <c r="M109" i="2"/>
  <c r="M101" i="2"/>
  <c r="M93" i="2"/>
  <c r="M85" i="2"/>
  <c r="M77" i="2"/>
  <c r="M69" i="2"/>
  <c r="M61" i="2"/>
  <c r="M53" i="2"/>
  <c r="M45" i="2"/>
  <c r="M37" i="2"/>
  <c r="M29" i="2"/>
  <c r="M21" i="2"/>
  <c r="M13" i="2"/>
  <c r="M5" i="2"/>
  <c r="P622" i="2"/>
  <c r="C480" i="2"/>
  <c r="H407" i="2"/>
  <c r="E379" i="2"/>
  <c r="E355" i="2"/>
  <c r="E331" i="2"/>
  <c r="E308" i="2"/>
  <c r="D289" i="2"/>
  <c r="K345" i="2"/>
  <c r="D203" i="2"/>
  <c r="N131" i="2"/>
  <c r="N99" i="2"/>
  <c r="N67" i="2"/>
  <c r="N35" i="2"/>
  <c r="N3" i="2"/>
  <c r="E6" i="2"/>
  <c r="D223" i="2"/>
  <c r="T76" i="2"/>
  <c r="P174" i="2"/>
  <c r="K391" i="2"/>
  <c r="P218" i="2"/>
  <c r="R136" i="2"/>
  <c r="R104" i="2"/>
  <c r="R72" i="2"/>
  <c r="K19" i="2"/>
  <c r="T132" i="2"/>
  <c r="P150" i="2"/>
  <c r="F297" i="2"/>
  <c r="Q185" i="2"/>
  <c r="P125" i="2"/>
  <c r="P93" i="2"/>
  <c r="P61" i="2"/>
  <c r="P5" i="2"/>
  <c r="T108" i="2"/>
  <c r="K145" i="2"/>
  <c r="K339" i="2"/>
  <c r="T130" i="2"/>
  <c r="T98" i="2"/>
  <c r="T66" i="2"/>
  <c r="T34" i="2"/>
  <c r="T2" i="2"/>
  <c r="J248" i="2"/>
  <c r="J152" i="2"/>
  <c r="R114" i="2"/>
  <c r="R82" i="2"/>
  <c r="R50" i="2"/>
  <c r="R18" i="2"/>
  <c r="G34" i="2"/>
  <c r="K79" i="2"/>
  <c r="C256" i="2"/>
  <c r="C160" i="2"/>
  <c r="C117" i="2"/>
  <c r="C85" i="2"/>
  <c r="C53" i="2"/>
  <c r="C21" i="2"/>
  <c r="G26" i="2"/>
  <c r="K353" i="2"/>
  <c r="Q205" i="2"/>
  <c r="N65" i="2"/>
  <c r="G12" i="2"/>
  <c r="E106" i="2"/>
  <c r="R261" i="2"/>
  <c r="N113" i="2"/>
  <c r="G44" i="2"/>
  <c r="K284" i="2"/>
  <c r="J180" i="2"/>
  <c r="E124" i="2"/>
  <c r="E92" i="2"/>
  <c r="E60" i="2"/>
  <c r="E28" i="2"/>
  <c r="K323" i="2"/>
  <c r="J148" i="2"/>
  <c r="P83" i="2"/>
  <c r="R76" i="2"/>
  <c r="P123" i="2"/>
  <c r="P190" i="2"/>
  <c r="P115" i="2"/>
  <c r="K271" i="2"/>
  <c r="S120" i="2"/>
  <c r="S88" i="2"/>
  <c r="S32" i="2"/>
  <c r="S16" i="2"/>
  <c r="E389" i="2"/>
  <c r="O147" i="2"/>
  <c r="R24" i="2"/>
  <c r="K51" i="2"/>
  <c r="C107" i="2"/>
  <c r="R146" i="2"/>
  <c r="J192" i="2"/>
  <c r="C200" i="2"/>
  <c r="Q149" i="2"/>
  <c r="N33" i="2"/>
  <c r="E398" i="2"/>
  <c r="R102" i="2"/>
  <c r="C97" i="2"/>
  <c r="H23" i="2"/>
  <c r="Q267" i="2"/>
  <c r="G95" i="2"/>
  <c r="G7" i="2"/>
  <c r="E250" i="2"/>
  <c r="F103" i="2"/>
  <c r="F23" i="2"/>
  <c r="E378" i="2"/>
  <c r="R71" i="2"/>
  <c r="F171" i="2"/>
  <c r="R268" i="2"/>
  <c r="Q127" i="2"/>
  <c r="Q47" i="2"/>
  <c r="R329" i="2"/>
  <c r="Q343" i="2"/>
  <c r="H140" i="2"/>
  <c r="H44" i="2"/>
  <c r="R397" i="2"/>
  <c r="E168" i="2"/>
  <c r="F70" i="2"/>
  <c r="C488" i="2"/>
  <c r="G102" i="2"/>
  <c r="K107" i="2"/>
  <c r="N119" i="2"/>
  <c r="K117" i="2"/>
  <c r="P23" i="2"/>
  <c r="H271" i="2"/>
  <c r="K347" i="2"/>
  <c r="C50" i="2"/>
  <c r="O14" i="2"/>
  <c r="H538" i="2"/>
  <c r="R376" i="2"/>
  <c r="J306" i="2"/>
  <c r="M250" i="2"/>
  <c r="M202" i="2"/>
  <c r="F161" i="2"/>
  <c r="C140" i="2"/>
  <c r="C116" i="2"/>
  <c r="C92" i="2"/>
  <c r="C68" i="2"/>
  <c r="C58" i="2"/>
  <c r="C36" i="2"/>
  <c r="H21" i="2"/>
  <c r="F183" i="2"/>
  <c r="K527" i="2"/>
  <c r="H403" i="2"/>
  <c r="M364" i="2"/>
  <c r="M328" i="2"/>
  <c r="M296" i="2"/>
  <c r="R267" i="2"/>
  <c r="K242" i="2"/>
  <c r="K218" i="2"/>
  <c r="K194" i="2"/>
  <c r="K170" i="2"/>
  <c r="H147" i="2"/>
  <c r="H135" i="2"/>
  <c r="H123" i="2"/>
  <c r="A114" i="2"/>
  <c r="H105" i="2"/>
  <c r="H97" i="2"/>
  <c r="H89" i="2"/>
  <c r="H81" i="2"/>
  <c r="H73" i="2"/>
  <c r="H65" i="2"/>
  <c r="H57" i="2"/>
  <c r="H49" i="2"/>
  <c r="A40" i="2"/>
  <c r="A16" i="2"/>
  <c r="F163" i="2"/>
  <c r="C568" i="2"/>
  <c r="H452" i="2"/>
  <c r="A397" i="2"/>
  <c r="K372" i="2"/>
  <c r="K348" i="2"/>
  <c r="K324" i="2"/>
  <c r="R302" i="2"/>
  <c r="Q283" i="2"/>
  <c r="K264" i="2"/>
  <c r="Q247" i="2"/>
  <c r="Q231" i="2"/>
  <c r="Q215" i="2"/>
  <c r="Q199" i="2"/>
  <c r="Q183" i="2"/>
  <c r="Q167" i="2"/>
  <c r="Q151" i="2"/>
  <c r="T141" i="2"/>
  <c r="T133" i="2"/>
  <c r="T125" i="2"/>
  <c r="T117" i="2"/>
  <c r="T109" i="2"/>
  <c r="T101" i="2"/>
  <c r="T93" i="2"/>
  <c r="T85" i="2"/>
  <c r="T77" i="2"/>
  <c r="T69" i="2"/>
  <c r="T61" i="2"/>
  <c r="T53" i="2"/>
  <c r="T45" i="2"/>
  <c r="T37" i="2"/>
  <c r="T29" i="2"/>
  <c r="T21" i="2"/>
  <c r="T13" i="2"/>
  <c r="T5" i="2"/>
  <c r="D11" i="2"/>
  <c r="S149" i="2"/>
  <c r="O567" i="2"/>
  <c r="E452" i="2"/>
  <c r="S396" i="2"/>
  <c r="J372" i="2"/>
  <c r="J348" i="2"/>
  <c r="J324" i="2"/>
  <c r="O302" i="2"/>
  <c r="K283" i="2"/>
  <c r="J264" i="2"/>
  <c r="K247" i="2"/>
  <c r="K231" i="2"/>
  <c r="K215" i="2"/>
  <c r="K199" i="2"/>
  <c r="K183" i="2"/>
  <c r="K167" i="2"/>
  <c r="K151" i="2"/>
  <c r="S141" i="2"/>
  <c r="S133" i="2"/>
  <c r="S125" i="2"/>
  <c r="S117" i="2"/>
  <c r="S109" i="2"/>
  <c r="S101" i="2"/>
  <c r="S93" i="2"/>
  <c r="S85" i="2"/>
  <c r="S77" i="2"/>
  <c r="S69" i="2"/>
  <c r="S61" i="2"/>
  <c r="S53" i="2"/>
  <c r="S45" i="2"/>
  <c r="S37" i="2"/>
  <c r="S29" i="2"/>
  <c r="S21" i="2"/>
  <c r="S13" i="2"/>
  <c r="S5" i="2"/>
  <c r="J30" i="2"/>
  <c r="S241" i="2"/>
  <c r="F151" i="2"/>
  <c r="P582" i="2"/>
  <c r="C460" i="2"/>
  <c r="H399" i="2"/>
  <c r="E374" i="2"/>
  <c r="E350" i="2"/>
  <c r="E326" i="2"/>
  <c r="E304" i="2"/>
  <c r="D285" i="2"/>
  <c r="R265" i="2"/>
  <c r="P248" i="2"/>
  <c r="P232" i="2"/>
  <c r="P216" i="2"/>
  <c r="P200" i="2"/>
  <c r="P184" i="2"/>
  <c r="P168" i="2"/>
  <c r="P152" i="2"/>
  <c r="K142" i="2"/>
  <c r="K134" i="2"/>
  <c r="K126" i="2"/>
  <c r="K118" i="2"/>
  <c r="K110" i="2"/>
  <c r="K102" i="2"/>
  <c r="K94" i="2"/>
  <c r="K86" i="2"/>
  <c r="K78" i="2"/>
  <c r="K70" i="2"/>
  <c r="K62" i="2"/>
  <c r="K54" i="2"/>
  <c r="K46" i="2"/>
  <c r="K38" i="2"/>
  <c r="K30" i="2"/>
  <c r="K22" i="2"/>
  <c r="K14" i="2"/>
  <c r="K6" i="2"/>
  <c r="D31" i="2"/>
  <c r="O268" i="2"/>
  <c r="M152" i="2"/>
  <c r="H458" i="2"/>
  <c r="O398" i="2"/>
  <c r="S373" i="2"/>
  <c r="S349" i="2"/>
  <c r="S325" i="2"/>
  <c r="A304" i="2"/>
  <c r="R284" i="2"/>
  <c r="Q265" i="2"/>
  <c r="O248" i="2"/>
  <c r="O232" i="2"/>
  <c r="O216" i="2"/>
  <c r="O200" i="2"/>
  <c r="O184" i="2"/>
  <c r="O168" i="2"/>
  <c r="O152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D23" i="2"/>
  <c r="M156" i="2"/>
  <c r="R578" i="2"/>
  <c r="E458" i="2"/>
  <c r="M398" i="2"/>
  <c r="R373" i="2"/>
  <c r="R349" i="2"/>
  <c r="R325" i="2"/>
  <c r="S303" i="2"/>
  <c r="O284" i="2"/>
  <c r="F255" i="2"/>
  <c r="S229" i="2"/>
  <c r="P690" i="2"/>
  <c r="E522" i="2"/>
  <c r="S420" i="2"/>
  <c r="Q387" i="2"/>
  <c r="Q363" i="2"/>
  <c r="Q339" i="2"/>
  <c r="Q315" i="2"/>
  <c r="R295" i="2"/>
  <c r="M276" i="2"/>
  <c r="R257" i="2"/>
  <c r="R241" i="2"/>
  <c r="R225" i="2"/>
  <c r="R209" i="2"/>
  <c r="R193" i="2"/>
  <c r="R177" i="2"/>
  <c r="R161" i="2"/>
  <c r="A147" i="2"/>
  <c r="A139" i="2"/>
  <c r="A131" i="2"/>
  <c r="A123" i="2"/>
  <c r="A115" i="2"/>
  <c r="A107" i="2"/>
  <c r="A99" i="2"/>
  <c r="A91" i="2"/>
  <c r="A83" i="2"/>
  <c r="A75" i="2"/>
  <c r="A67" i="2"/>
  <c r="A59" i="2"/>
  <c r="A51" i="2"/>
  <c r="A43" i="2"/>
  <c r="A35" i="2"/>
  <c r="A27" i="2"/>
  <c r="A19" i="2"/>
  <c r="A11" i="2"/>
  <c r="A3" i="2"/>
  <c r="P562" i="2"/>
  <c r="H448" i="2"/>
  <c r="O551" i="2"/>
  <c r="E440" i="2"/>
  <c r="F393" i="2"/>
  <c r="F369" i="2"/>
  <c r="F345" i="2"/>
  <c r="F321" i="2"/>
  <c r="J300" i="2"/>
  <c r="E281" i="2"/>
  <c r="S261" i="2"/>
  <c r="K245" i="2"/>
  <c r="K229" i="2"/>
  <c r="K213" i="2"/>
  <c r="K197" i="2"/>
  <c r="K181" i="2"/>
  <c r="K165" i="2"/>
  <c r="K149" i="2"/>
  <c r="S140" i="2"/>
  <c r="S132" i="2"/>
  <c r="S124" i="2"/>
  <c r="S116" i="2"/>
  <c r="S108" i="2"/>
  <c r="S100" i="2"/>
  <c r="S92" i="2"/>
  <c r="S84" i="2"/>
  <c r="S76" i="2"/>
  <c r="S68" i="2"/>
  <c r="S60" i="2"/>
  <c r="S52" i="2"/>
  <c r="S44" i="2"/>
  <c r="S36" i="2"/>
  <c r="S28" i="2"/>
  <c r="S20" i="2"/>
  <c r="S12" i="2"/>
  <c r="S4" i="2"/>
  <c r="P606" i="2"/>
  <c r="C472" i="2"/>
  <c r="D404" i="2"/>
  <c r="E377" i="2"/>
  <c r="E353" i="2"/>
  <c r="E329" i="2"/>
  <c r="M306" i="2"/>
  <c r="H287" i="2"/>
  <c r="K321" i="2"/>
  <c r="D195" i="2"/>
  <c r="T128" i="2"/>
  <c r="T96" i="2"/>
  <c r="T64" i="2"/>
  <c r="T32" i="2"/>
  <c r="E54" i="2"/>
  <c r="C43" i="2"/>
  <c r="D207" i="2"/>
  <c r="N71" i="2"/>
  <c r="E138" i="2"/>
  <c r="K367" i="2"/>
  <c r="P210" i="2"/>
  <c r="E134" i="2"/>
  <c r="E102" i="2"/>
  <c r="E70" i="2"/>
  <c r="K11" i="2"/>
  <c r="T116" i="2"/>
  <c r="K135" i="2"/>
  <c r="A278" i="2"/>
  <c r="Q177" i="2"/>
  <c r="C123" i="2"/>
  <c r="C91" i="2"/>
  <c r="C59" i="2"/>
  <c r="P7" i="2"/>
  <c r="N95" i="2"/>
  <c r="E130" i="2"/>
  <c r="K315" i="2"/>
  <c r="G128" i="2"/>
  <c r="G96" i="2"/>
  <c r="G64" i="2"/>
  <c r="G32" i="2"/>
  <c r="K5" i="2"/>
  <c r="J240" i="2"/>
  <c r="G146" i="2"/>
  <c r="E112" i="2"/>
  <c r="E80" i="2"/>
  <c r="E48" i="2"/>
  <c r="E16" i="2"/>
  <c r="T20" i="2"/>
  <c r="E58" i="2"/>
  <c r="C248" i="2"/>
  <c r="C152" i="2"/>
  <c r="N7" i="2"/>
  <c r="K329" i="2"/>
  <c r="Q197" i="2"/>
  <c r="P129" i="2"/>
  <c r="P97" i="2"/>
  <c r="P65" i="2"/>
  <c r="P33" i="2"/>
  <c r="G60" i="2"/>
  <c r="T6" i="2"/>
  <c r="E66" i="2"/>
  <c r="T110" i="2"/>
  <c r="G36" i="2"/>
  <c r="P3" i="2"/>
  <c r="A270" i="2"/>
  <c r="J172" i="2"/>
  <c r="K121" i="2"/>
  <c r="K89" i="2"/>
  <c r="K57" i="2"/>
  <c r="K25" i="2"/>
  <c r="A302" i="2"/>
  <c r="E140" i="2"/>
  <c r="R20" i="2"/>
  <c r="R92" i="2"/>
  <c r="K253" i="2"/>
  <c r="S56" i="2"/>
  <c r="E530" i="2"/>
  <c r="D243" i="2"/>
  <c r="P162" i="2"/>
  <c r="C139" i="2"/>
  <c r="G18" i="2"/>
  <c r="G48" i="2"/>
  <c r="N111" i="2"/>
  <c r="P81" i="2"/>
  <c r="K137" i="2"/>
  <c r="P35" i="2"/>
  <c r="R38" i="2"/>
  <c r="C17" i="2"/>
  <c r="R390" i="2"/>
  <c r="K352" i="2"/>
  <c r="G135" i="2"/>
  <c r="G63" i="2"/>
  <c r="M172" i="2"/>
  <c r="K267" i="2"/>
  <c r="E170" i="2"/>
  <c r="F79" i="2"/>
  <c r="F7" i="2"/>
  <c r="E354" i="2"/>
  <c r="R87" i="2"/>
  <c r="R15" i="2"/>
  <c r="S353" i="2"/>
  <c r="H171" i="2"/>
  <c r="Q79" i="2"/>
  <c r="R377" i="2"/>
  <c r="Q367" i="2"/>
  <c r="K164" i="2"/>
  <c r="H68" i="2"/>
  <c r="R574" i="2"/>
  <c r="E232" i="2"/>
  <c r="F94" i="2"/>
  <c r="F6" i="2"/>
  <c r="D211" i="2"/>
  <c r="H432" i="2"/>
  <c r="N133" i="2"/>
  <c r="K85" i="2"/>
  <c r="P55" i="2"/>
  <c r="C7" i="2"/>
  <c r="R126" i="2"/>
  <c r="C9" i="2"/>
</calcChain>
</file>

<file path=xl/sharedStrings.xml><?xml version="1.0" encoding="utf-8"?>
<sst xmlns="http://schemas.openxmlformats.org/spreadsheetml/2006/main" count="2580" uniqueCount="606">
  <si>
    <t>CUSIP</t>
  </si>
  <si>
    <t>Issuer Name</t>
  </si>
  <si>
    <t>Insured Bonds</t>
  </si>
  <si>
    <t>State Code</t>
  </si>
  <si>
    <t>U.S. County Of Issuance</t>
  </si>
  <si>
    <t>Mod Dur (Mid)</t>
  </si>
  <si>
    <t>Iss Spd Wst</t>
  </si>
  <si>
    <t>Issue Date</t>
  </si>
  <si>
    <t>Bond Purpose</t>
  </si>
  <si>
    <t>Cpn</t>
  </si>
  <si>
    <t>Maturity</t>
  </si>
  <si>
    <t>Mty Size</t>
  </si>
  <si>
    <t>Yield at Issue</t>
  </si>
  <si>
    <t>YTW Sprd to Mty at Iss</t>
  </si>
  <si>
    <t>BVAL Mid YTM</t>
  </si>
  <si>
    <t>Tax Prov</t>
  </si>
  <si>
    <t>Is Federal Taxable</t>
  </si>
  <si>
    <t>MSRB Volume</t>
  </si>
  <si>
    <t>BBG Composite</t>
  </si>
  <si>
    <t>LQA Score</t>
  </si>
  <si>
    <t>Town of Flower Mound TX</t>
  </si>
  <si>
    <t>City of Fort Atkinson WI</t>
  </si>
  <si>
    <t>City of Forest City IA</t>
  </si>
  <si>
    <t>Denton County Fresh Water Supply District No 11-C</t>
  </si>
  <si>
    <t>Cottonwood Creek Municipal Utility District No 1</t>
  </si>
  <si>
    <t>Brazoria County Municipal Utility District No 16</t>
  </si>
  <si>
    <t>Brazoria County Municipal Utility District No 22</t>
  </si>
  <si>
    <t>Brazoria County Municipal Utility District No 31</t>
  </si>
  <si>
    <t>Brazoria County Municipal Utility District No 36</t>
  </si>
  <si>
    <t>Brazoria County Municipal Utility District No 39</t>
  </si>
  <si>
    <t>Town of Easton MA</t>
  </si>
  <si>
    <t>City of Eau Claire WI</t>
  </si>
  <si>
    <t>City of Edina MN</t>
  </si>
  <si>
    <t>County of El Dorado CA</t>
  </si>
  <si>
    <t>El Monte Water Authority</t>
  </si>
  <si>
    <t>Fort Bend County Municipal Utility District No 163</t>
  </si>
  <si>
    <t>Fort Bend County Municipal Utility District No 147</t>
  </si>
  <si>
    <t>Fort Bend County Municipal Utility District No 25</t>
  </si>
  <si>
    <t>Fort Bend County Municipal Utility District No 81</t>
  </si>
  <si>
    <t>City of Fort Dodge IA</t>
  </si>
  <si>
    <t>City of Cedar Hill TX</t>
  </si>
  <si>
    <t>City of Cedar Rapids IA Water Revenue</t>
  </si>
  <si>
    <t>Central Arkansas Water</t>
  </si>
  <si>
    <t>City of Buckeye AZ Roosevelt Street Improvement District</t>
  </si>
  <si>
    <t>City of Buffalo Lake MN</t>
  </si>
  <si>
    <t>Allegheny County Sanitary Authority</t>
  </si>
  <si>
    <t>City of Allen TX Waterworks &amp; Sewer System Revenue</t>
  </si>
  <si>
    <t>City of Abilene TX</t>
  </si>
  <si>
    <t>Town of Abington MA</t>
  </si>
  <si>
    <t>Addicks Utility District</t>
  </si>
  <si>
    <t>Town of Addison TX</t>
  </si>
  <si>
    <t>City of Akron OH</t>
  </si>
  <si>
    <t>Fort Bend County Municipal Utility District No 24</t>
  </si>
  <si>
    <t>Fort Bend County Municipal Utility District No 58</t>
  </si>
  <si>
    <t>California Infrastructure &amp; Economic Development Bank</t>
  </si>
  <si>
    <t>State of California</t>
  </si>
  <si>
    <t>Albuquerque Bernalillo County Water Utility Authority</t>
  </si>
  <si>
    <t>Aliceville Waterworks &amp; Sewer Board</t>
  </si>
  <si>
    <t>Brazoria County Municipal Utility District No 61</t>
  </si>
  <si>
    <t>Brazoria County Municipal Utility District No 55</t>
  </si>
  <si>
    <t>Brazoria-Fort Bend County Municipal Utility District No 1</t>
  </si>
  <si>
    <t>Brent Utilities Board</t>
  </si>
  <si>
    <t>City of Bridge City TX</t>
  </si>
  <si>
    <t>City of Bridgeport TX</t>
  </si>
  <si>
    <t>Bridgestone Municipal Utility District</t>
  </si>
  <si>
    <t>Water Authority of Dickson County</t>
  </si>
  <si>
    <t>District of Columbia Water &amp; Sewer Authority</t>
  </si>
  <si>
    <t>City of Coon Rapids MN</t>
  </si>
  <si>
    <t>City of Corinth MS</t>
  </si>
  <si>
    <t>Cornerstones Municipal Utility District</t>
  </si>
  <si>
    <t>City of Corning NY</t>
  </si>
  <si>
    <t>Corona Community Facilities District</t>
  </si>
  <si>
    <t>City of Conroe TX</t>
  </si>
  <si>
    <t>Conroe Municipal Management District No 1</t>
  </si>
  <si>
    <t>Far Hills Utility District</t>
  </si>
  <si>
    <t>Galveston County Municipal Utility District No 14</t>
  </si>
  <si>
    <t>Galveston County Municipal Utility District No 66</t>
  </si>
  <si>
    <t>Galveston County Municipal Utility District No 54</t>
  </si>
  <si>
    <t>Galveston County Municipal Utility District No 32</t>
  </si>
  <si>
    <t>City of Elmhurst IL</t>
  </si>
  <si>
    <t>Galveston County Municipal Utility District No 44</t>
  </si>
  <si>
    <t>Galveston County Municipal Utility District No 31</t>
  </si>
  <si>
    <t>Galveston County Municipal Utility District No 45</t>
  </si>
  <si>
    <t>Galveston County Municipal Utility District No 56</t>
  </si>
  <si>
    <t>City of Elyria OH</t>
  </si>
  <si>
    <t>Enterprise Water Works Board</t>
  </si>
  <si>
    <t>Epperson Ranch II Community Development District</t>
  </si>
  <si>
    <t>Erie County Water Authority</t>
  </si>
  <si>
    <t>Erie City Water Authority</t>
  </si>
  <si>
    <t>City of Hamilton OH Water System Revenue</t>
  </si>
  <si>
    <t>Fort Bend County Municipal Utility District No 134C</t>
  </si>
  <si>
    <t>Fort Bend County Municipal Utility District No 155</t>
  </si>
  <si>
    <t>Fort Bend County Municipal Utility District No 184</t>
  </si>
  <si>
    <t>Fort Bend County Municipal Utility District No 194</t>
  </si>
  <si>
    <t>Fort Bend County Municipal Utility District No 161</t>
  </si>
  <si>
    <t>Fort Bend County Municipal Utility District No 134D</t>
  </si>
  <si>
    <t>Fort Bend County Municipal Utility District No 134B</t>
  </si>
  <si>
    <t>Town of Evans NY</t>
  </si>
  <si>
    <t>City of Friendswood TX Waterworks &amp; Sewer System Revenue</t>
  </si>
  <si>
    <t>City of Frisco TX</t>
  </si>
  <si>
    <t>City of Fairfax MN</t>
  </si>
  <si>
    <t>Fulshear Municipal Utility District No 3A</t>
  </si>
  <si>
    <t>City of Fall River MA</t>
  </si>
  <si>
    <t>Galveston County Municipal Utility District No 6</t>
  </si>
  <si>
    <t>City of Emporia KS</t>
  </si>
  <si>
    <t>Encanto Real Utility District</t>
  </si>
  <si>
    <t>Folsom Ranch Financing Authority</t>
  </si>
  <si>
    <t>City of Amarillo TX Waterworks &amp; Sewer System Revenue</t>
  </si>
  <si>
    <t>Capital Region Water Water Revenue</t>
  </si>
  <si>
    <t>Capitol Region Watershed District</t>
  </si>
  <si>
    <t>Dowdell Public Utility District/TX</t>
  </si>
  <si>
    <t>City of Dundas MN</t>
  </si>
  <si>
    <t>East Cedar Creek Fresh Water Supply District</t>
  </si>
  <si>
    <t>Town of East Longmeadow MA</t>
  </si>
  <si>
    <t>East Montgomery County Municipal Utility District No 6</t>
  </si>
  <si>
    <t>East Montgomery County Municipal Utility District No 5</t>
  </si>
  <si>
    <t>City of Brookfield WI</t>
  </si>
  <si>
    <t>City of Brooklyn Center MN</t>
  </si>
  <si>
    <t>Village of Brooklyn WI</t>
  </si>
  <si>
    <t>City of Bloomington MN</t>
  </si>
  <si>
    <t>Town of Blowing Rock NC</t>
  </si>
  <si>
    <t>California Statewide Communities Development Authority</t>
  </si>
  <si>
    <t>City of Bondurant IA</t>
  </si>
  <si>
    <t>City of Cambridge MN</t>
  </si>
  <si>
    <t>Boston Water &amp; Sewer Commission</t>
  </si>
  <si>
    <t>City of Boulder CO Water &amp; Sewer Revenue</t>
  </si>
  <si>
    <t>City of Colorado Springs CO Utilities System Revenue</t>
  </si>
  <si>
    <t>Colorado Water Resources &amp; Power Development Authority</t>
  </si>
  <si>
    <t>City of Arlington TX Water &amp; Wastewater System Revenue</t>
  </si>
  <si>
    <t>City of Artesia NM</t>
  </si>
  <si>
    <t>Baytown Area Water Authority</t>
  </si>
  <si>
    <t>Beacon Hill Water &amp; Sewer District</t>
  </si>
  <si>
    <t>City of Bowling Green OH</t>
  </si>
  <si>
    <t>City of Cannon Falls MN</t>
  </si>
  <si>
    <t>City of Brainerd MN</t>
  </si>
  <si>
    <t>Town of Braintree MA</t>
  </si>
  <si>
    <t>City of Columbia SC Waterworks &amp; Sewer System Revenue</t>
  </si>
  <si>
    <t>City of Concord NH</t>
  </si>
  <si>
    <t>State of Connecticut</t>
  </si>
  <si>
    <t>Town of Clarkson NY</t>
  </si>
  <si>
    <t>City of Burlington VT Waterworks System Revenue</t>
  </si>
  <si>
    <t>City of Cartersville GA Water &amp; Sewer Revenue</t>
  </si>
  <si>
    <t>Cash Special Utility District</t>
  </si>
  <si>
    <t>Bell County Municipal Utility District No 1</t>
  </si>
  <si>
    <t>City of Bellaire TX</t>
  </si>
  <si>
    <t>City of Beaverton OR Water Revenue</t>
  </si>
  <si>
    <t>Town of Bedford MA</t>
  </si>
  <si>
    <t>City of Denison TX</t>
  </si>
  <si>
    <t>Elm Ridge Water Control &amp; Improvement District of Denton County</t>
  </si>
  <si>
    <t>Denton County Fresh Water Supply District No 7</t>
  </si>
  <si>
    <t>Borough of Avalon NJ</t>
  </si>
  <si>
    <t>Bangham Utility District of Putnam Jackson &amp; Overton Counties</t>
  </si>
  <si>
    <t>Barnstable Fire District</t>
  </si>
  <si>
    <t>Village of Barrington IL</t>
  </si>
  <si>
    <t>Cypresswood Utility District</t>
  </si>
  <si>
    <t>Village of DeForest WI Water &amp; Sewer System Revenue</t>
  </si>
  <si>
    <t>City of Decatur IL</t>
  </si>
  <si>
    <t>City of Decatur IN Waterworks Revenue</t>
  </si>
  <si>
    <t>City of Deer Park TX</t>
  </si>
  <si>
    <t>City of Delano MN</t>
  </si>
  <si>
    <t>Collin County Municipal Utility District No 1</t>
  </si>
  <si>
    <t>City of Darien IL</t>
  </si>
  <si>
    <t>Town of Dartmouth MA</t>
  </si>
  <si>
    <t>City of Cleveland TN</t>
  </si>
  <si>
    <t>City of Cocoa FL Water &amp; Sewer Revenue</t>
  </si>
  <si>
    <t>City of Atlanta GA Water &amp; Wastewater Revenue</t>
  </si>
  <si>
    <t>City of Auburn IN</t>
  </si>
  <si>
    <t>Water Works Board of the City of Birmingham/The</t>
  </si>
  <si>
    <t>City of Blaine MN</t>
  </si>
  <si>
    <t>City of Dayton OH Water System Revenue</t>
  </si>
  <si>
    <t>City of Dayton TN</t>
  </si>
  <si>
    <t>Arborwood Community Development District</t>
  </si>
  <si>
    <t>City of Arden Hills MN</t>
  </si>
  <si>
    <t>City of Arlington TX Municipal Drainage Utility System Revenue</t>
  </si>
  <si>
    <t>City of Alvin TX Water &amp; Sewer System Revenue</t>
  </si>
  <si>
    <t>City of Ankeny IA Water Revenue</t>
  </si>
  <si>
    <t>County of Carroll MD</t>
  </si>
  <si>
    <t>Belmont Fresh Water Supply District No 1</t>
  </si>
  <si>
    <t>City of Beloit WI Water System Revenue</t>
  </si>
  <si>
    <t>Charter Township of Benton MI/Berrien County</t>
  </si>
  <si>
    <t>Fort Bend County Municipal Utility District No 144</t>
  </si>
  <si>
    <t>Fort Bend County Municipal Utility District No 143</t>
  </si>
  <si>
    <t>Fort Bend County Municipal Utility District No 142</t>
  </si>
  <si>
    <t>Fort Bend County Municipal Utility District No 182</t>
  </si>
  <si>
    <t>Fort Bend County Municipal Utility District No 185</t>
  </si>
  <si>
    <t>Chula Vista Community Facilities District</t>
  </si>
  <si>
    <t>Chambers County Improvement District No 2</t>
  </si>
  <si>
    <t>City of Chanhassen MN</t>
  </si>
  <si>
    <t>City of Greeley CO Water Revenue</t>
  </si>
  <si>
    <t>Town of Greenburgh NY</t>
  </si>
  <si>
    <t>Village of Greendale WI Water System Revenue</t>
  </si>
  <si>
    <t>Hicksville Water District</t>
  </si>
  <si>
    <t>City of Highland Village TX</t>
  </si>
  <si>
    <t>Highlands at Mayfield Ranch Municipal Utility District</t>
  </si>
  <si>
    <t>Borough of Hightstown NJ</t>
  </si>
  <si>
    <t>Town of Hillsborough NC Combined Utility Systems Revenue</t>
  </si>
  <si>
    <t>Village of Hobart WI Water System Revenue</t>
  </si>
  <si>
    <t>Town of Holden MA</t>
  </si>
  <si>
    <t>Harris County Municipal Utility District No 419</t>
  </si>
  <si>
    <t>Festival Ranch Community Facilities District</t>
  </si>
  <si>
    <t>City of Fife WA Water &amp; Sewer Revenue</t>
  </si>
  <si>
    <t>Harris County Municipal Utility District No 420</t>
  </si>
  <si>
    <t>Harris County Municipal Utility District No 399</t>
  </si>
  <si>
    <t>Harris County Municipal Utility District No 460</t>
  </si>
  <si>
    <t>Town of Fishkill NY</t>
  </si>
  <si>
    <t>Harris County Municipal Utility District No 500</t>
  </si>
  <si>
    <t>Harris County Municipal Utility District No 461</t>
  </si>
  <si>
    <t>Harris County Municipal Utility District No 433</t>
  </si>
  <si>
    <t>City of Flagstaff AZ Pledged Revenue</t>
  </si>
  <si>
    <t>Harris County Municipal Utility District No 434</t>
  </si>
  <si>
    <t>Harris County Municipal Utility District No 449</t>
  </si>
  <si>
    <t>Harris County Municipal Utility District No 489</t>
  </si>
  <si>
    <t>City of Grand Rapids MI Water Supply System Revenue</t>
  </si>
  <si>
    <t>County of Grand Traverse MI</t>
  </si>
  <si>
    <t>Karegnondi Water Authority</t>
  </si>
  <si>
    <t>City of Loganville GA Water &amp; Sewer</t>
  </si>
  <si>
    <t>Village of Lombard IL</t>
  </si>
  <si>
    <t>City of Long Prairie MN</t>
  </si>
  <si>
    <t>City of Lonoke AR Sales &amp; Use Tax Revenue</t>
  </si>
  <si>
    <t>City of Lonsdale MN</t>
  </si>
  <si>
    <t>Los Angeles Department of Water &amp; Power Water System Revenue</t>
  </si>
  <si>
    <t>Town of Ipswich MA</t>
  </si>
  <si>
    <t>City of Irving TX Waterworks &amp; Sewer System Revenue</t>
  </si>
  <si>
    <t>City of Kaufman TX</t>
  </si>
  <si>
    <t>City of Kearney MO</t>
  </si>
  <si>
    <t>City of Kechi KS</t>
  </si>
  <si>
    <t>Kelly Lane Water Control &amp; Improvement District No 2</t>
  </si>
  <si>
    <t>City of Kalamazoo MI Water Supply System Revenue</t>
  </si>
  <si>
    <t>City of Lodi WI Water &amp; Electric System Revenue</t>
  </si>
  <si>
    <t>Kendall County Water Control &amp; Improvement District No 2A</t>
  </si>
  <si>
    <t>Hays County Water Control &amp; Improvement District No 2</t>
  </si>
  <si>
    <t>Hays County Municipal Utility District No 4</t>
  </si>
  <si>
    <t>Heatherloch Municipal Utility District</t>
  </si>
  <si>
    <t>Town of Hempstead NY</t>
  </si>
  <si>
    <t>Henderson Local Improvement Districts</t>
  </si>
  <si>
    <t>City of Henderson TX</t>
  </si>
  <si>
    <t>County of Henrico VA Water &amp; Sewer Revenue</t>
  </si>
  <si>
    <t>City of Jarrell TX</t>
  </si>
  <si>
    <t>Jasper Water Works &amp; Sewer Board Inc</t>
  </si>
  <si>
    <t>Indiana Finance Authority</t>
  </si>
  <si>
    <t>City of Indianapolis Department of Public Utilities Water System Revenue</t>
  </si>
  <si>
    <t>City of Jackson MN</t>
  </si>
  <si>
    <t>Town of Lancaster MA</t>
  </si>
  <si>
    <t>City of Hot Springs AR Waterworks Revenue</t>
  </si>
  <si>
    <t>James Kimzey Regional Water District</t>
  </si>
  <si>
    <t>Jefferson County Water Control &amp; Improvement District No 10</t>
  </si>
  <si>
    <t>City of Lake Elsinore CA</t>
  </si>
  <si>
    <t>Lakeport Municipal Financing Agency</t>
  </si>
  <si>
    <t>Lakeside Municipal Utility District No 3</t>
  </si>
  <si>
    <t>Lakeside Water Control &amp; Improvement District No 2-A</t>
  </si>
  <si>
    <t>City of Lakeville MN</t>
  </si>
  <si>
    <t>Lamar Improvement District</t>
  </si>
  <si>
    <t>Harris County Municipal Utility District No 502</t>
  </si>
  <si>
    <t>Harris County Municipal Utility District No 536</t>
  </si>
  <si>
    <t>Harris County Water Control &amp; Improvement District No 157</t>
  </si>
  <si>
    <t>Harris County Water Control &amp; Improvement District No 161</t>
  </si>
  <si>
    <t>Harris Montgomery Counties Municipal Utility District No 386</t>
  </si>
  <si>
    <t>Harris County Municipal Utility District No 102</t>
  </si>
  <si>
    <t>Harris County Municipal Utility District No 65</t>
  </si>
  <si>
    <t>City of Durand WI Water &amp; Sewer System Revenue</t>
  </si>
  <si>
    <t>Harris-Brazoria Counties Municipal Utility District No 509</t>
  </si>
  <si>
    <t>Harris County Municipal Utility District No 374</t>
  </si>
  <si>
    <t>Harris County Municipal Utility District No 285</t>
  </si>
  <si>
    <t>Harris County Municipal Utility District No 383</t>
  </si>
  <si>
    <t>Harris County Improvement District No 15</t>
  </si>
  <si>
    <t>Harris County Municipal Utility District No 390</t>
  </si>
  <si>
    <t>Harris County Municipal Utility District No 26</t>
  </si>
  <si>
    <t>Harris County Municipal Utility District No 167</t>
  </si>
  <si>
    <t>Harris County Municipal Utility District No 499</t>
  </si>
  <si>
    <t>Harris County Municipal Utility District No 319</t>
  </si>
  <si>
    <t>Harris County Water Control &amp; Improvement District No 89</t>
  </si>
  <si>
    <t>Harris County Municipal Utility District No 105</t>
  </si>
  <si>
    <t>Harris County Municipal Utility District No 49</t>
  </si>
  <si>
    <t>Harris County Municipal Utility District No 62</t>
  </si>
  <si>
    <t>Harris County Municipal Utility District No 183</t>
  </si>
  <si>
    <t>Harris County Municipal Utility District No 165</t>
  </si>
  <si>
    <t>City of Fort Smith AR Water &amp; Sewer Revenue</t>
  </si>
  <si>
    <t>City of Eagle Bend MN</t>
  </si>
  <si>
    <t>Jonah Water Special Utility District</t>
  </si>
  <si>
    <t>Jurupa Community Services District</t>
  </si>
  <si>
    <t>Village of Fox Crossing WI Waterworks System &amp; Sewerage System Revenue</t>
  </si>
  <si>
    <t>Village of Fox Point WI</t>
  </si>
  <si>
    <t>County of Franklin OH Sales Tax Revenue</t>
  </si>
  <si>
    <t>Town of Franklin MA</t>
  </si>
  <si>
    <t>Indian Wells Valley Water District</t>
  </si>
  <si>
    <t>City of Fredericksburg TX</t>
  </si>
  <si>
    <t>City of Hartsville SC Combined System Revenue</t>
  </si>
  <si>
    <t>City of Fort Worth TX Water &amp; Sewer System Revenue</t>
  </si>
  <si>
    <t>County of Harford MD</t>
  </si>
  <si>
    <t>Kentucky Infrastructure Authority</t>
  </si>
  <si>
    <t>City of Gautier MS Combined Utility System Revenue</t>
  </si>
  <si>
    <t>County of Genesee NY</t>
  </si>
  <si>
    <t>Gilbert Water Resource Municipal Property Corp</t>
  </si>
  <si>
    <t>Leander Todd Municipal Utility District No 1</t>
  </si>
  <si>
    <t>Lebanon Redevelopment Authority</t>
  </si>
  <si>
    <t>City of Lebanon IN</t>
  </si>
  <si>
    <t>County of Linn IA</t>
  </si>
  <si>
    <t>City of Lino Lakes MN</t>
  </si>
  <si>
    <t>City of Lauderhill FL Water &amp; Sewer Revenue</t>
  </si>
  <si>
    <t>City of Lawrence KS Water &amp; Sewage System Revenue</t>
  </si>
  <si>
    <t>Kentucky State Property &amp; Building Commission</t>
  </si>
  <si>
    <t>Greenwood Utility District/TX</t>
  </si>
  <si>
    <t>Town of Groton MA</t>
  </si>
  <si>
    <t>City of Lancaster PA</t>
  </si>
  <si>
    <t>City of Las Cruces NM Joint Utility Revenue</t>
  </si>
  <si>
    <t>City of Las Vegas NV Special Improvement District No 610</t>
  </si>
  <si>
    <t>Las Vegas Valley Water District</t>
  </si>
  <si>
    <t>Louisiana Local Government Environmental Facilities &amp; Community Development Auth</t>
  </si>
  <si>
    <t>City of Manson IA</t>
  </si>
  <si>
    <t>City of Manvel TX</t>
  </si>
  <si>
    <t>City of Loveland OH</t>
  </si>
  <si>
    <t>County of Manatee FL Public Utilities Revenue</t>
  </si>
  <si>
    <t>Town of Manchester by-the-Sea MA</t>
  </si>
  <si>
    <t>Lower Kirby Pearland Management District</t>
  </si>
  <si>
    <t>Michigan Finance Authority</t>
  </si>
  <si>
    <t>City of Knoxville TN Water System Revenue</t>
  </si>
  <si>
    <t>Village of Garden City NY</t>
  </si>
  <si>
    <t>City of Lenexa KS</t>
  </si>
  <si>
    <t>City of Lewisville TX Waterworks &amp; Sewer System Revenue</t>
  </si>
  <si>
    <t>City of Midvale UT Water Sewer &amp; Storm Water Revenue</t>
  </si>
  <si>
    <t>City of Middleburg Heights OH</t>
  </si>
  <si>
    <t>City of Mahtomedi MN</t>
  </si>
  <si>
    <t>Town of Milliken CO Water Revenue</t>
  </si>
  <si>
    <t>City of Madison WI Water Utility Revenue</t>
  </si>
  <si>
    <t>Town of Maynard MA</t>
  </si>
  <si>
    <t>City of McGregor TX</t>
  </si>
  <si>
    <t>Macon Water Authority</t>
  </si>
  <si>
    <t>County of Madison AL Water Revenue</t>
  </si>
  <si>
    <t>Massachusetts Water Resources Authority</t>
  </si>
  <si>
    <t>City of Kingsport TN</t>
  </si>
  <si>
    <t>Hunters Glen Municipal Utility District</t>
  </si>
  <si>
    <t>Town of Huntington NY</t>
  </si>
  <si>
    <t>City of Huntsville TX Waterworks &amp; Sewer System Revenue</t>
  </si>
  <si>
    <t>Idaho Bond Bank Authority</t>
  </si>
  <si>
    <t>City of Malvern AR</t>
  </si>
  <si>
    <t>City of Idaho Springs CO Sales Tax Revenue</t>
  </si>
  <si>
    <t>City of Grimes IA</t>
  </si>
  <si>
    <t>Village of Goshen NY</t>
  </si>
  <si>
    <t>City of Greenville KY</t>
  </si>
  <si>
    <t>City of Lafayette IN Waterworks Revenue</t>
  </si>
  <si>
    <t>Lan-Del Water District</t>
  </si>
  <si>
    <t>City of Kennedale TX</t>
  </si>
  <si>
    <t>Village of Kenmore NY</t>
  </si>
  <si>
    <t>Livermore Valley Water Financing Authority</t>
  </si>
  <si>
    <t>City of Glencoe MN</t>
  </si>
  <si>
    <t>City of Rochester NY</t>
  </si>
  <si>
    <t>City of Rock Falls IL</t>
  </si>
  <si>
    <t>City of Mineral Wells TX</t>
  </si>
  <si>
    <t>City of Minnetonka MN</t>
  </si>
  <si>
    <t>City of Monroe LA Water Revenue</t>
  </si>
  <si>
    <t>Township of Marlboro NJ</t>
  </si>
  <si>
    <t>City of Marshalltown IA</t>
  </si>
  <si>
    <t>Oklahoma Water Resources Board</t>
  </si>
  <si>
    <t>City of Olathe KS Water &amp; Sewer System Revenue</t>
  </si>
  <si>
    <t>Village of Rockville Centre NY</t>
  </si>
  <si>
    <t>Rockwall County Consolidated Municipal District No 1</t>
  </si>
  <si>
    <t>Town of Rogersville TN</t>
  </si>
  <si>
    <t>Romoland School District</t>
  </si>
  <si>
    <t>Town of Marion MA</t>
  </si>
  <si>
    <t>Oak Point Water Control &amp; Improvement District No 1 Denton County</t>
  </si>
  <si>
    <t>Oak Point Water Control &amp; Improvement District No 4 Denton County</t>
  </si>
  <si>
    <t>Town of Northlake TX</t>
  </si>
  <si>
    <t>Northwest Freeway Municipal Utility District/TX</t>
  </si>
  <si>
    <t>Northwest Harris County Municipal Utility District No 5/TX</t>
  </si>
  <si>
    <t>Northwest Harris County Municipal Utility District No 10/TX</t>
  </si>
  <si>
    <t>City of Norwalk IA Water Revenue</t>
  </si>
  <si>
    <t>County of Monroe NY</t>
  </si>
  <si>
    <t>City of Marble Falls TX</t>
  </si>
  <si>
    <t>Massachusetts Clean Water Trust/The</t>
  </si>
  <si>
    <t>City of Mena AR Water &amp; Sewer Revenue</t>
  </si>
  <si>
    <t>Town of Mendon NY</t>
  </si>
  <si>
    <t>Menifee Union School District</t>
  </si>
  <si>
    <t>Village of Menomonee Falls WI</t>
  </si>
  <si>
    <t>City of Murphy TX</t>
  </si>
  <si>
    <t>Village of Mukwonago WI Waterworks System &amp; Sewer System Revenue</t>
  </si>
  <si>
    <t>Mustang Special Utility District</t>
  </si>
  <si>
    <t>City of McKinney TX Waterworks &amp; Sewer System Revenue</t>
  </si>
  <si>
    <t>Mckinney Municipal Utility District No 1</t>
  </si>
  <si>
    <t>City of Osceola IA</t>
  </si>
  <si>
    <t>City of Oshkosh WI Storm Water Utility Revenue</t>
  </si>
  <si>
    <t>Otay Water District Financing Authority</t>
  </si>
  <si>
    <t>Orlando Utilities Commission</t>
  </si>
  <si>
    <t>City of Owensboro KY Water Revenue</t>
  </si>
  <si>
    <t>Town of Mount Pleasant NY</t>
  </si>
  <si>
    <t>Village of Mount Prospect IL</t>
  </si>
  <si>
    <t>Township of Mount Olive NJ</t>
  </si>
  <si>
    <t>City of Norfolk VA Water Revenue</t>
  </si>
  <si>
    <t>Town of North Attleborough MA</t>
  </si>
  <si>
    <t>City of Philadelphia PA Water &amp; Wastewater Revenue</t>
  </si>
  <si>
    <t>Town of Niskayuna NY</t>
  </si>
  <si>
    <t>City of Pewaukee WI</t>
  </si>
  <si>
    <t>Kentucky Bond Corp</t>
  </si>
  <si>
    <t>City of Redwood Falls MN</t>
  </si>
  <si>
    <t>Reid Road Municipal Utility District No 2</t>
  </si>
  <si>
    <t>Reunion Ranch Water Control &amp; Improvement District</t>
  </si>
  <si>
    <t>Mirada Community Development District</t>
  </si>
  <si>
    <t>Mission Bend Municipal Utility District No 2</t>
  </si>
  <si>
    <t>Mississippi Development Bank</t>
  </si>
  <si>
    <t>City of Missouri City TX</t>
  </si>
  <si>
    <t>Missouri State Environmental Improvement &amp; Energy Resources Authority</t>
  </si>
  <si>
    <t>Montgomery County Municipal Utility District No 88</t>
  </si>
  <si>
    <t>Montgomery County Municipal Utility District No 99</t>
  </si>
  <si>
    <t>City of Prior Lake MN</t>
  </si>
  <si>
    <t>Town of Prosper TX</t>
  </si>
  <si>
    <t>City of Omro WI</t>
  </si>
  <si>
    <t>City of Ontario CA Community Facilities District No 34</t>
  </si>
  <si>
    <t>Orange County Community Facilities District</t>
  </si>
  <si>
    <t>City of North St Paul MN</t>
  </si>
  <si>
    <t>North Texas Municipal Water District Water System Revenue</t>
  </si>
  <si>
    <t>Montgomery County Municipal Utility District No 127</t>
  </si>
  <si>
    <t>Montgomery County Municipal Utility District No 139</t>
  </si>
  <si>
    <t>Montgomery County Municipal Utility District No 42</t>
  </si>
  <si>
    <t>City of New London WI Sewerage Water &amp; Electric System Revenue</t>
  </si>
  <si>
    <t>Moreno Valley Unified School District Community Facilities District</t>
  </si>
  <si>
    <t>Metropolitan Utilities District of Omaha Water System Revenue</t>
  </si>
  <si>
    <t>Metropolitan Water District of Southern California</t>
  </si>
  <si>
    <t>Village of Old Westbury NY</t>
  </si>
  <si>
    <t>City of Pilot Point TX</t>
  </si>
  <si>
    <t>City of Pine City MN</t>
  </si>
  <si>
    <t>City of Pipestone MN</t>
  </si>
  <si>
    <t>Town of Riverhead NY</t>
  </si>
  <si>
    <t>City of Mesquite TX Waterworks &amp; Sewer System Revenue</t>
  </si>
  <si>
    <t>Temescal Valley Water District</t>
  </si>
  <si>
    <t>St Charles County Public Water Supply District No 2</t>
  </si>
  <si>
    <t>City of St Charles MO</t>
  </si>
  <si>
    <t>City of St James MN</t>
  </si>
  <si>
    <t>City of St Louis Park MN</t>
  </si>
  <si>
    <t>Paseo del Este Municipal Utility District No 8</t>
  </si>
  <si>
    <t>Town of Pembroke MA</t>
  </si>
  <si>
    <t>Tattor Municipal Road District/TX</t>
  </si>
  <si>
    <t>City of Tecumseh NE Combined Utilities Revenue</t>
  </si>
  <si>
    <t>City of Pearland TX Waterworks &amp; Sewer System Revenue</t>
  </si>
  <si>
    <t>Pennsylvania Infrastructure Investment Authority</t>
  </si>
  <si>
    <t>New York State Environmental Facilities Corp</t>
  </si>
  <si>
    <t>City of Newport MN</t>
  </si>
  <si>
    <t>City of Rowlett TX Waterworks &amp; Sewer System Revenue</t>
  </si>
  <si>
    <t>City of Russellville AR Water &amp; Sewer Revenue</t>
  </si>
  <si>
    <t>City of New Albany MS</t>
  </si>
  <si>
    <t>City of New Braunfels TX Utility System Revenue</t>
  </si>
  <si>
    <t>Township of New Buffalo MI</t>
  </si>
  <si>
    <t>Southern California Water Replenishment District</t>
  </si>
  <si>
    <t>Southern Sandoval County Arroyo Flood Control Authority</t>
  </si>
  <si>
    <t>City of Southlake TX</t>
  </si>
  <si>
    <t>Town of New Castle NY</t>
  </si>
  <si>
    <t>Palmdale Water District Public Financing Authority</t>
  </si>
  <si>
    <t>Palmera Ridge Municipal Utility District</t>
  </si>
  <si>
    <t>Paloma Lake Municipal Utility District No 2</t>
  </si>
  <si>
    <t>Village of Rothschild WI</t>
  </si>
  <si>
    <t>Russellville Water Works &amp; Sewer Board</t>
  </si>
  <si>
    <t>Morgantown Utility Board Inc</t>
  </si>
  <si>
    <t>Morningstar Ranch Municipal Utility District No 1 of Parker County</t>
  </si>
  <si>
    <t>City of New Ulm MN</t>
  </si>
  <si>
    <t>Town of New Windsor NY</t>
  </si>
  <si>
    <t>City of Roseville CA</t>
  </si>
  <si>
    <t>County of San Bernardino CA</t>
  </si>
  <si>
    <t>Montgomery County Municipal Utility District No 15</t>
  </si>
  <si>
    <t>Montgomery County Municipal Utility District No 138</t>
  </si>
  <si>
    <t>San Antonio Water System</t>
  </si>
  <si>
    <t>North Dakota Public Finance Authority</t>
  </si>
  <si>
    <t>City of Goodview MN</t>
  </si>
  <si>
    <t>Sienna Municipal Utility District No 4</t>
  </si>
  <si>
    <t>City of Slater IA</t>
  </si>
  <si>
    <t>City of Port Washington WI Water System Revenue</t>
  </si>
  <si>
    <t>Portland Water District Water System Revenue</t>
  </si>
  <si>
    <t>City of Prairie du Chien WI Water Revenue</t>
  </si>
  <si>
    <t>Village of Prairie du Sac WI</t>
  </si>
  <si>
    <t>City of Plano TX Waterworks &amp; Sewer System Revenue</t>
  </si>
  <si>
    <t>City of Rancho Cordova CA</t>
  </si>
  <si>
    <t>Township of Randolph NJ</t>
  </si>
  <si>
    <t>Prattville Waterworks Board</t>
  </si>
  <si>
    <t>Presidential Glen Municipal Utility District</t>
  </si>
  <si>
    <t>City of Polk City IA</t>
  </si>
  <si>
    <t>City of Shreveport LA Water &amp; Sewer Revenue</t>
  </si>
  <si>
    <t>Grand Mission Municipal Utility District No 2</t>
  </si>
  <si>
    <t>Stonewall Ranch Municipal Utility District</t>
  </si>
  <si>
    <t>Town of Stoughton MA</t>
  </si>
  <si>
    <t>City of Topeka KS Combined Utility Revenue</t>
  </si>
  <si>
    <t>Town of Topsfield MA</t>
  </si>
  <si>
    <t>Sudbury Water District</t>
  </si>
  <si>
    <t>City of Sugar Land TX Waterworks &amp; Sewer System Revenue</t>
  </si>
  <si>
    <t>Parker Water &amp; Sanitation District/CO</t>
  </si>
  <si>
    <t>New Jersey Infrastructure Bank</t>
  </si>
  <si>
    <t>Travis County Municipal Utility District No 15</t>
  </si>
  <si>
    <t>Travis County Municipal Utility District No 13</t>
  </si>
  <si>
    <t>Travis County Municipal Utility District No 12</t>
  </si>
  <si>
    <t>Travis County Municipal Utility District No 17</t>
  </si>
  <si>
    <t>Travis County Municipal Utility District No 21</t>
  </si>
  <si>
    <t>Travis County Water Control &amp; Improvement District No 17</t>
  </si>
  <si>
    <t>County of Travis TX</t>
  </si>
  <si>
    <t>State of Texas</t>
  </si>
  <si>
    <t>Texas Water Development Board</t>
  </si>
  <si>
    <t>Timber Lane Utility District</t>
  </si>
  <si>
    <t>City of Tipton IA</t>
  </si>
  <si>
    <t>Port O'Connor Improvement District</t>
  </si>
  <si>
    <t>RBC Municipal Products Inc Trust</t>
  </si>
  <si>
    <t>City of Rahway NJ</t>
  </si>
  <si>
    <t>Siena Municipal Utility District No 1</t>
  </si>
  <si>
    <t>Siena Municipal Utility District No 2</t>
  </si>
  <si>
    <t>Trinity River Authority</t>
  </si>
  <si>
    <t>Triview Metropolitan District</t>
  </si>
  <si>
    <t>City of Tucson AZ Water System Revenue</t>
  </si>
  <si>
    <t>City of Parker TX</t>
  </si>
  <si>
    <t>City of Texas City TX</t>
  </si>
  <si>
    <t>City of Waukee IA Water Revenue</t>
  </si>
  <si>
    <t>City of Waukegan IL Water &amp; Sewer System Revenue</t>
  </si>
  <si>
    <t>City of Waupaca WI Water System Revenue</t>
  </si>
  <si>
    <t>Val Verde Unified School District</t>
  </si>
  <si>
    <t>City of Valley City ND</t>
  </si>
  <si>
    <t>Valley County Water District Financing Authority</t>
  </si>
  <si>
    <t>Valley Ranch Municipal Utility District No 1</t>
  </si>
  <si>
    <t>Village of Waterford WI</t>
  </si>
  <si>
    <t>City of Sanborn IA</t>
  </si>
  <si>
    <t>City of Snoqualmie WA</t>
  </si>
  <si>
    <t>Sonterra Municipal Utility District</t>
  </si>
  <si>
    <t>South Adams County Water &amp; Sanitation District</t>
  </si>
  <si>
    <t>South Buda Water Control &amp; Improvement District No 1</t>
  </si>
  <si>
    <t>South Dakota Conservancy District</t>
  </si>
  <si>
    <t>Washington Suburban Sanitary Commission</t>
  </si>
  <si>
    <t>Varner Creek Utility District/TX</t>
  </si>
  <si>
    <t>Village of Weston WI Waterworks Revenue</t>
  </si>
  <si>
    <t>City of West Des Moines IA</t>
  </si>
  <si>
    <t>West Groton Water Supply District</t>
  </si>
  <si>
    <t>West Harris County Municipal Utility District No 10</t>
  </si>
  <si>
    <t>Woodlands Metropolitan Center Municipal Utility District</t>
  </si>
  <si>
    <t>Woodridge Municipal Utility District</t>
  </si>
  <si>
    <t>Village of Whitefish Bay WI</t>
  </si>
  <si>
    <t>Wood Trace Municipal Utility District No 1</t>
  </si>
  <si>
    <t>South Central Connecticut Regional Water Authority</t>
  </si>
  <si>
    <t>City of Sealy TX</t>
  </si>
  <si>
    <t>City of Sedalia MO</t>
  </si>
  <si>
    <t>City of Seguin TX Utility System Revenue</t>
  </si>
  <si>
    <t>City of Webster TX</t>
  </si>
  <si>
    <t>Town of Wellesley MA</t>
  </si>
  <si>
    <t>City of Wellsville KS</t>
  </si>
  <si>
    <t>City of West Allis WI</t>
  </si>
  <si>
    <t>City of West Bend WI</t>
  </si>
  <si>
    <t>City of West Columbia SC</t>
  </si>
  <si>
    <t>Williamson County Municipal Utility District No 13</t>
  </si>
  <si>
    <t>Virginia Resources Authority</t>
  </si>
  <si>
    <t>Williamson County Municipal Utility District No 22</t>
  </si>
  <si>
    <t>Williamson County Municipal Utility District No 12</t>
  </si>
  <si>
    <t>Williamson County Municipal Utility District No 19</t>
  </si>
  <si>
    <t>Viridian Municipal Management District</t>
  </si>
  <si>
    <t>Village of Williston Park NY</t>
  </si>
  <si>
    <t>City of Waconia MN</t>
  </si>
  <si>
    <t>City of Walhalla SC Water &amp; Sewer Revenue</t>
  </si>
  <si>
    <t>City of Sun Prairie WI</t>
  </si>
  <si>
    <t>City of Tallahassee FL Utility System Revenue</t>
  </si>
  <si>
    <t>City of Wauwatosa WI Waterworks System Revenue</t>
  </si>
  <si>
    <t>City of Waverly IA Water Revenue</t>
  </si>
  <si>
    <t>City of Waverly MN</t>
  </si>
  <si>
    <t>City of Waxahachie TX</t>
  </si>
  <si>
    <t>Village of Wayland NY</t>
  </si>
  <si>
    <t>Upper Trinity Regional Water District</t>
  </si>
  <si>
    <t>City of Valley NE</t>
  </si>
  <si>
    <t>City of Verona WI</t>
  </si>
  <si>
    <t>City of Vincennes IN Waterworks Revenue</t>
  </si>
  <si>
    <t>City of Saratoga Springs NY</t>
  </si>
  <si>
    <t>City of Sauk Centre MN</t>
  </si>
  <si>
    <t>Borough of Sayreville NJ</t>
  </si>
  <si>
    <t>Village of Scarsdale NY</t>
  </si>
  <si>
    <t>Verandah Municipal Utility District</t>
  </si>
  <si>
    <t>City of Severy KS</t>
  </si>
  <si>
    <t>City of Sheboygan Falls WI Water &amp; Electric System Revenue</t>
  </si>
  <si>
    <t>City of Sheboygan WI Water Utility Revenue</t>
  </si>
  <si>
    <t>City of Spearman TX</t>
  </si>
  <si>
    <t>Town of Zionsville IN</t>
  </si>
  <si>
    <t>City of Springtown TX</t>
  </si>
  <si>
    <t>City of Springville IA</t>
  </si>
  <si>
    <t>Town of Wappinger NY</t>
  </si>
  <si>
    <t>Wareham Fire District</t>
  </si>
  <si>
    <t>Wilbarger Creek Municipal Utility District No 2</t>
  </si>
  <si>
    <t>Wilbarger Creek Municipal Utility District No 1</t>
  </si>
  <si>
    <t>City of Willard MO</t>
  </si>
  <si>
    <t>West Knox Utility District</t>
  </si>
  <si>
    <t>Town of Whitman MA</t>
  </si>
  <si>
    <t>West Williamson County Municipal Utility District No 1</t>
  </si>
  <si>
    <t>County of Westchester NY</t>
  </si>
  <si>
    <t>West Harris County Municipal Utility District No 2</t>
  </si>
  <si>
    <t>City of Tyler TX Water &amp; Sewer System Revenue</t>
  </si>
  <si>
    <t>Town of Wilmington MA</t>
  </si>
  <si>
    <t>City of Winchester KY Combined Utilities Revenue</t>
  </si>
  <si>
    <t>Village of Winneconne WI</t>
  </si>
  <si>
    <t>State of Wisconsin</t>
  </si>
  <si>
    <t>Summary</t>
  </si>
  <si>
    <t>SRCH Results</t>
  </si>
  <si>
    <t>Number of securities: 2,531</t>
  </si>
  <si>
    <t>Currency: USD</t>
  </si>
  <si>
    <t>Created by  DAN LI ( REGENTS OF THE UNIV. OF MICHIGAN,TH )  on  07/27/2022 15:24:50 GMT-0400 (EDT)</t>
  </si>
  <si>
    <t>SRCH Criteria</t>
  </si>
  <si>
    <t>Asset Classes: Municipals</t>
  </si>
  <si>
    <t>Sources: All Securities</t>
  </si>
  <si>
    <t xml:space="preserve">Security: </t>
  </si>
  <si>
    <t xml:space="preserve"> AND </t>
  </si>
  <si>
    <t>Security Status</t>
  </si>
  <si>
    <t>Include</t>
  </si>
  <si>
    <t>Municipals : Active</t>
  </si>
  <si>
    <t>Muni Bond Purpose</t>
  </si>
  <si>
    <t>Water Utility Improvements</t>
  </si>
  <si>
    <t>Country/Region of Risk</t>
  </si>
  <si>
    <t>United States of America</t>
  </si>
  <si>
    <t>In the range</t>
  </si>
  <si>
    <t>01/01/2018 to 12/31/2018</t>
  </si>
  <si>
    <t>Maturity Type</t>
  </si>
  <si>
    <t>Exclude [Match Any]</t>
  </si>
  <si>
    <t>Callable or Make Whole Call or Putable or Sinkable or Anticipated Sinking 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</si>
</sst>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rgb="FFFAC09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9" fillId="3" borderId="0" applyNumberFormat="0" applyBorder="0" applyAlignment="0" applyProtection="0"/>
    <xf numFmtId="0" fontId="2" fillId="33" borderId="0"/>
    <xf numFmtId="0" fontId="1" fillId="0" borderId="0">
      <alignment horizontal="centerContinuous"/>
    </xf>
    <xf numFmtId="0" fontId="3" fillId="0" borderId="0" applyNumberFormat="0" applyFont="0" applyFill="0" applyBorder="0" applyProtection="0">
      <alignment wrapText="1"/>
    </xf>
    <xf numFmtId="0" fontId="1" fillId="34" borderId="0"/>
    <xf numFmtId="0" fontId="13" fillId="6" borderId="4" applyNumberFormat="0" applyAlignment="0" applyProtection="0"/>
    <xf numFmtId="0" fontId="15" fillId="7" borderId="7" applyNumberFormat="0" applyAlignment="0" applyProtection="0"/>
    <xf numFmtId="0" fontId="1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11" fillId="5" borderId="4" applyNumberFormat="0" applyAlignment="0" applyProtection="0"/>
    <xf numFmtId="0" fontId="14" fillId="0" borderId="6" applyNumberFormat="0" applyFill="0" applyAlignment="0" applyProtection="0"/>
    <xf numFmtId="0" fontId="10" fillId="4" borderId="0" applyNumberFormat="0" applyBorder="0" applyAlignment="0" applyProtection="0"/>
    <xf numFmtId="0" fontId="3" fillId="8" borderId="8" applyNumberFormat="0" applyFont="0" applyAlignment="0" applyProtection="0"/>
    <xf numFmtId="0" fontId="12" fillId="6" borderId="5" applyNumberFormat="0" applyAlignment="0" applyProtection="0"/>
    <xf numFmtId="0" fontId="4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7">
    <xf numFmtId="0" fontId="0" fillId="0" borderId="0" xfId="0"/>
    <xf numFmtId="0" fontId="2" fillId="33" borderId="0" xfId="26" applyNumberFormat="1" applyFont="1" applyFill="1" applyBorder="1" applyAlignment="1" applyProtection="1"/>
    <xf numFmtId="0" fontId="3" fillId="0" borderId="0" xfId="28" applyFont="1" applyAlignment="1">
      <alignment wrapText="1"/>
    </xf>
    <xf numFmtId="0" fontId="1" fillId="34" borderId="0" xfId="29" applyNumberFormat="1" applyFont="1" applyFill="1" applyBorder="1" applyAlignment="1" applyProtection="1"/>
    <xf numFmtId="0" fontId="0" fillId="0" borderId="0" xfId="0"/>
    <xf numFmtId="0" fontId="1" fillId="0" borderId="0" xfId="27" applyNumberFormat="1" applyFont="1" applyFill="1" applyBorder="1" applyAlignment="1" applyProtection="1">
      <alignment horizontal="center"/>
    </xf>
    <xf numFmtId="0" fontId="2" fillId="33" borderId="0" xfId="26" applyNumberFormat="1" applyFont="1" applyFill="1" applyBorder="1" applyAlignment="1" applyProtection="1"/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blp_financial_statement_name" xfId="27"/>
    <cellStyle name="blp_multiline_cell" xfId="28"/>
    <cellStyle name="blp_row_header" xfId="29"/>
    <cellStyle name="Calculation" xfId="30" builtinId="22" customBuiltin="1"/>
    <cellStyle name="Check Cell" xfId="31" builtinId="23" customBuiltin="1"/>
    <cellStyle name="Explanatory Text" xfId="32" builtinId="53" customBuiltin="1"/>
    <cellStyle name="Good" xfId="33" builtinId="26" customBuiltin="1"/>
    <cellStyle name="Heading 1" xfId="34" builtinId="16" customBuiltin="1"/>
    <cellStyle name="Heading 2" xfId="35" builtinId="17" customBuiltin="1"/>
    <cellStyle name="Heading 3" xfId="36" builtinId="18" customBuiltin="1"/>
    <cellStyle name="Heading 4" xfId="37" builtinId="19" customBuiltin="1"/>
    <cellStyle name="Input" xfId="38" builtinId="20" customBuiltin="1"/>
    <cellStyle name="Linked Cell" xfId="39" builtinId="24" customBuiltin="1"/>
    <cellStyle name="Neutral" xfId="40" builtinId="28" customBuiltin="1"/>
    <cellStyle name="Normal" xfId="0" builtinId="0"/>
    <cellStyle name="Note" xfId="41" builtinId="10" customBuiltin="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Data...3719094913</v>
        <stp/>
        <stp>BDP|15123499987163141075</stp>
        <tr r="E94" s="2"/>
      </tp>
      <tp t="s">
        <v>#N/A Requesting Data...3828122146</v>
        <stp/>
        <stp>BDP|15204753526118819208</stp>
        <tr r="D671" s="2"/>
      </tp>
      <tp t="s">
        <v>#N/A Requesting Data...4082562785</v>
        <stp/>
        <stp>BDP|11787879163834800122</stp>
        <tr r="G613" s="2"/>
      </tp>
      <tp t="s">
        <v>#N/A Requesting Data...4249713704</v>
        <stp/>
        <stp>BDP|13622425536978904625</stp>
        <tr r="C906" s="2"/>
      </tp>
      <tp t="s">
        <v>#N/A Requesting Data...4221828227</v>
        <stp/>
        <stp>BDP|10973200330432015909</stp>
        <tr r="A1475" s="2"/>
      </tp>
      <tp t="b">
        <v>0</v>
        <stp/>
        <stp>BDS|17877101890662528779</stp>
        <tr r="I2154" s="2"/>
      </tp>
      <tp t="s">
        <v>#N/A Requesting Data...3814876678</v>
        <stp/>
        <stp>BDP|11996703484202312672</stp>
        <tr r="P2507" s="2"/>
      </tp>
      <tp t="s">
        <v>#N/A Requesting Data...4214575766</v>
        <stp/>
        <stp>BDP|13624620022509696495</stp>
        <tr r="R1591" s="2"/>
      </tp>
      <tp t="s">
        <v>#N/A Requesting Data...4010671424</v>
        <stp/>
        <stp>BDP|13110155042499624598</stp>
        <tr r="D231" s="2"/>
      </tp>
      <tp t="s">
        <v>#N/A Requesting Data...4168942003</v>
        <stp/>
        <stp>BDP|17888500814038361164</stp>
        <tr r="M2364" s="2"/>
      </tp>
      <tp t="s">
        <v>#N/A Requesting Data...4015080998</v>
        <stp/>
        <stp>BDP|12800679330938689501</stp>
        <tr r="D1467" s="2"/>
      </tp>
      <tp t="s">
        <v>#N/A Requesting Data...3709177977</v>
        <stp/>
        <stp>BDP|15698272786065640086</stp>
        <tr r="Q2218" s="2"/>
      </tp>
      <tp t="s">
        <v>#N/A Requesting Data...3539052245</v>
        <stp/>
        <stp>BDP|15795521173755900866</stp>
        <tr r="F1683" s="2"/>
      </tp>
      <tp t="s">
        <v>#N/A Requesting Data...3765130332</v>
        <stp/>
        <stp>BDP|16026794984875544612</stp>
        <tr r="T1008" s="2"/>
      </tp>
      <tp t="s">
        <v>#N/A Requesting Data...3804447114</v>
        <stp/>
        <stp>BDP|11194098553819135732</stp>
        <tr r="C1979" s="2"/>
      </tp>
      <tp t="s">
        <v>#N/A Requesting Data...3700292512</v>
        <stp/>
        <stp>BDP|17797836969867169459</stp>
        <tr r="T2287" s="2"/>
      </tp>
      <tp t="s">
        <v>#N/A Requesting Data...3684213118</v>
        <stp/>
        <stp>BDP|10747812944555228399</stp>
        <tr r="P876" s="2"/>
      </tp>
      <tp t="s">
        <v>#N/A Requesting Data...4046091913</v>
        <stp/>
        <stp>BDP|12446448934406412996</stp>
        <tr r="D422" s="2"/>
      </tp>
      <tp t="s">
        <v>#N/A Requesting Data...3823391391</v>
        <stp/>
        <stp>BDP|17937460162949212664</stp>
        <tr r="R470" s="2"/>
      </tp>
      <tp t="s">
        <v>#N/A Requesting Data...3731092485</v>
        <stp/>
        <stp>BDP|16633878959120911185</stp>
        <tr r="O603" s="2"/>
      </tp>
      <tp t="s">
        <v>#N/A Requesting Data...4206297575</v>
        <stp/>
        <stp>BDP|12922468206335416946</stp>
        <tr r="Q932" s="2"/>
      </tp>
      <tp t="b">
        <v>0</v>
        <stp/>
        <stp>BDS|16337817723124387283</stp>
        <tr r="I986" s="2"/>
      </tp>
      <tp t="s">
        <v>#N/A Requesting Data...4122439006</v>
        <stp/>
        <stp>BDP|10304592872901832994</stp>
        <tr r="E1180" s="2"/>
      </tp>
      <tp t="s">
        <v>#N/A Requesting Data...3723705371</v>
        <stp/>
        <stp>BDP|10988630020017600954</stp>
        <tr r="P1749" s="2"/>
      </tp>
      <tp t="s">
        <v>#N/A Requesting Data...3995545201</v>
        <stp/>
        <stp>BDP|10297354337463811914</stp>
        <tr r="E2138" s="2"/>
      </tp>
      <tp t="b">
        <v>0</v>
        <stp/>
        <stp>BDS|11782065583317955417</stp>
        <tr r="I1469" s="2"/>
      </tp>
      <tp t="s">
        <v>#N/A Requesting Data...3595413817</v>
        <stp/>
        <stp>BDP|14391915029965685041</stp>
        <tr r="A112" s="2"/>
      </tp>
      <tp t="s">
        <v>#N/A Requesting Data...4251712194</v>
        <stp/>
        <stp>BDP|12146096395509374873</stp>
        <tr r="Q1274" s="2"/>
      </tp>
      <tp t="b">
        <v>0</v>
        <stp/>
        <stp>BDS|12994888028731766343</stp>
        <tr r="I2112" s="2"/>
      </tp>
      <tp t="s">
        <v>#N/A Requesting Data...3861674488</v>
        <stp/>
        <stp>BDP|17900325897491763624</stp>
        <tr r="Q241" s="2"/>
      </tp>
      <tp t="s">
        <v>#N/A Requesting Data...4272288273</v>
        <stp/>
        <stp>BDP|17788991374725743648</stp>
        <tr r="F523" s="2"/>
      </tp>
      <tp t="s">
        <v>#N/A Requesting Data...3562121427</v>
        <stp/>
        <stp>BDP|12600582997440459441</stp>
        <tr r="G1589" s="2"/>
      </tp>
      <tp t="s">
        <v>#N/A Requesting Data...3609971992</v>
        <stp/>
        <stp>BDP|14114586627221411836</stp>
        <tr r="E1178" s="2"/>
      </tp>
      <tp t="s">
        <v>#N/A Requesting Data...3881879128</v>
        <stp/>
        <stp>BDP|14679840897789828640</stp>
        <tr r="O2414" s="2"/>
      </tp>
      <tp t="s">
        <v>#N/A Requesting Data...3877779583</v>
        <stp/>
        <stp>BDP|12044267373229937450</stp>
        <tr r="Q2382" s="2"/>
      </tp>
      <tp t="s">
        <v>#N/A Requesting Data...3983033278</v>
        <stp/>
        <stp>BDP|10117938999163285901</stp>
        <tr r="M373" s="2"/>
      </tp>
      <tp t="s">
        <v>#N/A Requesting Data...3983339735</v>
        <stp/>
        <stp>BDP|14926102312389768754</stp>
        <tr r="Q1854" s="2"/>
      </tp>
      <tp t="s">
        <v>#N/A Requesting Data...3954597224</v>
        <stp/>
        <stp>BDP|12908668170910158975</stp>
        <tr r="S425" s="2"/>
      </tp>
      <tp t="s">
        <v>#N/A Requesting Data...4138099902</v>
        <stp/>
        <stp>BDP|17251391282872444449</stp>
        <tr r="F1808" s="2"/>
      </tp>
      <tp t="s">
        <v>#N/A Requesting Data...3955354488</v>
        <stp/>
        <stp>BDP|16678190344299720056</stp>
        <tr r="S1491" s="2"/>
      </tp>
      <tp t="s">
        <v>#N/A Requesting Data...3882717109</v>
        <stp/>
        <stp>BDP|15289346150528797182</stp>
        <tr r="D98" s="2"/>
      </tp>
      <tp t="b">
        <v>0</v>
        <stp/>
        <stp>BDS|18111884261484745855</stp>
        <tr r="I1421" s="2"/>
      </tp>
      <tp t="s">
        <v>#N/A Requesting Data...3981701956</v>
        <stp/>
        <stp>BDP|13218828838877333522</stp>
        <tr r="N2393" s="2"/>
      </tp>
      <tp t="s">
        <v>#N/A Requesting Data...4150596863</v>
        <stp/>
        <stp>BDP|16245229796003655498</stp>
        <tr r="F958" s="2"/>
      </tp>
      <tp t="s">
        <v>#N/A Requesting Data...3807726742</v>
        <stp/>
        <stp>BDP|18102894963529724554</stp>
        <tr r="T1711" s="2"/>
      </tp>
      <tp t="s">
        <v>#N/A Requesting Data...4074530013</v>
        <stp/>
        <stp>BDP|16669815115134253190</stp>
        <tr r="H78" s="2"/>
      </tp>
      <tp t="s">
        <v>#N/A Requesting Data...4252303689</v>
        <stp/>
        <stp>BDP|17833772184437416563</stp>
        <tr r="H2359" s="2"/>
      </tp>
      <tp t="b">
        <v>0</v>
        <stp/>
        <stp>BDS|17674696566474476975</stp>
        <tr r="I1328" s="2"/>
      </tp>
      <tp t="s">
        <v>#N/A Requesting Data...4292277950</v>
        <stp/>
        <stp>BDP|13836572116648168517</stp>
        <tr r="Q1054" s="2"/>
      </tp>
      <tp t="s">
        <v>#N/A Requesting Data...3811252844</v>
        <stp/>
        <stp>BDP|12359994651110354413</stp>
        <tr r="O395" s="2"/>
      </tp>
      <tp t="s">
        <v>#N/A Requesting Data...4274043873</v>
        <stp/>
        <stp>BDP|13402966431352836120</stp>
        <tr r="C1658" s="2"/>
      </tp>
      <tp t="s">
        <v>#N/A Requesting Data...3715571563</v>
        <stp/>
        <stp>BDP|16965105997400369447</stp>
        <tr r="G450" s="2"/>
      </tp>
      <tp t="s">
        <v>#N/A Requesting Data...3785584430</v>
        <stp/>
        <stp>BDP|13556950341072164695</stp>
        <tr r="K2059" s="2"/>
      </tp>
      <tp t="s">
        <v>#N/A Requesting Data...4193817584</v>
        <stp/>
        <stp>BDP|15167771912109973044</stp>
        <tr r="A2199" s="2"/>
      </tp>
      <tp t="b">
        <v>0</v>
        <stp/>
        <stp>BDS|13307651538195450900</stp>
        <tr r="I2458" s="2"/>
      </tp>
      <tp t="s">
        <v>#N/A Requesting Data...3763112332</v>
        <stp/>
        <stp>BDP|16463733392102806041</stp>
        <tr r="H745" s="2"/>
      </tp>
      <tp t="s">
        <v>#N/A Requesting Data...3928158044</v>
        <stp/>
        <stp>BDP|14301354899034203040</stp>
        <tr r="S328" s="2"/>
      </tp>
      <tp t="s">
        <v>#N/A Requesting Data...3742461826</v>
        <stp/>
        <stp>BDP|12570523230619839765</stp>
        <tr r="J1132" s="2"/>
      </tp>
      <tp t="s">
        <v>#N/A Requesting Data...4213370232</v>
        <stp/>
        <stp>BDP|17483949394635837850</stp>
        <tr r="C2529" s="2"/>
      </tp>
      <tp t="b">
        <v>0</v>
        <stp/>
        <stp>BDS|11062101735640663993</stp>
        <tr r="I2036" s="2"/>
      </tp>
      <tp t="s">
        <v>#N/A Requesting Data...4092047268</v>
        <stp/>
        <stp>BDP|15888959326267091331</stp>
        <tr r="D1832" s="2"/>
      </tp>
      <tp t="s">
        <v>#N/A Requesting Data...3650865330</v>
        <stp/>
        <stp>BDP|12824507751549728169</stp>
        <tr r="K307" s="2"/>
      </tp>
      <tp t="s">
        <v>#N/A Requesting Data...3800301784</v>
        <stp/>
        <stp>BDP|13598157759079137406</stp>
        <tr r="D1639" s="2"/>
      </tp>
      <tp t="b">
        <v>0</v>
        <stp/>
        <stp>BDS|14018697392370295127</stp>
        <tr r="I1930" s="2"/>
      </tp>
      <tp t="s">
        <v>#N/A Requesting Data...3642284544</v>
        <stp/>
        <stp>BDP|13239383713123894893</stp>
        <tr r="C1441" s="2"/>
      </tp>
      <tp t="s">
        <v>#N/A Requesting Data...3607149041</v>
        <stp/>
        <stp>BDP|10860965704542388115</stp>
        <tr r="M41" s="2"/>
      </tp>
      <tp t="s">
        <v>#N/A Requesting Data...4003998948</v>
        <stp/>
        <stp>BDP|13904012061998166706</stp>
        <tr r="J315" s="2"/>
      </tp>
      <tp t="s">
        <v>#N/A Requesting Data...4073210604</v>
        <stp/>
        <stp>BDP|10194489349003032988</stp>
        <tr r="J1617" s="2"/>
      </tp>
      <tp t="s">
        <v>#N/A Requesting Data...4067954708</v>
        <stp/>
        <stp>BDP|13358992488329999136</stp>
        <tr r="G716" s="2"/>
      </tp>
      <tp t="s">
        <v>#N/A Requesting Data...4126871614</v>
        <stp/>
        <stp>BDP|16951107614999207571</stp>
        <tr r="E2126" s="2"/>
      </tp>
      <tp t="s">
        <v>#N/A Requesting Data...3976496967</v>
        <stp/>
        <stp>BDP|15910796255825901845</stp>
        <tr r="E2113" s="2"/>
      </tp>
      <tp t="s">
        <v>#N/A Requesting Data...4012162231</v>
        <stp/>
        <stp>BDP|17660188831668154764</stp>
        <tr r="S2014" s="2"/>
      </tp>
      <tp t="b">
        <v>0</v>
        <stp/>
        <stp>BDS|11523239119160031840</stp>
        <tr r="I2162" s="2"/>
      </tp>
      <tp t="s">
        <v>#N/A Requesting Data...4005145274</v>
        <stp/>
        <stp>BDP|17613468808180361937</stp>
        <tr r="D886" s="2"/>
      </tp>
      <tp t="s">
        <v>#N/A Requesting Data...4079089774</v>
        <stp/>
        <stp>BDP|13810252271565769938</stp>
        <tr r="G2123" s="2"/>
      </tp>
      <tp t="s">
        <v>#N/A Requesting Data...4071041742</v>
        <stp/>
        <stp>BDP|15049790406319781107</stp>
        <tr r="S1421" s="2"/>
      </tp>
      <tp t="s">
        <v>#N/A Requesting Data...3729932081</v>
        <stp/>
        <stp>BDP|16945489997908751999</stp>
        <tr r="G1657" s="2"/>
      </tp>
      <tp t="s">
        <v>#N/A Requesting Data...4192499188</v>
        <stp/>
        <stp>BDP|12706576416784715898</stp>
        <tr r="P788" s="2"/>
      </tp>
      <tp t="s">
        <v>#N/A Requesting Data...3849454442</v>
        <stp/>
        <stp>BDP|13040211145926960952</stp>
        <tr r="S401" s="2"/>
      </tp>
      <tp t="b">
        <v>0</v>
        <stp/>
        <stp>BDS|17857715970779784450</stp>
        <tr r="I1188" s="2"/>
      </tp>
      <tp t="s">
        <v>#N/A Requesting Data...3945151904</v>
        <stp/>
        <stp>BDP|15666162033094236998</stp>
        <tr r="J2090" s="2"/>
      </tp>
      <tp t="s">
        <v>#N/A Requesting Data...3669457099</v>
        <stp/>
        <stp>BDP|10267315169607681842</stp>
        <tr r="M1854" s="2"/>
      </tp>
      <tp t="b">
        <v>0</v>
        <stp/>
        <stp>BDS|11165312585842934270</stp>
        <tr r="I1031" s="2"/>
      </tp>
      <tp t="s">
        <v>#N/A Requesting Data...4114839669</v>
        <stp/>
        <stp>BDP|17516492804519016009</stp>
        <tr r="D169" s="2"/>
      </tp>
      <tp t="s">
        <v>#N/A Requesting Data...3742380093</v>
        <stp/>
        <stp>BDP|13599397330168557114</stp>
        <tr r="T1077" s="2"/>
      </tp>
      <tp t="s">
        <v>#N/A Requesting Data...3687345191</v>
        <stp/>
        <stp>BDP|13630084552704386876</stp>
        <tr r="O1734" s="2"/>
      </tp>
      <tp t="s">
        <v>#N/A Requesting Data...4051178396</v>
        <stp/>
        <stp>BDP|14219159502638417792</stp>
        <tr r="O1834" s="2"/>
      </tp>
      <tp t="s">
        <v>#N/A Requesting Data...3715026916</v>
        <stp/>
        <stp>BDP|10285838423941966132</stp>
        <tr r="F465" s="2"/>
      </tp>
      <tp t="b">
        <v>0</v>
        <stp/>
        <stp>BDS|16752836146457024798</stp>
        <tr r="I1025" s="2"/>
      </tp>
      <tp t="s">
        <v>#N/A Requesting Data...4287262437</v>
        <stp/>
        <stp>BDP|14831229180595350116</stp>
        <tr r="O577" s="2"/>
      </tp>
      <tp t="s">
        <v>#N/A Requesting Data...4053529577</v>
        <stp/>
        <stp>BDP|17484351265588877047</stp>
        <tr r="T2139" s="2"/>
      </tp>
      <tp t="s">
        <v>#N/A Requesting Data...4161924507</v>
        <stp/>
        <stp>BDP|11439080693274392644</stp>
        <tr r="G466" s="2"/>
      </tp>
      <tp t="s">
        <v>#N/A Requesting Data...4064723957</v>
        <stp/>
        <stp>BDP|10178085443397180935</stp>
        <tr r="M845" s="2"/>
      </tp>
      <tp t="b">
        <v>0</v>
        <stp/>
        <stp>BDS|16643076552130995916</stp>
        <tr r="I2315" s="2"/>
      </tp>
      <tp t="s">
        <v>#N/A Requesting Data...4193390224</v>
        <stp/>
        <stp>BDP|16443544361589805616</stp>
        <tr r="J1937" s="2"/>
      </tp>
      <tp t="s">
        <v>#N/A Requesting Data...3933312588</v>
        <stp/>
        <stp>BDP|14432645681805948509</stp>
        <tr r="J1969" s="2"/>
      </tp>
      <tp t="s">
        <v>#N/A Requesting Data...4040237218</v>
        <stp/>
        <stp>BDP|13935917149655972106</stp>
        <tr r="S1091" s="2"/>
      </tp>
      <tp t="s">
        <v>#N/A Requesting Data...4161374942</v>
        <stp/>
        <stp>BDP|16920755185645019612</stp>
        <tr r="G2004" s="2"/>
      </tp>
      <tp t="s">
        <v>#N/A Requesting Data...4198633936</v>
        <stp/>
        <stp>BDP|12703885576217566043</stp>
        <tr r="F2526" s="2"/>
      </tp>
      <tp t="s">
        <v>#N/A Requesting Data...4206090999</v>
        <stp/>
        <stp>BDP|10705617205138844430</stp>
        <tr r="K249" s="2"/>
      </tp>
      <tp t="s">
        <v>#N/A Requesting Data...4079968809</v>
        <stp/>
        <stp>BDP|15764323721416872844</stp>
        <tr r="E820" s="2"/>
      </tp>
      <tp t="s">
        <v>#N/A Requesting Data...4280186934</v>
        <stp/>
        <stp>BDP|10108458693230794782</stp>
        <tr r="P1388" s="2"/>
      </tp>
      <tp t="s">
        <v>#N/A Requesting Data...3722399176</v>
        <stp/>
        <stp>BDP|16933117091483560747</stp>
        <tr r="M2432" s="2"/>
      </tp>
      <tp t="s">
        <v>#N/A Requesting Data...4189947596</v>
        <stp/>
        <stp>BDP|14337732447229764484</stp>
        <tr r="N742" s="2"/>
      </tp>
      <tp t="s">
        <v>#N/A Requesting Data...3891372446</v>
        <stp/>
        <stp>BDP|14794138624639110497</stp>
        <tr r="C2413" s="2"/>
      </tp>
      <tp t="s">
        <v>#N/A Requesting Data...3794912174</v>
        <stp/>
        <stp>BDP|10333083573479523457</stp>
        <tr r="M1260" s="2"/>
      </tp>
      <tp t="s">
        <v>#N/A Requesting Data...4044439988</v>
        <stp/>
        <stp>BDP|13118489907154289941</stp>
        <tr r="D454" s="2"/>
      </tp>
      <tp t="s">
        <v>#N/A Requesting Data...3738100234</v>
        <stp/>
        <stp>BDP|10078414380760933607</stp>
        <tr r="G1064" s="2"/>
      </tp>
      <tp t="s">
        <v>#N/A Requesting Data...4163886075</v>
        <stp/>
        <stp>BDP|17618967680129945513</stp>
        <tr r="A2255" s="2"/>
      </tp>
      <tp t="s">
        <v>#N/A Requesting Data...4230974321</v>
        <stp/>
        <stp>BDP|13866514601739309535</stp>
        <tr r="R2214" s="2"/>
      </tp>
      <tp t="s">
        <v>#N/A Requesting Data...3777664609</v>
        <stp/>
        <stp>BDP|16371980092414255836</stp>
        <tr r="T19" s="2"/>
      </tp>
      <tp t="s">
        <v>#N/A Requesting Data...4246824403</v>
        <stp/>
        <stp>BDP|16683109211969616599</stp>
        <tr r="F1329" s="2"/>
      </tp>
      <tp t="s">
        <v>#N/A Requesting Data...4081465294</v>
        <stp/>
        <stp>BDP|17484547097966802776</stp>
        <tr r="P612" s="2"/>
      </tp>
      <tp t="s">
        <v>#N/A Requesting Data...3802268622</v>
        <stp/>
        <stp>BDP|10139000848119843796</stp>
        <tr r="A731" s="2"/>
      </tp>
      <tp t="s">
        <v>#N/A Requesting Data...3766977122</v>
        <stp/>
        <stp>BDP|17338881995049363553</stp>
        <tr r="N1488" s="2"/>
      </tp>
      <tp t="s">
        <v>#N/A Requesting Data...4167849455</v>
        <stp/>
        <stp>BDP|11875834195529377356</stp>
        <tr r="K1937" s="2"/>
      </tp>
      <tp t="s">
        <v>#N/A Requesting Data...3943247516</v>
        <stp/>
        <stp>BDP|13170599132986147935</stp>
        <tr r="E1861" s="2"/>
      </tp>
      <tp t="s">
        <v>#N/A Requesting Data...3816720688</v>
        <stp/>
        <stp>BDP|17953320077329458005</stp>
        <tr r="E1956" s="2"/>
      </tp>
      <tp t="s">
        <v>#N/A Requesting Data...4122688218</v>
        <stp/>
        <stp>BDP|12068806372285229286</stp>
        <tr r="N1019" s="2"/>
      </tp>
      <tp t="s">
        <v>#N/A Requesting Data...4042636986</v>
        <stp/>
        <stp>BDP|14802673275246305917</stp>
        <tr r="H1328" s="2"/>
      </tp>
      <tp t="s">
        <v>#N/A Requesting Data...4007794185</v>
        <stp/>
        <stp>BDP|15451126597050111787</stp>
        <tr r="R256" s="2"/>
      </tp>
      <tp t="s">
        <v>#N/A Requesting Data...4287770642</v>
        <stp/>
        <stp>BDP|15948871125731055433</stp>
        <tr r="E284" s="2"/>
      </tp>
      <tp t="s">
        <v>#N/A Requesting Data...3906086462</v>
        <stp/>
        <stp>BDP|10654802939206276756</stp>
        <tr r="N262" s="2"/>
      </tp>
      <tp t="s">
        <v>#N/A Requesting Data...4173412262</v>
        <stp/>
        <stp>BDP|11794190067805530946</stp>
        <tr r="J553" s="2"/>
      </tp>
      <tp t="s">
        <v>#N/A Requesting Data...4170391003</v>
        <stp/>
        <stp>BDP|11377903637465410485</stp>
        <tr r="F875" s="2"/>
      </tp>
      <tp t="s">
        <v>#N/A Requesting Data...3991205102</v>
        <stp/>
        <stp>BDP|13090919827295847762</stp>
        <tr r="C773" s="2"/>
      </tp>
      <tp t="s">
        <v>#N/A Requesting Data...3869107126</v>
        <stp/>
        <stp>BDP|18024186507023467009</stp>
        <tr r="O608" s="2"/>
      </tp>
      <tp t="s">
        <v>#N/A Requesting Data...3812953156</v>
        <stp/>
        <stp>BDP|10874530387251694617</stp>
        <tr r="O526" s="2"/>
      </tp>
      <tp t="s">
        <v>#N/A Requesting Data...4284876017</v>
        <stp/>
        <stp>BDP|14718198385226656164</stp>
        <tr r="Q624" s="2"/>
      </tp>
      <tp t="s">
        <v>#N/A Requesting Data...3958778144</v>
        <stp/>
        <stp>BDP|16525812505492990637</stp>
        <tr r="D1200" s="2"/>
      </tp>
      <tp t="s">
        <v>#N/A Requesting Data...4014747738</v>
        <stp/>
        <stp>BDP|12654289121081036945</stp>
        <tr r="G2268" s="2"/>
      </tp>
      <tp t="s">
        <v>#N/A Requesting Data...3830666920</v>
        <stp/>
        <stp>BDP|15591458952937941906</stp>
        <tr r="J1972" s="2"/>
      </tp>
      <tp t="s">
        <v>#N/A Requesting Data...3966099653</v>
        <stp/>
        <stp>BDP|18365061918892664103</stp>
        <tr r="D2020" s="2"/>
      </tp>
      <tp t="s">
        <v>#N/A Requesting Data...3911768022</v>
        <stp/>
        <stp>BDP|15193871548207505403</stp>
        <tr r="S571" s="2"/>
      </tp>
      <tp t="s">
        <v>#N/A Requesting Data...3996712119</v>
        <stp/>
        <stp>BDP|17107667084836817507</stp>
        <tr r="D2113" s="2"/>
      </tp>
      <tp t="s">
        <v>#N/A Requesting Data...4068621938</v>
        <stp/>
        <stp>BDP|16605971271127889530</stp>
        <tr r="M60" s="2"/>
      </tp>
      <tp t="b">
        <v>0</v>
        <stp/>
        <stp>BDS|10735896933841013054</stp>
        <tr r="I1394" s="2"/>
      </tp>
      <tp t="s">
        <v>#N/A Requesting Data...4063909377</v>
        <stp/>
        <stp>BDP|12476696857389684272</stp>
        <tr r="A1706" s="2"/>
      </tp>
      <tp t="s">
        <v>#N/A Requesting Data...4001741773</v>
        <stp/>
        <stp>BDP|12155631298920970785</stp>
        <tr r="F423" s="2"/>
      </tp>
      <tp t="s">
        <v>#N/A Requesting Data...4025002401</v>
        <stp/>
        <stp>BDP|13598032468638769724</stp>
        <tr r="R959" s="2"/>
      </tp>
      <tp t="s">
        <v>#N/A Requesting Data...3990061746</v>
        <stp/>
        <stp>BDP|10493106965978311599</stp>
        <tr r="J240" s="2"/>
      </tp>
      <tp t="s">
        <v>#N/A Requesting Data...3910692527</v>
        <stp/>
        <stp>BDP|17129888364673241046</stp>
        <tr r="J178" s="2"/>
      </tp>
      <tp t="s">
        <v>#N/A Requesting Data...4169710094</v>
        <stp/>
        <stp>BDP|11045334487119973968</stp>
        <tr r="Q2021" s="2"/>
      </tp>
      <tp t="s">
        <v>#N/A Requesting Data...4255552414</v>
        <stp/>
        <stp>BDP|17997952422696509003</stp>
        <tr r="J774" s="2"/>
      </tp>
      <tp t="s">
        <v>#N/A Requesting Data...4081106248</v>
        <stp/>
        <stp>BDP|11781696905195518853</stp>
        <tr r="J251" s="2"/>
      </tp>
      <tp t="s">
        <v>#N/A Requesting Data...4157964402</v>
        <stp/>
        <stp>BDP|12045988510489349901</stp>
        <tr r="T1345" s="2"/>
      </tp>
      <tp t="s">
        <v>#N/A Requesting Data...4221485262</v>
        <stp/>
        <stp>BDP|16122217455609697287</stp>
        <tr r="K399" s="2"/>
      </tp>
      <tp t="s">
        <v>#N/A Requesting Data...3893785675</v>
        <stp/>
        <stp>BDP|12309469779442093978</stp>
        <tr r="D1195" s="2"/>
      </tp>
      <tp t="s">
        <v>#N/A Requesting Data...3937157374</v>
        <stp/>
        <stp>BDP|17550642110418869229</stp>
        <tr r="G2133" s="2"/>
      </tp>
      <tp t="s">
        <v>#N/A Requesting Data...4010388065</v>
        <stp/>
        <stp>BDP|13259477443868553183</stp>
        <tr r="G27" s="2"/>
      </tp>
      <tp t="s">
        <v>#N/A Requesting Data...4183779725</v>
        <stp/>
        <stp>BDP|12727070908831736945</stp>
        <tr r="Q764" s="2"/>
      </tp>
      <tp t="s">
        <v>#N/A Requesting Data...4213831198</v>
        <stp/>
        <stp>BDP|11824908366601660536</stp>
        <tr r="G1135" s="2"/>
      </tp>
      <tp t="s">
        <v>#N/A Requesting Data...4045969013</v>
        <stp/>
        <stp>BDP|17315900574833434086</stp>
        <tr r="P760" s="2"/>
      </tp>
      <tp t="s">
        <v>#N/A Requesting Data...4110509603</v>
        <stp/>
        <stp>BDP|11372583784954731232</stp>
        <tr r="J901" s="2"/>
      </tp>
      <tp t="s">
        <v>#N/A Requesting Data...4030866043</v>
        <stp/>
        <stp>BDP|14459299576879022205</stp>
        <tr r="A1889" s="2"/>
      </tp>
      <tp t="s">
        <v>#N/A Requesting Data...3870019576</v>
        <stp/>
        <stp>BDP|14722913945384929713</stp>
        <tr r="E73" s="2"/>
      </tp>
      <tp t="s">
        <v>#N/A Requesting Data...4261071066</v>
        <stp/>
        <stp>BDP|13737161201370917823</stp>
        <tr r="R1931" s="2"/>
      </tp>
      <tp t="s">
        <v>#N/A Requesting Data...4070218632</v>
        <stp/>
        <stp>BDP|14738949105094887351</stp>
        <tr r="O998" s="2"/>
      </tp>
      <tp t="s">
        <v>#N/A Requesting Data...4057953026</v>
        <stp/>
        <stp>BDP|18410413113316923140</stp>
        <tr r="T438" s="2"/>
      </tp>
      <tp t="s">
        <v>#N/A Requesting Data...4133188315</v>
        <stp/>
        <stp>BDP|16100126555408816051</stp>
        <tr r="P2014" s="2"/>
      </tp>
      <tp t="s">
        <v>#N/A Requesting Data...4031998649</v>
        <stp/>
        <stp>BDP|11084091590571743359</stp>
        <tr r="C966" s="2"/>
      </tp>
      <tp t="s">
        <v>#N/A Requesting Data...3992636196</v>
        <stp/>
        <stp>BDP|10257852008601473307</stp>
        <tr r="M848" s="2"/>
      </tp>
      <tp t="s">
        <v>#N/A Requesting Data...3963029420</v>
        <stp/>
        <stp>BDP|14130489308963267984</stp>
        <tr r="J507" s="2"/>
      </tp>
      <tp t="s">
        <v>#N/A Requesting Data...4078879008</v>
        <stp/>
        <stp>BDP|12938299581677296585</stp>
        <tr r="S1258" s="2"/>
      </tp>
      <tp t="s">
        <v>#N/A Requesting Data...4143847502</v>
        <stp/>
        <stp>BDP|16728703367109202490</stp>
        <tr r="C1209" s="2"/>
      </tp>
      <tp t="s">
        <v>#N/A Requesting Data...4282262472</v>
        <stp/>
        <stp>BDP|12262680994483365464</stp>
        <tr r="D802" s="2"/>
      </tp>
      <tp t="s">
        <v>#N/A Requesting Data...4289629073</v>
        <stp/>
        <stp>BDP|17535137589617077345</stp>
        <tr r="R1300" s="2"/>
      </tp>
      <tp t="s">
        <v>#N/A Requesting Data...4063174162</v>
        <stp/>
        <stp>BDP|10145987762664345131</stp>
        <tr r="M1892" s="2"/>
      </tp>
      <tp t="s">
        <v>#N/A Requesting Data...3975812871</v>
        <stp/>
        <stp>BDP|12803566775519475344</stp>
        <tr r="A2405" s="2"/>
      </tp>
      <tp t="s">
        <v>#N/A Requesting Data...3943238628</v>
        <stp/>
        <stp>BDP|14825791292987151798</stp>
        <tr r="S2264" s="2"/>
      </tp>
      <tp t="s">
        <v>#N/A Requesting Data...3919729436</v>
        <stp/>
        <stp>BDP|15978857743582019143</stp>
        <tr r="J2381" s="2"/>
      </tp>
      <tp t="s">
        <v>#N/A Requesting Data...4283843117</v>
        <stp/>
        <stp>BDP|18429704864496836536</stp>
        <tr r="R375" s="2"/>
      </tp>
      <tp t="s">
        <v>#N/A Requesting Data...4054484952</v>
        <stp/>
        <stp>BDP|12216982320732856196</stp>
        <tr r="G349" s="2"/>
      </tp>
      <tp t="s">
        <v>#N/A Requesting Data...3923565074</v>
        <stp/>
        <stp>BDP|16626990052008104875</stp>
        <tr r="G1068" s="2"/>
      </tp>
      <tp t="s">
        <v>#N/A Requesting Data...4157483853</v>
        <stp/>
        <stp>BDP|13296908739790313331</stp>
        <tr r="J1291" s="2"/>
      </tp>
      <tp t="s">
        <v>#N/A Requesting Data...3995435267</v>
        <stp/>
        <stp>BDP|11139917140685264392</stp>
        <tr r="C596" s="2"/>
      </tp>
      <tp t="s">
        <v>#N/A Requesting Data...4023280332</v>
        <stp/>
        <stp>BDP|15205405559226583859</stp>
        <tr r="E639" s="2"/>
      </tp>
      <tp t="s">
        <v>#N/A Requesting Data...4070378210</v>
        <stp/>
        <stp>BDP|12395309539459250134</stp>
        <tr r="G2418" s="2"/>
      </tp>
      <tp t="s">
        <v>#N/A Requesting Data...4112151331</v>
        <stp/>
        <stp>BDP|12707197925682610965</stp>
        <tr r="R87" s="2"/>
      </tp>
      <tp t="s">
        <v>#N/A Requesting Data...4100617474</v>
        <stp/>
        <stp>BDP|13539014008689067072</stp>
        <tr r="T1663" s="2"/>
      </tp>
      <tp t="b">
        <v>0</v>
        <stp/>
        <stp>BDS|18026714249125566454</stp>
        <tr r="I1638" s="2"/>
      </tp>
      <tp t="s">
        <v>#N/A Requesting Data...4284134261</v>
        <stp/>
        <stp>BDP|18104737552245801531</stp>
        <tr r="D1517" s="2"/>
      </tp>
      <tp t="s">
        <v>#N/A Requesting Data...3999549800</v>
        <stp/>
        <stp>BDP|14916693028469003332</stp>
        <tr r="M1006" s="2"/>
      </tp>
      <tp t="s">
        <v>#N/A Requesting Data...4015931510</v>
        <stp/>
        <stp>BDP|12535594627588316728</stp>
        <tr r="R2372" s="2"/>
      </tp>
      <tp t="s">
        <v>#N/A Requesting Data...4280653355</v>
        <stp/>
        <stp>BDP|14044437801338984213</stp>
        <tr r="C1949" s="2"/>
      </tp>
      <tp t="s">
        <v>#N/A Requesting Data...4219836265</v>
        <stp/>
        <stp>BDP|11549279278049359733</stp>
        <tr r="A456" s="2"/>
      </tp>
      <tp t="s">
        <v>#N/A Requesting Data...3972855040</v>
        <stp/>
        <stp>BDP|15998501345958024669</stp>
        <tr r="F178" s="2"/>
      </tp>
      <tp t="s">
        <v>#N/A Requesting Data...4262480417</v>
        <stp/>
        <stp>BDP|15359383732939629657</stp>
        <tr r="P1200" s="2"/>
      </tp>
      <tp t="s">
        <v>#N/A Requesting Data...4210768474</v>
        <stp/>
        <stp>BDP|15337666585865312496</stp>
        <tr r="K140" s="2"/>
      </tp>
      <tp t="s">
        <v>#N/A Requesting Data...4010187755</v>
        <stp/>
        <stp>BDP|10191184064675205851</stp>
        <tr r="H1778" s="2"/>
      </tp>
      <tp t="s">
        <v>#N/A Requesting Data...4066104642</v>
        <stp/>
        <stp>BDP|11914418785237173066</stp>
        <tr r="E1160" s="2"/>
      </tp>
      <tp t="b">
        <v>0</v>
        <stp/>
        <stp>BDS|16941114674392734829</stp>
        <tr r="I2010" s="2"/>
      </tp>
      <tp t="s">
        <v>#N/A Requesting Data...4025003103</v>
        <stp/>
        <stp>BDP|11253029952046163892</stp>
        <tr r="R940" s="2"/>
      </tp>
      <tp t="s">
        <v>#N/A Requesting Data...4186196896</v>
        <stp/>
        <stp>BDP|17982604870759643557</stp>
        <tr r="E1003" s="2"/>
      </tp>
      <tp t="s">
        <v>#N/A Requesting Data...4037141702</v>
        <stp/>
        <stp>BDP|15282891933314125030</stp>
        <tr r="P536" s="2"/>
      </tp>
      <tp t="s">
        <v>#N/A Requesting Data...4057168305</v>
        <stp/>
        <stp>BDP|17768199183405043177</stp>
        <tr r="Q1971" s="2"/>
      </tp>
      <tp t="s">
        <v>#N/A Requesting Data...4109352664</v>
        <stp/>
        <stp>BDP|18334574463206995744</stp>
        <tr r="C999" s="2"/>
      </tp>
      <tp t="s">
        <v>#N/A Requesting Data...4168717791</v>
        <stp/>
        <stp>BDP|15851213012968737464</stp>
        <tr r="Q970" s="2"/>
      </tp>
      <tp t="s">
        <v>#N/A Requesting Data...4220202337</v>
        <stp/>
        <stp>BDP|14664522849358713709</stp>
        <tr r="E446" s="2"/>
      </tp>
      <tp t="s">
        <v>#N/A Requesting Data...4023478160</v>
        <stp/>
        <stp>BDP|12599313166758039581</stp>
        <tr r="P1811" s="2"/>
      </tp>
      <tp t="s">
        <v>#N/A Requesting Data...4032711093</v>
        <stp/>
        <stp>BDP|17862432285757691625</stp>
        <tr r="R1653" s="2"/>
      </tp>
      <tp t="s">
        <v>#N/A Requesting Data...4228926089</v>
        <stp/>
        <stp>BDP|15293716690207866615</stp>
        <tr r="N1322" s="2"/>
      </tp>
      <tp t="s">
        <v>#N/A Requesting Data...4182672067</v>
        <stp/>
        <stp>BDP|10832089838668211101</stp>
        <tr r="P1953" s="2"/>
      </tp>
      <tp t="s">
        <v>#N/A Requesting Data...4006320289</v>
        <stp/>
        <stp>BDP|13287236853349024783</stp>
        <tr r="Q649" s="2"/>
      </tp>
      <tp t="s">
        <v>#N/A Requesting Data...4073440220</v>
        <stp/>
        <stp>BDP|14303973933024586087</stp>
        <tr r="O761" s="2"/>
      </tp>
      <tp t="s">
        <v>#N/A Requesting Data...4047923059</v>
        <stp/>
        <stp>BDP|18087688937866241170</stp>
        <tr r="D1778" s="2"/>
      </tp>
      <tp t="s">
        <v>#N/A Requesting Data...4253052538</v>
        <stp/>
        <stp>BDP|16736700487030379398</stp>
        <tr r="K1319" s="2"/>
      </tp>
      <tp t="s">
        <v>#N/A Requesting Data...4224770338</v>
        <stp/>
        <stp>BDP|15668882715857911181</stp>
        <tr r="M499" s="2"/>
      </tp>
      <tp t="s">
        <v>#N/A Requesting Data...4237607960</v>
        <stp/>
        <stp>BDP|17943469996729453973</stp>
        <tr r="M1058" s="2"/>
      </tp>
      <tp t="s">
        <v>#N/A Requesting Data...4040262176</v>
        <stp/>
        <stp>BDP|14501878199159351620</stp>
        <tr r="R1825" s="2"/>
      </tp>
      <tp t="s">
        <v>#N/A Requesting Data...4103088098</v>
        <stp/>
        <stp>BDP|12673247736148950178</stp>
        <tr r="J2475" s="2"/>
      </tp>
      <tp t="s">
        <v>#N/A Requesting Data...4278629176</v>
        <stp/>
        <stp>BDP|14791558736038618083</stp>
        <tr r="O1790" s="2"/>
      </tp>
      <tp t="s">
        <v>#N/A Requesting Data...4054745964</v>
        <stp/>
        <stp>BDP|15684512121129809148</stp>
        <tr r="P220" s="2"/>
      </tp>
      <tp t="s">
        <v>#N/A Requesting Data...4250523393</v>
        <stp/>
        <stp>BDP|12980429782340018430</stp>
        <tr r="M762" s="2"/>
      </tp>
      <tp t="s">
        <v>#N/A Requesting Data...4175640372</v>
        <stp/>
        <stp>BDP|13755242767604928970</stp>
        <tr r="Q201" s="2"/>
      </tp>
      <tp t="s">
        <v>#N/A Requesting Data...4161116244</v>
        <stp/>
        <stp>BDP|10421913368441407436</stp>
        <tr r="Q356" s="2"/>
      </tp>
      <tp t="s">
        <v>#N/A Requesting Data...4191197604</v>
        <stp/>
        <stp>BDP|16931958175435552769</stp>
        <tr r="Q1844" s="2"/>
      </tp>
      <tp t="s">
        <v>#N/A Requesting Data...4057457828</v>
        <stp/>
        <stp>BDP|16163392076150544812</stp>
        <tr r="E683" s="2"/>
      </tp>
      <tp t="b">
        <v>0</v>
        <stp/>
        <stp>BDS|17707933929030476606</stp>
        <tr r="I275" s="2"/>
      </tp>
      <tp t="s">
        <v>#N/A Requesting Data...4137679431</v>
        <stp/>
        <stp>BDP|12760075179267532860</stp>
        <tr r="N1757" s="2"/>
      </tp>
      <tp t="s">
        <v>#N/A Requesting Data...4049126637</v>
        <stp/>
        <stp>BDP|11703982615673736075</stp>
        <tr r="M2205" s="2"/>
      </tp>
      <tp t="s">
        <v>#N/A Requesting Data...4142793415</v>
        <stp/>
        <stp>BDP|14755153261341944803</stp>
        <tr r="M1419" s="2"/>
      </tp>
      <tp t="s">
        <v>#N/A Requesting Data...4243508311</v>
        <stp/>
        <stp>BDP|18254003002451876327</stp>
        <tr r="F341" s="2"/>
      </tp>
      <tp t="s">
        <v>#N/A Requesting Data...4097704917</v>
        <stp/>
        <stp>BDP|13999257401649528228</stp>
        <tr r="H2148" s="2"/>
      </tp>
      <tp t="s">
        <v>#N/A Requesting Data...4148819424</v>
        <stp/>
        <stp>BDP|17764208380552882551</stp>
        <tr r="K2325" s="2"/>
      </tp>
      <tp t="s">
        <v>#N/A Requesting Data...4175217597</v>
        <stp/>
        <stp>BDP|11022604997997981345</stp>
        <tr r="O1292" s="2"/>
      </tp>
      <tp t="s">
        <v>#N/A Requesting Data...4262800360</v>
        <stp/>
        <stp>BDP|12124097995814554529</stp>
        <tr r="T2107" s="2"/>
      </tp>
      <tp t="s">
        <v>#N/A Requesting Data...4184491960</v>
        <stp/>
        <stp>BDP|14963921943414421760</stp>
        <tr r="K153" s="2"/>
      </tp>
      <tp t="s">
        <v>#N/A Requesting Data...4197955842</v>
        <stp/>
        <stp>BDP|14229680284469268961</stp>
        <tr r="H30" s="2"/>
      </tp>
      <tp t="s">
        <v>#N/A Requesting Data...4290116696</v>
        <stp/>
        <stp>BDP|16164172769042256970</stp>
        <tr r="K2088" s="2"/>
      </tp>
      <tp t="s">
        <v>#N/A Requesting Data...4135351444</v>
        <stp/>
        <stp>BDP|15535785284152740242</stp>
        <tr r="M1227" s="2"/>
      </tp>
      <tp t="s">
        <v>#N/A Requesting Data...4188459327</v>
        <stp/>
        <stp>BDP|12651960314698834860</stp>
        <tr r="A2102" s="2"/>
      </tp>
      <tp t="b">
        <v>0</v>
        <stp/>
        <stp>BDS|15899230005018086571</stp>
        <tr r="I874" s="2"/>
      </tp>
      <tp t="s">
        <v>#N/A Requesting Data...4184668861</v>
        <stp/>
        <stp>BDP|14619804212584747394</stp>
        <tr r="H1855" s="2"/>
      </tp>
      <tp t="s">
        <v>#N/A Requesting Data...4177964451</v>
        <stp/>
        <stp>BDP|17553225360671813857</stp>
        <tr r="E721" s="2"/>
      </tp>
      <tp t="s">
        <v>#N/A Requesting Data...4237990471</v>
        <stp/>
        <stp>BDP|14718832805290871631</stp>
        <tr r="C552" s="2"/>
      </tp>
      <tp t="s">
        <v>#N/A Requesting Data...4209562010</v>
        <stp/>
        <stp>BDP|16842170584511271431</stp>
        <tr r="R2001" s="2"/>
      </tp>
      <tp t="s">
        <v>#N/A Requesting Data...4121463930</v>
        <stp/>
        <stp>BDP|16868646789206678492</stp>
        <tr r="C890" s="2"/>
      </tp>
      <tp t="s">
        <v>#N/A Requesting Data...4128306178</v>
        <stp/>
        <stp>BDP|13876356203712723833</stp>
        <tr r="H1651" s="2"/>
      </tp>
      <tp t="s">
        <v>#N/A Requesting Data...4150497103</v>
        <stp/>
        <stp>BDP|10848970577117010322</stp>
        <tr r="K292" s="2"/>
      </tp>
      <tp t="s">
        <v>#N/A Requesting Data...4182775080</v>
        <stp/>
        <stp>BDP|11617666433426155880</stp>
        <tr r="O1538" s="2"/>
      </tp>
      <tp t="s">
        <v>#N/A Requesting Data...4215963256</v>
        <stp/>
        <stp>BDP|10932744811495565933</stp>
        <tr r="N1360" s="2"/>
      </tp>
      <tp t="s">
        <v>#N/A Requesting Data...4186305183</v>
        <stp/>
        <stp>BDP|10834497465300930872</stp>
        <tr r="J1572" s="2"/>
      </tp>
      <tp t="s">
        <v>#N/A Requesting Data...4223927342</v>
        <stp/>
        <stp>BDP|17290696783925468665</stp>
        <tr r="M1119" s="2"/>
      </tp>
      <tp t="s">
        <v>#N/A Requesting Data...4194436552</v>
        <stp/>
        <stp>BDP|16807531896673563324</stp>
        <tr r="K1177" s="2"/>
      </tp>
      <tp t="s">
        <v>#N/A Requesting Data...4289314203</v>
        <stp/>
        <stp>BDP|15539957154577952470</stp>
        <tr r="P875" s="2"/>
      </tp>
      <tp t="s">
        <v>#N/A Requesting Data...4203193405</v>
        <stp/>
        <stp>BDP|15525737600211571994</stp>
        <tr r="G77" s="2"/>
      </tp>
      <tp t="s">
        <v>#N/A Requesting Data...4294181373</v>
        <stp/>
        <stp>BDP|15735323444608372085</stp>
        <tr r="K2118" s="2"/>
      </tp>
      <tp t="s">
        <v>#N/A Requesting Data...4291917405</v>
        <stp/>
        <stp>BDP|15309989638555706097</stp>
        <tr r="F1614" s="2"/>
      </tp>
      <tp t="s">
        <v>#N/A Requesting Data...4191182352</v>
        <stp/>
        <stp>BDP|18342521064077969618</stp>
        <tr r="T562" s="2"/>
      </tp>
      <tp t="s">
        <v>#N/A Requesting Data...4265201727</v>
        <stp/>
        <stp>BDP|15288755470946391996</stp>
        <tr r="G362" s="2"/>
      </tp>
      <tp t="b">
        <v>0</v>
        <stp/>
        <stp>BDS|14337897517471380603</stp>
        <tr r="I1366" s="2"/>
      </tp>
      <tp t="s">
        <v>#N/A Requesting Data...4163172734</v>
        <stp/>
        <stp>BDP|12046588597101145532</stp>
        <tr r="Q1642" s="2"/>
      </tp>
      <tp t="s">
        <v>#N/A Requesting Data...4252423676</v>
        <stp/>
        <stp>BDP|13327208161409960463</stp>
        <tr r="N142" s="2"/>
      </tp>
      <tp t="s">
        <v>#N/A Requesting Data...4149182178</v>
        <stp/>
        <stp>BDP|17492877649802055378</stp>
        <tr r="R2231" s="2"/>
      </tp>
      <tp t="s">
        <v>#N/A Requesting Data...4207325246</v>
        <stp/>
        <stp>BDP|16121936321343796495</stp>
        <tr r="J1668" s="2"/>
      </tp>
      <tp t="s">
        <v>#N/A Requesting Data...4170289820</v>
        <stp/>
        <stp>BDP|15743381661729414378</stp>
        <tr r="O1439" s="2"/>
      </tp>
      <tp t="s">
        <v>#N/A Requesting Data...4161524257</v>
        <stp/>
        <stp>BDP|17674238019088633676</stp>
        <tr r="T1396" s="2"/>
      </tp>
      <tp t="s">
        <v>#N/A Requesting Data...4172785543</v>
        <stp/>
        <stp>BDP|18078078944006718094</stp>
        <tr r="R356" s="2"/>
      </tp>
      <tp t="s">
        <v>#N/A Requesting Data...4211461985</v>
        <stp/>
        <stp>BDP|14153943209765882293</stp>
        <tr r="M669" s="2"/>
      </tp>
      <tp t="s">
        <v>#N/A Requesting Data...4209451030</v>
        <stp/>
        <stp>BDP|14457736088244484563</stp>
        <tr r="A1578" s="2"/>
      </tp>
      <tp t="s">
        <v>#N/A Requesting Data...4216695692</v>
        <stp/>
        <stp>BDP|12934968943100368525</stp>
        <tr r="T365" s="2"/>
      </tp>
      <tp t="s">
        <v>#N/A Requesting Data...4278467122</v>
        <stp/>
        <stp>BDP|17305397360260547828</stp>
        <tr r="N830" s="2"/>
      </tp>
      <tp t="s">
        <v>#N/A Requesting Data...4249135689</v>
        <stp/>
        <stp>BDP|15136423339309497133</stp>
        <tr r="K1193" s="2"/>
      </tp>
      <tp t="s">
        <v>#N/A Requesting Data...4268501971</v>
        <stp/>
        <stp>BDP|10989100246376220901</stp>
        <tr r="M1657" s="2"/>
      </tp>
      <tp t="s">
        <v>#N/A Requesting Data...4210731524</v>
        <stp/>
        <stp>BDP|17609834518224860088</stp>
        <tr r="C529" s="2"/>
      </tp>
      <tp t="s">
        <v>#N/A Requesting Data...4280360492</v>
        <stp/>
        <stp>BDP|15958611391820702034</stp>
        <tr r="Q256" s="2"/>
      </tp>
      <tp t="s">
        <v>#N/A Requesting Data...4277328387</v>
        <stp/>
        <stp>BDP|12188194483439125872</stp>
        <tr r="H497" s="2"/>
      </tp>
      <tp t="s">
        <v>#N/A Requesting Data...4241379539</v>
        <stp/>
        <stp>BDP|15570502589662822099</stp>
        <tr r="N530" s="2"/>
      </tp>
      <tp t="s">
        <v>#N/A Requesting Data...4217187441</v>
        <stp/>
        <stp>BDP|14644757199261480131</stp>
        <tr r="A2253" s="2"/>
      </tp>
      <tp t="s">
        <v>#N/A Requesting Data...4189028846</v>
        <stp/>
        <stp>BDP|12437906801700047189</stp>
        <tr r="M301" s="2"/>
      </tp>
      <tp t="s">
        <v>#N/A Requesting Data...4253024858</v>
        <stp/>
        <stp>BDP|18035542302382895534</stp>
        <tr r="F1307" s="2"/>
      </tp>
      <tp t="b">
        <v>0</v>
        <stp/>
        <stp>BDS|12460157691172795296</stp>
        <tr r="I949" s="2"/>
      </tp>
      <tp t="s">
        <v>#N/A Requesting Data...4226582016</v>
        <stp/>
        <stp>BDP|15170454342878854731</stp>
        <tr r="K1592" s="2"/>
      </tp>
      <tp t="s">
        <v>#N/A Requesting Data...4275837324</v>
        <stp/>
        <stp>BDP|16293144897117468385</stp>
        <tr r="Q2422" s="2"/>
      </tp>
      <tp t="s">
        <v>#N/A Requesting Data...4262010061</v>
        <stp/>
        <stp>BDP|11603663825229994616</stp>
        <tr r="A362" s="2"/>
      </tp>
      <tp t="s">
        <v>#N/A Requesting Data...4252612432</v>
        <stp/>
        <stp>BDP|15395916274521338087</stp>
        <tr r="O520" s="2"/>
      </tp>
      <tp t="s">
        <v>#N/A Requesting Data...4250220483</v>
        <stp/>
        <stp>BDP|13750878463835699282</stp>
        <tr r="M2166" s="2"/>
      </tp>
      <tp t="s">
        <v>#N/A Requesting Data...4222026801</v>
        <stp/>
        <stp>BDP|11085646823596220987</stp>
        <tr r="T735" s="2"/>
      </tp>
      <tp t="b">
        <v>0</v>
        <stp/>
        <stp>BDS|16134818414974984134</stp>
        <tr r="I667" s="2"/>
      </tp>
      <tp t="s">
        <v>#N/A Requesting Data...4233217016</v>
        <stp/>
        <stp>BDP|11765424356122796894</stp>
        <tr r="H584" s="2"/>
      </tp>
      <tp t="s">
        <v>#N/A Requesting Data...4269228295</v>
        <stp/>
        <stp>BDP|13890584497536205386</stp>
        <tr r="A12" s="2"/>
      </tp>
      <tp t="s">
        <v>#N/A Requesting Data...4229156970</v>
        <stp/>
        <stp>BDP|16685940446448007992</stp>
        <tr r="O1250" s="2"/>
      </tp>
      <tp t="b">
        <v>0</v>
        <stp/>
        <stp>BDS|10048485200306287847</stp>
        <tr r="I384" s="2"/>
      </tp>
      <tp t="s">
        <v>#N/A Requesting Data...4277580144</v>
        <stp/>
        <stp>BDP|12810935812062517218</stp>
        <tr r="E1393" s="2"/>
      </tp>
      <tp t="s">
        <v>#N/A Requesting Data...4279801680</v>
        <stp/>
        <stp>BDP|10232190180841422225</stp>
        <tr r="T1360" s="2"/>
      </tp>
      <tp t="s">
        <v>#N/A Requesting Data...4270767261</v>
        <stp/>
        <stp>BDP|11218273507198670198</stp>
        <tr r="E416" s="2"/>
      </tp>
      <tp t="s">
        <v>#N/A Requesting Data...4269425737</v>
        <stp/>
        <stp>BDP|17541438442145000891</stp>
        <tr r="R517" s="2"/>
      </tp>
      <tp t="s">
        <v>#N/A Requesting Data...4240569088</v>
        <stp/>
        <stp>BDP|16597428474316661988</stp>
        <tr r="S712" s="2"/>
      </tp>
      <tp t="s">
        <v>#N/A Requesting Data...4273027819</v>
        <stp/>
        <stp>BDP|12751862429937714523</stp>
        <tr r="M1410" s="2"/>
      </tp>
      <tp t="s">
        <v>#N/A Requesting Data...4277293935</v>
        <stp/>
        <stp>BDP|16586176461828922378</stp>
        <tr r="H684" s="2"/>
      </tp>
      <tp t="s">
        <v>#N/A Requesting Data...4283222761</v>
        <stp/>
        <stp>BDP|16078236178818424128</stp>
        <tr r="C899" s="2"/>
      </tp>
      <tp t="s">
        <v>#N/A Requesting Data...4271011392</v>
        <stp/>
        <stp>BDP|11115945439848292936</stp>
        <tr r="D2000" s="2"/>
      </tp>
      <tp t="s">
        <v>#N/A Requesting Data...4293066346</v>
        <stp/>
        <stp>BDP|15777631016659955166</stp>
        <tr r="K63" s="2"/>
      </tp>
      <tp t="s">
        <v>#N/A Requesting Data...4265656251</v>
        <stp/>
        <stp>BDP|15521046138304441800</stp>
        <tr r="N1946" s="2"/>
      </tp>
      <tp t="s">
        <v>#N/A Requesting Data...4291397365</v>
        <stp/>
        <stp>BDP|15656990587517362965</stp>
        <tr r="N2071" s="2"/>
      </tp>
      <tp t="s">
        <v>#N/A Requesting Data...4284726321</v>
        <stp/>
        <stp>BDP|13509843505763126284</stp>
        <tr r="H1785" s="2"/>
      </tp>
      <tp t="s">
        <v>#N/A Requesting Data...4279311904</v>
        <stp/>
        <stp>BDP|12025876119085672451</stp>
        <tr r="K1634" s="2"/>
      </tp>
      <tp t="s">
        <v>#N/A Requesting Data...4278170201</v>
        <stp/>
        <stp>BDP|10653340588143319247</stp>
        <tr r="M326" s="2"/>
      </tp>
      <tp t="s">
        <v>#N/A Requesting Data...4282658144</v>
        <stp/>
        <stp>BDP|16179825801086982268</stp>
        <tr r="T1713" s="2"/>
      </tp>
      <tp t="s">
        <v>#N/A Requesting Data...4278032520</v>
        <stp/>
        <stp>BDP|10115421733164567985</stp>
        <tr r="O2333" s="2"/>
      </tp>
      <tp t="s">
        <v>#N/A Requesting Data...4287759106</v>
        <stp/>
        <stp>BDP|16465859555705833419</stp>
        <tr r="J1630" s="2"/>
      </tp>
      <tp t="s">
        <v>#N/A Requesting Data...4289160652</v>
        <stp/>
        <stp>BDP|12040343299473579155</stp>
        <tr r="Q58" s="2"/>
      </tp>
      <tp t="s">
        <v>#N/A Requesting Data...4292102578</v>
        <stp/>
        <stp>BDP|14302353996357435392</stp>
        <tr r="O1126" s="2"/>
      </tp>
      <tp t="s">
        <v>#N/A Requesting Data...4289047088</v>
        <stp/>
        <stp>BDP|12110661326614578890</stp>
        <tr r="S1859" s="2"/>
      </tp>
      <tp t="s">
        <v>#N/A Requesting Data...4291607773</v>
        <stp/>
        <stp>BDP|16552395207469304655</stp>
        <tr r="P932" s="2"/>
      </tp>
      <tp t="s">
        <v>#N/A Requesting Data...4294797354</v>
        <stp/>
        <stp>BDP|14784027148882340833</stp>
        <tr r="A858" s="2"/>
      </tp>
      <tp t="s">
        <v>#N/A Requesting Data...4291512561</v>
        <stp/>
        <stp>BDP|16108394004557450854</stp>
        <tr r="D2217" s="2"/>
      </tp>
      <tp t="s">
        <v>#N/A Requesting Data...4291042398</v>
        <stp/>
        <stp>BDP|17828548016779543029</stp>
        <tr r="H1158" s="2"/>
      </tp>
      <tp t="s">
        <v>#N/A Requesting Data...4294372440</v>
        <stp/>
        <stp>BDP|17416897076287661502</stp>
        <tr r="G475" s="2"/>
      </tp>
      <tp t="b">
        <v>0</v>
        <stp/>
        <stp>BDS|10199602790933646696</stp>
        <tr r="I1438" s="2"/>
      </tp>
      <tp t="s">
        <v>#N/A Requesting Data...3207417813</v>
        <stp/>
        <stp>BDP|10479188733970368810</stp>
        <tr r="C1829" s="2"/>
      </tp>
      <tp t="s">
        <v>#N/A Requesting Data...2990968852</v>
        <stp/>
        <stp>BDP|15167396943148205046</stp>
        <tr r="O1330" s="2"/>
      </tp>
      <tp t="s">
        <v>#N/A Requesting Data...2273901063</v>
        <stp/>
        <stp>BDP|14841892506787242182</stp>
        <tr r="Q862" s="2"/>
      </tp>
      <tp t="s">
        <v>#N/A Requesting Data...1917026908</v>
        <stp/>
        <stp>BDP|17263969790838952505</stp>
        <tr r="F2163" s="2"/>
      </tp>
      <tp t="s">
        <v>#N/A Requesting Data...860471864</v>
        <stp/>
        <stp>BDP|17326351679971191834</stp>
        <tr r="D298" s="2"/>
      </tp>
      <tp t="s">
        <v>#N/A Requesting Data...3212528853</v>
        <stp/>
        <stp>BDP|11904888118471392372</stp>
        <tr r="N1661" s="2"/>
      </tp>
      <tp t="s">
        <v>#N/A Requesting Data...223768665</v>
        <stp/>
        <stp>BDP|18075154938963088305</stp>
        <tr r="N847" s="2"/>
      </tp>
      <tp t="s">
        <v>#N/A Requesting Data...2843507749</v>
        <stp/>
        <stp>BDP|12632767727084344996</stp>
        <tr r="T71" s="2"/>
      </tp>
      <tp t="s">
        <v>#N/A Requesting Data...2825356934</v>
        <stp/>
        <stp>BDP|17994254171470668869</stp>
        <tr r="F373" s="2"/>
      </tp>
      <tp t="s">
        <v>#N/A Requesting Data...2356075916</v>
        <stp/>
        <stp>BDP|16410886970950399321</stp>
        <tr r="H2085" s="2"/>
      </tp>
      <tp t="s">
        <v>#N/A Requesting Data...3848334389</v>
        <stp/>
        <stp>BDP|13887367640448093634</stp>
        <tr r="N1162" s="2"/>
      </tp>
      <tp t="s">
        <v>#N/A Requesting Data...4163063462</v>
        <stp/>
        <stp>BDP|14920462094186169571</stp>
        <tr r="E801" s="2"/>
      </tp>
      <tp t="s">
        <v>#N/A Requesting Data...3209809884</v>
        <stp/>
        <stp>BDP|16672292036775614825</stp>
        <tr r="C721" s="2"/>
      </tp>
      <tp t="s">
        <v>#N/A Requesting Data...3144380432</v>
        <stp/>
        <stp>BDP|13117378184110787286</stp>
        <tr r="A998" s="2"/>
      </tp>
      <tp t="s">
        <v>#N/A Requesting Data...2046473563</v>
        <stp/>
        <stp>BDP|15436206118085073917</stp>
        <tr r="A1078" s="2"/>
      </tp>
      <tp t="s">
        <v>#N/A Requesting Data...2669474187</v>
        <stp/>
        <stp>BDP|16464984346283334246</stp>
        <tr r="S1799" s="2"/>
      </tp>
      <tp t="s">
        <v>#N/A Requesting Data...2099786038</v>
        <stp/>
        <stp>BDP|11060949639505171418</stp>
        <tr r="G728" s="2"/>
      </tp>
      <tp t="s">
        <v>#N/A Requesting Data...4017502013</v>
        <stp/>
        <stp>BDP|12770030589716912694</stp>
        <tr r="C1004" s="2"/>
      </tp>
      <tp t="s">
        <v>#N/A Requesting Data...1030923605</v>
        <stp/>
        <stp>BDP|11805327721668147270</stp>
        <tr r="E2276" s="2"/>
      </tp>
      <tp t="s">
        <v>#N/A Requesting Data...1005169756</v>
        <stp/>
        <stp>BDP|16749897276957272479</stp>
        <tr r="T1752" s="2"/>
      </tp>
      <tp t="s">
        <v>#N/A Requesting Data...4056794180</v>
        <stp/>
        <stp>BDP|12778189798028938839</stp>
        <tr r="M121" s="2"/>
      </tp>
      <tp t="s">
        <v>#N/A Requesting Data...2797441089</v>
        <stp/>
        <stp>BDP|12474151502148807163</stp>
        <tr r="T1721" s="2"/>
      </tp>
      <tp t="s">
        <v>#N/A Requesting Data...3930671600</v>
        <stp/>
        <stp>BDP|12824843922657347518</stp>
        <tr r="H1190" s="2"/>
      </tp>
      <tp t="s">
        <v>#N/A Requesting Data...3142879352</v>
        <stp/>
        <stp>BDP|14043080137434499972</stp>
        <tr r="F216" s="2"/>
      </tp>
      <tp t="s">
        <v>#N/A Requesting Data...2952456262</v>
        <stp/>
        <stp>BDP|16664096656489791026</stp>
        <tr r="J2319" s="2"/>
      </tp>
      <tp t="s">
        <v>#N/A Requesting Data...3470548924</v>
        <stp/>
        <stp>BDP|14123789640165232872</stp>
        <tr r="K1103" s="2"/>
      </tp>
      <tp t="s">
        <v>#N/A Requesting Data...1403265377</v>
        <stp/>
        <stp>BDP|11243951594958613396</stp>
        <tr r="P1712" s="2"/>
      </tp>
      <tp t="s">
        <v>#N/A Requesting Data...112791519</v>
        <stp/>
        <stp>BDP|10605458189216392059</stp>
        <tr r="K2314" s="2"/>
      </tp>
      <tp t="s">
        <v>#N/A Requesting Data...769814724</v>
        <stp/>
        <stp>BDP|14632587394440433229</stp>
        <tr r="J523" s="2"/>
      </tp>
      <tp t="b">
        <v>0</v>
        <stp/>
        <stp>BDS|17771528186865484585</stp>
        <tr r="I1418" s="2"/>
      </tp>
      <tp t="s">
        <v>#N/A Requesting Data...304595759</v>
        <stp/>
        <stp>BDP|16780916538403569575</stp>
        <tr r="C380" s="2"/>
      </tp>
      <tp t="s">
        <v>#N/A Requesting Data...2904784792</v>
        <stp/>
        <stp>BDP|10477982173177794344</stp>
        <tr r="G893" s="2"/>
      </tp>
      <tp t="s">
        <v>#N/A Requesting Data...4150294472</v>
        <stp/>
        <stp>BDP|15077988651042319166</stp>
        <tr r="F489" s="2"/>
      </tp>
      <tp t="s">
        <v>#N/A Requesting Data...837858872</v>
        <stp/>
        <stp>BDP|10989968015964410620</stp>
        <tr r="O1543" s="2"/>
      </tp>
      <tp t="s">
        <v>#N/A Requesting Data...173791189</v>
        <stp/>
        <stp>BDP|11443068659599699718</stp>
        <tr r="G2232" s="2"/>
      </tp>
      <tp t="s">
        <v>#N/A Requesting Data...3395542672</v>
        <stp/>
        <stp>BDP|13362988607466776675</stp>
        <tr r="J385" s="2"/>
      </tp>
      <tp t="s">
        <v>#N/A Requesting Data...3991123766</v>
        <stp/>
        <stp>BDP|14477826503804066297</stp>
        <tr r="F1270" s="2"/>
      </tp>
      <tp t="s">
        <v>#N/A Requesting Data...1076857074</v>
        <stp/>
        <stp>BDP|10641334381726986717</stp>
        <tr r="J1731" s="2"/>
      </tp>
      <tp t="s">
        <v>#N/A Requesting Data...1959689347</v>
        <stp/>
        <stp>BDP|12613519885112624784</stp>
        <tr r="G657" s="2"/>
      </tp>
      <tp t="s">
        <v>#N/A Requesting Data...772892611</v>
        <stp/>
        <stp>BDP|13108069322962994906</stp>
        <tr r="D489" s="2"/>
      </tp>
      <tp t="s">
        <v>#N/A Requesting Data...2387132611</v>
        <stp/>
        <stp>BDP|17798238368409820088</stp>
        <tr r="Q1622" s="2"/>
      </tp>
      <tp t="s">
        <v>#N/A Requesting Data...4278729082</v>
        <stp/>
        <stp>BDP|14898718991321245169</stp>
        <tr r="E626" s="2"/>
      </tp>
      <tp t="s">
        <v>#N/A Requesting Data...2920843211</v>
        <stp/>
        <stp>BDP|13603840806919144893</stp>
        <tr r="K1296" s="2"/>
      </tp>
      <tp t="s">
        <v>#N/A Requesting Data...1327559814</v>
        <stp/>
        <stp>BDP|15487406887032809170</stp>
        <tr r="Q849" s="2"/>
      </tp>
      <tp t="s">
        <v>#N/A Requesting Data...3650353775</v>
        <stp/>
        <stp>BDP|18204763272826373492</stp>
        <tr r="O863" s="2"/>
      </tp>
      <tp t="b">
        <v>0</v>
        <stp/>
        <stp>BDS|10762901541221125689</stp>
        <tr r="I72" s="2"/>
      </tp>
      <tp t="s">
        <v>#N/A Requesting Data...3957092621</v>
        <stp/>
        <stp>BDP|12680981978824268289</stp>
        <tr r="H2267" s="2"/>
      </tp>
      <tp t="s">
        <v>#N/A Requesting Data...1241827552</v>
        <stp/>
        <stp>BDP|14282252756741453896</stp>
        <tr r="J1492" s="2"/>
      </tp>
      <tp t="s">
        <v>#N/A Requesting Data...2102555347</v>
        <stp/>
        <stp>BDP|15504935618970178736</stp>
        <tr r="R379" s="2"/>
      </tp>
      <tp t="s">
        <v>#N/A Requesting Data...3439591086</v>
        <stp/>
        <stp>BDP|12377208644687906924</stp>
        <tr r="T1928" s="2"/>
      </tp>
      <tp t="s">
        <v>#N/A Requesting Data...1381416410</v>
        <stp/>
        <stp>BDP|14947665507729027149</stp>
        <tr r="C1154" s="2"/>
      </tp>
      <tp t="s">
        <v>#N/A Requesting Data...2009262585</v>
        <stp/>
        <stp>BDP|16683616085735707794</stp>
        <tr r="S352" s="2"/>
      </tp>
      <tp t="s">
        <v>#N/A Requesting Data...2854553158</v>
        <stp/>
        <stp>BDP|11234143898997233407</stp>
        <tr r="F837" s="2"/>
      </tp>
      <tp t="s">
        <v>#N/A Requesting Data...620280493</v>
        <stp/>
        <stp>BDP|14220404094527384496</stp>
        <tr r="S723" s="2"/>
      </tp>
      <tp t="s">
        <v>#N/A Requesting Data...3379405456</v>
        <stp/>
        <stp>BDP|10792603088991174528</stp>
        <tr r="E530" s="2"/>
      </tp>
      <tp t="s">
        <v>#N/A Requesting Data...617712146</v>
        <stp/>
        <stp>BDP|11781994993299758267</stp>
        <tr r="P1748" s="2"/>
      </tp>
      <tp t="s">
        <v>#N/A Requesting Data...2829613362</v>
        <stp/>
        <stp>BDP|15416390587331165578</stp>
        <tr r="E2097" s="2"/>
      </tp>
      <tp t="s">
        <v>#N/A Requesting Data...363055934</v>
        <stp/>
        <stp>BDP|15463985550073865089</stp>
        <tr r="D1463" s="2"/>
      </tp>
      <tp t="s">
        <v>#N/A Requesting Data...4111882253</v>
        <stp/>
        <stp>BDP|13970869926397166447</stp>
        <tr r="J2110" s="2"/>
      </tp>
      <tp t="s">
        <v>#N/A Requesting Data...4222316210</v>
        <stp/>
        <stp>BDP|12249892717036030706</stp>
        <tr r="G2121" s="2"/>
      </tp>
      <tp t="s">
        <v>#N/A Requesting Data...2670471723</v>
        <stp/>
        <stp>BDP|18419754854290922006</stp>
        <tr r="F907" s="2"/>
      </tp>
      <tp t="s">
        <v>#N/A Requesting Data...972251258</v>
        <stp/>
        <stp>BDP|15811032762759460011</stp>
        <tr r="C399" s="2"/>
      </tp>
      <tp t="s">
        <v>#N/A Requesting Data...2185716700</v>
        <stp/>
        <stp>BDP|17349789787976654463</stp>
        <tr r="N1743" s="2"/>
      </tp>
      <tp t="s">
        <v>#N/A Requesting Data...3451887021</v>
        <stp/>
        <stp>BDP|15321801828711534425</stp>
        <tr r="N2246" s="2"/>
      </tp>
      <tp t="s">
        <v>#N/A Requesting Data...3874027185</v>
        <stp/>
        <stp>BDP|17863942690199363431</stp>
        <tr r="T2500" s="2"/>
      </tp>
      <tp t="s">
        <v>#N/A Requesting Data...2997431407</v>
        <stp/>
        <stp>BDP|10328990727986689771</stp>
        <tr r="D188" s="2"/>
      </tp>
      <tp t="s">
        <v>#N/A Requesting Data...4057416182</v>
        <stp/>
        <stp>BDP|13804015866418768745</stp>
        <tr r="M1724" s="2"/>
      </tp>
      <tp t="s">
        <v>#N/A Requesting Data...3279251508</v>
        <stp/>
        <stp>BDP|13297362998817466444</stp>
        <tr r="G1257" s="2"/>
      </tp>
      <tp t="s">
        <v>#N/A Requesting Data...2013828875</v>
        <stp/>
        <stp>BDP|10162941228841071019</stp>
        <tr r="C102" s="2"/>
      </tp>
      <tp t="s">
        <v>#N/A Requesting Data...3983152649</v>
        <stp/>
        <stp>BDP|13947733680763000561</stp>
        <tr r="K1962" s="2"/>
      </tp>
      <tp t="s">
        <v>#N/A Requesting Data...3870356938</v>
        <stp/>
        <stp>BDP|17433731582190148286</stp>
        <tr r="R1034" s="2"/>
      </tp>
      <tp t="b">
        <v>0</v>
        <stp/>
        <stp>BDS|14977967022061086429</stp>
        <tr r="I2452" s="2"/>
      </tp>
      <tp t="s">
        <v>#N/A Requesting Data...2924679985</v>
        <stp/>
        <stp>BDP|17907394405409842715</stp>
        <tr r="D2175" s="2"/>
      </tp>
      <tp t="s">
        <v>#N/A Requesting Data...2641670393</v>
        <stp/>
        <stp>BDP|18042515859125688729</stp>
        <tr r="D472" s="2"/>
      </tp>
      <tp t="s">
        <v>#N/A Requesting Data...3950651801</v>
        <stp/>
        <stp>BDP|18298178610411166383</stp>
        <tr r="P2527" s="2"/>
      </tp>
      <tp t="s">
        <v>#N/A Requesting Data...2119473854</v>
        <stp/>
        <stp>BDP|16889838156922511348</stp>
        <tr r="Q1509" s="2"/>
      </tp>
      <tp t="s">
        <v>#N/A Requesting Data...1164955209</v>
        <stp/>
        <stp>BDP|14653480661738400472</stp>
        <tr r="R387" s="2"/>
      </tp>
      <tp t="s">
        <v>#N/A Requesting Data...3763473663</v>
        <stp/>
        <stp>BDP|10346354487743998249</stp>
        <tr r="Q206" s="2"/>
      </tp>
      <tp t="s">
        <v>#N/A Requesting Data...3294377565</v>
        <stp/>
        <stp>BDP|17803985776593376090</stp>
        <tr r="F2109" s="2"/>
      </tp>
      <tp t="s">
        <v>#N/A Requesting Data...406342893</v>
        <stp/>
        <stp>BDP|16010410788283115345</stp>
        <tr r="G28" s="2"/>
      </tp>
      <tp t="s">
        <v>#N/A Requesting Data...4067349389</v>
        <stp/>
        <stp>BDP|14812238037358853788</stp>
        <tr r="F1004" s="2"/>
      </tp>
      <tp t="s">
        <v>#N/A Requesting Data...3091459107</v>
        <stp/>
        <stp>BDP|15984943331841724476</stp>
        <tr r="E2102" s="2"/>
      </tp>
      <tp t="s">
        <v>#N/A Requesting Data...1465883975</v>
        <stp/>
        <stp>BDP|13144184396832562369</stp>
        <tr r="M22" s="2"/>
      </tp>
      <tp t="s">
        <v>#N/A Requesting Data...2196731461</v>
        <stp/>
        <stp>BDP|15748854854320302294</stp>
        <tr r="O738" s="2"/>
      </tp>
      <tp t="s">
        <v>#N/A Requesting Data...3196801116</v>
        <stp/>
        <stp>BDP|16194483280857723727</stp>
        <tr r="Q924" s="2"/>
      </tp>
      <tp t="s">
        <v>#N/A Requesting Data...1893886777</v>
        <stp/>
        <stp>BDP|18119682349291453183</stp>
        <tr r="R63" s="2"/>
      </tp>
      <tp t="s">
        <v>#N/A Requesting Data...1341422746</v>
        <stp/>
        <stp>BDP|17124826539396420023</stp>
        <tr r="O912" s="2"/>
      </tp>
      <tp t="s">
        <v>#N/A Requesting Data...939752464</v>
        <stp/>
        <stp>BDP|14466280095493375663</stp>
        <tr r="R1657" s="2"/>
      </tp>
      <tp t="s">
        <v>#N/A Requesting Data...1575348011</v>
        <stp/>
        <stp>BDP|17636884201423527667</stp>
        <tr r="S2347" s="2"/>
      </tp>
      <tp t="s">
        <v>#N/A Requesting Data...312790197</v>
        <stp/>
        <stp>BDP|14675245629666505822</stp>
        <tr r="R25" s="2"/>
      </tp>
      <tp t="s">
        <v>#N/A Requesting Data...3441410176</v>
        <stp/>
        <stp>BDP|12967167166328419716</stp>
        <tr r="F836" s="2"/>
      </tp>
      <tp t="s">
        <v>#N/A Requesting Data...450759987</v>
        <stp/>
        <stp>BDP|15602444280393854067</stp>
        <tr r="D880" s="2"/>
      </tp>
      <tp t="s">
        <v>#N/A Requesting Data...1290321358</v>
        <stp/>
        <stp>BDP|10431290784727618730</stp>
        <tr r="T1938" s="2"/>
      </tp>
      <tp t="s">
        <v>#N/A Requesting Data...4125192486</v>
        <stp/>
        <stp>BDP|13385853962615900219</stp>
        <tr r="M1048" s="2"/>
      </tp>
      <tp t="s">
        <v>#N/A Requesting Data...898350776</v>
        <stp/>
        <stp>BDP|10703539958348472249</stp>
        <tr r="J2041" s="2"/>
      </tp>
      <tp t="s">
        <v>#N/A Requesting Data...2076112174</v>
        <stp/>
        <stp>BDP|11570952371241852456</stp>
        <tr r="C1329" s="2"/>
      </tp>
      <tp t="s">
        <v>#N/A Requesting Data...4004992664</v>
        <stp/>
        <stp>BDP|14033855060068045896</stp>
        <tr r="J2354" s="2"/>
      </tp>
      <tp t="s">
        <v>#N/A Requesting Data...3202029734</v>
        <stp/>
        <stp>BDP|10978874661910196418</stp>
        <tr r="F2176" s="2"/>
      </tp>
      <tp t="s">
        <v>#N/A Requesting Data...924082631</v>
        <stp/>
        <stp>BDP|13884995849026014277</stp>
        <tr r="K1515" s="2"/>
      </tp>
      <tp t="s">
        <v>#N/A Requesting Data...794473119</v>
        <stp/>
        <stp>BDP|12024238068585577912</stp>
        <tr r="F2293" s="2"/>
      </tp>
      <tp t="s">
        <v>#N/A Requesting Data...1142765428</v>
        <stp/>
        <stp>BDP|13303540796961807463</stp>
        <tr r="Q1143" s="2"/>
      </tp>
      <tp t="s">
        <v>#N/A Requesting Data...1182828976</v>
        <stp/>
        <stp>BDP|13780445193431867575</stp>
        <tr r="F123" s="2"/>
      </tp>
      <tp t="s">
        <v>#N/A Requesting Data...1785348603</v>
        <stp/>
        <stp>BDP|17208808683625729896</stp>
        <tr r="R1838" s="2"/>
      </tp>
      <tp t="s">
        <v>#N/A Requesting Data...969780493</v>
        <stp/>
        <stp>BDP|17687276019266126864</stp>
        <tr r="R1584" s="2"/>
      </tp>
      <tp t="s">
        <v>#N/A Requesting Data...3148809498</v>
        <stp/>
        <stp>BDP|17103811612592887655</stp>
        <tr r="M2045" s="2"/>
      </tp>
      <tp t="s">
        <v>#N/A Requesting Data...1318935611</v>
        <stp/>
        <stp>BDP|14266954238595577159</stp>
        <tr r="T2283" s="2"/>
      </tp>
      <tp t="s">
        <v>#N/A Requesting Data...1391597928</v>
        <stp/>
        <stp>BDP|16019432988825716533</stp>
        <tr r="S1900" s="2"/>
      </tp>
      <tp t="s">
        <v>#N/A Requesting Data...2397414465</v>
        <stp/>
        <stp>BDP|13828818471254744204</stp>
        <tr r="Q1067" s="2"/>
      </tp>
      <tp t="s">
        <v>#N/A Requesting Data...2913207353</v>
        <stp/>
        <stp>BDP|10217818999272540907</stp>
        <tr r="S423" s="2"/>
      </tp>
      <tp t="s">
        <v>#N/A Requesting Data...3706147521</v>
        <stp/>
        <stp>BDP|16240702817828301296</stp>
        <tr r="C1639" s="2"/>
      </tp>
      <tp t="s">
        <v>#N/A Requesting Data...1755116160</v>
        <stp/>
        <stp>BDP|12117865900825169592</stp>
        <tr r="P241" s="2"/>
      </tp>
      <tp t="s">
        <v>#N/A Requesting Data...2162696005</v>
        <stp/>
        <stp>BDP|17709981942659361919</stp>
        <tr r="Q1017" s="2"/>
      </tp>
      <tp t="s">
        <v>#N/A Requesting Data...3821926487</v>
        <stp/>
        <stp>BDP|18009180946411945688</stp>
        <tr r="J585" s="2"/>
      </tp>
      <tp t="s">
        <v>#N/A Requesting Data...420204182</v>
        <stp/>
        <stp>BDP|13682269002992408990</stp>
        <tr r="M770" s="2"/>
      </tp>
      <tp t="s">
        <v>#N/A Requesting Data...3782726831</v>
        <stp/>
        <stp>BDP|15474872527941379485</stp>
        <tr r="F502" s="2"/>
      </tp>
      <tp t="s">
        <v>#N/A Requesting Data...4053110156</v>
        <stp/>
        <stp>BDP|15580833265698485988</stp>
        <tr r="A1592" s="2"/>
      </tp>
      <tp t="s">
        <v>#N/A Requesting Data...919809161</v>
        <stp/>
        <stp>BDP|11941450253802709871</stp>
        <tr r="P1853" s="2"/>
      </tp>
      <tp t="s">
        <v>#N/A Requesting Data...4023266765</v>
        <stp/>
        <stp>BDP|18195354701886210789</stp>
        <tr r="D1031" s="2"/>
      </tp>
      <tp t="s">
        <v>#N/A Requesting Data...3201632965</v>
        <stp/>
        <stp>BDP|15994304486146481249</stp>
        <tr r="O1077" s="2"/>
      </tp>
      <tp t="s">
        <v>#N/A Requesting Data...1845726858</v>
        <stp/>
        <stp>BDP|15684900205661477784</stp>
        <tr r="G1069" s="2"/>
      </tp>
      <tp t="s">
        <v>#N/A Requesting Data...1371984726</v>
        <stp/>
        <stp>BDP|12940885649174552028</stp>
        <tr r="T1689" s="2"/>
      </tp>
      <tp t="s">
        <v>#N/A Requesting Data...1510111541</v>
        <stp/>
        <stp>BDP|14731480676974202947</stp>
        <tr r="A2251" s="2"/>
      </tp>
      <tp t="s">
        <v>#N/A Requesting Data...2286564038</v>
        <stp/>
        <stp>BDP|10790789898970127497</stp>
        <tr r="C1068" s="2"/>
      </tp>
      <tp t="s">
        <v>#N/A Requesting Data...2572597646</v>
        <stp/>
        <stp>BDP|17712882746920663100</stp>
        <tr r="M926" s="2"/>
      </tp>
      <tp t="s">
        <v>#N/A Requesting Data...2286661493</v>
        <stp/>
        <stp>BDP|13123022391534838455</stp>
        <tr r="K2304" s="2"/>
      </tp>
      <tp t="s">
        <v>#N/A Requesting Data...3898224270</v>
        <stp/>
        <stp>BDP|16861901511266718217</stp>
        <tr r="A716" s="2"/>
      </tp>
      <tp t="s">
        <v>#N/A Requesting Data...756190321</v>
        <stp/>
        <stp>BDP|10906916203444397778</stp>
        <tr r="O194" s="2"/>
      </tp>
      <tp t="s">
        <v>#N/A Requesting Data...2352030557</v>
        <stp/>
        <stp>BDP|12254636053562863953</stp>
        <tr r="H912" s="2"/>
      </tp>
      <tp t="s">
        <v>#N/A Requesting Data...1477712735</v>
        <stp/>
        <stp>BDP|15729376419384325956</stp>
        <tr r="E552" s="2"/>
      </tp>
      <tp t="s">
        <v>#N/A Requesting Data...440629469</v>
        <stp/>
        <stp>BDP|14449354632437561990</stp>
        <tr r="G2234" s="2"/>
      </tp>
      <tp t="s">
        <v>#N/A Requesting Data...506000245</v>
        <stp/>
        <stp>BDP|13654803649881852489</stp>
        <tr r="J1333" s="2"/>
      </tp>
      <tp t="s">
        <v>#N/A Requesting Data...2188644799</v>
        <stp/>
        <stp>BDP|14786781337558388246</stp>
        <tr r="S751" s="2"/>
      </tp>
      <tp t="b">
        <v>0</v>
        <stp/>
        <stp>BDS|15244780826333367933</stp>
        <tr r="I356" s="2"/>
      </tp>
      <tp t="s">
        <v>#N/A Requesting Data...1085076339</v>
        <stp/>
        <stp>BDP|12999534614819944583</stp>
        <tr r="D2008" s="2"/>
      </tp>
      <tp t="s">
        <v>#N/A Requesting Data...4160813846</v>
        <stp/>
        <stp>BDP|12700809207212917268</stp>
        <tr r="M765" s="2"/>
      </tp>
      <tp t="s">
        <v>#N/A Requesting Data...1901095127</v>
        <stp/>
        <stp>BDP|17424350078168394158</stp>
        <tr r="K1494" s="2"/>
      </tp>
      <tp t="s">
        <v>#N/A Requesting Data...3831919073</v>
        <stp/>
        <stp>BDP|13702781945672111847</stp>
        <tr r="J459" s="2"/>
      </tp>
      <tp t="s">
        <v>#N/A Requesting Data...1666811932</v>
        <stp/>
        <stp>BDP|12921336161295477800</stp>
        <tr r="A2361" s="2"/>
      </tp>
      <tp t="s">
        <v>#N/A Requesting Data...3695425205</v>
        <stp/>
        <stp>BDP|17016842596575832954</stp>
        <tr r="G549" s="2"/>
      </tp>
      <tp t="s">
        <v>#N/A Requesting Data...3553339194</v>
        <stp/>
        <stp>BDP|14148911999316671800</stp>
        <tr r="C1041" s="2"/>
      </tp>
      <tp t="s">
        <v>#N/A Requesting Data...3397507144</v>
        <stp/>
        <stp>BDP|13513484102575249824</stp>
        <tr r="E89" s="2"/>
      </tp>
      <tp t="s">
        <v>#N/A Requesting Data...3667370050</v>
        <stp/>
        <stp>BDP|17045220927535875826</stp>
        <tr r="N1310" s="2"/>
      </tp>
      <tp t="s">
        <v>#N/A Requesting Data...4278581121</v>
        <stp/>
        <stp>BDP|17423687210559631353</stp>
        <tr r="J1792" s="2"/>
      </tp>
      <tp t="s">
        <v>#N/A Requesting Data...2664719060</v>
        <stp/>
        <stp>BDP|10578027098003049004</stp>
        <tr r="Q282" s="2"/>
      </tp>
      <tp t="s">
        <v>#N/A Requesting Data...2528946725</v>
        <stp/>
        <stp>BDP|17820138740420274869</stp>
        <tr r="J862" s="2"/>
      </tp>
      <tp t="s">
        <v>#N/A Requesting Data...773146125</v>
        <stp/>
        <stp>BDP|15345627690256675686</stp>
        <tr r="T1983" s="2"/>
      </tp>
      <tp t="s">
        <v>#N/A Requesting Data...3782891595</v>
        <stp/>
        <stp>BDP|12356605941729551385</stp>
        <tr r="C2326" s="2"/>
      </tp>
      <tp t="s">
        <v>#N/A Requesting Data...2230820272</v>
        <stp/>
        <stp>BDP|16188852542851057190</stp>
        <tr r="F88" s="2"/>
      </tp>
      <tp t="s">
        <v>#N/A Requesting Data...601537125</v>
        <stp/>
        <stp>BDP|17586914113881100493</stp>
        <tr r="D987" s="2"/>
      </tp>
      <tp t="s">
        <v>#N/A Requesting Data...1504705053</v>
        <stp/>
        <stp>BDP|17386485895254593441</stp>
        <tr r="E1390" s="2"/>
      </tp>
      <tp t="s">
        <v>#N/A Requesting Data...2288689740</v>
        <stp/>
        <stp>BDP|14903912286007347821</stp>
        <tr r="G1989" s="2"/>
      </tp>
      <tp t="s">
        <v>#N/A Requesting Data...1864072494</v>
        <stp/>
        <stp>BDP|17822492611169823174</stp>
        <tr r="G1764" s="2"/>
      </tp>
      <tp t="b">
        <v>0</v>
        <stp/>
        <stp>BDS|13209946344330749496</stp>
        <tr r="I1817" s="2"/>
      </tp>
      <tp t="s">
        <v>#N/A Requesting Data...743982564</v>
        <stp/>
        <stp>BDP|15164939423467988375</stp>
        <tr r="K647" s="2"/>
      </tp>
      <tp t="b">
        <v>0</v>
        <stp/>
        <stp>BDS|13954959214980405103</stp>
        <tr r="I2146" s="2"/>
      </tp>
      <tp t="s">
        <v>#N/A Requesting Data...3193399349</v>
        <stp/>
        <stp>BDP|13291009359439676525</stp>
        <tr r="F2010" s="2"/>
      </tp>
      <tp t="s">
        <v>#N/A Requesting Data...904520994</v>
        <stp/>
        <stp>BDP|12783688863609309100</stp>
        <tr r="Q876" s="2"/>
      </tp>
      <tp t="s">
        <v>#N/A Requesting Data...1447232897</v>
        <stp/>
        <stp>BDP|14025897808820701698</stp>
        <tr r="E439" s="2"/>
      </tp>
      <tp t="s">
        <v>#N/A Requesting Data...4161785490</v>
        <stp/>
        <stp>BDP|15036983299496857964</stp>
        <tr r="J1575" s="2"/>
      </tp>
      <tp t="s">
        <v>#N/A Requesting Data...3330532482</v>
        <stp/>
        <stp>BDP|11760015091541941317</stp>
        <tr r="A1266" s="2"/>
      </tp>
      <tp t="s">
        <v>#N/A Requesting Data...2258561493</v>
        <stp/>
        <stp>BDP|10891269665278516616</stp>
        <tr r="E2095" s="2"/>
      </tp>
      <tp t="s">
        <v>#N/A Requesting Data...2558813526</v>
        <stp/>
        <stp>BDP|18338405975224023593</stp>
        <tr r="K893" s="2"/>
      </tp>
      <tp t="s">
        <v>#N/A Requesting Data...3601945166</v>
        <stp/>
        <stp>BDP|12393817740473470798</stp>
        <tr r="R1982" s="2"/>
      </tp>
      <tp t="s">
        <v>#N/A Requesting Data...1429227421</v>
        <stp/>
        <stp>BDP|10169698491930402523</stp>
        <tr r="H878" s="2"/>
      </tp>
      <tp t="s">
        <v>#N/A Requesting Data...525874344</v>
        <stp/>
        <stp>BDP|13864406525979153638</stp>
        <tr r="G255" s="2"/>
      </tp>
      <tp t="s">
        <v>#N/A Requesting Data...2993765675</v>
        <stp/>
        <stp>BDP|18375692336392279515</stp>
        <tr r="J1721" s="2"/>
      </tp>
      <tp t="s">
        <v>#N/A Requesting Data...946686925</v>
        <stp/>
        <stp>BDP|11357007799474317663</stp>
        <tr r="H2466" s="2"/>
      </tp>
      <tp t="s">
        <v>#N/A Requesting Data...1201168383</v>
        <stp/>
        <stp>BDP|16331397095626363030</stp>
        <tr r="A1902" s="2"/>
      </tp>
      <tp t="s">
        <v>#N/A Requesting Data...1843936328</v>
        <stp/>
        <stp>BDP|12833660486753431533</stp>
        <tr r="F1739" s="2"/>
      </tp>
      <tp t="s">
        <v>#N/A Requesting Data...1717576971</v>
        <stp/>
        <stp>BDP|14949827480967437912</stp>
        <tr r="C487" s="2"/>
      </tp>
      <tp t="s">
        <v>#N/A Requesting Data...3965790916</v>
        <stp/>
        <stp>BDP|16024910175652990036</stp>
        <tr r="R636" s="2"/>
      </tp>
      <tp t="s">
        <v>#N/A Requesting Data...1019564771</v>
        <stp/>
        <stp>BDP|14923898306755076381</stp>
        <tr r="A1964" s="2"/>
      </tp>
      <tp t="s">
        <v>#N/A Requesting Data...1955199175</v>
        <stp/>
        <stp>BDP|13886836972921390744</stp>
        <tr r="E2505" s="2"/>
      </tp>
      <tp t="s">
        <v>#N/A Requesting Data...891677876</v>
        <stp/>
        <stp>BDP|14793059003696796885</stp>
        <tr r="R1358" s="2"/>
      </tp>
      <tp t="s">
        <v>#N/A Requesting Data...3755514768</v>
        <stp/>
        <stp>BDP|13671684411818771666</stp>
        <tr r="G1632" s="2"/>
      </tp>
      <tp t="s">
        <v>#N/A Requesting Data...2634231641</v>
        <stp/>
        <stp>BDP|17527044691805607184</stp>
        <tr r="S71" s="2"/>
      </tp>
      <tp t="s">
        <v>#N/A Requesting Data...2184638586</v>
        <stp/>
        <stp>BDP|16921201004627772948</stp>
        <tr r="R609" s="2"/>
      </tp>
      <tp t="s">
        <v>#N/A Requesting Data...541173469</v>
        <stp/>
        <stp>BDP|15988447581193735054</stp>
        <tr r="A1492" s="2"/>
      </tp>
      <tp t="s">
        <v>#N/A Requesting Data...2738625983</v>
        <stp/>
        <stp>BDP|13548246385917916432</stp>
        <tr r="J378" s="2"/>
      </tp>
      <tp t="s">
        <v>#N/A Requesting Data...4247853435</v>
        <stp/>
        <stp>BDP|11308298078259513793</stp>
        <tr r="O1257" s="2"/>
      </tp>
      <tp t="s">
        <v>#N/A Requesting Data...558111965</v>
        <stp/>
        <stp>BDP|14971911605494525368</stp>
        <tr r="D2171" s="2"/>
      </tp>
      <tp t="s">
        <v>#N/A Requesting Data...2508087723</v>
        <stp/>
        <stp>BDP|10390813054887040089</stp>
        <tr r="J2299" s="2"/>
      </tp>
      <tp t="s">
        <v>#N/A Requesting Data...2685704873</v>
        <stp/>
        <stp>BDP|11837305699334989562</stp>
        <tr r="G1619" s="2"/>
      </tp>
      <tp t="b">
        <v>0</v>
        <stp/>
        <stp>BDS|11496213127802782985</stp>
        <tr r="I836" s="2"/>
      </tp>
      <tp t="s">
        <v>#N/A Requesting Data...3987593846</v>
        <stp/>
        <stp>BDP|16914473531952973983</stp>
        <tr r="S1836" s="2"/>
      </tp>
      <tp t="s">
        <v>#N/A Requesting Data...2863439355</v>
        <stp/>
        <stp>BDP|15600453687730996332</stp>
        <tr r="A425" s="2"/>
      </tp>
      <tp t="s">
        <v>#N/A Requesting Data...3494032806</v>
        <stp/>
        <stp>BDP|13804128705059254132</stp>
        <tr r="P354" s="2"/>
      </tp>
      <tp t="s">
        <v>#N/A Requesting Data...2388524738</v>
        <stp/>
        <stp>BDP|14198093715318002737</stp>
        <tr r="J474" s="2"/>
      </tp>
      <tp t="s">
        <v>#N/A Requesting Data...4110101852</v>
        <stp/>
        <stp>BDP|16320724496532949009</stp>
        <tr r="D778" s="2"/>
      </tp>
      <tp t="s">
        <v>#N/A Requesting Data...2318003264</v>
        <stp/>
        <stp>BDP|16448991327546375179</stp>
        <tr r="R1303" s="2"/>
      </tp>
      <tp t="s">
        <v>#N/A Requesting Data...2867510790</v>
        <stp/>
        <stp>BDP|15898112193140228766</stp>
        <tr r="D797" s="2"/>
      </tp>
      <tp t="s">
        <v>#N/A Requesting Data...1453976554</v>
        <stp/>
        <stp>BDP|13152041596915845557</stp>
        <tr r="R50" s="2"/>
      </tp>
      <tp t="s">
        <v>#N/A Requesting Data...4027130613</v>
        <stp/>
        <stp>BDP|14073868226042776696</stp>
        <tr r="R103" s="2"/>
      </tp>
      <tp t="s">
        <v>#N/A Requesting Data...3508096344</v>
        <stp/>
        <stp>BDP|16335979781105851830</stp>
        <tr r="F1381" s="2"/>
      </tp>
      <tp t="s">
        <v>#N/A Requesting Data...3613014578</v>
        <stp/>
        <stp>BDP|18031709767477882418</stp>
        <tr r="N2044" s="2"/>
      </tp>
      <tp t="s">
        <v>#N/A Requesting Data...2908929323</v>
        <stp/>
        <stp>BDP|12233886178265998253</stp>
        <tr r="J687" s="2"/>
      </tp>
      <tp t="s">
        <v>#N/A Requesting Data...1300816902</v>
        <stp/>
        <stp>BDP|16216205687113300588</stp>
        <tr r="G1280" s="2"/>
      </tp>
      <tp t="s">
        <v>#N/A Requesting Data...1652213199</v>
        <stp/>
        <stp>BDP|17887413276289220737</stp>
        <tr r="T1229" s="2"/>
      </tp>
      <tp t="s">
        <v>#N/A Requesting Data...1252178064</v>
        <stp/>
        <stp>BDP|13650835252362968609</stp>
        <tr r="S864" s="2"/>
      </tp>
      <tp t="s">
        <v>#N/A Requesting Data...893657808</v>
        <stp/>
        <stp>BDP|12737439571052219997</stp>
        <tr r="C1202" s="2"/>
      </tp>
      <tp t="s">
        <v>#N/A Requesting Data...1462980867</v>
        <stp/>
        <stp>BDP|16549590596010085040</stp>
        <tr r="J445" s="2"/>
      </tp>
      <tp t="s">
        <v>#N/A Requesting Data...1112276567</v>
        <stp/>
        <stp>BDP|13215195986447352709</stp>
        <tr r="J2462" s="2"/>
      </tp>
      <tp t="s">
        <v>#N/A Requesting Data...1816674096</v>
        <stp/>
        <stp>BDP|12572781884781555628</stp>
        <tr r="D608" s="2"/>
      </tp>
      <tp t="s">
        <v>#N/A Requesting Data...2970541304</v>
        <stp/>
        <stp>BDP|13881772287103654502</stp>
        <tr r="E2473" s="2"/>
      </tp>
      <tp t="s">
        <v>#N/A Requesting Data...3488708476</v>
        <stp/>
        <stp>BDP|14740080447318484223</stp>
        <tr r="G1083" s="2"/>
      </tp>
      <tp t="s">
        <v>#N/A Requesting Data...1481250996</v>
        <stp/>
        <stp>BDP|16599153649141210859</stp>
        <tr r="Q1910" s="2"/>
      </tp>
      <tp t="s">
        <v>#N/A Requesting Data...3430815910</v>
        <stp/>
        <stp>BDP|13428957626530849217</stp>
        <tr r="D1710" s="2"/>
      </tp>
      <tp t="s">
        <v>#N/A Requesting Data...1094660707</v>
        <stp/>
        <stp>BDP|11558886047761258662</stp>
        <tr r="N1294" s="2"/>
      </tp>
      <tp t="s">
        <v>#N/A Requesting Data...629368405</v>
        <stp/>
        <stp>BDP|16645096357329134071</stp>
        <tr r="C2472" s="2"/>
      </tp>
      <tp t="s">
        <v>#N/A Requesting Data...2098983994</v>
        <stp/>
        <stp>BDP|17566494699859206999</stp>
        <tr r="C2380" s="2"/>
      </tp>
      <tp t="s">
        <v>#N/A Requesting Data...1040246891</v>
        <stp/>
        <stp>BDP|11597390443828553447</stp>
        <tr r="D99" s="2"/>
      </tp>
      <tp t="s">
        <v>#N/A Requesting Data...2075058945</v>
        <stp/>
        <stp>BDP|14402098497417368078</stp>
        <tr r="C1959" s="2"/>
      </tp>
      <tp t="s">
        <v>#N/A Requesting Data...1188023953</v>
        <stp/>
        <stp>BDP|11148880127039722874</stp>
        <tr r="F1126" s="2"/>
      </tp>
      <tp t="s">
        <v>#N/A Requesting Data...1281983326</v>
        <stp/>
        <stp>BDP|12617365572638819441</stp>
        <tr r="D1271" s="2"/>
      </tp>
      <tp t="s">
        <v>#N/A Requesting Data...2843253640</v>
        <stp/>
        <stp>BDP|11679597296740649711</stp>
        <tr r="K996" s="2"/>
      </tp>
      <tp t="s">
        <v>#N/A Requesting Data...1933061646</v>
        <stp/>
        <stp>BDP|18130391324765274600</stp>
        <tr r="T1957" s="2"/>
      </tp>
      <tp t="s">
        <v>#N/A Requesting Data...2330655591</v>
        <stp/>
        <stp>BDP|14903428352536087974</stp>
        <tr r="Q934" s="2"/>
      </tp>
      <tp t="s">
        <v>#N/A Requesting Data...1864056374</v>
        <stp/>
        <stp>BDP|14564097486731662721</stp>
        <tr r="K890" s="2"/>
      </tp>
      <tp t="s">
        <v>#N/A Requesting Data...3558790949</v>
        <stp/>
        <stp>BDP|17362846650789111986</stp>
        <tr r="A2378" s="2"/>
      </tp>
      <tp t="s">
        <v>#N/A Requesting Data...1164422951</v>
        <stp/>
        <stp>BDP|17354672934319740190</stp>
        <tr r="M2192" s="2"/>
      </tp>
      <tp t="s">
        <v>#N/A Requesting Data...2930451721</v>
        <stp/>
        <stp>BDP|15332866993058030686</stp>
        <tr r="D144" s="2"/>
      </tp>
      <tp t="s">
        <v>#N/A Requesting Data...2926044607</v>
        <stp/>
        <stp>BDP|10991906581419621209</stp>
        <tr r="G2409" s="2"/>
      </tp>
      <tp t="s">
        <v>#N/A Requesting Data...1268279078</v>
        <stp/>
        <stp>BDP|14083227163059861379</stp>
        <tr r="J1137" s="2"/>
      </tp>
      <tp t="s">
        <v>#N/A Requesting Data...1042645303</v>
        <stp/>
        <stp>BDP|11041182585642582068</stp>
        <tr r="G1006" s="2"/>
      </tp>
      <tp t="s">
        <v>#N/A Requesting Data...3774555948</v>
        <stp/>
        <stp>BDP|16033822606051279581</stp>
        <tr r="P1678" s="2"/>
      </tp>
      <tp t="s">
        <v>#N/A Requesting Data...3405279743</v>
        <stp/>
        <stp>BDP|13366792783064036270</stp>
        <tr r="R288" s="2"/>
      </tp>
      <tp t="s">
        <v>#N/A Requesting Data...1584932398</v>
        <stp/>
        <stp>BDP|13513851757571943506</stp>
        <tr r="M502" s="2"/>
      </tp>
      <tp t="s">
        <v>#N/A Requesting Data...1491350472</v>
        <stp/>
        <stp>BDP|15880249291181458572</stp>
        <tr r="T463" s="2"/>
      </tp>
      <tp t="s">
        <v>#N/A Requesting Data...2152592260</v>
        <stp/>
        <stp>BDP|10406466800076994859</stp>
        <tr r="T1776" s="2"/>
      </tp>
      <tp t="s">
        <v>#N/A Requesting Data...3307616476</v>
        <stp/>
        <stp>BDP|16309693065465736962</stp>
        <tr r="D1449" s="2"/>
      </tp>
      <tp t="b">
        <v>0</v>
        <stp/>
        <stp>BDS|11556583821038674477</stp>
        <tr r="I2007" s="2"/>
      </tp>
      <tp t="s">
        <v>#N/A Requesting Data...3700736607</v>
        <stp/>
        <stp>BDP|13549079068819273664</stp>
        <tr r="F1090" s="2"/>
      </tp>
      <tp t="s">
        <v>#N/A Requesting Data...2241829812</v>
        <stp/>
        <stp>BDP|15261847501765815211</stp>
        <tr r="R2469" s="2"/>
      </tp>
      <tp t="s">
        <v>#N/A Requesting Data...4221675727</v>
        <stp/>
        <stp>BDP|13080532796145855038</stp>
        <tr r="R12" s="2"/>
      </tp>
      <tp t="s">
        <v>#N/A Requesting Data...712658920</v>
        <stp/>
        <stp>BDP|17317794201523307966</stp>
        <tr r="O903" s="2"/>
      </tp>
      <tp t="s">
        <v>#N/A Requesting Data...3386003971</v>
        <stp/>
        <stp>BDP|17622571693304919554</stp>
        <tr r="J1873" s="2"/>
      </tp>
      <tp t="s">
        <v>#N/A Requesting Data...3734435907</v>
        <stp/>
        <stp>BDP|13805651216516319860</stp>
        <tr r="T564" s="2"/>
      </tp>
      <tp t="s">
        <v>#N/A Requesting Data...3044869764</v>
        <stp/>
        <stp>BDP|13841952462542619477</stp>
        <tr r="M1451" s="2"/>
      </tp>
      <tp t="b">
        <v>0</v>
        <stp/>
        <stp>BDS|11013385762599147760</stp>
        <tr r="I408" s="2"/>
      </tp>
      <tp t="s">
        <v>#N/A Requesting Data...4064654874</v>
        <stp/>
        <stp>BDP|10116515539145452935</stp>
        <tr r="M1459" s="2"/>
      </tp>
      <tp t="s">
        <v>#N/A Requesting Data...1890615999</v>
        <stp/>
        <stp>BDP|16314212248168079241</stp>
        <tr r="A1610" s="2"/>
      </tp>
      <tp t="s">
        <v>#N/A Requesting Data...1088346619</v>
        <stp/>
        <stp>BDP|13643841959690749423</stp>
        <tr r="T914" s="2"/>
      </tp>
      <tp t="s">
        <v>#N/A Requesting Data...1849088576</v>
        <stp/>
        <stp>BDP|16989124031849307770</stp>
        <tr r="K1255" s="2"/>
      </tp>
      <tp t="s">
        <v>#N/A Requesting Data...1941297795</v>
        <stp/>
        <stp>BDP|16250205357352932924</stp>
        <tr r="P1207" s="2"/>
      </tp>
      <tp t="b">
        <v>0</v>
        <stp/>
        <stp>BDS|15790601789617092633</stp>
        <tr r="I266" s="2"/>
      </tp>
      <tp t="s">
        <v>#N/A Requesting Data...4143600248</v>
        <stp/>
        <stp>BDP|11813678596261371548</stp>
        <tr r="O776" s="2"/>
      </tp>
      <tp t="s">
        <v>#N/A Requesting Data...1210629491</v>
        <stp/>
        <stp>BDP|14314947678278727862</stp>
        <tr r="N1880" s="2"/>
      </tp>
      <tp t="b">
        <v>0</v>
        <stp/>
        <stp>BDS|17948958008157102376</stp>
        <tr r="I1139" s="2"/>
      </tp>
      <tp t="s">
        <v>#N/A Requesting Data...2400745214</v>
        <stp/>
        <stp>BDP|13999091923969130239</stp>
        <tr r="H552" s="2"/>
      </tp>
      <tp t="s">
        <v>#N/A Requesting Data...2955471761</v>
        <stp/>
        <stp>BDP|12224137690454395433</stp>
        <tr r="A398" s="2"/>
      </tp>
      <tp t="s">
        <v>#N/A Requesting Data...2665120721</v>
        <stp/>
        <stp>BDP|10099368016120027818</stp>
        <tr r="A1313" s="2"/>
      </tp>
      <tp t="s">
        <v>#N/A Requesting Data...3170344220</v>
        <stp/>
        <stp>BDP|13500383284713898107</stp>
        <tr r="S153" s="2"/>
      </tp>
      <tp t="s">
        <v>#N/A Requesting Data...2522457584</v>
        <stp/>
        <stp>BDP|18059100832821658152</stp>
        <tr r="O1828" s="2"/>
      </tp>
      <tp t="s">
        <v>#N/A Requesting Data...2206902410</v>
        <stp/>
        <stp>BDP|14364236925937014942</stp>
        <tr r="F569" s="2"/>
      </tp>
      <tp t="s">
        <v>#N/A Requesting Data...2752470301</v>
        <stp/>
        <stp>BDP|12590575460289138227</stp>
        <tr r="O388" s="2"/>
      </tp>
      <tp t="s">
        <v>#N/A Requesting Data...3691915540</v>
        <stp/>
        <stp>BDP|10842369637573915913</stp>
        <tr r="D585" s="2"/>
      </tp>
      <tp t="s">
        <v>#N/A Requesting Data...1307536885</v>
        <stp/>
        <stp>BDP|14514869223425772161</stp>
        <tr r="S1633" s="2"/>
      </tp>
      <tp t="s">
        <v>#N/A Requesting Data...4009544245</v>
        <stp/>
        <stp>BDP|18003438483717605975</stp>
        <tr r="S691" s="2"/>
      </tp>
      <tp t="s">
        <v>#N/A Requesting Data...4014633896</v>
        <stp/>
        <stp>BDP|13782140922878704279</stp>
        <tr r="H844" s="2"/>
      </tp>
      <tp t="s">
        <v>#N/A Requesting Data...1603379932</v>
        <stp/>
        <stp>BDP|12645934432877221543</stp>
        <tr r="S967" s="2"/>
      </tp>
      <tp t="s">
        <v>#N/A Requesting Data...2249292922</v>
        <stp/>
        <stp>BDP|16026246522308592427</stp>
        <tr r="H1757" s="2"/>
      </tp>
      <tp t="s">
        <v>#N/A Requesting Data...1117056696</v>
        <stp/>
        <stp>BDP|16097352336248040424</stp>
        <tr r="M1109" s="2"/>
      </tp>
      <tp t="s">
        <v>#N/A Requesting Data...1581626897</v>
        <stp/>
        <stp>BDP|11566937674962020732</stp>
        <tr r="E1648" s="2"/>
      </tp>
      <tp t="s">
        <v>#N/A Requesting Data...2635268805</v>
        <stp/>
        <stp>BDP|15782696189128270940</stp>
        <tr r="G2493" s="2"/>
      </tp>
      <tp t="s">
        <v>#N/A Requesting Data...1057880516</v>
        <stp/>
        <stp>BDP|15980473780275732682</stp>
        <tr r="N460" s="2"/>
      </tp>
      <tp t="s">
        <v>#N/A Requesting Data...2722353133</v>
        <stp/>
        <stp>BDP|18139893370969002496</stp>
        <tr r="P768" s="2"/>
      </tp>
      <tp t="s">
        <v>#N/A Requesting Data...2441548018</v>
        <stp/>
        <stp>BDP|10075928507527248461</stp>
        <tr r="J1694" s="2"/>
      </tp>
      <tp t="s">
        <v>#N/A Requesting Data...2224226949</v>
        <stp/>
        <stp>BDP|10497918609381853258</stp>
        <tr r="K45" s="2"/>
      </tp>
      <tp t="s">
        <v>#N/A Requesting Data...2661164672</v>
        <stp/>
        <stp>BDP|12583131764648314701</stp>
        <tr r="O1266" s="2"/>
      </tp>
      <tp t="s">
        <v>#N/A Requesting Data...4110749111</v>
        <stp/>
        <stp>BDP|15250456602419513219</stp>
        <tr r="N1220" s="2"/>
      </tp>
      <tp t="s">
        <v>#N/A Requesting Data...4050305945</v>
        <stp/>
        <stp>BDP|14284789927392452988</stp>
        <tr r="S132" s="2"/>
      </tp>
      <tp t="b">
        <v>0</v>
        <stp/>
        <stp>BDS|16414629793662746105</stp>
        <tr r="I2303" s="2"/>
      </tp>
      <tp t="s">
        <v>#N/A Requesting Data...3146944292</v>
        <stp/>
        <stp>BDP|17685051681767409270</stp>
        <tr r="Q1946" s="2"/>
      </tp>
      <tp t="s">
        <v>#N/A Requesting Data...1979577893</v>
        <stp/>
        <stp>BDP|11250377775196251938</stp>
        <tr r="O1930" s="2"/>
      </tp>
      <tp t="s">
        <v>#N/A Requesting Data...1812663755</v>
        <stp/>
        <stp>BDP|11625741877878535316</stp>
        <tr r="R2389" s="2"/>
      </tp>
      <tp t="s">
        <v>#N/A Requesting Data...1057961790</v>
        <stp/>
        <stp>BDP|10519384192416667689</stp>
        <tr r="O1546" s="2"/>
      </tp>
      <tp t="s">
        <v>#N/A Requesting Data...3437058513</v>
        <stp/>
        <stp>BDP|11533848035281375160</stp>
        <tr r="G1658" s="2"/>
      </tp>
      <tp t="s">
        <v>#N/A Requesting Data...4249026075</v>
        <stp/>
        <stp>BDP|12256347495696093423</stp>
        <tr r="E1417" s="2"/>
      </tp>
      <tp t="s">
        <v>#N/A Requesting Data...3331294104</v>
        <stp/>
        <stp>BDP|13479923757436297327</stp>
        <tr r="T1594" s="2"/>
      </tp>
      <tp t="s">
        <v>#N/A Requesting Data...849071782</v>
        <stp/>
        <stp>BDP|17371424570568086600</stp>
        <tr r="Q2243" s="2"/>
      </tp>
      <tp t="s">
        <v>#N/A Requesting Data...2905171977</v>
        <stp/>
        <stp>BDP|13497013068608541796</stp>
        <tr r="N1718" s="2"/>
      </tp>
      <tp t="s">
        <v>#N/A Requesting Data...4020166939</v>
        <stp/>
        <stp>BDP|18364831556628485737</stp>
        <tr r="N662" s="2"/>
      </tp>
      <tp t="s">
        <v>#N/A Requesting Data...2710935922</v>
        <stp/>
        <stp>BDP|11592159188226850419</stp>
        <tr r="J1376" s="2"/>
      </tp>
      <tp t="b">
        <v>0</v>
        <stp/>
        <stp>BDS|16321634712059183210</stp>
        <tr r="I636" s="2"/>
      </tp>
      <tp t="s">
        <v>#N/A Requesting Data...3806977250</v>
        <stp/>
        <stp>BDP|17727084995881275597</stp>
        <tr r="C1137" s="2"/>
      </tp>
      <tp t="s">
        <v>#N/A Requesting Data...4231713431</v>
        <stp/>
        <stp>BDP|11929959661147504397</stp>
        <tr r="T1134" s="2"/>
      </tp>
      <tp t="s">
        <v>#N/A Requesting Data...1152257732</v>
        <stp/>
        <stp>BDP|13696770880150625667</stp>
        <tr r="T1437" s="2"/>
      </tp>
      <tp t="s">
        <v>#N/A Requesting Data...3379775582</v>
        <stp/>
        <stp>BDP|14774338643758012164</stp>
        <tr r="G1494" s="2"/>
      </tp>
      <tp t="s">
        <v>#N/A Requesting Data...2068202976</v>
        <stp/>
        <stp>BDP|14304214229566997835</stp>
        <tr r="A2063" s="2"/>
      </tp>
      <tp t="s">
        <v>#N/A Requesting Data...3419723251</v>
        <stp/>
        <stp>BDP|14411388089434052145</stp>
        <tr r="C936" s="2"/>
      </tp>
      <tp t="s">
        <v>#N/A Requesting Data...1672680692</v>
        <stp/>
        <stp>BDP|15778617997457197710</stp>
        <tr r="P1554" s="2"/>
      </tp>
      <tp t="b">
        <v>0</v>
        <stp/>
        <stp>BDS|15398728963136841889</stp>
        <tr r="I2455" s="2"/>
      </tp>
      <tp t="s">
        <v>#N/A Requesting Data...4141999838</v>
        <stp/>
        <stp>BDP|15602189498561288658</stp>
        <tr r="E989" s="2"/>
      </tp>
      <tp t="s">
        <v>#N/A Requesting Data...4076119743</v>
        <stp/>
        <stp>BDP|13020817261324635379</stp>
        <tr r="C2047" s="2"/>
      </tp>
      <tp t="s">
        <v>#N/A Requesting Data...4027564994</v>
        <stp/>
        <stp>BDP|15035838908295831226</stp>
        <tr r="K366" s="2"/>
      </tp>
      <tp t="b">
        <v>0</v>
        <stp/>
        <stp>BDS|12575684152859588280</stp>
        <tr r="I803" s="2"/>
      </tp>
      <tp t="s">
        <v>#N/A Requesting Data...1472004967</v>
        <stp/>
        <stp>BDP|11316740470348722313</stp>
        <tr r="A2330" s="2"/>
      </tp>
      <tp t="s">
        <v>#N/A Requesting Data...2667149046</v>
        <stp/>
        <stp>BDP|13865893921524416753</stp>
        <tr r="J1771" s="2"/>
      </tp>
      <tp t="s">
        <v>#N/A Requesting Data...4126857544</v>
        <stp/>
        <stp>BDP|15955386293173050635</stp>
        <tr r="K542" s="2"/>
      </tp>
      <tp t="s">
        <v>#N/A Requesting Data...1584606000</v>
        <stp/>
        <stp>BDP|16550262663439955184</stp>
        <tr r="O2114" s="2"/>
      </tp>
      <tp t="s">
        <v>#N/A Requesting Data...905504405</v>
        <stp/>
        <stp>BDP|15773117604326634852</stp>
        <tr r="C2502" s="2"/>
      </tp>
      <tp t="s">
        <v>#N/A Requesting Data...1962388128</v>
        <stp/>
        <stp>BDP|11788163588211181390</stp>
        <tr r="H636" s="2"/>
      </tp>
      <tp t="s">
        <v>#N/A Requesting Data...4216320474</v>
        <stp/>
        <stp>BDP|10552217306390686858</stp>
        <tr r="P229" s="2"/>
      </tp>
      <tp t="s">
        <v>#N/A Requesting Data...974803251</v>
        <stp/>
        <stp>BDP|15333003385361258657</stp>
        <tr r="T1582" s="2"/>
      </tp>
      <tp t="s">
        <v>#N/A Requesting Data...2690545857</v>
        <stp/>
        <stp>BDP|16210493978477620845</stp>
        <tr r="A1213" s="2"/>
      </tp>
      <tp t="s">
        <v>#N/A Requesting Data...1608437871</v>
        <stp/>
        <stp>BDP|16500589698294124458</stp>
        <tr r="O994" s="2"/>
      </tp>
      <tp t="s">
        <v>#N/A Requesting Data...3912880175</v>
        <stp/>
        <stp>BDP|16563032385177457361</stp>
        <tr r="K2120" s="2"/>
      </tp>
      <tp t="b">
        <v>0</v>
        <stp/>
        <stp>BDS|17220274327315901894</stp>
        <tr r="I1982" s="2"/>
      </tp>
      <tp t="s">
        <v>#N/A Requesting Data...3282333315</v>
        <stp/>
        <stp>BDP|13169349808438420288</stp>
        <tr r="A455" s="2"/>
      </tp>
      <tp t="s">
        <v>#N/A Requesting Data...1667311553</v>
        <stp/>
        <stp>BDP|16169870175327336416</stp>
        <tr r="G1191" s="2"/>
      </tp>
      <tp t="s">
        <v>#N/A Requesting Data...1009199959</v>
        <stp/>
        <stp>BDP|11722902227663238335</stp>
        <tr r="N2113" s="2"/>
      </tp>
      <tp t="s">
        <v>#N/A Requesting Data...1463024066</v>
        <stp/>
        <stp>BDP|17392539820672767860</stp>
        <tr r="E1086" s="2"/>
      </tp>
      <tp t="s">
        <v>#N/A Requesting Data...1557146181</v>
        <stp/>
        <stp>BDP|18107980323929202099</stp>
        <tr r="C1185" s="2"/>
      </tp>
      <tp t="s">
        <v>#N/A Requesting Data...2454934238</v>
        <stp/>
        <stp>BDP|12511013720682439817</stp>
        <tr r="P1728" s="2"/>
      </tp>
      <tp t="s">
        <v>#N/A Requesting Data...2858247029</v>
        <stp/>
        <stp>BDP|18332806689516824432</stp>
        <tr r="J233" s="2"/>
      </tp>
      <tp t="s">
        <v>#N/A Requesting Data...3524216197</v>
        <stp/>
        <stp>BDP|11337504486746325072</stp>
        <tr r="H1095" s="2"/>
      </tp>
      <tp t="s">
        <v>#N/A Requesting Data...2731937140</v>
        <stp/>
        <stp>BDP|13164647484251319635</stp>
        <tr r="G1815" s="2"/>
      </tp>
      <tp t="s">
        <v>#N/A Requesting Data...1651502860</v>
        <stp/>
        <stp>BDP|17675125949590591899</stp>
        <tr r="R58" s="2"/>
      </tp>
      <tp t="s">
        <v>#N/A Requesting Data...1057350723</v>
        <stp/>
        <stp>BDP|10308422652782621940</stp>
        <tr r="J2525" s="2"/>
      </tp>
      <tp t="b">
        <v>0</v>
        <stp/>
        <stp>BDS|12283077232028095351</stp>
        <tr r="I115" s="2"/>
      </tp>
      <tp t="s">
        <v>#N/A Requesting Data...3606994853</v>
        <stp/>
        <stp>BDP|13883729231619371497</stp>
        <tr r="M16" s="2"/>
      </tp>
      <tp t="s">
        <v>#N/A Requesting Data...1442659290</v>
        <stp/>
        <stp>BDP|13474062373086833880</stp>
        <tr r="S2088" s="2"/>
      </tp>
      <tp t="s">
        <v>#N/A Requesting Data...3232469482</v>
        <stp/>
        <stp>BDP|12729110422779051256</stp>
        <tr r="K2474" s="2"/>
      </tp>
      <tp t="s">
        <v>#N/A Requesting Data...1630091927</v>
        <stp/>
        <stp>BDP|17659113341341375944</stp>
        <tr r="E128" s="2"/>
      </tp>
      <tp t="s">
        <v>#N/A Requesting Data...1667323333</v>
        <stp/>
        <stp>BDP|12516215197497244402</stp>
        <tr r="S2485" s="2"/>
      </tp>
      <tp t="s">
        <v>#N/A Requesting Data...4235327430</v>
        <stp/>
        <stp>BDP|13692097287308127989</stp>
        <tr r="A173" s="2"/>
      </tp>
      <tp t="s">
        <v>#N/A Requesting Data...3819714757</v>
        <stp/>
        <stp>BDP|10216975505226252535</stp>
        <tr r="K2338" s="2"/>
      </tp>
      <tp t="s">
        <v>#N/A Requesting Data...1234050795</v>
        <stp/>
        <stp>BDP|11945367428968383257</stp>
        <tr r="N943" s="2"/>
      </tp>
      <tp t="s">
        <v>#N/A Requesting Data...1571092901</v>
        <stp/>
        <stp>BDP|18416520510104755200</stp>
        <tr r="G674" s="2"/>
      </tp>
      <tp t="s">
        <v>#N/A Requesting Data...3303827135</v>
        <stp/>
        <stp>BDP|14181558172849655518</stp>
        <tr r="H962" s="2"/>
      </tp>
      <tp t="s">
        <v>#N/A Requesting Data...3235783677</v>
        <stp/>
        <stp>BDP|11620198288657704519</stp>
        <tr r="R130" s="2"/>
      </tp>
      <tp t="s">
        <v>#N/A Requesting Data...3168443849</v>
        <stp/>
        <stp>BDP|17859147049639158154</stp>
        <tr r="P2008" s="2"/>
      </tp>
      <tp t="s">
        <v>#N/A Requesting Data...1827829487</v>
        <stp/>
        <stp>BDP|15584269524496131972</stp>
        <tr r="G883" s="2"/>
      </tp>
      <tp t="s">
        <v>#N/A Requesting Data...1667989853</v>
        <stp/>
        <stp>BDP|16453725979069645580</stp>
        <tr r="P333" s="2"/>
      </tp>
      <tp t="s">
        <v>#N/A Requesting Data...4179902016</v>
        <stp/>
        <stp>BDP|10647155533629738160</stp>
        <tr r="O2386" s="2"/>
      </tp>
      <tp t="s">
        <v>#N/A Requesting Data...1614485213</v>
        <stp/>
        <stp>BDP|10993048581287513599</stp>
        <tr r="K1364" s="2"/>
      </tp>
      <tp t="s">
        <v>#N/A Requesting Data...3740481693</v>
        <stp/>
        <stp>BDP|13630153813841562855</stp>
        <tr r="T1399" s="2"/>
      </tp>
      <tp t="s">
        <v>#N/A Requesting Data...2670698222</v>
        <stp/>
        <stp>BDP|14819287641601628979</stp>
        <tr r="Q727" s="2"/>
      </tp>
      <tp t="s">
        <v>#N/A Requesting Data...3279733375</v>
        <stp/>
        <stp>BDP|16225474290349282876</stp>
        <tr r="M1575" s="2"/>
      </tp>
      <tp t="s">
        <v>#N/A Requesting Data...1896809537</v>
        <stp/>
        <stp>BDP|12109427077432303979</stp>
        <tr r="R554" s="2"/>
      </tp>
      <tp t="s">
        <v>#N/A Requesting Data...2726748123</v>
        <stp/>
        <stp>BDP|13558562996922409714</stp>
        <tr r="G1108" s="2"/>
      </tp>
      <tp t="s">
        <v>#N/A Requesting Data...3593872982</v>
        <stp/>
        <stp>BDP|16359228468691111980</stp>
        <tr r="M191" s="2"/>
      </tp>
      <tp t="s">
        <v>#N/A Requesting Data...1105678416</v>
        <stp/>
        <stp>BDP|11783769186131296553</stp>
        <tr r="C343" s="2"/>
      </tp>
      <tp t="s">
        <v>#N/A Requesting Data...2813593492</v>
        <stp/>
        <stp>BDP|10317717393586027218</stp>
        <tr r="A2191" s="2"/>
      </tp>
      <tp t="s">
        <v>#N/A Requesting Data...2885291598</v>
        <stp/>
        <stp>BDP|16983718691225922709</stp>
        <tr r="N1808" s="2"/>
      </tp>
      <tp t="s">
        <v>#N/A Requesting Data...2361563011</v>
        <stp/>
        <stp>BDP|11164786013904859924</stp>
        <tr r="A1648" s="2"/>
      </tp>
      <tp t="s">
        <v>#N/A Requesting Data...2625845419</v>
        <stp/>
        <stp>BDP|15495818367330329118</stp>
        <tr r="C420" s="2"/>
      </tp>
      <tp t="s">
        <v>#N/A Requesting Data...3017814897</v>
        <stp/>
        <stp>BDP|11726836872932479622</stp>
        <tr r="J111" s="2"/>
      </tp>
      <tp t="s">
        <v>#N/A Requesting Data...4251709203</v>
        <stp/>
        <stp>BDP|11379457822574687925</stp>
        <tr r="O1342" s="2"/>
      </tp>
      <tp t="s">
        <v>#N/A Requesting Data...2656534187</v>
        <stp/>
        <stp>BDP|14067930364766203759</stp>
        <tr r="N123" s="2"/>
      </tp>
      <tp t="b">
        <v>0</v>
        <stp/>
        <stp>BDS|10774729552540205863</stp>
        <tr r="I783" s="2"/>
      </tp>
      <tp t="s">
        <v>#N/A Requesting Data...3073480013</v>
        <stp/>
        <stp>BDP|15136921840012094034</stp>
        <tr r="J590" s="2"/>
      </tp>
      <tp t="s">
        <v>#N/A Requesting Data...2637678276</v>
        <stp/>
        <stp>BDP|11859555998944563300</stp>
        <tr r="F686" s="2"/>
      </tp>
      <tp t="s">
        <v>#N/A Requesting Data...2557407263</v>
        <stp/>
        <stp>BDP|11608335074377619879</stp>
        <tr r="Q1672" s="2"/>
      </tp>
      <tp t="s">
        <v>#N/A Requesting Data...3967259896</v>
        <stp/>
        <stp>BDP|12175805305701795132</stp>
        <tr r="K2072" s="2"/>
      </tp>
      <tp t="s">
        <v>#N/A Requesting Data...4259189232</v>
        <stp/>
        <stp>BDP|14573154171328393027</stp>
        <tr r="E1243" s="2"/>
      </tp>
      <tp t="s">
        <v>#N/A Requesting Data...3964993726</v>
        <stp/>
        <stp>BDP|11514148157409639602</stp>
        <tr r="R1142" s="2"/>
      </tp>
      <tp t="s">
        <v>#N/A Requesting Data...2759135056</v>
        <stp/>
        <stp>BDP|14940625548888341401</stp>
        <tr r="T1438" s="2"/>
      </tp>
      <tp t="s">
        <v>#N/A Requesting Data...3756907548</v>
        <stp/>
        <stp>BDP|18016562054250158238</stp>
        <tr r="M1448" s="2"/>
      </tp>
      <tp t="s">
        <v>#N/A Requesting Data...3639028873</v>
        <stp/>
        <stp>BDP|15461572705012302858</stp>
        <tr r="J48" s="2"/>
      </tp>
      <tp t="s">
        <v>#N/A Requesting Data...1627608614</v>
        <stp/>
        <stp>BDP|12366806809201212180</stp>
        <tr r="N453" s="2"/>
      </tp>
      <tp t="s">
        <v>#N/A Requesting Data...3089937759</v>
        <stp/>
        <stp>BDP|13138753673799678013</stp>
        <tr r="J2253" s="2"/>
      </tp>
      <tp t="s">
        <v>#N/A Requesting Data...1493194535</v>
        <stp/>
        <stp>BDP|10987949042674708384</stp>
        <tr r="H660" s="2"/>
      </tp>
      <tp t="s">
        <v>#N/A Requesting Data...3775463159</v>
        <stp/>
        <stp>BDP|15457755371438710776</stp>
        <tr r="D916" s="2"/>
      </tp>
      <tp t="b">
        <v>0</v>
        <stp/>
        <stp>BDS|15476606410038316043</stp>
        <tr r="I258" s="2"/>
      </tp>
      <tp t="s">
        <v>#N/A Requesting Data...2700543653</v>
        <stp/>
        <stp>BDP|12581550397153321748</stp>
        <tr r="P151" s="2"/>
      </tp>
      <tp t="s">
        <v>#N/A Requesting Data...3972076809</v>
        <stp/>
        <stp>BDP|11881017188193659078</stp>
        <tr r="P1415" s="2"/>
      </tp>
      <tp t="s">
        <v>#N/A Requesting Data...3239844764</v>
        <stp/>
        <stp>BDP|13617739375908366134</stp>
        <tr r="C1204" s="2"/>
      </tp>
      <tp t="s">
        <v>#N/A Requesting Data...2428647961</v>
        <stp/>
        <stp>BDP|14162007392587345002</stp>
        <tr r="M1686" s="2"/>
      </tp>
      <tp t="s">
        <v>#N/A Requesting Data...1419145651</v>
        <stp/>
        <stp>BDP|13344957841654672010</stp>
        <tr r="F1131" s="2"/>
      </tp>
      <tp t="s">
        <v>#N/A Requesting Data...3793452056</v>
        <stp/>
        <stp>BDP|18256603570951453268</stp>
        <tr r="Q255" s="2"/>
      </tp>
      <tp t="s">
        <v>#N/A Requesting Data...3352093161</v>
        <stp/>
        <stp>BDP|14051111701646066906</stp>
        <tr r="D1466" s="2"/>
      </tp>
      <tp t="s">
        <v>#N/A Requesting Data...3813506956</v>
        <stp/>
        <stp>BDP|17068720812633602862</stp>
        <tr r="T364" s="2"/>
      </tp>
      <tp t="s">
        <v>#N/A Requesting Data...2905299203</v>
        <stp/>
        <stp>BDP|12292348743376660936</stp>
        <tr r="G125" s="2"/>
      </tp>
      <tp t="s">
        <v>#N/A Requesting Data...3582445205</v>
        <stp/>
        <stp>BDP|16504667182056452450</stp>
        <tr r="H1220" s="2"/>
      </tp>
      <tp t="s">
        <v>#N/A Requesting Data...3420803839</v>
        <stp/>
        <stp>BDP|15040466436110878885</stp>
        <tr r="C1623" s="2"/>
      </tp>
      <tp t="s">
        <v>#N/A Requesting Data...1224029386</v>
        <stp/>
        <stp>BDP|15199807068965175481</stp>
        <tr r="C1023" s="2"/>
      </tp>
      <tp t="s">
        <v>#N/A Requesting Data...3314102952</v>
        <stp/>
        <stp>BDP|12811426776668845344</stp>
        <tr r="O380" s="2"/>
      </tp>
      <tp t="s">
        <v>#N/A Requesting Data...1105260809</v>
        <stp/>
        <stp>BDP|12948235861324363885</stp>
        <tr r="J510" s="2"/>
      </tp>
      <tp t="b">
        <v>0</v>
        <stp/>
        <stp>BDS|17353174947739375131</stp>
        <tr r="I1932" s="2"/>
      </tp>
      <tp t="s">
        <v>#N/A Requesting Data...2010463337</v>
        <stp/>
        <stp>BDP|13429963646014336072</stp>
        <tr r="N1276" s="2"/>
      </tp>
      <tp t="b">
        <v>0</v>
        <stp/>
        <stp>BDS|14639268416465781827</stp>
        <tr r="I2374" s="2"/>
      </tp>
      <tp t="s">
        <v>#N/A Requesting Data...2937698795</v>
        <stp/>
        <stp>BDP|13072271482071674231</stp>
        <tr r="O1616" s="2"/>
      </tp>
      <tp t="s">
        <v>#N/A Requesting Data...3929227341</v>
        <stp/>
        <stp>BDP|16641260791023211435</stp>
        <tr r="O400" s="2"/>
      </tp>
      <tp t="s">
        <v>#N/A Requesting Data...4239186432</v>
        <stp/>
        <stp>BDP|17277672607219721255</stp>
        <tr r="S174" s="2"/>
      </tp>
      <tp t="s">
        <v>#N/A Requesting Data...2525579957</v>
        <stp/>
        <stp>BDP|12054832555530532531</stp>
        <tr r="D459" s="2"/>
      </tp>
      <tp t="s">
        <v>#N/A Requesting Data...2048147409</v>
        <stp/>
        <stp>BDP|13213814074031420737</stp>
        <tr r="J729" s="2"/>
      </tp>
      <tp t="s">
        <v>#N/A Requesting Data...3948995012</v>
        <stp/>
        <stp>BDP|10839971027353921214</stp>
        <tr r="C2496" s="2"/>
      </tp>
      <tp t="s">
        <v>#N/A Requesting Data...1179201303</v>
        <stp/>
        <stp>BDP|16253504882840962198</stp>
        <tr r="D2429" s="2"/>
      </tp>
      <tp t="s">
        <v>#N/A Requesting Data...4260349406</v>
        <stp/>
        <stp>BDP|11795688780181775480</stp>
        <tr r="C527" s="2"/>
      </tp>
      <tp t="s">
        <v>#N/A Requesting Data...1173226734</v>
        <stp/>
        <stp>BDP|18088656407175085120</stp>
        <tr r="G437" s="2"/>
      </tp>
      <tp t="s">
        <v>#N/A Requesting Data...3155895544</v>
        <stp/>
        <stp>BDP|10533344621619142212</stp>
        <tr r="T851" s="2"/>
      </tp>
      <tp t="s">
        <v>#N/A Requesting Data...3459241502</v>
        <stp/>
        <stp>BDP|10004870497728143314</stp>
        <tr r="N1307" s="2"/>
      </tp>
      <tp t="b">
        <v>0</v>
        <stp/>
        <stp>BDS|13025405027726507917</stp>
        <tr r="I519" s="2"/>
      </tp>
      <tp t="b">
        <v>0</v>
        <stp/>
        <stp>BDS|11707743102925057928</stp>
        <tr r="I2473" s="2"/>
      </tp>
      <tp t="s">
        <v>#N/A Requesting Data...3581622478</v>
        <stp/>
        <stp>BDP|12285755043613788835</stp>
        <tr r="G144" s="2"/>
      </tp>
      <tp t="s">
        <v>#N/A Requesting Data...2635844187</v>
        <stp/>
        <stp>BDP|11027428197480090651</stp>
        <tr r="P2374" s="2"/>
      </tp>
      <tp t="s">
        <v>#N/A Requesting Data...3483637492</v>
        <stp/>
        <stp>BDP|18001761418394944070</stp>
        <tr r="N1761" s="2"/>
      </tp>
      <tp t="s">
        <v>#N/A Requesting Data...3588188394</v>
        <stp/>
        <stp>BDP|11687934007840148236</stp>
        <tr r="R1647" s="2"/>
      </tp>
      <tp t="s">
        <v>#N/A Requesting Data...1913819342</v>
        <stp/>
        <stp>BDP|11567541442363131921</stp>
        <tr r="D1701" s="2"/>
      </tp>
      <tp t="s">
        <v>#N/A Requesting Data...1281582422</v>
        <stp/>
        <stp>BDP|11157844071161118554</stp>
        <tr r="J432" s="2"/>
      </tp>
      <tp t="s">
        <v>#N/A Requesting Data...2541670569</v>
        <stp/>
        <stp>BDP|12043744887490458774</stp>
        <tr r="E332" s="2"/>
      </tp>
      <tp t="s">
        <v>#N/A Requesting Data...1233682796</v>
        <stp/>
        <stp>BDP|18277622735595203275</stp>
        <tr r="F2268" s="2"/>
      </tp>
      <tp t="s">
        <v>#N/A Requesting Data...3101506199</v>
        <stp/>
        <stp>BDP|18045629335117782001</stp>
        <tr r="D2130" s="2"/>
      </tp>
      <tp t="s">
        <v>#N/A Requesting Data...3169272506</v>
        <stp/>
        <stp>BDP|15001564686566553451</stp>
        <tr r="M1403" s="2"/>
      </tp>
      <tp t="s">
        <v>#N/A Requesting Data...1573687093</v>
        <stp/>
        <stp>BDP|12846581163073069837</stp>
        <tr r="S2202" s="2"/>
      </tp>
      <tp t="s">
        <v>#N/A Requesting Data...2989581347</v>
        <stp/>
        <stp>BDP|12716101202980356968</stp>
        <tr r="Q1517" s="2"/>
      </tp>
      <tp t="s">
        <v>#N/A Requesting Data...1801234088</v>
        <stp/>
        <stp>BDP|12544984517557361797</stp>
        <tr r="P1059" s="2"/>
      </tp>
      <tp t="s">
        <v>#N/A Requesting Data...3211192543</v>
        <stp/>
        <stp>BDP|11922991054735055245</stp>
        <tr r="R509" s="2"/>
      </tp>
      <tp t="s">
        <v>#N/A Requesting Data...1363886216</v>
        <stp/>
        <stp>BDP|12883574088153787601</stp>
        <tr r="C2375" s="2"/>
      </tp>
      <tp t="s">
        <v>#N/A Requesting Data...2715131835</v>
        <stp/>
        <stp>BDP|17266896648164517564</stp>
        <tr r="J279" s="2"/>
      </tp>
      <tp t="s">
        <v>#N/A Requesting Data...3173122043</v>
        <stp/>
        <stp>BDP|11411011997103385122</stp>
        <tr r="P1700" s="2"/>
      </tp>
      <tp t="s">
        <v>#N/A Requesting Data...4050958747</v>
        <stp/>
        <stp>BDP|14191125444603259864</stp>
        <tr r="D1004" s="2"/>
      </tp>
      <tp t="s">
        <v>#N/A Requesting Data...1574680336</v>
        <stp/>
        <stp>BDP|17087508592948272935</stp>
        <tr r="F323" s="2"/>
      </tp>
      <tp t="s">
        <v>#N/A Requesting Data...2356697840</v>
        <stp/>
        <stp>BDP|10282841224384694479</stp>
        <tr r="C412" s="2"/>
      </tp>
      <tp t="s">
        <v>#N/A Requesting Data...2714283754</v>
        <stp/>
        <stp>BDP|11496456930469305511</stp>
        <tr r="Q843" s="2"/>
      </tp>
      <tp t="s">
        <v>#N/A Requesting Data...1782784264</v>
        <stp/>
        <stp>BDP|12473588811254940873</stp>
        <tr r="F2139" s="2"/>
      </tp>
      <tp t="s">
        <v>#N/A Requesting Data...1345326915</v>
        <stp/>
        <stp>BDP|17996483981293208212</stp>
        <tr r="E19" s="2"/>
      </tp>
      <tp t="s">
        <v>#N/A Requesting Data...3971337800</v>
        <stp/>
        <stp>BDP|12229178597844081410</stp>
        <tr r="Q1074" s="2"/>
      </tp>
      <tp t="s">
        <v>#N/A Requesting Data...2447819436</v>
        <stp/>
        <stp>BDP|16806909043172058387</stp>
        <tr r="K2251" s="2"/>
      </tp>
      <tp t="b">
        <v>0</v>
        <stp/>
        <stp>BDS|18110156157727729148</stp>
        <tr r="I1296" s="2"/>
      </tp>
      <tp t="s">
        <v>#N/A Requesting Data...1207947975</v>
        <stp/>
        <stp>BDP|11462908739442797399</stp>
        <tr r="H2026" s="2"/>
      </tp>
      <tp t="s">
        <v>#N/A Requesting Data...1280220341</v>
        <stp/>
        <stp>BDP|14243656245965165907</stp>
        <tr r="N2412" s="2"/>
      </tp>
      <tp t="s">
        <v>#N/A Requesting Data...3679438450</v>
        <stp/>
        <stp>BDP|16421949524201659615</stp>
        <tr r="T1606" s="2"/>
      </tp>
      <tp t="s">
        <v>#N/A Requesting Data...4100758894</v>
        <stp/>
        <stp>BDP|13082585804554975866</stp>
        <tr r="O649" s="2"/>
      </tp>
      <tp t="s">
        <v>#N/A Requesting Data...3618146482</v>
        <stp/>
        <stp>BDP|13734862868717378098</stp>
        <tr r="Q1545" s="2"/>
      </tp>
      <tp t="s">
        <v>#N/A Requesting Data...2748484505</v>
        <stp/>
        <stp>BDP|16571658751738290708</stp>
        <tr r="H2195" s="2"/>
      </tp>
      <tp t="s">
        <v>#N/A Requesting Data...1385923470</v>
        <stp/>
        <stp>BDP|11340423226945240863</stp>
        <tr r="H607" s="2"/>
      </tp>
      <tp t="s">
        <v>#N/A Requesting Data...2794826697</v>
        <stp/>
        <stp>BDP|14197426284161161351</stp>
        <tr r="H1165" s="2"/>
      </tp>
      <tp t="s">
        <v>#N/A Requesting Data...1293307531</v>
        <stp/>
        <stp>BDP|13790621620619262440</stp>
        <tr r="A1196" s="2"/>
      </tp>
      <tp t="s">
        <v>#N/A Requesting Data...3942730019</v>
        <stp/>
        <stp>BDP|18268163023069288865</stp>
        <tr r="R1842" s="2"/>
      </tp>
      <tp t="s">
        <v>#N/A Requesting Data...2533089950</v>
        <stp/>
        <stp>BDP|10007314065216388941</stp>
        <tr r="C17" s="2"/>
      </tp>
      <tp t="s">
        <v>#N/A Requesting Data...3988394449</v>
        <stp/>
        <stp>BDP|12382990498169146102</stp>
        <tr r="G2106" s="2"/>
      </tp>
      <tp t="s">
        <v>#N/A Requesting Data...2051839991</v>
        <stp/>
        <stp>BDP|14357715890992235235</stp>
        <tr r="A259" s="2"/>
      </tp>
      <tp t="s">
        <v>#N/A Requesting Data...1267649569</v>
        <stp/>
        <stp>BDP|15266294449880347920</stp>
        <tr r="T1375" s="2"/>
      </tp>
      <tp t="s">
        <v>#N/A Requesting Data...2730688452</v>
        <stp/>
        <stp>BDP|17294535685905529529</stp>
        <tr r="C2055" s="2"/>
      </tp>
      <tp t="s">
        <v>#N/A Requesting Data...3004747034</v>
        <stp/>
        <stp>BDP|16166520615121786921</stp>
        <tr r="R2331" s="2"/>
      </tp>
      <tp t="s">
        <v>#N/A Requesting Data...3381358938</v>
        <stp/>
        <stp>BDP|16387981448339647860</stp>
        <tr r="C262" s="2"/>
      </tp>
      <tp t="s">
        <v>#N/A Requesting Data...2272075527</v>
        <stp/>
        <stp>BDP|16672341257513746919</stp>
        <tr r="N1844" s="2"/>
      </tp>
      <tp t="s">
        <v>#N/A Requesting Data...1661380446</v>
        <stp/>
        <stp>BDP|14582573190116034417</stp>
        <tr r="O1286" s="2"/>
      </tp>
      <tp t="s">
        <v>#N/A Requesting Data...3412735561</v>
        <stp/>
        <stp>BDP|14204808607773254544</stp>
        <tr r="C749" s="2"/>
      </tp>
      <tp t="s">
        <v>#N/A Requesting Data...3622373107</v>
        <stp/>
        <stp>BDP|14226657193009519829</stp>
        <tr r="S823" s="2"/>
      </tp>
      <tp t="s">
        <v>#N/A Requesting Data...3376592259</v>
        <stp/>
        <stp>BDP|10339793045511593891</stp>
        <tr r="D276" s="2"/>
      </tp>
      <tp t="s">
        <v>#N/A Requesting Data...2327932441</v>
        <stp/>
        <stp>BDP|10332866877183986681</stp>
        <tr r="F1750" s="2"/>
      </tp>
      <tp t="s">
        <v>#N/A Requesting Data...3101054600</v>
        <stp/>
        <stp>BDP|16262316341849876292</stp>
        <tr r="M817" s="2"/>
      </tp>
      <tp t="s">
        <v>#N/A Requesting Data...3088556887</v>
        <stp/>
        <stp>BDP|11485112086940483246</stp>
        <tr r="F499" s="2"/>
      </tp>
      <tp t="s">
        <v>#N/A Requesting Data...2832717100</v>
        <stp/>
        <stp>BDP|16345200793566186124</stp>
        <tr r="D1918" s="2"/>
      </tp>
      <tp t="s">
        <v>#N/A Requesting Data...1811804210</v>
        <stp/>
        <stp>BDP|15450202881305407028</stp>
        <tr r="M2208" s="2"/>
      </tp>
      <tp t="s">
        <v>#N/A Requesting Data...3253914610</v>
        <stp/>
        <stp>BDP|17470246227254769939</stp>
        <tr r="S150" s="2"/>
      </tp>
      <tp t="b">
        <v>0</v>
        <stp/>
        <stp>BDS|17884502751629804410</stp>
        <tr r="I1523" s="2"/>
      </tp>
      <tp t="s">
        <v>#N/A Requesting Data...2200609889</v>
        <stp/>
        <stp>BDP|13416921056820723546</stp>
        <tr r="T375" s="2"/>
      </tp>
      <tp t="s">
        <v>#N/A Requesting Data...2046148852</v>
        <stp/>
        <stp>BDP|14424943543864021707</stp>
        <tr r="R1095" s="2"/>
      </tp>
      <tp t="s">
        <v>#N/A Requesting Data...3908078412</v>
        <stp/>
        <stp>BDP|16119284348793379916</stp>
        <tr r="C1341" s="2"/>
      </tp>
      <tp t="s">
        <v>#N/A Requesting Data...2933690352</v>
        <stp/>
        <stp>BDP|13273555738748545792</stp>
        <tr r="S2010" s="2"/>
      </tp>
      <tp t="s">
        <v>#N/A Requesting Data...1653099640</v>
        <stp/>
        <stp>BDP|17342437632548265233</stp>
        <tr r="S2355" s="2"/>
      </tp>
      <tp t="s">
        <v>#N/A Requesting Data...3950123372</v>
        <stp/>
        <stp>BDP|11715937943797362174</stp>
        <tr r="G1045" s="2"/>
      </tp>
      <tp t="b">
        <v>0</v>
        <stp/>
        <stp>BDS|10989901119567578558</stp>
        <tr r="I1547" s="2"/>
      </tp>
      <tp t="s">
        <v>#N/A Requesting Data...2247604665</v>
        <stp/>
        <stp>BDP|15306106850743347837</stp>
        <tr r="E563" s="2"/>
      </tp>
      <tp t="s">
        <v>#N/A Requesting Data...4095327951</v>
        <stp/>
        <stp>BDP|10958086440428360613</stp>
        <tr r="D109" s="2"/>
      </tp>
      <tp t="s">
        <v>#N/A Requesting Data...2211369544</v>
        <stp/>
        <stp>BDP|16536938123803379456</stp>
        <tr r="F527" s="2"/>
      </tp>
      <tp t="s">
        <v>#N/A Requesting Data...1763084245</v>
        <stp/>
        <stp>BDP|15309128964631345958</stp>
        <tr r="R126" s="2"/>
      </tp>
      <tp t="s">
        <v>#N/A Requesting Data...1845377073</v>
        <stp/>
        <stp>BDP|17432904353979080844</stp>
        <tr r="N831" s="2"/>
      </tp>
      <tp t="s">
        <v>#N/A Requesting Data...3091892702</v>
        <stp/>
        <stp>BDP|10534506950492264845</stp>
        <tr r="D475" s="2"/>
      </tp>
      <tp t="s">
        <v>#N/A Requesting Data...1955502821</v>
        <stp/>
        <stp>BDP|13105995122742030093</stp>
        <tr r="D1120" s="2"/>
      </tp>
      <tp t="s">
        <v>#N/A Requesting Data...3179998246</v>
        <stp/>
        <stp>BDP|10531428390995058246</stp>
        <tr r="C2302" s="2"/>
      </tp>
      <tp t="s">
        <v>#N/A Requesting Data...4077719826</v>
        <stp/>
        <stp>BDP|18169147464387038221</stp>
        <tr r="G996" s="2"/>
      </tp>
      <tp t="s">
        <v>#N/A Requesting Data...2197813809</v>
        <stp/>
        <stp>BDP|14432521166889724448</stp>
        <tr r="E1220" s="2"/>
      </tp>
      <tp t="s">
        <v>#N/A Requesting Data...1966780922</v>
        <stp/>
        <stp>BDP|13436574993972480776</stp>
        <tr r="C662" s="2"/>
      </tp>
      <tp t="s">
        <v>#N/A Requesting Data...1566384007</v>
        <stp/>
        <stp>BDP|14401544582580224333</stp>
        <tr r="R989" s="2"/>
      </tp>
      <tp t="s">
        <v>#N/A Requesting Data...2375479501</v>
        <stp/>
        <stp>BDP|12097127671459126718</stp>
        <tr r="H2243" s="2"/>
      </tp>
      <tp t="s">
        <v>#N/A Requesting Data...3886180653</v>
        <stp/>
        <stp>BDP|15592223514278192411</stp>
        <tr r="A435" s="2"/>
      </tp>
      <tp t="s">
        <v>#N/A Requesting Data...2115525453</v>
        <stp/>
        <stp>BDP|15504721291485171445</stp>
        <tr r="N414" s="2"/>
      </tp>
      <tp t="s">
        <v>#N/A Requesting Data...3408267048</v>
        <stp/>
        <stp>BDP|12084720857098260249</stp>
        <tr r="J1357" s="2"/>
      </tp>
      <tp t="s">
        <v>#N/A Requesting Data...3862892867</v>
        <stp/>
        <stp>BDP|18344906033491638952</stp>
        <tr r="D2136" s="2"/>
      </tp>
      <tp t="s">
        <v>#N/A Requesting Data...2815989258</v>
        <stp/>
        <stp>BDP|16721935427302404543</stp>
        <tr r="Q459" s="2"/>
      </tp>
      <tp t="s">
        <v>#N/A Requesting Data...3131866447</v>
        <stp/>
        <stp>BDP|13955993473163655465</stp>
        <tr r="M2140" s="2"/>
      </tp>
      <tp t="s">
        <v>#N/A Requesting Data...2703262897</v>
        <stp/>
        <stp>BDP|14716819445284296625</stp>
        <tr r="D42" s="2"/>
      </tp>
      <tp t="s">
        <v>#N/A Requesting Data...2812894669</v>
        <stp/>
        <stp>BDP|17797190391374998155</stp>
        <tr r="H5" s="2"/>
      </tp>
      <tp t="s">
        <v>#N/A Requesting Data...4251137285</v>
        <stp/>
        <stp>BDP|12632294941898405699</stp>
        <tr r="T1914" s="2"/>
      </tp>
      <tp t="s">
        <v>#N/A Requesting Data...3499774557</v>
        <stp/>
        <stp>BDP|16866794397270219274</stp>
        <tr r="C932" s="2"/>
      </tp>
      <tp t="s">
        <v>#N/A Requesting Data...1393318449</v>
        <stp/>
        <stp>BDP|16776119670832057856</stp>
        <tr r="E1408" s="2"/>
      </tp>
      <tp t="b">
        <v>0</v>
        <stp/>
        <stp>BDS|17721874545386605731</stp>
        <tr r="I7" s="2"/>
      </tp>
      <tp t="b">
        <v>0</v>
        <stp/>
        <stp>BDS|14587928475127049721</stp>
        <tr r="I971" s="2"/>
      </tp>
      <tp t="b">
        <v>0</v>
        <stp/>
        <stp>BDS|11635273980927644679</stp>
        <tr r="I231" s="2"/>
      </tp>
      <tp t="s">
        <v>#N/A Requesting Data...3569058829</v>
        <stp/>
        <stp>BDP|13856923623712274082</stp>
        <tr r="N1373" s="2"/>
      </tp>
      <tp t="s">
        <v>#N/A Requesting Data...2830276645</v>
        <stp/>
        <stp>BDP|13972688015729786704</stp>
        <tr r="E2298" s="2"/>
      </tp>
      <tp t="s">
        <v>#N/A Requesting Data...2147130884</v>
        <stp/>
        <stp>BDP|11171078316362585860</stp>
        <tr r="J952" s="2"/>
      </tp>
      <tp t="s">
        <v>#N/A Requesting Data...3930453738</v>
        <stp/>
        <stp>BDP|18306023809944257684</stp>
        <tr r="C2142" s="2"/>
      </tp>
      <tp t="s">
        <v>#N/A Requesting Data...2903448257</v>
        <stp/>
        <stp>BDP|11520753967002680832</stp>
        <tr r="A1936" s="2"/>
      </tp>
      <tp t="s">
        <v>#N/A Requesting Data...4191426553</v>
        <stp/>
        <stp>BDP|12736569421326138931</stp>
        <tr r="E1482" s="2"/>
      </tp>
      <tp t="s">
        <v>#N/A Requesting Data...1515078702</v>
        <stp/>
        <stp>BDP|13708801890828165044</stp>
        <tr r="S978" s="2"/>
      </tp>
      <tp t="s">
        <v>#N/A Requesting Data...3596902840</v>
        <stp/>
        <stp>BDP|12022194560666387983</stp>
        <tr r="J685" s="2"/>
      </tp>
      <tp t="s">
        <v>#N/A Requesting Data...3649571099</v>
        <stp/>
        <stp>BDP|14710140957293696901</stp>
        <tr r="K1697" s="2"/>
      </tp>
      <tp t="s">
        <v>#N/A Requesting Data...3658387160</v>
        <stp/>
        <stp>BDP|13152373448846822847</stp>
        <tr r="K2245" s="2"/>
      </tp>
      <tp t="s">
        <v>#N/A Requesting Data...2434869992</v>
        <stp/>
        <stp>BDP|14656259617304173973</stp>
        <tr r="F1086" s="2"/>
      </tp>
      <tp t="s">
        <v>#N/A Requesting Data...4044118270</v>
        <stp/>
        <stp>BDP|13874198125699133370</stp>
        <tr r="R829" s="2"/>
      </tp>
      <tp t="s">
        <v>#N/A Requesting Data...1448003584</v>
        <stp/>
        <stp>BDP|11076035391857339533</stp>
        <tr r="F567" s="2"/>
      </tp>
      <tp t="s">
        <v>#N/A Requesting Data...1512598607</v>
        <stp/>
        <stp>BDP|12503860967472675409</stp>
        <tr r="A1305" s="2"/>
      </tp>
      <tp t="s">
        <v>#N/A Requesting Data...3916745893</v>
        <stp/>
        <stp>BDP|14900652888419052969</stp>
        <tr r="Q852" s="2"/>
      </tp>
      <tp t="s">
        <v>#N/A Requesting Data...2357856590</v>
        <stp/>
        <stp>BDP|11596644036649601731</stp>
        <tr r="K1738" s="2"/>
      </tp>
      <tp t="s">
        <v>#N/A Requesting Data...3487589607</v>
        <stp/>
        <stp>BDP|17702159462283225900</stp>
        <tr r="H2523" s="2"/>
      </tp>
      <tp t="b">
        <v>0</v>
        <stp/>
        <stp>BDS|13430191583598786886</stp>
        <tr r="I1632" s="2"/>
      </tp>
      <tp t="s">
        <v>#N/A Requesting Data...2752983868</v>
        <stp/>
        <stp>BDP|11206009045479214675</stp>
        <tr r="E546" s="2"/>
      </tp>
      <tp t="s">
        <v>#N/A Requesting Data...3922005998</v>
        <stp/>
        <stp>BDP|16419914942802450311</stp>
        <tr r="C1781" s="2"/>
      </tp>
      <tp t="s">
        <v>#N/A Requesting Data...2026074874</v>
        <stp/>
        <stp>BDP|14537898151433858072</stp>
        <tr r="F2247" s="2"/>
      </tp>
      <tp t="b">
        <v>0</v>
        <stp/>
        <stp>BDS|15416726993258757938</stp>
        <tr r="I272" s="2"/>
      </tp>
      <tp t="s">
        <v>#N/A Requesting Data...3809363708</v>
        <stp/>
        <stp>BDP|10256386348734488944</stp>
        <tr r="N1594" s="2"/>
      </tp>
      <tp t="s">
        <v>#N/A Requesting Data...1920538390</v>
        <stp/>
        <stp>BDP|10903419291091870636</stp>
        <tr r="R532" s="2"/>
      </tp>
      <tp t="s">
        <v>#N/A Requesting Data...3043697001</v>
        <stp/>
        <stp>BDP|18078442738542883760</stp>
        <tr r="D352" s="2"/>
      </tp>
      <tp t="s">
        <v>#N/A Requesting Data...3861264306</v>
        <stp/>
        <stp>BDP|13331568604764637857</stp>
        <tr r="F2266" s="2"/>
      </tp>
      <tp t="s">
        <v>#N/A Requesting Data...1908219110</v>
        <stp/>
        <stp>BDP|11247283208930257923</stp>
        <tr r="E819" s="2"/>
      </tp>
      <tp t="s">
        <v>#N/A Requesting Data...1490830624</v>
        <stp/>
        <stp>BDP|11621226783734380564</stp>
        <tr r="P127" s="2"/>
      </tp>
      <tp t="b">
        <v>0</v>
        <stp/>
        <stp>BDS|18246398748577237205</stp>
        <tr r="I691" s="2"/>
      </tp>
      <tp t="s">
        <v>#N/A Requesting Data...3931964033</v>
        <stp/>
        <stp>BDP|15162805046372778129</stp>
        <tr r="F1326" s="2"/>
      </tp>
      <tp t="s">
        <v>#N/A Requesting Data...3214813782</v>
        <stp/>
        <stp>BDP|10434253795597782613</stp>
        <tr r="H1358" s="2"/>
      </tp>
      <tp t="s">
        <v>#N/A Requesting Data...3723939431</v>
        <stp/>
        <stp>BDP|18093098791978929334</stp>
        <tr r="D1080" s="2"/>
      </tp>
      <tp t="s">
        <v>#N/A Requesting Data...4220396889</v>
        <stp/>
        <stp>BDP|15913823143936236586</stp>
        <tr r="J2035" s="2"/>
      </tp>
      <tp t="b">
        <v>0</v>
        <stp/>
        <stp>BDS|17235100796725531009</stp>
        <tr r="I93" s="2"/>
      </tp>
      <tp t="s">
        <v>#N/A Requesting Data...3664477484</v>
        <stp/>
        <stp>BDP|11132795770442942938</stp>
        <tr r="F2148" s="2"/>
      </tp>
      <tp t="s">
        <v>#N/A Requesting Data...4286876243</v>
        <stp/>
        <stp>BDP|16084270806227051932</stp>
        <tr r="M1779" s="2"/>
      </tp>
      <tp t="s">
        <v>#N/A Requesting Data...2004796907</v>
        <stp/>
        <stp>BDP|10966135251257058999</stp>
        <tr r="T1297" s="2"/>
      </tp>
      <tp t="s">
        <v>#N/A Requesting Data...3408965298</v>
        <stp/>
        <stp>BDP|18311252716588595972</stp>
        <tr r="K1889" s="2"/>
      </tp>
      <tp t="s">
        <v>#N/A Requesting Data...1756757393</v>
        <stp/>
        <stp>BDP|13606850131556885480</stp>
        <tr r="Q1723" s="2"/>
      </tp>
      <tp t="s">
        <v>#N/A Requesting Data...2113588405</v>
        <stp/>
        <stp>BDP|10388643742819185167</stp>
        <tr r="E885" s="2"/>
      </tp>
      <tp t="s">
        <v>#N/A Requesting Data...3959397873</v>
        <stp/>
        <stp>BDP|18096042307281268333</stp>
        <tr r="J1223" s="2"/>
      </tp>
      <tp t="s">
        <v>#N/A Requesting Data...3928772618</v>
        <stp/>
        <stp>BDP|10081782918125068921</stp>
        <tr r="M505" s="2"/>
      </tp>
      <tp t="s">
        <v>#N/A Requesting Data...3086682379</v>
        <stp/>
        <stp>BDP|12020546297281733566</stp>
        <tr r="J1248" s="2"/>
      </tp>
      <tp t="s">
        <v>#N/A Requesting Data...4099444848</v>
        <stp/>
        <stp>BDP|18382299909157066715</stp>
        <tr r="S1627" s="2"/>
      </tp>
      <tp t="s">
        <v>#N/A Requesting Data...1672003708</v>
        <stp/>
        <stp>BDP|17773057225789112645</stp>
        <tr r="C151" s="2"/>
      </tp>
      <tp t="s">
        <v>#N/A Requesting Data...2331296095</v>
        <stp/>
        <stp>BDP|12959766388701010656</stp>
        <tr r="K1354" s="2"/>
      </tp>
      <tp t="s">
        <v>#N/A Requesting Data...1854490707</v>
        <stp/>
        <stp>BDP|10282771970889735301</stp>
        <tr r="D105" s="2"/>
      </tp>
      <tp t="s">
        <v>#N/A Requesting Data...1879237927</v>
        <stp/>
        <stp>BDP|13462092943934885947</stp>
        <tr r="E937" s="2"/>
      </tp>
      <tp t="b">
        <v>0</v>
        <stp/>
        <stp>BDS|14656513975859144528</stp>
        <tr r="I910" s="2"/>
      </tp>
      <tp t="s">
        <v>#N/A Requesting Data...1877183954</v>
        <stp/>
        <stp>BDP|13551710085462422471</stp>
        <tr r="R1699" s="2"/>
      </tp>
      <tp t="s">
        <v>#N/A Requesting Data...2914815122</v>
        <stp/>
        <stp>BDP|12327489869359280321</stp>
        <tr r="A805" s="2"/>
      </tp>
      <tp t="b">
        <v>0</v>
        <stp/>
        <stp>BDS|17725801504644350111</stp>
        <tr r="I2510" s="2"/>
      </tp>
      <tp t="s">
        <v>#N/A Requesting Data...3222743068</v>
        <stp/>
        <stp>BDP|18014873075128517553</stp>
        <tr r="F329" s="2"/>
      </tp>
      <tp t="s">
        <v>#N/A Requesting Data...1713037620</v>
        <stp/>
        <stp>BDP|14570232728689867745</stp>
        <tr r="F1764" s="2"/>
      </tp>
      <tp t="s">
        <v>#N/A Requesting Data...2219176087</v>
        <stp/>
        <stp>BDP|14526613685523249310</stp>
        <tr r="M1993" s="2"/>
      </tp>
      <tp t="s">
        <v>#N/A Requesting Data...3819370180</v>
        <stp/>
        <stp>BDP|17187852085548170528</stp>
        <tr r="P1484" s="2"/>
      </tp>
      <tp t="s">
        <v>#N/A Requesting Data...1700590489</v>
        <stp/>
        <stp>BDP|11691049205783210871</stp>
        <tr r="T479" s="2"/>
      </tp>
      <tp t="s">
        <v>#N/A Requesting Data...2979894503</v>
        <stp/>
        <stp>BDP|12095913952684485053</stp>
        <tr r="J712" s="2"/>
      </tp>
      <tp t="s">
        <v>#N/A Requesting Data...4186270475</v>
        <stp/>
        <stp>BDP|11245413800747120804</stp>
        <tr r="G2272" s="2"/>
      </tp>
      <tp t="s">
        <v>#N/A Requesting Data...4286464223</v>
        <stp/>
        <stp>BDP|11912125669049259527</stp>
        <tr r="A1866" s="2"/>
      </tp>
      <tp t="s">
        <v>#N/A Requesting Data...3476807032</v>
        <stp/>
        <stp>BDP|13789189938732358965</stp>
        <tr r="O466" s="2"/>
      </tp>
      <tp t="s">
        <v>#N/A Requesting Data...3250948198</v>
        <stp/>
        <stp>BDP|12148038930713292824</stp>
        <tr r="O2213" s="2"/>
      </tp>
      <tp t="s">
        <v>#N/A Requesting Data...2659014504</v>
        <stp/>
        <stp>BDP|11078707190703140636</stp>
        <tr r="K1947" s="2"/>
      </tp>
      <tp t="b">
        <v>0</v>
        <stp/>
        <stp>BDS|12686036884901045106</stp>
        <tr r="I1135" s="2"/>
      </tp>
      <tp t="s">
        <v>#N/A Requesting Data...4189107612</v>
        <stp/>
        <stp>BDP|13273876629780939370</stp>
        <tr r="J345" s="2"/>
      </tp>
      <tp t="s">
        <v>#N/A Requesting Data...4039826709</v>
        <stp/>
        <stp>BDP|14921819580206983834</stp>
        <tr r="N945" s="2"/>
      </tp>
      <tp t="s">
        <v>#N/A Requesting Data...1889723254</v>
        <stp/>
        <stp>BDP|16635461230523332811</stp>
        <tr r="A1778" s="2"/>
      </tp>
      <tp t="s">
        <v>#N/A Requesting Data...4060186647</v>
        <stp/>
        <stp>BDP|10033873892008606314</stp>
        <tr r="S2197" s="2"/>
      </tp>
      <tp t="s">
        <v>#N/A Requesting Data...3384963218</v>
        <stp/>
        <stp>BDP|10370446205646839880</stp>
        <tr r="F1282" s="2"/>
      </tp>
      <tp t="s">
        <v>#N/A Requesting Data...3994944301</v>
        <stp/>
        <stp>BDP|17441828832145182371</stp>
        <tr r="G950" s="2"/>
      </tp>
      <tp t="s">
        <v>#N/A Requesting Data...4245980505</v>
        <stp/>
        <stp>BDP|11313333888875262588</stp>
        <tr r="T313" s="2"/>
      </tp>
      <tp t="s">
        <v>#N/A Requesting Data...3693484697</v>
        <stp/>
        <stp>BDP|11274871931025435521</stp>
        <tr r="A2489" s="2"/>
      </tp>
      <tp t="s">
        <v>#N/A Requesting Data...3347145978</v>
        <stp/>
        <stp>BDP|16258680598066371536</stp>
        <tr r="H2224" s="2"/>
      </tp>
      <tp t="s">
        <v>#N/A Requesting Data...2045178572</v>
        <stp/>
        <stp>BDP|10126579417977702946</stp>
        <tr r="C794" s="2"/>
      </tp>
      <tp t="s">
        <v>#N/A Requesting Data...3343087089</v>
        <stp/>
        <stp>BDP|18161311677512461410</stp>
        <tr r="F1628" s="2"/>
      </tp>
      <tp t="s">
        <v>#N/A Requesting Data...4200941573</v>
        <stp/>
        <stp>BDP|16100307045719371253</stp>
        <tr r="M1388" s="2"/>
      </tp>
      <tp t="s">
        <v>#N/A Requesting Data...3447832472</v>
        <stp/>
        <stp>BDP|17910435126772736994</stp>
        <tr r="A2042" s="2"/>
      </tp>
      <tp t="s">
        <v>#N/A Requesting Data...3530208681</v>
        <stp/>
        <stp>BDP|11124644990943315735</stp>
        <tr r="E2482" s="2"/>
      </tp>
      <tp t="s">
        <v>#N/A Requesting Data...2411847373</v>
        <stp/>
        <stp>BDP|16993772618963492970</stp>
        <tr r="R187" s="2"/>
      </tp>
      <tp t="s">
        <v>#N/A Requesting Data...1919223588</v>
        <stp/>
        <stp>BDP|16774958067103204025</stp>
        <tr r="A1360" s="2"/>
      </tp>
      <tp t="s">
        <v>#N/A Requesting Data...3114870169</v>
        <stp/>
        <stp>BDP|14927079602047018990</stp>
        <tr r="K2331" s="2"/>
      </tp>
      <tp t="s">
        <v>#N/A Requesting Data...4029986056</v>
        <stp/>
        <stp>BDP|17210535566377257908</stp>
        <tr r="T2393" s="2"/>
      </tp>
      <tp t="s">
        <v>#N/A Requesting Data...3254107349</v>
        <stp/>
        <stp>BDP|17234048732347423950</stp>
        <tr r="N2332" s="2"/>
      </tp>
      <tp t="s">
        <v>#N/A Requesting Data...3615775376</v>
        <stp/>
        <stp>BDP|14814981326673686654</stp>
        <tr r="T928" s="2"/>
      </tp>
      <tp t="s">
        <v>#N/A Requesting Data...2273379759</v>
        <stp/>
        <stp>BDP|10213311346558481544</stp>
        <tr r="A379" s="2"/>
      </tp>
      <tp t="s">
        <v>#N/A Requesting Data...3190225470</v>
        <stp/>
        <stp>BDP|18265496212477894044</stp>
        <tr r="J1705" s="2"/>
      </tp>
      <tp t="s">
        <v>#N/A Requesting Data...2122025252</v>
        <stp/>
        <stp>BDP|10182842572264712150</stp>
        <tr r="Q1957" s="2"/>
      </tp>
      <tp t="s">
        <v>#N/A Requesting Data...1717646385</v>
        <stp/>
        <stp>BDP|12818513132489882767</stp>
        <tr r="Q1972" s="2"/>
      </tp>
      <tp t="s">
        <v>#N/A Requesting Data...2432119416</v>
        <stp/>
        <stp>BDP|14236591429968066174</stp>
        <tr r="A1916" s="2"/>
      </tp>
      <tp t="s">
        <v>#N/A Requesting Data...2479041766</v>
        <stp/>
        <stp>BDP|11659048776065252930</stp>
        <tr r="K2103" s="2"/>
      </tp>
      <tp t="s">
        <v>#N/A Requesting Data...2980056486</v>
        <stp/>
        <stp>BDP|13035059588224158595</stp>
        <tr r="M1515" s="2"/>
      </tp>
      <tp t="s">
        <v>#N/A Requesting Data...1879430084</v>
        <stp/>
        <stp>BDP|12624279525118055017</stp>
        <tr r="S987" s="2"/>
      </tp>
      <tp t="s">
        <v>#N/A Requesting Data...1688564643</v>
        <stp/>
        <stp>BDP|13715074208239583087</stp>
        <tr r="S2437" s="2"/>
      </tp>
      <tp t="s">
        <v>#N/A Requesting Data...2876998252</v>
        <stp/>
        <stp>BDP|13181071583111528054</stp>
        <tr r="E651" s="2"/>
      </tp>
      <tp t="s">
        <v>#N/A Requesting Data...2391839591</v>
        <stp/>
        <stp>BDP|11370914533183387274</stp>
        <tr r="P1924" s="2"/>
      </tp>
      <tp t="s">
        <v>#N/A Requesting Data...2287057477</v>
        <stp/>
        <stp>BDP|14751031288951802713</stp>
        <tr r="S189" s="2"/>
      </tp>
      <tp t="s">
        <v>#N/A Requesting Data...1926778172</v>
        <stp/>
        <stp>BDP|13795354784866589460</stp>
        <tr r="D1638" s="2"/>
      </tp>
      <tp t="s">
        <v>#N/A Requesting Data...2043248035</v>
        <stp/>
        <stp>BDP|16099266100228456675</stp>
        <tr r="N724" s="2"/>
      </tp>
      <tp t="s">
        <v>#N/A Requesting Data...3933273936</v>
        <stp/>
        <stp>BDP|11502280108258379138</stp>
        <tr r="P375" s="2"/>
      </tp>
      <tp t="s">
        <v>#N/A Requesting Data...1769998599</v>
        <stp/>
        <stp>BDP|12835822929840217245</stp>
        <tr r="M630" s="2"/>
      </tp>
      <tp t="s">
        <v>#N/A Requesting Data...4035410574</v>
        <stp/>
        <stp>BDP|10074806831168651928</stp>
        <tr r="T543" s="2"/>
      </tp>
      <tp t="s">
        <v>#N/A Requesting Data...3295960735</v>
        <stp/>
        <stp>BDP|10752455358099888275</stp>
        <tr r="P1578" s="2"/>
      </tp>
      <tp t="s">
        <v>#N/A Requesting Data...3896130787</v>
        <stp/>
        <stp>BDP|13992599980823719724</stp>
        <tr r="T881" s="2"/>
      </tp>
      <tp t="s">
        <v>#N/A Requesting Data...3916378147</v>
        <stp/>
        <stp>BDP|11615203289000992137</stp>
        <tr r="O1682" s="2"/>
      </tp>
      <tp t="s">
        <v>#N/A Requesting Data...2992423115</v>
        <stp/>
        <stp>BDP|10796664218454425987</stp>
        <tr r="S1746" s="2"/>
      </tp>
      <tp t="s">
        <v>#N/A Requesting Data...4225417397</v>
        <stp/>
        <stp>BDP|12340848253475303024</stp>
        <tr r="J389" s="2"/>
      </tp>
      <tp t="s">
        <v>#N/A Requesting Data...2646958986</v>
        <stp/>
        <stp>BDP|14796892014044642393</stp>
        <tr r="T62" s="2"/>
      </tp>
      <tp t="s">
        <v>#N/A Requesting Data...3465215767</v>
        <stp/>
        <stp>BDP|11450257620843351873</stp>
        <tr r="G655" s="2"/>
      </tp>
      <tp t="s">
        <v>#N/A Requesting Data...2856251147</v>
        <stp/>
        <stp>BDP|12252983879505589337</stp>
        <tr r="F481" s="2"/>
      </tp>
      <tp t="s">
        <v>#N/A Requesting Data...1777760250</v>
        <stp/>
        <stp>BDP|16049921923802063547</stp>
        <tr r="M908" s="2"/>
      </tp>
      <tp t="s">
        <v>#N/A Requesting Data...2727314310</v>
        <stp/>
        <stp>BDP|18354301325717299418</stp>
        <tr r="R995" s="2"/>
      </tp>
      <tp t="s">
        <v>#N/A Requesting Data...2827103003</v>
        <stp/>
        <stp>BDP|16029829204707370309</stp>
        <tr r="E180" s="2"/>
      </tp>
      <tp t="s">
        <v>#N/A Requesting Data...3128513489</v>
        <stp/>
        <stp>BDP|13230642772019552146</stp>
        <tr r="J1256" s="2"/>
      </tp>
      <tp t="s">
        <v>#N/A Requesting Data...3564133706</v>
        <stp/>
        <stp>BDP|11692112377435285875</stp>
        <tr r="P1187" s="2"/>
      </tp>
      <tp t="s">
        <v>#N/A Requesting Data...2158884744</v>
        <stp/>
        <stp>BDP|12129765153982857899</stp>
        <tr r="J476" s="2"/>
      </tp>
      <tp t="s">
        <v>#N/A Requesting Data...3093528991</v>
        <stp/>
        <stp>BDP|16812567588071446073</stp>
        <tr r="J1445" s="2"/>
      </tp>
      <tp t="s">
        <v>#N/A Requesting Data...2830900882</v>
        <stp/>
        <stp>BDP|11627378053859353446</stp>
        <tr r="S831" s="2"/>
      </tp>
      <tp t="s">
        <v>#N/A Requesting Data...2149468047</v>
        <stp/>
        <stp>BDP|11770564382773645501</stp>
        <tr r="D1524" s="2"/>
      </tp>
      <tp t="s">
        <v>#N/A Requesting Data...4013720664</v>
        <stp/>
        <stp>BDP|13566903198381867800</stp>
        <tr r="A1660" s="2"/>
      </tp>
      <tp t="s">
        <v>#N/A Requesting Data...3568138722</v>
        <stp/>
        <stp>BDP|13902313598250319360</stp>
        <tr r="C1575" s="2"/>
      </tp>
      <tp t="s">
        <v>#N/A Requesting Data...2328557600</v>
        <stp/>
        <stp>BDP|18307467194139740632</stp>
        <tr r="C1142" s="2"/>
      </tp>
      <tp t="s">
        <v>#N/A Requesting Data...4124882062</v>
        <stp/>
        <stp>BDP|10823485654579232231</stp>
        <tr r="Q2187" s="2"/>
      </tp>
      <tp t="s">
        <v>#N/A Requesting Data...4021142106</v>
        <stp/>
        <stp>BDP|12621605145543044966</stp>
        <tr r="Q1089" s="2"/>
      </tp>
      <tp t="s">
        <v>#N/A Requesting Data...2250232814</v>
        <stp/>
        <stp>BDP|13502614095186729037</stp>
        <tr r="R1916" s="2"/>
      </tp>
      <tp t="s">
        <v>#N/A Requesting Data...2793775288</v>
        <stp/>
        <stp>BDP|18199354550146091212</stp>
        <tr r="G2408" s="2"/>
      </tp>
      <tp t="s">
        <v>#N/A Requesting Data...3926018982</v>
        <stp/>
        <stp>BDP|14307911855084523674</stp>
        <tr r="R580" s="2"/>
      </tp>
      <tp t="s">
        <v>#N/A Requesting Data...3794999779</v>
        <stp/>
        <stp>BDP|11247445063310771972</stp>
        <tr r="E132" s="2"/>
      </tp>
      <tp t="s">
        <v>#N/A Requesting Data...2156195706</v>
        <stp/>
        <stp>BDP|12019109394994033415</stp>
        <tr r="A1445" s="2"/>
      </tp>
      <tp t="s">
        <v>#N/A Requesting Data...2403452539</v>
        <stp/>
        <stp>BDP|14864972544883629089</stp>
        <tr r="S1731" s="2"/>
      </tp>
      <tp t="s">
        <v>#N/A Requesting Data...2787790472</v>
        <stp/>
        <stp>BDP|13420893513636315681</stp>
        <tr r="K967" s="2"/>
      </tp>
      <tp t="s">
        <v>#N/A Requesting Data...4195604096</v>
        <stp/>
        <stp>BDP|15838086567648272102</stp>
        <tr r="J1543" s="2"/>
      </tp>
      <tp t="s">
        <v>#N/A Requesting Data...3101058699</v>
        <stp/>
        <stp>BDP|17641113384347367354</stp>
        <tr r="Q1096" s="2"/>
      </tp>
      <tp t="s">
        <v>#N/A Requesting Data...2449420264</v>
        <stp/>
        <stp>BDP|16703121380083068601</stp>
        <tr r="K619" s="2"/>
      </tp>
      <tp t="b">
        <v>0</v>
        <stp/>
        <stp>BDS|11541519334579276449</stp>
        <tr r="I1539" s="2"/>
      </tp>
      <tp t="s">
        <v>#N/A Requesting Data...3870876838</v>
        <stp/>
        <stp>BDP|11242986594542981929</stp>
        <tr r="F349" s="2"/>
      </tp>
      <tp t="s">
        <v>#N/A Requesting Data...2515011808</v>
        <stp/>
        <stp>BDP|11509783519574502943</stp>
        <tr r="K2170" s="2"/>
      </tp>
      <tp t="s">
        <v>#N/A Requesting Data...3770698582</v>
        <stp/>
        <stp>BDP|11219896391299839373</stp>
        <tr r="R622" s="2"/>
      </tp>
      <tp t="s">
        <v>#N/A Requesting Data...2342064464</v>
        <stp/>
        <stp>BDP|11134526281745227355</stp>
        <tr r="M333" s="2"/>
      </tp>
      <tp t="s">
        <v>#N/A Requesting Data...2184961503</v>
        <stp/>
        <stp>BDP|12360943401772456372</stp>
        <tr r="Q632" s="2"/>
      </tp>
      <tp t="s">
        <v>#N/A Requesting Data...2111892862</v>
        <stp/>
        <stp>BDP|15470882138456851291</stp>
        <tr r="Q821" s="2"/>
      </tp>
      <tp t="s">
        <v>#N/A Requesting Data...2786827239</v>
        <stp/>
        <stp>BDP|13287648686506636133</stp>
        <tr r="F663" s="2"/>
      </tp>
      <tp t="s">
        <v>#N/A Requesting Data...2766181907</v>
        <stp/>
        <stp>BDP|17522882527156915165</stp>
        <tr r="D982" s="2"/>
      </tp>
      <tp t="s">
        <v>#N/A Requesting Data...2480633413</v>
        <stp/>
        <stp>BDP|14690978517291722745</stp>
        <tr r="H759" s="2"/>
      </tp>
      <tp t="s">
        <v>#N/A Requesting Data...3810302224</v>
        <stp/>
        <stp>BDP|12486393485971411297</stp>
        <tr r="P978" s="2"/>
      </tp>
      <tp t="s">
        <v>#N/A Requesting Data...1842617922</v>
        <stp/>
        <stp>BDP|11240259331943770947</stp>
        <tr r="P1883" s="2"/>
      </tp>
      <tp t="s">
        <v>#N/A Requesting Data...3031823694</v>
        <stp/>
        <stp>BDP|11611676290197649326</stp>
        <tr r="P1612" s="2"/>
      </tp>
      <tp t="s">
        <v>#N/A Requesting Data...3057622774</v>
        <stp/>
        <stp>BDP|14748025911926739970</stp>
        <tr r="S1920" s="2"/>
      </tp>
      <tp t="s">
        <v>#N/A Requesting Data...2600854074</v>
        <stp/>
        <stp>BDP|11444463296463097501</stp>
        <tr r="K339" s="2"/>
      </tp>
      <tp t="s">
        <v>#N/A Requesting Data...1914349638</v>
        <stp/>
        <stp>BDP|17104338212206760937</stp>
        <tr r="F1822" s="2"/>
      </tp>
      <tp t="s">
        <v>#N/A Requesting Data...4134517551</v>
        <stp/>
        <stp>BDP|10122325586836975783</stp>
        <tr r="N1749" s="2"/>
      </tp>
      <tp t="s">
        <v>#N/A Requesting Data...2430362611</v>
        <stp/>
        <stp>BDP|13813968785478630095</stp>
        <tr r="F172" s="2"/>
      </tp>
      <tp t="s">
        <v>#N/A Requesting Data...1812986411</v>
        <stp/>
        <stp>BDP|12296366504293313876</stp>
        <tr r="R1222" s="2"/>
      </tp>
      <tp t="s">
        <v>#N/A Requesting Data...2944946543</v>
        <stp/>
        <stp>BDP|15768503082881129305</stp>
        <tr r="F2234" s="2"/>
      </tp>
      <tp t="s">
        <v>#N/A Requesting Data...3609599385</v>
        <stp/>
        <stp>BDP|16780621481787815585</stp>
        <tr r="Q326" s="2"/>
      </tp>
      <tp t="s">
        <v>#N/A Requesting Data...2984564925</v>
        <stp/>
        <stp>BDP|14436188294595435387</stp>
        <tr r="E1647" s="2"/>
      </tp>
      <tp t="s">
        <v>#N/A Requesting Data...2758919857</v>
        <stp/>
        <stp>BDP|10981141181137919413</stp>
        <tr r="D355" s="2"/>
      </tp>
      <tp t="s">
        <v>#N/A Requesting Data...3487776549</v>
        <stp/>
        <stp>BDP|16790984119286678242</stp>
        <tr r="Q2405" s="2"/>
      </tp>
      <tp t="s">
        <v>#N/A Requesting Data...3046614857</v>
        <stp/>
        <stp>BDP|10316818532300003140</stp>
        <tr r="F1817" s="2"/>
      </tp>
      <tp t="s">
        <v>#N/A Requesting Data...2689593242</v>
        <stp/>
        <stp>BDP|10775615991614280115</stp>
        <tr r="E293" s="2"/>
      </tp>
      <tp t="s">
        <v>#N/A Requesting Data...3217078142</v>
        <stp/>
        <stp>BDP|10951458983301925725</stp>
        <tr r="H1100" s="2"/>
      </tp>
      <tp t="s">
        <v>#N/A Requesting Data...2992235678</v>
        <stp/>
        <stp>BDP|17355873235827220175</stp>
        <tr r="N1555" s="2"/>
      </tp>
      <tp t="s">
        <v>#N/A Requesting Data...2966329775</v>
        <stp/>
        <stp>BDP|12747635180277321138</stp>
        <tr r="S39" s="2"/>
      </tp>
      <tp t="s">
        <v>#N/A Requesting Data...2876408241</v>
        <stp/>
        <stp>BDP|17770513314320498926</stp>
        <tr r="F1602" s="2"/>
      </tp>
      <tp t="s">
        <v>#N/A Requesting Data...2635482801</v>
        <stp/>
        <stp>BDP|13211001717590757868</stp>
        <tr r="T2038" s="2"/>
      </tp>
      <tp t="s">
        <v>#N/A Requesting Data...3795303278</v>
        <stp/>
        <stp>BDP|11218094439671230948</stp>
        <tr r="D267" s="2"/>
      </tp>
      <tp t="s">
        <v>#N/A Requesting Data...2029249283</v>
        <stp/>
        <stp>BDP|14245542240959414666</stp>
        <tr r="F1964" s="2"/>
      </tp>
      <tp t="s">
        <v>#N/A Requesting Data...2025922142</v>
        <stp/>
        <stp>BDP|15783179704946596859</stp>
        <tr r="P2161" s="2"/>
      </tp>
      <tp t="s">
        <v>#N/A Requesting Data...3335397051</v>
        <stp/>
        <stp>BDP|15274306497414043119</stp>
        <tr r="H224" s="2"/>
      </tp>
      <tp t="s">
        <v>#N/A Requesting Data...2224674859</v>
        <stp/>
        <stp>BDP|12199903569853947459</stp>
        <tr r="C1060" s="2"/>
      </tp>
      <tp t="s">
        <v>#N/A Requesting Data...2091389838</v>
        <stp/>
        <stp>BDP|10201658779999895227</stp>
        <tr r="K974" s="2"/>
      </tp>
      <tp t="s">
        <v>#N/A Requesting Data...4170511902</v>
        <stp/>
        <stp>BDP|11499981777366612395</stp>
        <tr r="Q320" s="2"/>
      </tp>
      <tp t="s">
        <v>#N/A Requesting Data...3610555292</v>
        <stp/>
        <stp>BDP|18204641443967151702</stp>
        <tr r="A1893" s="2"/>
      </tp>
      <tp t="s">
        <v>#N/A Requesting Data...2617850056</v>
        <stp/>
        <stp>BDP|15035220284345671048</stp>
        <tr r="T1941" s="2"/>
      </tp>
      <tp t="s">
        <v>#N/A Requesting Data...2338854783</v>
        <stp/>
        <stp>BDP|17421683108859948293</stp>
        <tr r="N1246" s="2"/>
      </tp>
      <tp t="s">
        <v>#N/A Requesting Data...2312185473</v>
        <stp/>
        <stp>BDP|12144919914905734579</stp>
        <tr r="D1576" s="2"/>
      </tp>
      <tp t="s">
        <v>#N/A Requesting Data...1915456388</v>
        <stp/>
        <stp>BDP|17912908942419812972</stp>
        <tr r="Q1277" s="2"/>
      </tp>
      <tp t="s">
        <v>#N/A Requesting Data...2883428168</v>
        <stp/>
        <stp>BDP|13435052459875443983</stp>
        <tr r="E1769" s="2"/>
      </tp>
      <tp t="s">
        <v>#N/A Requesting Data...3008007168</v>
        <stp/>
        <stp>BDP|17731843771565691702</stp>
        <tr r="M883" s="2"/>
      </tp>
      <tp t="s">
        <v>#N/A Requesting Data...3183500670</v>
        <stp/>
        <stp>BDP|15026449220601038803</stp>
        <tr r="N2516" s="2"/>
      </tp>
      <tp t="s">
        <v>#N/A Requesting Data...2979343615</v>
        <stp/>
        <stp>BDP|18295392818614544424</stp>
        <tr r="D156" s="2"/>
      </tp>
      <tp t="s">
        <v>#N/A Requesting Data...4189673004</v>
        <stp/>
        <stp>BDP|14470640516530393916</stp>
        <tr r="D381" s="2"/>
      </tp>
      <tp t="s">
        <v>#N/A Requesting Data...2363953500</v>
        <stp/>
        <stp>BDP|10586968161345064068</stp>
        <tr r="S1384" s="2"/>
      </tp>
      <tp t="s">
        <v>#N/A Requesting Data...3623682106</v>
        <stp/>
        <stp>BDP|10927079157097938845</stp>
        <tr r="O983" s="2"/>
      </tp>
      <tp t="s">
        <v>#N/A Requesting Data...3990829513</v>
        <stp/>
        <stp>BDP|10950079632858184191</stp>
        <tr r="G39" s="2"/>
      </tp>
      <tp t="s">
        <v>#N/A Requesting Data...2924898561</v>
        <stp/>
        <stp>BDP|11853906540113980557</stp>
        <tr r="P754" s="2"/>
      </tp>
      <tp t="s">
        <v>#N/A Requesting Data...2007160427</v>
        <stp/>
        <stp>BDP|11777069228588461191</stp>
        <tr r="A159" s="2"/>
      </tp>
      <tp t="s">
        <v>#N/A Requesting Data...3494390997</v>
        <stp/>
        <stp>BDP|17570010582847204203</stp>
        <tr r="O483" s="2"/>
      </tp>
      <tp t="s">
        <v>#N/A Requesting Data...3831439287</v>
        <stp/>
        <stp>BDP|15542897618004065209</stp>
        <tr r="H2144" s="2"/>
      </tp>
      <tp t="s">
        <v>#N/A Requesting Data...2708510207</v>
        <stp/>
        <stp>BDP|13763948056837792263</stp>
        <tr r="H1006" s="2"/>
      </tp>
      <tp t="s">
        <v>#N/A Requesting Data...4119243942</v>
        <stp/>
        <stp>BDP|17791576334498379330</stp>
        <tr r="F2049" s="2"/>
      </tp>
      <tp t="s">
        <v>#N/A Requesting Data...2732114649</v>
        <stp/>
        <stp>BDP|11798505911156099927</stp>
        <tr r="O1884" s="2"/>
      </tp>
      <tp t="s">
        <v>#N/A Requesting Data...3085233917</v>
        <stp/>
        <stp>BDP|15348928134440898592</stp>
        <tr r="H2336" s="2"/>
      </tp>
      <tp t="s">
        <v>#N/A Requesting Data...2831236788</v>
        <stp/>
        <stp>BDP|13791744506979064711</stp>
        <tr r="P2054" s="2"/>
      </tp>
      <tp t="s">
        <v>#N/A Requesting Data...2179579807</v>
        <stp/>
        <stp>BDP|10669471304907756969</stp>
        <tr r="M622" s="2"/>
      </tp>
      <tp t="s">
        <v>#N/A Requesting Data...2586138682</v>
        <stp/>
        <stp>BDP|15133984918736325160</stp>
        <tr r="D1270" s="2"/>
      </tp>
      <tp t="s">
        <v>#N/A Requesting Data...2046873910</v>
        <stp/>
        <stp>BDP|11924963928373585368</stp>
        <tr r="C2150" s="2"/>
      </tp>
      <tp t="s">
        <v>#N/A Requesting Data...4217554765</v>
        <stp/>
        <stp>BDP|17093145468592887803</stp>
        <tr r="O1937" s="2"/>
      </tp>
      <tp t="b">
        <v>0</v>
        <stp/>
        <stp>BDS|12555316116349269374</stp>
        <tr r="I1457" s="2"/>
      </tp>
      <tp t="s">
        <v>#N/A Requesting Data...3332671054</v>
        <stp/>
        <stp>BDP|11367566994022769524</stp>
        <tr r="N1250" s="2"/>
      </tp>
      <tp t="s">
        <v>#N/A Requesting Data...2097092064</v>
        <stp/>
        <stp>BDP|10406505747238202355</stp>
        <tr r="A697" s="2"/>
      </tp>
      <tp t="s">
        <v>#N/A Requesting Data...2015942011</v>
        <stp/>
        <stp>BDP|17769829740222450359</stp>
        <tr r="C705" s="2"/>
      </tp>
      <tp t="s">
        <v>#N/A Requesting Data...3244391661</v>
        <stp/>
        <stp>BDP|11945137731720829977</stp>
        <tr r="K1556" s="2"/>
      </tp>
      <tp t="s">
        <v>#N/A Requesting Data...2298012932</v>
        <stp/>
        <stp>BDP|12536200120959987183</stp>
        <tr r="K772" s="2"/>
      </tp>
      <tp t="s">
        <v>#N/A Requesting Data...3505467738</v>
        <stp/>
        <stp>BDP|17206160336707440822</stp>
        <tr r="K1096" s="2"/>
      </tp>
      <tp t="s">
        <v>#N/A Requesting Data...3864420267</v>
        <stp/>
        <stp>BDP|12837799608239416698</stp>
        <tr r="S1574" s="2"/>
      </tp>
      <tp t="s">
        <v>#N/A Requesting Data...3349259942</v>
        <stp/>
        <stp>BDP|14547992457151722384</stp>
        <tr r="J1425" s="2"/>
      </tp>
      <tp t="s">
        <v>#N/A Requesting Data...3041115743</v>
        <stp/>
        <stp>BDP|10642855960140168467</stp>
        <tr r="G365" s="2"/>
      </tp>
      <tp t="s">
        <v>#N/A Requesting Data...2240354271</v>
        <stp/>
        <stp>BDP|13939317576339358493</stp>
        <tr r="E941" s="2"/>
      </tp>
      <tp t="s">
        <v>#N/A Requesting Data...3549324404</v>
        <stp/>
        <stp>BDP|17817695747669467665</stp>
        <tr r="M2006" s="2"/>
      </tp>
      <tp t="s">
        <v>#N/A Requesting Data...3131823802</v>
        <stp/>
        <stp>BDP|13317860052012708641</stp>
        <tr r="G299" s="2"/>
      </tp>
      <tp t="s">
        <v>#N/A Requesting Data...2760989756</v>
        <stp/>
        <stp>BDP|17631002990414123037</stp>
        <tr r="R190" s="2"/>
      </tp>
      <tp t="s">
        <v>#N/A Requesting Data...3865587512</v>
        <stp/>
        <stp>BDP|11604826267802190767</stp>
        <tr r="Q257" s="2"/>
      </tp>
      <tp t="s">
        <v>#N/A Requesting Data...3229673078</v>
        <stp/>
        <stp>BDP|15991310146880259884</stp>
        <tr r="A1524" s="2"/>
      </tp>
      <tp t="s">
        <v>#N/A Requesting Data...2995834272</v>
        <stp/>
        <stp>BDP|11007805783872594924</stp>
        <tr r="O37" s="2"/>
      </tp>
      <tp t="s">
        <v>#N/A Requesting Data...3388200288</v>
        <stp/>
        <stp>BDP|13075361987564213675</stp>
        <tr r="E1515" s="2"/>
      </tp>
      <tp t="s">
        <v>#N/A Requesting Data...4004133718</v>
        <stp/>
        <stp>BDP|17928124154079947025</stp>
        <tr r="C1406" s="2"/>
      </tp>
      <tp t="s">
        <v>#N/A Requesting Data...3275267363</v>
        <stp/>
        <stp>BDP|10026215683029286948</stp>
        <tr r="H2381" s="2"/>
      </tp>
      <tp t="s">
        <v>#N/A Requesting Data...2834608633</v>
        <stp/>
        <stp>BDP|17360041596263524700</stp>
        <tr r="N1058" s="2"/>
      </tp>
      <tp t="s">
        <v>#N/A Requesting Data...3236603114</v>
        <stp/>
        <stp>BDP|13765915459173856630</stp>
        <tr r="A2218" s="2"/>
      </tp>
      <tp t="s">
        <v>#N/A Requesting Data...3651837868</v>
        <stp/>
        <stp>BDP|10165958023844523563</stp>
        <tr r="A899" s="2"/>
      </tp>
      <tp t="s">
        <v>#N/A Requesting Data...4209827009</v>
        <stp/>
        <stp>BDP|15955484106103517867</stp>
        <tr r="S4" s="2"/>
      </tp>
      <tp t="s">
        <v>#N/A Requesting Data...2624249923</v>
        <stp/>
        <stp>BDP|11877280159694800854</stp>
        <tr r="G2198" s="2"/>
      </tp>
      <tp t="s">
        <v>#N/A Requesting Data...2986068833</v>
        <stp/>
        <stp>BDP|16536910520013665460</stp>
        <tr r="R1352" s="2"/>
      </tp>
      <tp t="s">
        <v>#N/A Requesting Data...2686483490</v>
        <stp/>
        <stp>BDP|15117314401765665931</stp>
        <tr r="J1178" s="2"/>
      </tp>
      <tp t="s">
        <v>#N/A Requesting Data...3926211129</v>
        <stp/>
        <stp>BDP|18270652334161358645</stp>
        <tr r="C767" s="2"/>
      </tp>
      <tp t="s">
        <v>#N/A Requesting Data...3982049720</v>
        <stp/>
        <stp>BDP|15044671083054788579</stp>
        <tr r="N99" s="2"/>
      </tp>
      <tp t="s">
        <v>#N/A Requesting Data...4061052504</v>
        <stp/>
        <stp>BDP|12903088315659218014</stp>
        <tr r="G1058" s="2"/>
      </tp>
      <tp t="s">
        <v>#N/A Requesting Data...2594302163</v>
        <stp/>
        <stp>BDP|14587151463449069040</stp>
        <tr r="E2412" s="2"/>
      </tp>
      <tp t="s">
        <v>#N/A Requesting Data...2632353959</v>
        <stp/>
        <stp>BDP|18067605657476388734</stp>
        <tr r="C945" s="2"/>
      </tp>
      <tp t="s">
        <v>#N/A Requesting Data...4281809620</v>
        <stp/>
        <stp>BDP|15787963063089718921</stp>
        <tr r="E1376" s="2"/>
      </tp>
      <tp t="s">
        <v>#N/A Requesting Data...2796770391</v>
        <stp/>
        <stp>BDP|12761900566524215349</stp>
        <tr r="P85" s="2"/>
      </tp>
      <tp t="s">
        <v>#N/A Requesting Data...2745204669</v>
        <stp/>
        <stp>BDP|18201565522213097615</stp>
        <tr r="K2382" s="2"/>
      </tp>
      <tp t="s">
        <v>#N/A Requesting Data...3120378802</v>
        <stp/>
        <stp>BDP|10809740349959612042</stp>
        <tr r="Q1334" s="2"/>
      </tp>
      <tp t="s">
        <v>#N/A Requesting Data...3016518031</v>
        <stp/>
        <stp>BDP|12478467212789195464</stp>
        <tr r="O2096" s="2"/>
      </tp>
      <tp t="s">
        <v>#N/A Requesting Data...3216068163</v>
        <stp/>
        <stp>BDP|14158671900329093114</stp>
        <tr r="G1668" s="2"/>
      </tp>
      <tp t="s">
        <v>#N/A Requesting Data...2229938699</v>
        <stp/>
        <stp>BDP|14483543600728074371</stp>
        <tr r="H2269" s="2"/>
      </tp>
      <tp t="s">
        <v>#N/A Requesting Data...2326378591</v>
        <stp/>
        <stp>BDP|16795845718580977557</stp>
        <tr r="M663" s="2"/>
      </tp>
      <tp t="s">
        <v>#N/A Requesting Data...3385792855</v>
        <stp/>
        <stp>BDP|11549936332308586960</stp>
        <tr r="G1233" s="2"/>
      </tp>
      <tp t="s">
        <v>#N/A Requesting Data...3318020073</v>
        <stp/>
        <stp>BDP|11998837132660677096</stp>
        <tr r="N2471" s="2"/>
      </tp>
      <tp t="s">
        <v>#N/A Requesting Data...2520571927</v>
        <stp/>
        <stp>BDP|15967649395366773682</stp>
        <tr r="A556" s="2"/>
      </tp>
      <tp t="s">
        <v>#N/A Requesting Data...2978387198</v>
        <stp/>
        <stp>BDP|10569441961968425035</stp>
        <tr r="H1308" s="2"/>
      </tp>
      <tp t="b">
        <v>0</v>
        <stp/>
        <stp>BDS|11283772198293006690</stp>
        <tr r="I1119" s="2"/>
      </tp>
      <tp t="s">
        <v>#N/A Requesting Data...3904228397</v>
        <stp/>
        <stp>BDP|16059978703544726142</stp>
        <tr r="A103" s="2"/>
      </tp>
      <tp t="s">
        <v>#N/A Requesting Data...3717357755</v>
        <stp/>
        <stp>BDP|10683573476310719871</stp>
        <tr r="G2500" s="2"/>
      </tp>
      <tp t="s">
        <v>#N/A Requesting Data...3251153563</v>
        <stp/>
        <stp>BDP|14540913475884402427</stp>
        <tr r="P576" s="2"/>
      </tp>
      <tp t="s">
        <v>#N/A Requesting Data...3214542064</v>
        <stp/>
        <stp>BDP|12493910802781846082</stp>
        <tr r="P1926" s="2"/>
      </tp>
      <tp t="s">
        <v>#N/A Requesting Data...4190332200</v>
        <stp/>
        <stp>BDP|13528699265290824963</stp>
        <tr r="N1814" s="2"/>
      </tp>
      <tp t="s">
        <v>#N/A Requesting Data...2412501866</v>
        <stp/>
        <stp>BDP|18131721380068395573</stp>
        <tr r="K2195" s="2"/>
      </tp>
      <tp t="s">
        <v>#N/A Requesting Data...2280610940</v>
        <stp/>
        <stp>BDP|13437829765522212566</stp>
        <tr r="O1903" s="2"/>
      </tp>
      <tp t="s">
        <v>#N/A Requesting Data...3063711902</v>
        <stp/>
        <stp>BDP|11708762485160398402</stp>
        <tr r="E80" s="2"/>
      </tp>
      <tp t="s">
        <v>#N/A Requesting Data...4006849554</v>
        <stp/>
        <stp>BDP|10600239495165346442</stp>
        <tr r="F687" s="2"/>
      </tp>
      <tp t="s">
        <v>#N/A Requesting Data...2557949397</v>
        <stp/>
        <stp>BDP|10283852433078016935</stp>
        <tr r="P1145" s="2"/>
      </tp>
      <tp t="s">
        <v>#N/A Requesting Data...2237088951</v>
        <stp/>
        <stp>BDP|17644842003877770217</stp>
        <tr r="D1754" s="2"/>
      </tp>
      <tp t="s">
        <v>#N/A Requesting Data...3736337772</v>
        <stp/>
        <stp>BDP|10528943313173550108</stp>
        <tr r="C1703" s="2"/>
      </tp>
      <tp t="s">
        <v>#N/A Requesting Data...3518285289</v>
        <stp/>
        <stp>BDP|11798948834098386934</stp>
        <tr r="Q1873" s="2"/>
      </tp>
      <tp t="s">
        <v>#N/A Requesting Data...3714311608</v>
        <stp/>
        <stp>BDP|12202120913008583015</stp>
        <tr r="N1843" s="2"/>
      </tp>
      <tp t="s">
        <v>#N/A Requesting Data...2346292624</v>
        <stp/>
        <stp>BDP|17410718335511009871</stp>
        <tr r="G811" s="2"/>
      </tp>
      <tp t="s">
        <v>#N/A Requesting Data...3195378087</v>
        <stp/>
        <stp>BDP|13752068194040147034</stp>
        <tr r="O658" s="2"/>
      </tp>
      <tp t="s">
        <v>#N/A Requesting Data...3069304901</v>
        <stp/>
        <stp>BDP|11942966672987200287</stp>
        <tr r="F1960" s="2"/>
      </tp>
      <tp t="s">
        <v>#N/A Requesting Data...2977632515</v>
        <stp/>
        <stp>BDP|15199532771434561915</stp>
        <tr r="F250" s="2"/>
      </tp>
      <tp t="s">
        <v>#N/A Requesting Data...3876058451</v>
        <stp/>
        <stp>BDP|11552823021791294034</stp>
        <tr r="S779" s="2"/>
      </tp>
      <tp t="s">
        <v>#N/A Requesting Data...2105025841</v>
        <stp/>
        <stp>BDP|10387224356684929994</stp>
        <tr r="T814" s="2"/>
      </tp>
      <tp t="s">
        <v>#N/A Requesting Data...2709428044</v>
        <stp/>
        <stp>BDP|16613096967773658999</stp>
        <tr r="S716" s="2"/>
      </tp>
      <tp t="s">
        <v>#N/A Requesting Data...2355282332</v>
        <stp/>
        <stp>BDP|10293062755447656806</stp>
        <tr r="H6" s="2"/>
      </tp>
      <tp t="s">
        <v>#N/A Requesting Data...3887725728</v>
        <stp/>
        <stp>BDP|11227691926086390996</stp>
        <tr r="J1475" s="2"/>
      </tp>
      <tp t="s">
        <v>#N/A Requesting Data...2486222812</v>
        <stp/>
        <stp>BDP|15972829169225350465</stp>
        <tr r="D2051" s="2"/>
      </tp>
      <tp t="s">
        <v>#N/A Requesting Data...4180354621</v>
        <stp/>
        <stp>BDP|16776140806958129530</stp>
        <tr r="H1956" s="2"/>
      </tp>
      <tp t="s">
        <v>#N/A Requesting Data...2201928734</v>
        <stp/>
        <stp>BDP|14765480830779956017</stp>
        <tr r="H16" s="2"/>
      </tp>
      <tp t="s">
        <v>#N/A Requesting Data...2617354231</v>
        <stp/>
        <stp>BDP|10038445099497258084</stp>
        <tr r="J1296" s="2"/>
      </tp>
      <tp t="s">
        <v>#N/A Requesting Data...2150405943</v>
        <stp/>
        <stp>BDP|17236289675888001081</stp>
        <tr r="E2358" s="2"/>
      </tp>
      <tp t="s">
        <v>#N/A Requesting Data...3142028896</v>
        <stp/>
        <stp>BDP|12930867256816968379</stp>
        <tr r="H853" s="2"/>
      </tp>
      <tp t="s">
        <v>#N/A Requesting Data...2370584535</v>
        <stp/>
        <stp>BDP|13918930760550541683</stp>
        <tr r="A2280" s="2"/>
      </tp>
      <tp t="s">
        <v>#N/A Requesting Data...2906361387</v>
        <stp/>
        <stp>BDP|15371584563185939962</stp>
        <tr r="T1330" s="2"/>
      </tp>
      <tp t="s">
        <v>#N/A Requesting Data...3087006811</v>
        <stp/>
        <stp>BDP|11035948917973438002</stp>
        <tr r="F674" s="2"/>
      </tp>
      <tp t="s">
        <v>#N/A Requesting Data...2799993533</v>
        <stp/>
        <stp>BDP|11358290210308957041</stp>
        <tr r="S1763" s="2"/>
      </tp>
      <tp t="b">
        <v>0</v>
        <stp/>
        <stp>BDS|13173320775509689448</stp>
        <tr r="I641" s="2"/>
      </tp>
      <tp t="s">
        <v>#N/A Requesting Data...3806367118</v>
        <stp/>
        <stp>BDP|14691422484684173668</stp>
        <tr r="F1332" s="2"/>
      </tp>
      <tp t="s">
        <v>#N/A Requesting Data...4277425460</v>
        <stp/>
        <stp>BDP|17932040226109909650</stp>
        <tr r="R1801" s="2"/>
      </tp>
      <tp t="b">
        <v>0</v>
        <stp/>
        <stp>BDS|14009539017368105218</stp>
        <tr r="I2094" s="2"/>
      </tp>
      <tp t="s">
        <v>#N/A Requesting Data...3875441056</v>
        <stp/>
        <stp>BDP|12519504316398376473</stp>
        <tr r="D1813" s="2"/>
      </tp>
      <tp t="s">
        <v>#N/A Requesting Data...4196050734</v>
        <stp/>
        <stp>BDP|16078594683124948544</stp>
        <tr r="H2238" s="2"/>
      </tp>
      <tp t="s">
        <v>#N/A Requesting Data...2777967862</v>
        <stp/>
        <stp>BDP|14361551334470683839</stp>
        <tr r="P2425" s="2"/>
      </tp>
      <tp t="s">
        <v>#N/A Requesting Data...2566286558</v>
        <stp/>
        <stp>BDP|10933402619179621610</stp>
        <tr r="A1509" s="2"/>
      </tp>
      <tp t="s">
        <v>#N/A Requesting Data...2206536773</v>
        <stp/>
        <stp>BDP|12070243789355351790</stp>
        <tr r="M2237" s="2"/>
      </tp>
      <tp t="s">
        <v>#N/A Requesting Data...3188496954</v>
        <stp/>
        <stp>BDP|12549377192794203656</stp>
        <tr r="N1801" s="2"/>
      </tp>
      <tp t="s">
        <v>#N/A Requesting Data...2780550131</v>
        <stp/>
        <stp>BDP|18261277863277570145</stp>
        <tr r="S674" s="2"/>
      </tp>
      <tp t="s">
        <v>#N/A Requesting Data...2929436368</v>
        <stp/>
        <stp>BDP|15823894677617771766</stp>
        <tr r="O697" s="2"/>
      </tp>
      <tp t="s">
        <v>#N/A Requesting Data...3146399194</v>
        <stp/>
        <stp>BDP|17744757983023328151</stp>
        <tr r="N621" s="2"/>
      </tp>
      <tp t="s">
        <v>#N/A Requesting Data...2581883740</v>
        <stp/>
        <stp>BDP|10751996119305150715</stp>
        <tr r="O533" s="2"/>
      </tp>
      <tp t="s">
        <v>#N/A Requesting Data...2748247798</v>
        <stp/>
        <stp>BDP|14452615995224564523</stp>
        <tr r="O2070" s="2"/>
      </tp>
      <tp t="s">
        <v>#N/A Requesting Data...2933971070</v>
        <stp/>
        <stp>BDP|17598836435911213760</stp>
        <tr r="C2407" s="2"/>
      </tp>
      <tp t="s">
        <v>#N/A Requesting Data...3254439889</v>
        <stp/>
        <stp>BDP|10025967603287052425</stp>
        <tr r="A202" s="2"/>
      </tp>
      <tp t="s">
        <v>#N/A Requesting Data...2926104997</v>
        <stp/>
        <stp>BDP|17374406958169432584</stp>
        <tr r="J2020" s="2"/>
      </tp>
      <tp t="s">
        <v>#N/A Requesting Data...3993022044</v>
        <stp/>
        <stp>BDP|13138865932645310716</stp>
        <tr r="G120" s="2"/>
      </tp>
      <tp t="s">
        <v>#N/A Requesting Data...4171845712</v>
        <stp/>
        <stp>BDP|12171371290772827094</stp>
        <tr r="A1850" s="2"/>
      </tp>
      <tp t="s">
        <v>#N/A Requesting Data...3274071997</v>
        <stp/>
        <stp>BDP|16351483068388524611</stp>
        <tr r="F1098" s="2"/>
      </tp>
      <tp t="b">
        <v>0</v>
        <stp/>
        <stp>BDS|14243425162289257540</stp>
        <tr r="I90" s="2"/>
      </tp>
      <tp t="s">
        <v>#N/A Requesting Data...2821035511</v>
        <stp/>
        <stp>BDP|16956185376722338832</stp>
        <tr r="O1824" s="2"/>
      </tp>
      <tp t="s">
        <v>#N/A Requesting Data...3208354377</v>
        <stp/>
        <stp>BDP|15960852813991938718</stp>
        <tr r="K1033" s="2"/>
      </tp>
      <tp t="s">
        <v>#N/A Requesting Data...3364089263</v>
        <stp/>
        <stp>BDP|11893983841476717019</stp>
        <tr r="E260" s="2"/>
      </tp>
      <tp t="s">
        <v>#N/A Requesting Data...4019098389</v>
        <stp/>
        <stp>BDP|16750846606515574177</stp>
        <tr r="Q1237" s="2"/>
      </tp>
      <tp t="s">
        <v>#N/A Requesting Data...3266709601</v>
        <stp/>
        <stp>BDP|10149700978468974271</stp>
        <tr r="P105" s="2"/>
      </tp>
      <tp t="s">
        <v>#N/A Requesting Data...3951996990</v>
        <stp/>
        <stp>BDP|11494155801943595929</stp>
        <tr r="Q398" s="2"/>
      </tp>
      <tp t="s">
        <v>#N/A Requesting Data...3570068979</v>
        <stp/>
        <stp>BDP|15795030382684193303</stp>
        <tr r="A1783" s="2"/>
      </tp>
      <tp t="s">
        <v>#N/A Requesting Data...4237624426</v>
        <stp/>
        <stp>BDP|13919383591015373640</stp>
        <tr r="E226" s="2"/>
      </tp>
      <tp t="s">
        <v>#N/A Requesting Data...3637055575</v>
        <stp/>
        <stp>BDP|17596279122119318445</stp>
        <tr r="N898" s="2"/>
      </tp>
      <tp t="s">
        <v>#N/A Requesting Data...3657117800</v>
        <stp/>
        <stp>BDP|15155138433899753415</stp>
        <tr r="O2263" s="2"/>
      </tp>
      <tp t="s">
        <v>#N/A Requesting Data...3560215420</v>
        <stp/>
        <stp>BDP|13194459182791929480</stp>
        <tr r="G1697" s="2"/>
      </tp>
      <tp t="s">
        <v>#N/A Requesting Data...2337695168</v>
        <stp/>
        <stp>BDP|17485177987982101623</stp>
        <tr r="D893" s="2"/>
      </tp>
      <tp t="s">
        <v>#N/A Requesting Data...2242298527</v>
        <stp/>
        <stp>BDP|13184339699777422481</stp>
        <tr r="G1099" s="2"/>
      </tp>
      <tp t="s">
        <v>#N/A Requesting Data...2846028505</v>
        <stp/>
        <stp>BDP|13464776801056315865</stp>
        <tr r="O1797" s="2"/>
      </tp>
      <tp t="s">
        <v>#N/A Requesting Data...3442104324</v>
        <stp/>
        <stp>BDP|17181667664585763838</stp>
        <tr r="C2460" s="2"/>
      </tp>
      <tp t="s">
        <v>#N/A Requesting Data...4076476065</v>
        <stp/>
        <stp>BDP|14310625104090023822</stp>
        <tr r="K2417" s="2"/>
      </tp>
      <tp t="s">
        <v>#N/A Requesting Data...3453754339</v>
        <stp/>
        <stp>BDP|16284201832224073967</stp>
        <tr r="A2209" s="2"/>
      </tp>
      <tp t="b">
        <v>0</v>
        <stp/>
        <stp>BDS|16343108843329543000</stp>
        <tr r="I1816" s="2"/>
      </tp>
      <tp t="s">
        <v>#N/A Requesting Data...2344852166</v>
        <stp/>
        <stp>BDP|13140779996263729416</stp>
        <tr r="H361" s="2"/>
      </tp>
      <tp t="s">
        <v>#N/A Requesting Data...2380329815</v>
        <stp/>
        <stp>BDP|13366414808875568897</stp>
        <tr r="C384" s="2"/>
      </tp>
      <tp t="s">
        <v>#N/A Requesting Data...2681178002</v>
        <stp/>
        <stp>BDP|17782034765468312342</stp>
        <tr r="S2454" s="2"/>
      </tp>
      <tp t="s">
        <v>#N/A Requesting Data...3359168289</v>
        <stp/>
        <stp>BDP|15047539781751336372</stp>
        <tr r="D1202" s="2"/>
      </tp>
      <tp t="s">
        <v>#N/A Requesting Data...3601600506</v>
        <stp/>
        <stp>BDP|12731231805588183264</stp>
        <tr r="N797" s="2"/>
      </tp>
      <tp t="s">
        <v>#N/A Requesting Data...3783829305</v>
        <stp/>
        <stp>BDP|17693372272119682039</stp>
        <tr r="E2186" s="2"/>
      </tp>
      <tp t="s">
        <v>#N/A Requesting Data...2284611063</v>
        <stp/>
        <stp>BDP|10235320091841574126</stp>
        <tr r="S2190" s="2"/>
      </tp>
      <tp t="s">
        <v>#N/A Requesting Data...4011932812</v>
        <stp/>
        <stp>BDP|14070319267909585255</stp>
        <tr r="E2066" s="2"/>
      </tp>
      <tp t="s">
        <v>#N/A Requesting Data...2739370711</v>
        <stp/>
        <stp>BDP|11025940618915344695</stp>
        <tr r="N1305" s="2"/>
      </tp>
      <tp t="s">
        <v>#N/A Requesting Data...4134031586</v>
        <stp/>
        <stp>BDP|14649817134952330760</stp>
        <tr r="N154" s="2"/>
      </tp>
      <tp t="s">
        <v>#N/A Requesting Data...3547833933</v>
        <stp/>
        <stp>BDP|18389349736825781708</stp>
        <tr r="O184" s="2"/>
      </tp>
      <tp t="s">
        <v>#N/A Requesting Data...3607502408</v>
        <stp/>
        <stp>BDP|18396484614483810411</stp>
        <tr r="T276" s="2"/>
      </tp>
      <tp t="s">
        <v>#N/A Requesting Data...2460338836</v>
        <stp/>
        <stp>BDP|16169835514881660464</stp>
        <tr r="P162" s="2"/>
      </tp>
      <tp t="s">
        <v>#N/A Requesting Data...2696307655</v>
        <stp/>
        <stp>BDP|14537537920168696164</stp>
        <tr r="S1995" s="2"/>
      </tp>
      <tp t="b">
        <v>0</v>
        <stp/>
        <stp>BDS|10283513434444479860</stp>
        <tr r="I1489" s="2"/>
      </tp>
      <tp t="s">
        <v>#N/A Requesting Data...3178802114</v>
        <stp/>
        <stp>BDP|10702163846998123700</stp>
        <tr r="M2199" s="2"/>
      </tp>
      <tp t="s">
        <v>#N/A Requesting Data...2510556751</v>
        <stp/>
        <stp>BDP|14476321191836327224</stp>
        <tr r="D1565" s="2"/>
      </tp>
      <tp t="s">
        <v>#N/A Requesting Data...3685905306</v>
        <stp/>
        <stp>BDP|10132766989243812609</stp>
        <tr r="Q869" s="2"/>
      </tp>
      <tp t="s">
        <v>#N/A Requesting Data...3487294177</v>
        <stp/>
        <stp>BDP|11319547544923331963</stp>
        <tr r="K1269" s="2"/>
      </tp>
      <tp t="s">
        <v>#N/A Requesting Data...3190729833</v>
        <stp/>
        <stp>BDP|14140029012588050772</stp>
        <tr r="D473" s="2"/>
      </tp>
      <tp t="s">
        <v>#N/A Requesting Data...3977956338</v>
        <stp/>
        <stp>BDP|10213918237302605245</stp>
        <tr r="O1925" s="2"/>
      </tp>
      <tp t="s">
        <v>#N/A Requesting Data...3536517292</v>
        <stp/>
        <stp>BDP|10583670243690039872</stp>
        <tr r="P2379" s="2"/>
      </tp>
      <tp t="s">
        <v>#N/A Requesting Data...2992906081</v>
        <stp/>
        <stp>BDP|16538439640119642561</stp>
        <tr r="C1322" s="2"/>
      </tp>
      <tp t="s">
        <v>#N/A Requesting Data...2561510951</v>
        <stp/>
        <stp>BDP|12306822000982334246</stp>
        <tr r="J670" s="2"/>
      </tp>
      <tp t="s">
        <v>#N/A Requesting Data...2570261000</v>
        <stp/>
        <stp>BDP|12208930950822104666</stp>
        <tr r="E1996" s="2"/>
      </tp>
      <tp t="s">
        <v>#N/A Requesting Data...2841831933</v>
        <stp/>
        <stp>BDP|15030784484546283684</stp>
        <tr r="H2525" s="2"/>
      </tp>
      <tp t="s">
        <v>#N/A Requesting Data...3104009415</v>
        <stp/>
        <stp>BDP|12043357899494825628</stp>
        <tr r="E771" s="2"/>
      </tp>
      <tp t="s">
        <v>#N/A Requesting Data...3800163193</v>
        <stp/>
        <stp>BDP|10218939882508213371</stp>
        <tr r="E2082" s="2"/>
      </tp>
      <tp t="s">
        <v>#N/A Requesting Data...4146045388</v>
        <stp/>
        <stp>BDP|11192316071307580829</stp>
        <tr r="D2488" s="2"/>
      </tp>
      <tp t="s">
        <v>#N/A Requesting Data...2452808572</v>
        <stp/>
        <stp>BDP|16991109888830505524</stp>
        <tr r="R158" s="2"/>
      </tp>
      <tp t="s">
        <v>#N/A Requesting Data...3198662399</v>
        <stp/>
        <stp>BDP|10784320580527496678</stp>
        <tr r="C2379" s="2"/>
      </tp>
      <tp t="s">
        <v>#N/A Requesting Data...3091948145</v>
        <stp/>
        <stp>BDP|13314128711309507036</stp>
        <tr r="H1016" s="2"/>
      </tp>
      <tp t="s">
        <v>#N/A Requesting Data...2777345062</v>
        <stp/>
        <stp>BDP|13274930651963472625</stp>
        <tr r="H1141" s="2"/>
      </tp>
      <tp t="s">
        <v>#N/A Requesting Data...2579722196</v>
        <stp/>
        <stp>BDP|12741840323964216640</stp>
        <tr r="Q962" s="2"/>
      </tp>
      <tp t="s">
        <v>#N/A Requesting Data...2851749198</v>
        <stp/>
        <stp>BDP|15696552353676360957</stp>
        <tr r="P1346" s="2"/>
      </tp>
      <tp t="s">
        <v>#N/A Requesting Data...4001282801</v>
        <stp/>
        <stp>BDP|17249829796219442548</stp>
        <tr r="O1826" s="2"/>
      </tp>
      <tp t="s">
        <v>#N/A Requesting Data...4222622547</v>
        <stp/>
        <stp>BDP|12657100239413922900</stp>
        <tr r="H457" s="2"/>
      </tp>
      <tp t="s">
        <v>#N/A Requesting Data...3589276445</v>
        <stp/>
        <stp>BDP|14507270744990338839</stp>
        <tr r="P653" s="2"/>
      </tp>
      <tp t="s">
        <v>#N/A Requesting Data...2460974082</v>
        <stp/>
        <stp>BDP|15512207270728622250</stp>
        <tr r="T2511" s="2"/>
      </tp>
      <tp t="s">
        <v>#N/A Requesting Data...2363469781</v>
        <stp/>
        <stp>BDP|13695925413173179208</stp>
        <tr r="D1561" s="2"/>
      </tp>
      <tp t="s">
        <v>#N/A Requesting Data...3960323938</v>
        <stp/>
        <stp>BDP|16815052592285047097</stp>
        <tr r="C877" s="2"/>
      </tp>
      <tp t="s">
        <v>#N/A Requesting Data...3278708861</v>
        <stp/>
        <stp>BDP|11661185767085990968</stp>
        <tr r="P620" s="2"/>
      </tp>
      <tp t="s">
        <v>#N/A Requesting Data...4112082507</v>
        <stp/>
        <stp>BDP|12757548696451520569</stp>
        <tr r="D249" s="2"/>
      </tp>
      <tp t="s">
        <v>#N/A Requesting Data...3778277883</v>
        <stp/>
        <stp>BDP|16097239382257103160</stp>
        <tr r="P1257" s="2"/>
      </tp>
      <tp t="s">
        <v>#N/A Requesting Data...3749261049</v>
        <stp/>
        <stp>BDP|15766573212058338377</stp>
        <tr r="C1275" s="2"/>
      </tp>
      <tp t="s">
        <v>#N/A Requesting Data...3890865742</v>
        <stp/>
        <stp>BDP|13479352651298233745</stp>
        <tr r="C838" s="2"/>
      </tp>
      <tp t="s">
        <v>#N/A Requesting Data...3439077587</v>
        <stp/>
        <stp>BDP|13056826861324038352</stp>
        <tr r="F2225" s="2"/>
      </tp>
      <tp t="s">
        <v>#N/A Requesting Data...3137080802</v>
        <stp/>
        <stp>BDP|15170824292007144966</stp>
        <tr r="Q515" s="2"/>
      </tp>
      <tp t="s">
        <v>#N/A Requesting Data...3746732588</v>
        <stp/>
        <stp>BDP|11606541587443246510</stp>
        <tr r="R2218" s="2"/>
      </tp>
      <tp t="s">
        <v>#N/A Requesting Data...3260745530</v>
        <stp/>
        <stp>BDP|12510133848674127996</stp>
        <tr r="S1805" s="2"/>
      </tp>
      <tp t="s">
        <v>#N/A Requesting Data...4165783885</v>
        <stp/>
        <stp>BDP|17368263646922147948</stp>
        <tr r="C1970" s="2"/>
      </tp>
      <tp t="s">
        <v>#N/A Requesting Data...2842368987</v>
        <stp/>
        <stp>BDP|17553700780211635354</stp>
        <tr r="S737" s="2"/>
      </tp>
      <tp t="s">
        <v>#N/A Requesting Data...3441043990</v>
        <stp/>
        <stp>BDP|14086679291151142014</stp>
        <tr r="S768" s="2"/>
      </tp>
      <tp t="s">
        <v>#N/A Requesting Data...3276956262</v>
        <stp/>
        <stp>BDP|12290535284513579669</stp>
        <tr r="G1912" s="2"/>
      </tp>
      <tp t="s">
        <v>#N/A Requesting Data...3440384703</v>
        <stp/>
        <stp>BDP|12822361889836883594</stp>
        <tr r="S974" s="2"/>
      </tp>
      <tp t="s">
        <v>#N/A Requesting Data...3370972730</v>
        <stp/>
        <stp>BDP|10462513364200105960</stp>
        <tr r="A509" s="2"/>
      </tp>
      <tp t="s">
        <v>#N/A Requesting Data...3461411783</v>
        <stp/>
        <stp>BDP|14201222347319004116</stp>
        <tr r="K2370" s="2"/>
      </tp>
      <tp t="s">
        <v>#N/A Requesting Data...4176626550</v>
        <stp/>
        <stp>BDP|17327762574168242552</stp>
        <tr r="E2530" s="2"/>
      </tp>
      <tp t="s">
        <v>#N/A Requesting Data...2529398847</v>
        <stp/>
        <stp>BDP|14395718481426543706</stp>
        <tr r="P626" s="2"/>
      </tp>
      <tp t="s">
        <v>#N/A Requesting Data...3505331356</v>
        <stp/>
        <stp>BDP|15854971557432632184</stp>
        <tr r="G1455" s="2"/>
      </tp>
      <tp t="s">
        <v>#N/A Requesting Data...3096338805</v>
        <stp/>
        <stp>BDP|10528544223085000841</stp>
        <tr r="Q589" s="2"/>
      </tp>
      <tp t="s">
        <v>#N/A Requesting Data...2907382429</v>
        <stp/>
        <stp>BDP|15691559293691684208</stp>
        <tr r="G201" s="2"/>
      </tp>
      <tp t="s">
        <v>#N/A Requesting Data...3845534890</v>
        <stp/>
        <stp>BDP|13982800987068074189</stp>
        <tr r="H884" s="2"/>
      </tp>
      <tp t="s">
        <v>#N/A Requesting Data...2621537701</v>
        <stp/>
        <stp>BDP|11081432493824156271</stp>
        <tr r="H1109" s="2"/>
      </tp>
      <tp t="s">
        <v>#N/A Requesting Data...3819494006</v>
        <stp/>
        <stp>BDP|10046811713924521718</stp>
        <tr r="N829" s="2"/>
      </tp>
      <tp t="s">
        <v>#N/A Requesting Data...3155996645</v>
        <stp/>
        <stp>BDP|14941854594529849664</stp>
        <tr r="N41" s="2"/>
      </tp>
      <tp t="s">
        <v>#N/A Requesting Data...3614713179</v>
        <stp/>
        <stp>BDP|11015293452469817552</stp>
        <tr r="S1224" s="2"/>
      </tp>
      <tp t="s">
        <v>#N/A Requesting Data...3655660289</v>
        <stp/>
        <stp>BDP|10902539673861910965</stp>
        <tr r="J212" s="2"/>
      </tp>
      <tp t="s">
        <v>#N/A Requesting Data...3135450207</v>
        <stp/>
        <stp>BDP|14271567359669878735</stp>
        <tr r="C2512" s="2"/>
      </tp>
      <tp t="s">
        <v>#N/A Requesting Data...2967583709</v>
        <stp/>
        <stp>BDP|14012071606399744703</stp>
        <tr r="E1975" s="2"/>
      </tp>
      <tp t="s">
        <v>#N/A Requesting Data...4216289695</v>
        <stp/>
        <stp>BDP|12453307545438151767</stp>
        <tr r="O1910" s="2"/>
      </tp>
      <tp t="s">
        <v>#N/A Requesting Data...2820612266</v>
        <stp/>
        <stp>BDP|15151884836817617203</stp>
        <tr r="O320" s="2"/>
      </tp>
      <tp t="s">
        <v>#N/A Requesting Data...3964476553</v>
        <stp/>
        <stp>BDP|17622029663769635384</stp>
        <tr r="T736" s="2"/>
      </tp>
      <tp t="s">
        <v>#N/A Requesting Data...3845768148</v>
        <stp/>
        <stp>BDP|16887565602329122147</stp>
        <tr r="S11" s="2"/>
      </tp>
      <tp t="b">
        <v>0</v>
        <stp/>
        <stp>BDS|16132511284096719698</stp>
        <tr r="I45" s="2"/>
      </tp>
      <tp t="s">
        <v>#N/A Requesting Data...3966095427</v>
        <stp/>
        <stp>BDP|11269438127365973960</stp>
        <tr r="P2075" s="2"/>
      </tp>
      <tp t="s">
        <v>#N/A Requesting Data...3979607602</v>
        <stp/>
        <stp>BDP|17457548303721801820</stp>
        <tr r="M1853" s="2"/>
      </tp>
      <tp t="s">
        <v>#N/A Requesting Data...3182698377</v>
        <stp/>
        <stp>BDP|14277290245480331949</stp>
        <tr r="O355" s="2"/>
      </tp>
      <tp t="s">
        <v>#N/A Requesting Data...2521357270</v>
        <stp/>
        <stp>BDP|14930278405488329514</stp>
        <tr r="S96" s="2"/>
      </tp>
      <tp t="s">
        <v>#N/A Requesting Data...3692940600</v>
        <stp/>
        <stp>BDP|17914582355158493492</stp>
        <tr r="O500" s="2"/>
      </tp>
      <tp t="s">
        <v>#N/A Requesting Data...3456513694</v>
        <stp/>
        <stp>BDP|18378141224945203587</stp>
        <tr r="D1777" s="2"/>
      </tp>
      <tp t="s">
        <v>#N/A Requesting Data...4282358794</v>
        <stp/>
        <stp>BDP|14599536933108559193</stp>
        <tr r="C1381" s="2"/>
      </tp>
      <tp t="s">
        <v>#N/A Requesting Data...3787816828</v>
        <stp/>
        <stp>BDP|13523719712648671692</stp>
        <tr r="P1575" s="2"/>
      </tp>
      <tp t="s">
        <v>#N/A Requesting Data...2934385207</v>
        <stp/>
        <stp>BDP|11942530040043229819</stp>
        <tr r="M1051" s="2"/>
      </tp>
      <tp t="s">
        <v>#N/A Requesting Data...2933218625</v>
        <stp/>
        <stp>BDP|11226278554314869900</stp>
        <tr r="S1557" s="2"/>
      </tp>
      <tp t="s">
        <v>#N/A Requesting Data...2890304898</v>
        <stp/>
        <stp>BDP|17745372917468891664</stp>
        <tr r="F2477" s="2"/>
      </tp>
      <tp t="s">
        <v>#N/A Requesting Data...3599590060</v>
        <stp/>
        <stp>BDP|14687824877367373797</stp>
        <tr r="C919" s="2"/>
      </tp>
      <tp t="s">
        <v>#N/A Requesting Data...3602456769</v>
        <stp/>
        <stp>BDP|18154430358335308708</stp>
        <tr r="K2422" s="2"/>
      </tp>
      <tp t="s">
        <v>#N/A Requesting Data...3616393638</v>
        <stp/>
        <stp>BDP|10266371379158708728</stp>
        <tr r="H1573" s="2"/>
      </tp>
      <tp t="s">
        <v>#N/A Requesting Data...2523282276</v>
        <stp/>
        <stp>BDP|10796067274208503492</stp>
        <tr r="M1005" s="2"/>
      </tp>
      <tp t="s">
        <v>#N/A Requesting Data...3754693039</v>
        <stp/>
        <stp>BDP|13821091513250296996</stp>
        <tr r="G576" s="2"/>
      </tp>
      <tp t="s">
        <v>#N/A Requesting Data...3520781282</v>
        <stp/>
        <stp>BDP|15207659189818460839</stp>
        <tr r="A1733" s="2"/>
      </tp>
      <tp t="s">
        <v>#N/A Requesting Data...3080090843</v>
        <stp/>
        <stp>BDP|12491106026132824832</stp>
        <tr r="D71" s="2"/>
      </tp>
      <tp t="s">
        <v>#N/A Requesting Data...3279416806</v>
        <stp/>
        <stp>BDP|14900924453373003019</stp>
        <tr r="A1331" s="2"/>
      </tp>
      <tp t="s">
        <v>#N/A Requesting Data...3289344539</v>
        <stp/>
        <stp>BDP|16033474509911128861</stp>
        <tr r="D772" s="2"/>
      </tp>
      <tp t="s">
        <v>#N/A Requesting Data...3381386565</v>
        <stp/>
        <stp>BDP|18229087289212295983</stp>
        <tr r="J950" s="2"/>
      </tp>
      <tp t="s">
        <v>#N/A Requesting Data...3541191481</v>
        <stp/>
        <stp>BDP|11798115996373138181</stp>
        <tr r="N1476" s="2"/>
      </tp>
      <tp t="s">
        <v>#N/A Requesting Data...4246788075</v>
        <stp/>
        <stp>BDP|17998720520299570071</stp>
        <tr r="N1521" s="2"/>
      </tp>
      <tp t="s">
        <v>#N/A Requesting Data...4094741753</v>
        <stp/>
        <stp>BDP|10155377396954011597</stp>
        <tr r="R1797" s="2"/>
      </tp>
      <tp t="b">
        <v>0</v>
        <stp/>
        <stp>BDS|17694393927288638547</stp>
        <tr r="I380" s="2"/>
      </tp>
      <tp t="s">
        <v>#N/A Requesting Data...4149728250</v>
        <stp/>
        <stp>BDP|15319008918496645945</stp>
        <tr r="A2149" s="2"/>
      </tp>
      <tp t="s">
        <v>#N/A Requesting Data...3626407856</v>
        <stp/>
        <stp>BDP|12261816859876701244</stp>
        <tr r="E2403" s="2"/>
      </tp>
      <tp t="s">
        <v>#N/A Requesting Data...3323901336</v>
        <stp/>
        <stp>BDP|14964887999686235838</stp>
        <tr r="P1697" s="2"/>
      </tp>
      <tp t="s">
        <v>#N/A Requesting Data...3161194871</v>
        <stp/>
        <stp>BDP|15111057105616929811</stp>
        <tr r="D104" s="2"/>
      </tp>
      <tp t="s">
        <v>#N/A Requesting Data...2839107881</v>
        <stp/>
        <stp>BDP|15946014891312714571</stp>
        <tr r="M594" s="2"/>
      </tp>
      <tp t="s">
        <v>#N/A Requesting Data...2848114814</v>
        <stp/>
        <stp>BDP|13167857301060422080</stp>
        <tr r="G775" s="2"/>
      </tp>
      <tp t="s">
        <v>#N/A Requesting Data...3501612594</v>
        <stp/>
        <stp>BDP|16287898233805194303</stp>
        <tr r="F771" s="2"/>
      </tp>
      <tp t="s">
        <v>#N/A Requesting Data...4231404191</v>
        <stp/>
        <stp>BDP|14134964970291716096</stp>
        <tr r="J1302" s="2"/>
      </tp>
      <tp t="s">
        <v>#N/A Requesting Data...4020340372</v>
        <stp/>
        <stp>BDP|11585811867846885228</stp>
        <tr r="E389" s="2"/>
      </tp>
      <tp t="s">
        <v>#N/A Requesting Data...4053544726</v>
        <stp/>
        <stp>BDP|10068601155340914854</stp>
        <tr r="E231" s="2"/>
      </tp>
      <tp t="s">
        <v>#N/A Requesting Data...4093772846</v>
        <stp/>
        <stp>BDP|16848869337014943298</stp>
        <tr r="F289" s="2"/>
      </tp>
      <tp t="s">
        <v>#N/A Requesting Data...3577855719</v>
        <stp/>
        <stp>BDP|15014645859455392878</stp>
        <tr r="Q1031" s="2"/>
      </tp>
      <tp t="s">
        <v>#N/A Requesting Data...2999656581</v>
        <stp/>
        <stp>BDP|14120106423448955424</stp>
        <tr r="H2431" s="2"/>
      </tp>
      <tp t="s">
        <v>#N/A Requesting Data...3116772331</v>
        <stp/>
        <stp>BDP|10007922472554867110</stp>
        <tr r="D57" s="2"/>
      </tp>
      <tp t="s">
        <v>#N/A Requesting Data...3815771616</v>
        <stp/>
        <stp>BDP|10580359066548645691</stp>
        <tr r="K607" s="2"/>
      </tp>
      <tp t="s">
        <v>#N/A Requesting Data...4228001772</v>
        <stp/>
        <stp>BDP|17618950526077818041</stp>
        <tr r="S2367" s="2"/>
      </tp>
      <tp t="s">
        <v>#N/A Requesting Data...2706637747</v>
        <stp/>
        <stp>BDP|15522900870049801942</stp>
        <tr r="T647" s="2"/>
      </tp>
      <tp t="s">
        <v>#N/A Requesting Data...2828430821</v>
        <stp/>
        <stp>BDP|13053467339787456820</stp>
        <tr r="D1779" s="2"/>
      </tp>
      <tp t="s">
        <v>#N/A Requesting Data...2949064263</v>
        <stp/>
        <stp>BDP|16810095942761827821</stp>
        <tr r="J32" s="2"/>
      </tp>
      <tp t="s">
        <v>#N/A Requesting Data...3161812600</v>
        <stp/>
        <stp>BDP|15327745284116273781</stp>
        <tr r="O1474" s="2"/>
      </tp>
      <tp t="s">
        <v>#N/A Requesting Data...3761706032</v>
        <stp/>
        <stp>BDP|16474727239958103179</stp>
        <tr r="H1380" s="2"/>
      </tp>
      <tp t="s">
        <v>#N/A Requesting Data...3324349461</v>
        <stp/>
        <stp>BDP|17327769195535095797</stp>
        <tr r="A1636" s="2"/>
      </tp>
      <tp t="s">
        <v>#N/A Requesting Data...4276353114</v>
        <stp/>
        <stp>BDP|15058778296461860108</stp>
        <tr r="T2367" s="2"/>
      </tp>
      <tp t="s">
        <v>#N/A Requesting Data...4088295214</v>
        <stp/>
        <stp>BDP|13071309708732870999</stp>
        <tr r="K231" s="2"/>
      </tp>
      <tp t="s">
        <v>#N/A Requesting Data...2915605515</v>
        <stp/>
        <stp>BDP|13377825309974547448</stp>
        <tr r="T2126" s="2"/>
      </tp>
      <tp t="s">
        <v>#N/A Requesting Data...3756393952</v>
        <stp/>
        <stp>BDP|17873235752053157810</stp>
        <tr r="H2309" s="2"/>
      </tp>
      <tp t="s">
        <v>#N/A Requesting Data...3245690656</v>
        <stp/>
        <stp>BDP|13938182198521501152</stp>
        <tr r="Q586" s="2"/>
      </tp>
      <tp t="s">
        <v>#N/A Requesting Data...3596887541</v>
        <stp/>
        <stp>BDP|12214977566675273381</stp>
        <tr r="D191" s="2"/>
      </tp>
      <tp t="s">
        <v>#N/A Requesting Data...3953453809</v>
        <stp/>
        <stp>BDP|15657242732119124682</stp>
        <tr r="K333" s="2"/>
      </tp>
      <tp t="s">
        <v>#N/A Requesting Data...3802624982</v>
        <stp/>
        <stp>BDP|13575080475936904988</stp>
        <tr r="P821" s="2"/>
      </tp>
      <tp t="s">
        <v>#N/A Requesting Data...4059525885</v>
        <stp/>
        <stp>BDP|12506003186049932836</stp>
        <tr r="M58" s="2"/>
      </tp>
      <tp t="s">
        <v>#N/A Requesting Data...3259255981</v>
        <stp/>
        <stp>BDP|16718354199430028725</stp>
        <tr r="F1298" s="2"/>
      </tp>
      <tp t="s">
        <v>#N/A Requesting Data...2848439065</v>
        <stp/>
        <stp>BDP|11099158924780814902</stp>
        <tr r="E979" s="2"/>
      </tp>
      <tp t="s">
        <v>#N/A Requesting Data...3328535715</v>
        <stp/>
        <stp>BDP|16024593685656069654</stp>
        <tr r="F1083" s="2"/>
      </tp>
      <tp t="s">
        <v>#N/A Requesting Data...3580686494</v>
        <stp/>
        <stp>BDP|11492809143636679084</stp>
        <tr r="A2118" s="2"/>
      </tp>
      <tp t="s">
        <v>#N/A Requesting Data...2935574361</v>
        <stp/>
        <stp>BDP|17606650087250978240</stp>
        <tr r="O444" s="2"/>
      </tp>
      <tp t="s">
        <v>#N/A Requesting Data...3776535887</v>
        <stp/>
        <stp>BDP|12503484593706622214</stp>
        <tr r="M558" s="2"/>
      </tp>
      <tp t="s">
        <v>#N/A Requesting Data...2787153120</v>
        <stp/>
        <stp>BDP|15977579022041388862</stp>
        <tr r="G1530" s="2"/>
      </tp>
      <tp t="b">
        <v>0</v>
        <stp/>
        <stp>BDS|13975175643089600416</stp>
        <tr r="I1129" s="2"/>
      </tp>
      <tp t="s">
        <v>#N/A Requesting Data...2916473284</v>
        <stp/>
        <stp>BDP|10923094491100041287</stp>
        <tr r="M1277" s="2"/>
      </tp>
      <tp t="s">
        <v>#N/A Requesting Data...2801970590</v>
        <stp/>
        <stp>BDP|13299711841289379289</stp>
        <tr r="J1267" s="2"/>
      </tp>
      <tp t="s">
        <v>#N/A Requesting Data...4152893058</v>
        <stp/>
        <stp>BDP|17705796324088442169</stp>
        <tr r="F973" s="2"/>
      </tp>
      <tp t="s">
        <v>#N/A Requesting Data...3482765432</v>
        <stp/>
        <stp>BDP|17240976421242928558</stp>
        <tr r="S382" s="2"/>
      </tp>
      <tp t="s">
        <v>#N/A Requesting Data...3593786618</v>
        <stp/>
        <stp>BDP|15054506923471250898</stp>
        <tr r="R1939" s="2"/>
      </tp>
      <tp t="s">
        <v>#N/A Requesting Data...3535436184</v>
        <stp/>
        <stp>BDP|17972854916296696342</stp>
        <tr r="D1156" s="2"/>
      </tp>
      <tp t="s">
        <v>#N/A Requesting Data...3829731630</v>
        <stp/>
        <stp>BDP|10384704670159240293</stp>
        <tr r="G763" s="2"/>
      </tp>
      <tp t="s">
        <v>#N/A Requesting Data...3255943865</v>
        <stp/>
        <stp>BDP|10105594896592792512</stp>
        <tr r="D603" s="2"/>
      </tp>
      <tp t="s">
        <v>#N/A Requesting Data...4205775956</v>
        <stp/>
        <stp>BDP|11853359701668091149</stp>
        <tr r="H848" s="2"/>
      </tp>
      <tp t="s">
        <v>#N/A Requesting Data...3483745781</v>
        <stp/>
        <stp>BDP|14322798488030206080</stp>
        <tr r="P792" s="2"/>
      </tp>
      <tp t="s">
        <v>#N/A Requesting Data...3324299440</v>
        <stp/>
        <stp>BDP|11722473034489894445</stp>
        <tr r="J1231" s="2"/>
      </tp>
      <tp t="s">
        <v>#N/A Requesting Data...4066816616</v>
        <stp/>
        <stp>BDP|15574588037869467168</stp>
        <tr r="N318" s="2"/>
      </tp>
      <tp t="b">
        <v>0</v>
        <stp/>
        <stp>BDS|17850258396654353337</stp>
        <tr r="I40" s="2"/>
      </tp>
      <tp t="s">
        <v>#N/A Requesting Data...3952031971</v>
        <stp/>
        <stp>BDP|17111199469369144286</stp>
        <tr r="K2330" s="2"/>
      </tp>
      <tp t="s">
        <v>#N/A Requesting Data...3866334775</v>
        <stp/>
        <stp>BDP|16122150060568892247</stp>
        <tr r="F409" s="2"/>
      </tp>
      <tp t="s">
        <v>#N/A Requesting Data...4123820228</v>
        <stp/>
        <stp>BDP|13766328001718844344</stp>
        <tr r="D812" s="2"/>
      </tp>
      <tp t="b">
        <v>0</v>
        <stp/>
        <stp>BDS|10927488362001056886</stp>
        <tr r="I1642" s="2"/>
      </tp>
      <tp t="s">
        <v>#N/A Requesting Data...3294890131</v>
        <stp/>
        <stp>BDP|10220929113295801631</stp>
        <tr r="M1351" s="2"/>
      </tp>
      <tp t="s">
        <v>#N/A Requesting Data...3500434406</v>
        <stp/>
        <stp>BDP|15910025892221160608</stp>
        <tr r="G2138" s="2"/>
      </tp>
      <tp t="s">
        <v>#N/A Requesting Data...2838469220</v>
        <stp/>
        <stp>BDP|15980297488255703175</stp>
        <tr r="O1059" s="2"/>
      </tp>
      <tp t="s">
        <v>#N/A Requesting Data...3334820301</v>
        <stp/>
        <stp>BDP|11487781691382764623</stp>
        <tr r="S54" s="2"/>
      </tp>
      <tp t="b">
        <v>0</v>
        <stp/>
        <stp>BDS|11502296715528448168</stp>
        <tr r="I459" s="2"/>
      </tp>
      <tp t="s">
        <v>#N/A Requesting Data...2959104372</v>
        <stp/>
        <stp>BDP|13927779111586654814</stp>
        <tr r="R835" s="2"/>
      </tp>
      <tp t="s">
        <v>#N/A Requesting Data...3317981110</v>
        <stp/>
        <stp>BDP|12752422992905670197</stp>
        <tr r="N348" s="2"/>
      </tp>
      <tp t="s">
        <v>#N/A Requesting Data...4014588715</v>
        <stp/>
        <stp>BDP|11939164026469095014</stp>
        <tr r="K1638" s="2"/>
      </tp>
      <tp t="s">
        <v>#N/A Requesting Data...3535908619</v>
        <stp/>
        <stp>BDP|17232448103331534985</stp>
        <tr r="Q678" s="2"/>
      </tp>
      <tp t="b">
        <v>0</v>
        <stp/>
        <stp>BDS|14273939501135244395</stp>
        <tr r="I2271" s="2"/>
      </tp>
      <tp t="s">
        <v>#N/A Requesting Data...3548113647</v>
        <stp/>
        <stp>BDP|17533921568931328244</stp>
        <tr r="S483" s="2"/>
      </tp>
      <tp t="s">
        <v>#N/A Requesting Data...4286855016</v>
        <stp/>
        <stp>BDP|18020598696316108964</stp>
        <tr r="A174" s="2"/>
      </tp>
      <tp t="s">
        <v>#N/A Requesting Data...2826481811</v>
        <stp/>
        <stp>BDP|11196678497890925506</stp>
        <tr r="F439" s="2"/>
      </tp>
      <tp t="s">
        <v>#N/A Requesting Data...3807111180</v>
        <stp/>
        <stp>BDP|16833328155273761802</stp>
        <tr r="S2270" s="2"/>
      </tp>
      <tp t="s">
        <v>#N/A Requesting Data...3424888151</v>
        <stp/>
        <stp>BDP|16976115301458794462</stp>
        <tr r="N1229" s="2"/>
      </tp>
      <tp t="b">
        <v>0</v>
        <stp/>
        <stp>BDS|14995702830238679343</stp>
        <tr r="I2495" s="2"/>
      </tp>
      <tp t="b">
        <v>0</v>
        <stp/>
        <stp>BDS|13763630547953942916</stp>
        <tr r="I1327" s="2"/>
      </tp>
      <tp t="s">
        <v>#N/A Requesting Data...3957703694</v>
        <stp/>
        <stp>BDP|12032616487737996076</stp>
        <tr r="C1423" s="2"/>
      </tp>
      <tp t="s">
        <v>#N/A Requesting Data...2919095142</v>
        <stp/>
        <stp>BDP|17332028977533837861</stp>
        <tr r="N2391" s="2"/>
      </tp>
      <tp t="s">
        <v>#N/A Requesting Data...3689102659</v>
        <stp/>
        <stp>BDP|12125895865316792121</stp>
        <tr r="A2488" s="2"/>
      </tp>
      <tp t="s">
        <v>#N/A Requesting Data...3962659059</v>
        <stp/>
        <stp>BDP|13697685394671569670</stp>
        <tr r="N303" s="2"/>
      </tp>
      <tp t="s">
        <v>#N/A Requesting Data...3269750497</v>
        <stp/>
        <stp>BDP|15486130185072256581</stp>
        <tr r="E1708" s="2"/>
      </tp>
      <tp t="s">
        <v>#N/A Requesting Data...3129977280</v>
        <stp/>
        <stp>BDP|13638811109526246640</stp>
        <tr r="A1125" s="2"/>
      </tp>
      <tp t="s">
        <v>#N/A Requesting Data...3119352149</v>
        <stp/>
        <stp>BDP|14811656095023047300</stp>
        <tr r="H2479" s="2"/>
      </tp>
      <tp t="s">
        <v>#N/A Requesting Data...3353894144</v>
        <stp/>
        <stp>BDP|13304884828180843232</stp>
        <tr r="Q517" s="2"/>
      </tp>
      <tp t="s">
        <v>#N/A Requesting Data...3934670609</v>
        <stp/>
        <stp>BDP|10016175659326532937</stp>
        <tr r="K1897" s="2"/>
      </tp>
      <tp t="s">
        <v>#N/A Requesting Data...3378390323</v>
        <stp/>
        <stp>BDP|12446221446969078689</stp>
        <tr r="Q2371" s="2"/>
      </tp>
      <tp t="s">
        <v>#N/A Requesting Data...2849035810</v>
        <stp/>
        <stp>BDP|12327056182611488088</stp>
        <tr r="E787" s="2"/>
      </tp>
      <tp t="s">
        <v>#N/A Requesting Data...3300613096</v>
        <stp/>
        <stp>BDP|13755320071308863442</stp>
        <tr r="K2435" s="2"/>
      </tp>
      <tp t="s">
        <v>#N/A Requesting Data...2907734728</v>
        <stp/>
        <stp>BDP|17308609989725545778</stp>
        <tr r="M599" s="2"/>
      </tp>
      <tp t="s">
        <v>#N/A Requesting Data...2857136243</v>
        <stp/>
        <stp>BDP|14384982717832416502</stp>
        <tr r="A2512" s="2"/>
      </tp>
      <tp t="s">
        <v>#N/A Requesting Data...3286369500</v>
        <stp/>
        <stp>BDP|14078856261090802140</stp>
        <tr r="N1333" s="2"/>
      </tp>
      <tp t="s">
        <v>#N/A Requesting Data...4158375775</v>
        <stp/>
        <stp>BDP|12932076692265762530</stp>
        <tr r="N320" s="2"/>
      </tp>
      <tp t="s">
        <v>#N/A Requesting Data...3013194618</v>
        <stp/>
        <stp>BDP|12692807768812447523</stp>
        <tr r="P335" s="2"/>
      </tp>
      <tp t="s">
        <v>#N/A Requesting Data...3845864190</v>
        <stp/>
        <stp>BDP|17072834716912529788</stp>
        <tr r="A1154" s="2"/>
      </tp>
      <tp t="s">
        <v>#N/A Requesting Data...3653956416</v>
        <stp/>
        <stp>BDP|12217605829429341404</stp>
        <tr r="C791" s="2"/>
      </tp>
      <tp t="s">
        <v>#N/A Requesting Data...3542830057</v>
        <stp/>
        <stp>BDP|15050596321480470940</stp>
        <tr r="A1830" s="2"/>
      </tp>
      <tp t="s">
        <v>#N/A Requesting Data...3423584870</v>
        <stp/>
        <stp>BDP|14184620167837807840</stp>
        <tr r="A81" s="2"/>
      </tp>
      <tp t="s">
        <v>#N/A Requesting Data...3076223749</v>
        <stp/>
        <stp>BDP|13811541817588762443</stp>
        <tr r="F553" s="2"/>
      </tp>
      <tp t="s">
        <v>#N/A Requesting Data...3816289380</v>
        <stp/>
        <stp>BDP|15040921029700073535</stp>
        <tr r="S1767" s="2"/>
      </tp>
      <tp t="s">
        <v>#N/A Requesting Data...3793261648</v>
        <stp/>
        <stp>BDP|18111576848272350057</stp>
        <tr r="S578" s="2"/>
      </tp>
      <tp t="s">
        <v>#N/A Requesting Data...4017203012</v>
        <stp/>
        <stp>BDP|10961351877177432873</stp>
        <tr r="T462" s="2"/>
      </tp>
      <tp t="s">
        <v>#N/A Requesting Data...3443002681</v>
        <stp/>
        <stp>BDP|15942512000622068900</stp>
        <tr r="E1625" s="2"/>
      </tp>
      <tp t="s">
        <v>#N/A Requesting Data...3435190199</v>
        <stp/>
        <stp>BDP|17777655603179009396</stp>
        <tr r="G1708" s="2"/>
      </tp>
      <tp t="s">
        <v>#N/A Requesting Data...3508529995</v>
        <stp/>
        <stp>BDP|17965715394165459702</stp>
        <tr r="K752" s="2"/>
      </tp>
      <tp t="s">
        <v>#N/A Requesting Data...2863772085</v>
        <stp/>
        <stp>BDP|11640576873208963033</stp>
        <tr r="H1766" s="2"/>
      </tp>
      <tp t="s">
        <v>#N/A Requesting Data...4071281137</v>
        <stp/>
        <stp>BDP|10098400939069880594</stp>
        <tr r="K1059" s="2"/>
      </tp>
      <tp t="s">
        <v>#N/A Requesting Data...2967340224</v>
        <stp/>
        <stp>BDP|17816372585652487568</stp>
        <tr r="C236" s="2"/>
      </tp>
      <tp t="s">
        <v>#N/A Requesting Data...3655713532</v>
        <stp/>
        <stp>BDP|14812109290690389733</stp>
        <tr r="J938" s="2"/>
      </tp>
      <tp t="s">
        <v>#N/A Requesting Data...4077651832</v>
        <stp/>
        <stp>BDP|17277991030341563766</stp>
        <tr r="K2102" s="2"/>
      </tp>
      <tp t="s">
        <v>#N/A Requesting Data...3652327426</v>
        <stp/>
        <stp>BDP|10454387719230525986</stp>
        <tr r="C2070" s="2"/>
      </tp>
      <tp t="s">
        <v>#N/A Requesting Data...3276852143</v>
        <stp/>
        <stp>BDP|11412921173352463691</stp>
        <tr r="O1763" s="2"/>
      </tp>
      <tp t="s">
        <v>#N/A Requesting Data...3437396637</v>
        <stp/>
        <stp>BDP|12531924679444046363</stp>
        <tr r="M2217" s="2"/>
      </tp>
      <tp t="s">
        <v>#N/A Requesting Data...3197302750</v>
        <stp/>
        <stp>BDP|14005373322678995648</stp>
        <tr r="R2358" s="2"/>
      </tp>
      <tp t="b">
        <v>0</v>
        <stp/>
        <stp>BDS|16017873196115940933</stp>
        <tr r="I399" s="2"/>
      </tp>
      <tp t="b">
        <v>0</v>
        <stp/>
        <stp>BDS|16955168291746395367</stp>
        <tr r="I1165" s="2"/>
      </tp>
      <tp t="s">
        <v>#N/A Requesting Data...3633518734</v>
        <stp/>
        <stp>BDP|15936862922297197371</stp>
        <tr r="S2479" s="2"/>
      </tp>
      <tp t="s">
        <v>#N/A Requesting Data...4170141326</v>
        <stp/>
        <stp>BDP|12220807732614988621</stp>
        <tr r="C396" s="2"/>
      </tp>
      <tp t="s">
        <v>#N/A Requesting Data...2924416434</v>
        <stp/>
        <stp>BDP|10897816600515428662</stp>
        <tr r="G2092" s="2"/>
      </tp>
      <tp t="s">
        <v>#N/A Requesting Data...3748309723</v>
        <stp/>
        <stp>BDP|11692337708008142170</stp>
        <tr r="J1209" s="2"/>
      </tp>
      <tp t="s">
        <v>#N/A Requesting Data...3153937639</v>
        <stp/>
        <stp>BDP|15655887745937297528</stp>
        <tr r="N568" s="2"/>
      </tp>
      <tp t="b">
        <v>0</v>
        <stp/>
        <stp>BDS|17226455088623497332</stp>
        <tr r="I1030" s="2"/>
      </tp>
      <tp t="s">
        <v>#N/A Requesting Data...4053669049</v>
        <stp/>
        <stp>BDP|14023913302540886606</stp>
        <tr r="G1750" s="2"/>
      </tp>
      <tp t="s">
        <v>#N/A Requesting Data...3321876298</v>
        <stp/>
        <stp>BDP|15431052344989945375</stp>
        <tr r="H2235" s="2"/>
      </tp>
      <tp t="s">
        <v>#N/A Requesting Data...4016687879</v>
        <stp/>
        <stp>BDP|11095903358667339106</stp>
        <tr r="H2129" s="2"/>
      </tp>
      <tp t="s">
        <v>#N/A Requesting Data...4081603668</v>
        <stp/>
        <stp>BDP|10995780198437456261</stp>
        <tr r="P1950" s="2"/>
      </tp>
      <tp t="b">
        <v>0</v>
        <stp/>
        <stp>BDS|10136990520215593551</stp>
        <tr r="I379" s="2"/>
      </tp>
      <tp t="s">
        <v>#N/A Requesting Data...3380685132</v>
        <stp/>
        <stp>BDP|11480888581329338358</stp>
        <tr r="C2312" s="2"/>
      </tp>
      <tp t="b">
        <v>0</v>
        <stp/>
        <stp>BDS|17481084298056951351</stp>
        <tr r="I1741" s="2"/>
      </tp>
      <tp t="s">
        <v>#N/A Requesting Data...3601038765</v>
        <stp/>
        <stp>BDP|13735920061934830371</stp>
        <tr r="C135" s="2"/>
      </tp>
      <tp t="s">
        <v>#N/A Requesting Data...3955286909</v>
        <stp/>
        <stp>BDP|17787480894291617063</stp>
        <tr r="G820" s="2"/>
      </tp>
      <tp t="s">
        <v>#N/A Requesting Data...3865352831</v>
        <stp/>
        <stp>BDP|17094224785752555497</stp>
        <tr r="H2401" s="2"/>
      </tp>
      <tp t="s">
        <v>#N/A Requesting Data...3495645894</v>
        <stp/>
        <stp>BDP|13730798863331026865</stp>
        <tr r="E680" s="2"/>
      </tp>
      <tp t="s">
        <v>#N/A Requesting Data...3965876713</v>
        <stp/>
        <stp>BDP|15958833361988956895</stp>
        <tr r="J1135" s="2"/>
      </tp>
      <tp t="s">
        <v>#N/A Requesting Data...3847104860</v>
        <stp/>
        <stp>BDP|14930025187424247359</stp>
        <tr r="J2195" s="2"/>
      </tp>
      <tp t="s">
        <v>#N/A Requesting Data...4279121824</v>
        <stp/>
        <stp>BDP|15776878520137860337</stp>
        <tr r="E1150" s="2"/>
      </tp>
      <tp t="s">
        <v>#N/A Requesting Data...3213115478</v>
        <stp/>
        <stp>BDP|12381334713369033283</stp>
        <tr r="N1099" s="2"/>
      </tp>
      <tp t="s">
        <v>#N/A Requesting Data...3048675739</v>
        <stp/>
        <stp>BDP|16994847672080218260</stp>
        <tr r="N1696" s="2"/>
      </tp>
      <tp t="b">
        <v>0</v>
        <stp/>
        <stp>BDS|11824939220277223614</stp>
        <tr r="I2153" s="2"/>
      </tp>
      <tp t="s">
        <v>#N/A Requesting Data...3781987537</v>
        <stp/>
        <stp>BDP|10330717837338883761</stp>
        <tr r="T20" s="2"/>
      </tp>
      <tp t="s">
        <v>#N/A Requesting Data...4053490841</v>
        <stp/>
        <stp>BDP|15261886549763982111</stp>
        <tr r="P1968" s="2"/>
      </tp>
      <tp t="s">
        <v>#N/A Requesting Data...4053281929</v>
        <stp/>
        <stp>BDP|16792095352379326143</stp>
        <tr r="G2120" s="2"/>
      </tp>
      <tp t="s">
        <v>#N/A Requesting Data...3164379588</v>
        <stp/>
        <stp>BDP|17210498791756082718</stp>
        <tr r="J1310" s="2"/>
      </tp>
      <tp t="s">
        <v>#N/A Requesting Data...4019413522</v>
        <stp/>
        <stp>BDP|16841832177900773206</stp>
        <tr r="A218" s="2"/>
      </tp>
      <tp t="s">
        <v>#N/A Requesting Data...4198971252</v>
        <stp/>
        <stp>BDP|15827232942840756850</stp>
        <tr r="S983" s="2"/>
      </tp>
      <tp t="s">
        <v>#N/A Requesting Data...4009440476</v>
        <stp/>
        <stp>BDP|16614578722698166294</stp>
        <tr r="G2338" s="2"/>
      </tp>
      <tp t="s">
        <v>#N/A Requesting Data...3116622994</v>
        <stp/>
        <stp>BDP|10544049182642107196</stp>
        <tr r="D539" s="2"/>
      </tp>
      <tp t="b">
        <v>0</v>
        <stp/>
        <stp>BDS|16953842260804067754</stp>
        <tr r="I233" s="2"/>
      </tp>
      <tp t="s">
        <v>#N/A Requesting Data...3563070543</v>
        <stp/>
        <stp>BDP|12145468784746038384</stp>
        <tr r="O185" s="2"/>
      </tp>
      <tp t="s">
        <v>#N/A Requesting Data...3918071964</v>
        <stp/>
        <stp>BDP|13827962711176052648</stp>
        <tr r="R634" s="2"/>
      </tp>
      <tp t="s">
        <v>#N/A Requesting Data...3687571064</v>
        <stp/>
        <stp>BDP|17743227501248797684</stp>
        <tr r="C817" s="2"/>
      </tp>
      <tp t="s">
        <v>#N/A Requesting Data...4001523037</v>
        <stp/>
        <stp>BDP|10197953349161665701</stp>
        <tr r="F852" s="2"/>
      </tp>
      <tp t="s">
        <v>#N/A Requesting Data...3828216058</v>
        <stp/>
        <stp>BDP|15663543119662988898</stp>
        <tr r="O1786" s="2"/>
      </tp>
      <tp t="s">
        <v>#N/A Requesting Data...3745332344</v>
        <stp/>
        <stp>BDP|18369405644737873440</stp>
        <tr r="E118" s="2"/>
      </tp>
      <tp t="s">
        <v>#N/A Requesting Data...3246023508</v>
        <stp/>
        <stp>BDP|18315291867242567537</stp>
        <tr r="M2001" s="2"/>
      </tp>
      <tp t="s">
        <v>#N/A Requesting Data...3341114195</v>
        <stp/>
        <stp>BDP|11168246868638758610</stp>
        <tr r="H1565" s="2"/>
      </tp>
      <tp t="s">
        <v>#N/A Requesting Data...4035235821</v>
        <stp/>
        <stp>BDP|11093998600740350310</stp>
        <tr r="Q772" s="2"/>
      </tp>
      <tp t="s">
        <v>#N/A Requesting Data...3632985685</v>
        <stp/>
        <stp>BDP|17895931157078322849</stp>
        <tr r="T2009" s="2"/>
      </tp>
      <tp t="s">
        <v>#N/A Requesting Data...3612248551</v>
        <stp/>
        <stp>BDP|17809761962358436532</stp>
        <tr r="E657" s="2"/>
      </tp>
      <tp t="s">
        <v>#N/A Requesting Data...3450988351</v>
        <stp/>
        <stp>BDP|11703464591744930323</stp>
        <tr r="D1179" s="2"/>
      </tp>
      <tp t="s">
        <v>#N/A Requesting Data...3317044071</v>
        <stp/>
        <stp>BDP|17140432544699524580</stp>
        <tr r="A2389" s="2"/>
      </tp>
      <tp t="s">
        <v>#N/A Requesting Data...3061638071</v>
        <stp/>
        <stp>BDP|16656471528129206207</stp>
        <tr r="K1229" s="2"/>
      </tp>
      <tp t="s">
        <v>#N/A Requesting Data...3564617809</v>
        <stp/>
        <stp>BDP|16945045244209741055</stp>
        <tr r="H1797" s="2"/>
      </tp>
      <tp t="s">
        <v>#N/A Requesting Data...4071262677</v>
        <stp/>
        <stp>BDP|14678241511478955416</stp>
        <tr r="D2043" s="2"/>
      </tp>
      <tp t="s">
        <v>#N/A Requesting Data...3212108110</v>
        <stp/>
        <stp>BDP|11836493934735749892</stp>
        <tr r="O720" s="2"/>
      </tp>
      <tp t="s">
        <v>#N/A Requesting Data...3827527086</v>
        <stp/>
        <stp>BDP|10678738093940502586</stp>
        <tr r="E2271" s="2"/>
      </tp>
      <tp t="s">
        <v>#N/A Requesting Data...3934507492</v>
        <stp/>
        <stp>BDP|11726151202088302383</stp>
        <tr r="R1812" s="2"/>
      </tp>
      <tp t="s">
        <v>#N/A Requesting Data...3682110290</v>
        <stp/>
        <stp>BDP|16645955647936795681</stp>
        <tr r="Q2423" s="2"/>
      </tp>
      <tp t="s">
        <v>#N/A Requesting Data...3396960799</v>
        <stp/>
        <stp>BDP|16792142579772444958</stp>
        <tr r="M1114" s="2"/>
      </tp>
      <tp t="s">
        <v>#N/A Requesting Data...4002822238</v>
        <stp/>
        <stp>BDP|17170949767782898110</stp>
        <tr r="N1020" s="2"/>
      </tp>
      <tp t="s">
        <v>#N/A Requesting Data...4099790731</v>
        <stp/>
        <stp>BDP|18176138233737914639</stp>
        <tr r="N1795" s="2"/>
      </tp>
      <tp t="s">
        <v>#N/A Requesting Data...3927685056</v>
        <stp/>
        <stp>BDP|17958575793153273340</stp>
        <tr r="E2416" s="2"/>
      </tp>
      <tp t="s">
        <v>#N/A Requesting Data...3976513174</v>
        <stp/>
        <stp>BDP|17163446673096554983</stp>
        <tr r="S2183" s="2"/>
      </tp>
      <tp t="s">
        <v>#N/A Requesting Data...3473521258</v>
        <stp/>
        <stp>BDP|15440845039572603742</stp>
        <tr r="G1735" s="2"/>
      </tp>
      <tp t="b">
        <v>0</v>
        <stp/>
        <stp>BDS|16505755578205747875</stp>
        <tr r="I2194" s="2"/>
      </tp>
      <tp t="s">
        <v>#N/A Requesting Data...4011713593</v>
        <stp/>
        <stp>BDP|14963464694695813780</stp>
        <tr r="F1937" s="2"/>
      </tp>
      <tp t="s">
        <v>#N/A Requesting Data...3858436214</v>
        <stp/>
        <stp>BDP|11086792381741419479</stp>
        <tr r="O1769" s="2"/>
      </tp>
      <tp t="s">
        <v>#N/A Requesting Data...3528503216</v>
        <stp/>
        <stp>BDP|17887843637145462249</stp>
        <tr r="J1963" s="2"/>
      </tp>
      <tp t="s">
        <v>#N/A Requesting Data...3617489271</v>
        <stp/>
        <stp>BDP|16821741387562514052</stp>
        <tr r="D2472" s="2"/>
      </tp>
      <tp t="s">
        <v>#N/A Requesting Data...3564137064</v>
        <stp/>
        <stp>BDP|15758953058642666072</stp>
        <tr r="P1101" s="2"/>
      </tp>
      <tp t="s">
        <v>#N/A Requesting Data...3359142444</v>
        <stp/>
        <stp>BDP|16624986464015270737</stp>
        <tr r="J1689" s="2"/>
      </tp>
      <tp t="b">
        <v>0</v>
        <stp/>
        <stp>BDS|18323194659655239288</stp>
        <tr r="I1102" s="2"/>
      </tp>
      <tp t="s">
        <v>#N/A Requesting Data...3397774949</v>
        <stp/>
        <stp>BDP|11825079344897189900</stp>
        <tr r="C987" s="2"/>
      </tp>
      <tp t="s">
        <v>#N/A Requesting Data...3248623663</v>
        <stp/>
        <stp>BDP|11845374415910246826</stp>
        <tr r="G2329" s="2"/>
      </tp>
      <tp t="s">
        <v>#N/A Requesting Data...3946372050</v>
        <stp/>
        <stp>BDP|13530425302945671993</stp>
        <tr r="P1040" s="2"/>
      </tp>
      <tp t="s">
        <v>#N/A Requesting Data...3098513527</v>
        <stp/>
        <stp>BDP|14393945606811895736</stp>
        <tr r="C1131" s="2"/>
      </tp>
      <tp t="s">
        <v>#N/A Requesting Data...3234463389</v>
        <stp/>
        <stp>BDP|10811207251374396807</stp>
        <tr r="N178" s="2"/>
      </tp>
      <tp t="s">
        <v>#N/A Requesting Data...3413608025</v>
        <stp/>
        <stp>BDP|12755909626027903527</stp>
        <tr r="G180" s="2"/>
      </tp>
      <tp t="s">
        <v>#N/A Requesting Data...3089980007</v>
        <stp/>
        <stp>BDP|12995001694195124561</stp>
        <tr r="T237" s="2"/>
      </tp>
      <tp t="s">
        <v>#N/A Requesting Data...3856401389</v>
        <stp/>
        <stp>BDP|13156245958356719908</stp>
        <tr r="O873" s="2"/>
      </tp>
      <tp t="s">
        <v>#N/A Requesting Data...3110087184</v>
        <stp/>
        <stp>BDP|16258856000504565189</stp>
        <tr r="J239" s="2"/>
      </tp>
      <tp t="s">
        <v>#N/A Requesting Data...3453478029</v>
        <stp/>
        <stp>BDP|16310971898978413521</stp>
        <tr r="K1371" s="2"/>
      </tp>
      <tp t="b">
        <v>0</v>
        <stp/>
        <stp>BDS|17189469770936804961</stp>
        <tr r="I903" s="2"/>
      </tp>
      <tp t="s">
        <v>#N/A Requesting Data...3490608892</v>
        <stp/>
        <stp>BDP|14851436656989264755</stp>
        <tr r="G503" s="2"/>
      </tp>
      <tp t="s">
        <v>#N/A Requesting Data...4253497644</v>
        <stp/>
        <stp>BDP|13443922978810661621</stp>
        <tr r="G1797" s="2"/>
      </tp>
      <tp t="s">
        <v>#N/A Requesting Data...3812904242</v>
        <stp/>
        <stp>BDP|10892826321167802697</stp>
        <tr r="N525" s="2"/>
      </tp>
      <tp t="s">
        <v>#N/A Requesting Data...4018769756</v>
        <stp/>
        <stp>BDP|18177089311036172430</stp>
        <tr r="D1078" s="2"/>
      </tp>
      <tp t="s">
        <v>#N/A Requesting Data...4207942988</v>
        <stp/>
        <stp>BDP|18009191411590683345</stp>
        <tr r="O1027" s="2"/>
      </tp>
      <tp t="s">
        <v>#N/A Requesting Data...3510635598</v>
        <stp/>
        <stp>BDP|18418185715955766643</stp>
        <tr r="M542" s="2"/>
      </tp>
      <tp t="s">
        <v>#N/A Requesting Data...3107093606</v>
        <stp/>
        <stp>BDP|14545531165484105889</stp>
        <tr r="G1479" s="2"/>
      </tp>
      <tp t="s">
        <v>#N/A Requesting Data...3843289122</v>
        <stp/>
        <stp>BDP|15050976279383003348</stp>
        <tr r="A1978" s="2"/>
      </tp>
      <tp t="s">
        <v>#N/A Requesting Data...3888271274</v>
        <stp/>
        <stp>BDP|14830901117024286372</stp>
        <tr r="T2353" s="2"/>
      </tp>
      <tp t="s">
        <v>#N/A Requesting Data...3193683823</v>
        <stp/>
        <stp>BDP|17090444362769962754</stp>
        <tr r="C1940" s="2"/>
      </tp>
      <tp t="s">
        <v>#N/A Requesting Data...3606231324</v>
        <stp/>
        <stp>BDP|18418086445723708448</stp>
        <tr r="C513" s="2"/>
      </tp>
      <tp t="s">
        <v>#N/A Requesting Data...3734601945</v>
        <stp/>
        <stp>BDP|14259590881487309539</stp>
        <tr r="F150" s="2"/>
      </tp>
      <tp t="s">
        <v>#N/A Requesting Data...3621022972</v>
        <stp/>
        <stp>BDP|12694140501990897816</stp>
        <tr r="F601" s="2"/>
      </tp>
      <tp t="s">
        <v>#N/A Requesting Data...3139071429</v>
        <stp/>
        <stp>BDP|10808642544570304918</stp>
        <tr r="J357" s="2"/>
      </tp>
      <tp t="b">
        <v>0</v>
        <stp/>
        <stp>BDS|13988749457988323205</stp>
        <tr r="I491" s="2"/>
      </tp>
      <tp t="s">
        <v>#N/A Requesting Data...3697529323</v>
        <stp/>
        <stp>BDP|17967976004657802289</stp>
        <tr r="F1903" s="2"/>
      </tp>
      <tp t="s">
        <v>#N/A Requesting Data...3752548417</v>
        <stp/>
        <stp>BDP|13197886165652540432</stp>
        <tr r="R762" s="2"/>
      </tp>
      <tp t="s">
        <v>#N/A Requesting Data...3817413715</v>
        <stp/>
        <stp>BDP|11341967575630995433</stp>
        <tr r="G1046" s="2"/>
      </tp>
      <tp t="b">
        <v>0</v>
        <stp/>
        <stp>BDS|16911357383960269647</stp>
        <tr r="I665" s="2"/>
      </tp>
      <tp t="s">
        <v>#N/A Requesting Data...3449067385</v>
        <stp/>
        <stp>BDP|10769539485662815436</stp>
        <tr r="E1291" s="2"/>
      </tp>
      <tp t="s">
        <v>#N/A Requesting Data...3722451321</v>
        <stp/>
        <stp>BDP|16272648152096874866</stp>
        <tr r="M81" s="2"/>
      </tp>
      <tp t="s">
        <v>#N/A Requesting Data...3904719839</v>
        <stp/>
        <stp>BDP|16688223866039008085</stp>
        <tr r="D825" s="2"/>
      </tp>
      <tp t="s">
        <v>#N/A Requesting Data...3870023576</v>
        <stp/>
        <stp>BDP|11195646572823503889</stp>
        <tr r="M140" s="2"/>
      </tp>
      <tp t="s">
        <v>#N/A Requesting Data...3853253871</v>
        <stp/>
        <stp>BDP|12828532207998540433</stp>
        <tr r="F7" s="2"/>
      </tp>
      <tp t="s">
        <v>#N/A Requesting Data...4132208361</v>
        <stp/>
        <stp>BDP|10995125281861109319</stp>
        <tr r="P1256" s="2"/>
      </tp>
      <tp t="s">
        <v>#N/A Requesting Data...3480079738</v>
        <stp/>
        <stp>BDP|18189359229346494436</stp>
        <tr r="Q530" s="2"/>
      </tp>
      <tp t="s">
        <v>#N/A Requesting Data...4188213737</v>
        <stp/>
        <stp>BDP|10086392689231334197</stp>
        <tr r="K121" s="2"/>
      </tp>
      <tp t="s">
        <v>#N/A Requesting Data...3820238463</v>
        <stp/>
        <stp>BDP|15830350495521291503</stp>
        <tr r="R520" s="2"/>
      </tp>
      <tp t="s">
        <v>#N/A Requesting Data...3174302586</v>
        <stp/>
        <stp>BDP|15673700788476085747</stp>
        <tr r="A981" s="2"/>
      </tp>
      <tp t="s">
        <v>#N/A Requesting Data...4119512406</v>
        <stp/>
        <stp>BDP|15736883412335368246</stp>
        <tr r="R2376" s="2"/>
      </tp>
      <tp t="s">
        <v>#N/A Requesting Data...4133876164</v>
        <stp/>
        <stp>BDP|16135183892630745561</stp>
        <tr r="A1860" s="2"/>
      </tp>
      <tp t="s">
        <v>#N/A Requesting Data...3182904173</v>
        <stp/>
        <stp>BDP|10646982980422159854</stp>
        <tr r="N1532" s="2"/>
      </tp>
      <tp t="s">
        <v>#N/A Requesting Data...3818587685</v>
        <stp/>
        <stp>BDP|16521103912695840850</stp>
        <tr r="M1783" s="2"/>
      </tp>
      <tp t="s">
        <v>#N/A Requesting Data...3634265121</v>
        <stp/>
        <stp>BDP|15415741339348182228</stp>
        <tr r="S2416" s="2"/>
      </tp>
      <tp t="s">
        <v>#N/A Requesting Data...3203107926</v>
        <stp/>
        <stp>BDP|18141157728515477522</stp>
        <tr r="Q1708" s="2"/>
      </tp>
      <tp t="s">
        <v>#N/A Requesting Data...3281278207</v>
        <stp/>
        <stp>BDP|17156398070990106836</stp>
        <tr r="E2397" s="2"/>
      </tp>
      <tp t="s">
        <v>#N/A Requesting Data...3654186474</v>
        <stp/>
        <stp>BDP|13868961727502285118</stp>
        <tr r="P403" s="2"/>
      </tp>
      <tp t="s">
        <v>#N/A Requesting Data...4046557127</v>
        <stp/>
        <stp>BDP|13831375910383075950</stp>
        <tr r="C1449" s="2"/>
      </tp>
      <tp t="s">
        <v>#N/A Requesting Data...3945245629</v>
        <stp/>
        <stp>BDP|17457748171579887532</stp>
        <tr r="R808" s="2"/>
      </tp>
      <tp t="s">
        <v>#N/A Requesting Data...3573422502</v>
        <stp/>
        <stp>BDP|15247284674282750936</stp>
        <tr r="Q1099" s="2"/>
      </tp>
      <tp t="s">
        <v>#N/A Requesting Data...4163625364</v>
        <stp/>
        <stp>BDP|12965215102879786272</stp>
        <tr r="N875" s="2"/>
      </tp>
      <tp t="s">
        <v>#N/A Requesting Data...4204720389</v>
        <stp/>
        <stp>BDP|11590287597390198115</stp>
        <tr r="E228" s="2"/>
      </tp>
      <tp t="s">
        <v>#N/A Requesting Data...4269184850</v>
        <stp/>
        <stp>BDP|17616332716396077897</stp>
        <tr r="R591" s="2"/>
      </tp>
      <tp t="b">
        <v>0</v>
        <stp/>
        <stp>BDS|17657125876678340282</stp>
        <tr r="I799" s="2"/>
      </tp>
      <tp t="s">
        <v>#N/A Requesting Data...3849615320</v>
        <stp/>
        <stp>BDP|12612757313196373990</stp>
        <tr r="H1868" s="2"/>
      </tp>
      <tp t="s">
        <v>#N/A Requesting Data...4084538744</v>
        <stp/>
        <stp>BDP|13023043399941181060</stp>
        <tr r="R251" s="2"/>
      </tp>
      <tp t="s">
        <v>#N/A Requesting Data...3458651775</v>
        <stp/>
        <stp>BDP|16561837949279548807</stp>
        <tr r="P770" s="2"/>
      </tp>
      <tp t="s">
        <v>#N/A Requesting Data...3660086789</v>
        <stp/>
        <stp>BDP|13377475276532960911</stp>
        <tr r="O2363" s="2"/>
      </tp>
      <tp t="s">
        <v>#N/A Requesting Data...4264708961</v>
        <stp/>
        <stp>BDP|11918600435446472925</stp>
        <tr r="K975" s="2"/>
      </tp>
      <tp t="s">
        <v>#N/A Requesting Data...3460069104</v>
        <stp/>
        <stp>BDP|13156932209787669671</stp>
        <tr r="F538" s="2"/>
      </tp>
      <tp t="s">
        <v>#N/A Requesting Data...3355739817</v>
        <stp/>
        <stp>BDP|16730785138131521882</stp>
        <tr r="M1305" s="2"/>
      </tp>
      <tp t="s">
        <v>#N/A Requesting Data...3609870896</v>
        <stp/>
        <stp>BDP|14406950854613642094</stp>
        <tr r="G1128" s="2"/>
      </tp>
      <tp t="s">
        <v>#N/A Requesting Data...3335835365</v>
        <stp/>
        <stp>BDP|10023364388075600520</stp>
        <tr r="F1870" s="2"/>
      </tp>
      <tp t="s">
        <v>#N/A Requesting Data...3441356861</v>
        <stp/>
        <stp>BDP|14198993992026453949</stp>
        <tr r="T407" s="2"/>
      </tp>
      <tp t="s">
        <v>#N/A Requesting Data...3472927851</v>
        <stp/>
        <stp>BDP|16652972331591816626</stp>
        <tr r="A2211" s="2"/>
      </tp>
      <tp t="s">
        <v>#N/A Requesting Data...4096638439</v>
        <stp/>
        <stp>BDP|14988625950308438458</stp>
        <tr r="Q1414" s="2"/>
      </tp>
      <tp t="s">
        <v>#N/A Requesting Data...4061164195</v>
        <stp/>
        <stp>BDP|13847582539469647753</stp>
        <tr r="M2087" s="2"/>
      </tp>
      <tp t="s">
        <v>#N/A Requesting Data...3446750972</v>
        <stp/>
        <stp>BDP|14846660271329624730</stp>
        <tr r="T1325" s="2"/>
      </tp>
      <tp t="s">
        <v>#N/A Requesting Data...4084204580</v>
        <stp/>
        <stp>BDP|17532859321171974729</stp>
        <tr r="M1207" s="2"/>
      </tp>
      <tp t="s">
        <v>#N/A Requesting Data...3398077002</v>
        <stp/>
        <stp>BDP|15544668146098810479</stp>
        <tr r="M635" s="2"/>
      </tp>
      <tp t="s">
        <v>#N/A Requesting Data...3337897996</v>
        <stp/>
        <stp>BDP|17119685691834595771</stp>
        <tr r="Q15" s="2"/>
      </tp>
      <tp t="s">
        <v>#N/A Requesting Data...3912344032</v>
        <stp/>
        <stp>BDP|11351235182331819106</stp>
        <tr r="G1998" s="2"/>
      </tp>
      <tp t="b">
        <v>0</v>
        <stp/>
        <stp>BDS|15521681894037160611</stp>
        <tr r="I1707" s="2"/>
      </tp>
      <tp t="b">
        <v>0</v>
        <stp/>
        <stp>BDS|10105322054015726894</stp>
        <tr r="I2143" s="2"/>
      </tp>
      <tp t="s">
        <v>#N/A Requesting Data...4186266308</v>
        <stp/>
        <stp>BDP|10606019216523870940</stp>
        <tr r="N2166" s="2"/>
      </tp>
      <tp t="s">
        <v>#N/A Requesting Data...4021197699</v>
        <stp/>
        <stp>BDP|14825000717687274909</stp>
        <tr r="E1288" s="2"/>
      </tp>
      <tp t="s">
        <v>#N/A Requesting Data...4096355065</v>
        <stp/>
        <stp>BDP|12709849611229735982</stp>
        <tr r="G694" s="2"/>
      </tp>
      <tp t="s">
        <v>#N/A Requesting Data...3595683801</v>
        <stp/>
        <stp>BDP|14094140495204504391</stp>
        <tr r="K605" s="2"/>
      </tp>
      <tp t="s">
        <v>#N/A Requesting Data...3273570120</v>
        <stp/>
        <stp>BDP|10871257596331007169</stp>
        <tr r="F881" s="2"/>
      </tp>
      <tp t="s">
        <v>#N/A Requesting Data...3508899458</v>
        <stp/>
        <stp>BDP|12986872195211125970</stp>
        <tr r="F1842" s="2"/>
      </tp>
      <tp t="s">
        <v>#N/A Requesting Data...3716303006</v>
        <stp/>
        <stp>BDP|10504691943171101839</stp>
        <tr r="R43" s="2"/>
      </tp>
      <tp t="s">
        <v>#N/A Requesting Data...3969810153</v>
        <stp/>
        <stp>BDP|17268460469227649969</stp>
        <tr r="T2463" s="2"/>
      </tp>
      <tp t="s">
        <v>#N/A Requesting Data...3569914338</v>
        <stp/>
        <stp>BDP|17169871826240586684</stp>
        <tr r="F1575" s="2"/>
      </tp>
      <tp t="s">
        <v>#N/A Requesting Data...3525928319</v>
        <stp/>
        <stp>BDP|18288726510953861659</stp>
        <tr r="A836" s="2"/>
      </tp>
      <tp t="s">
        <v>#N/A Requesting Data...3841721958</v>
        <stp/>
        <stp>BDP|18037637670585801769</stp>
        <tr r="O621" s="2"/>
      </tp>
      <tp t="s">
        <v>#N/A Requesting Data...3778499874</v>
        <stp/>
        <stp>BDP|17689017208194149832</stp>
        <tr r="T1558" s="2"/>
      </tp>
      <tp t="s">
        <v>#N/A Requesting Data...3370088072</v>
        <stp/>
        <stp>BDP|10493712986781857561</stp>
        <tr r="C82" s="2"/>
      </tp>
      <tp t="s">
        <v>#N/A Requesting Data...3810530925</v>
        <stp/>
        <stp>BDP|16857191430226895947</stp>
        <tr r="J1082" s="2"/>
      </tp>
      <tp t="s">
        <v>#N/A Requesting Data...3584510892</v>
        <stp/>
        <stp>BDP|17687033479659831296</stp>
        <tr r="J2106" s="2"/>
      </tp>
      <tp t="s">
        <v>#N/A Requesting Data...3679734722</v>
        <stp/>
        <stp>BDP|11383731786063392688</stp>
        <tr r="T1334" s="2"/>
      </tp>
      <tp t="s">
        <v>#N/A Requesting Data...4084301904</v>
        <stp/>
        <stp>BDP|12485272000699765295</stp>
        <tr r="E2429" s="2"/>
      </tp>
      <tp t="s">
        <v>#N/A Requesting Data...3375264748</v>
        <stp/>
        <stp>BDP|13127223749729796700</stp>
        <tr r="D1764" s="2"/>
      </tp>
      <tp t="s">
        <v>#N/A Requesting Data...4273746475</v>
        <stp/>
        <stp>BDP|12003897411889669936</stp>
        <tr r="P425" s="2"/>
      </tp>
      <tp t="s">
        <v>#N/A Requesting Data...4147521622</v>
        <stp/>
        <stp>BDP|14380277306289738481</stp>
        <tr r="P1034" s="2"/>
      </tp>
      <tp t="s">
        <v>#N/A Requesting Data...4140230773</v>
        <stp/>
        <stp>BDP|13494392730918940099</stp>
        <tr r="T598" s="2"/>
      </tp>
      <tp t="s">
        <v>#N/A Requesting Data...4201543736</v>
        <stp/>
        <stp>BDP|17064989296104693859</stp>
        <tr r="E2087" s="2"/>
      </tp>
      <tp t="s">
        <v>#N/A Requesting Data...3871735996</v>
        <stp/>
        <stp>BDP|11533474754829229290</stp>
        <tr r="H1436" s="2"/>
      </tp>
      <tp t="s">
        <v>#N/A Requesting Data...3719378828</v>
        <stp/>
        <stp>BDP|17157988840204647526</stp>
        <tr r="H797" s="2"/>
      </tp>
      <tp t="s">
        <v>#N/A Requesting Data...4208719153</v>
        <stp/>
        <stp>BDP|15832028831558472525</stp>
        <tr r="T1286" s="2"/>
      </tp>
      <tp t="s">
        <v>#N/A Requesting Data...3359447292</v>
        <stp/>
        <stp>BDP|17440357779739799121</stp>
        <tr r="H1146" s="2"/>
      </tp>
      <tp t="s">
        <v>#N/A Requesting Data...3845284374</v>
        <stp/>
        <stp>BDP|13289391630989189174</stp>
        <tr r="H1438" s="2"/>
      </tp>
      <tp t="s">
        <v>#N/A Requesting Data...3973587695</v>
        <stp/>
        <stp>BDP|14376244389487594262</stp>
        <tr r="H2516" s="2"/>
      </tp>
      <tp t="s">
        <v>#N/A Requesting Data...4019989148</v>
        <stp/>
        <stp>BDP|13628809578762291519</stp>
        <tr r="D477" s="2"/>
      </tp>
      <tp t="s">
        <v>#N/A Requesting Data...4074732049</v>
        <stp/>
        <stp>BDP|10902848692428677247</stp>
        <tr r="P1119" s="2"/>
      </tp>
      <tp t="s">
        <v>#N/A Requesting Data...3545876044</v>
        <stp/>
        <stp>BDP|15792860069401011150</stp>
        <tr r="F651" s="2"/>
      </tp>
      <tp t="s">
        <v>#N/A Requesting Data...3465087975</v>
        <stp/>
        <stp>BDP|14198937123560404488</stp>
        <tr r="D1105" s="2"/>
      </tp>
      <tp t="s">
        <v>#N/A Requesting Data...3475333190</v>
        <stp/>
        <stp>BDP|17856810211147633234</stp>
        <tr r="P192" s="2"/>
      </tp>
      <tp t="s">
        <v>#N/A Requesting Data...4289983517</v>
        <stp/>
        <stp>BDP|18411823206338843356</stp>
        <tr r="S2261" s="2"/>
      </tp>
      <tp t="s">
        <v>#N/A Requesting Data...3868611811</v>
        <stp/>
        <stp>BDP|12579704637438871572</stp>
        <tr r="Q368" s="2"/>
      </tp>
      <tp t="b">
        <v>0</v>
        <stp/>
        <stp>BDS|12115323727089217181</stp>
        <tr r="I2218" s="2"/>
      </tp>
      <tp t="s">
        <v>#N/A Requesting Data...3468336895</v>
        <stp/>
        <stp>BDP|12027882866230234713</stp>
        <tr r="G572" s="2"/>
      </tp>
      <tp t="s">
        <v>#N/A Requesting Data...3408190839</v>
        <stp/>
        <stp>BDP|10471546881487935154</stp>
        <tr r="E295" s="2"/>
      </tp>
      <tp t="s">
        <v>#N/A Requesting Data...3444417097</v>
        <stp/>
        <stp>BDP|13163258397984941772</stp>
        <tr r="H1306" s="2"/>
      </tp>
      <tp t="s">
        <v>#N/A Requesting Data...3477704924</v>
        <stp/>
        <stp>BDP|11062905608833296073</stp>
        <tr r="G469" s="2"/>
      </tp>
      <tp t="s">
        <v>#N/A Requesting Data...4095798462</v>
        <stp/>
        <stp>BDP|13547083389923997306</stp>
        <tr r="H702" s="2"/>
      </tp>
      <tp t="s">
        <v>#N/A Requesting Data...3496165760</v>
        <stp/>
        <stp>BDP|18123369511745990424</stp>
        <tr r="C2002" s="2"/>
      </tp>
      <tp t="s">
        <v>#N/A Requesting Data...4085945980</v>
        <stp/>
        <stp>BDP|17778369168851223864</stp>
        <tr r="D37" s="2"/>
      </tp>
      <tp t="s">
        <v>#N/A Requesting Data...4037262212</v>
        <stp/>
        <stp>BDP|14146887354267079506</stp>
        <tr r="P2172" s="2"/>
      </tp>
      <tp t="s">
        <v>#N/A Requesting Data...3683519474</v>
        <stp/>
        <stp>BDP|13339996819532827262</stp>
        <tr r="J206" s="2"/>
      </tp>
      <tp t="s">
        <v>#N/A Requesting Data...3670473353</v>
        <stp/>
        <stp>BDP|17774004418218374516</stp>
        <tr r="M1095" s="2"/>
      </tp>
      <tp t="s">
        <v>#N/A Requesting Data...4223696066</v>
        <stp/>
        <stp>BDP|18233757459447697659</stp>
        <tr r="G1488" s="2"/>
      </tp>
      <tp t="s">
        <v>#N/A Requesting Data...3891314260</v>
        <stp/>
        <stp>BDP|17807639980474533639</stp>
        <tr r="C1065" s="2"/>
      </tp>
      <tp t="s">
        <v>#N/A Requesting Data...3381838868</v>
        <stp/>
        <stp>BDP|13680797282932304531</stp>
        <tr r="H28" s="2"/>
      </tp>
      <tp t="s">
        <v>#N/A Requesting Data...4036839130</v>
        <stp/>
        <stp>BDP|13784683144778137278</stp>
        <tr r="M1675" s="2"/>
      </tp>
      <tp t="s">
        <v>#N/A Requesting Data...4205626041</v>
        <stp/>
        <stp>BDP|11485230150624916938</stp>
        <tr r="Q1059" s="2"/>
      </tp>
      <tp t="s">
        <v>#N/A Requesting Data...3481185790</v>
        <stp/>
        <stp>BDP|14104930278559163864</stp>
        <tr r="G1302" s="2"/>
      </tp>
      <tp t="s">
        <v>#N/A Requesting Data...3759976492</v>
        <stp/>
        <stp>BDP|15890025137028420549</stp>
        <tr r="E237" s="2"/>
      </tp>
      <tp t="s">
        <v>#N/A Requesting Data...4161004904</v>
        <stp/>
        <stp>BDP|10843381878556332965</stp>
        <tr r="P240" s="2"/>
      </tp>
      <tp t="s">
        <v>#N/A Requesting Data...3915001464</v>
        <stp/>
        <stp>BDP|12028061588026348701</stp>
        <tr r="H420" s="2"/>
      </tp>
      <tp t="s">
        <v>#N/A Requesting Data...3601370268</v>
        <stp/>
        <stp>BDP|12963276423400026900</stp>
        <tr r="T1518" s="2"/>
      </tp>
      <tp t="s">
        <v>#N/A Requesting Data...4194633786</v>
        <stp/>
        <stp>BDP|13683981440423184623</stp>
        <tr r="D1550" s="2"/>
      </tp>
      <tp t="s">
        <v>#N/A Requesting Data...3804268615</v>
        <stp/>
        <stp>BDP|14706827471467814714</stp>
        <tr r="M993" s="2"/>
      </tp>
      <tp t="s">
        <v>#N/A Requesting Data...4026618391</v>
        <stp/>
        <stp>BDP|16651969028170226679</stp>
        <tr r="C1914" s="2"/>
      </tp>
      <tp t="s">
        <v>#N/A Requesting Data...4025305772</v>
        <stp/>
        <stp>BDP|12796074825533086885</stp>
        <tr r="N717" s="2"/>
      </tp>
      <tp t="s">
        <v>#N/A Requesting Data...3520508117</v>
        <stp/>
        <stp>BDP|13839329396995678771</stp>
        <tr r="P1783" s="2"/>
      </tp>
      <tp t="s">
        <v>#N/A Requesting Data...3603137551</v>
        <stp/>
        <stp>BDP|11499583790385353329</stp>
        <tr r="P979" s="2"/>
      </tp>
      <tp t="s">
        <v>#N/A Requesting Data...3961158045</v>
        <stp/>
        <stp>BDP|13097980306170457178</stp>
        <tr r="M1801" s="2"/>
      </tp>
      <tp t="s">
        <v>#N/A Requesting Data...4100899715</v>
        <stp/>
        <stp>BDP|10610412669639193029</stp>
        <tr r="E2389" s="2"/>
      </tp>
      <tp t="s">
        <v>#N/A Requesting Data...3765996271</v>
        <stp/>
        <stp>BDP|11794999630523201310</stp>
        <tr r="A2498" s="2"/>
      </tp>
      <tp t="s">
        <v>#N/A Requesting Data...4042749634</v>
        <stp/>
        <stp>BDP|17236817531467966063</stp>
        <tr r="N908" s="2"/>
      </tp>
      <tp t="s">
        <v>#N/A Requesting Data...3674430756</v>
        <stp/>
        <stp>BDP|15887552781903032015</stp>
        <tr r="N1464" s="2"/>
      </tp>
      <tp t="s">
        <v>#N/A Requesting Data...3566540416</v>
        <stp/>
        <stp>BDP|15950312989152921750</stp>
        <tr r="F1982" s="2"/>
      </tp>
      <tp t="s">
        <v>#N/A Requesting Data...3553083880</v>
        <stp/>
        <stp>BDP|18301810788383530024</stp>
        <tr r="G2088" s="2"/>
      </tp>
      <tp t="b">
        <v>0</v>
        <stp/>
        <stp>BDS|16322732246179869703</stp>
        <tr r="I146" s="2"/>
      </tp>
      <tp t="s">
        <v>#N/A Requesting Data...4111862118</v>
        <stp/>
        <stp>BDP|18132742370485101691</stp>
        <tr r="P1319" s="2"/>
      </tp>
      <tp t="s">
        <v>#N/A Requesting Data...4131278961</v>
        <stp/>
        <stp>BDP|11855164589935357699</stp>
        <tr r="F2494" s="2"/>
      </tp>
      <tp t="b">
        <v>0</v>
        <stp/>
        <stp>BDS|17892456386112331269</stp>
        <tr r="I2209" s="2"/>
      </tp>
      <tp t="s">
        <v>#N/A Requesting Data...3495404585</v>
        <stp/>
        <stp>BDP|11553259889193612328</stp>
        <tr r="S1128" s="2"/>
      </tp>
      <tp t="s">
        <v>#N/A Requesting Data...3991845629</v>
        <stp/>
        <stp>BDP|10661948568312007679</stp>
        <tr r="J658" s="2"/>
      </tp>
      <tp t="s">
        <v>#N/A Requesting Data...3923852163</v>
        <stp/>
        <stp>BDP|15481228836259987651</stp>
        <tr r="C576" s="2"/>
      </tp>
      <tp t="s">
        <v>#N/A Requesting Data...4253117544</v>
        <stp/>
        <stp>BDP|17268829154777975614</stp>
        <tr r="M155" s="2"/>
      </tp>
      <tp t="s">
        <v>#N/A Requesting Data...3863883136</v>
        <stp/>
        <stp>BDP|13741214037938925140</stp>
        <tr r="T1004" s="2"/>
      </tp>
      <tp t="s">
        <v>#N/A Requesting Data...4225855825</v>
        <stp/>
        <stp>BDP|17992855642402738251</stp>
        <tr r="H1751" s="2"/>
      </tp>
      <tp t="s">
        <v>#N/A Requesting Data...3743922828</v>
        <stp/>
        <stp>BDP|11221579049799406246</stp>
        <tr r="P1839" s="2"/>
      </tp>
      <tp t="s">
        <v>#N/A Requesting Data...4226692549</v>
        <stp/>
        <stp>BDP|18206781311982744706</stp>
        <tr r="C812" s="2"/>
      </tp>
      <tp t="s">
        <v>#N/A Requesting Data...3873930038</v>
        <stp/>
        <stp>BDP|13787542311755871960</stp>
        <tr r="R662" s="2"/>
      </tp>
      <tp t="s">
        <v>#N/A Requesting Data...3491691638</v>
        <stp/>
        <stp>BDP|12119144895804423585</stp>
        <tr r="S345" s="2"/>
      </tp>
      <tp t="s">
        <v>#N/A Requesting Data...3566651856</v>
        <stp/>
        <stp>BDP|11843968302693162015</stp>
        <tr r="N1227" s="2"/>
      </tp>
      <tp t="s">
        <v>#N/A Requesting Data...4046857743</v>
        <stp/>
        <stp>BDP|10209485172839748130</stp>
        <tr r="R2047" s="2"/>
      </tp>
      <tp t="s">
        <v>#N/A Requesting Data...3626022268</v>
        <stp/>
        <stp>BDP|18382376108630792078</stp>
        <tr r="D573" s="2"/>
      </tp>
      <tp t="s">
        <v>#N/A Requesting Data...3862556892</v>
        <stp/>
        <stp>BDP|12959128255464319910</stp>
        <tr r="E1697" s="2"/>
      </tp>
      <tp t="s">
        <v>#N/A Requesting Data...4226358899</v>
        <stp/>
        <stp>BDP|10498903911741145281</stp>
        <tr r="Q2511" s="2"/>
      </tp>
      <tp t="s">
        <v>#N/A Requesting Data...3949033788</v>
        <stp/>
        <stp>BDP|17505364689876234147</stp>
        <tr r="Q2397" s="2"/>
      </tp>
      <tp t="s">
        <v>#N/A Requesting Data...4099623979</v>
        <stp/>
        <stp>BDP|17957827832424507309</stp>
        <tr r="M1698" s="2"/>
      </tp>
      <tp t="s">
        <v>#N/A Requesting Data...4095469117</v>
        <stp/>
        <stp>BDP|12811208772278671403</stp>
        <tr r="K3" s="2"/>
      </tp>
      <tp t="s">
        <v>#N/A Requesting Data...3700109588</v>
        <stp/>
        <stp>BDP|12138755969730781866</stp>
        <tr r="G1356" s="2"/>
      </tp>
      <tp t="s">
        <v>#N/A Requesting Data...4264825030</v>
        <stp/>
        <stp>BDP|12370488477579657361</stp>
        <tr r="M1851" s="2"/>
      </tp>
      <tp t="s">
        <v>#N/A Requesting Data...3610158139</v>
        <stp/>
        <stp>BDP|18291843478978395414</stp>
        <tr r="S381" s="2"/>
      </tp>
      <tp t="s">
        <v>#N/A Requesting Data...3973572255</v>
        <stp/>
        <stp>BDP|12429030889310459169</stp>
        <tr r="H772" s="2"/>
      </tp>
      <tp t="s">
        <v>#N/A Requesting Data...3972087578</v>
        <stp/>
        <stp>BDP|13188199256408090421</stp>
        <tr r="G1771" s="2"/>
      </tp>
      <tp t="s">
        <v>#N/A Requesting Data...3646731816</v>
        <stp/>
        <stp>BDP|15147200301228421489</stp>
        <tr r="J2378" s="2"/>
      </tp>
      <tp t="s">
        <v>#N/A Requesting Data...4189961116</v>
        <stp/>
        <stp>BDP|13752150096938947815</stp>
        <tr r="T1760" s="2"/>
      </tp>
      <tp t="s">
        <v>#N/A Requesting Data...3567940433</v>
        <stp/>
        <stp>BDP|10451978900086781488</stp>
        <tr r="T298" s="2"/>
      </tp>
      <tp t="s">
        <v>#N/A Requesting Data...3694890898</v>
        <stp/>
        <stp>BDP|14096523018573003862</stp>
        <tr r="D556" s="2"/>
      </tp>
      <tp t="s">
        <v>#N/A Requesting Data...4223626085</v>
        <stp/>
        <stp>BDP|11992942911164261620</stp>
        <tr r="H124" s="2"/>
      </tp>
      <tp t="s">
        <v>#N/A Requesting Data...3995495032</v>
        <stp/>
        <stp>BDP|14015976303702942418</stp>
        <tr r="Q2499" s="2"/>
      </tp>
      <tp t="s">
        <v>#N/A Requesting Data...4232345961</v>
        <stp/>
        <stp>BDP|10471872905866888529</stp>
        <tr r="E401" s="2"/>
      </tp>
      <tp t="s">
        <v>#N/A Requesting Data...3998821915</v>
        <stp/>
        <stp>BDP|13822836309264752490</stp>
        <tr r="D2123" s="2"/>
      </tp>
      <tp t="s">
        <v>#N/A Requesting Data...3639040572</v>
        <stp/>
        <stp>BDP|18292036544890138787</stp>
        <tr r="C585" s="2"/>
      </tp>
      <tp t="s">
        <v>#N/A Requesting Data...4277137827</v>
        <stp/>
        <stp>BDP|15742044805936898823</stp>
        <tr r="R181" s="2"/>
      </tp>
      <tp t="s">
        <v>#N/A Requesting Data...3753451344</v>
        <stp/>
        <stp>BDP|17053242229845087914</stp>
        <tr r="N6" s="2"/>
      </tp>
      <tp t="s">
        <v>#N/A Requesting Data...4233309654</v>
        <stp/>
        <stp>BDP|11038083399320802351</stp>
        <tr r="O2290" s="2"/>
      </tp>
      <tp t="s">
        <v>#N/A Requesting Data...3839709968</v>
        <stp/>
        <stp>BDP|13865732727194320935</stp>
        <tr r="P1861" s="2"/>
      </tp>
      <tp t="s">
        <v>#N/A Requesting Data...4114523381</v>
        <stp/>
        <stp>BDP|10606499290483269519</stp>
        <tr r="J2510" s="2"/>
      </tp>
      <tp t="s">
        <v>#N/A Requesting Data...4086687640</v>
        <stp/>
        <stp>BDP|12525583424477012956</stp>
        <tr r="N1851" s="2"/>
      </tp>
      <tp t="s">
        <v>#N/A Requesting Data...3891627848</v>
        <stp/>
        <stp>BDP|14546795329709171383</stp>
        <tr r="O858" s="2"/>
      </tp>
      <tp t="s">
        <v>#N/A Requesting Data...3871812584</v>
        <stp/>
        <stp>BDP|13821827838081747293</stp>
        <tr r="A2476" s="2"/>
      </tp>
      <tp t="s">
        <v>#N/A Requesting Data...4017464525</v>
        <stp/>
        <stp>BDP|12352959601470331089</stp>
        <tr r="R693" s="2"/>
      </tp>
      <tp t="s">
        <v>#N/A Requesting Data...4234499150</v>
        <stp/>
        <stp>BDP|15954726547235350836</stp>
        <tr r="M2516" s="2"/>
      </tp>
      <tp t="s">
        <v>#N/A Requesting Data...3565033456</v>
        <stp/>
        <stp>BDP|13660476564092091898</stp>
        <tr r="C1569" s="2"/>
      </tp>
      <tp t="s">
        <v>#N/A Requesting Data...4005356041</v>
        <stp/>
        <stp>BDP|12016150396185757484</stp>
        <tr r="M2114" s="2"/>
      </tp>
      <tp t="s">
        <v>#N/A Requesting Data...4115483293</v>
        <stp/>
        <stp>BDP|10952228169258982776</stp>
        <tr r="M2404" s="2"/>
      </tp>
      <tp t="s">
        <v>#N/A Requesting Data...4282377282</v>
        <stp/>
        <stp>BDP|11913368697949721933</stp>
        <tr r="K546" s="2"/>
      </tp>
      <tp t="s">
        <v>#N/A Requesting Data...3722696252</v>
        <stp/>
        <stp>BDP|17438233443313946917</stp>
        <tr r="O1312" s="2"/>
      </tp>
      <tp t="s">
        <v>#N/A Requesting Data...3658242914</v>
        <stp/>
        <stp>BDP|13207777353408361295</stp>
        <tr r="K2337" s="2"/>
      </tp>
      <tp t="s">
        <v>#N/A Requesting Data...4238460539</v>
        <stp/>
        <stp>BDP|12657824275106592089</stp>
        <tr r="C1325" s="2"/>
      </tp>
      <tp t="s">
        <v>#N/A Requesting Data...3931872800</v>
        <stp/>
        <stp>BDP|14319859558932329013</stp>
        <tr r="P607" s="2"/>
      </tp>
      <tp t="s">
        <v>#N/A Requesting Data...4148924894</v>
        <stp/>
        <stp>BDP|11369862092359255295</stp>
        <tr r="R1448" s="2"/>
      </tp>
      <tp t="s">
        <v>#N/A Requesting Data...3673876462</v>
        <stp/>
        <stp>BDP|15656531959738555651</stp>
        <tr r="E2361" s="2"/>
      </tp>
      <tp t="s">
        <v>#N/A Requesting Data...3727210063</v>
        <stp/>
        <stp>BDP|11805450716317671812</stp>
        <tr r="S1947" s="2"/>
      </tp>
      <tp t="s">
        <v>#N/A Requesting Data...3807721819</v>
        <stp/>
        <stp>BDP|15856212199196974354</stp>
        <tr r="T2136" s="2"/>
      </tp>
      <tp t="s">
        <v>#N/A Requesting Data...4216858276</v>
        <stp/>
        <stp>BDP|14120017284137974016</stp>
        <tr r="P559" s="2"/>
      </tp>
      <tp t="s">
        <v>#N/A Requesting Data...3643650183</v>
        <stp/>
        <stp>BDP|11042898379416954358</stp>
        <tr r="K1660" s="2"/>
      </tp>
      <tp t="s">
        <v>#N/A Requesting Data...3672174775</v>
        <stp/>
        <stp>BDP|12210805735740870231</stp>
        <tr r="H2161" s="2"/>
      </tp>
      <tp t="s">
        <v>#N/A Requesting Data...4084487003</v>
        <stp/>
        <stp>BDP|13196081705781825989</stp>
        <tr r="C1836" s="2"/>
      </tp>
      <tp t="s">
        <v>#N/A Requesting Data...4147406243</v>
        <stp/>
        <stp>BDP|17125309731839965551</stp>
        <tr r="R1255" s="2"/>
      </tp>
      <tp t="s">
        <v>#N/A Requesting Data...3970023459</v>
        <stp/>
        <stp>BDP|12958937635460768344</stp>
        <tr r="S1402" s="2"/>
      </tp>
      <tp t="s">
        <v>#N/A Requesting Data...4175969660</v>
        <stp/>
        <stp>BDP|14693147729075333949</stp>
        <tr r="D2262" s="2"/>
      </tp>
      <tp t="s">
        <v>#N/A Requesting Data...3754263043</v>
        <stp/>
        <stp>BDP|17822995041285859444</stp>
        <tr r="T121" s="2"/>
      </tp>
      <tp t="s">
        <v>#N/A Requesting Data...3861626995</v>
        <stp/>
        <stp>BDP|10209882655597424171</stp>
        <tr r="N11" s="2"/>
      </tp>
      <tp t="s">
        <v>#N/A Requesting Data...3828315828</v>
        <stp/>
        <stp>BDP|18437099657902619439</stp>
        <tr r="T1642" s="2"/>
      </tp>
      <tp t="s">
        <v>#N/A Requesting Data...3964198090</v>
        <stp/>
        <stp>BDP|11564885135173719208</stp>
        <tr r="P2521" s="2"/>
      </tp>
      <tp t="s">
        <v>#N/A Requesting Data...3997301445</v>
        <stp/>
        <stp>BDP|15572251712754924948</stp>
        <tr r="R937" s="2"/>
      </tp>
      <tp t="s">
        <v>#N/A Requesting Data...4107526086</v>
        <stp/>
        <stp>BDP|15750892316827376043</stp>
        <tr r="F930" s="2"/>
      </tp>
      <tp t="s">
        <v>#N/A Requesting Data...4187720587</v>
        <stp/>
        <stp>BDP|11334357680966962700</stp>
        <tr r="J1094" s="2"/>
      </tp>
      <tp t="s">
        <v>#N/A Requesting Data...3934248474</v>
        <stp/>
        <stp>BDP|16170854503533897604</stp>
        <tr r="M691" s="2"/>
      </tp>
      <tp t="s">
        <v>#N/A Requesting Data...4165085564</v>
        <stp/>
        <stp>BDP|11009411787494869219</stp>
        <tr r="D2516" s="2"/>
      </tp>
      <tp t="s">
        <v>#N/A Requesting Data...4191306996</v>
        <stp/>
        <stp>BDP|11246895361965368164</stp>
        <tr r="R682" s="2"/>
      </tp>
      <tp t="s">
        <v>#N/A Requesting Data...3882308364</v>
        <stp/>
        <stp>BDP|15376817232001891473</stp>
        <tr r="S1203" s="2"/>
      </tp>
      <tp t="s">
        <v>#N/A Requesting Data...4031394719</v>
        <stp/>
        <stp>BDP|11811913844914453367</stp>
        <tr r="C1114" s="2"/>
      </tp>
      <tp t="s">
        <v>#N/A Requesting Data...4096195081</v>
        <stp/>
        <stp>BDP|15397955308230253732</stp>
        <tr r="Q2050" s="2"/>
      </tp>
      <tp t="s">
        <v>#N/A Requesting Data...4287434088</v>
        <stp/>
        <stp>BDP|13352637189947020160</stp>
        <tr r="E610" s="2"/>
      </tp>
      <tp t="s">
        <v>#N/A Requesting Data...3740628398</v>
        <stp/>
        <stp>BDP|13615982452260414479</stp>
        <tr r="D1861" s="2"/>
      </tp>
      <tp t="b">
        <v>0</v>
        <stp/>
        <stp>BDS|11288119395171211389</stp>
        <tr r="I1256" s="2"/>
      </tp>
      <tp t="s">
        <v>#N/A Requesting Data...4246115853</v>
        <stp/>
        <stp>BDP|14629648590054925440</stp>
        <tr r="D2445" s="2"/>
      </tp>
      <tp t="s">
        <v>#N/A Requesting Data...3885864450</v>
        <stp/>
        <stp>BDP|10750322531003381887</stp>
        <tr r="S1283" s="2"/>
      </tp>
      <tp t="s">
        <v>#N/A Requesting Data...3873231981</v>
        <stp/>
        <stp>BDP|13768532949168353118</stp>
        <tr r="O1004" s="2"/>
      </tp>
      <tp t="s">
        <v>#N/A Requesting Data...3680341182</v>
        <stp/>
        <stp>BDP|12237457929988500745</stp>
        <tr r="O1777" s="2"/>
      </tp>
      <tp t="s">
        <v>#N/A Requesting Data...3935282523</v>
        <stp/>
        <stp>BDP|13461110143148901508</stp>
        <tr r="D713" s="2"/>
      </tp>
      <tp t="s">
        <v>#N/A Requesting Data...4283476700</v>
        <stp/>
        <stp>BDP|17235683101899048343</stp>
        <tr r="N2276" s="2"/>
      </tp>
      <tp t="s">
        <v>#N/A Requesting Data...3729816554</v>
        <stp/>
        <stp>BDP|10052901374945853037</stp>
        <tr r="D2007" s="2"/>
      </tp>
      <tp t="s">
        <v>#N/A Requesting Data...3775880680</v>
        <stp/>
        <stp>BDP|17707188194472451606</stp>
        <tr r="Q1607" s="2"/>
      </tp>
      <tp t="s">
        <v>#N/A Requesting Data...3719690240</v>
        <stp/>
        <stp>BDP|12157399403153369975</stp>
        <tr r="K2494" s="2"/>
      </tp>
      <tp t="s">
        <v>#N/A Requesting Data...4116925183</v>
        <stp/>
        <stp>BDP|15812842585649233748</stp>
        <tr r="P1496" s="2"/>
      </tp>
      <tp t="s">
        <v>#N/A Requesting Data...3763924723</v>
        <stp/>
        <stp>BDP|17680862873225570692</stp>
        <tr r="O808" s="2"/>
      </tp>
      <tp t="s">
        <v>#N/A Requesting Data...3922671149</v>
        <stp/>
        <stp>BDP|16723538388311633157</stp>
        <tr r="N546" s="2"/>
      </tp>
      <tp t="s">
        <v>#N/A Requesting Data...3766550483</v>
        <stp/>
        <stp>BDP|15989296198332735702</stp>
        <tr r="E850" s="2"/>
      </tp>
      <tp t="s">
        <v>#N/A Requesting Data...3698690302</v>
        <stp/>
        <stp>BDP|12988437588022456796</stp>
        <tr r="Q1697" s="2"/>
      </tp>
      <tp t="s">
        <v>#N/A Requesting Data...4294818071</v>
        <stp/>
        <stp>BDP|14891427892272406030</stp>
        <tr r="C1383" s="2"/>
      </tp>
      <tp t="s">
        <v>#N/A Requesting Data...4179785699</v>
        <stp/>
        <stp>BDP|17836027315375227829</stp>
        <tr r="M1857" s="2"/>
      </tp>
      <tp t="s">
        <v>#N/A Requesting Data...3834455971</v>
        <stp/>
        <stp>BDP|10987343253159334425</stp>
        <tr r="K1722" s="2"/>
      </tp>
      <tp t="s">
        <v>#N/A Requesting Data...4039539514</v>
        <stp/>
        <stp>BDP|12186780518776675984</stp>
        <tr r="F2002" s="2"/>
      </tp>
      <tp t="s">
        <v>#N/A Requesting Data...3861285028</v>
        <stp/>
        <stp>BDP|15670883378857914601</stp>
        <tr r="P2288" s="2"/>
      </tp>
      <tp t="s">
        <v>#N/A Requesting Data...4283507367</v>
        <stp/>
        <stp>BDP|15300360536009878744</stp>
        <tr r="C2497" s="2"/>
      </tp>
      <tp t="b">
        <v>0</v>
        <stp/>
        <stp>BDS|12045261899410615253</stp>
        <tr r="I500" s="2"/>
      </tp>
      <tp t="s">
        <v>#N/A Requesting Data...3789366549</v>
        <stp/>
        <stp>BDP|15875341595455370156</stp>
        <tr r="F1419" s="2"/>
      </tp>
      <tp t="s">
        <v>#N/A Requesting Data...4286231046</v>
        <stp/>
        <stp>BDP|14932600433483578903</stp>
        <tr r="H858" s="2"/>
      </tp>
      <tp t="s">
        <v>#N/A Requesting Data...3845806368</v>
        <stp/>
        <stp>BDP|15600552203132722982</stp>
        <tr r="A2336" s="2"/>
      </tp>
      <tp t="s">
        <v>#N/A Requesting Data...4117832065</v>
        <stp/>
        <stp>BDP|10202935458314242340</stp>
        <tr r="G565" s="2"/>
      </tp>
      <tp t="s">
        <v>#N/A Requesting Data...4093527065</v>
        <stp/>
        <stp>BDP|11338344884382808346</stp>
        <tr r="K1824" s="2"/>
      </tp>
      <tp t="s">
        <v>#N/A Requesting Data...4291806396</v>
        <stp/>
        <stp>BDP|15776062178300107974</stp>
        <tr r="T30" s="2"/>
      </tp>
      <tp t="s">
        <v>#N/A Requesting Data...4253048792</v>
        <stp/>
        <stp>BDP|16353282494737323133</stp>
        <tr r="N1639" s="2"/>
      </tp>
      <tp t="s">
        <v>#N/A Requesting Data...3748319414</v>
        <stp/>
        <stp>BDP|17658592380337339636</stp>
        <tr r="D1737" s="2"/>
      </tp>
      <tp t="s">
        <v>#N/A Requesting Data...3978663691</v>
        <stp/>
        <stp>BDP|12752385160524451841</stp>
        <tr r="F2143" s="2"/>
      </tp>
      <tp t="s">
        <v>#N/A Requesting Data...4249852958</v>
        <stp/>
        <stp>BDP|16666258509966516907</stp>
        <tr r="E2050" s="2"/>
      </tp>
      <tp t="s">
        <v>#N/A Requesting Data...3919105536</v>
        <stp/>
        <stp>BDP|10409576619469502602</stp>
        <tr r="N59" s="2"/>
      </tp>
      <tp t="s">
        <v>#N/A Requesting Data...4288802852</v>
        <stp/>
        <stp>BDP|13799141889284383562</stp>
        <tr r="H95" s="2"/>
      </tp>
      <tp t="s">
        <v>#N/A Requesting Data...4074152607</v>
        <stp/>
        <stp>BDP|13273031487620171087</stp>
        <tr r="A2140" s="2"/>
      </tp>
      <tp t="s">
        <v>#N/A Requesting Data...4192454582</v>
        <stp/>
        <stp>BDP|18252124750505671293</stp>
        <tr r="P1464" s="2"/>
      </tp>
      <tp t="s">
        <v>#N/A Requesting Data...4059062503</v>
        <stp/>
        <stp>BDP|12616349057497848828</stp>
        <tr r="S2221" s="2"/>
      </tp>
      <tp t="s">
        <v>#N/A Requesting Data...4015563435</v>
        <stp/>
        <stp>BDP|14937775796568255956</stp>
        <tr r="C2483" s="2"/>
      </tp>
      <tp t="s">
        <v>#N/A Requesting Data...4141614382</v>
        <stp/>
        <stp>BDP|11802166291391764374</stp>
        <tr r="H627" s="2"/>
      </tp>
      <tp t="s">
        <v>#N/A Requesting Data...3774157943</v>
        <stp/>
        <stp>BDP|10843416482502110551</stp>
        <tr r="S572" s="2"/>
      </tp>
      <tp t="b">
        <v>0</v>
        <stp/>
        <stp>BDS|10836680892440844465</stp>
        <tr r="I1257" s="2"/>
      </tp>
      <tp t="s">
        <v>#N/A Requesting Data...4106595497</v>
        <stp/>
        <stp>BDP|14648315878102805986</stp>
        <tr r="O128" s="2"/>
      </tp>
      <tp t="s">
        <v>#N/A Requesting Data...4147242596</v>
        <stp/>
        <stp>BDP|10460572245613974903</stp>
        <tr r="J1375" s="2"/>
      </tp>
      <tp t="s">
        <v>#N/A Requesting Data...4204967956</v>
        <stp/>
        <stp>BDP|11302882766140772452</stp>
        <tr r="Q2472" s="2"/>
      </tp>
      <tp t="s">
        <v>#N/A Requesting Data...3961460129</v>
        <stp/>
        <stp>BDP|13029773450633031981</stp>
        <tr r="A2347" s="2"/>
      </tp>
      <tp t="s">
        <v>#N/A Requesting Data...4157463763</v>
        <stp/>
        <stp>BDP|17606887826100621611</stp>
        <tr r="N804" s="2"/>
      </tp>
      <tp t="s">
        <v>#N/A Requesting Data...3966035388</v>
        <stp/>
        <stp>BDP|18062127694048968302</stp>
        <tr r="Q2037" s="2"/>
      </tp>
      <tp t="s">
        <v>#N/A Requesting Data...4209815899</v>
        <stp/>
        <stp>BDP|11941407816496344936</stp>
        <tr r="J1673" s="2"/>
      </tp>
      <tp t="s">
        <v>#N/A Requesting Data...4018381184</v>
        <stp/>
        <stp>BDP|16287988540313754323</stp>
        <tr r="A1316" s="2"/>
      </tp>
      <tp t="b">
        <v>0</v>
        <stp/>
        <stp>BDS|16967414692679791918</stp>
        <tr r="I2451" s="2"/>
      </tp>
      <tp t="s">
        <v>#N/A Requesting Data...4050691864</v>
        <stp/>
        <stp>BDP|11414791202685608863</stp>
        <tr r="N735" s="2"/>
      </tp>
      <tp t="s">
        <v>#N/A Requesting Data...3977107687</v>
        <stp/>
        <stp>BDP|15127852757606540597</stp>
        <tr r="T2064" s="2"/>
      </tp>
      <tp t="s">
        <v>#N/A Requesting Data...4215641262</v>
        <stp/>
        <stp>BDP|17452138844570548998</stp>
        <tr r="T1032" s="2"/>
      </tp>
      <tp t="s">
        <v>#N/A Requesting Data...3977549530</v>
        <stp/>
        <stp>BDP|16407691788146220586</stp>
        <tr r="F142" s="2"/>
      </tp>
      <tp t="s">
        <v>#N/A Requesting Data...4284142698</v>
        <stp/>
        <stp>BDP|11840914546706616162</stp>
        <tr r="G1988" s="2"/>
      </tp>
      <tp t="s">
        <v>#N/A Requesting Data...3830464652</v>
        <stp/>
        <stp>BDP|17073538146618891524</stp>
        <tr r="P2092" s="2"/>
      </tp>
      <tp t="s">
        <v>#N/A Requesting Data...4249740613</v>
        <stp/>
        <stp>BDP|14641199396435718203</stp>
        <tr r="A863" s="2"/>
      </tp>
      <tp t="b">
        <v>0</v>
        <stp/>
        <stp>BDS|13357852836676582582</stp>
        <tr r="I1540" s="2"/>
      </tp>
      <tp t="s">
        <v>#N/A Requesting Data...3945545975</v>
        <stp/>
        <stp>BDP|11198521947572953933</stp>
        <tr r="R984" s="2"/>
      </tp>
      <tp t="s">
        <v>#N/A Requesting Data...4187330097</v>
        <stp/>
        <stp>BDP|12119834618324798434</stp>
        <tr r="O1404" s="2"/>
      </tp>
      <tp t="s">
        <v>#N/A Requesting Data...4270572153</v>
        <stp/>
        <stp>BDP|16727813126260787790</stp>
        <tr r="N138" s="2"/>
      </tp>
      <tp t="s">
        <v>#N/A Requesting Data...4269025920</v>
        <stp/>
        <stp>BDP|11850386077737085997</stp>
        <tr r="P1261" s="2"/>
      </tp>
      <tp t="s">
        <v>#N/A Requesting Data...4043543350</v>
        <stp/>
        <stp>BDP|13559185127792382974</stp>
        <tr r="K2389" s="2"/>
      </tp>
      <tp t="s">
        <v>#N/A Requesting Data...3843865476</v>
        <stp/>
        <stp>BDP|10741618552921296985</stp>
        <tr r="D649" s="2"/>
      </tp>
      <tp t="s">
        <v>#N/A Requesting Data...4257619247</v>
        <stp/>
        <stp>BDP|17245857159084091502</stp>
        <tr r="O226" s="2"/>
      </tp>
      <tp t="s">
        <v>#N/A Requesting Data...3885533328</v>
        <stp/>
        <stp>BDP|15088387994612495668</stp>
        <tr r="A1158" s="2"/>
      </tp>
      <tp t="s">
        <v>#N/A Requesting Data...4185868099</v>
        <stp/>
        <stp>BDP|13115879402365826521</stp>
        <tr r="O2494" s="2"/>
      </tp>
      <tp t="s">
        <v>#N/A Requesting Data...3910123807</v>
        <stp/>
        <stp>BDP|15925657847294087857</stp>
        <tr r="S2030" s="2"/>
      </tp>
      <tp t="s">
        <v>#N/A Requesting Data...4042973133</v>
        <stp/>
        <stp>BDP|15368175291470910629</stp>
        <tr r="K1420" s="2"/>
      </tp>
      <tp t="s">
        <v>#N/A Requesting Data...3945997561</v>
        <stp/>
        <stp>BDP|15831275335068309779</stp>
        <tr r="P448" s="2"/>
      </tp>
      <tp t="s">
        <v>#N/A Requesting Data...4263439480</v>
        <stp/>
        <stp>BDP|14337583251808039744</stp>
        <tr r="R1264" s="2"/>
      </tp>
      <tp t="s">
        <v>#N/A Requesting Data...4169398479</v>
        <stp/>
        <stp>BDP|15581293336568710730</stp>
        <tr r="J1490" s="2"/>
      </tp>
      <tp t="s">
        <v>#N/A Requesting Data...4102924033</v>
        <stp/>
        <stp>BDP|12453110760549987727</stp>
        <tr r="P2275" s="2"/>
      </tp>
      <tp t="b">
        <v>0</v>
        <stp/>
        <stp>BDS|16462896463344083734</stp>
        <tr r="I1558" s="2"/>
      </tp>
      <tp t="s">
        <v>#N/A Requesting Data...4069218607</v>
        <stp/>
        <stp>BDP|13779421640591245998</stp>
        <tr r="D668" s="2"/>
      </tp>
      <tp t="s">
        <v>#N/A Requesting Data...4067080161</v>
        <stp/>
        <stp>BDP|17605295083822604442</stp>
        <tr r="N1576" s="2"/>
      </tp>
      <tp t="s">
        <v>#N/A Requesting Data...4287110430</v>
        <stp/>
        <stp>BDP|11400909655634828273</stp>
        <tr r="Q2483" s="2"/>
      </tp>
      <tp t="s">
        <v>#N/A Requesting Data...3923073872</v>
        <stp/>
        <stp>BDP|17348203485850961617</stp>
        <tr r="S643" s="2"/>
      </tp>
      <tp t="s">
        <v>#N/A Requesting Data...4258951862</v>
        <stp/>
        <stp>BDP|11361586512876634815</stp>
        <tr r="P1823" s="2"/>
      </tp>
      <tp t="s">
        <v>#N/A Requesting Data...4152926791</v>
        <stp/>
        <stp>BDP|16993064639759121796</stp>
        <tr r="S1048" s="2"/>
      </tp>
      <tp t="s">
        <v>#N/A Requesting Data...4129293938</v>
        <stp/>
        <stp>BDP|16671974189938233447</stp>
        <tr r="P1412" s="2"/>
      </tp>
      <tp t="s">
        <v>#N/A Requesting Data...3918092726</v>
        <stp/>
        <stp>BDP|12583944668263380548</stp>
        <tr r="T2424" s="2"/>
      </tp>
      <tp t="s">
        <v>#N/A Requesting Data...4293522238</v>
        <stp/>
        <stp>BDP|10858404635084496875</stp>
        <tr r="G136" s="2"/>
      </tp>
      <tp t="s">
        <v>#N/A Requesting Data...4025743375</v>
        <stp/>
        <stp>BDP|17699291892732760544</stp>
        <tr r="A2368" s="2"/>
      </tp>
      <tp t="s">
        <v>#N/A Requesting Data...4100914948</v>
        <stp/>
        <stp>BDP|16781896990208953495</stp>
        <tr r="A2422" s="2"/>
      </tp>
      <tp t="s">
        <v>#N/A Requesting Data...4116384568</v>
        <stp/>
        <stp>BDP|13312545772818895239</stp>
        <tr r="Q787" s="2"/>
      </tp>
      <tp t="s">
        <v>#N/A Requesting Data...4222056714</v>
        <stp/>
        <stp>BDP|12608779992400851754</stp>
        <tr r="S2112" s="2"/>
      </tp>
      <tp t="s">
        <v>#N/A Requesting Data...4238707414</v>
        <stp/>
        <stp>BDP|13918378781650029311</stp>
        <tr r="R1329" s="2"/>
      </tp>
      <tp t="s">
        <v>#N/A Requesting Data...4010706685</v>
        <stp/>
        <stp>BDP|14096449297030584284</stp>
        <tr r="A494" s="2"/>
      </tp>
      <tp t="s">
        <v>#N/A Requesting Data...3966797736</v>
        <stp/>
        <stp>BDP|13732672776110968915</stp>
        <tr r="E61" s="2"/>
      </tp>
      <tp t="s">
        <v>#N/A Requesting Data...4171059039</v>
        <stp/>
        <stp>BDP|11300404338718613531</stp>
        <tr r="N1528" s="2"/>
      </tp>
      <tp t="s">
        <v>#N/A Requesting Data...4037031643</v>
        <stp/>
        <stp>BDP|13765841737867954439</stp>
        <tr r="A252" s="2"/>
      </tp>
      <tp t="s">
        <v>#N/A Requesting Data...4184235765</v>
        <stp/>
        <stp>BDP|17558124445369577097</stp>
        <tr r="R2224" s="2"/>
      </tp>
      <tp t="s">
        <v>#N/A Requesting Data...3930563224</v>
        <stp/>
        <stp>BDP|11720237602251955910</stp>
        <tr r="G980" s="2"/>
      </tp>
      <tp t="s">
        <v>#N/A Requesting Data...3987705990</v>
        <stp/>
        <stp>BDP|11783668173062828943</stp>
        <tr r="S868" s="2"/>
      </tp>
      <tp t="s">
        <v>#N/A Requesting Data...4030081639</v>
        <stp/>
        <stp>BDP|16833041791613140721</stp>
        <tr r="Q269" s="2"/>
      </tp>
      <tp t="s">
        <v>#N/A Requesting Data...4254475664</v>
        <stp/>
        <stp>BDP|15218474825478620082</stp>
        <tr r="P2529" s="2"/>
      </tp>
      <tp t="s">
        <v>#N/A Requesting Data...4258891617</v>
        <stp/>
        <stp>BDP|11658588297981003775</stp>
        <tr r="A2295" s="2"/>
      </tp>
      <tp t="s">
        <v>#N/A Requesting Data...4233258015</v>
        <stp/>
        <stp>BDP|17639685977124353943</stp>
        <tr r="M389" s="2"/>
      </tp>
      <tp t="s">
        <v>#N/A Requesting Data...4099758771</v>
        <stp/>
        <stp>BDP|18049937968454654833</stp>
        <tr r="T1860" s="2"/>
      </tp>
      <tp t="s">
        <v>#N/A Requesting Data...4121966957</v>
        <stp/>
        <stp>BDP|11530633321197818911</stp>
        <tr r="Q301" s="2"/>
      </tp>
      <tp t="s">
        <v>#N/A Requesting Data...4119534877</v>
        <stp/>
        <stp>BDP|12922226868325976840</stp>
        <tr r="P589" s="2"/>
      </tp>
      <tp t="s">
        <v>#N/A Requesting Data...4234637653</v>
        <stp/>
        <stp>BDP|17059821743370871070</stp>
        <tr r="K1566" s="2"/>
      </tp>
      <tp t="b">
        <v>0</v>
        <stp/>
        <stp>BDS|13780674622999868573</stp>
        <tr r="I1726" s="2"/>
      </tp>
      <tp t="s">
        <v>#N/A Requesting Data...4071810043</v>
        <stp/>
        <stp>BDP|17433816623111865702</stp>
        <tr r="C415" s="2"/>
      </tp>
      <tp t="b">
        <v>0</v>
        <stp/>
        <stp>BDS|14987839745173686048</stp>
        <tr r="I2456" s="2"/>
      </tp>
      <tp t="s">
        <v>#N/A Requesting Data...4155066642</v>
        <stp/>
        <stp>BDP|15067781636339440340</stp>
        <tr r="E2312" s="2"/>
      </tp>
      <tp t="s">
        <v>#N/A Requesting Data...4020287237</v>
        <stp/>
        <stp>BDP|14352251858009470144</stp>
        <tr r="G952" s="2"/>
      </tp>
      <tp t="s">
        <v>#N/A Requesting Data...4058567684</v>
        <stp/>
        <stp>BDP|12810538774553285833</stp>
        <tr r="M1107" s="2"/>
      </tp>
      <tp t="s">
        <v>#N/A Requesting Data...4259211255</v>
        <stp/>
        <stp>BDP|17507750198541713313</stp>
        <tr r="A2092" s="2"/>
      </tp>
      <tp t="s">
        <v>#N/A Requesting Data...4218885339</v>
        <stp/>
        <stp>BDP|10172357607251811954</stp>
        <tr r="H335" s="2"/>
      </tp>
      <tp t="s">
        <v>#N/A Requesting Data...4128454036</v>
        <stp/>
        <stp>BDP|17259007596200927534</stp>
        <tr r="N2343" s="2"/>
      </tp>
      <tp t="s">
        <v>#N/A Requesting Data...4055638075</v>
        <stp/>
        <stp>BDP|10994494827675891814</stp>
        <tr r="S2267" s="2"/>
      </tp>
      <tp t="b">
        <v>0</v>
        <stp/>
        <stp>BDS|10983471663931436846</stp>
        <tr r="I2371" s="2"/>
      </tp>
      <tp t="s">
        <v>#N/A Requesting Data...3969368057</v>
        <stp/>
        <stp>BDP|11730681000539460554</stp>
        <tr r="A638" s="2"/>
      </tp>
      <tp t="s">
        <v>#N/A Requesting Data...4093191269</v>
        <stp/>
        <stp>BDP|11192766550840805813</stp>
        <tr r="M753" s="2"/>
      </tp>
      <tp t="s">
        <v>#N/A Requesting Data...4086065965</v>
        <stp/>
        <stp>BDP|11136115193906535488</stp>
        <tr r="D2508" s="2"/>
      </tp>
      <tp t="s">
        <v>#N/A Requesting Data...4229056531</v>
        <stp/>
        <stp>BDP|14442411376995621945</stp>
        <tr r="D493" s="2"/>
      </tp>
      <tp t="s">
        <v>#N/A Requesting Data...4015490795</v>
        <stp/>
        <stp>BDP|18416270023237407458</stp>
        <tr r="P499" s="2"/>
      </tp>
      <tp t="s">
        <v>#N/A Requesting Data...4188350094</v>
        <stp/>
        <stp>BDP|16714188876129130291</stp>
        <tr r="Q309" s="2"/>
      </tp>
      <tp t="s">
        <v>#N/A Requesting Data...4281638139</v>
        <stp/>
        <stp>BDP|17741020872853712817</stp>
        <tr r="C372" s="2"/>
      </tp>
      <tp t="b">
        <v>0</v>
        <stp/>
        <stp>BDS|16933918876421441281</stp>
        <tr r="I1737" s="2"/>
      </tp>
      <tp t="s">
        <v>#N/A Requesting Data...3980077630</v>
        <stp/>
        <stp>BDP|17085432915498200154</stp>
        <tr r="R1140" s="2"/>
      </tp>
      <tp t="s">
        <v>#N/A Requesting Data...4201044650</v>
        <stp/>
        <stp>BDP|11665009797050370332</stp>
        <tr r="O1748" s="2"/>
      </tp>
      <tp t="s">
        <v>#N/A Requesting Data...4202159935</v>
        <stp/>
        <stp>BDP|12007442622928424733</stp>
        <tr r="M1732" s="2"/>
      </tp>
      <tp t="s">
        <v>#N/A Requesting Data...4251555096</v>
        <stp/>
        <stp>BDP|15972448118233747833</stp>
        <tr r="C2111" s="2"/>
      </tp>
      <tp t="b">
        <v>0</v>
        <stp/>
        <stp>BDS|11133608130317775845</stp>
        <tr r="I821" s="2"/>
      </tp>
      <tp t="s">
        <v>#N/A Requesting Data...4192596039</v>
        <stp/>
        <stp>BDP|16830764188096048479</stp>
        <tr r="G506" s="2"/>
      </tp>
      <tp t="s">
        <v>#N/A Requesting Data...4276748723</v>
        <stp/>
        <stp>BDP|13962674044352888830</stp>
        <tr r="S1489" s="2"/>
      </tp>
      <tp t="s">
        <v>#N/A Requesting Data...4205483779</v>
        <stp/>
        <stp>BDP|16108812297375318959</stp>
        <tr r="E697" s="2"/>
      </tp>
      <tp t="s">
        <v>#N/A Requesting Data...4271027135</v>
        <stp/>
        <stp>BDP|14183586288453275124</stp>
        <tr r="C1670" s="2"/>
      </tp>
      <tp t="s">
        <v>#N/A Requesting Data...4084223154</v>
        <stp/>
        <stp>BDP|14247982247633487181</stp>
        <tr r="E2413" s="2"/>
      </tp>
      <tp t="s">
        <v>#N/A Requesting Data...4079839546</v>
        <stp/>
        <stp>BDP|16955761704303372999</stp>
        <tr r="H20" s="2"/>
      </tp>
      <tp t="s">
        <v>#N/A Requesting Data...4108062680</v>
        <stp/>
        <stp>BDP|16723178683070159437</stp>
        <tr r="C71" s="2"/>
      </tp>
      <tp t="s">
        <v>#N/A Requesting Data...4090485848</v>
        <stp/>
        <stp>BDP|16291717343616135803</stp>
        <tr r="M2129" s="2"/>
      </tp>
      <tp t="s">
        <v>#N/A Requesting Data...4232443293</v>
        <stp/>
        <stp>BDP|12750445900399133438</stp>
        <tr r="J2120" s="2"/>
      </tp>
      <tp t="s">
        <v>#N/A Requesting Data...4127947139</v>
        <stp/>
        <stp>BDP|18295860580592077154</stp>
        <tr r="N641" s="2"/>
      </tp>
      <tp t="s">
        <v>#N/A Requesting Data...4135419139</v>
        <stp/>
        <stp>BDP|11195801521719242934</stp>
        <tr r="Q2181" s="2"/>
      </tp>
      <tp t="s">
        <v>#N/A Requesting Data...4063194503</v>
        <stp/>
        <stp>BDP|18269071547902053535</stp>
        <tr r="K518" s="2"/>
      </tp>
      <tp t="s">
        <v>#N/A Requesting Data...4050815625</v>
        <stp/>
        <stp>BDP|13844180144999559406</stp>
        <tr r="R911" s="2"/>
      </tp>
      <tp t="s">
        <v>#N/A Requesting Data...4219223612</v>
        <stp/>
        <stp>BDP|13216870510864374570</stp>
        <tr r="F588" s="2"/>
      </tp>
      <tp t="s">
        <v>#N/A Requesting Data...4068424255</v>
        <stp/>
        <stp>BDP|15772846074840318155</stp>
        <tr r="Q1818" s="2"/>
      </tp>
      <tp t="s">
        <v>#N/A Requesting Data...4206753736</v>
        <stp/>
        <stp>BDP|13347997417848530895</stp>
        <tr r="O1455" s="2"/>
      </tp>
      <tp t="s">
        <v>#N/A Requesting Data...4097956782</v>
        <stp/>
        <stp>BDP|15749730949219836448</stp>
        <tr r="G1616" s="2"/>
      </tp>
      <tp t="s">
        <v>#N/A Requesting Data...4064303225</v>
        <stp/>
        <stp>BDP|14957609032578310295</stp>
        <tr r="Q593" s="2"/>
      </tp>
      <tp t="s">
        <v>#N/A Requesting Data...4179908927</v>
        <stp/>
        <stp>BDP|13627286820951617990</stp>
        <tr r="T434" s="2"/>
      </tp>
      <tp t="s">
        <v>#N/A Requesting Data...4107428510</v>
        <stp/>
        <stp>BDP|10826468245523809823</stp>
        <tr r="S1978" s="2"/>
      </tp>
      <tp t="s">
        <v>#N/A Requesting Data...4281749106</v>
        <stp/>
        <stp>BDP|13878393761664176909</stp>
        <tr r="G2260" s="2"/>
      </tp>
      <tp t="s">
        <v>#N/A Requesting Data...4189052274</v>
        <stp/>
        <stp>BDP|12445101074269224639</stp>
        <tr r="S2373" s="2"/>
      </tp>
      <tp t="s">
        <v>#N/A Requesting Data...4263052820</v>
        <stp/>
        <stp>BDP|11450859013043336003</stp>
        <tr r="H2367" s="2"/>
      </tp>
      <tp t="s">
        <v>#N/A Requesting Data...4251421341</v>
        <stp/>
        <stp>BDP|17086723344478248758</stp>
        <tr r="G233" s="2"/>
      </tp>
      <tp t="s">
        <v>#N/A Requesting Data...4170251535</v>
        <stp/>
        <stp>BDP|16314163757950792941</stp>
        <tr r="F1516" s="2"/>
      </tp>
      <tp t="s">
        <v>#N/A Requesting Data...4264999835</v>
        <stp/>
        <stp>BDP|16653927730463674432</stp>
        <tr r="E678" s="2"/>
      </tp>
      <tp t="s">
        <v>#N/A Requesting Data...4232914493</v>
        <stp/>
        <stp>BDP|11212444363890294866</stp>
        <tr r="O2171" s="2"/>
      </tp>
      <tp t="s">
        <v>#N/A Requesting Data...4154992509</v>
        <stp/>
        <stp>BDP|12481017948839933456</stp>
        <tr r="R1943" s="2"/>
      </tp>
      <tp t="s">
        <v>#N/A Requesting Data...4127797239</v>
        <stp/>
        <stp>BDP|18104772453938708939</stp>
        <tr r="F2395" s="2"/>
      </tp>
      <tp t="s">
        <v>#N/A Requesting Data...4199027487</v>
        <stp/>
        <stp>BDP|10182579682896687033</stp>
        <tr r="T1429" s="2"/>
      </tp>
      <tp t="s">
        <v>#N/A Requesting Data...4249233617</v>
        <stp/>
        <stp>BDP|10757825273351514520</stp>
        <tr r="J988" s="2"/>
      </tp>
      <tp t="s">
        <v>#N/A Requesting Data...4107284104</v>
        <stp/>
        <stp>BDP|10838843802257861476</stp>
        <tr r="H1066" s="2"/>
      </tp>
      <tp t="s">
        <v>#N/A Requesting Data...4082692695</v>
        <stp/>
        <stp>BDP|13853611181073866510</stp>
        <tr r="O2278" s="2"/>
      </tp>
      <tp t="s">
        <v>#N/A Requesting Data...4279796946</v>
        <stp/>
        <stp>BDP|15835555472575758997</stp>
        <tr r="R44" s="2"/>
      </tp>
      <tp t="s">
        <v>#N/A Requesting Data...4222665474</v>
        <stp/>
        <stp>BDP|16270044917768845481</stp>
        <tr r="R2249" s="2"/>
      </tp>
      <tp t="s">
        <v>#N/A Requesting Data...4270456743</v>
        <stp/>
        <stp>BDP|17198431340479446579</stp>
        <tr r="A1958" s="2"/>
      </tp>
      <tp t="s">
        <v>#N/A Requesting Data...4189507236</v>
        <stp/>
        <stp>BDP|12452515183477005375</stp>
        <tr r="N2292" s="2"/>
      </tp>
      <tp t="b">
        <v>0</v>
        <stp/>
        <stp>BDS|16375455598783468382</stp>
        <tr r="I974" s="2"/>
      </tp>
      <tp t="s">
        <v>#N/A Requesting Data...4095478426</v>
        <stp/>
        <stp>BDP|16036140199965520098</stp>
        <tr r="R223" s="2"/>
      </tp>
      <tp t="s">
        <v>#N/A Requesting Data...4127265177</v>
        <stp/>
        <stp>BDP|13249709839348995437</stp>
        <tr r="P831" s="2"/>
      </tp>
      <tp t="s">
        <v>#N/A Requesting Data...4148488981</v>
        <stp/>
        <stp>BDP|13256873374334466343</stp>
        <tr r="J1119" s="2"/>
      </tp>
      <tp t="s">
        <v>#N/A Requesting Data...4250624365</v>
        <stp/>
        <stp>BDP|13736828869557999147</stp>
        <tr r="T1053" s="2"/>
      </tp>
      <tp t="s">
        <v>#N/A Requesting Data...4221382411</v>
        <stp/>
        <stp>BDP|10908074358267593928</stp>
        <tr r="T1783" s="2"/>
      </tp>
      <tp t="s">
        <v>#N/A Requesting Data...4143659560</v>
        <stp/>
        <stp>BDP|16104960975451516262</stp>
        <tr r="D832" s="2"/>
      </tp>
      <tp t="s">
        <v>#N/A Requesting Data...4162710613</v>
        <stp/>
        <stp>BDP|10043124085021449323</stp>
        <tr r="O2201" s="2"/>
      </tp>
      <tp t="s">
        <v>#N/A Requesting Data...4232113692</v>
        <stp/>
        <stp>BDP|10380609285003240652</stp>
        <tr r="P420" s="2"/>
      </tp>
      <tp t="s">
        <v>#N/A Requesting Data...4194788854</v>
        <stp/>
        <stp>BDP|17071907946171322046</stp>
        <tr r="S2343" s="2"/>
      </tp>
      <tp t="s">
        <v>#N/A Requesting Data...4121008702</v>
        <stp/>
        <stp>BDP|13191624730745469869</stp>
        <tr r="O1139" s="2"/>
      </tp>
      <tp t="s">
        <v>#N/A Requesting Data...4155483696</v>
        <stp/>
        <stp>BDP|15553952607216030163</stp>
        <tr r="A1046" s="2"/>
      </tp>
      <tp t="s">
        <v>#N/A Requesting Data...4226855132</v>
        <stp/>
        <stp>BDP|17631612280412222042</stp>
        <tr r="A281" s="2"/>
      </tp>
      <tp t="s">
        <v>#N/A Requesting Data...4242644813</v>
        <stp/>
        <stp>BDP|14551438977595593954</stp>
        <tr r="F689" s="2"/>
      </tp>
      <tp t="s">
        <v>#N/A Requesting Data...4138953647</v>
        <stp/>
        <stp>BDP|11434479094117089067</stp>
        <tr r="Q638" s="2"/>
      </tp>
      <tp t="s">
        <v>#N/A Requesting Data...4195836991</v>
        <stp/>
        <stp>BDP|13407667617996726938</stp>
        <tr r="K515" s="2"/>
      </tp>
      <tp t="s">
        <v>#N/A Requesting Data...4204735597</v>
        <stp/>
        <stp>BDP|12765858495891343956</stp>
        <tr r="Q1060" s="2"/>
      </tp>
      <tp t="s">
        <v>#N/A Requesting Data...4153511737</v>
        <stp/>
        <stp>BDP|17024952966974790754</stp>
        <tr r="E2231" s="2"/>
      </tp>
      <tp t="s">
        <v>#N/A Requesting Data...4207692287</v>
        <stp/>
        <stp>BDP|14788217476579856384</stp>
        <tr r="E2342" s="2"/>
      </tp>
      <tp t="s">
        <v>#N/A Requesting Data...4244538056</v>
        <stp/>
        <stp>BDP|17305444375709389610</stp>
        <tr r="J2061" s="2"/>
      </tp>
      <tp t="s">
        <v>#N/A Requesting Data...4167919043</v>
        <stp/>
        <stp>BDP|10695945822942583256</stp>
        <tr r="K2448" s="2"/>
      </tp>
      <tp t="s">
        <v>#N/A Requesting Data...4267126364</v>
        <stp/>
        <stp>BDP|11646418631175773811</stp>
        <tr r="G1654" s="2"/>
      </tp>
      <tp t="s">
        <v>#N/A Requesting Data...4232972152</v>
        <stp/>
        <stp>BDP|18322160845592987494</stp>
        <tr r="J768" s="2"/>
      </tp>
      <tp t="s">
        <v>#N/A Requesting Data...4292193106</v>
        <stp/>
        <stp>BDP|14498171204198355647</stp>
        <tr r="P1663" s="2"/>
      </tp>
      <tp t="s">
        <v>#N/A Requesting Data...4201716040</v>
        <stp/>
        <stp>BDP|16670564029843095999</stp>
        <tr r="Q2079" s="2"/>
      </tp>
      <tp t="s">
        <v>#N/A Requesting Data...4188220522</v>
        <stp/>
        <stp>BDP|12742244252698286634</stp>
        <tr r="K1907" s="2"/>
      </tp>
      <tp t="s">
        <v>#N/A Requesting Data...4203892191</v>
        <stp/>
        <stp>BDP|12536555877723689813</stp>
        <tr r="R2523" s="2"/>
      </tp>
      <tp t="s">
        <v>#N/A Requesting Data...4256737279</v>
        <stp/>
        <stp>BDP|13017954464823706467</stp>
        <tr r="F616" s="2"/>
      </tp>
      <tp t="s">
        <v>#N/A Requesting Data...4239280800</v>
        <stp/>
        <stp>BDP|10942519889011928785</stp>
        <tr r="O1854" s="2"/>
      </tp>
      <tp t="s">
        <v>#N/A Requesting Data...4185371329</v>
        <stp/>
        <stp>BDP|13670029824718283228</stp>
        <tr r="S127" s="2"/>
      </tp>
      <tp t="s">
        <v>#N/A Requesting Data...4192257572</v>
        <stp/>
        <stp>BDP|10320802121044208508</stp>
        <tr r="M2423" s="2"/>
      </tp>
      <tp t="s">
        <v>#N/A Requesting Data...4293022007</v>
        <stp/>
        <stp>BDP|13559019163156656810</stp>
        <tr r="Q143" s="2"/>
      </tp>
      <tp t="s">
        <v>#N/A Requesting Data...4240039703</v>
        <stp/>
        <stp>BDP|13976090922913068920</stp>
        <tr r="D2338" s="2"/>
      </tp>
      <tp t="s">
        <v>#N/A Requesting Data...4238985261</v>
        <stp/>
        <stp>BDP|12641695093661486787</stp>
        <tr r="A493" s="2"/>
      </tp>
      <tp t="s">
        <v>#N/A Requesting Data...4272959994</v>
        <stp/>
        <stp>BDP|13400548874442057846</stp>
        <tr r="R1708" s="2"/>
      </tp>
      <tp t="s">
        <v>#N/A Requesting Data...4184656847</v>
        <stp/>
        <stp>BDP|17581285068538634034</stp>
        <tr r="J1984" s="2"/>
      </tp>
      <tp t="b">
        <v>0</v>
        <stp/>
        <stp>BDS|15205620992745119409</stp>
        <tr r="I1999" s="2"/>
      </tp>
      <tp t="s">
        <v>#N/A Requesting Data...4214870140</v>
        <stp/>
        <stp>BDP|10848268600509721095</stp>
        <tr r="O2439" s="2"/>
      </tp>
      <tp t="s">
        <v>#N/A Requesting Data...4290726179</v>
        <stp/>
        <stp>BDP|14484631871376776810</stp>
        <tr r="J2146" s="2"/>
      </tp>
      <tp t="s">
        <v>#N/A Requesting Data...4200275126</v>
        <stp/>
        <stp>BDP|14837557642448798684</stp>
        <tr r="N1789" s="2"/>
      </tp>
      <tp t="s">
        <v>#N/A Requesting Data...4264163355</v>
        <stp/>
        <stp>BDP|15717914124482795755</stp>
        <tr r="P165" s="2"/>
      </tp>
      <tp t="s">
        <v>#N/A Requesting Data...4252737712</v>
        <stp/>
        <stp>BDP|12503643071391740979</stp>
        <tr r="E1145" s="2"/>
      </tp>
      <tp t="s">
        <v>#N/A Requesting Data...4225043564</v>
        <stp/>
        <stp>BDP|17824640838910028944</stp>
        <tr r="Q1128" s="2"/>
      </tp>
      <tp t="s">
        <v>#N/A Requesting Data...4273948747</v>
        <stp/>
        <stp>BDP|17815802419347388224</stp>
        <tr r="P494" s="2"/>
      </tp>
      <tp t="s">
        <v>#N/A Requesting Data...4292215436</v>
        <stp/>
        <stp>BDP|13337781911248254689</stp>
        <tr r="T60" s="2"/>
      </tp>
      <tp t="s">
        <v>#N/A Requesting Data...4219425073</v>
        <stp/>
        <stp>BDP|13695359954347190966</stp>
        <tr r="H129" s="2"/>
      </tp>
      <tp t="s">
        <v>#N/A Requesting Data...4218647161</v>
        <stp/>
        <stp>BDP|15474300234887336930</stp>
        <tr r="G2433" s="2"/>
      </tp>
      <tp t="s">
        <v>#N/A Requesting Data...4266023562</v>
        <stp/>
        <stp>BDP|16896410470179171783</stp>
        <tr r="M1723" s="2"/>
      </tp>
      <tp t="s">
        <v>#N/A Requesting Data...4288468618</v>
        <stp/>
        <stp>BDP|16436721406038661268</stp>
        <tr r="S523" s="2"/>
      </tp>
      <tp t="s">
        <v>#N/A Requesting Data...4251121457</v>
        <stp/>
        <stp>BDP|15755584214703935929</stp>
        <tr r="A1157" s="2"/>
      </tp>
      <tp t="s">
        <v>#N/A Requesting Data...4225882036</v>
        <stp/>
        <stp>BDP|13056111133432729851</stp>
        <tr r="R145" s="2"/>
      </tp>
      <tp t="s">
        <v>#N/A Requesting Data...4245495878</v>
        <stp/>
        <stp>BDP|14289635682068776949</stp>
        <tr r="E976" s="2"/>
      </tp>
      <tp t="s">
        <v>#N/A Requesting Data...4287465215</v>
        <stp/>
        <stp>BDP|15838296933678538773</stp>
        <tr r="D2197" s="2"/>
      </tp>
      <tp t="b">
        <v>0</v>
        <stp/>
        <stp>BDS|16801438483443378288</stp>
        <tr r="I359" s="2"/>
      </tp>
      <tp t="s">
        <v>#N/A Requesting Data...4261059595</v>
        <stp/>
        <stp>BDP|15050852910691277675</stp>
        <tr r="S413" s="2"/>
      </tp>
      <tp t="s">
        <v>#N/A Requesting Data...4249384335</v>
        <stp/>
        <stp>BDP|17290823662902281008</stp>
        <tr r="D516" s="2"/>
      </tp>
      <tp t="s">
        <v>#N/A Requesting Data...4290385833</v>
        <stp/>
        <stp>BDP|16765440782220166101</stp>
        <tr r="Q313" s="2"/>
      </tp>
      <tp t="s">
        <v>#N/A Requesting Data...4286602888</v>
        <stp/>
        <stp>BDP|14379761735558058305</stp>
        <tr r="S650" s="2"/>
      </tp>
      <tp t="s">
        <v>#N/A Requesting Data...4247721557</v>
        <stp/>
        <stp>BDP|18108595571532143386</stp>
        <tr r="G670" s="2"/>
      </tp>
      <tp t="s">
        <v>#N/A Requesting Data...4265139353</v>
        <stp/>
        <stp>BDP|10574279797342799226</stp>
        <tr r="K443" s="2"/>
      </tp>
      <tp t="s">
        <v>#N/A Requesting Data...4276251390</v>
        <stp/>
        <stp>BDP|14648669774827353972</stp>
        <tr r="F650" s="2"/>
      </tp>
      <tp t="s">
        <v>#N/A Requesting Data...4275339219</v>
        <stp/>
        <stp>BDP|15350278088893861741</stp>
        <tr r="D2519" s="2"/>
      </tp>
      <tp t="s">
        <v>#N/A Requesting Data...4263160926</v>
        <stp/>
        <stp>BDP|17778337888334989359</stp>
        <tr r="S273" s="2"/>
      </tp>
      <tp t="s">
        <v>#N/A Requesting Data...4287665944</v>
        <stp/>
        <stp>BDP|12295333047817483928</stp>
        <tr r="M1671" s="2"/>
      </tp>
      <tp t="s">
        <v>#N/A Requesting Data...4267731129</v>
        <stp/>
        <stp>BDP|14850503302573976936</stp>
        <tr r="M1929" s="2"/>
      </tp>
      <tp t="s">
        <v>#N/A Requesting Data...4284525109</v>
        <stp/>
        <stp>BDP|14030262034296517873</stp>
        <tr r="S1774" s="2"/>
      </tp>
      <tp t="s">
        <v>#N/A Requesting Data...4267835690</v>
        <stp/>
        <stp>BDP|12293123011940571945</stp>
        <tr r="G32" s="2"/>
      </tp>
      <tp t="s">
        <v>#N/A Requesting Data...4274564737</v>
        <stp/>
        <stp>BDP|11519782884691979403</stp>
        <tr r="F136" s="2"/>
      </tp>
      <tp t="s">
        <v>#N/A Requesting Data...4291599147</v>
        <stp/>
        <stp>BDP|14356361020577311961</stp>
        <tr r="K1613" s="2"/>
      </tp>
      <tp t="s">
        <v>#N/A Requesting Data...4293906229</v>
        <stp/>
        <stp>BDP|17203671524781412957</stp>
        <tr r="N13" s="2"/>
      </tp>
      <tp t="s">
        <v>#N/A Requesting Data...4290093750</v>
        <stp/>
        <stp>BDP|16228017483762063704</stp>
        <tr r="A313" s="2"/>
      </tp>
      <tp t="s">
        <v>#N/A Requesting Data...4284555797</v>
        <stp/>
        <stp>BDP|17064815591255992898</stp>
        <tr r="J1301" s="2"/>
      </tp>
      <tp t="s">
        <v>#N/A Requesting Data...4284879371</v>
        <stp/>
        <stp>BDP|15385158467448564142</stp>
        <tr r="J575" s="2"/>
      </tp>
      <tp t="s">
        <v>#N/A Requesting Data...4294476038</v>
        <stp/>
        <stp>BDP|17566021000644661817</stp>
        <tr r="P2485" s="2"/>
      </tp>
      <tp t="s">
        <v>#N/A Requesting Data...4289504714</v>
        <stp/>
        <stp>BDP|10419848439566136688</stp>
        <tr r="O2488" s="2"/>
      </tp>
      <tp t="s">
        <v>#N/A Requesting Data...4290949034</v>
        <stp/>
        <stp>BDP|11182999845672583588</stp>
        <tr r="S695" s="2"/>
      </tp>
      <tp t="s">
        <v>#N/A Requesting Data...4292490687</v>
        <stp/>
        <stp>BDP|13415357194992484010</stp>
        <tr r="F73" s="2"/>
      </tp>
      <tp t="s">
        <v>#N/A Requesting Data...2635958459</v>
        <stp/>
        <stp>BDP|16795931919015875058</stp>
        <tr r="T2114" s="2"/>
      </tp>
      <tp t="s">
        <v>#N/A Requesting Data...267195599</v>
        <stp/>
        <stp>BDP|13702825203730208045</stp>
        <tr r="M137" s="2"/>
      </tp>
      <tp t="s">
        <v>#N/A Requesting Data...4062042850</v>
        <stp/>
        <stp>BDP|17608108677329349328</stp>
        <tr r="H26" s="2"/>
      </tp>
      <tp t="s">
        <v>#N/A Requesting Data...722068268</v>
        <stp/>
        <stp>BDP|13577734942933399874</stp>
        <tr r="K689" s="2"/>
      </tp>
      <tp t="s">
        <v>#N/A Requesting Data...2479639077</v>
        <stp/>
        <stp>BDP|13415270126670084858</stp>
        <tr r="S951" s="2"/>
      </tp>
      <tp t="s">
        <v>#N/A Requesting Data...2839274322</v>
        <stp/>
        <stp>BDP|11976562384233317481</stp>
        <tr r="E302" s="2"/>
      </tp>
      <tp t="s">
        <v>#N/A Requesting Data...3766234591</v>
        <stp/>
        <stp>BDP|14061133186180138640</stp>
        <tr r="N1737" s="2"/>
      </tp>
      <tp t="s">
        <v>#N/A Requesting Data...3873080960</v>
        <stp/>
        <stp>BDP|18069800706102346955</stp>
        <tr r="C2274" s="2"/>
      </tp>
      <tp t="s">
        <v>#N/A Requesting Data...1981296482</v>
        <stp/>
        <stp>BDP|11717540893176872081</stp>
        <tr r="T44" s="2"/>
      </tp>
      <tp t="s">
        <v>#N/A Requesting Data...3475066620</v>
        <stp/>
        <stp>BDP|15734323036526661855</stp>
        <tr r="E2490" s="2"/>
      </tp>
      <tp t="s">
        <v>#N/A Requesting Data...820968622</v>
        <stp/>
        <stp>BDP|11280169870484520811</stp>
        <tr r="Q1339" s="2"/>
      </tp>
      <tp t="b">
        <v>0</v>
        <stp/>
        <stp>BDS|12545037595411222123</stp>
        <tr r="I495" s="2"/>
      </tp>
      <tp t="s">
        <v>#N/A Requesting Data...2041142770</v>
        <stp/>
        <stp>BDP|12422749299927920006</stp>
        <tr r="M1517" s="2"/>
      </tp>
      <tp t="s">
        <v>#N/A Requesting Data...494383738</v>
        <stp/>
        <stp>BDP|12588959050511190418</stp>
        <tr r="Q66" s="2"/>
      </tp>
      <tp t="s">
        <v>#N/A Requesting Data...3548190262</v>
        <stp/>
        <stp>BDP|17678314584650372707</stp>
        <tr r="A2150" s="2"/>
      </tp>
      <tp t="s">
        <v>#N/A Requesting Data...2938031080</v>
        <stp/>
        <stp>BDP|17885342096235241389</stp>
        <tr r="M2291" s="2"/>
      </tp>
      <tp t="s">
        <v>#N/A Requesting Data...2205930188</v>
        <stp/>
        <stp>BDP|10337994583818880212</stp>
        <tr r="H1520" s="2"/>
      </tp>
      <tp t="s">
        <v>#N/A Requesting Data...1253810348</v>
        <stp/>
        <stp>BDP|14202795493489147891</stp>
        <tr r="A1867" s="2"/>
      </tp>
      <tp t="s">
        <v>#N/A Requesting Data...100423994</v>
        <stp/>
        <stp>BDP|11317293679356430976</stp>
        <tr r="F578" s="2"/>
      </tp>
      <tp t="s">
        <v>#N/A Requesting Data...1702488105</v>
        <stp/>
        <stp>BDP|17423992025524813300</stp>
        <tr r="Q1931" s="2"/>
      </tp>
      <tp t="s">
        <v>#N/A Requesting Data...2068750151</v>
        <stp/>
        <stp>BDP|15895494771578138520</stp>
        <tr r="R2187" s="2"/>
      </tp>
      <tp t="s">
        <v>#N/A Requesting Data...4040763979</v>
        <stp/>
        <stp>BDP|17149201902526199812</stp>
        <tr r="G2094" s="2"/>
      </tp>
      <tp t="s">
        <v>#N/A Requesting Data...3287379151</v>
        <stp/>
        <stp>BDP|10277948233938592934</stp>
        <tr r="F327" s="2"/>
      </tp>
      <tp t="s">
        <v>#N/A Requesting Data...3843421540</v>
        <stp/>
        <stp>BDP|18080372404754020404</stp>
        <tr r="S1850" s="2"/>
      </tp>
      <tp t="s">
        <v>#N/A Requesting Data...2643653447</v>
        <stp/>
        <stp>BDP|12020026165339081644</stp>
        <tr r="H2463" s="2"/>
      </tp>
      <tp t="s">
        <v>#N/A Requesting Data...1183973230</v>
        <stp/>
        <stp>BDP|12038850618927991779</stp>
        <tr r="A2428" s="2"/>
      </tp>
      <tp t="s">
        <v>#N/A Requesting Data...2887218024</v>
        <stp/>
        <stp>BDP|17581190380140633593</stp>
        <tr r="D2030" s="2"/>
      </tp>
      <tp t="s">
        <v>#N/A Requesting Data...1458308724</v>
        <stp/>
        <stp>BDP|17561415560867675915</stp>
        <tr r="R2399" s="2"/>
      </tp>
      <tp t="s">
        <v>#N/A Requesting Data...1353115744</v>
        <stp/>
        <stp>BDP|15990420696754861761</stp>
        <tr r="D2418" s="2"/>
      </tp>
      <tp t="s">
        <v>#N/A Requesting Data...2861658795</v>
        <stp/>
        <stp>BDP|10278792897685721089</stp>
        <tr r="J484" s="2"/>
      </tp>
      <tp t="s">
        <v>#N/A Requesting Data...338461487</v>
        <stp/>
        <stp>BDP|17302015780996557241</stp>
        <tr r="O74" s="2"/>
      </tp>
      <tp t="s">
        <v>#N/A Requesting Data...2200814258</v>
        <stp/>
        <stp>BDP|18013143172864503102</stp>
        <tr r="A1769" s="2"/>
      </tp>
      <tp t="b">
        <v>0</v>
        <stp/>
        <stp>BDS|17592098039406243979</stp>
        <tr r="I457" s="2"/>
      </tp>
      <tp t="s">
        <v>#N/A Requesting Data...2192268804</v>
        <stp/>
        <stp>BDP|10413404004907740840</stp>
        <tr r="J1763" s="2"/>
      </tp>
      <tp t="s">
        <v>#N/A Requesting Data...1524647642</v>
        <stp/>
        <stp>BDP|11354678074288197329</stp>
        <tr r="F475" s="2"/>
      </tp>
      <tp t="s">
        <v>#N/A Requesting Data...2457339805</v>
        <stp/>
        <stp>BDP|11519523217928375602</stp>
        <tr r="O2129" s="2"/>
      </tp>
      <tp t="s">
        <v>#N/A Requesting Data...1731964916</v>
        <stp/>
        <stp>BDP|10120767683483164769</stp>
        <tr r="M1509" s="2"/>
      </tp>
      <tp t="s">
        <v>#N/A Requesting Data...3766114516</v>
        <stp/>
        <stp>BDP|16096542232968343368</stp>
        <tr r="Q1938" s="2"/>
      </tp>
      <tp t="s">
        <v>#N/A Requesting Data...1093185021</v>
        <stp/>
        <stp>BDP|16937913213972062781</stp>
        <tr r="K386" s="2"/>
      </tp>
      <tp t="s">
        <v>#N/A Requesting Data...976991992</v>
        <stp/>
        <stp>BDP|12353449404238059506</stp>
        <tr r="M659" s="2"/>
      </tp>
      <tp t="s">
        <v>#N/A Requesting Data...2996627863</v>
        <stp/>
        <stp>BDP|15002818931721614453</stp>
        <tr r="A2497" s="2"/>
      </tp>
      <tp t="s">
        <v>#N/A Requesting Data...3645888950</v>
        <stp/>
        <stp>BDP|14494059626885116854</stp>
        <tr r="Q1323" s="2"/>
      </tp>
      <tp t="s">
        <v>#N/A Requesting Data...855093042</v>
        <stp/>
        <stp>BDP|13955958216094171487</stp>
        <tr r="M11" s="2"/>
      </tp>
      <tp t="s">
        <v>#N/A Requesting Data...912583897</v>
        <stp/>
        <stp>BDP|15295332201794791948</stp>
        <tr r="J1351" s="2"/>
      </tp>
      <tp t="s">
        <v>#N/A Requesting Data...1448901650</v>
        <stp/>
        <stp>BDP|13593726393190737600</stp>
        <tr r="C515" s="2"/>
      </tp>
      <tp t="s">
        <v>#N/A Requesting Data...1578136040</v>
        <stp/>
        <stp>BDP|13787921815143370302</stp>
        <tr r="S626" s="2"/>
      </tp>
      <tp t="b">
        <v>0</v>
        <stp/>
        <stp>BDS|15249197555118997276</stp>
        <tr r="I658" s="2"/>
      </tp>
      <tp t="s">
        <v>#N/A Requesting Data...4266799057</v>
        <stp/>
        <stp>BDP|12573434765449521258</stp>
        <tr r="F1192" s="2"/>
      </tp>
      <tp t="s">
        <v>#N/A Requesting Data...2680807849</v>
        <stp/>
        <stp>BDP|12352485011955935907</stp>
        <tr r="J1894" s="2"/>
      </tp>
      <tp t="s">
        <v>#N/A Requesting Data...3082188258</v>
        <stp/>
        <stp>BDP|14744373603475589957</stp>
        <tr r="R2443" s="2"/>
      </tp>
      <tp t="s">
        <v>#N/A Requesting Data...678339649</v>
        <stp/>
        <stp>BDP|16779126114575111839</stp>
        <tr r="Q1231" s="2"/>
      </tp>
      <tp t="s">
        <v>#N/A Requesting Data...4243768307</v>
        <stp/>
        <stp>BDP|16478433085272324328</stp>
        <tr r="G1642" s="2"/>
      </tp>
      <tp t="s">
        <v>#N/A Requesting Data...1911277620</v>
        <stp/>
        <stp>BDP|10034768798743882658</stp>
        <tr r="T354" s="2"/>
      </tp>
      <tp t="b">
        <v>0</v>
        <stp/>
        <stp>BDS|11221810056221381664</stp>
        <tr r="I1584" s="2"/>
      </tp>
      <tp t="s">
        <v>#N/A Requesting Data...2782416523</v>
        <stp/>
        <stp>BDP|13667513568222974953</stp>
        <tr r="H1142" s="2"/>
      </tp>
      <tp t="s">
        <v>#N/A Requesting Data...1233328789</v>
        <stp/>
        <stp>BDP|13899294032188488146</stp>
        <tr r="H2282" s="2"/>
      </tp>
      <tp t="s">
        <v>#N/A Requesting Data...823258932</v>
        <stp/>
        <stp>BDP|10829997174306030367</stp>
        <tr r="H1008" s="2"/>
      </tp>
      <tp t="b">
        <v>0</v>
        <stp/>
        <stp>BDS|18272088832685828509</stp>
        <tr r="I1006" s="2"/>
      </tp>
      <tp t="s">
        <v>#N/A Requesting Data...3502252963</v>
        <stp/>
        <stp>BDP|10586178727670422826</stp>
        <tr r="M1994" s="2"/>
      </tp>
      <tp t="s">
        <v>#N/A Requesting Data...3353784823</v>
        <stp/>
        <stp>BDP|11446050883520968285</stp>
        <tr r="A1336" s="2"/>
      </tp>
      <tp t="s">
        <v>#N/A Requesting Data...2813030165</v>
        <stp/>
        <stp>BDP|15790250791812307733</stp>
        <tr r="Q650" s="2"/>
      </tp>
      <tp t="s">
        <v>#N/A Requesting Data...2782441651</v>
        <stp/>
        <stp>BDP|13729552580932811799</stp>
        <tr r="R1850" s="2"/>
      </tp>
      <tp t="s">
        <v>#N/A Requesting Data...1493829270</v>
        <stp/>
        <stp>BDP|16290985987964716895</stp>
        <tr r="C1749" s="2"/>
      </tp>
      <tp t="s">
        <v>#N/A Requesting Data...866452767</v>
        <stp/>
        <stp>BDP|14018747360379336747</stp>
        <tr r="J2116" s="2"/>
      </tp>
      <tp t="b">
        <v>0</v>
        <stp/>
        <stp>BDS|17381449293661310076</stp>
        <tr r="I1780" s="2"/>
      </tp>
      <tp t="s">
        <v>#N/A Requesting Data...4285573246</v>
        <stp/>
        <stp>BDP|16381623180407664449</stp>
        <tr r="J2472" s="2"/>
      </tp>
      <tp t="s">
        <v>#N/A Requesting Data...3858632375</v>
        <stp/>
        <stp>BDP|10526627787870351508</stp>
        <tr r="R33" s="2"/>
      </tp>
      <tp t="s">
        <v>#N/A Requesting Data...1979709907</v>
        <stp/>
        <stp>BDP|12749737823225740935</stp>
        <tr r="C1850" s="2"/>
      </tp>
      <tp t="s">
        <v>#N/A Requesting Data...1262080128</v>
        <stp/>
        <stp>BDP|11244320832312800890</stp>
        <tr r="P606" s="2"/>
      </tp>
      <tp t="s">
        <v>#N/A Requesting Data...949508815</v>
        <stp/>
        <stp>BDP|14894969403326934077</stp>
        <tr r="C1476" s="2"/>
      </tp>
      <tp t="s">
        <v>#N/A Requesting Data...2296125733</v>
        <stp/>
        <stp>BDP|16408612491245419736</stp>
        <tr r="E1203" s="2"/>
      </tp>
      <tp t="s">
        <v>#N/A Requesting Data...3627900307</v>
        <stp/>
        <stp>BDP|10541614746679863097</stp>
        <tr r="Q1812" s="2"/>
      </tp>
      <tp t="s">
        <v>#N/A Requesting Data...3239598395</v>
        <stp/>
        <stp>BDP|14013178865351686974</stp>
        <tr r="K1675" s="2"/>
      </tp>
      <tp t="s">
        <v>#N/A Requesting Data...2951816624</v>
        <stp/>
        <stp>BDP|16760207250483730930</stp>
        <tr r="N1959" s="2"/>
      </tp>
      <tp t="s">
        <v>#N/A Requesting Data...1666029961</v>
        <stp/>
        <stp>BDP|18140100174460232545</stp>
        <tr r="C2357" s="2"/>
      </tp>
      <tp t="s">
        <v>#N/A Requesting Data...2870930158</v>
        <stp/>
        <stp>BDP|12397924052660056508</stp>
        <tr r="M2239" s="2"/>
      </tp>
      <tp t="s">
        <v>#N/A Requesting Data...1021495799</v>
        <stp/>
        <stp>BDP|14165235955781198958</stp>
        <tr r="C1093" s="2"/>
      </tp>
      <tp t="s">
        <v>#N/A Requesting Data...1191963226</v>
        <stp/>
        <stp>BDP|16619822659325848561</stp>
        <tr r="Q939" s="2"/>
      </tp>
      <tp t="s">
        <v>#N/A Requesting Data...3331463735</v>
        <stp/>
        <stp>BDP|16779804365684497759</stp>
        <tr r="P1400" s="2"/>
      </tp>
      <tp t="s">
        <v>#N/A Requesting Data...3318051157</v>
        <stp/>
        <stp>BDP|13559909765933129422</stp>
        <tr r="A1859" s="2"/>
      </tp>
      <tp t="s">
        <v>#N/A Requesting Data...1187185719</v>
        <stp/>
        <stp>BDP|11644597550059457383</stp>
        <tr r="P1213" s="2"/>
      </tp>
      <tp t="s">
        <v>#N/A Requesting Data...3991620009</v>
        <stp/>
        <stp>BDP|16638628581691406228</stp>
        <tr r="N1359" s="2"/>
      </tp>
      <tp t="s">
        <v>#N/A Requesting Data...3443454828</v>
        <stp/>
        <stp>BDP|14073756830318711317</stp>
        <tr r="D1126" s="2"/>
      </tp>
      <tp t="s">
        <v>#N/A Requesting Data...2692556300</v>
        <stp/>
        <stp>BDP|12756322122040239860</stp>
        <tr r="Q1936" s="2"/>
      </tp>
      <tp t="s">
        <v>#N/A Requesting Data...3472069173</v>
        <stp/>
        <stp>BDP|10592040687966175543</stp>
        <tr r="J1859" s="2"/>
      </tp>
      <tp t="b">
        <v>0</v>
        <stp/>
        <stp>BDS|16627887850188678898</stp>
        <tr r="I1859" s="2"/>
      </tp>
      <tp t="s">
        <v>#N/A Requesting Data...392199802</v>
        <stp/>
        <stp>BDP|11016124489345946609</stp>
        <tr r="O1922" s="2"/>
      </tp>
      <tp t="s">
        <v>#N/A Requesting Data...1515046440</v>
        <stp/>
        <stp>BDP|16396946024470535642</stp>
        <tr r="F934" s="2"/>
      </tp>
      <tp t="s">
        <v>#N/A Requesting Data...3250752735</v>
        <stp/>
        <stp>BDP|11083354585896188736</stp>
        <tr r="N542" s="2"/>
      </tp>
      <tp t="s">
        <v>#N/A Requesting Data...662874322</v>
        <stp/>
        <stp>BDP|12385833771621717746</stp>
        <tr r="M2398" s="2"/>
      </tp>
      <tp t="s">
        <v>#N/A Requesting Data...3260171022</v>
        <stp/>
        <stp>BDP|14962146306827815913</stp>
        <tr r="A2261" s="2"/>
      </tp>
      <tp t="s">
        <v>#N/A Requesting Data...4252710303</v>
        <stp/>
        <stp>BDP|15618399289593232664</stp>
        <tr r="C833" s="2"/>
      </tp>
      <tp t="s">
        <v>#N/A Requesting Data...3955990013</v>
        <stp/>
        <stp>BDP|10722949698403838815</stp>
        <tr r="C1678" s="2"/>
      </tp>
      <tp t="s">
        <v>#N/A Requesting Data...2299340508</v>
        <stp/>
        <stp>BDP|12957151535302365988</stp>
        <tr r="R14" s="2"/>
      </tp>
      <tp t="s">
        <v>#N/A Requesting Data...3654895445</v>
        <stp/>
        <stp>BDP|11145368790479466917</stp>
        <tr r="H827" s="2"/>
      </tp>
      <tp t="s">
        <v>#N/A Requesting Data...3588624427</v>
        <stp/>
        <stp>BDP|11921577881421816658</stp>
        <tr r="S2484" s="2"/>
      </tp>
      <tp t="s">
        <v>#N/A Requesting Data...966080801</v>
        <stp/>
        <stp>BDP|11398763001478729514</stp>
        <tr r="E96" s="2"/>
      </tp>
      <tp t="s">
        <v>#N/A Requesting Data...3223757141</v>
        <stp/>
        <stp>BDP|10596902626618670872</stp>
        <tr r="G1431" s="2"/>
      </tp>
      <tp t="s">
        <v>#N/A Requesting Data...3552346124</v>
        <stp/>
        <stp>BDP|11424011101812413825</stp>
        <tr r="O2491" s="2"/>
      </tp>
      <tp t="s">
        <v>#N/A Requesting Data...4175874253</v>
        <stp/>
        <stp>BDP|16589995622001528790</stp>
        <tr r="E1055" s="2"/>
      </tp>
      <tp t="s">
        <v>#N/A Requesting Data...3755668386</v>
        <stp/>
        <stp>BDP|17406571315561025949</stp>
        <tr r="P2034" s="2"/>
      </tp>
      <tp t="s">
        <v>#N/A Requesting Data...2844747405</v>
        <stp/>
        <stp>BDP|17854359112717905944</stp>
        <tr r="N2288" s="2"/>
      </tp>
      <tp t="s">
        <v>#N/A Requesting Data...3177912590</v>
        <stp/>
        <stp>BDP|10699510085747564156</stp>
        <tr r="H2259" s="2"/>
      </tp>
      <tp t="s">
        <v>#N/A Requesting Data...554767012</v>
        <stp/>
        <stp>BDP|17665557546894342943</stp>
        <tr r="K2345" s="2"/>
      </tp>
      <tp t="s">
        <v>#N/A Requesting Data...2139507075</v>
        <stp/>
        <stp>BDP|15559506841729233649</stp>
        <tr r="S1304" s="2"/>
      </tp>
      <tp t="s">
        <v>#N/A Requesting Data...2379348031</v>
        <stp/>
        <stp>BDP|17832188181732522760</stp>
        <tr r="M976" s="2"/>
      </tp>
      <tp t="s">
        <v>#N/A Requesting Data...677707210</v>
        <stp/>
        <stp>BDP|16706227997772944499</stp>
        <tr r="T1936" s="2"/>
      </tp>
      <tp t="s">
        <v>#N/A Requesting Data...2519374759</v>
        <stp/>
        <stp>BDP|17606249981441947784</stp>
        <tr r="D817" s="2"/>
      </tp>
      <tp t="s">
        <v>#N/A Requesting Data...4074148503</v>
        <stp/>
        <stp>BDP|12858492545270512939</stp>
        <tr r="M879" s="2"/>
      </tp>
      <tp t="s">
        <v>#N/A Requesting Data...1500819375</v>
        <stp/>
        <stp>BDP|16843383586892717433</stp>
        <tr r="F1041" s="2"/>
      </tp>
      <tp t="s">
        <v>#N/A Requesting Data...2712920844</v>
        <stp/>
        <stp>BDP|13808264525148912009</stp>
        <tr r="D465" s="2"/>
      </tp>
      <tp t="s">
        <v>#N/A Requesting Data...1880705706</v>
        <stp/>
        <stp>BDP|16594600596386422455</stp>
        <tr r="A1819" s="2"/>
      </tp>
      <tp t="s">
        <v>#N/A Requesting Data...1370546140</v>
        <stp/>
        <stp>BDP|13435234118313493890</stp>
        <tr r="O2421" s="2"/>
      </tp>
      <tp t="s">
        <v>#N/A Requesting Data...1853931979</v>
        <stp/>
        <stp>BDP|13921056600968693089</stp>
        <tr r="H2268" s="2"/>
      </tp>
      <tp t="s">
        <v>#N/A Requesting Data...3327121240</v>
        <stp/>
        <stp>BDP|16315542035788600368</stp>
        <tr r="J1257" s="2"/>
      </tp>
      <tp t="s">
        <v>#N/A Requesting Data...1794523124</v>
        <stp/>
        <stp>BDP|10942226589783010208</stp>
        <tr r="G2465" s="2"/>
      </tp>
      <tp t="s">
        <v>#N/A Requesting Data...338325157</v>
        <stp/>
        <stp>BDP|14514538695457438452</stp>
        <tr r="H1491" s="2"/>
      </tp>
      <tp t="s">
        <v>#N/A Requesting Data...1537271832</v>
        <stp/>
        <stp>BDP|18149724131665721278</stp>
        <tr r="J1919" s="2"/>
      </tp>
      <tp t="s">
        <v>#N/A Requesting Data...3291708059</v>
        <stp/>
        <stp>BDP|16904534383396887633</stp>
        <tr r="E981" s="2"/>
      </tp>
      <tp t="s">
        <v>#N/A Requesting Data...3582205996</v>
        <stp/>
        <stp>BDP|16280553977017073820</stp>
        <tr r="Q547" s="2"/>
      </tp>
      <tp t="s">
        <v>#N/A Requesting Data...3572399343</v>
        <stp/>
        <stp>BDP|12586664796617616117</stp>
        <tr r="D2395" s="2"/>
      </tp>
      <tp t="s">
        <v>#N/A Requesting Data...3838564604</v>
        <stp/>
        <stp>BDP|11413927370174328076</stp>
        <tr r="O1149" s="2"/>
      </tp>
      <tp t="s">
        <v>#N/A Requesting Data...2851572387</v>
        <stp/>
        <stp>BDP|14008416373568777477</stp>
        <tr r="E724" s="2"/>
      </tp>
      <tp t="s">
        <v>#N/A Requesting Data...349501072</v>
        <stp/>
        <stp>BDP|10483824553003783507</stp>
        <tr r="Q463" s="2"/>
      </tp>
      <tp t="s">
        <v>#N/A Requesting Data...3349689828</v>
        <stp/>
        <stp>BDP|13833285287197526507</stp>
        <tr r="K612" s="2"/>
      </tp>
      <tp t="s">
        <v>#N/A Requesting Data...1797520691</v>
        <stp/>
        <stp>BDP|10298915253934152332</stp>
        <tr r="R2451" s="2"/>
      </tp>
      <tp t="s">
        <v>#N/A Requesting Data...2722295054</v>
        <stp/>
        <stp>BDP|13653132299722669284</stp>
        <tr r="H1162" s="2"/>
      </tp>
      <tp t="s">
        <v>#N/A Requesting Data...2154958754</v>
        <stp/>
        <stp>BDP|16006960991224167946</stp>
        <tr r="K713" s="2"/>
      </tp>
      <tp t="s">
        <v>#N/A Requesting Data...379506193</v>
        <stp/>
        <stp>BDP|13681607760510593811</stp>
        <tr r="S1156" s="2"/>
      </tp>
      <tp t="s">
        <v>#N/A Requesting Data...814996141</v>
        <stp/>
        <stp>BDP|16246523100748517073</stp>
        <tr r="D1693" s="2"/>
      </tp>
      <tp t="s">
        <v>#N/A Requesting Data...3809203314</v>
        <stp/>
        <stp>BDP|12346930753551427451</stp>
        <tr r="M2308" s="2"/>
      </tp>
      <tp t="s">
        <v>#N/A Requesting Data...3874761543</v>
        <stp/>
        <stp>BDP|18323186534459460894</stp>
        <tr r="A1086" s="2"/>
      </tp>
      <tp t="s">
        <v>#N/A Requesting Data...1012434134</v>
        <stp/>
        <stp>BDP|14688686683397758689</stp>
        <tr r="P1607" s="2"/>
      </tp>
      <tp t="s">
        <v>#N/A Requesting Data...1885640053</v>
        <stp/>
        <stp>BDP|16250384843043903920</stp>
        <tr r="K738" s="2"/>
      </tp>
      <tp t="s">
        <v>#N/A Requesting Data...2126219088</v>
        <stp/>
        <stp>BDP|12320600821769330437</stp>
        <tr r="Q1863" s="2"/>
      </tp>
      <tp t="s">
        <v>#N/A Requesting Data...3228302138</v>
        <stp/>
        <stp>BDP|12500154032909594255</stp>
        <tr r="J1217" s="2"/>
      </tp>
      <tp t="s">
        <v>#N/A Requesting Data...793263524</v>
        <stp/>
        <stp>BDP|12771871306706374777</stp>
        <tr r="J2125" s="2"/>
      </tp>
      <tp t="s">
        <v>#N/A Requesting Data...2167178487</v>
        <stp/>
        <stp>BDP|12798145496398395947</stp>
        <tr r="R1002" s="2"/>
      </tp>
      <tp t="s">
        <v>#N/A Requesting Data...2988372363</v>
        <stp/>
        <stp>BDP|14875030450513953906</stp>
        <tr r="F434" s="2"/>
      </tp>
      <tp t="s">
        <v>#N/A Requesting Data...2112189387</v>
        <stp/>
        <stp>BDP|16913999513957190209</stp>
        <tr r="A2176" s="2"/>
      </tp>
      <tp t="s">
        <v>#N/A Requesting Data...3123572216</v>
        <stp/>
        <stp>BDP|13893988816926087640</stp>
        <tr r="Q1098" s="2"/>
      </tp>
      <tp t="s">
        <v>#N/A Requesting Data...797282256</v>
        <stp/>
        <stp>BDP|13839985918652390299</stp>
        <tr r="M2282" s="2"/>
      </tp>
      <tp t="s">
        <v>#N/A Requesting Data...2566016100</v>
        <stp/>
        <stp>BDP|18194578162206432620</stp>
        <tr r="O1916" s="2"/>
      </tp>
      <tp t="s">
        <v>#N/A Requesting Data...1329394268</v>
        <stp/>
        <stp>BDP|10725402084934916388</stp>
        <tr r="G191" s="2"/>
      </tp>
      <tp t="s">
        <v>#N/A Requesting Data...4049245238</v>
        <stp/>
        <stp>BDP|15058200006225207960</stp>
        <tr r="D26" s="2"/>
      </tp>
      <tp t="s">
        <v>#N/A Requesting Data...1569847181</v>
        <stp/>
        <stp>BDP|15926847015783331496</stp>
        <tr r="N1631" s="2"/>
      </tp>
      <tp t="s">
        <v>#N/A Requesting Data...594483437</v>
        <stp/>
        <stp>BDP|15716097386443858520</stp>
        <tr r="S1485" s="2"/>
      </tp>
      <tp t="s">
        <v>#N/A Requesting Data...1487549502</v>
        <stp/>
        <stp>BDP|12174434602605659847</stp>
        <tr r="J1229" s="2"/>
      </tp>
      <tp t="s">
        <v>#N/A Requesting Data...2938240160</v>
        <stp/>
        <stp>BDP|16132166931887188852</stp>
        <tr r="E1601" s="2"/>
      </tp>
      <tp t="s">
        <v>#N/A Requesting Data...1603136772</v>
        <stp/>
        <stp>BDP|18106372329184527686</stp>
        <tr r="S2223" s="2"/>
      </tp>
      <tp t="s">
        <v>#N/A Requesting Data...1774847747</v>
        <stp/>
        <stp>BDP|16352937720435703351</stp>
        <tr r="T1623" s="2"/>
      </tp>
      <tp t="s">
        <v>#N/A Requesting Data...1041343454</v>
        <stp/>
        <stp>BDP|12056809129775953629</stp>
        <tr r="H846" s="2"/>
      </tp>
      <tp t="s">
        <v>#N/A Requesting Data...3386442277</v>
        <stp/>
        <stp>BDP|13623040841539453554</stp>
        <tr r="Q283" s="2"/>
      </tp>
      <tp t="s">
        <v>#N/A Requesting Data...1596300416</v>
        <stp/>
        <stp>BDP|14187651296569538959</stp>
        <tr r="Q904" s="2"/>
      </tp>
      <tp t="s">
        <v>#N/A Requesting Data...2382647255</v>
        <stp/>
        <stp>BDP|16638341839068037597</stp>
        <tr r="H199" s="2"/>
      </tp>
      <tp t="s">
        <v>#N/A Requesting Data...2968149765</v>
        <stp/>
        <stp>BDP|14407344643529433154</stp>
        <tr r="Q622" s="2"/>
      </tp>
      <tp t="s">
        <v>#N/A Requesting Data...2630307396</v>
        <stp/>
        <stp>BDP|17971978851320829058</stp>
        <tr r="J2294" s="2"/>
      </tp>
      <tp t="b">
        <v>0</v>
        <stp/>
        <stp>BDS|14412115384197985198</stp>
        <tr r="I1818" s="2"/>
      </tp>
      <tp t="s">
        <v>#N/A Requesting Data...1791296307</v>
        <stp/>
        <stp>BDP|13458216094544608753</stp>
        <tr r="H372" s="2"/>
      </tp>
      <tp t="s">
        <v>#N/A Requesting Data...501943976</v>
        <stp/>
        <stp>BDP|13994817652862902713</stp>
        <tr r="E1638" s="2"/>
      </tp>
      <tp t="s">
        <v>#N/A Requesting Data...3647020353</v>
        <stp/>
        <stp>BDP|17212855794228946587</stp>
        <tr r="D673" s="2"/>
      </tp>
      <tp t="s">
        <v>#N/A Requesting Data...1670519079</v>
        <stp/>
        <stp>BDP|17371970041638673913</stp>
        <tr r="R73" s="2"/>
      </tp>
      <tp t="s">
        <v>#N/A Requesting Data...4075816033</v>
        <stp/>
        <stp>BDP|16723709413933319857</stp>
        <tr r="G129" s="2"/>
      </tp>
      <tp t="s">
        <v>#N/A Requesting Data...2429552209</v>
        <stp/>
        <stp>BDP|16561321785066578054</stp>
        <tr r="K633" s="2"/>
      </tp>
      <tp t="s">
        <v>#N/A Requesting Data...1047434792</v>
        <stp/>
        <stp>BDP|16281149591327053253</stp>
        <tr r="C2284" s="2"/>
      </tp>
      <tp t="s">
        <v>#N/A Requesting Data...3311870622</v>
        <stp/>
        <stp>BDP|12296829461534627353</stp>
        <tr r="F1544" s="2"/>
      </tp>
      <tp t="s">
        <v>#N/A Requesting Data...3453645106</v>
        <stp/>
        <stp>BDP|15523210721168633614</stp>
        <tr r="C2247" s="2"/>
      </tp>
      <tp t="s">
        <v>#N/A Requesting Data...3131705532</v>
        <stp/>
        <stp>BDP|11694762305159028403</stp>
        <tr r="K2188" s="2"/>
      </tp>
      <tp t="s">
        <v>#N/A Requesting Data...1362949480</v>
        <stp/>
        <stp>BDP|17844398669728520182</stp>
        <tr r="J756" s="2"/>
      </tp>
      <tp t="s">
        <v>#N/A Requesting Data...997168717</v>
        <stp/>
        <stp>BDP|11230465422604728848</stp>
        <tr r="T324" s="2"/>
      </tp>
      <tp t="s">
        <v>#N/A Requesting Data...2317918052</v>
        <stp/>
        <stp>BDP|12435588582791857533</stp>
        <tr r="F2217" s="2"/>
      </tp>
      <tp t="s">
        <v>#N/A Requesting Data...525974424</v>
        <stp/>
        <stp>BDP|15303546958608394693</stp>
        <tr r="Q503" s="2"/>
      </tp>
      <tp t="s">
        <v>#N/A Requesting Data...546975875</v>
        <stp/>
        <stp>BDP|10030801384082083910</stp>
        <tr r="E1609" s="2"/>
      </tp>
      <tp t="s">
        <v>#N/A Requesting Data...2068305206</v>
        <stp/>
        <stp>BDP|10225005296895824797</stp>
        <tr r="H1732" s="2"/>
      </tp>
      <tp t="s">
        <v>#N/A Requesting Data...965575750</v>
        <stp/>
        <stp>BDP|12599886054180410485</stp>
        <tr r="N1138" s="2"/>
      </tp>
      <tp t="s">
        <v>#N/A Requesting Data...901745714</v>
        <stp/>
        <stp>BDP|16445204242959351206</stp>
        <tr r="K995" s="2"/>
      </tp>
      <tp t="s">
        <v>#N/A Requesting Data...3930937816</v>
        <stp/>
        <stp>BDP|12853650883831930627</stp>
        <tr r="C110" s="2"/>
      </tp>
      <tp t="s">
        <v>#N/A Requesting Data...3384764843</v>
        <stp/>
        <stp>BDP|16019131176449986295</stp>
        <tr r="S1030" s="2"/>
      </tp>
      <tp t="b">
        <v>0</v>
        <stp/>
        <stp>BDS|14655919083748511673</stp>
        <tr r="I2083" s="2"/>
      </tp>
      <tp t="s">
        <v>#N/A Requesting Data...1115574487</v>
        <stp/>
        <stp>BDP|14895312239749377663</stp>
        <tr r="D859" s="2"/>
      </tp>
      <tp t="s">
        <v>#N/A Requesting Data...2635680884</v>
        <stp/>
        <stp>BDP|14176297027607987836</stp>
        <tr r="G941" s="2"/>
      </tp>
      <tp t="s">
        <v>#N/A Requesting Data...3197937951</v>
        <stp/>
        <stp>BDP|14340649446708037541</stp>
        <tr r="E1681" s="2"/>
      </tp>
      <tp t="s">
        <v>#N/A Requesting Data...3619229978</v>
        <stp/>
        <stp>BDP|16854498378276858845</stp>
        <tr r="A199" s="2"/>
      </tp>
      <tp t="s">
        <v>#N/A Requesting Data...1225672098</v>
        <stp/>
        <stp>BDP|15300179391313457540</stp>
        <tr r="R1131" s="2"/>
      </tp>
      <tp t="s">
        <v>#N/A Requesting Data...2364745892</v>
        <stp/>
        <stp>BDP|11414658085912395626</stp>
        <tr r="S2149" s="2"/>
      </tp>
      <tp t="s">
        <v>#N/A Requesting Data...1721054020</v>
        <stp/>
        <stp>BDP|11936803439578526908</stp>
        <tr r="A2182" s="2"/>
      </tp>
      <tp t="s">
        <v>#N/A Requesting Data...2363191373</v>
        <stp/>
        <stp>BDP|12152027690851023167</stp>
        <tr r="G2518" s="2"/>
      </tp>
      <tp t="s">
        <v>#N/A Requesting Data...2046390520</v>
        <stp/>
        <stp>BDP|10478280794414942449</stp>
        <tr r="M2011" s="2"/>
      </tp>
      <tp t="s">
        <v>#N/A Requesting Data...2967575246</v>
        <stp/>
        <stp>BDP|12629563399944512197</stp>
        <tr r="S728" s="2"/>
      </tp>
      <tp t="s">
        <v>#N/A Requesting Data...667814806</v>
        <stp/>
        <stp>BDP|10630159498132718194</stp>
        <tr r="R1395" s="2"/>
      </tp>
      <tp t="s">
        <v>#N/A Requesting Data...3656241752</v>
        <stp/>
        <stp>BDP|17335966431665681375</stp>
        <tr r="C1057" s="2"/>
      </tp>
      <tp t="s">
        <v>#N/A Requesting Data...4018641034</v>
        <stp/>
        <stp>BDP|16761674306158056338</stp>
        <tr r="E1660" s="2"/>
      </tp>
      <tp t="s">
        <v>#N/A Requesting Data...3886017041</v>
        <stp/>
        <stp>BDP|11226206143645390976</stp>
        <tr r="P68" s="2"/>
      </tp>
      <tp t="s">
        <v>#N/A Requesting Data...4289179058</v>
        <stp/>
        <stp>BDP|10611617823938261735</stp>
        <tr r="R1800" s="2"/>
      </tp>
      <tp t="s">
        <v>#N/A Requesting Data...4092234797</v>
        <stp/>
        <stp>BDP|17370789814592825825</stp>
        <tr r="Q1600" s="2"/>
      </tp>
      <tp t="s">
        <v>#N/A Requesting Data...664026063</v>
        <stp/>
        <stp>BDP|10600059202759670225</stp>
        <tr r="R179" s="2"/>
      </tp>
      <tp t="s">
        <v>#N/A Requesting Data...1692274269</v>
        <stp/>
        <stp>BDP|14388475787586170573</stp>
        <tr r="D607" s="2"/>
      </tp>
      <tp t="s">
        <v>#N/A Requesting Data...3491214804</v>
        <stp/>
        <stp>BDP|15235469287452603002</stp>
        <tr r="R1117" s="2"/>
      </tp>
      <tp t="s">
        <v>#N/A Requesting Data...1099970658</v>
        <stp/>
        <stp>BDP|17842224585540812628</stp>
        <tr r="J2159" s="2"/>
      </tp>
      <tp t="s">
        <v>#N/A Requesting Data...3054926961</v>
        <stp/>
        <stp>BDP|13002100032898233258</stp>
        <tr r="S318" s="2"/>
      </tp>
      <tp t="b">
        <v>0</v>
        <stp/>
        <stp>BDS|16155853474415328753</stp>
        <tr r="I2132" s="2"/>
      </tp>
      <tp t="s">
        <v>#N/A Requesting Data...1267351021</v>
        <stp/>
        <stp>BDP|17702703046329511612</stp>
        <tr r="G1753" s="2"/>
      </tp>
      <tp t="s">
        <v>#N/A Requesting Data...1634840454</v>
        <stp/>
        <stp>BDP|11456352055135515944</stp>
        <tr r="H909" s="2"/>
      </tp>
      <tp t="s">
        <v>#N/A Requesting Data...669722330</v>
        <stp/>
        <stp>BDP|12660454701684772901</stp>
        <tr r="J895" s="2"/>
      </tp>
      <tp t="b">
        <v>0</v>
        <stp/>
        <stp>BDS|13764462440481475935</stp>
        <tr r="I1966" s="2"/>
      </tp>
      <tp t="s">
        <v>#N/A Requesting Data...2433656456</v>
        <stp/>
        <stp>BDP|16701879557304088420</stp>
        <tr r="N46" s="2"/>
      </tp>
      <tp t="s">
        <v>#N/A Requesting Data...3323245977</v>
        <stp/>
        <stp>BDP|15383068323665748940</stp>
        <tr r="P1532" s="2"/>
      </tp>
      <tp t="s">
        <v>#N/A Requesting Data...3863390248</v>
        <stp/>
        <stp>BDP|17102674587330477202</stp>
        <tr r="E2034" s="2"/>
      </tp>
      <tp t="s">
        <v>#N/A Requesting Data...1510333140</v>
        <stp/>
        <stp>BDP|16110480509821118849</stp>
        <tr r="G2109" s="2"/>
      </tp>
      <tp t="s">
        <v>#N/A Requesting Data...3324739531</v>
        <stp/>
        <stp>BDP|12459805121722251123</stp>
        <tr r="T1872" s="2"/>
      </tp>
      <tp t="b">
        <v>0</v>
        <stp/>
        <stp>BDS|14123151581381645755</stp>
        <tr r="I1532" s="2"/>
      </tp>
      <tp t="s">
        <v>#N/A Requesting Data...1750762829</v>
        <stp/>
        <stp>BDP|14708319585815138173</stp>
        <tr r="P69" s="2"/>
      </tp>
      <tp t="s">
        <v>#N/A Requesting Data...2739945484</v>
        <stp/>
        <stp>BDP|11729170852636354840</stp>
        <tr r="T693" s="2"/>
      </tp>
      <tp t="s">
        <v>#N/A Requesting Data...3844871038</v>
        <stp/>
        <stp>BDP|18184538414357535061</stp>
        <tr r="H1264" s="2"/>
      </tp>
      <tp t="s">
        <v>#N/A Requesting Data...1194565771</v>
        <stp/>
        <stp>BDP|16423467201399752013</stp>
        <tr r="J1448" s="2"/>
      </tp>
      <tp t="s">
        <v>#N/A Requesting Data...1184152468</v>
        <stp/>
        <stp>BDP|15090346471732483840</stp>
        <tr r="D45" s="2"/>
      </tp>
      <tp t="b">
        <v>0</v>
        <stp/>
        <stp>BDS|15086322690421182556</stp>
        <tr r="I2055" s="2"/>
      </tp>
      <tp t="s">
        <v>#N/A Requesting Data...2380002721</v>
        <stp/>
        <stp>BDP|12937733783710932654</stp>
        <tr r="H558" s="2"/>
      </tp>
      <tp t="s">
        <v>#N/A Requesting Data...1614115413</v>
        <stp/>
        <stp>BDP|13825896472181705612</stp>
        <tr r="P1713" s="2"/>
      </tp>
      <tp t="s">
        <v>#N/A Requesting Data...3776712228</v>
        <stp/>
        <stp>BDP|16071113491117228270</stp>
        <tr r="S1946" s="2"/>
      </tp>
      <tp t="s">
        <v>#N/A Requesting Data...1941925005</v>
        <stp/>
        <stp>BDP|14970693598382954245</stp>
        <tr r="H866" s="2"/>
      </tp>
      <tp t="s">
        <v>#N/A Requesting Data...1940947972</v>
        <stp/>
        <stp>BDP|12473044957808040428</stp>
        <tr r="M1950" s="2"/>
      </tp>
      <tp t="s">
        <v>#N/A Requesting Data...2434988303</v>
        <stp/>
        <stp>BDP|11232830324378750872</stp>
        <tr r="J98" s="2"/>
      </tp>
      <tp t="s">
        <v>#N/A Requesting Data...1565879118</v>
        <stp/>
        <stp>BDP|13705075695272097309</stp>
        <tr r="A1235" s="2"/>
      </tp>
      <tp t="b">
        <v>0</v>
        <stp/>
        <stp>BDS|18269105585503200930</stp>
        <tr r="I2341" s="2"/>
      </tp>
      <tp t="s">
        <v>#N/A Requesting Data...1674803119</v>
        <stp/>
        <stp>BDP|11611500367719108050</stp>
        <tr r="D2268" s="2"/>
      </tp>
      <tp t="s">
        <v>#N/A Requesting Data...1860002334</v>
        <stp/>
        <stp>BDP|11877908317036802429</stp>
        <tr r="G1095" s="2"/>
      </tp>
      <tp t="s">
        <v>#N/A Requesting Data...2534164072</v>
        <stp/>
        <stp>BDP|15406640964447446955</stp>
        <tr r="K777" s="2"/>
      </tp>
      <tp t="s">
        <v>#N/A Requesting Data...1323451859</v>
        <stp/>
        <stp>BDP|13693961925147740478</stp>
        <tr r="H1215" s="2"/>
      </tp>
      <tp t="s">
        <v>#N/A Requesting Data...3712372135</v>
        <stp/>
        <stp>BDP|12978845133640964227</stp>
        <tr r="E32" s="2"/>
      </tp>
      <tp t="s">
        <v>#N/A Requesting Data...1128265518</v>
        <stp/>
        <stp>BDP|15147832456741353221</stp>
        <tr r="P2282" s="2"/>
      </tp>
      <tp t="s">
        <v>#N/A Requesting Data...1198854219</v>
        <stp/>
        <stp>BDP|11209800441446517031</stp>
        <tr r="Q1744" s="2"/>
      </tp>
      <tp t="s">
        <v>#N/A Requesting Data...1057071097</v>
        <stp/>
        <stp>BDP|17929724490644853661</stp>
        <tr r="J2046" s="2"/>
      </tp>
      <tp t="s">
        <v>#N/A Requesting Data...2615169454</v>
        <stp/>
        <stp>BDP|12698688976408436092</stp>
        <tr r="P2058" s="2"/>
      </tp>
      <tp t="s">
        <v>#N/A Requesting Data...2586361370</v>
        <stp/>
        <stp>BDP|13057839360952569428</stp>
        <tr r="H695" s="2"/>
      </tp>
      <tp t="s">
        <v>#N/A Requesting Data...1962835993</v>
        <stp/>
        <stp>BDP|15478056214137382823</stp>
        <tr r="H2460" s="2"/>
      </tp>
      <tp t="s">
        <v>#N/A Requesting Data...1741283859</v>
        <stp/>
        <stp>BDP|10404828424899388853</stp>
        <tr r="T1306" s="2"/>
      </tp>
      <tp t="b">
        <v>0</v>
        <stp/>
        <stp>BDS|11449436330448093505</stp>
        <tr r="I28" s="2"/>
      </tp>
      <tp t="b">
        <v>0</v>
        <stp/>
        <stp>BDS|16476817186955418802</stp>
        <tr r="I1194" s="2"/>
      </tp>
      <tp t="s">
        <v>#N/A Requesting Data...1827558282</v>
        <stp/>
        <stp>BDP|17710023238907806811</stp>
        <tr r="J679" s="2"/>
      </tp>
      <tp t="s">
        <v>#N/A Requesting Data...3736813654</v>
        <stp/>
        <stp>BDP|11188400063219278147</stp>
        <tr r="Q1510" s="2"/>
      </tp>
      <tp t="s">
        <v>#N/A Requesting Data...1084211824</v>
        <stp/>
        <stp>BDP|11584026913458158315</stp>
        <tr r="A109" s="2"/>
      </tp>
      <tp t="s">
        <v>#N/A Requesting Data...3353532331</v>
        <stp/>
        <stp>BDP|10985717433298777783</stp>
        <tr r="E1452" s="2"/>
      </tp>
      <tp t="s">
        <v>#N/A Requesting Data...3570885314</v>
        <stp/>
        <stp>BDP|10445828341527080038</stp>
        <tr r="A1423" s="2"/>
      </tp>
      <tp t="s">
        <v>#N/A Requesting Data...4114520974</v>
        <stp/>
        <stp>BDP|12685355078249817477</stp>
        <tr r="N591" s="2"/>
      </tp>
      <tp t="s">
        <v>#N/A Requesting Data...2544713071</v>
        <stp/>
        <stp>BDP|14543648394077626777</stp>
        <tr r="C48" s="2"/>
      </tp>
      <tp t="s">
        <v>#N/A Requesting Data...902175581</v>
        <stp/>
        <stp>BDP|16896730351298750796</stp>
        <tr r="K321" s="2"/>
      </tp>
      <tp t="s">
        <v>#N/A Requesting Data...1126434161</v>
        <stp/>
        <stp>BDP|16217209133108583409</stp>
        <tr r="T2497" s="2"/>
      </tp>
      <tp t="s">
        <v>#N/A Requesting Data...1121881457</v>
        <stp/>
        <stp>BDP|10681977534541654077</stp>
        <tr r="R1151" s="2"/>
      </tp>
      <tp t="s">
        <v>#N/A Requesting Data...1243030843</v>
        <stp/>
        <stp>BDP|12320766787805653301</stp>
        <tr r="H742" s="2"/>
      </tp>
      <tp t="s">
        <v>#N/A Requesting Data...748835167</v>
        <stp/>
        <stp>BDP|10337337684738283823</stp>
        <tr r="M677" s="2"/>
      </tp>
      <tp t="b">
        <v>0</v>
        <stp/>
        <stp>BDS|10444907877005493005</stp>
        <tr r="I327" s="2"/>
      </tp>
      <tp t="s">
        <v>#N/A Requesting Data...2421400105</v>
        <stp/>
        <stp>BDP|13427046251079728429</stp>
        <tr r="T568" s="2"/>
      </tp>
      <tp t="s">
        <v>#N/A Requesting Data...1644229763</v>
        <stp/>
        <stp>BDP|17714374042013480822</stp>
        <tr r="H1148" s="2"/>
      </tp>
      <tp t="s">
        <v>#N/A Requesting Data...1150753918</v>
        <stp/>
        <stp>BDP|15480674886378289838</stp>
        <tr r="S1440" s="2"/>
      </tp>
      <tp t="b">
        <v>0</v>
        <stp/>
        <stp>BDS|10291596419026511901</stp>
        <tr r="I1881" s="2"/>
      </tp>
      <tp t="s">
        <v>#N/A Requesting Data...2880564284</v>
        <stp/>
        <stp>BDP|13320816140631686504</stp>
        <tr r="P77" s="2"/>
      </tp>
      <tp t="s">
        <v>#N/A Requesting Data...2182826380</v>
        <stp/>
        <stp>BDP|17809926106716186394</stp>
        <tr r="J1422" s="2"/>
      </tp>
      <tp t="s">
        <v>#N/A Requesting Data...4163792349</v>
        <stp/>
        <stp>BDP|13771944053993478700</stp>
        <tr r="M1740" s="2"/>
      </tp>
      <tp t="s">
        <v>#N/A Requesting Data...785814670</v>
        <stp/>
        <stp>BDP|12482454736479711744</stp>
        <tr r="R812" s="2"/>
      </tp>
      <tp t="s">
        <v>#N/A Requesting Data...1358195699</v>
        <stp/>
        <stp>BDP|13432869492908665128</stp>
        <tr r="D1922" s="2"/>
      </tp>
      <tp t="s">
        <v>#N/A Requesting Data...3681168270</v>
        <stp/>
        <stp>BDP|18115579157624140746</stp>
        <tr r="G1525" s="2"/>
      </tp>
      <tp t="s">
        <v>#N/A Requesting Data...2613221108</v>
        <stp/>
        <stp>BDP|11066913636664039433</stp>
        <tr r="S1721" s="2"/>
      </tp>
      <tp t="s">
        <v>#N/A Requesting Data...2762706937</v>
        <stp/>
        <stp>BDP|14846891831784539012</stp>
        <tr r="Q1512" s="2"/>
      </tp>
      <tp t="s">
        <v>#N/A Requesting Data...3207507353</v>
        <stp/>
        <stp>BDP|11444560232759098549</stp>
        <tr r="O1717" s="2"/>
      </tp>
      <tp t="s">
        <v>#N/A Requesting Data...3895092270</v>
        <stp/>
        <stp>BDP|16117625796133659173</stp>
        <tr r="T2010" s="2"/>
      </tp>
      <tp t="s">
        <v>#N/A Requesting Data...3726041467</v>
        <stp/>
        <stp>BDP|15563904649947815409</stp>
        <tr r="O1093" s="2"/>
      </tp>
      <tp t="s">
        <v>#N/A Requesting Data...4005119928</v>
        <stp/>
        <stp>BDP|11237324184228172911</stp>
        <tr r="R1325" s="2"/>
      </tp>
      <tp t="s">
        <v>#N/A Requesting Data...1392267855</v>
        <stp/>
        <stp>BDP|17851443006701601982</stp>
        <tr r="G673" s="2"/>
      </tp>
      <tp t="s">
        <v>#N/A Requesting Data...3591041635</v>
        <stp/>
        <stp>BDP|15433371000898407538</stp>
        <tr r="M1844" s="2"/>
      </tp>
      <tp t="s">
        <v>#N/A Requesting Data...1386911918</v>
        <stp/>
        <stp>BDP|18442397627737648582</stp>
        <tr r="J1222" s="2"/>
      </tp>
      <tp t="s">
        <v>#N/A Requesting Data...751458321</v>
        <stp/>
        <stp>BDP|14075250687487165277</stp>
        <tr r="F890" s="2"/>
      </tp>
      <tp t="s">
        <v>#N/A Requesting Data...1832675472</v>
        <stp/>
        <stp>BDP|10856735097864189192</stp>
        <tr r="C2237" s="2"/>
      </tp>
      <tp t="b">
        <v>0</v>
        <stp/>
        <stp>BDS|10879510282746414083</stp>
        <tr r="I2004" s="2"/>
      </tp>
      <tp t="s">
        <v>#N/A Requesting Data...3260967287</v>
        <stp/>
        <stp>BDP|18038949786712164079</stp>
        <tr r="K2315" s="2"/>
      </tp>
      <tp t="s">
        <v>#N/A Requesting Data...3133096355</v>
        <stp/>
        <stp>BDP|13282438976572749943</stp>
        <tr r="G683" s="2"/>
      </tp>
      <tp t="s">
        <v>#N/A Requesting Data...2984102584</v>
        <stp/>
        <stp>BDP|11627217203089869181</stp>
        <tr r="S414" s="2"/>
      </tp>
      <tp t="s">
        <v>#N/A Requesting Data...2802149519</v>
        <stp/>
        <stp>BDP|17748742542057308864</stp>
        <tr r="A1301" s="2"/>
      </tp>
      <tp t="s">
        <v>#N/A Requesting Data...3908240547</v>
        <stp/>
        <stp>BDP|13562878684790794851</stp>
        <tr r="K232" s="2"/>
      </tp>
      <tp t="s">
        <v>#N/A Requesting Data...1381378483</v>
        <stp/>
        <stp>BDP|13865076869538714655</stp>
        <tr r="H1466" s="2"/>
      </tp>
      <tp t="s">
        <v>#N/A Requesting Data...2533648166</v>
        <stp/>
        <stp>BDP|11329712093491130546</stp>
        <tr r="C1480" s="2"/>
      </tp>
      <tp t="s">
        <v>#N/A Requesting Data...1217996770</v>
        <stp/>
        <stp>BDP|15717578095550091214</stp>
        <tr r="P2498" s="2"/>
      </tp>
      <tp t="s">
        <v>#N/A Requesting Data...1599934820</v>
        <stp/>
        <stp>BDP|17852167881631327486</stp>
        <tr r="M2172" s="2"/>
      </tp>
      <tp t="b">
        <v>0</v>
        <stp/>
        <stp>BDS|16575865846407403666</stp>
        <tr r="I1766" s="2"/>
      </tp>
      <tp t="s">
        <v>#N/A Requesting Data...845537517</v>
        <stp/>
        <stp>BDP|17247906977633464152</stp>
        <tr r="E1686" s="2"/>
      </tp>
      <tp t="s">
        <v>#N/A Requesting Data...2088695291</v>
        <stp/>
        <stp>BDP|13930325050026849872</stp>
        <tr r="K1306" s="2"/>
      </tp>
      <tp t="s">
        <v>#N/A Requesting Data...1330405410</v>
        <stp/>
        <stp>BDP|15756440319579695289</stp>
        <tr r="H674" s="2"/>
      </tp>
      <tp t="b">
        <v>0</v>
        <stp/>
        <stp>BDS|12622322344986108869</stp>
        <tr r="I908" s="2"/>
      </tp>
      <tp t="s">
        <v>#N/A Requesting Data...3106861349</v>
        <stp/>
        <stp>BDP|10824977689563448963</stp>
        <tr r="N493" s="2"/>
      </tp>
      <tp t="s">
        <v>#N/A Requesting Data...4104551934</v>
        <stp/>
        <stp>BDP|11288939132578616812</stp>
        <tr r="C2256" s="2"/>
      </tp>
      <tp t="s">
        <v>#N/A Requesting Data...1661146303</v>
        <stp/>
        <stp>BDP|15785428484626556404</stp>
        <tr r="H1987" s="2"/>
      </tp>
      <tp t="s">
        <v>#N/A Requesting Data...789138768</v>
        <stp/>
        <stp>BDP|13185595879943641936</stp>
        <tr r="S2094" s="2"/>
      </tp>
      <tp t="s">
        <v>#N/A Requesting Data...917883905</v>
        <stp/>
        <stp>BDP|10906987570283550606</stp>
        <tr r="D150" s="2"/>
      </tp>
      <tp t="s">
        <v>#N/A Requesting Data...2388170034</v>
        <stp/>
        <stp>BDP|15223830204843595545</stp>
        <tr r="S320" s="2"/>
      </tp>
      <tp t="s">
        <v>#N/A Requesting Data...1583339321</v>
        <stp/>
        <stp>BDP|16653578737863072824</stp>
        <tr r="C1815" s="2"/>
      </tp>
      <tp t="s">
        <v>#N/A Requesting Data...3349414158</v>
        <stp/>
        <stp>BDP|10635432912216442872</stp>
        <tr r="K760" s="2"/>
      </tp>
      <tp t="s">
        <v>#N/A Requesting Data...1253753230</v>
        <stp/>
        <stp>BDP|13388098789145505524</stp>
        <tr r="Q2201" s="2"/>
      </tp>
      <tp t="s">
        <v>#N/A Requesting Data...3383993672</v>
        <stp/>
        <stp>BDP|14314701321773437921</stp>
        <tr r="Q1389" s="2"/>
      </tp>
      <tp t="s">
        <v>#N/A Requesting Data...3239007160</v>
        <stp/>
        <stp>BDP|15451420213072616971</stp>
        <tr r="H1074" s="2"/>
      </tp>
      <tp t="s">
        <v>#N/A Requesting Data...1274782241</v>
        <stp/>
        <stp>BDP|10415719515358598516</stp>
        <tr r="F2081" s="2"/>
      </tp>
      <tp t="s">
        <v>#N/A Requesting Data...4227410019</v>
        <stp/>
        <stp>BDP|17098464578747997837</stp>
        <tr r="F1026" s="2"/>
      </tp>
      <tp t="b">
        <v>0</v>
        <stp/>
        <stp>BDS|17957397006756829993</stp>
        <tr r="I2108" s="2"/>
      </tp>
      <tp t="s">
        <v>#N/A Requesting Data...3771952137</v>
        <stp/>
        <stp>BDP|14366247993535108110</stp>
        <tr r="E2062" s="2"/>
      </tp>
      <tp t="s">
        <v>#N/A Requesting Data...3277837576</v>
        <stp/>
        <stp>BDP|18089625055573749348</stp>
        <tr r="E324" s="2"/>
      </tp>
      <tp t="s">
        <v>#N/A Requesting Data...3786399893</v>
        <stp/>
        <stp>BDP|14142663224163557827</stp>
        <tr r="A1189" s="2"/>
      </tp>
      <tp t="s">
        <v>#N/A Requesting Data...1245306971</v>
        <stp/>
        <stp>BDP|17401906201330990588</stp>
        <tr r="S2147" s="2"/>
      </tp>
      <tp t="s">
        <v>#N/A Requesting Data...3328491479</v>
        <stp/>
        <stp>BDP|16716208091344461268</stp>
        <tr r="R1051" s="2"/>
      </tp>
      <tp t="s">
        <v>#N/A Requesting Data...3247532385</v>
        <stp/>
        <stp>BDP|14769419425038564112</stp>
        <tr r="H1492" s="2"/>
      </tp>
      <tp t="s">
        <v>#N/A Requesting Data...3397515768</v>
        <stp/>
        <stp>BDP|18260439226401992499</stp>
        <tr r="O2415" s="2"/>
      </tp>
      <tp t="s">
        <v>#N/A Requesting Data...1528484111</v>
        <stp/>
        <stp>BDP|12576523907138186467</stp>
        <tr r="M1827" s="2"/>
      </tp>
      <tp t="s">
        <v>#N/A Requesting Data...4048195289</v>
        <stp/>
        <stp>BDP|10067878822724768555</stp>
        <tr r="K2167" s="2"/>
      </tp>
      <tp t="s">
        <v>#N/A Requesting Data...3359069710</v>
        <stp/>
        <stp>BDP|12297140985578419807</stp>
        <tr r="H1989" s="2"/>
      </tp>
      <tp t="b">
        <v>0</v>
        <stp/>
        <stp>BDS|15693280458610306915</stp>
        <tr r="I1683" s="2"/>
      </tp>
      <tp t="s">
        <v>#N/A Requesting Data...946130662</v>
        <stp/>
        <stp>BDP|17398902422764328354</stp>
        <tr r="J1789" s="2"/>
      </tp>
      <tp t="s">
        <v>#N/A Requesting Data...2923242681</v>
        <stp/>
        <stp>BDP|16581901453220568144</stp>
        <tr r="D1065" s="2"/>
      </tp>
      <tp t="s">
        <v>#N/A Requesting Data...3487890598</v>
        <stp/>
        <stp>BDP|10099820675715070100</stp>
        <tr r="P1779" s="2"/>
      </tp>
      <tp t="s">
        <v>#N/A Requesting Data...1631325977</v>
        <stp/>
        <stp>BDP|10514794802875172983</stp>
        <tr r="C340" s="2"/>
      </tp>
      <tp t="s">
        <v>#N/A Requesting Data...2784033616</v>
        <stp/>
        <stp>BDP|10423024431660289821</stp>
        <tr r="H1550" s="2"/>
      </tp>
      <tp t="b">
        <v>0</v>
        <stp/>
        <stp>BDS|10836942513410999325</stp>
        <tr r="I1934" s="2"/>
      </tp>
      <tp t="s">
        <v>#N/A Requesting Data...2189609500</v>
        <stp/>
        <stp>BDP|11018115994667693542</stp>
        <tr r="F219" s="2"/>
      </tp>
      <tp t="s">
        <v>#N/A Requesting Data...4228314256</v>
        <stp/>
        <stp>BDP|16367178582721652575</stp>
        <tr r="C147" s="2"/>
      </tp>
      <tp t="s">
        <v>#N/A Requesting Data...3148889434</v>
        <stp/>
        <stp>BDP|15426939531015629171</stp>
        <tr r="Q2216" s="2"/>
      </tp>
      <tp t="s">
        <v>#N/A Requesting Data...3369785092</v>
        <stp/>
        <stp>BDP|15284927884986773949</stp>
        <tr r="O469" s="2"/>
      </tp>
      <tp t="s">
        <v>#N/A Requesting Data...1778447846</v>
        <stp/>
        <stp>BDP|17383916676133077130</stp>
        <tr r="H1250" s="2"/>
      </tp>
      <tp t="s">
        <v>#N/A Requesting Data...2760105798</v>
        <stp/>
        <stp>BDP|15375827709905800371</stp>
        <tr r="H679" s="2"/>
      </tp>
      <tp t="s">
        <v>#N/A Requesting Data...2210266099</v>
        <stp/>
        <stp>BDP|16995501689991782106</stp>
        <tr r="H62" s="2"/>
      </tp>
      <tp t="s">
        <v>#N/A Requesting Data...1512404200</v>
        <stp/>
        <stp>BDP|16100560593966041732</stp>
        <tr r="M623" s="2"/>
      </tp>
      <tp t="s">
        <v>#N/A Requesting Data...2808787169</v>
        <stp/>
        <stp>BDP|13479523777722450828</stp>
        <tr r="C418" s="2"/>
      </tp>
      <tp t="s">
        <v>#N/A Requesting Data...2765247324</v>
        <stp/>
        <stp>BDP|12609989478660300721</stp>
        <tr r="Q838" s="2"/>
      </tp>
      <tp t="s">
        <v>#N/A Requesting Data...931722070</v>
        <stp/>
        <stp>BDP|11584096838809786040</stp>
        <tr r="H404" s="2"/>
      </tp>
      <tp t="s">
        <v>#N/A Requesting Data...2147615170</v>
        <stp/>
        <stp>BDP|14895850271029362981</stp>
        <tr r="M813" s="2"/>
      </tp>
      <tp t="s">
        <v>#N/A Requesting Data...4143407001</v>
        <stp/>
        <stp>BDP|14930789598752777394</stp>
        <tr r="T591" s="2"/>
      </tp>
      <tp t="s">
        <v>#N/A Requesting Data...2050581178</v>
        <stp/>
        <stp>BDP|13061510297734683077</stp>
        <tr r="M1342" s="2"/>
      </tp>
      <tp t="s">
        <v>#N/A Requesting Data...1211500200</v>
        <stp/>
        <stp>BDP|15371611414939543046</stp>
        <tr r="K2049" s="2"/>
      </tp>
      <tp t="s">
        <v>#N/A Requesting Data...4096477059</v>
        <stp/>
        <stp>BDP|18321610843998565930</stp>
        <tr r="A883" s="2"/>
      </tp>
      <tp t="s">
        <v>#N/A Requesting Data...3229188529</v>
        <stp/>
        <stp>BDP|11080786088340355545</stp>
        <tr r="E1504" s="2"/>
      </tp>
      <tp t="s">
        <v>#N/A Requesting Data...2502056795</v>
        <stp/>
        <stp>BDP|10347050207873712810</stp>
        <tr r="E113" s="2"/>
      </tp>
      <tp t="s">
        <v>#N/A Requesting Data...2607920997</v>
        <stp/>
        <stp>BDP|11400230686952511235</stp>
        <tr r="A2381" s="2"/>
      </tp>
      <tp t="s">
        <v>#N/A Requesting Data...3628205051</v>
        <stp/>
        <stp>BDP|17397727203443275871</stp>
        <tr r="P1710" s="2"/>
      </tp>
      <tp t="s">
        <v>#N/A Requesting Data...2970449922</v>
        <stp/>
        <stp>BDP|15263354480142173718</stp>
        <tr r="O1955" s="2"/>
      </tp>
      <tp t="s">
        <v>#N/A Requesting Data...2429306480</v>
        <stp/>
        <stp>BDP|15262496989987531506</stp>
        <tr r="T2506" s="2"/>
      </tp>
      <tp t="s">
        <v>#N/A Requesting Data...3467722429</v>
        <stp/>
        <stp>BDP|17230549942715067838</stp>
        <tr r="P2207" s="2"/>
      </tp>
      <tp t="s">
        <v>#N/A Requesting Data...4138354051</v>
        <stp/>
        <stp>BDP|14644337221487060932</stp>
        <tr r="M2051" s="2"/>
      </tp>
      <tp t="s">
        <v>#N/A Requesting Data...3700038044</v>
        <stp/>
        <stp>BDP|13097792671981713980</stp>
        <tr r="A2169" s="2"/>
      </tp>
      <tp t="s">
        <v>#N/A Requesting Data...3899352254</v>
        <stp/>
        <stp>BDP|14887826236365889136</stp>
        <tr r="T2453" s="2"/>
      </tp>
      <tp t="s">
        <v>#N/A Requesting Data...3412149877</v>
        <stp/>
        <stp>BDP|15700933601951610648</stp>
        <tr r="E2390" s="2"/>
      </tp>
      <tp t="s">
        <v>#N/A Requesting Data...2907728166</v>
        <stp/>
        <stp>BDP|12837814617672101283</stp>
        <tr r="Q1951" s="2"/>
      </tp>
      <tp t="s">
        <v>#N/A Requesting Data...2820435882</v>
        <stp/>
        <stp>BDP|15571211472429670277</stp>
        <tr r="P1316" s="2"/>
      </tp>
      <tp t="s">
        <v>#N/A Requesting Data...2144648868</v>
        <stp/>
        <stp>BDP|17287831064454494666</stp>
        <tr r="T1620" s="2"/>
      </tp>
      <tp t="s">
        <v>#N/A Requesting Data...3305975728</v>
        <stp/>
        <stp>BDP|13236085694149944801</stp>
        <tr r="K1131" s="2"/>
      </tp>
      <tp t="s">
        <v>#N/A Requesting Data...1655344042</v>
        <stp/>
        <stp>BDP|10695705551548580150</stp>
        <tr r="R2499" s="2"/>
      </tp>
      <tp t="s">
        <v>#N/A Requesting Data...3621661158</v>
        <stp/>
        <stp>BDP|14675563577304119916</stp>
        <tr r="H1991" s="2"/>
      </tp>
      <tp t="s">
        <v>#N/A Requesting Data...3259005033</v>
        <stp/>
        <stp>BDP|18391549917777327042</stp>
        <tr r="D723" s="2"/>
      </tp>
      <tp t="s">
        <v>#N/A Requesting Data...1509929863</v>
        <stp/>
        <stp>BDP|15355670797728546911</stp>
        <tr r="F2417" s="2"/>
      </tp>
      <tp t="s">
        <v>#N/A Requesting Data...3645451168</v>
        <stp/>
        <stp>BDP|17611258095670890791</stp>
        <tr r="A1092" s="2"/>
      </tp>
      <tp t="s">
        <v>#N/A Requesting Data...3190321400</v>
        <stp/>
        <stp>BDP|14351932623054013041</stp>
        <tr r="Q325" s="2"/>
      </tp>
      <tp t="s">
        <v>#N/A Requesting Data...2993440936</v>
        <stp/>
        <stp>BDP|11573874123584518430</stp>
        <tr r="D2149" s="2"/>
      </tp>
      <tp t="s">
        <v>#N/A Requesting Data...3490460141</v>
        <stp/>
        <stp>BDP|14105716664408771642</stp>
        <tr r="J114" s="2"/>
      </tp>
      <tp t="s">
        <v>#N/A Requesting Data...3487068887</v>
        <stp/>
        <stp>BDP|17908647725428754080</stp>
        <tr r="D1237" s="2"/>
      </tp>
      <tp t="s">
        <v>#N/A Requesting Data...1006659674</v>
        <stp/>
        <stp>BDP|11355137550647726900</stp>
        <tr r="C314" s="2"/>
      </tp>
      <tp t="s">
        <v>#N/A Requesting Data...1554122724</v>
        <stp/>
        <stp>BDP|12662648935748393435</stp>
        <tr r="M1362" s="2"/>
      </tp>
      <tp t="s">
        <v>#N/A Requesting Data...3643655848</v>
        <stp/>
        <stp>BDP|15365645881343006315</stp>
        <tr r="J1020" s="2"/>
      </tp>
      <tp t="s">
        <v>#N/A Requesting Data...4249937859</v>
        <stp/>
        <stp>BDP|13433941541382266742</stp>
        <tr r="J2048" s="2"/>
      </tp>
      <tp t="s">
        <v>#N/A Requesting Data...3090431305</v>
        <stp/>
        <stp>BDP|11016101006649339220</stp>
        <tr r="H548" s="2"/>
      </tp>
      <tp t="s">
        <v>#N/A Requesting Data...2885309478</v>
        <stp/>
        <stp>BDP|13077313213148265276</stp>
        <tr r="P645" s="2"/>
      </tp>
      <tp t="s">
        <v>#N/A Requesting Data...1009424534</v>
        <stp/>
        <stp>BDP|10467957098313920875</stp>
        <tr r="N1006" s="2"/>
      </tp>
      <tp t="s">
        <v>#N/A Requesting Data...4155166705</v>
        <stp/>
        <stp>BDP|14623306684253560705</stp>
        <tr r="M59" s="2"/>
      </tp>
      <tp t="s">
        <v>#N/A Requesting Data...1273107693</v>
        <stp/>
        <stp>BDP|15717853478827875659</stp>
        <tr r="M957" s="2"/>
      </tp>
      <tp t="s">
        <v>#N/A Requesting Data...2785841115</v>
        <stp/>
        <stp>BDP|14596143032928099551</stp>
        <tr r="C2114" s="2"/>
      </tp>
      <tp t="s">
        <v>#N/A Requesting Data...4052752810</v>
        <stp/>
        <stp>BDP|18205749120497527154</stp>
        <tr r="K922" s="2"/>
      </tp>
      <tp t="s">
        <v>#N/A Requesting Data...2395987086</v>
        <stp/>
        <stp>BDP|11472021784867677522</stp>
        <tr r="E638" s="2"/>
      </tp>
      <tp t="s">
        <v>#N/A Requesting Data...1348078630</v>
        <stp/>
        <stp>BDP|15006473120959684179</stp>
        <tr r="K1026" s="2"/>
      </tp>
      <tp t="s">
        <v>#N/A Requesting Data...1895344010</v>
        <stp/>
        <stp>BDP|16937590383323489312</stp>
        <tr r="R2141" s="2"/>
      </tp>
      <tp t="s">
        <v>#N/A Requesting Data...2238119447</v>
        <stp/>
        <stp>BDP|16964348519298013727</stp>
        <tr r="R765" s="2"/>
      </tp>
      <tp t="s">
        <v>#N/A Requesting Data...2623708780</v>
        <stp/>
        <stp>BDP|10213069347636207974</stp>
        <tr r="J94" s="2"/>
      </tp>
      <tp t="s">
        <v>#N/A Requesting Data...2857210797</v>
        <stp/>
        <stp>BDP|13598936226274300754</stp>
        <tr r="K2007" s="2"/>
      </tp>
      <tp t="s">
        <v>#N/A Requesting Data...3899020837</v>
        <stp/>
        <stp>BDP|14706877675974168421</stp>
        <tr r="N2462" s="2"/>
      </tp>
      <tp t="s">
        <v>#N/A Requesting Data...3588671479</v>
        <stp/>
        <stp>BDP|13278072181899618945</stp>
        <tr r="O345" s="2"/>
      </tp>
      <tp t="s">
        <v>#N/A Requesting Data...1768686997</v>
        <stp/>
        <stp>BDP|15077474493673080024</stp>
        <tr r="K266" s="2"/>
      </tp>
      <tp t="s">
        <v>#N/A Requesting Data...4121879869</v>
        <stp/>
        <stp>BDP|17868154690263299790</stp>
        <tr r="J978" s="2"/>
      </tp>
      <tp t="s">
        <v>#N/A Requesting Data...2021192293</v>
        <stp/>
        <stp>BDP|13485162103109528021</stp>
        <tr r="R2312" s="2"/>
      </tp>
      <tp t="s">
        <v>#N/A Requesting Data...1567432164</v>
        <stp/>
        <stp>BDP|10309884611106454488</stp>
        <tr r="S1469" s="2"/>
      </tp>
      <tp t="b">
        <v>0</v>
        <stp/>
        <stp>BDS|11302371526189488230</stp>
        <tr r="I1847" s="2"/>
      </tp>
      <tp t="s">
        <v>#N/A Requesting Data...2139082352</v>
        <stp/>
        <stp>BDP|17983715735479851134</stp>
        <tr r="C1548" s="2"/>
      </tp>
      <tp t="s">
        <v>#N/A Requesting Data...2453222420</v>
        <stp/>
        <stp>BDP|11192411571391013875</stp>
        <tr r="J2" s="2"/>
      </tp>
      <tp t="s">
        <v>#N/A Requesting Data...3568098400</v>
        <stp/>
        <stp>BDP|10655625501354449978</stp>
        <tr r="J2021" s="2"/>
      </tp>
      <tp t="s">
        <v>#N/A Requesting Data...4111761513</v>
        <stp/>
        <stp>BDP|13453672981913187559</stp>
        <tr r="S1057" s="2"/>
      </tp>
      <tp t="s">
        <v>#N/A Requesting Data...3691544197</v>
        <stp/>
        <stp>BDP|11831987401180632319</stp>
        <tr r="H1422" s="2"/>
      </tp>
      <tp t="s">
        <v>#N/A Requesting Data...3664102924</v>
        <stp/>
        <stp>BDP|17683634745897595932</stp>
        <tr r="N218" s="2"/>
      </tp>
      <tp t="s">
        <v>#N/A Requesting Data...2569236770</v>
        <stp/>
        <stp>BDP|12047675454219298375</stp>
        <tr r="Q2005" s="2"/>
      </tp>
      <tp t="s">
        <v>#N/A Requesting Data...3747681395</v>
        <stp/>
        <stp>BDP|13364379520758202107</stp>
        <tr r="P2316" s="2"/>
      </tp>
      <tp t="s">
        <v>#N/A Requesting Data...1629456357</v>
        <stp/>
        <stp>BDP|18035645517630062459</stp>
        <tr r="J1760" s="2"/>
      </tp>
      <tp t="s">
        <v>#N/A Requesting Data...2547801187</v>
        <stp/>
        <stp>BDP|14555366531208080746</stp>
        <tr r="G1446" s="2"/>
      </tp>
      <tp t="s">
        <v>#N/A Requesting Data...2798369228</v>
        <stp/>
        <stp>BDP|18375038541532203555</stp>
        <tr r="H2" s="2"/>
      </tp>
      <tp t="s">
        <v>#N/A Requesting Data...1662122665</v>
        <stp/>
        <stp>BDP|14511586980072393080</stp>
        <tr r="H2397" s="2"/>
      </tp>
      <tp t="b">
        <v>0</v>
        <stp/>
        <stp>BDS|12808829139523157177</stp>
        <tr r="I1778" s="2"/>
      </tp>
      <tp t="s">
        <v>#N/A Requesting Data...1123174940</v>
        <stp/>
        <stp>BDP|17700392946968806365</stp>
        <tr r="G500" s="2"/>
      </tp>
      <tp t="s">
        <v>#N/A Requesting Data...4206464682</v>
        <stp/>
        <stp>BDP|13935289315023640840</stp>
        <tr r="T2446" s="2"/>
      </tp>
      <tp t="s">
        <v>#N/A Requesting Data...2600997376</v>
        <stp/>
        <stp>BDP|12852754841842808827</stp>
        <tr r="C1964" s="2"/>
      </tp>
      <tp t="s">
        <v>#N/A Requesting Data...2147390488</v>
        <stp/>
        <stp>BDP|10754071007922154906</stp>
        <tr r="M787" s="2"/>
      </tp>
      <tp t="s">
        <v>#N/A Requesting Data...3243303986</v>
        <stp/>
        <stp>BDP|16390759735229299076</stp>
        <tr r="G2025" s="2"/>
      </tp>
      <tp t="s">
        <v>#N/A Requesting Data...3484738584</v>
        <stp/>
        <stp>BDP|12178174840338386435</stp>
        <tr r="R2058" s="2"/>
      </tp>
      <tp t="b">
        <v>0</v>
        <stp/>
        <stp>BDS|18410130994842568932</stp>
        <tr r="I983" s="2"/>
      </tp>
      <tp t="s">
        <v>#N/A Requesting Data...4209257417</v>
        <stp/>
        <stp>BDP|11182114651136248855</stp>
        <tr r="D1529" s="2"/>
      </tp>
      <tp t="s">
        <v>#N/A Requesting Data...2657468468</v>
        <stp/>
        <stp>BDP|12121636199784997246</stp>
        <tr r="S544" s="2"/>
      </tp>
      <tp t="s">
        <v>#N/A Requesting Data...1372442468</v>
        <stp/>
        <stp>BDP|12182950053242058713</stp>
        <tr r="M1758" s="2"/>
      </tp>
      <tp t="s">
        <v>#N/A Requesting Data...3326683672</v>
        <stp/>
        <stp>BDP|14280491178589478517</stp>
        <tr r="K1529" s="2"/>
      </tp>
      <tp t="s">
        <v>#N/A Requesting Data...2391516344</v>
        <stp/>
        <stp>BDP|12762107921608207224</stp>
        <tr r="G1259" s="2"/>
      </tp>
      <tp t="s">
        <v>#N/A Requesting Data...3857153082</v>
        <stp/>
        <stp>BDP|12121140886334615433</stp>
        <tr r="J418" s="2"/>
      </tp>
      <tp t="s">
        <v>#N/A Requesting Data...1109135615</v>
        <stp/>
        <stp>BDP|11160487341952936878</stp>
        <tr r="S2245" s="2"/>
      </tp>
      <tp t="s">
        <v>#N/A Requesting Data...2284564212</v>
        <stp/>
        <stp>BDP|16820826668436455506</stp>
        <tr r="S1099" s="2"/>
      </tp>
      <tp t="s">
        <v>#N/A Requesting Data...2465685953</v>
        <stp/>
        <stp>BDP|14971166219197708873</stp>
        <tr r="C1407" s="2"/>
      </tp>
      <tp t="s">
        <v>#N/A Requesting Data...1974401654</v>
        <stp/>
        <stp>BDP|15146263791383157613</stp>
        <tr r="D1227" s="2"/>
      </tp>
      <tp t="s">
        <v>#N/A Requesting Data...3708248770</v>
        <stp/>
        <stp>BDP|15781408194114061755</stp>
        <tr r="M2206" s="2"/>
      </tp>
      <tp t="s">
        <v>#N/A Requesting Data...3606115675</v>
        <stp/>
        <stp>BDP|16925301505196954836</stp>
        <tr r="K252" s="2"/>
      </tp>
      <tp t="s">
        <v>#N/A Requesting Data...1540418884</v>
        <stp/>
        <stp>BDP|12232700801937197942</stp>
        <tr r="A2104" s="2"/>
      </tp>
      <tp t="s">
        <v>#N/A Requesting Data...1488348500</v>
        <stp/>
        <stp>BDP|10943755383016124282</stp>
        <tr r="T1111" s="2"/>
      </tp>
      <tp t="s">
        <v>#N/A Requesting Data...2609405302</v>
        <stp/>
        <stp>BDP|12751388391635824608</stp>
        <tr r="Q2324" s="2"/>
      </tp>
      <tp t="s">
        <v>#N/A Requesting Data...1422076467</v>
        <stp/>
        <stp>BDP|15161125105207414841</stp>
        <tr r="J156" s="2"/>
      </tp>
      <tp t="s">
        <v>#N/A Requesting Data...3915932708</v>
        <stp/>
        <stp>BDP|12404188485563781384</stp>
        <tr r="S1176" s="2"/>
      </tp>
      <tp t="b">
        <v>0</v>
        <stp/>
        <stp>BDS|17241815955684736545</stp>
        <tr r="I838" s="2"/>
      </tp>
      <tp t="s">
        <v>#N/A Requesting Data...4283410443</v>
        <stp/>
        <stp>BDP|12549274000908188350</stp>
        <tr r="S736" s="2"/>
      </tp>
      <tp t="s">
        <v>#N/A Requesting Data...1161737068</v>
        <stp/>
        <stp>BDP|12470641286540378734</stp>
        <tr r="J502" s="2"/>
      </tp>
      <tp t="b">
        <v>0</v>
        <stp/>
        <stp>BDS|12793737121984904897</stp>
        <tr r="I59" s="2"/>
      </tp>
      <tp t="s">
        <v>#N/A Requesting Data...2282389134</v>
        <stp/>
        <stp>BDP|13420724603706581969</stp>
        <tr r="E1908" s="2"/>
      </tp>
      <tp t="s">
        <v>#N/A Requesting Data...1821020404</v>
        <stp/>
        <stp>BDP|13721114284238767932</stp>
        <tr r="F1189" s="2"/>
      </tp>
      <tp t="s">
        <v>#N/A Requesting Data...3821791905</v>
        <stp/>
        <stp>BDP|14493221534947340975</stp>
        <tr r="Q12" s="2"/>
      </tp>
      <tp t="s">
        <v>#N/A Requesting Data...3804275234</v>
        <stp/>
        <stp>BDP|10340152548986180890</stp>
        <tr r="M1455" s="2"/>
      </tp>
      <tp t="s">
        <v>#N/A Requesting Data...1349093174</v>
        <stp/>
        <stp>BDP|14771703718571111887</stp>
        <tr r="G2135" s="2"/>
      </tp>
      <tp t="s">
        <v>#N/A Requesting Data...4021374008</v>
        <stp/>
        <stp>BDP|11240868613450171308</stp>
        <tr r="R805" s="2"/>
      </tp>
      <tp t="s">
        <v>#N/A Requesting Data...1623396980</v>
        <stp/>
        <stp>BDP|15601805135320020553</stp>
        <tr r="F2113" s="2"/>
      </tp>
      <tp t="s">
        <v>#N/A Requesting Data...1410654553</v>
        <stp/>
        <stp>BDP|17640148083185337048</stp>
        <tr r="S2339" s="2"/>
      </tp>
      <tp t="s">
        <v>#N/A Requesting Data...1489550745</v>
        <stp/>
        <stp>BDP|12148561562738277213</stp>
        <tr r="O2468" s="2"/>
      </tp>
      <tp t="s">
        <v>#N/A Requesting Data...3092810781</v>
        <stp/>
        <stp>BDP|15456404210762599979</stp>
        <tr r="H580" s="2"/>
      </tp>
      <tp t="s">
        <v>#N/A Requesting Data...2423402189</v>
        <stp/>
        <stp>BDP|18263670933910800689</stp>
        <tr r="T47" s="2"/>
      </tp>
      <tp t="s">
        <v>#N/A Requesting Data...1755247188</v>
        <stp/>
        <stp>BDP|14164528188974858654</stp>
        <tr r="S1146" s="2"/>
      </tp>
      <tp t="s">
        <v>#N/A Requesting Data...4089461822</v>
        <stp/>
        <stp>BDP|10046984311246657591</stp>
        <tr r="O1741" s="2"/>
      </tp>
      <tp t="s">
        <v>#N/A Requesting Data...1905425729</v>
        <stp/>
        <stp>BDP|16636904037392709502</stp>
        <tr r="R2090" s="2"/>
      </tp>
      <tp t="s">
        <v>#N/A Requesting Data...3050896661</v>
        <stp/>
        <stp>BDP|11397424422968777425</stp>
        <tr r="D2060" s="2"/>
      </tp>
      <tp t="s">
        <v>#N/A Requesting Data...1714795499</v>
        <stp/>
        <stp>BDP|16965002084431374481</stp>
        <tr r="S1876" s="2"/>
      </tp>
      <tp t="s">
        <v>#N/A Requesting Data...3794501711</v>
        <stp/>
        <stp>BDP|16967221666281372887</stp>
        <tr r="H1348" s="2"/>
      </tp>
      <tp t="s">
        <v>#N/A Requesting Data...4127861904</v>
        <stp/>
        <stp>BDP|10897958481639277385</stp>
        <tr r="E2294" s="2"/>
      </tp>
      <tp t="s">
        <v>#N/A Requesting Data...3813672198</v>
        <stp/>
        <stp>BDP|11686919985183251860</stp>
        <tr r="K1057" s="2"/>
      </tp>
      <tp t="s">
        <v>#N/A Requesting Data...2471777955</v>
        <stp/>
        <stp>BDP|13078638998170580783</stp>
        <tr r="F1207" s="2"/>
      </tp>
      <tp t="b">
        <v>0</v>
        <stp/>
        <stp>BDS|14640029642332693952</stp>
        <tr r="I2092" s="2"/>
      </tp>
      <tp t="s">
        <v>#N/A Requesting Data...1699761248</v>
        <stp/>
        <stp>BDP|14106674502560037927</stp>
        <tr r="P1530" s="2"/>
      </tp>
      <tp t="s">
        <v>#N/A Requesting Data...4225107916</v>
        <stp/>
        <stp>BDP|13568435787853296756</stp>
        <tr r="P2390" s="2"/>
      </tp>
      <tp t="s">
        <v>#N/A Requesting Data...2848612197</v>
        <stp/>
        <stp>BDP|12409016584249780808</stp>
        <tr r="T8" s="2"/>
      </tp>
      <tp t="s">
        <v>#N/A Requesting Data...4037526339</v>
        <stp/>
        <stp>BDP|17818504499321426130</stp>
        <tr r="G1936" s="2"/>
      </tp>
      <tp t="s">
        <v>#N/A Requesting Data...2914555878</v>
        <stp/>
        <stp>BDP|12088265033901433973</stp>
        <tr r="N425" s="2"/>
      </tp>
      <tp t="s">
        <v>#N/A Requesting Data...1763258105</v>
        <stp/>
        <stp>BDP|11581806183958941297</stp>
        <tr r="M2441" s="2"/>
      </tp>
      <tp t="s">
        <v>#N/A Requesting Data...2581386095</v>
        <stp/>
        <stp>BDP|11985250317878139238</stp>
        <tr r="Q151" s="2"/>
      </tp>
      <tp t="s">
        <v>#N/A Requesting Data...3762668932</v>
        <stp/>
        <stp>BDP|18234395363835020017</stp>
        <tr r="P1173" s="2"/>
      </tp>
      <tp t="s">
        <v>#N/A Requesting Data...1786857528</v>
        <stp/>
        <stp>BDP|10307238734171907842</stp>
        <tr r="P834" s="2"/>
      </tp>
      <tp t="s">
        <v>#N/A Requesting Data...2254809286</v>
        <stp/>
        <stp>BDP|14884974132371350771</stp>
        <tr r="F954" s="2"/>
      </tp>
      <tp t="s">
        <v>#N/A Requesting Data...3802600905</v>
        <stp/>
        <stp>BDP|12669494522338597412</stp>
        <tr r="S810" s="2"/>
      </tp>
      <tp t="s">
        <v>#N/A Requesting Data...2734428387</v>
        <stp/>
        <stp>BDP|14838676897590388322</stp>
        <tr r="N255" s="2"/>
      </tp>
      <tp t="s">
        <v>#N/A Requesting Data...1287311628</v>
        <stp/>
        <stp>BDP|15969210460560609979</stp>
        <tr r="A2465" s="2"/>
      </tp>
      <tp t="b">
        <v>0</v>
        <stp/>
        <stp>BDS|16922064600146782825</stp>
        <tr r="I1909" s="2"/>
      </tp>
      <tp t="s">
        <v>#N/A Requesting Data...4011692784</v>
        <stp/>
        <stp>BDP|15190804437603678595</stp>
        <tr r="R616" s="2"/>
      </tp>
      <tp t="s">
        <v>#N/A Requesting Data...3821916128</v>
        <stp/>
        <stp>BDP|10889751507306545967</stp>
        <tr r="G216" s="2"/>
      </tp>
      <tp t="s">
        <v>#N/A Requesting Data...2458466737</v>
        <stp/>
        <stp>BDP|17660874139805079114</stp>
        <tr r="H1853" s="2"/>
      </tp>
      <tp t="s">
        <v>#N/A Requesting Data...3322360727</v>
        <stp/>
        <stp>BDP|12671354929453686856</stp>
        <tr r="A578" s="2"/>
      </tp>
      <tp t="s">
        <v>#N/A Requesting Data...2390307555</v>
        <stp/>
        <stp>BDP|13045086883657652448</stp>
        <tr r="P1510" s="2"/>
      </tp>
      <tp t="s">
        <v>#N/A Requesting Data...2844324411</v>
        <stp/>
        <stp>BDP|18279257821690782087</stp>
        <tr r="Q50" s="2"/>
      </tp>
      <tp t="s">
        <v>#N/A Requesting Data...2389210371</v>
        <stp/>
        <stp>BDP|10137984944432689722</stp>
        <tr r="G558" s="2"/>
      </tp>
      <tp t="s">
        <v>#N/A Requesting Data...3588371458</v>
        <stp/>
        <stp>BDP|15978663386570710378</stp>
        <tr r="N812" s="2"/>
      </tp>
      <tp t="s">
        <v>#N/A Requesting Data...2684752680</v>
        <stp/>
        <stp>BDP|12623863438525240438</stp>
        <tr r="S499" s="2"/>
      </tp>
      <tp t="s">
        <v>#N/A Requesting Data...3621312804</v>
        <stp/>
        <stp>BDP|15741795266958781468</stp>
        <tr r="D1445" s="2"/>
      </tp>
      <tp t="s">
        <v>#N/A Requesting Data...2871801706</v>
        <stp/>
        <stp>BDP|14401686193720369358</stp>
        <tr r="E2060" s="2"/>
      </tp>
      <tp t="s">
        <v>#N/A Requesting Data...1999528419</v>
        <stp/>
        <stp>BDP|16677181465928315110</stp>
        <tr r="Q812" s="2"/>
      </tp>
      <tp t="s">
        <v>#N/A Requesting Data...3966579555</v>
        <stp/>
        <stp>BDP|14995415969706072881</stp>
        <tr r="O2080" s="2"/>
      </tp>
      <tp t="s">
        <v>#N/A Requesting Data...3768815988</v>
        <stp/>
        <stp>BDP|13620235938949038340</stp>
        <tr r="S183" s="2"/>
      </tp>
      <tp t="s">
        <v>#N/A Requesting Data...2356965184</v>
        <stp/>
        <stp>BDP|14504152507138860568</stp>
        <tr r="C311" s="2"/>
      </tp>
      <tp t="s">
        <v>#N/A Requesting Data...2355039643</v>
        <stp/>
        <stp>BDP|10034466088882281659</stp>
        <tr r="E1227" s="2"/>
      </tp>
      <tp t="s">
        <v>#N/A Requesting Data...3025791804</v>
        <stp/>
        <stp>BDP|18138466517065995000</stp>
        <tr r="R1835" s="2"/>
      </tp>
      <tp t="s">
        <v>#N/A Requesting Data...3802462387</v>
        <stp/>
        <stp>BDP|15415197384883835781</stp>
        <tr r="E1104" s="2"/>
      </tp>
      <tp t="s">
        <v>#N/A Requesting Data...3280892656</v>
        <stp/>
        <stp>BDP|16481762998649397909</stp>
        <tr r="T1885" s="2"/>
      </tp>
      <tp t="s">
        <v>#N/A Requesting Data...2804259655</v>
        <stp/>
        <stp>BDP|17981711080449951984</stp>
        <tr r="P1792" s="2"/>
      </tp>
      <tp t="s">
        <v>#N/A Requesting Data...3440659697</v>
        <stp/>
        <stp>BDP|12071469498331461637</stp>
        <tr r="M1716" s="2"/>
      </tp>
      <tp t="b">
        <v>0</v>
        <stp/>
        <stp>BDS|10249817914100880156</stp>
        <tr r="I137" s="2"/>
      </tp>
      <tp t="b">
        <v>0</v>
        <stp/>
        <stp>BDS|13831401432934966891</stp>
        <tr r="I155" s="2"/>
      </tp>
      <tp t="s">
        <v>#N/A Requesting Data...2833420731</v>
        <stp/>
        <stp>BDP|10691125752514974862</stp>
        <tr r="F1976" s="2"/>
      </tp>
      <tp t="s">
        <v>#N/A Requesting Data...1480605630</v>
        <stp/>
        <stp>BDP|11091108468569609777</stp>
        <tr r="A557" s="2"/>
      </tp>
      <tp t="s">
        <v>#N/A Requesting Data...1823287369</v>
        <stp/>
        <stp>BDP|17769093905538659746</stp>
        <tr r="M681" s="2"/>
      </tp>
      <tp t="s">
        <v>#N/A Requesting Data...3309862626</v>
        <stp/>
        <stp>BDP|10616220691691534296</stp>
        <tr r="F2147" s="2"/>
      </tp>
      <tp t="s">
        <v>#N/A Requesting Data...3011152971</v>
        <stp/>
        <stp>BDP|10045414852531360891</stp>
        <tr r="H1602" s="2"/>
      </tp>
      <tp t="s">
        <v>#N/A Requesting Data...1951136117</v>
        <stp/>
        <stp>BDP|13553470250293860933</stp>
        <tr r="E2027" s="2"/>
      </tp>
      <tp t="s">
        <v>#N/A Requesting Data...3674548226</v>
        <stp/>
        <stp>BDP|12611992566461829487</stp>
        <tr r="R1141" s="2"/>
      </tp>
      <tp t="s">
        <v>#N/A Requesting Data...4066917953</v>
        <stp/>
        <stp>BDP|13442520682567549187</stp>
        <tr r="O1575" s="2"/>
      </tp>
      <tp t="s">
        <v>#N/A Requesting Data...1469922187</v>
        <stp/>
        <stp>BDP|14761917406396869316</stp>
        <tr r="Q461" s="2"/>
      </tp>
      <tp t="s">
        <v>#N/A Requesting Data...1845607261</v>
        <stp/>
        <stp>BDP|14850633087364348660</stp>
        <tr r="R752" s="2"/>
      </tp>
      <tp t="s">
        <v>#N/A Requesting Data...2130725531</v>
        <stp/>
        <stp>BDP|14576700679155372960</stp>
        <tr r="E2077" s="2"/>
      </tp>
      <tp t="s">
        <v>#N/A Requesting Data...2597251437</v>
        <stp/>
        <stp>BDP|12494338332222505892</stp>
        <tr r="T836" s="2"/>
      </tp>
      <tp t="s">
        <v>#N/A Requesting Data...3528377288</v>
        <stp/>
        <stp>BDP|11385149446048810400</stp>
        <tr r="T1788" s="2"/>
      </tp>
      <tp t="s">
        <v>#N/A Requesting Data...1541685946</v>
        <stp/>
        <stp>BDP|17053597294454771731</stp>
        <tr r="F2405" s="2"/>
      </tp>
      <tp t="s">
        <v>#N/A Requesting Data...2663338856</v>
        <stp/>
        <stp>BDP|15948274691085582338</stp>
        <tr r="E1130" s="2"/>
      </tp>
      <tp t="s">
        <v>#N/A Requesting Data...1606448695</v>
        <stp/>
        <stp>BDP|16635729984341986006</stp>
        <tr r="A1487" s="2"/>
      </tp>
      <tp t="s">
        <v>#N/A Requesting Data...1853864969</v>
        <stp/>
        <stp>BDP|10440704450599455397</stp>
        <tr r="K987" s="2"/>
      </tp>
      <tp t="s">
        <v>#N/A Requesting Data...3604359670</v>
        <stp/>
        <stp>BDP|16944016648113862912</stp>
        <tr r="Q895" s="2"/>
      </tp>
      <tp t="s">
        <v>#N/A Requesting Data...1789545823</v>
        <stp/>
        <stp>BDP|17537926228511524535</stp>
        <tr r="G2410" s="2"/>
      </tp>
      <tp t="s">
        <v>#N/A Requesting Data...2383438307</v>
        <stp/>
        <stp>BDP|15119252162580922963</stp>
        <tr r="K1581" s="2"/>
      </tp>
      <tp t="s">
        <v>#N/A Requesting Data...3026088708</v>
        <stp/>
        <stp>BDP|14814395188527439044</stp>
        <tr r="F1672" s="2"/>
      </tp>
      <tp t="s">
        <v>#N/A Requesting Data...2444071602</v>
        <stp/>
        <stp>BDP|15313424436979799393</stp>
        <tr r="Q1861" s="2"/>
      </tp>
      <tp t="s">
        <v>#N/A Requesting Data...1640863140</v>
        <stp/>
        <stp>BDP|15103995420392304420</stp>
        <tr r="P1470" s="2"/>
      </tp>
      <tp t="s">
        <v>#N/A Requesting Data...2796816642</v>
        <stp/>
        <stp>BDP|11667693383546325164</stp>
        <tr r="H589" s="2"/>
      </tp>
      <tp t="s">
        <v>#N/A Requesting Data...4174925863</v>
        <stp/>
        <stp>BDP|17889844453725158778</stp>
        <tr r="P1263" s="2"/>
      </tp>
      <tp t="s">
        <v>#N/A Requesting Data...1543917402</v>
        <stp/>
        <stp>BDP|11464854768061124616</stp>
        <tr r="Q991" s="2"/>
      </tp>
      <tp t="s">
        <v>#N/A Requesting Data...3139087451</v>
        <stp/>
        <stp>BDP|12695873959867428056</stp>
        <tr r="A1323" s="2"/>
      </tp>
      <tp t="s">
        <v>#N/A Requesting Data...2440547206</v>
        <stp/>
        <stp>BDP|11949406567262446931</stp>
        <tr r="F971" s="2"/>
      </tp>
      <tp t="s">
        <v>#N/A Requesting Data...2141035266</v>
        <stp/>
        <stp>BDP|15576315041219461383</stp>
        <tr r="C1150" s="2"/>
      </tp>
      <tp t="s">
        <v>#N/A Requesting Data...1961757678</v>
        <stp/>
        <stp>BDP|11861193593372803333</stp>
        <tr r="H863" s="2"/>
      </tp>
      <tp t="s">
        <v>#N/A Requesting Data...4208870210</v>
        <stp/>
        <stp>BDP|12534116541238410783</stp>
        <tr r="T421" s="2"/>
      </tp>
      <tp t="s">
        <v>#N/A Requesting Data...1383210976</v>
        <stp/>
        <stp>BDP|14586801298114398975</stp>
        <tr r="Q2519" s="2"/>
      </tp>
      <tp t="s">
        <v>#N/A Requesting Data...1572495072</v>
        <stp/>
        <stp>BDP|15723690857629999799</stp>
        <tr r="F240" s="2"/>
      </tp>
      <tp t="s">
        <v>#N/A Requesting Data...2142372231</v>
        <stp/>
        <stp>BDP|10598706988793563405</stp>
        <tr r="P552" s="2"/>
      </tp>
      <tp t="s">
        <v>#N/A Requesting Data...2132005939</v>
        <stp/>
        <stp>BDP|12966839535590331142</stp>
        <tr r="Q833" s="2"/>
      </tp>
      <tp t="s">
        <v>#N/A Requesting Data...3606873313</v>
        <stp/>
        <stp>BDP|17901881504046484192</stp>
        <tr r="S1594" s="2"/>
      </tp>
      <tp t="b">
        <v>0</v>
        <stp/>
        <stp>BDS|12132887211920051333</stp>
        <tr r="I1628" s="2"/>
      </tp>
      <tp t="b">
        <v>0</v>
        <stp/>
        <stp>BDS|10909258514752047931</stp>
        <tr r="I2490" s="2"/>
      </tp>
      <tp t="s">
        <v>#N/A Requesting Data...3982799519</v>
        <stp/>
        <stp>BDP|16524794241668439519</stp>
        <tr r="G2400" s="2"/>
      </tp>
      <tp t="s">
        <v>#N/A Requesting Data...3279687590</v>
        <stp/>
        <stp>BDP|17168862053826463480</stp>
        <tr r="K2526" s="2"/>
      </tp>
      <tp t="s">
        <v>#N/A Requesting Data...3256062692</v>
        <stp/>
        <stp>BDP|13445241517918704086</stp>
        <tr r="S19" s="2"/>
      </tp>
      <tp t="s">
        <v>#N/A Requesting Data...4195303650</v>
        <stp/>
        <stp>BDP|13568959919374122704</stp>
        <tr r="E2477" s="2"/>
      </tp>
      <tp t="s">
        <v>#N/A Requesting Data...2603807382</v>
        <stp/>
        <stp>BDP|15550408618449233170</stp>
        <tr r="K1073" s="2"/>
      </tp>
      <tp t="s">
        <v>#N/A Requesting Data...2947187614</v>
        <stp/>
        <stp>BDP|15911325678829950020</stp>
        <tr r="K1024" s="2"/>
      </tp>
      <tp t="s">
        <v>#N/A Requesting Data...3889012720</v>
        <stp/>
        <stp>BDP|15887866305040016536</stp>
        <tr r="P1379" s="2"/>
      </tp>
      <tp t="b">
        <v>0</v>
        <stp/>
        <stp>BDS|16660187853613367959</stp>
        <tr r="I932" s="2"/>
      </tp>
      <tp t="s">
        <v>#N/A Requesting Data...2540854533</v>
        <stp/>
        <stp>BDP|10507947332654994620</stp>
        <tr r="M2486" s="2"/>
      </tp>
      <tp t="s">
        <v>#N/A Requesting Data...4173623503</v>
        <stp/>
        <stp>BDP|10325263112412882975</stp>
        <tr r="T2476" s="2"/>
      </tp>
      <tp t="s">
        <v>#N/A Requesting Data...1840552802</v>
        <stp/>
        <stp>BDP|13185536981031303781</stp>
        <tr r="T1854" s="2"/>
      </tp>
      <tp t="s">
        <v>#N/A Requesting Data...3509208176</v>
        <stp/>
        <stp>BDP|16699979146240750388</stp>
        <tr r="A244" s="2"/>
      </tp>
      <tp t="s">
        <v>#N/A Requesting Data...3937181869</v>
        <stp/>
        <stp>BDP|13527791087774580063</stp>
        <tr r="J1436" s="2"/>
      </tp>
      <tp t="s">
        <v>#N/A Requesting Data...1450367897</v>
        <stp/>
        <stp>BDP|17772570299966016510</stp>
        <tr r="J1250" s="2"/>
      </tp>
      <tp t="s">
        <v>#N/A Requesting Data...2067188585</v>
        <stp/>
        <stp>BDP|10732859083678119083</stp>
        <tr r="J1273" s="2"/>
      </tp>
      <tp t="s">
        <v>#N/A Requesting Data...1882103742</v>
        <stp/>
        <stp>BDP|18352666289898736636</stp>
        <tr r="E1902" s="2"/>
      </tp>
      <tp t="s">
        <v>#N/A Requesting Data...3891925127</v>
        <stp/>
        <stp>BDP|11289375609399748334</stp>
        <tr r="J2068" s="2"/>
      </tp>
      <tp t="s">
        <v>#N/A Requesting Data...4291234421</v>
        <stp/>
        <stp>BDP|16112146607986304990</stp>
        <tr r="T1523" s="2"/>
      </tp>
      <tp t="s">
        <v>#N/A Requesting Data...2293966617</v>
        <stp/>
        <stp>BDP|15588052367053814875</stp>
        <tr r="P1870" s="2"/>
      </tp>
      <tp t="s">
        <v>#N/A Requesting Data...2465607952</v>
        <stp/>
        <stp>BDP|12886912040273053413</stp>
        <tr r="C1456" s="2"/>
      </tp>
      <tp t="s">
        <v>#N/A Requesting Data...3374177228</v>
        <stp/>
        <stp>BDP|11772566395887940250</stp>
        <tr r="G1366" s="2"/>
      </tp>
      <tp t="s">
        <v>#N/A Requesting Data...3112243097</v>
        <stp/>
        <stp>BDP|13449088262428161573</stp>
        <tr r="G53" s="2"/>
      </tp>
      <tp t="s">
        <v>#N/A Requesting Data...3687345651</v>
        <stp/>
        <stp>BDP|17225528957229820676</stp>
        <tr r="F1201" s="2"/>
      </tp>
      <tp t="s">
        <v>#N/A Requesting Data...2035159122</v>
        <stp/>
        <stp>BDP|10492948399180583844</stp>
        <tr r="D2295" s="2"/>
      </tp>
      <tp t="s">
        <v>#N/A Requesting Data...3917224023</v>
        <stp/>
        <stp>BDP|13402338022568470296</stp>
        <tr r="K968" s="2"/>
      </tp>
      <tp t="s">
        <v>#N/A Requesting Data...4160239008</v>
        <stp/>
        <stp>BDP|16551690101389170142</stp>
        <tr r="N476" s="2"/>
      </tp>
      <tp t="s">
        <v>#N/A Requesting Data...3690323579</v>
        <stp/>
        <stp>BDP|18008877958734668915</stp>
        <tr r="O688" s="2"/>
      </tp>
      <tp t="s">
        <v>#N/A Requesting Data...3880402463</v>
        <stp/>
        <stp>BDP|15143472121279638295</stp>
        <tr r="M875" s="2"/>
      </tp>
      <tp t="s">
        <v>#N/A Requesting Data...2562168372</v>
        <stp/>
        <stp>BDP|16855830197586551917</stp>
        <tr r="O1258" s="2"/>
      </tp>
      <tp t="s">
        <v>#N/A Requesting Data...4134322424</v>
        <stp/>
        <stp>BDP|14321861240006882659</stp>
        <tr r="R735" s="2"/>
      </tp>
      <tp t="s">
        <v>#N/A Requesting Data...3280486786</v>
        <stp/>
        <stp>BDP|17836172645542164830</stp>
        <tr r="G97" s="2"/>
      </tp>
      <tp t="s">
        <v>#N/A Requesting Data...1714614128</v>
        <stp/>
        <stp>BDP|17061158488945162343</stp>
        <tr r="Q554" s="2"/>
      </tp>
      <tp t="s">
        <v>#N/A Requesting Data...4209590032</v>
        <stp/>
        <stp>BDP|15494286865849242032</stp>
        <tr r="M1276" s="2"/>
      </tp>
      <tp t="s">
        <v>#N/A Requesting Data...2095848759</v>
        <stp/>
        <stp>BDP|10884319995347717533</stp>
        <tr r="P748" s="2"/>
      </tp>
      <tp t="s">
        <v>#N/A Requesting Data...3266802564</v>
        <stp/>
        <stp>BDP|17866570130690787908</stp>
        <tr r="E1184" s="2"/>
      </tp>
      <tp t="s">
        <v>#N/A Requesting Data...1883039932</v>
        <stp/>
        <stp>BDP|17411612874436142883</stp>
        <tr r="E1365" s="2"/>
      </tp>
      <tp t="s">
        <v>#N/A Requesting Data...1881250367</v>
        <stp/>
        <stp>BDP|15468744296435674686</stp>
        <tr r="M664" s="2"/>
      </tp>
      <tp t="s">
        <v>#N/A Requesting Data...2882755750</v>
        <stp/>
        <stp>BDP|12380846270973659695</stp>
        <tr r="K2027" s="2"/>
      </tp>
      <tp t="s">
        <v>#N/A Requesting Data...3890858502</v>
        <stp/>
        <stp>BDP|11050392904839391361</stp>
        <tr r="G2046" s="2"/>
      </tp>
      <tp t="s">
        <v>#N/A Requesting Data...1780772260</v>
        <stp/>
        <stp>BDP|14851911358270031092</stp>
        <tr r="E1414" s="2"/>
      </tp>
      <tp t="s">
        <v>#N/A Requesting Data...2342737080</v>
        <stp/>
        <stp>BDP|13980346123083608909</stp>
        <tr r="A820" s="2"/>
      </tp>
      <tp t="s">
        <v>#N/A Requesting Data...3711228865</v>
        <stp/>
        <stp>BDP|10582512717958809435</stp>
        <tr r="F672" s="2"/>
      </tp>
      <tp t="s">
        <v>#N/A Requesting Data...3149156068</v>
        <stp/>
        <stp>BDP|14346967989495281869</stp>
        <tr r="T427" s="2"/>
      </tp>
      <tp t="s">
        <v>#N/A Requesting Data...3633097148</v>
        <stp/>
        <stp>BDP|12336255081776708684</stp>
        <tr r="C2056" s="2"/>
      </tp>
      <tp t="s">
        <v>#N/A Requesting Data...3315894780</v>
        <stp/>
        <stp>BDP|14929997054263866344</stp>
        <tr r="J906" s="2"/>
      </tp>
      <tp t="s">
        <v>#N/A Requesting Data...3014872492</v>
        <stp/>
        <stp>BDP|13344797851068144123</stp>
        <tr r="P1201" s="2"/>
      </tp>
      <tp t="s">
        <v>#N/A Requesting Data...2389058560</v>
        <stp/>
        <stp>BDP|18100107594391822952</stp>
        <tr r="O2482" s="2"/>
      </tp>
      <tp t="s">
        <v>#N/A Requesting Data...4218856766</v>
        <stp/>
        <stp>BDP|18424402436202816527</stp>
        <tr r="O1941" s="2"/>
      </tp>
      <tp t="b">
        <v>0</v>
        <stp/>
        <stp>BDS|13383403239699364510</stp>
        <tr r="I1627" s="2"/>
      </tp>
      <tp t="s">
        <v>#N/A Requesting Data...2468935292</v>
        <stp/>
        <stp>BDP|15993233889676103197</stp>
        <tr r="P1479" s="2"/>
      </tp>
      <tp t="s">
        <v>#N/A Requesting Data...3397694819</v>
        <stp/>
        <stp>BDP|10509959326194823751</stp>
        <tr r="R178" s="2"/>
      </tp>
      <tp t="s">
        <v>#N/A Requesting Data...2812070808</v>
        <stp/>
        <stp>BDP|17809089099196073024</stp>
        <tr r="K1160" s="2"/>
      </tp>
      <tp t="b">
        <v>0</v>
        <stp/>
        <stp>BDS|18119187438866077493</stp>
        <tr r="I1695" s="2"/>
      </tp>
      <tp t="s">
        <v>#N/A Requesting Data...3827722447</v>
        <stp/>
        <stp>BDP|16848237577728660318</stp>
        <tr r="H2347" s="2"/>
      </tp>
      <tp t="s">
        <v>#N/A Requesting Data...2180842421</v>
        <stp/>
        <stp>BDP|17766878878424017431</stp>
        <tr r="Q545" s="2"/>
      </tp>
      <tp t="s">
        <v>#N/A Requesting Data...1609052188</v>
        <stp/>
        <stp>BDP|13190655457531122991</stp>
        <tr r="A667" s="2"/>
      </tp>
      <tp t="s">
        <v>#N/A Requesting Data...3412556095</v>
        <stp/>
        <stp>BDP|13959122390837060400</stp>
        <tr r="R1562" s="2"/>
      </tp>
      <tp t="s">
        <v>#N/A Requesting Data...2206018578</v>
        <stp/>
        <stp>BDP|12448080160928440430</stp>
        <tr r="H487" s="2"/>
      </tp>
      <tp t="s">
        <v>#N/A Requesting Data...2106932323</v>
        <stp/>
        <stp>BDP|17127979254175176684</stp>
        <tr r="T316" s="2"/>
      </tp>
      <tp t="s">
        <v>#N/A Requesting Data...2410033953</v>
        <stp/>
        <stp>BDP|15118078186043349685</stp>
        <tr r="K1981" s="2"/>
      </tp>
      <tp t="s">
        <v>#N/A Requesting Data...4226253117</v>
        <stp/>
        <stp>BDP|14321019654169830051</stp>
        <tr r="C1998" s="2"/>
      </tp>
      <tp t="s">
        <v>#N/A Requesting Data...2619463727</v>
        <stp/>
        <stp>BDP|12864077040328424608</stp>
        <tr r="P1814" s="2"/>
      </tp>
      <tp t="s">
        <v>#N/A Requesting Data...3800291755</v>
        <stp/>
        <stp>BDP|16308623591843800234</stp>
        <tr r="H2066" s="2"/>
      </tp>
      <tp t="s">
        <v>#N/A Requesting Data...3384759101</v>
        <stp/>
        <stp>BDP|17048659982286512791</stp>
        <tr r="G504" s="2"/>
      </tp>
      <tp t="s">
        <v>#N/A Requesting Data...2187833177</v>
        <stp/>
        <stp>BDP|14677848913756251382</stp>
        <tr r="S2522" s="2"/>
      </tp>
      <tp t="s">
        <v>#N/A Requesting Data...2132132524</v>
        <stp/>
        <stp>BDP|13871364487257761758</stp>
        <tr r="F176" s="2"/>
      </tp>
      <tp t="s">
        <v>#N/A Requesting Data...2872167020</v>
        <stp/>
        <stp>BDP|10529839934552066197</stp>
        <tr r="S1414" s="2"/>
      </tp>
      <tp t="s">
        <v>#N/A Requesting Data...2499199966</v>
        <stp/>
        <stp>BDP|14830943165920200306</stp>
        <tr r="D488" s="2"/>
      </tp>
      <tp t="s">
        <v>#N/A Requesting Data...2026216658</v>
        <stp/>
        <stp>BDP|15792232116589104780</stp>
        <tr r="H2001" s="2"/>
      </tp>
      <tp t="b">
        <v>0</v>
        <stp/>
        <stp>BDS|12830820887439412318</stp>
        <tr r="I463" s="2"/>
      </tp>
      <tp t="s">
        <v>#N/A Requesting Data...1998714061</v>
        <stp/>
        <stp>BDP|14247786200608592343</stp>
        <tr r="T2370" s="2"/>
      </tp>
      <tp t="s">
        <v>#N/A Requesting Data...1664567642</v>
        <stp/>
        <stp>BDP|15387734453349880609</stp>
        <tr r="M1521" s="2"/>
      </tp>
      <tp t="s">
        <v>#N/A Requesting Data...3069051382</v>
        <stp/>
        <stp>BDP|17633693441634715929</stp>
        <tr r="E245" s="2"/>
      </tp>
      <tp t="s">
        <v>#N/A Requesting Data...4192312976</v>
        <stp/>
        <stp>BDP|15784125928757345953</stp>
        <tr r="S339" s="2"/>
      </tp>
      <tp t="s">
        <v>#N/A Requesting Data...4189510969</v>
        <stp/>
        <stp>BDP|17475933937984979127</stp>
        <tr r="R1942" s="2"/>
      </tp>
      <tp t="s">
        <v>#N/A Requesting Data...1672188942</v>
        <stp/>
        <stp>BDP|11314556859861365874</stp>
        <tr r="R1484" s="2"/>
      </tp>
      <tp t="s">
        <v>#N/A Requesting Data...3812809423</v>
        <stp/>
        <stp>BDP|14338984440817452647</stp>
        <tr r="C2221" s="2"/>
      </tp>
      <tp t="s">
        <v>#N/A Requesting Data...2069025091</v>
        <stp/>
        <stp>BDP|13117880420471219008</stp>
        <tr r="F1401" s="2"/>
      </tp>
      <tp t="s">
        <v>#N/A Requesting Data...1750765233</v>
        <stp/>
        <stp>BDP|12517951487442418989</stp>
        <tr r="R524" s="2"/>
      </tp>
      <tp t="s">
        <v>#N/A Requesting Data...2038243666</v>
        <stp/>
        <stp>BDP|14275057072689834269</stp>
        <tr r="S1465" s="2"/>
      </tp>
      <tp t="s">
        <v>#N/A Requesting Data...3472055397</v>
        <stp/>
        <stp>BDP|10973821665685556309</stp>
        <tr r="H488" s="2"/>
      </tp>
      <tp t="s">
        <v>#N/A Requesting Data...3332032753</v>
        <stp/>
        <stp>BDP|12934529836625408920</stp>
        <tr r="D615" s="2"/>
      </tp>
      <tp t="s">
        <v>#N/A Requesting Data...3925255006</v>
        <stp/>
        <stp>BDP|15924967912163524635</stp>
        <tr r="A703" s="2"/>
      </tp>
      <tp t="s">
        <v>#N/A Requesting Data...3253149121</v>
        <stp/>
        <stp>BDP|18038381623158133913</stp>
        <tr r="H1283" s="2"/>
      </tp>
      <tp t="s">
        <v>#N/A Requesting Data...2292281045</v>
        <stp/>
        <stp>BDP|11918232286424712705</stp>
        <tr r="C673" s="2"/>
      </tp>
      <tp t="s">
        <v>#N/A Requesting Data...2836139301</v>
        <stp/>
        <stp>BDP|12465505054059924322</stp>
        <tr r="R866" s="2"/>
      </tp>
      <tp t="s">
        <v>#N/A Requesting Data...1673591243</v>
        <stp/>
        <stp>BDP|14261503127068667380</stp>
        <tr r="F1490" s="2"/>
      </tp>
      <tp t="s">
        <v>#N/A Requesting Data...1799715300</v>
        <stp/>
        <stp>BDP|13487345887891804146</stp>
        <tr r="A2094" s="2"/>
      </tp>
      <tp t="s">
        <v>#N/A Requesting Data...3240201823</v>
        <stp/>
        <stp>BDP|11304314883272970033</stp>
        <tr r="C711" s="2"/>
      </tp>
      <tp t="s">
        <v>#N/A Requesting Data...1664628679</v>
        <stp/>
        <stp>BDP|12918045694072012127</stp>
        <tr r="A2014" s="2"/>
      </tp>
      <tp t="s">
        <v>#N/A Requesting Data...3034098579</v>
        <stp/>
        <stp>BDP|15169437448508538545</stp>
        <tr r="D460" s="2"/>
      </tp>
      <tp t="s">
        <v>#N/A Requesting Data...2897594716</v>
        <stp/>
        <stp>BDP|14658095869348820253</stp>
        <tr r="E1152" s="2"/>
      </tp>
      <tp t="s">
        <v>#N/A Requesting Data...2304138034</v>
        <stp/>
        <stp>BDP|13599247499799687953</stp>
        <tr r="G266" s="2"/>
      </tp>
      <tp t="s">
        <v>#N/A Requesting Data...3522532577</v>
        <stp/>
        <stp>BDP|13692497295947119107</stp>
        <tr r="A792" s="2"/>
      </tp>
      <tp t="s">
        <v>#N/A Requesting Data...3685379208</v>
        <stp/>
        <stp>BDP|12826717310799760555</stp>
        <tr r="Q2388" s="2"/>
      </tp>
      <tp t="s">
        <v>#N/A Requesting Data...2800327407</v>
        <stp/>
        <stp>BDP|10461691996160001707</stp>
        <tr r="M316" s="2"/>
      </tp>
      <tp t="s">
        <v>#N/A Requesting Data...3309717911</v>
        <stp/>
        <stp>BDP|18048651375752961325</stp>
        <tr r="Q1555" s="2"/>
      </tp>
      <tp t="s">
        <v>#N/A Requesting Data...4135033179</v>
        <stp/>
        <stp>BDP|11439651119298558664</stp>
        <tr r="F267" s="2"/>
      </tp>
      <tp t="s">
        <v>#N/A Requesting Data...1953818783</v>
        <stp/>
        <stp>BDP|11804658785912339503</stp>
        <tr r="F1621" s="2"/>
      </tp>
      <tp t="s">
        <v>#N/A Requesting Data...3458204989</v>
        <stp/>
        <stp>BDP|12331824636883595297</stp>
        <tr r="M320" s="2"/>
      </tp>
      <tp t="s">
        <v>#N/A Requesting Data...3826555901</v>
        <stp/>
        <stp>BDP|15393193180834347027</stp>
        <tr r="C1881" s="2"/>
      </tp>
      <tp t="s">
        <v>#N/A Requesting Data...2574086408</v>
        <stp/>
        <stp>BDP|16204088391483689465</stp>
        <tr r="J2312" s="2"/>
      </tp>
      <tp t="s">
        <v>#N/A Requesting Data...3683601081</v>
        <stp/>
        <stp>BDP|16537665160196131894</stp>
        <tr r="E2193" s="2"/>
      </tp>
      <tp t="s">
        <v>#N/A Requesting Data...3490267255</v>
        <stp/>
        <stp>BDP|14416329285466159199</stp>
        <tr r="M107" s="2"/>
      </tp>
      <tp t="s">
        <v>#N/A Requesting Data...4124630645</v>
        <stp/>
        <stp>BDP|15564130191835983056</stp>
        <tr r="A279" s="2"/>
      </tp>
      <tp t="s">
        <v>#N/A Requesting Data...2258130828</v>
        <stp/>
        <stp>BDP|13273117784022940054</stp>
        <tr r="C1563" s="2"/>
      </tp>
      <tp t="s">
        <v>#N/A Requesting Data...1942970201</v>
        <stp/>
        <stp>BDP|16262601625302425886</stp>
        <tr r="A2353" s="2"/>
      </tp>
      <tp t="s">
        <v>#N/A Requesting Data...3906683990</v>
        <stp/>
        <stp>BDP|12117963825295155485</stp>
        <tr r="A1121" s="2"/>
      </tp>
      <tp t="s">
        <v>#N/A Requesting Data...3872914479</v>
        <stp/>
        <stp>BDP|15622894911163531703</stp>
        <tr r="E1903" s="2"/>
      </tp>
      <tp t="s">
        <v>#N/A Requesting Data...2800763894</v>
        <stp/>
        <stp>BDP|15967822051571778161</stp>
        <tr r="G812" s="2"/>
      </tp>
      <tp t="s">
        <v>#N/A Requesting Data...2515642668</v>
        <stp/>
        <stp>BDP|13893083974999756581</stp>
        <tr r="G1653" s="2"/>
      </tp>
      <tp t="s">
        <v>#N/A Requesting Data...1759557136</v>
        <stp/>
        <stp>BDP|13124991064166263253</stp>
        <tr r="G1670" s="2"/>
      </tp>
      <tp t="s">
        <v>#N/A Requesting Data...2353964659</v>
        <stp/>
        <stp>BDP|15478067888031932484</stp>
        <tr r="T96" s="2"/>
      </tp>
      <tp t="s">
        <v>#N/A Requesting Data...2061394757</v>
        <stp/>
        <stp>BDP|10761967078390460662</stp>
        <tr r="F574" s="2"/>
      </tp>
      <tp t="s">
        <v>#N/A Requesting Data...2776235020</v>
        <stp/>
        <stp>BDP|11642759859759257239</stp>
        <tr r="H463" s="2"/>
      </tp>
      <tp t="s">
        <v>#N/A Requesting Data...2066914174</v>
        <stp/>
        <stp>BDP|12856788388075588063</stp>
        <tr r="P1834" s="2"/>
      </tp>
      <tp t="s">
        <v>#N/A Requesting Data...3089155526</v>
        <stp/>
        <stp>BDP|15140913539572454561</stp>
        <tr r="A1221" s="2"/>
      </tp>
      <tp t="s">
        <v>#N/A Requesting Data...2290127945</v>
        <stp/>
        <stp>BDP|16060226408264841890</stp>
        <tr r="Q1370" s="2"/>
      </tp>
      <tp t="s">
        <v>#N/A Requesting Data...1888973520</v>
        <stp/>
        <stp>BDP|14153895797268530517</stp>
        <tr r="E2215" s="2"/>
      </tp>
      <tp t="s">
        <v>#N/A Requesting Data...2011923707</v>
        <stp/>
        <stp>BDP|18098828668578145605</stp>
        <tr r="K2397" s="2"/>
      </tp>
      <tp t="s">
        <v>#N/A Requesting Data...4203814265</v>
        <stp/>
        <stp>BDP|10909942611242424237</stp>
        <tr r="O1364" s="2"/>
      </tp>
      <tp t="s">
        <v>#N/A Requesting Data...3034448319</v>
        <stp/>
        <stp>BDP|17411722797540371194</stp>
        <tr r="C1604" s="2"/>
      </tp>
      <tp t="s">
        <v>#N/A Requesting Data...1755138675</v>
        <stp/>
        <stp>BDP|15952583469527059932</stp>
        <tr r="T2345" s="2"/>
      </tp>
      <tp t="s">
        <v>#N/A Requesting Data...1903623292</v>
        <stp/>
        <stp>BDP|15820651898643920173</stp>
        <tr r="A158" s="2"/>
      </tp>
      <tp t="s">
        <v>#N/A Requesting Data...2012972530</v>
        <stp/>
        <stp>BDP|13941070189637409486</stp>
        <tr r="Q308" s="2"/>
      </tp>
      <tp t="s">
        <v>#N/A Requesting Data...2585476620</v>
        <stp/>
        <stp>BDP|10049033620692831806</stp>
        <tr r="R2050" s="2"/>
      </tp>
      <tp t="s">
        <v>#N/A Requesting Data...2138371442</v>
        <stp/>
        <stp>BDP|16630094301559230775</stp>
        <tr r="N2173" s="2"/>
      </tp>
      <tp t="s">
        <v>#N/A Requesting Data...2185239882</v>
        <stp/>
        <stp>BDP|10510020082452688296</stp>
        <tr r="F1979" s="2"/>
      </tp>
      <tp t="s">
        <v>#N/A Requesting Data...1955715515</v>
        <stp/>
        <stp>BDP|14852028486322229647</stp>
        <tr r="H915" s="2"/>
      </tp>
      <tp t="s">
        <v>#N/A Requesting Data...2220500423</v>
        <stp/>
        <stp>BDP|15320385292832658551</stp>
        <tr r="Q1282" s="2"/>
      </tp>
      <tp t="s">
        <v>#N/A Requesting Data...2292391287</v>
        <stp/>
        <stp>BDP|11288393297157248445</stp>
        <tr r="G1603" s="2"/>
      </tp>
      <tp t="s">
        <v>#N/A Requesting Data...3077873049</v>
        <stp/>
        <stp>BDP|12263969705407375487</stp>
        <tr r="C308" s="2"/>
      </tp>
      <tp t="s">
        <v>#N/A Requesting Data...3822324097</v>
        <stp/>
        <stp>BDP|14188634308348637266</stp>
        <tr r="Q2489" s="2"/>
      </tp>
      <tp t="s">
        <v>#N/A Requesting Data...2169951765</v>
        <stp/>
        <stp>BDP|17178303544851872971</stp>
        <tr r="R1424" s="2"/>
      </tp>
      <tp t="s">
        <v>#N/A Requesting Data...4207776856</v>
        <stp/>
        <stp>BDP|12802329349548854513</stp>
        <tr r="H373" s="2"/>
      </tp>
      <tp t="s">
        <v>#N/A Requesting Data...2565024688</v>
        <stp/>
        <stp>BDP|10363045380348899850</stp>
        <tr r="M1390" s="2"/>
      </tp>
      <tp t="s">
        <v>#N/A Requesting Data...3837822828</v>
        <stp/>
        <stp>BDP|16273708614789491189</stp>
        <tr r="J2409" s="2"/>
      </tp>
      <tp t="s">
        <v>#N/A Requesting Data...4029538152</v>
        <stp/>
        <stp>BDP|18132533896119890560</stp>
        <tr r="A1948" s="2"/>
      </tp>
      <tp t="s">
        <v>#N/A Requesting Data...2704141343</v>
        <stp/>
        <stp>BDP|11260611998977824194</stp>
        <tr r="S2411" s="2"/>
      </tp>
      <tp t="s">
        <v>#N/A Requesting Data...2018576058</v>
        <stp/>
        <stp>BDP|15321316462661399993</stp>
        <tr r="C931" s="2"/>
      </tp>
      <tp t="s">
        <v>#N/A Requesting Data...2734089527</v>
        <stp/>
        <stp>BDP|16938875023876618217</stp>
        <tr r="O2423" s="2"/>
      </tp>
      <tp t="s">
        <v>#N/A Requesting Data...2173740108</v>
        <stp/>
        <stp>BDP|17834655946089489451</stp>
        <tr r="O1765" s="2"/>
      </tp>
      <tp t="s">
        <v>#N/A Requesting Data...4126960625</v>
        <stp/>
        <stp>BDP|11885078115629712178</stp>
        <tr r="P1106" s="2"/>
      </tp>
      <tp t="s">
        <v>#N/A Requesting Data...2175841430</v>
        <stp/>
        <stp>BDP|17185090092704357235</stp>
        <tr r="G779" s="2"/>
      </tp>
      <tp t="s">
        <v>#N/A Requesting Data...1954205194</v>
        <stp/>
        <stp>BDP|13482433490371443792</stp>
        <tr r="S1575" s="2"/>
      </tp>
      <tp t="s">
        <v>#N/A Requesting Data...2957588025</v>
        <stp/>
        <stp>BDP|15291029247359894054</stp>
        <tr r="C1814" s="2"/>
      </tp>
      <tp t="s">
        <v>#N/A Requesting Data...2744433051</v>
        <stp/>
        <stp>BDP|14352584863306387917</stp>
        <tr r="E1391" s="2"/>
      </tp>
      <tp t="s">
        <v>#N/A Requesting Data...2930484591</v>
        <stp/>
        <stp>BDP|11576405793395984154</stp>
        <tr r="K360" s="2"/>
      </tp>
      <tp t="s">
        <v>#N/A Requesting Data...4257270771</v>
        <stp/>
        <stp>BDP|16779338662032434981</stp>
        <tr r="Q1325" s="2"/>
      </tp>
      <tp t="s">
        <v>#N/A Requesting Data...3445508659</v>
        <stp/>
        <stp>BDP|18096489853664498552</stp>
        <tr r="H2444" s="2"/>
      </tp>
      <tp t="s">
        <v>#N/A Requesting Data...4110361714</v>
        <stp/>
        <stp>BDP|15464512609459293145</stp>
        <tr r="D1708" s="2"/>
      </tp>
      <tp t="s">
        <v>#N/A Requesting Data...3769962459</v>
        <stp/>
        <stp>BDP|15810939427232550433</stp>
        <tr r="A40" s="2"/>
      </tp>
      <tp t="s">
        <v>#N/A Requesting Data...3557839966</v>
        <stp/>
        <stp>BDP|13501789373269055242</stp>
        <tr r="F2440" s="2"/>
      </tp>
      <tp t="s">
        <v>#N/A Requesting Data...2596897764</v>
        <stp/>
        <stp>BDP|18133207629239597973</stp>
        <tr r="N1399" s="2"/>
      </tp>
      <tp t="s">
        <v>#N/A Requesting Data...3093129770</v>
        <stp/>
        <stp>BDP|14350310459902069819</stp>
        <tr r="D752" s="2"/>
      </tp>
      <tp t="s">
        <v>#N/A Requesting Data...4071500040</v>
        <stp/>
        <stp>BDP|12890127983525290611</stp>
        <tr r="Q1641" s="2"/>
      </tp>
      <tp t="b">
        <v>0</v>
        <stp/>
        <stp>BDS|15532604638309341173</stp>
        <tr r="I1985" s="2"/>
      </tp>
      <tp t="s">
        <v>#N/A Requesting Data...3597321845</v>
        <stp/>
        <stp>BDP|10180414590510934539</stp>
        <tr r="Q2476" s="2"/>
      </tp>
      <tp t="s">
        <v>#N/A Requesting Data...2222695448</v>
        <stp/>
        <stp>BDP|10364227990363385088</stp>
        <tr r="S303" s="2"/>
      </tp>
      <tp t="s">
        <v>#N/A Requesting Data...3862518880</v>
        <stp/>
        <stp>BDP|14937677092086547532</stp>
        <tr r="A2084" s="2"/>
      </tp>
      <tp t="b">
        <v>0</v>
        <stp/>
        <stp>BDS|14445398195217190105</stp>
        <tr r="I1465" s="2"/>
      </tp>
      <tp t="s">
        <v>#N/A Requesting Data...3920520092</v>
        <stp/>
        <stp>BDP|13682030728958204153</stp>
        <tr r="G1719" s="2"/>
      </tp>
      <tp t="s">
        <v>#N/A Requesting Data...4052035591</v>
        <stp/>
        <stp>BDP|13810480499097620152</stp>
        <tr r="P1502" s="2"/>
      </tp>
      <tp t="s">
        <v>#N/A Requesting Data...3430425620</v>
        <stp/>
        <stp>BDP|11552476693386844235</stp>
        <tr r="H1427" s="2"/>
      </tp>
      <tp t="s">
        <v>#N/A Requesting Data...2062797483</v>
        <stp/>
        <stp>BDP|15251223318199360710</stp>
        <tr r="S1299" s="2"/>
      </tp>
      <tp t="s">
        <v>#N/A Requesting Data...4095803070</v>
        <stp/>
        <stp>BDP|12067423655259444292</stp>
        <tr r="F1352" s="2"/>
      </tp>
      <tp t="s">
        <v>#N/A Requesting Data...3860389626</v>
        <stp/>
        <stp>BDP|17857743484251575172</stp>
        <tr r="E140" s="2"/>
      </tp>
      <tp t="s">
        <v>#N/A Requesting Data...3950384474</v>
        <stp/>
        <stp>BDP|18140266965195103192</stp>
        <tr r="J1715" s="2"/>
      </tp>
      <tp t="s">
        <v>#N/A Requesting Data...2384022183</v>
        <stp/>
        <stp>BDP|16328714708458108113</stp>
        <tr r="R1068" s="2"/>
      </tp>
      <tp t="s">
        <v>#N/A Requesting Data...3127609147</v>
        <stp/>
        <stp>BDP|15247268898842637407</stp>
        <tr r="P209" s="2"/>
      </tp>
      <tp t="s">
        <v>#N/A Requesting Data...1916390372</v>
        <stp/>
        <stp>BDP|18110680946217637530</stp>
        <tr r="S429" s="2"/>
      </tp>
      <tp t="s">
        <v>#N/A Requesting Data...2067876138</v>
        <stp/>
        <stp>BDP|12793893564003232729</stp>
        <tr r="Q1989" s="2"/>
      </tp>
      <tp t="s">
        <v>#N/A Requesting Data...2407869640</v>
        <stp/>
        <stp>BDP|16924228115554794936</stp>
        <tr r="M1018" s="2"/>
      </tp>
      <tp t="s">
        <v>#N/A Requesting Data...1855241782</v>
        <stp/>
        <stp>BDP|15229808188684247928</stp>
        <tr r="P1943" s="2"/>
      </tp>
      <tp t="b">
        <v>0</v>
        <stp/>
        <stp>BDS|18100790115957513118</stp>
        <tr r="I656" s="2"/>
      </tp>
      <tp t="s">
        <v>#N/A Requesting Data...3985541802</v>
        <stp/>
        <stp>BDP|14115559695660963028</stp>
        <tr r="N2050" s="2"/>
      </tp>
      <tp t="s">
        <v>#N/A Requesting Data...2520048014</v>
        <stp/>
        <stp>BDP|11375154886149835926</stp>
        <tr r="K2221" s="2"/>
      </tp>
      <tp t="s">
        <v>#N/A Requesting Data...3909693670</v>
        <stp/>
        <stp>BDP|16104601878167635854</stp>
        <tr r="R13" s="2"/>
      </tp>
      <tp t="s">
        <v>#N/A Requesting Data...2318270055</v>
        <stp/>
        <stp>BDP|11582797726939936592</stp>
        <tr r="A1715" s="2"/>
      </tp>
      <tp t="s">
        <v>#N/A Requesting Data...2648772631</v>
        <stp/>
        <stp>BDP|16704912948661458206</stp>
        <tr r="D1491" s="2"/>
      </tp>
      <tp t="s">
        <v>#N/A Requesting Data...4159584209</v>
        <stp/>
        <stp>BDP|15251331927328873446</stp>
        <tr r="P2493" s="2"/>
      </tp>
      <tp t="s">
        <v>#N/A Requesting Data...3623283009</v>
        <stp/>
        <stp>BDP|16638982220886693326</stp>
        <tr r="E164" s="2"/>
      </tp>
      <tp t="s">
        <v>#N/A Requesting Data...3098196534</v>
        <stp/>
        <stp>BDP|13604509779080297975</stp>
        <tr r="N1186" s="2"/>
      </tp>
      <tp t="s">
        <v>#N/A Requesting Data...4226931008</v>
        <stp/>
        <stp>BDP|14578531442104625980</stp>
        <tr r="G2038" s="2"/>
      </tp>
      <tp t="s">
        <v>#N/A Requesting Data...4093303441</v>
        <stp/>
        <stp>BDP|12227217737888700398</stp>
        <tr r="P33" s="2"/>
      </tp>
      <tp t="s">
        <v>#N/A Requesting Data...3529181059</v>
        <stp/>
        <stp>BDP|13610931982272525885</stp>
        <tr r="N848" s="2"/>
      </tp>
      <tp t="s">
        <v>#N/A Requesting Data...3611118196</v>
        <stp/>
        <stp>BDP|18179467218562286778</stp>
        <tr r="H202" s="2"/>
      </tp>
      <tp t="s">
        <v>#N/A Requesting Data...3697994265</v>
        <stp/>
        <stp>BDP|17472935613846775198</stp>
        <tr r="J61" s="2"/>
      </tp>
      <tp t="s">
        <v>#N/A Requesting Data...2733663802</v>
        <stp/>
        <stp>BDP|17274114998536129101</stp>
        <tr r="S312" s="2"/>
      </tp>
      <tp t="s">
        <v>#N/A Requesting Data...2061616706</v>
        <stp/>
        <stp>BDP|11759659727579888474</stp>
        <tr r="E1398" s="2"/>
      </tp>
      <tp t="s">
        <v>#N/A Requesting Data...2561346937</v>
        <stp/>
        <stp>BDP|18360526407697541296</stp>
        <tr r="P1797" s="2"/>
      </tp>
      <tp t="s">
        <v>#N/A Requesting Data...2970098602</v>
        <stp/>
        <stp>BDP|10744893752400779510</stp>
        <tr r="E1885" s="2"/>
      </tp>
      <tp t="s">
        <v>#N/A Requesting Data...2200450169</v>
        <stp/>
        <stp>BDP|14632890303232707615</stp>
        <tr r="S2143" s="2"/>
      </tp>
      <tp t="s">
        <v>#N/A Requesting Data...1960141281</v>
        <stp/>
        <stp>BDP|11996229384600467314</stp>
        <tr r="M2331" s="2"/>
      </tp>
      <tp t="s">
        <v>#N/A Requesting Data...3567079064</v>
        <stp/>
        <stp>BDP|15727406685255650498</stp>
        <tr r="T333" s="2"/>
      </tp>
      <tp t="s">
        <v>#N/A Requesting Data...3522288165</v>
        <stp/>
        <stp>BDP|11532519417324945976</stp>
        <tr r="C1629" s="2"/>
      </tp>
      <tp t="s">
        <v>#N/A Requesting Data...2150230375</v>
        <stp/>
        <stp>BDP|14893926290279767500</stp>
        <tr r="P1628" s="2"/>
      </tp>
      <tp t="s">
        <v>#N/A Requesting Data...1989775898</v>
        <stp/>
        <stp>BDP|16984426649009601795</stp>
        <tr r="G1492" s="2"/>
      </tp>
      <tp t="s">
        <v>#N/A Requesting Data...3968694239</v>
        <stp/>
        <stp>BDP|13715894313954311636</stp>
        <tr r="K2127" s="2"/>
      </tp>
      <tp t="s">
        <v>#N/A Requesting Data...3181427133</v>
        <stp/>
        <stp>BDP|13214858154675827367</stp>
        <tr r="R501" s="2"/>
      </tp>
      <tp t="s">
        <v>#N/A Requesting Data...2746148665</v>
        <stp/>
        <stp>BDP|13823092209953101843</stp>
        <tr r="J1910" s="2"/>
      </tp>
      <tp t="s">
        <v>#N/A Requesting Data...2606513042</v>
        <stp/>
        <stp>BDP|16217909328994084170</stp>
        <tr r="R466" s="2"/>
      </tp>
      <tp t="s">
        <v>#N/A Requesting Data...2061133430</v>
        <stp/>
        <stp>BDP|18011870652339883403</stp>
        <tr r="R2396" s="2"/>
      </tp>
      <tp t="s">
        <v>#N/A Requesting Data...3426369207</v>
        <stp/>
        <stp>BDP|17113159586130863676</stp>
        <tr r="D2006" s="2"/>
      </tp>
      <tp t="b">
        <v>0</v>
        <stp/>
        <stp>BDS|12305769431457268983</stp>
        <tr r="I1363" s="2"/>
      </tp>
      <tp t="s">
        <v>#N/A Requesting Data...3179870401</v>
        <stp/>
        <stp>BDP|15054565458389620459</stp>
        <tr r="K207" s="2"/>
      </tp>
      <tp t="s">
        <v>#N/A Requesting Data...3597523773</v>
        <stp/>
        <stp>BDP|13769569526548973435</stp>
        <tr r="S1249" s="2"/>
      </tp>
      <tp t="b">
        <v>0</v>
        <stp/>
        <stp>BDS|16221046428625022908</stp>
        <tr r="I1711" s="2"/>
      </tp>
      <tp t="s">
        <v>#N/A Requesting Data...4021437541</v>
        <stp/>
        <stp>BDP|11273278689724396729</stp>
        <tr r="S815" s="2"/>
      </tp>
      <tp t="s">
        <v>#N/A Requesting Data...2272346202</v>
        <stp/>
        <stp>BDP|14924542581191299030</stp>
        <tr r="N1506" s="2"/>
      </tp>
      <tp t="s">
        <v>#N/A Requesting Data...2710278690</v>
        <stp/>
        <stp>BDP|17787921654003870046</stp>
        <tr r="E1273" s="2"/>
      </tp>
      <tp t="s">
        <v>#N/A Requesting Data...2924052553</v>
        <stp/>
        <stp>BDP|11112997568882986449</stp>
        <tr r="G209" s="2"/>
      </tp>
      <tp t="s">
        <v>#N/A Requesting Data...3520512496</v>
        <stp/>
        <stp>BDP|14579218795700927755</stp>
        <tr r="C1464" s="2"/>
      </tp>
      <tp t="s">
        <v>#N/A Requesting Data...3682934793</v>
        <stp/>
        <stp>BDP|15167701392980966377</stp>
        <tr r="P366" s="2"/>
      </tp>
      <tp t="s">
        <v>#N/A Requesting Data...2515377094</v>
        <stp/>
        <stp>BDP|17339601274307381996</stp>
        <tr r="F703" s="2"/>
      </tp>
      <tp t="s">
        <v>#N/A Requesting Data...3095508729</v>
        <stp/>
        <stp>BDP|10385405241630703884</stp>
        <tr r="O525" s="2"/>
      </tp>
      <tp t="s">
        <v>#N/A Requesting Data...2573891154</v>
        <stp/>
        <stp>BDP|16838177983833061415</stp>
        <tr r="F378" s="2"/>
      </tp>
      <tp t="s">
        <v>#N/A Requesting Data...2567160861</v>
        <stp/>
        <stp>BDP|15878436251358156469</stp>
        <tr r="D252" s="2"/>
      </tp>
      <tp t="s">
        <v>#N/A Requesting Data...3306012127</v>
        <stp/>
        <stp>BDP|17799425190796819404</stp>
        <tr r="O1235" s="2"/>
      </tp>
      <tp t="s">
        <v>#N/A Requesting Data...4096053200</v>
        <stp/>
        <stp>BDP|17487850159376150440</stp>
        <tr r="A2137" s="2"/>
      </tp>
      <tp t="s">
        <v>#N/A Requesting Data...3213834696</v>
        <stp/>
        <stp>BDP|11710619249229753251</stp>
        <tr r="J1252" s="2"/>
      </tp>
      <tp t="s">
        <v>#N/A Requesting Data...3370493000</v>
        <stp/>
        <stp>BDP|15904702290193383076</stp>
        <tr r="R91" s="2"/>
      </tp>
      <tp t="s">
        <v>#N/A Requesting Data...3455807399</v>
        <stp/>
        <stp>BDP|17208075432818293489</stp>
        <tr r="C1072" s="2"/>
      </tp>
      <tp t="s">
        <v>#N/A Requesting Data...4259690746</v>
        <stp/>
        <stp>BDP|10676994871864150223</stp>
        <tr r="M2269" s="2"/>
      </tp>
      <tp t="s">
        <v>#N/A Requesting Data...3614694604</v>
        <stp/>
        <stp>BDP|10199440489606058217</stp>
        <tr r="Q2350" s="2"/>
      </tp>
      <tp t="s">
        <v>#N/A Requesting Data...3898324668</v>
        <stp/>
        <stp>BDP|11213982573243143458</stp>
        <tr r="M1343" s="2"/>
      </tp>
      <tp t="s">
        <v>#N/A Requesting Data...3948047959</v>
        <stp/>
        <stp>BDP|14208274794873919450</stp>
        <tr r="H1988" s="2"/>
      </tp>
      <tp t="s">
        <v>#N/A Requesting Data...4076845656</v>
        <stp/>
        <stp>BDP|13910343576869033664</stp>
        <tr r="N1770" s="2"/>
      </tp>
      <tp t="s">
        <v>#N/A Requesting Data...2101529102</v>
        <stp/>
        <stp>BDP|13465808333195250586</stp>
        <tr r="Q77" s="2"/>
      </tp>
      <tp t="s">
        <v>#N/A Requesting Data...4275358076</v>
        <stp/>
        <stp>BDP|16225088492656466116</stp>
        <tr r="R2080" s="2"/>
      </tp>
      <tp t="s">
        <v>#N/A Requesting Data...2194556624</v>
        <stp/>
        <stp>BDP|16060455988836397431</stp>
        <tr r="G2131" s="2"/>
      </tp>
      <tp t="s">
        <v>#N/A Requesting Data...3365432254</v>
        <stp/>
        <stp>BDP|14087844748919459953</stp>
        <tr r="G1174" s="2"/>
      </tp>
      <tp t="s">
        <v>#N/A Requesting Data...3216261014</v>
        <stp/>
        <stp>BDP|12597667130326891967</stp>
        <tr r="R1040" s="2"/>
      </tp>
      <tp t="b">
        <v>0</v>
        <stp/>
        <stp>BDS|13380248122848920329</stp>
        <tr r="I2027" s="2"/>
      </tp>
      <tp t="s">
        <v>#N/A Requesting Data...4070843159</v>
        <stp/>
        <stp>BDP|16558898912844621354</stp>
        <tr r="K2095" s="2"/>
      </tp>
      <tp t="s">
        <v>#N/A Requesting Data...3852837425</v>
        <stp/>
        <stp>BDP|11679616171990231898</stp>
        <tr r="N1658" s="2"/>
      </tp>
      <tp t="s">
        <v>#N/A Requesting Data...3781813455</v>
        <stp/>
        <stp>BDP|16187848523281347584</stp>
        <tr r="E2330" s="2"/>
      </tp>
      <tp t="s">
        <v>#N/A Requesting Data...3874652237</v>
        <stp/>
        <stp>BDP|15303428739889660334</stp>
        <tr r="S624" s="2"/>
      </tp>
      <tp t="s">
        <v>#N/A Requesting Data...2040915896</v>
        <stp/>
        <stp>BDP|11108887068460554794</stp>
        <tr r="D889" s="2"/>
      </tp>
      <tp t="s">
        <v>#N/A Requesting Data...4234663082</v>
        <stp/>
        <stp>BDP|17037289519404588894</stp>
        <tr r="Q171" s="2"/>
      </tp>
      <tp t="s">
        <v>#N/A Requesting Data...2308128988</v>
        <stp/>
        <stp>BDP|16072962029061463461</stp>
        <tr r="O2327" s="2"/>
      </tp>
      <tp t="s">
        <v>#N/A Requesting Data...3768695682</v>
        <stp/>
        <stp>BDP|16458845304284124282</stp>
        <tr r="S143" s="2"/>
      </tp>
      <tp t="s">
        <v>#N/A Requesting Data...2214083386</v>
        <stp/>
        <stp>BDP|14828003523268635601</stp>
        <tr r="K1329" s="2"/>
      </tp>
      <tp t="s">
        <v>#N/A Requesting Data...3125284284</v>
        <stp/>
        <stp>BDP|14043927922573574480</stp>
        <tr r="E584" s="2"/>
      </tp>
      <tp t="s">
        <v>#N/A Requesting Data...2313067971</v>
        <stp/>
        <stp>BDP|13292350019299798043</stp>
        <tr r="T846" s="2"/>
      </tp>
      <tp t="s">
        <v>#N/A Requesting Data...3475555900</v>
        <stp/>
        <stp>BDP|13751903112757166496</stp>
        <tr r="G1239" s="2"/>
      </tp>
      <tp t="s">
        <v>#N/A Requesting Data...2965708882</v>
        <stp/>
        <stp>BDP|16477737189098233913</stp>
        <tr r="Q1404" s="2"/>
      </tp>
      <tp t="s">
        <v>#N/A Requesting Data...2992806033</v>
        <stp/>
        <stp>BDP|10985839977521814685</stp>
        <tr r="A2219" s="2"/>
      </tp>
      <tp t="s">
        <v>#N/A Requesting Data...3189784043</v>
        <stp/>
        <stp>BDP|17577523948966581872</stp>
        <tr r="Q1532" s="2"/>
      </tp>
      <tp t="s">
        <v>#N/A Requesting Data...3800273491</v>
        <stp/>
        <stp>BDP|17147795786284360402</stp>
        <tr r="T194" s="2"/>
      </tp>
      <tp t="s">
        <v>#N/A Requesting Data...3021692143</v>
        <stp/>
        <stp>BDP|10372814264453901520</stp>
        <tr r="M1806" s="2"/>
      </tp>
      <tp t="s">
        <v>#N/A Requesting Data...2459771993</v>
        <stp/>
        <stp>BDP|16841132254738030225</stp>
        <tr r="M2067" s="2"/>
      </tp>
      <tp t="s">
        <v>#N/A Requesting Data...3338111328</v>
        <stp/>
        <stp>BDP|16939886317414823335</stp>
        <tr r="G30" s="2"/>
      </tp>
      <tp t="b">
        <v>0</v>
        <stp/>
        <stp>BDS|11212950089078122015</stp>
        <tr r="I1518" s="2"/>
      </tp>
      <tp t="s">
        <v>#N/A Requesting Data...2925406825</v>
        <stp/>
        <stp>BDP|12114333998906664618</stp>
        <tr r="F1554" s="2"/>
      </tp>
      <tp t="s">
        <v>#N/A Requesting Data...3550969822</v>
        <stp/>
        <stp>BDP|12251264029018649260</stp>
        <tr r="P2344" s="2"/>
      </tp>
      <tp t="s">
        <v>#N/A Requesting Data...3038221569</v>
        <stp/>
        <stp>BDP|10247350949136119921</stp>
        <tr r="D1176" s="2"/>
      </tp>
      <tp t="s">
        <v>#N/A Requesting Data...3059415518</v>
        <stp/>
        <stp>BDP|13245712091206907361</stp>
        <tr r="D1630" s="2"/>
      </tp>
      <tp t="s">
        <v>#N/A Requesting Data...3147342736</v>
        <stp/>
        <stp>BDP|10428232321208914027</stp>
        <tr r="C617" s="2"/>
      </tp>
      <tp t="s">
        <v>#N/A Requesting Data...2701921121</v>
        <stp/>
        <stp>BDP|10827807845853995790</stp>
        <tr r="P463" s="2"/>
      </tp>
      <tp t="s">
        <v>#N/A Requesting Data...3018342697</v>
        <stp/>
        <stp>BDP|14648816401021825534</stp>
        <tr r="A2086" s="2"/>
      </tp>
      <tp t="s">
        <v>#N/A Requesting Data...3841272000</v>
        <stp/>
        <stp>BDP|15225983013632102753</stp>
        <tr r="J2139" s="2"/>
      </tp>
      <tp t="s">
        <v>#N/A Requesting Data...3057528751</v>
        <stp/>
        <stp>BDP|16432366376139025392</stp>
        <tr r="D1618" s="2"/>
      </tp>
      <tp t="s">
        <v>#N/A Requesting Data...3511163314</v>
        <stp/>
        <stp>BDP|15838875465884619704</stp>
        <tr r="K1372" s="2"/>
      </tp>
      <tp t="s">
        <v>#N/A Requesting Data...2593396403</v>
        <stp/>
        <stp>BDP|17978354702835123933</stp>
        <tr r="M2015" s="2"/>
      </tp>
      <tp t="s">
        <v>#N/A Requesting Data...3411519019</v>
        <stp/>
        <stp>BDP|12702715314745700998</stp>
        <tr r="K784" s="2"/>
      </tp>
      <tp t="s">
        <v>#N/A Requesting Data...2933176792</v>
        <stp/>
        <stp>BDP|10237800156411981415</stp>
        <tr r="H837" s="2"/>
      </tp>
      <tp t="s">
        <v>#N/A Requesting Data...2222468565</v>
        <stp/>
        <stp>BDP|12624231795568893945</stp>
        <tr r="J2123" s="2"/>
      </tp>
      <tp t="s">
        <v>#N/A Requesting Data...3606014146</v>
        <stp/>
        <stp>BDP|13689623888822202729</stp>
        <tr r="M1180" s="2"/>
      </tp>
      <tp t="s">
        <v>#N/A Requesting Data...4013950192</v>
        <stp/>
        <stp>BDP|18089607259906784527</stp>
        <tr r="F2008" s="2"/>
      </tp>
      <tp t="b">
        <v>0</v>
        <stp/>
        <stp>BDS|12625798916369102570</stp>
        <tr r="I1824" s="2"/>
      </tp>
      <tp t="s">
        <v>#N/A Requesting Data...2421489703</v>
        <stp/>
        <stp>BDP|18181262403306946414</stp>
        <tr r="F1765" s="2"/>
      </tp>
      <tp t="s">
        <v>#N/A Requesting Data...2834268674</v>
        <stp/>
        <stp>BDP|13748977798069124259</stp>
        <tr r="O460" s="2"/>
      </tp>
      <tp t="s">
        <v>#N/A Requesting Data...2919002621</v>
        <stp/>
        <stp>BDP|12825927866773685662</stp>
        <tr r="T832" s="2"/>
      </tp>
      <tp t="s">
        <v>#N/A Requesting Data...3243572017</v>
        <stp/>
        <stp>BDP|17550189887325656305</stp>
        <tr r="A1989" s="2"/>
      </tp>
      <tp t="s">
        <v>#N/A Requesting Data...3174500382</v>
        <stp/>
        <stp>BDP|12726708453298972010</stp>
        <tr r="P292" s="2"/>
      </tp>
      <tp t="s">
        <v>#N/A Requesting Data...3383866381</v>
        <stp/>
        <stp>BDP|17440948222303858765</stp>
        <tr r="R1798" s="2"/>
      </tp>
      <tp t="s">
        <v>#N/A Requesting Data...2588958549</v>
        <stp/>
        <stp>BDP|13316934338407285666</stp>
        <tr r="T1677" s="2"/>
      </tp>
      <tp t="s">
        <v>#N/A Requesting Data...3938651214</v>
        <stp/>
        <stp>BDP|16969660983313892383</stp>
        <tr r="Q10" s="2"/>
      </tp>
      <tp t="s">
        <v>#N/A Requesting Data...4126315584</v>
        <stp/>
        <stp>BDP|10003814726784395684</stp>
        <tr r="D726" s="2"/>
      </tp>
      <tp t="s">
        <v>#N/A Requesting Data...3166966875</v>
        <stp/>
        <stp>BDP|17498136237499868443</stp>
        <tr r="O1062" s="2"/>
      </tp>
      <tp t="s">
        <v>#N/A Requesting Data...3421828103</v>
        <stp/>
        <stp>BDP|14775833916132938778</stp>
        <tr r="S609" s="2"/>
      </tp>
      <tp t="s">
        <v>#N/A Requesting Data...2919317445</v>
        <stp/>
        <stp>BDP|18060254175250483586</stp>
        <tr r="R403" s="2"/>
      </tp>
      <tp t="s">
        <v>#N/A Requesting Data...2250823728</v>
        <stp/>
        <stp>BDP|10459070649715163979</stp>
        <tr r="D2082" s="2"/>
      </tp>
      <tp t="s">
        <v>#N/A Requesting Data...2924081618</v>
        <stp/>
        <stp>BDP|13008840314041590394</stp>
        <tr r="G1321" s="2"/>
      </tp>
      <tp t="s">
        <v>#N/A Requesting Data...3922483736</v>
        <stp/>
        <stp>BDP|17199813755697869517</stp>
        <tr r="S556" s="2"/>
      </tp>
      <tp t="s">
        <v>#N/A Requesting Data...3775894804</v>
        <stp/>
        <stp>BDP|16860851110457576049</stp>
        <tr r="A477" s="2"/>
      </tp>
      <tp t="s">
        <v>#N/A Requesting Data...3161334517</v>
        <stp/>
        <stp>BDP|14754236649569139309</stp>
        <tr r="H1120" s="2"/>
      </tp>
      <tp t="s">
        <v>#N/A Requesting Data...3877497180</v>
        <stp/>
        <stp>BDP|13898554287195589338</stp>
        <tr r="P176" s="2"/>
      </tp>
      <tp t="s">
        <v>#N/A Requesting Data...3398304021</v>
        <stp/>
        <stp>BDP|17223969968709470947</stp>
        <tr r="A1285" s="2"/>
      </tp>
      <tp t="s">
        <v>#N/A Requesting Data...3524890382</v>
        <stp/>
        <stp>BDP|15845717129811813946</stp>
        <tr r="O1982" s="2"/>
      </tp>
      <tp t="s">
        <v>#N/A Requesting Data...3527320161</v>
        <stp/>
        <stp>BDP|13401499741682943998</stp>
        <tr r="S1496" s="2"/>
      </tp>
      <tp t="s">
        <v>#N/A Requesting Data...2608967741</v>
        <stp/>
        <stp>BDP|12870427383076411012</stp>
        <tr r="P735" s="2"/>
      </tp>
      <tp t="s">
        <v>#N/A Requesting Data...2254371744</v>
        <stp/>
        <stp>BDP|14748910223752188588</stp>
        <tr r="C332" s="2"/>
      </tp>
      <tp t="s">
        <v>#N/A Requesting Data...3640461558</v>
        <stp/>
        <stp>BDP|17273193636565622870</stp>
        <tr r="A1018" s="2"/>
      </tp>
      <tp t="s">
        <v>#N/A Requesting Data...3398457426</v>
        <stp/>
        <stp>BDP|16837568246559480605</stp>
        <tr r="A2529" s="2"/>
      </tp>
      <tp t="s">
        <v>#N/A Requesting Data...2490010566</v>
        <stp/>
        <stp>BDP|10660086782687143710</stp>
        <tr r="Q1519" s="2"/>
      </tp>
      <tp t="s">
        <v>#N/A Requesting Data...3060809654</v>
        <stp/>
        <stp>BDP|15579899665514692730</stp>
        <tr r="A2000" s="2"/>
      </tp>
      <tp t="s">
        <v>#N/A Requesting Data...3867105790</v>
        <stp/>
        <stp>BDP|16315390416165148916</stp>
        <tr r="M2078" s="2"/>
      </tp>
      <tp t="s">
        <v>#N/A Requesting Data...2245054895</v>
        <stp/>
        <stp>BDP|12513115877945966969</stp>
        <tr r="K1009" s="2"/>
      </tp>
      <tp t="s">
        <v>#N/A Requesting Data...4054486688</v>
        <stp/>
        <stp>BDP|18097259008396294438</stp>
        <tr r="A614" s="2"/>
      </tp>
      <tp t="s">
        <v>#N/A Requesting Data...2254537732</v>
        <stp/>
        <stp>BDP|16727925529135277023</stp>
        <tr r="T308" s="2"/>
      </tp>
      <tp t="b">
        <v>0</v>
        <stp/>
        <stp>BDS|11366405036148334693</stp>
        <tr r="I686" s="2"/>
      </tp>
      <tp t="s">
        <v>#N/A Requesting Data...3039160701</v>
        <stp/>
        <stp>BDP|15554067269928407329</stp>
        <tr r="E236" s="2"/>
      </tp>
      <tp t="s">
        <v>#N/A Requesting Data...3606871308</v>
        <stp/>
        <stp>BDP|12920906577425179136</stp>
        <tr r="G1193" s="2"/>
      </tp>
      <tp t="s">
        <v>#N/A Requesting Data...2809307726</v>
        <stp/>
        <stp>BDP|14916440960207666974</stp>
        <tr r="C92" s="2"/>
      </tp>
      <tp t="b">
        <v>0</v>
        <stp/>
        <stp>BDS|10688544929516185950</stp>
        <tr r="I371" s="2"/>
      </tp>
      <tp t="s">
        <v>#N/A Requesting Data...3588352781</v>
        <stp/>
        <stp>BDP|10007308301899889259</stp>
        <tr r="S2405" s="2"/>
      </tp>
      <tp t="s">
        <v>#N/A Requesting Data...2378110847</v>
        <stp/>
        <stp>BDP|11262136680910881050</stp>
        <tr r="S2375" s="2"/>
      </tp>
      <tp t="s">
        <v>#N/A Requesting Data...3525827981</v>
        <stp/>
        <stp>BDP|16152959466436712798</stp>
        <tr r="P471" s="2"/>
      </tp>
      <tp t="s">
        <v>#N/A Requesting Data...3167562790</v>
        <stp/>
        <stp>BDP|12283862743772393485</stp>
        <tr r="C1857" s="2"/>
      </tp>
      <tp t="s">
        <v>#N/A Requesting Data...4154838571</v>
        <stp/>
        <stp>BDP|16576616095599577883</stp>
        <tr r="S1333" s="2"/>
      </tp>
      <tp t="s">
        <v>#N/A Requesting Data...3722855830</v>
        <stp/>
        <stp>BDP|11985918271271064654</stp>
        <tr r="M116" s="2"/>
      </tp>
      <tp t="s">
        <v>#N/A Requesting Data...3864185176</v>
        <stp/>
        <stp>BDP|12260395467527870881</stp>
        <tr r="A1068" s="2"/>
      </tp>
      <tp t="s">
        <v>#N/A Requesting Data...3371480285</v>
        <stp/>
        <stp>BDP|12266134938258577000</stp>
        <tr r="M192" s="2"/>
      </tp>
      <tp t="s">
        <v>#N/A Requesting Data...3977456487</v>
        <stp/>
        <stp>BDP|11286608320105879861</stp>
        <tr r="F981" s="2"/>
      </tp>
      <tp t="b">
        <v>0</v>
        <stp/>
        <stp>BDS|16841945163417452647</stp>
        <tr r="I1508" s="2"/>
      </tp>
      <tp t="s">
        <v>#N/A Requesting Data...3039929849</v>
        <stp/>
        <stp>BDP|11904770291881376609</stp>
        <tr r="P2132" s="2"/>
      </tp>
      <tp t="s">
        <v>#N/A Requesting Data...2805872889</v>
        <stp/>
        <stp>BDP|13254361487769674992</stp>
        <tr r="A4" s="2"/>
      </tp>
      <tp t="s">
        <v>#N/A Requesting Data...3431101093</v>
        <stp/>
        <stp>BDP|15006299698240889656</stp>
        <tr r="H2230" s="2"/>
      </tp>
      <tp t="s">
        <v>#N/A Requesting Data...3202941233</v>
        <stp/>
        <stp>BDP|11515366185591251382</stp>
        <tr r="M1296" s="2"/>
      </tp>
      <tp t="s">
        <v>#N/A Requesting Data...3322259902</v>
        <stp/>
        <stp>BDP|11141996900040777030</stp>
        <tr r="J968" s="2"/>
      </tp>
      <tp t="s">
        <v>#N/A Requesting Data...3371694145</v>
        <stp/>
        <stp>BDP|15397865694135814959</stp>
        <tr r="C1186" s="2"/>
      </tp>
      <tp t="s">
        <v>#N/A Requesting Data...2855835149</v>
        <stp/>
        <stp>BDP|15553250291284939241</stp>
        <tr r="A2131" s="2"/>
      </tp>
      <tp t="s">
        <v>#N/A Requesting Data...3769972042</v>
        <stp/>
        <stp>BDP|17869270887282269767</stp>
        <tr r="P2410" s="2"/>
      </tp>
      <tp t="s">
        <v>#N/A Requesting Data...2385694945</v>
        <stp/>
        <stp>BDP|15861155307585703912</stp>
        <tr r="J264" s="2"/>
      </tp>
      <tp t="s">
        <v>#N/A Requesting Data...3299343412</v>
        <stp/>
        <stp>BDP|16534425914482861970</stp>
        <tr r="R1547" s="2"/>
      </tp>
      <tp t="s">
        <v>#N/A Requesting Data...3188937474</v>
        <stp/>
        <stp>BDP|11153257569769777466</stp>
        <tr r="A1239" s="2"/>
      </tp>
      <tp t="s">
        <v>#N/A Requesting Data...3453171657</v>
        <stp/>
        <stp>BDP|15841556581750656064</stp>
        <tr r="M1463" s="2"/>
      </tp>
      <tp t="s">
        <v>#N/A Requesting Data...3846369152</v>
        <stp/>
        <stp>BDP|11351805202187926678</stp>
        <tr r="O143" s="2"/>
      </tp>
      <tp t="s">
        <v>#N/A Requesting Data...2715349383</v>
        <stp/>
        <stp>BDP|12349963388802142930</stp>
        <tr r="O215" s="2"/>
      </tp>
      <tp t="s">
        <v>#N/A Requesting Data...3357625251</v>
        <stp/>
        <stp>BDP|16319293665823405941</stp>
        <tr r="R2306" s="2"/>
      </tp>
      <tp t="s">
        <v>#N/A Requesting Data...3036510587</v>
        <stp/>
        <stp>BDP|15438913419817368205</stp>
        <tr r="T388" s="2"/>
      </tp>
      <tp t="s">
        <v>#N/A Requesting Data...4003523440</v>
        <stp/>
        <stp>BDP|11844994515477381687</stp>
        <tr r="Q1638" s="2"/>
      </tp>
      <tp t="s">
        <v>#N/A Requesting Data...2966264717</v>
        <stp/>
        <stp>BDP|10891535033289239756</stp>
        <tr r="F2258" s="2"/>
      </tp>
      <tp t="s">
        <v>#N/A Requesting Data...3021954764</v>
        <stp/>
        <stp>BDP|11366403050958513096</stp>
        <tr r="M1638" s="2"/>
      </tp>
      <tp t="s">
        <v>#N/A Requesting Data...3623028073</v>
        <stp/>
        <stp>BDP|17163124652912704990</stp>
        <tr r="M2095" s="2"/>
      </tp>
      <tp t="s">
        <v>#N/A Requesting Data...3576974871</v>
        <stp/>
        <stp>BDP|16989665482734460466</stp>
        <tr r="K903" s="2"/>
      </tp>
      <tp t="s">
        <v>#N/A Requesting Data...2958097189</v>
        <stp/>
        <stp>BDP|18360470844494689490</stp>
        <tr r="C1414" s="2"/>
      </tp>
      <tp t="s">
        <v>#N/A Requesting Data...3022177414</v>
        <stp/>
        <stp>BDP|17575636483158221988</stp>
        <tr r="J1987" s="2"/>
      </tp>
      <tp t="s">
        <v>#N/A Requesting Data...2979674474</v>
        <stp/>
        <stp>BDP|14745100372438991233</stp>
        <tr r="P890" s="2"/>
      </tp>
      <tp t="s">
        <v>#N/A Requesting Data...3320610316</v>
        <stp/>
        <stp>BDP|16611502465989439483</stp>
        <tr r="D85" s="2"/>
      </tp>
      <tp t="s">
        <v>#N/A Requesting Data...4023464088</v>
        <stp/>
        <stp>BDP|13271200110331898954</stp>
        <tr r="T749" s="2"/>
      </tp>
      <tp t="s">
        <v>#N/A Requesting Data...2448673652</v>
        <stp/>
        <stp>BDP|16831008566771918984</stp>
        <tr r="J2169" s="2"/>
      </tp>
      <tp t="s">
        <v>#N/A Requesting Data...3418351863</v>
        <stp/>
        <stp>BDP|14213454605908411094</stp>
        <tr r="R2275" s="2"/>
      </tp>
      <tp t="b">
        <v>0</v>
        <stp/>
        <stp>BDS|17140785605800761876</stp>
        <tr r="I643" s="2"/>
      </tp>
      <tp t="b">
        <v>0</v>
        <stp/>
        <stp>BDS|17225964312486838128</stp>
        <tr r="I993" s="2"/>
      </tp>
      <tp t="s">
        <v>#N/A Requesting Data...4182106070</v>
        <stp/>
        <stp>BDP|14717072608558699417</stp>
        <tr r="N2172" s="2"/>
      </tp>
      <tp t="s">
        <v>#N/A Requesting Data...2848937079</v>
        <stp/>
        <stp>BDP|14151888993279670430</stp>
        <tr r="M2485" s="2"/>
      </tp>
      <tp t="s">
        <v>#N/A Requesting Data...3359306079</v>
        <stp/>
        <stp>BDP|10616151188186008749</stp>
        <tr r="M1057" s="2"/>
      </tp>
      <tp t="b">
        <v>0</v>
        <stp/>
        <stp>BDS|17951701120473187940</stp>
        <tr r="I2229" s="2"/>
      </tp>
      <tp t="s">
        <v>#N/A Requesting Data...2865921697</v>
        <stp/>
        <stp>BDP|16673229891416339391</stp>
        <tr r="D626" s="2"/>
      </tp>
      <tp t="s">
        <v>#N/A Requesting Data...3183703013</v>
        <stp/>
        <stp>BDP|16092565987826996572</stp>
        <tr r="S1931" s="2"/>
      </tp>
      <tp t="s">
        <v>#N/A Requesting Data...3631308411</v>
        <stp/>
        <stp>BDP|13720840049396460118</stp>
        <tr r="H2520" s="2"/>
      </tp>
      <tp t="s">
        <v>#N/A Requesting Data...3804906005</v>
        <stp/>
        <stp>BDP|11537839383790915933</stp>
        <tr r="E1285" s="2"/>
      </tp>
      <tp t="s">
        <v>#N/A Requesting Data...2743117825</v>
        <stp/>
        <stp>BDP|16807976968806999718</stp>
        <tr r="R799" s="2"/>
      </tp>
      <tp t="s">
        <v>#N/A Requesting Data...3752602883</v>
        <stp/>
        <stp>BDP|11767952782179831179</stp>
        <tr r="K1557" s="2"/>
      </tp>
      <tp t="b">
        <v>0</v>
        <stp/>
        <stp>BDS|18098794691126708832</stp>
        <tr r="I846" s="2"/>
      </tp>
      <tp t="s">
        <v>#N/A Requesting Data...2744188406</v>
        <stp/>
        <stp>BDP|14619115579943465956</stp>
        <tr r="G521" s="2"/>
      </tp>
      <tp t="s">
        <v>#N/A Requesting Data...2543577175</v>
        <stp/>
        <stp>BDP|18179452841672291287</stp>
        <tr r="H597" s="2"/>
      </tp>
      <tp t="s">
        <v>#N/A Requesting Data...4096895101</v>
        <stp/>
        <stp>BDP|12245929988652008976</stp>
        <tr r="A1174" s="2"/>
      </tp>
      <tp t="s">
        <v>#N/A Requesting Data...2567666087</v>
        <stp/>
        <stp>BDP|15146921752825662486</stp>
        <tr r="J102" s="2"/>
      </tp>
      <tp t="s">
        <v>#N/A Requesting Data...3183478411</v>
        <stp/>
        <stp>BDP|18199136759626070242</stp>
        <tr r="G241" s="2"/>
      </tp>
      <tp t="s">
        <v>#N/A Requesting Data...3328539058</v>
        <stp/>
        <stp>BDP|17860552663968138402</stp>
        <tr r="K1029" s="2"/>
      </tp>
      <tp t="s">
        <v>#N/A Requesting Data...4141772781</v>
        <stp/>
        <stp>BDP|10649596979343194984</stp>
        <tr r="E1485" s="2"/>
      </tp>
      <tp t="s">
        <v>#N/A Requesting Data...3754111624</v>
        <stp/>
        <stp>BDP|13972853131680204001</stp>
        <tr r="N670" s="2"/>
      </tp>
      <tp t="s">
        <v>#N/A Requesting Data...3127495316</v>
        <stp/>
        <stp>BDP|12334755521017869803</stp>
        <tr r="G884" s="2"/>
      </tp>
      <tp t="s">
        <v>#N/A Requesting Data...2543530158</v>
        <stp/>
        <stp>BDP|14006571970329146795</stp>
        <tr r="A482" s="2"/>
      </tp>
      <tp t="s">
        <v>#N/A Requesting Data...2604715381</v>
        <stp/>
        <stp>BDP|14358182119479425592</stp>
        <tr r="N2305" s="2"/>
      </tp>
      <tp t="s">
        <v>#N/A Requesting Data...3504489381</v>
        <stp/>
        <stp>BDP|10162965405717442693</stp>
        <tr r="N158" s="2"/>
      </tp>
      <tp t="s">
        <v>#N/A Requesting Data...3309542847</v>
        <stp/>
        <stp>BDP|16150157557679925355</stp>
        <tr r="M1634" s="2"/>
      </tp>
      <tp t="s">
        <v>#N/A Requesting Data...3297167354</v>
        <stp/>
        <stp>BDP|12889527625584116918</stp>
        <tr r="S1548" s="2"/>
      </tp>
      <tp t="s">
        <v>#N/A Requesting Data...3627640296</v>
        <stp/>
        <stp>BDP|11031986971413542437</stp>
        <tr r="H1731" s="2"/>
      </tp>
      <tp t="s">
        <v>#N/A Requesting Data...2900755634</v>
        <stp/>
        <stp>BDP|16569494593103406041</stp>
        <tr r="O635" s="2"/>
      </tp>
      <tp t="s">
        <v>#N/A Requesting Data...2646174429</v>
        <stp/>
        <stp>BDP|16085918129553670610</stp>
        <tr r="F2207" s="2"/>
      </tp>
      <tp t="s">
        <v>#N/A Requesting Data...3655127885</v>
        <stp/>
        <stp>BDP|17724540979469526405</stp>
        <tr r="M1870" s="2"/>
      </tp>
      <tp t="s">
        <v>#N/A Requesting Data...2613720054</v>
        <stp/>
        <stp>BDP|13739393320472057810</stp>
        <tr r="J868" s="2"/>
      </tp>
      <tp t="s">
        <v>#N/A Requesting Data...3762627510</v>
        <stp/>
        <stp>BDP|17412645808770178965</stp>
        <tr r="Q177" s="2"/>
      </tp>
      <tp t="s">
        <v>#N/A Requesting Data...2933967614</v>
        <stp/>
        <stp>BDP|14363898574787299431</stp>
        <tr r="C1987" s="2"/>
      </tp>
      <tp t="s">
        <v>#N/A Requesting Data...3795489117</v>
        <stp/>
        <stp>BDP|12947733796773201711</stp>
        <tr r="H239" s="2"/>
      </tp>
      <tp t="s">
        <v>#N/A Requesting Data...3536289009</v>
        <stp/>
        <stp>BDP|15109140882170917411</stp>
        <tr r="N1875" s="2"/>
      </tp>
      <tp t="s">
        <v>#N/A Requesting Data...2552850417</v>
        <stp/>
        <stp>BDP|17439875149624775727</stp>
        <tr r="G1162" s="2"/>
      </tp>
      <tp t="s">
        <v>#N/A Requesting Data...3307898413</v>
        <stp/>
        <stp>BDP|14654682903053072920</stp>
        <tr r="C635" s="2"/>
      </tp>
      <tp t="s">
        <v>#N/A Requesting Data...2554955527</v>
        <stp/>
        <stp>BDP|12374187222550136976</stp>
        <tr r="T2426" s="2"/>
      </tp>
      <tp t="s">
        <v>#N/A Requesting Data...2508721778</v>
        <stp/>
        <stp>BDP|14467913478707132531</stp>
        <tr r="P120" s="2"/>
      </tp>
      <tp t="s">
        <v>#N/A Requesting Data...3258794225</v>
        <stp/>
        <stp>BDP|17080013629358682510</stp>
        <tr r="M1674" s="2"/>
      </tp>
      <tp t="s">
        <v>#N/A Requesting Data...2918827209</v>
        <stp/>
        <stp>BDP|11433730660741863902</stp>
        <tr r="D1276" s="2"/>
      </tp>
      <tp t="s">
        <v>#N/A Requesting Data...3292786177</v>
        <stp/>
        <stp>BDP|13279805954403094598</stp>
        <tr r="N739" s="2"/>
      </tp>
      <tp t="s">
        <v>#N/A Requesting Data...3846627030</v>
        <stp/>
        <stp>BDP|16269387146141338804</stp>
        <tr r="A1815" s="2"/>
      </tp>
      <tp t="s">
        <v>#N/A Requesting Data...3515212355</v>
        <stp/>
        <stp>BDP|15984274956269094371</stp>
        <tr r="Q2072" s="2"/>
      </tp>
      <tp t="s">
        <v>#N/A Requesting Data...3517109371</v>
        <stp/>
        <stp>BDP|16634613794159819846</stp>
        <tr r="Q1482" s="2"/>
      </tp>
      <tp t="s">
        <v>#N/A Requesting Data...2517109041</v>
        <stp/>
        <stp>BDP|11519471198677154345</stp>
        <tr r="C2441" s="2"/>
      </tp>
      <tp t="s">
        <v>#N/A Requesting Data...4294120952</v>
        <stp/>
        <stp>BDP|16854330125769729666</stp>
        <tr r="J2509" s="2"/>
      </tp>
      <tp t="s">
        <v>#N/A Requesting Data...3645274231</v>
        <stp/>
        <stp>BDP|13595649499115316146</stp>
        <tr r="M1120" s="2"/>
      </tp>
      <tp t="s">
        <v>#N/A Requesting Data...3762390750</v>
        <stp/>
        <stp>BDP|13720280386262503336</stp>
        <tr r="Q1754" s="2"/>
      </tp>
      <tp t="s">
        <v>#N/A Requesting Data...2710615774</v>
        <stp/>
        <stp>BDP|11846430393766441231</stp>
        <tr r="P1418" s="2"/>
      </tp>
      <tp t="s">
        <v>#N/A Requesting Data...3958963051</v>
        <stp/>
        <stp>BDP|16239861266531951147</stp>
        <tr r="H1297" s="2"/>
      </tp>
      <tp t="s">
        <v>#N/A Requesting Data...3272997871</v>
        <stp/>
        <stp>BDP|10855045465726216843</stp>
        <tr r="G1251" s="2"/>
      </tp>
      <tp t="s">
        <v>#N/A Requesting Data...3746832839</v>
        <stp/>
        <stp>BDP|16050030061261925940</stp>
        <tr r="N535" s="2"/>
      </tp>
      <tp t="s">
        <v>#N/A Requesting Data...3665619707</v>
        <stp/>
        <stp>BDP|16712964722776900357</stp>
        <tr r="F313" s="2"/>
      </tp>
      <tp t="s">
        <v>#N/A Requesting Data...3737227174</v>
        <stp/>
        <stp>BDP|10892591594081993535</stp>
        <tr r="G519" s="2"/>
      </tp>
      <tp t="s">
        <v>#N/A Requesting Data...3843483110</v>
        <stp/>
        <stp>BDP|12289798915635210933</stp>
        <tr r="E1244" s="2"/>
      </tp>
      <tp t="s">
        <v>#N/A Requesting Data...2863596565</v>
        <stp/>
        <stp>BDP|11292340686574818666</stp>
        <tr r="J689" s="2"/>
      </tp>
      <tp t="s">
        <v>#N/A Requesting Data...3367313100</v>
        <stp/>
        <stp>BDP|13285796202585495939</stp>
        <tr r="S2378" s="2"/>
      </tp>
      <tp t="s">
        <v>#N/A Requesting Data...2545725746</v>
        <stp/>
        <stp>BDP|15306269202199067695</stp>
        <tr r="K108" s="2"/>
      </tp>
      <tp t="s">
        <v>#N/A Requesting Data...3267395278</v>
        <stp/>
        <stp>BDP|14756908446950693196</stp>
        <tr r="O362" s="2"/>
      </tp>
      <tp t="s">
        <v>#N/A Requesting Data...4217434449</v>
        <stp/>
        <stp>BDP|14968468888526805610</stp>
        <tr r="M1199" s="2"/>
      </tp>
      <tp t="s">
        <v>#N/A Requesting Data...3750576957</v>
        <stp/>
        <stp>BDP|17219855661201149099</stp>
        <tr r="Q909" s="2"/>
      </tp>
      <tp t="s">
        <v>#N/A Requesting Data...2625987592</v>
        <stp/>
        <stp>BDP|17725781114718470119</stp>
        <tr r="R1105" s="2"/>
      </tp>
      <tp t="s">
        <v>#N/A Requesting Data...3343041746</v>
        <stp/>
        <stp>BDP|15285382745762420855</stp>
        <tr r="M1692" s="2"/>
      </tp>
      <tp t="s">
        <v>#N/A Requesting Data...4214806610</v>
        <stp/>
        <stp>BDP|16505877602570800668</stp>
        <tr r="K938" s="2"/>
      </tp>
      <tp t="s">
        <v>#N/A Requesting Data...3832437017</v>
        <stp/>
        <stp>BDP|10844207683150217279</stp>
        <tr r="E241" s="2"/>
      </tp>
      <tp t="s">
        <v>#N/A Requesting Data...3735299064</v>
        <stp/>
        <stp>BDP|10190036936758390398</stp>
        <tr r="P1317" s="2"/>
      </tp>
      <tp t="s">
        <v>#N/A Requesting Data...3091793084</v>
        <stp/>
        <stp>BDP|15184041598726348203</stp>
        <tr r="F2125" s="2"/>
      </tp>
      <tp t="s">
        <v>#N/A Requesting Data...4131042448</v>
        <stp/>
        <stp>BDP|12102226384563992303</stp>
        <tr r="F825" s="2"/>
      </tp>
      <tp t="s">
        <v>#N/A Requesting Data...2931706936</v>
        <stp/>
        <stp>BDP|13322868428539201816</stp>
        <tr r="O1479" s="2"/>
      </tp>
      <tp t="s">
        <v>#N/A Requesting Data...3946348233</v>
        <stp/>
        <stp>BDP|14833625410413780833</stp>
        <tr r="S1517" s="2"/>
      </tp>
      <tp t="s">
        <v>#N/A Requesting Data...4154433388</v>
        <stp/>
        <stp>BDP|15890888821710789787</stp>
        <tr r="G1463" s="2"/>
      </tp>
      <tp t="s">
        <v>#N/A Requesting Data...2804500550</v>
        <stp/>
        <stp>BDP|11386210696255806723</stp>
        <tr r="K1618" s="2"/>
      </tp>
      <tp t="s">
        <v>#N/A Requesting Data...3068177827</v>
        <stp/>
        <stp>BDP|16025020881483997546</stp>
        <tr r="R983" s="2"/>
      </tp>
      <tp t="s">
        <v>#N/A Requesting Data...2814725647</v>
        <stp/>
        <stp>BDP|11009633648623045859</stp>
        <tr r="O1459" s="2"/>
      </tp>
      <tp t="s">
        <v>#N/A Requesting Data...2980447010</v>
        <stp/>
        <stp>BDP|15202917184414889813</stp>
        <tr r="J262" s="2"/>
      </tp>
      <tp t="s">
        <v>#N/A Requesting Data...4237378041</v>
        <stp/>
        <stp>BDP|17810263641879346021</stp>
        <tr r="F644" s="2"/>
      </tp>
      <tp t="b">
        <v>0</v>
        <stp/>
        <stp>BDS|10878824953912737736</stp>
        <tr r="I1228" s="2"/>
      </tp>
      <tp t="s">
        <v>#N/A Requesting Data...3086036373</v>
        <stp/>
        <stp>BDP|16080887470879711819</stp>
        <tr r="H2022" s="2"/>
      </tp>
      <tp t="b">
        <v>0</v>
        <stp/>
        <stp>BDS|15628794292826085508</stp>
        <tr r="I257" s="2"/>
      </tp>
      <tp t="s">
        <v>#N/A Requesting Data...3879420995</v>
        <stp/>
        <stp>BDP|10923331833178490035</stp>
        <tr r="P1295" s="2"/>
      </tp>
      <tp t="s">
        <v>#N/A Requesting Data...3865453402</v>
        <stp/>
        <stp>BDP|16473493962904465855</stp>
        <tr r="Q173" s="2"/>
      </tp>
      <tp t="s">
        <v>#N/A Requesting Data...3632276144</v>
        <stp/>
        <stp>BDP|12854957356764035258</stp>
        <tr r="O871" s="2"/>
      </tp>
      <tp t="s">
        <v>#N/A Requesting Data...3892665749</v>
        <stp/>
        <stp>BDP|14738735390807317592</stp>
        <tr r="G208" s="2"/>
      </tp>
      <tp t="s">
        <v>#N/A Requesting Data...3875274643</v>
        <stp/>
        <stp>BDP|18378586150380170048</stp>
        <tr r="N1368" s="2"/>
      </tp>
      <tp t="s">
        <v>#N/A Requesting Data...3868820941</v>
        <stp/>
        <stp>BDP|16755499026181454924</stp>
        <tr r="J1424" s="2"/>
      </tp>
      <tp t="s">
        <v>#N/A Requesting Data...3793900531</v>
        <stp/>
        <stp>BDP|11114227322869651097</stp>
        <tr r="J1836" s="2"/>
      </tp>
      <tp t="s">
        <v>#N/A Requesting Data...4236270848</v>
        <stp/>
        <stp>BDP|14205786444499385639</stp>
        <tr r="P758" s="2"/>
      </tp>
      <tp t="s">
        <v>#N/A Requesting Data...3536472336</v>
        <stp/>
        <stp>BDP|10796328698474168620</stp>
        <tr r="F974" s="2"/>
      </tp>
      <tp t="s">
        <v>#N/A Requesting Data...2918746089</v>
        <stp/>
        <stp>BDP|14709883227274102272</stp>
        <tr r="D1929" s="2"/>
      </tp>
      <tp t="s">
        <v>#N/A Requesting Data...3604135921</v>
        <stp/>
        <stp>BDP|15094269833458307487</stp>
        <tr r="P1008" s="2"/>
      </tp>
      <tp t="s">
        <v>#N/A Requesting Data...3216082670</v>
        <stp/>
        <stp>BDP|13660269828688429328</stp>
        <tr r="J990" s="2"/>
      </tp>
      <tp t="s">
        <v>#N/A Requesting Data...3750694340</v>
        <stp/>
        <stp>BDP|15683503765899814751</stp>
        <tr r="K2065" s="2"/>
      </tp>
      <tp t="b">
        <v>0</v>
        <stp/>
        <stp>BDS|13865665037259039741</stp>
        <tr r="I1171" s="2"/>
      </tp>
      <tp t="s">
        <v>#N/A Requesting Data...3385417928</v>
        <stp/>
        <stp>BDP|16453355229278463727</stp>
        <tr r="C2485" s="2"/>
      </tp>
      <tp t="s">
        <v>#N/A Requesting Data...3001091364</v>
        <stp/>
        <stp>BDP|12391891678502490787</stp>
        <tr r="M1209" s="2"/>
      </tp>
      <tp t="s">
        <v>#N/A Requesting Data...4239326285</v>
        <stp/>
        <stp>BDP|14226694485666258427</stp>
        <tr r="H1552" s="2"/>
      </tp>
      <tp t="s">
        <v>#N/A Requesting Data...3457522777</v>
        <stp/>
        <stp>BDP|17969746266568232674</stp>
        <tr r="A523" s="2"/>
      </tp>
      <tp t="s">
        <v>#N/A Requesting Data...4227646143</v>
        <stp/>
        <stp>BDP|17678635448474355901</stp>
        <tr r="N938" s="2"/>
      </tp>
      <tp t="b">
        <v>0</v>
        <stp/>
        <stp>BDS|17852184832254975966</stp>
        <tr r="I650" s="2"/>
      </tp>
      <tp t="s">
        <v>#N/A Requesting Data...4075046225</v>
        <stp/>
        <stp>BDP|10906634492171540633</stp>
        <tr r="P145" s="2"/>
      </tp>
      <tp t="s">
        <v>#N/A Requesting Data...3017798465</v>
        <stp/>
        <stp>BDP|11849123120968599215</stp>
        <tr r="K590" s="2"/>
      </tp>
      <tp t="s">
        <v>#N/A Requesting Data...3956607636</v>
        <stp/>
        <stp>BDP|17950591325380228897</stp>
        <tr r="D1579" s="2"/>
      </tp>
      <tp t="s">
        <v>#N/A Requesting Data...3360800236</v>
        <stp/>
        <stp>BDP|11068904720820780293</stp>
        <tr r="E239" s="2"/>
      </tp>
      <tp t="s">
        <v>#N/A Requesting Data...3654882425</v>
        <stp/>
        <stp>BDP|15715889556994566426</stp>
        <tr r="M527" s="2"/>
      </tp>
      <tp t="s">
        <v>#N/A Requesting Data...4101754638</v>
        <stp/>
        <stp>BDP|17711549887984214681</stp>
        <tr r="H1296" s="2"/>
      </tp>
      <tp t="s">
        <v>#N/A Requesting Data...4204366438</v>
        <stp/>
        <stp>BDP|10844236298432845153</stp>
        <tr r="E887" s="2"/>
      </tp>
      <tp t="s">
        <v>#N/A Requesting Data...3525350248</v>
        <stp/>
        <stp>BDP|10132933315806983601</stp>
        <tr r="O1088" s="2"/>
      </tp>
      <tp t="s">
        <v>#N/A Requesting Data...3849429186</v>
        <stp/>
        <stp>BDP|15511095307078237576</stp>
        <tr r="A1750" s="2"/>
      </tp>
      <tp t="s">
        <v>#N/A Requesting Data...3072854639</v>
        <stp/>
        <stp>BDP|11459979522683899173</stp>
        <tr r="T2292" s="2"/>
      </tp>
      <tp t="s">
        <v>#N/A Requesting Data...3621254567</v>
        <stp/>
        <stp>BDP|11288456228039782666</stp>
        <tr r="A2257" s="2"/>
      </tp>
      <tp t="s">
        <v>#N/A Requesting Data...3012776412</v>
        <stp/>
        <stp>BDP|16091985137550680471</stp>
        <tr r="O308" s="2"/>
      </tp>
      <tp t="s">
        <v>#N/A Requesting Data...3642253345</v>
        <stp/>
        <stp>BDP|18070304832689504995</stp>
        <tr r="Q2392" s="2"/>
      </tp>
      <tp t="s">
        <v>#N/A Requesting Data...4275755830</v>
        <stp/>
        <stp>BDP|11770194704890229869</stp>
        <tr r="K1782" s="2"/>
      </tp>
      <tp t="s">
        <v>#N/A Requesting Data...3537765883</v>
        <stp/>
        <stp>BDP|13854990748436446035</stp>
        <tr r="P2412" s="2"/>
      </tp>
      <tp t="s">
        <v>#N/A Requesting Data...2957965446</v>
        <stp/>
        <stp>BDP|12540428354873445890</stp>
        <tr r="M2055" s="2"/>
      </tp>
      <tp t="s">
        <v>#N/A Requesting Data...3265945954</v>
        <stp/>
        <stp>BDP|10827550758430960820</stp>
        <tr r="K416" s="2"/>
      </tp>
      <tp t="s">
        <v>#N/A Requesting Data...3037463982</v>
        <stp/>
        <stp>BDP|17436542384035855723</stp>
        <tr r="N1673" s="2"/>
      </tp>
      <tp t="s">
        <v>#N/A Requesting Data...4081858505</v>
        <stp/>
        <stp>BDP|17608974426201860516</stp>
        <tr r="A926" s="2"/>
      </tp>
      <tp t="s">
        <v>#N/A Requesting Data...3816663951</v>
        <stp/>
        <stp>BDP|14947461771187626860</stp>
        <tr r="O1201" s="2"/>
      </tp>
      <tp t="s">
        <v>#N/A Requesting Data...4045807986</v>
        <stp/>
        <stp>BDP|18056098263462399476</stp>
        <tr r="P986" s="2"/>
      </tp>
      <tp t="s">
        <v>#N/A Requesting Data...3197307664</v>
        <stp/>
        <stp>BDP|12645800587562662891</stp>
        <tr r="R1367" s="2"/>
      </tp>
      <tp t="s">
        <v>#N/A Requesting Data...3196956126</v>
        <stp/>
        <stp>BDP|13307275068429738657</stp>
        <tr r="O463" s="2"/>
      </tp>
      <tp t="s">
        <v>#N/A Requesting Data...2825973485</v>
        <stp/>
        <stp>BDP|11617442998710360477</stp>
        <tr r="M441" s="2"/>
      </tp>
      <tp t="s">
        <v>#N/A Requesting Data...3375662491</v>
        <stp/>
        <stp>BDP|18079392667376572354</stp>
        <tr r="N1894" s="2"/>
      </tp>
      <tp t="s">
        <v>#N/A Requesting Data...3989450427</v>
        <stp/>
        <stp>BDP|13087998761536504230</stp>
        <tr r="R1276" s="2"/>
      </tp>
      <tp t="b">
        <v>0</v>
        <stp/>
        <stp>BDS|10721575534359917700</stp>
        <tr r="I1877" s="2"/>
      </tp>
      <tp t="s">
        <v>#N/A Requesting Data...4285169833</v>
        <stp/>
        <stp>BDP|10992671660919720177</stp>
        <tr r="C1978" s="2"/>
      </tp>
      <tp t="s">
        <v>#N/A Requesting Data...3367317482</v>
        <stp/>
        <stp>BDP|16142974003265830235</stp>
        <tr r="N808" s="2"/>
      </tp>
      <tp t="s">
        <v>#N/A Requesting Data...2759019578</v>
        <stp/>
        <stp>BDP|16259967798798677646</stp>
        <tr r="N1540" s="2"/>
      </tp>
      <tp t="s">
        <v>#N/A Requesting Data...2943722176</v>
        <stp/>
        <stp>BDP|12281480064688954060</stp>
        <tr r="H235" s="2"/>
      </tp>
      <tp t="s">
        <v>#N/A Requesting Data...3720613187</v>
        <stp/>
        <stp>BDP|17149100225278651438</stp>
        <tr r="K119" s="2"/>
      </tp>
      <tp t="s">
        <v>#N/A Requesting Data...3383865648</v>
        <stp/>
        <stp>BDP|12478010080224260668</stp>
        <tr r="C638" s="2"/>
      </tp>
      <tp t="s">
        <v>#N/A Requesting Data...3828821226</v>
        <stp/>
        <stp>BDP|11406211617869154327</stp>
        <tr r="C2039" s="2"/>
      </tp>
      <tp t="s">
        <v>#N/A Requesting Data...3725041633</v>
        <stp/>
        <stp>BDP|13692674375079456312</stp>
        <tr r="R2326" s="2"/>
      </tp>
      <tp t="s">
        <v>#N/A Requesting Data...3803606176</v>
        <stp/>
        <stp>BDP|13107514461530333838</stp>
        <tr r="G1550" s="2"/>
      </tp>
      <tp t="s">
        <v>#N/A Requesting Data...3153457897</v>
        <stp/>
        <stp>BDP|10497265273704758977</stp>
        <tr r="A1680" s="2"/>
      </tp>
      <tp t="s">
        <v>#N/A Requesting Data...3552758446</v>
        <stp/>
        <stp>BDP|14201246835875720855</stp>
        <tr r="G1693" s="2"/>
      </tp>
      <tp t="s">
        <v>#N/A Requesting Data...3190670326</v>
        <stp/>
        <stp>BDP|10826582615948234463</stp>
        <tr r="G2302" s="2"/>
      </tp>
      <tp t="s">
        <v>#N/A Requesting Data...3566102649</v>
        <stp/>
        <stp>BDP|16414959771579129907</stp>
        <tr r="J2329" s="2"/>
      </tp>
      <tp t="s">
        <v>#N/A Requesting Data...3586659656</v>
        <stp/>
        <stp>BDP|16866409191411139290</stp>
        <tr r="E333" s="2"/>
      </tp>
      <tp t="s">
        <v>#N/A Requesting Data...3671204841</v>
        <stp/>
        <stp>BDP|18225448583798616424</stp>
        <tr r="E2143" s="2"/>
      </tp>
      <tp t="s">
        <v>#N/A Requesting Data...4188175188</v>
        <stp/>
        <stp>BDP|12393860531480250170</stp>
        <tr r="Q194" s="2"/>
      </tp>
      <tp t="s">
        <v>#N/A Requesting Data...3872994425</v>
        <stp/>
        <stp>BDP|18278944856965323920</stp>
        <tr r="S2356" s="2"/>
      </tp>
      <tp t="s">
        <v>#N/A Requesting Data...3165767042</v>
        <stp/>
        <stp>BDP|17250816830463782750</stp>
        <tr r="G1418" s="2"/>
      </tp>
      <tp t="s">
        <v>#N/A Requesting Data...2917566631</v>
        <stp/>
        <stp>BDP|10891684660348758064</stp>
        <tr r="H2511" s="2"/>
      </tp>
      <tp t="s">
        <v>#N/A Requesting Data...3380085782</v>
        <stp/>
        <stp>BDP|16839403608992531845</stp>
        <tr r="H140" s="2"/>
      </tp>
      <tp t="s">
        <v>#N/A Requesting Data...3450245676</v>
        <stp/>
        <stp>BDP|16344305342040083906</stp>
        <tr r="Q1432" s="2"/>
      </tp>
      <tp t="s">
        <v>#N/A Requesting Data...2826776020</v>
        <stp/>
        <stp>BDP|15360453253995278964</stp>
        <tr r="A824" s="2"/>
      </tp>
      <tp t="s">
        <v>#N/A Requesting Data...3570359584</v>
        <stp/>
        <stp>BDP|14191950824922869599</stp>
        <tr r="J976" s="2"/>
      </tp>
      <tp t="s">
        <v>#N/A Requesting Data...3065454107</v>
        <stp/>
        <stp>BDP|15209259197125738364</stp>
        <tr r="N2409" s="2"/>
      </tp>
      <tp t="s">
        <v>#N/A Requesting Data...2821472133</v>
        <stp/>
        <stp>BDP|12125166045459371609</stp>
        <tr r="P1270" s="2"/>
      </tp>
      <tp t="s">
        <v>#N/A Requesting Data...3506480089</v>
        <stp/>
        <stp>BDP|16201871455935124604</stp>
        <tr r="K1845" s="2"/>
      </tp>
      <tp t="s">
        <v>#N/A Requesting Data...3663812287</v>
        <stp/>
        <stp>BDP|11248818040994008128</stp>
        <tr r="T1351" s="2"/>
      </tp>
      <tp t="s">
        <v>#N/A Requesting Data...3262858425</v>
        <stp/>
        <stp>BDP|18202266601564368678</stp>
        <tr r="M1183" s="2"/>
      </tp>
      <tp t="s">
        <v>#N/A Requesting Data...3682764363</v>
        <stp/>
        <stp>BDP|11596805014618231824</stp>
        <tr r="P1209" s="2"/>
      </tp>
      <tp t="b">
        <v>0</v>
        <stp/>
        <stp>BDS|11827632469929471043</stp>
        <tr r="I1490" s="2"/>
      </tp>
      <tp t="s">
        <v>#N/A Requesting Data...3852914211</v>
        <stp/>
        <stp>BDP|11076923028775892737</stp>
        <tr r="M1367" s="2"/>
      </tp>
      <tp t="s">
        <v>#N/A Requesting Data...4113032392</v>
        <stp/>
        <stp>BDP|14009643590970337365</stp>
        <tr r="J1950" s="2"/>
      </tp>
      <tp t="s">
        <v>#N/A Requesting Data...3125873056</v>
        <stp/>
        <stp>BDP|13728016951938787619</stp>
        <tr r="C1719" s="2"/>
      </tp>
      <tp t="b">
        <v>0</v>
        <stp/>
        <stp>BDS|16698596172884886873</stp>
        <tr r="I589" s="2"/>
      </tp>
      <tp t="s">
        <v>#N/A Requesting Data...3513654178</v>
        <stp/>
        <stp>BDP|10764327107912265912</stp>
        <tr r="M1402" s="2"/>
      </tp>
      <tp t="s">
        <v>#N/A Requesting Data...3624527265</v>
        <stp/>
        <stp>BDP|10758667380900004608</stp>
        <tr r="T55" s="2"/>
      </tp>
      <tp t="s">
        <v>#N/A Requesting Data...3582543130</v>
        <stp/>
        <stp>BDP|18153054260483560500</stp>
        <tr r="C699" s="2"/>
      </tp>
      <tp t="s">
        <v>#N/A Requesting Data...3591122548</v>
        <stp/>
        <stp>BDP|14096969514203376706</stp>
        <tr r="T1789" s="2"/>
      </tp>
      <tp t="s">
        <v>#N/A Requesting Data...3985466812</v>
        <stp/>
        <stp>BDP|14796614132241791825</stp>
        <tr r="O436" s="2"/>
      </tp>
      <tp t="s">
        <v>#N/A Requesting Data...3996361134</v>
        <stp/>
        <stp>BDP|10560794146169878236</stp>
        <tr r="Q686" s="2"/>
      </tp>
      <tp t="s">
        <v>#N/A Requesting Data...2935980643</v>
        <stp/>
        <stp>BDP|16662866201782017404</stp>
        <tr r="A750" s="2"/>
      </tp>
      <tp t="s">
        <v>#N/A Requesting Data...3969643042</v>
        <stp/>
        <stp>BDP|10023345937561092929</stp>
        <tr r="H626" s="2"/>
      </tp>
      <tp t="s">
        <v>#N/A Requesting Data...4204766473</v>
        <stp/>
        <stp>BDP|13605103857037780879</stp>
        <tr r="G283" s="2"/>
      </tp>
      <tp t="s">
        <v>#N/A Requesting Data...3376914204</v>
        <stp/>
        <stp>BDP|13978800142404251384</stp>
        <tr r="Q732" s="2"/>
      </tp>
      <tp t="s">
        <v>#N/A Requesting Data...4015860990</v>
        <stp/>
        <stp>BDP|12415422345652423865</stp>
        <tr r="O69" s="2"/>
      </tp>
      <tp t="s">
        <v>#N/A Requesting Data...3938479169</v>
        <stp/>
        <stp>BDP|16274475872149158474</stp>
        <tr r="N888" s="2"/>
      </tp>
      <tp t="s">
        <v>#N/A Requesting Data...3215969340</v>
        <stp/>
        <stp>BDP|12615697689637017370</stp>
        <tr r="H669" s="2"/>
      </tp>
      <tp t="s">
        <v>#N/A Requesting Data...2857521301</v>
        <stp/>
        <stp>BDP|17050925302943610579</stp>
        <tr r="E221" s="2"/>
      </tp>
      <tp t="s">
        <v>#N/A Requesting Data...3041519294</v>
        <stp/>
        <stp>BDP|11883830019573795345</stp>
        <tr r="J931" s="2"/>
      </tp>
      <tp t="s">
        <v>#N/A Requesting Data...3663527934</v>
        <stp/>
        <stp>BDP|15224575515768158105</stp>
        <tr r="G1762" s="2"/>
      </tp>
      <tp t="s">
        <v>#N/A Requesting Data...4203792049</v>
        <stp/>
        <stp>BDP|15087958767016629452</stp>
        <tr r="D609" s="2"/>
      </tp>
      <tp t="s">
        <v>#N/A Requesting Data...3560756398</v>
        <stp/>
        <stp>BDP|10778064493767001634</stp>
        <tr r="F924" s="2"/>
      </tp>
      <tp t="s">
        <v>#N/A Requesting Data...4134101161</v>
        <stp/>
        <stp>BDP|10606969527573751019</stp>
        <tr r="C129" s="2"/>
      </tp>
      <tp t="s">
        <v>#N/A Requesting Data...4098181964</v>
        <stp/>
        <stp>BDP|18150250435215660461</stp>
        <tr r="J812" s="2"/>
      </tp>
      <tp t="s">
        <v>#N/A Requesting Data...2968243365</v>
        <stp/>
        <stp>BDP|15562845282265572876</stp>
        <tr r="K665" s="2"/>
      </tp>
      <tp t="s">
        <v>#N/A Requesting Data...3380447580</v>
        <stp/>
        <stp>BDP|13561877439530366092</stp>
        <tr r="M2075" s="2"/>
      </tp>
      <tp t="s">
        <v>#N/A Requesting Data...3452340725</v>
        <stp/>
        <stp>BDP|11738864257903468738</stp>
        <tr r="G1765" s="2"/>
      </tp>
      <tp t="b">
        <v>0</v>
        <stp/>
        <stp>BDS|17504206143559262065</stp>
        <tr r="I642" s="2"/>
      </tp>
      <tp t="s">
        <v>#N/A Requesting Data...3567217899</v>
        <stp/>
        <stp>BDP|13137753594490846597</stp>
        <tr r="H594" s="2"/>
      </tp>
      <tp t="s">
        <v>#N/A Requesting Data...3046907921</v>
        <stp/>
        <stp>BDP|13177300585760638034</stp>
        <tr r="F92" s="2"/>
      </tp>
      <tp t="s">
        <v>#N/A Requesting Data...3300236355</v>
        <stp/>
        <stp>BDP|12402951906475457627</stp>
        <tr r="E756" s="2"/>
      </tp>
      <tp t="s">
        <v>#N/A Requesting Data...3129156558</v>
        <stp/>
        <stp>BDP|18037503090634952884</stp>
        <tr r="R1873" s="2"/>
      </tp>
      <tp t="s">
        <v>#N/A Requesting Data...3805556410</v>
        <stp/>
        <stp>BDP|12395989435460776084</stp>
        <tr r="N1146" s="2"/>
      </tp>
      <tp t="s">
        <v>#N/A Requesting Data...3048073459</v>
        <stp/>
        <stp>BDP|11070800235280048246</stp>
        <tr r="G375" s="2"/>
      </tp>
      <tp t="s">
        <v>#N/A Requesting Data...3835118584</v>
        <stp/>
        <stp>BDP|10687691905359396785</stp>
        <tr r="K2513" s="2"/>
      </tp>
      <tp t="s">
        <v>#N/A Requesting Data...3961303767</v>
        <stp/>
        <stp>BDP|13443930359945698292</stp>
        <tr r="Q1770" s="2"/>
      </tp>
      <tp t="s">
        <v>#N/A Requesting Data...3141173288</v>
        <stp/>
        <stp>BDP|12787059416009767221</stp>
        <tr r="S488" s="2"/>
      </tp>
      <tp t="s">
        <v>#N/A Requesting Data...4278683602</v>
        <stp/>
        <stp>BDP|14073998406772776799</stp>
        <tr r="O1708" s="2"/>
      </tp>
      <tp t="s">
        <v>#N/A Requesting Data...3819204688</v>
        <stp/>
        <stp>BDP|17177977146714801691</stp>
        <tr r="G1026" s="2"/>
      </tp>
      <tp t="s">
        <v>#N/A Requesting Data...3314493511</v>
        <stp/>
        <stp>BDP|16119861940545755716</stp>
        <tr r="H1943" s="2"/>
      </tp>
      <tp t="b">
        <v>0</v>
        <stp/>
        <stp>BDS|13412179106668516229</stp>
        <tr r="I1954" s="2"/>
      </tp>
      <tp t="s">
        <v>#N/A Requesting Data...2909291050</v>
        <stp/>
        <stp>BDP|12321501700037318817</stp>
        <tr r="G2122" s="2"/>
      </tp>
      <tp t="s">
        <v>#N/A Requesting Data...3707096546</v>
        <stp/>
        <stp>BDP|13671165400183534945</stp>
        <tr r="S2222" s="2"/>
      </tp>
      <tp t="s">
        <v>#N/A Requesting Data...3742087726</v>
        <stp/>
        <stp>BDP|11387252287383558059</stp>
        <tr r="P2319" s="2"/>
      </tp>
      <tp t="s">
        <v>#N/A Requesting Data...3060538042</v>
        <stp/>
        <stp>BDP|16021452873575659815</stp>
        <tr r="C2391" s="2"/>
      </tp>
      <tp t="s">
        <v>#N/A Requesting Data...3394792611</v>
        <stp/>
        <stp>BDP|13551946113773021033</stp>
        <tr r="C1045" s="2"/>
      </tp>
      <tp t="s">
        <v>#N/A Requesting Data...3522307279</v>
        <stp/>
        <stp>BDP|11019458142909569033</stp>
        <tr r="K1573" s="2"/>
      </tp>
      <tp t="s">
        <v>#N/A Requesting Data...3828702820</v>
        <stp/>
        <stp>BDP|14996169385392220795</stp>
        <tr r="E669" s="2"/>
      </tp>
      <tp t="s">
        <v>#N/A Requesting Data...3730018537</v>
        <stp/>
        <stp>BDP|17276494898846484467</stp>
        <tr r="R2101" s="2"/>
      </tp>
      <tp t="s">
        <v>#N/A Requesting Data...3965280151</v>
        <stp/>
        <stp>BDP|15824189775158483306</stp>
        <tr r="K494" s="2"/>
      </tp>
      <tp t="s">
        <v>#N/A Requesting Data...3388088235</v>
        <stp/>
        <stp>BDP|16340397487057815246</stp>
        <tr r="R657" s="2"/>
      </tp>
      <tp t="s">
        <v>#N/A Requesting Data...3865308571</v>
        <stp/>
        <stp>BDP|13823206011570942811</stp>
        <tr r="Q2312" s="2"/>
      </tp>
      <tp t="s">
        <v>#N/A Requesting Data...3389758283</v>
        <stp/>
        <stp>BDP|15580062687844454113</stp>
        <tr r="Q1688" s="2"/>
      </tp>
      <tp t="s">
        <v>#N/A Requesting Data...3052295548</v>
        <stp/>
        <stp>BDP|15779728535958468154</stp>
        <tr r="P1873" s="2"/>
      </tp>
      <tp t="s">
        <v>#N/A Requesting Data...4131554996</v>
        <stp/>
        <stp>BDP|18092061603816507614</stp>
        <tr r="J1305" s="2"/>
      </tp>
      <tp t="s">
        <v>#N/A Requesting Data...3758003436</v>
        <stp/>
        <stp>BDP|12382563255648341232</stp>
        <tr r="N1085" s="2"/>
      </tp>
      <tp t="s">
        <v>#N/A Requesting Data...3648619333</v>
        <stp/>
        <stp>BDP|14680302687054367327</stp>
        <tr r="Q627" s="2"/>
      </tp>
      <tp t="s">
        <v>#N/A Requesting Data...3677369693</v>
        <stp/>
        <stp>BDP|11116929480408553062</stp>
        <tr r="R1480" s="2"/>
      </tp>
      <tp t="s">
        <v>#N/A Requesting Data...4287682563</v>
        <stp/>
        <stp>BDP|14894062255380953927</stp>
        <tr r="Q1994" s="2"/>
      </tp>
      <tp t="s">
        <v>#N/A Requesting Data...3574166186</v>
        <stp/>
        <stp>BDP|15693231406727339806</stp>
        <tr r="F1560" s="2"/>
      </tp>
      <tp t="s">
        <v>#N/A Requesting Data...3790429037</v>
        <stp/>
        <stp>BDP|13685785644581845926</stp>
        <tr r="T641" s="2"/>
      </tp>
      <tp t="s">
        <v>#N/A Requesting Data...3581394844</v>
        <stp/>
        <stp>BDP|15592199763383608999</stp>
        <tr r="T1067" s="2"/>
      </tp>
      <tp t="s">
        <v>#N/A Requesting Data...3862395230</v>
        <stp/>
        <stp>BDP|10295540782296098348</stp>
        <tr r="K36" s="2"/>
      </tp>
      <tp t="s">
        <v>#N/A Requesting Data...3357612767</v>
        <stp/>
        <stp>BDP|15904284293046588075</stp>
        <tr r="S255" s="2"/>
      </tp>
      <tp t="s">
        <v>#N/A Requesting Data...3987950983</v>
        <stp/>
        <stp>BDP|14753638290565662627</stp>
        <tr r="S705" s="2"/>
      </tp>
      <tp t="s">
        <v>#N/A Requesting Data...4120366367</v>
        <stp/>
        <stp>BDP|11625801355407461378</stp>
        <tr r="C866" s="2"/>
      </tp>
      <tp t="s">
        <v>#N/A Requesting Data...4252105371</v>
        <stp/>
        <stp>BDP|12180092166528654483</stp>
        <tr r="R1164" s="2"/>
      </tp>
      <tp t="s">
        <v>#N/A Requesting Data...3065219475</v>
        <stp/>
        <stp>BDP|14131327672021743969</stp>
        <tr r="T2152" s="2"/>
      </tp>
      <tp t="s">
        <v>#N/A Requesting Data...3388928340</v>
        <stp/>
        <stp>BDP|16667932055427109518</stp>
        <tr r="E1676" s="2"/>
      </tp>
      <tp t="s">
        <v>#N/A Requesting Data...3007330987</v>
        <stp/>
        <stp>BDP|11256047986120525159</stp>
        <tr r="Q369" s="2"/>
      </tp>
      <tp t="s">
        <v>#N/A Requesting Data...3911886056</v>
        <stp/>
        <stp>BDP|12584425739208668581</stp>
        <tr r="M381" s="2"/>
      </tp>
      <tp t="s">
        <v>#N/A Requesting Data...3877417131</v>
        <stp/>
        <stp>BDP|11680482220136834960</stp>
        <tr r="J824" s="2"/>
      </tp>
      <tp t="s">
        <v>#N/A Requesting Data...3735174330</v>
        <stp/>
        <stp>BDP|14680914794515620953</stp>
        <tr r="R1589" s="2"/>
      </tp>
      <tp t="s">
        <v>#N/A Requesting Data...3011844783</v>
        <stp/>
        <stp>BDP|15712946051500333119</stp>
        <tr r="R2027" s="2"/>
      </tp>
      <tp t="s">
        <v>#N/A Requesting Data...3061345121</v>
        <stp/>
        <stp>BDP|14718630435978199109</stp>
        <tr r="T1052" s="2"/>
      </tp>
      <tp t="s">
        <v>#N/A Requesting Data...3568373042</v>
        <stp/>
        <stp>BDP|16614612057918129517</stp>
        <tr r="J2087" s="2"/>
      </tp>
      <tp t="s">
        <v>#N/A Requesting Data...3874914735</v>
        <stp/>
        <stp>BDP|16673334804178993584</stp>
        <tr r="A2291" s="2"/>
      </tp>
      <tp t="s">
        <v>#N/A Requesting Data...4214569485</v>
        <stp/>
        <stp>BDP|16558853939360139589</stp>
        <tr r="J2095" s="2"/>
      </tp>
      <tp t="s">
        <v>#N/A Requesting Data...4011031292</v>
        <stp/>
        <stp>BDP|18116158165090260730</stp>
        <tr r="G2289" s="2"/>
      </tp>
      <tp t="s">
        <v>#N/A Requesting Data...3348548081</v>
        <stp/>
        <stp>BDP|10323914908085217488</stp>
        <tr r="D61" s="2"/>
      </tp>
      <tp t="s">
        <v>#N/A Requesting Data...3892561327</v>
        <stp/>
        <stp>BDP|13349231855978112442</stp>
        <tr r="F1435" s="2"/>
      </tp>
      <tp t="s">
        <v>#N/A Requesting Data...3869512029</v>
        <stp/>
        <stp>BDP|12453908609750946341</stp>
        <tr r="G1645" s="2"/>
      </tp>
      <tp t="b">
        <v>0</v>
        <stp/>
        <stp>BDS|17956397563442810889</stp>
        <tr r="I1622" s="2"/>
      </tp>
      <tp t="s">
        <v>#N/A Requesting Data...3096489374</v>
        <stp/>
        <stp>BDP|15715820873594298640</stp>
        <tr r="O63" s="2"/>
      </tp>
      <tp t="s">
        <v>#N/A Requesting Data...3143157574</v>
        <stp/>
        <stp>BDP|14014883832866305197</stp>
        <tr r="E554" s="2"/>
      </tp>
      <tp t="s">
        <v>#N/A Requesting Data...4121181763</v>
        <stp/>
        <stp>BDP|18133156534817008500</stp>
        <tr r="S889" s="2"/>
      </tp>
      <tp t="s">
        <v>#N/A Requesting Data...4256920684</v>
        <stp/>
        <stp>BDP|13541664895237193376</stp>
        <tr r="H1687" s="2"/>
      </tp>
      <tp t="s">
        <v>#N/A Requesting Data...4024285780</v>
        <stp/>
        <stp>BDP|10169448883291713511</stp>
        <tr r="K1643" s="2"/>
      </tp>
      <tp t="s">
        <v>#N/A Requesting Data...4154956876</v>
        <stp/>
        <stp>BDP|15108778807573616970</stp>
        <tr r="O368" s="2"/>
      </tp>
      <tp t="s">
        <v>#N/A Requesting Data...3926406820</v>
        <stp/>
        <stp>BDP|15577988446895866532</stp>
        <tr r="M1374" s="2"/>
      </tp>
      <tp t="s">
        <v>#N/A Requesting Data...4185041355</v>
        <stp/>
        <stp>BDP|13922819955913525583</stp>
        <tr r="O1247" s="2"/>
      </tp>
      <tp t="s">
        <v>#N/A Requesting Data...3167761085</v>
        <stp/>
        <stp>BDP|17248472184701637271</stp>
        <tr r="O1453" s="2"/>
      </tp>
      <tp t="s">
        <v>#N/A Requesting Data...3545798019</v>
        <stp/>
        <stp>BDP|14200513186014119541</stp>
        <tr r="S1044" s="2"/>
      </tp>
      <tp t="s">
        <v>#N/A Requesting Data...3702385665</v>
        <stp/>
        <stp>BDP|15406247290691207722</stp>
        <tr r="C1984" s="2"/>
      </tp>
      <tp t="s">
        <v>#N/A Requesting Data...4172469136</v>
        <stp/>
        <stp>BDP|17434717857215666842</stp>
        <tr r="J1695" s="2"/>
      </tp>
      <tp t="s">
        <v>#N/A Requesting Data...3495045460</v>
        <stp/>
        <stp>BDP|11083897741433010688</stp>
        <tr r="N2287" s="2"/>
      </tp>
      <tp t="s">
        <v>#N/A Requesting Data...3441920307</v>
        <stp/>
        <stp>BDP|10899792784496341169</stp>
        <tr r="K2359" s="2"/>
      </tp>
      <tp t="s">
        <v>#N/A Requesting Data...3719153092</v>
        <stp/>
        <stp>BDP|12858568212887444983</stp>
        <tr r="Q1161" s="2"/>
      </tp>
      <tp t="s">
        <v>#N/A Requesting Data...3177162280</v>
        <stp/>
        <stp>BDP|17074195762289948126</stp>
        <tr r="H1631" s="2"/>
      </tp>
      <tp t="s">
        <v>#N/A Requesting Data...3420397084</v>
        <stp/>
        <stp>BDP|12878681406054155872</stp>
        <tr r="C2498" s="2"/>
      </tp>
      <tp t="s">
        <v>#N/A Requesting Data...3839549026</v>
        <stp/>
        <stp>BDP|12026016523188635047</stp>
        <tr r="D1478" s="2"/>
      </tp>
      <tp t="s">
        <v>#N/A Requesting Data...3846520531</v>
        <stp/>
        <stp>BDP|12834064478345171872</stp>
        <tr r="N488" s="2"/>
      </tp>
      <tp t="s">
        <v>#N/A Requesting Data...4059155749</v>
        <stp/>
        <stp>BDP|11375411988347837226</stp>
        <tr r="S1752" s="2"/>
      </tp>
      <tp t="s">
        <v>#N/A Requesting Data...3243353454</v>
        <stp/>
        <stp>BDP|10026956987621465864</stp>
        <tr r="D31" s="2"/>
      </tp>
      <tp t="s">
        <v>#N/A Requesting Data...4092053165</v>
        <stp/>
        <stp>BDP|17207896843727185499</stp>
        <tr r="C1262" s="2"/>
      </tp>
      <tp t="s">
        <v>#N/A Requesting Data...4141108794</v>
        <stp/>
        <stp>BDP|15339941366084739661</stp>
        <tr r="G1084" s="2"/>
      </tp>
      <tp t="s">
        <v>#N/A Requesting Data...3303747312</v>
        <stp/>
        <stp>BDP|11662765087043341547</stp>
        <tr r="N1023" s="2"/>
      </tp>
      <tp t="s">
        <v>#N/A Requesting Data...3403705225</v>
        <stp/>
        <stp>BDP|11946000419440845884</stp>
        <tr r="A478" s="2"/>
      </tp>
      <tp t="s">
        <v>#N/A Requesting Data...3591424358</v>
        <stp/>
        <stp>BDP|11018041420612373976</stp>
        <tr r="O1021" s="2"/>
      </tp>
      <tp t="s">
        <v>#N/A Requesting Data...4127431461</v>
        <stp/>
        <stp>BDP|18054367116562794079</stp>
        <tr r="S272" s="2"/>
      </tp>
      <tp t="s">
        <v>#N/A Requesting Data...4253816912</v>
        <stp/>
        <stp>BDP|11846593090906784361</stp>
        <tr r="O1468" s="2"/>
      </tp>
      <tp t="s">
        <v>#N/A Requesting Data...3829891272</v>
        <stp/>
        <stp>BDP|17572130131109581429</stp>
        <tr r="Q1382" s="2"/>
      </tp>
      <tp t="b">
        <v>0</v>
        <stp/>
        <stp>BDS|14616705138090943846</stp>
        <tr r="I1800" s="2"/>
      </tp>
      <tp t="s">
        <v>#N/A Requesting Data...3831462880</v>
        <stp/>
        <stp>BDP|10404804921075111743</stp>
        <tr r="E1985" s="2"/>
      </tp>
      <tp t="s">
        <v>#N/A Requesting Data...4148469203</v>
        <stp/>
        <stp>BDP|10302888512937873610</stp>
        <tr r="R1541" s="2"/>
      </tp>
      <tp t="s">
        <v>#N/A Requesting Data...3828300436</v>
        <stp/>
        <stp>BDP|18401457867725749712</stp>
        <tr r="Q1911" s="2"/>
      </tp>
      <tp t="s">
        <v>#N/A Requesting Data...3663239468</v>
        <stp/>
        <stp>BDP|14079237143608803283</stp>
        <tr r="G1792" s="2"/>
      </tp>
      <tp t="s">
        <v>#N/A Requesting Data...3392355656</v>
        <stp/>
        <stp>BDP|11804241563008664592</stp>
        <tr r="M2437" s="2"/>
      </tp>
      <tp t="s">
        <v>#N/A Requesting Data...3641286983</v>
        <stp/>
        <stp>BDP|17772444244546561925</stp>
        <tr r="K2057" s="2"/>
      </tp>
      <tp t="s">
        <v>#N/A Requesting Data...3306415961</v>
        <stp/>
        <stp>BDP|17666390159950226948</stp>
        <tr r="S1590" s="2"/>
      </tp>
      <tp t="s">
        <v>#N/A Requesting Data...4029979125</v>
        <stp/>
        <stp>BDP|14586075180236029229</stp>
        <tr r="E586" s="2"/>
      </tp>
      <tp t="s">
        <v>#N/A Requesting Data...3974672135</v>
        <stp/>
        <stp>BDP|11646228823419746008</stp>
        <tr r="O1885" s="2"/>
      </tp>
      <tp t="s">
        <v>#N/A Requesting Data...3731934867</v>
        <stp/>
        <stp>BDP|16605329777482692850</stp>
        <tr r="R1342" s="2"/>
      </tp>
      <tp t="b">
        <v>0</v>
        <stp/>
        <stp>BDS|12998235204470496895</stp>
        <tr r="I1458" s="2"/>
      </tp>
      <tp t="s">
        <v>#N/A Requesting Data...3819243044</v>
        <stp/>
        <stp>BDP|15649846100005018027</stp>
        <tr r="R1472" s="2"/>
      </tp>
      <tp t="s">
        <v>#N/A Requesting Data...3363251950</v>
        <stp/>
        <stp>BDP|15973461105389908031</stp>
        <tr r="P447" s="2"/>
      </tp>
      <tp t="s">
        <v>#N/A Requesting Data...3235585023</v>
        <stp/>
        <stp>BDP|16779430826841028916</stp>
        <tr r="A1896" s="2"/>
      </tp>
      <tp t="s">
        <v>#N/A Requesting Data...3634426478</v>
        <stp/>
        <stp>BDP|13068731080941770572</stp>
        <tr r="E1836" s="2"/>
      </tp>
      <tp t="s">
        <v>#N/A Requesting Data...3231597419</v>
        <stp/>
        <stp>BDP|17599947191038740741</stp>
        <tr r="D669" s="2"/>
      </tp>
      <tp t="s">
        <v>#N/A Requesting Data...3175493915</v>
        <stp/>
        <stp>BDP|16448763385199692824</stp>
        <tr r="O1168" s="2"/>
      </tp>
      <tp t="s">
        <v>#N/A Requesting Data...4009204367</v>
        <stp/>
        <stp>BDP|13541028372804271848</stp>
        <tr r="O2042" s="2"/>
      </tp>
      <tp t="s">
        <v>#N/A Requesting Data...3613700148</v>
        <stp/>
        <stp>BDP|14058341573291396974</stp>
        <tr r="G2262" s="2"/>
      </tp>
      <tp t="s">
        <v>#N/A Requesting Data...3959651827</v>
        <stp/>
        <stp>BDP|10421337992347288544</stp>
        <tr r="S2321" s="2"/>
      </tp>
      <tp t="b">
        <v>0</v>
        <stp/>
        <stp>BDS|10752431224626206828</stp>
        <tr r="I474" s="2"/>
      </tp>
      <tp t="s">
        <v>#N/A Requesting Data...3245422441</v>
        <stp/>
        <stp>BDP|14532059694345653016</stp>
        <tr r="F828" s="2"/>
      </tp>
      <tp t="s">
        <v>#N/A Requesting Data...3696303528</v>
        <stp/>
        <stp>BDP|18024836392230689147</stp>
        <tr r="Q188" s="2"/>
      </tp>
      <tp t="s">
        <v>#N/A Requesting Data...3527810950</v>
        <stp/>
        <stp>BDP|11797909802864180479</stp>
        <tr r="Q684" s="2"/>
      </tp>
      <tp t="s">
        <v>#N/A Requesting Data...4213518274</v>
        <stp/>
        <stp>BDP|16969999314100503627</stp>
        <tr r="S1324" s="2"/>
      </tp>
      <tp t="s">
        <v>#N/A Requesting Data...3457037653</v>
        <stp/>
        <stp>BDP|15079573959295593886</stp>
        <tr r="R2254" s="2"/>
      </tp>
      <tp t="b">
        <v>0</v>
        <stp/>
        <stp>BDS|11021944766947108136</stp>
        <tr r="I1830" s="2"/>
      </tp>
      <tp t="s">
        <v>#N/A Requesting Data...4027896502</v>
        <stp/>
        <stp>BDP|11420909807898424848</stp>
        <tr r="M1027" s="2"/>
      </tp>
      <tp t="s">
        <v>#N/A Requesting Data...4227676580</v>
        <stp/>
        <stp>BDP|16656721138908746280</stp>
        <tr r="K437" s="2"/>
      </tp>
      <tp t="s">
        <v>#N/A Requesting Data...4198947214</v>
        <stp/>
        <stp>BDP|13947941209274061678</stp>
        <tr r="O1799" s="2"/>
      </tp>
      <tp t="s">
        <v>#N/A Requesting Data...4121666663</v>
        <stp/>
        <stp>BDP|12171827975907645235</stp>
        <tr r="F804" s="2"/>
      </tp>
      <tp t="s">
        <v>#N/A Requesting Data...3615670454</v>
        <stp/>
        <stp>BDP|15425514316990710976</stp>
        <tr r="G2490" s="2"/>
      </tp>
      <tp t="s">
        <v>#N/A Requesting Data...3757769938</v>
        <stp/>
        <stp>BDP|12008115980185157639</stp>
        <tr r="F1163" s="2"/>
      </tp>
      <tp t="s">
        <v>#N/A Requesting Data...3994009697</v>
        <stp/>
        <stp>BDP|15627538635418739345</stp>
        <tr r="D993" s="2"/>
      </tp>
      <tp t="s">
        <v>#N/A Requesting Data...3716132480</v>
        <stp/>
        <stp>BDP|17679876365260686113</stp>
        <tr r="E1637" s="2"/>
      </tp>
      <tp t="s">
        <v>#N/A Requesting Data...3553780823</v>
        <stp/>
        <stp>BDP|16370289797270671593</stp>
        <tr r="S2419" s="2"/>
      </tp>
      <tp t="s">
        <v>#N/A Requesting Data...3287874885</v>
        <stp/>
        <stp>BDP|11020573282526493225</stp>
        <tr r="J2161" s="2"/>
      </tp>
      <tp t="s">
        <v>#N/A Requesting Data...4192485172</v>
        <stp/>
        <stp>BDP|18238693881858137683</stp>
        <tr r="A1629" s="2"/>
      </tp>
      <tp t="s">
        <v>#N/A Requesting Data...4229119037</v>
        <stp/>
        <stp>BDP|14787331500596613912</stp>
        <tr r="F986" s="2"/>
      </tp>
      <tp t="s">
        <v>#N/A Requesting Data...3612462611</v>
        <stp/>
        <stp>BDP|11691400373669297349</stp>
        <tr r="N1515" s="2"/>
      </tp>
      <tp t="s">
        <v>#N/A Requesting Data...3727547533</v>
        <stp/>
        <stp>BDP|17639750591714236539</stp>
        <tr r="R884" s="2"/>
      </tp>
      <tp t="b">
        <v>0</v>
        <stp/>
        <stp>BDS|14975102030339812719</stp>
        <tr r="I1266" s="2"/>
      </tp>
      <tp t="s">
        <v>#N/A Requesting Data...3322092948</v>
        <stp/>
        <stp>BDP|16714253267168196274</stp>
        <tr r="K1228" s="2"/>
      </tp>
      <tp t="s">
        <v>#N/A Requesting Data...4215988450</v>
        <stp/>
        <stp>BDP|14977347689182294555</stp>
        <tr r="M893" s="2"/>
      </tp>
      <tp t="s">
        <v>#N/A Requesting Data...3608538092</v>
        <stp/>
        <stp>BDP|15997406728283574877</stp>
        <tr r="G634" s="2"/>
      </tp>
      <tp t="s">
        <v>#N/A Requesting Data...3228520461</v>
        <stp/>
        <stp>BDP|13369196411149941218</stp>
        <tr r="M372" s="2"/>
      </tp>
      <tp t="s">
        <v>#N/A Requesting Data...3484016561</v>
        <stp/>
        <stp>BDP|11380594389080131412</stp>
        <tr r="R2014" s="2"/>
      </tp>
      <tp t="s">
        <v>#N/A Requesting Data...3319862646</v>
        <stp/>
        <stp>BDP|14683844832286319102</stp>
        <tr r="H1739" s="2"/>
      </tp>
      <tp t="s">
        <v>#N/A Requesting Data...4255353087</v>
        <stp/>
        <stp>BDP|14438850571921202216</stp>
        <tr r="A2299" s="2"/>
      </tp>
      <tp t="s">
        <v>#N/A Requesting Data...3869077436</v>
        <stp/>
        <stp>BDP|15741879922045513240</stp>
        <tr r="N1669" s="2"/>
      </tp>
      <tp t="s">
        <v>#N/A Requesting Data...3823646440</v>
        <stp/>
        <stp>BDP|14966541998544563438</stp>
        <tr r="O217" s="2"/>
      </tp>
      <tp t="s">
        <v>#N/A Requesting Data...3536812691</v>
        <stp/>
        <stp>BDP|14218331263359879098</stp>
        <tr r="C1996" s="2"/>
      </tp>
      <tp t="s">
        <v>#N/A Requesting Data...3520710174</v>
        <stp/>
        <stp>BDP|16033951325907756242</stp>
        <tr r="S1984" s="2"/>
      </tp>
      <tp t="b">
        <v>0</v>
        <stp/>
        <stp>BDS|12641329679019970746</stp>
        <tr r="I2193" s="2"/>
      </tp>
      <tp t="s">
        <v>#N/A Requesting Data...3532480637</v>
        <stp/>
        <stp>BDP|13753060489810327383</stp>
        <tr r="O728" s="2"/>
      </tp>
      <tp t="s">
        <v>#N/A Requesting Data...4248517621</v>
        <stp/>
        <stp>BDP|12202931215642549020</stp>
        <tr r="H1295" s="2"/>
      </tp>
      <tp t="s">
        <v>#N/A Requesting Data...4248271324</v>
        <stp/>
        <stp>BDP|13200880171292196698</stp>
        <tr r="N788" s="2"/>
      </tp>
      <tp t="s">
        <v>#N/A Requesting Data...3484161301</v>
        <stp/>
        <stp>BDP|16992842976076182790</stp>
        <tr r="A1366" s="2"/>
      </tp>
      <tp t="b">
        <v>0</v>
        <stp/>
        <stp>BDS|12576682862158850272</stp>
        <tr r="I680" s="2"/>
      </tp>
      <tp t="s">
        <v>#N/A Requesting Data...3387045849</v>
        <stp/>
        <stp>BDP|10674476153650943980</stp>
        <tr r="D620" s="2"/>
      </tp>
      <tp t="s">
        <v>#N/A Requesting Data...4207360018</v>
        <stp/>
        <stp>BDP|15923749639459299054</stp>
        <tr r="S268" s="2"/>
      </tp>
      <tp t="s">
        <v>#N/A Requesting Data...3404789379</v>
        <stp/>
        <stp>BDP|16026044102058559601</stp>
        <tr r="R1735" s="2"/>
      </tp>
      <tp t="s">
        <v>#N/A Requesting Data...3559341127</v>
        <stp/>
        <stp>BDP|10986137769078090704</stp>
        <tr r="M462" s="2"/>
      </tp>
      <tp t="s">
        <v>#N/A Requesting Data...4183162147</v>
        <stp/>
        <stp>BDP|15078284724294857976</stp>
        <tr r="O949" s="2"/>
      </tp>
      <tp t="s">
        <v>#N/A Requesting Data...3773517916</v>
        <stp/>
        <stp>BDP|15098719662484627864</stp>
        <tr r="H553" s="2"/>
      </tp>
      <tp t="s">
        <v>#N/A Requesting Data...3351185933</v>
        <stp/>
        <stp>BDP|11771449769939827217</stp>
        <tr r="M1717" s="2"/>
      </tp>
      <tp t="s">
        <v>#N/A Requesting Data...4039924222</v>
        <stp/>
        <stp>BDP|13667483989636150157</stp>
        <tr r="N1388" s="2"/>
      </tp>
      <tp t="s">
        <v>#N/A Requesting Data...3688007583</v>
        <stp/>
        <stp>BDP|13486606947731710879</stp>
        <tr r="G435" s="2"/>
      </tp>
      <tp t="s">
        <v>#N/A Requesting Data...4204222234</v>
        <stp/>
        <stp>BDP|14369047052950100979</stp>
        <tr r="A1477" s="2"/>
      </tp>
      <tp t="s">
        <v>#N/A Requesting Data...4193879701</v>
        <stp/>
        <stp>BDP|18082331117687797506</stp>
        <tr r="R1755" s="2"/>
      </tp>
      <tp t="s">
        <v>#N/A Requesting Data...4253878409</v>
        <stp/>
        <stp>BDP|11379062284022572372</stp>
        <tr r="A1608" s="2"/>
      </tp>
      <tp t="s">
        <v>#N/A Requesting Data...3346129756</v>
        <stp/>
        <stp>BDP|17357962533042460711</stp>
        <tr r="F660" s="2"/>
      </tp>
      <tp t="s">
        <v>#N/A Requesting Data...4028093556</v>
        <stp/>
        <stp>BDP|16731598539720195855</stp>
        <tr r="T809" s="2"/>
      </tp>
      <tp t="s">
        <v>#N/A Requesting Data...4012288968</v>
        <stp/>
        <stp>BDP|10670817964766173017</stp>
        <tr r="E1385" s="2"/>
      </tp>
      <tp t="s">
        <v>#N/A Requesting Data...4264648729</v>
        <stp/>
        <stp>BDP|12468346682766904780</stp>
        <tr r="D1791" s="2"/>
      </tp>
      <tp t="s">
        <v>#N/A Requesting Data...3971021509</v>
        <stp/>
        <stp>BDP|17881822076660939068</stp>
        <tr r="C1358" s="2"/>
      </tp>
      <tp t="s">
        <v>#N/A Requesting Data...3927314712</v>
        <stp/>
        <stp>BDP|14052827902017072332</stp>
        <tr r="K2265" s="2"/>
      </tp>
      <tp t="s">
        <v>#N/A Requesting Data...3578662957</v>
        <stp/>
        <stp>BDP|11149581614234857965</stp>
        <tr r="N2404" s="2"/>
      </tp>
      <tp t="s">
        <v>#N/A Requesting Data...4141030395</v>
        <stp/>
        <stp>BDP|12970102754788935676</stp>
        <tr r="M1529" s="2"/>
      </tp>
      <tp t="s">
        <v>#N/A Requesting Data...3557728217</v>
        <stp/>
        <stp>BDP|17070815854437131572</stp>
        <tr r="N132" s="2"/>
      </tp>
      <tp t="s">
        <v>#N/A Requesting Data...4077906934</v>
        <stp/>
        <stp>BDP|17136997478605708445</stp>
        <tr r="R320" s="2"/>
      </tp>
      <tp t="s">
        <v>#N/A Requesting Data...3652437782</v>
        <stp/>
        <stp>BDP|12326543895294832297</stp>
        <tr r="H2369" s="2"/>
      </tp>
      <tp t="s">
        <v>#N/A Requesting Data...3754154300</v>
        <stp/>
        <stp>BDP|13220352690637136652</stp>
        <tr r="N1417" s="2"/>
      </tp>
      <tp t="s">
        <v>#N/A Requesting Data...3421123655</v>
        <stp/>
        <stp>BDP|17950492095722559033</stp>
        <tr r="C2216" s="2"/>
      </tp>
      <tp t="s">
        <v>#N/A Requesting Data...3358835405</v>
        <stp/>
        <stp>BDP|10307427883316064214</stp>
        <tr r="O2167" s="2"/>
      </tp>
      <tp t="s">
        <v>#N/A Requesting Data...4098378402</v>
        <stp/>
        <stp>BDP|14689078892656460346</stp>
        <tr r="M2330" s="2"/>
      </tp>
      <tp t="s">
        <v>#N/A Requesting Data...3719575249</v>
        <stp/>
        <stp>BDP|16655899469852650237</stp>
        <tr r="T2526" s="2"/>
      </tp>
      <tp t="s">
        <v>#N/A Requesting Data...3974350723</v>
        <stp/>
        <stp>BDP|13615972474585448024</stp>
        <tr r="A2273" s="2"/>
      </tp>
      <tp t="s">
        <v>#N/A Requesting Data...4028729528</v>
        <stp/>
        <stp>BDP|14685927736805400351</stp>
        <tr r="M863" s="2"/>
      </tp>
      <tp t="b">
        <v>0</v>
        <stp/>
        <stp>BDS|16795334651820013852</stp>
        <tr r="I1637" s="2"/>
      </tp>
      <tp t="s">
        <v>#N/A Requesting Data...3667665343</v>
        <stp/>
        <stp>BDP|11398995720822023093</stp>
        <tr r="S2045" s="2"/>
      </tp>
      <tp t="s">
        <v>#N/A Requesting Data...3913068103</v>
        <stp/>
        <stp>BDP|12668412031754733925</stp>
        <tr r="E1698" s="2"/>
      </tp>
      <tp t="s">
        <v>#N/A Requesting Data...3562097216</v>
        <stp/>
        <stp>BDP|17768111254752977982</stp>
        <tr r="P1176" s="2"/>
      </tp>
      <tp t="s">
        <v>#N/A Requesting Data...3707987203</v>
        <stp/>
        <stp>BDP|12103546235745512965</stp>
        <tr r="D1342" s="2"/>
      </tp>
      <tp t="s">
        <v>#N/A Requesting Data...4247356711</v>
        <stp/>
        <stp>BDP|13595992008295291754</stp>
        <tr r="F147" s="2"/>
      </tp>
      <tp t="b">
        <v>0</v>
        <stp/>
        <stp>BDS|15537038805404790942</stp>
        <tr r="I2335" s="2"/>
      </tp>
      <tp t="s">
        <v>#N/A Requesting Data...4284181192</v>
        <stp/>
        <stp>BDP|11596972333844519776</stp>
        <tr r="C218" s="2"/>
      </tp>
      <tp t="s">
        <v>#N/A Requesting Data...4181362748</v>
        <stp/>
        <stp>BDP|15722863740622763355</stp>
        <tr r="Q2518" s="2"/>
      </tp>
      <tp t="s">
        <v>#N/A Requesting Data...3935905207</v>
        <stp/>
        <stp>BDP|15151269060829254065</stp>
        <tr r="T958" s="2"/>
      </tp>
      <tp t="s">
        <v>#N/A Requesting Data...3696722871</v>
        <stp/>
        <stp>BDP|10906538134158843659</stp>
        <tr r="P545" s="2"/>
      </tp>
      <tp t="s">
        <v>#N/A Requesting Data...3544968819</v>
        <stp/>
        <stp>BDP|10735007443024713801</stp>
        <tr r="A1216" s="2"/>
      </tp>
      <tp t="b">
        <v>0</v>
        <stp/>
        <stp>BDS|11623907216972216329</stp>
        <tr r="I1262" s="2"/>
      </tp>
      <tp t="b">
        <v>0</v>
        <stp/>
        <stp>BDS|16596315800968578516</stp>
        <tr r="I2528" s="2"/>
      </tp>
      <tp t="s">
        <v>#N/A Requesting Data...3867766455</v>
        <stp/>
        <stp>BDP|15258317898955941204</stp>
        <tr r="E517" s="2"/>
      </tp>
      <tp t="s">
        <v>#N/A Requesting Data...3730066664</v>
        <stp/>
        <stp>BDP|10542312587993549040</stp>
        <tr r="F863" s="2"/>
      </tp>
      <tp t="b">
        <v>0</v>
        <stp/>
        <stp>BDS|17352879624527507242</stp>
        <tr r="I681" s="2"/>
      </tp>
      <tp t="s">
        <v>#N/A Requesting Data...3558030962</v>
        <stp/>
        <stp>BDP|10450707027149594441</stp>
        <tr r="T2306" s="2"/>
      </tp>
      <tp t="s">
        <v>#N/A Requesting Data...3883318592</v>
        <stp/>
        <stp>BDP|10091697935524738993</stp>
        <tr r="Q2130" s="2"/>
      </tp>
      <tp t="s">
        <v>#N/A Requesting Data...3446095105</v>
        <stp/>
        <stp>BDP|10534700384790580766</stp>
        <tr r="G727" s="2"/>
      </tp>
      <tp t="s">
        <v>#N/A Requesting Data...3406727342</v>
        <stp/>
        <stp>BDP|10181267896362314107</stp>
        <tr r="O2462" s="2"/>
      </tp>
      <tp t="s">
        <v>#N/A Requesting Data...4186972606</v>
        <stp/>
        <stp>BDP|10060474717119397410</stp>
        <tr r="Q168" s="2"/>
      </tp>
      <tp t="s">
        <v>#N/A Requesting Data...4141630645</v>
        <stp/>
        <stp>BDP|11495777146479462336</stp>
        <tr r="T1019" s="2"/>
      </tp>
      <tp t="s">
        <v>#N/A Requesting Data...3649636242</v>
        <stp/>
        <stp>BDP|10047328957167038974</stp>
        <tr r="T489" s="2"/>
      </tp>
      <tp t="s">
        <v>#N/A Requesting Data...3545269068</v>
        <stp/>
        <stp>BDP|17542773385169585904</stp>
        <tr r="D694" s="2"/>
      </tp>
      <tp t="s">
        <v>#N/A Requesting Data...3577779567</v>
        <stp/>
        <stp>BDP|14230560343825718823</stp>
        <tr r="R1959" s="2"/>
      </tp>
      <tp t="s">
        <v>#N/A Requesting Data...4232461483</v>
        <stp/>
        <stp>BDP|16791134958753604983</stp>
        <tr r="R1618" s="2"/>
      </tp>
      <tp t="s">
        <v>#N/A Requesting Data...3432261419</v>
        <stp/>
        <stp>BDP|14458203481115568328</stp>
        <tr r="K502" s="2"/>
      </tp>
      <tp t="s">
        <v>#N/A Requesting Data...3483833294</v>
        <stp/>
        <stp>BDP|10925986413925671563</stp>
        <tr r="D2163" s="2"/>
      </tp>
      <tp t="s">
        <v>#N/A Requesting Data...4042375181</v>
        <stp/>
        <stp>BDP|13127377683195085574</stp>
        <tr r="N2445" s="2"/>
      </tp>
      <tp t="s">
        <v>#N/A Requesting Data...3761233680</v>
        <stp/>
        <stp>BDP|10625857735762032149</stp>
        <tr r="P1011" s="2"/>
      </tp>
      <tp t="s">
        <v>#N/A Requesting Data...4254637967</v>
        <stp/>
        <stp>BDP|15768074785573279658</stp>
        <tr r="A64" s="2"/>
      </tp>
      <tp t="s">
        <v>#N/A Requesting Data...3907344409</v>
        <stp/>
        <stp>BDP|14072990498945052933</stp>
        <tr r="H1318" s="2"/>
      </tp>
      <tp t="s">
        <v>#N/A Requesting Data...3719068000</v>
        <stp/>
        <stp>BDP|10600921910990162076</stp>
        <tr r="C864" s="2"/>
      </tp>
      <tp t="s">
        <v>#N/A Requesting Data...3559831550</v>
        <stp/>
        <stp>BDP|16050501361094393902</stp>
        <tr r="P42" s="2"/>
      </tp>
      <tp t="s">
        <v>#N/A Requesting Data...3598067225</v>
        <stp/>
        <stp>BDP|11559449324207111860</stp>
        <tr r="R2393" s="2"/>
      </tp>
      <tp t="s">
        <v>#N/A Requesting Data...4002489488</v>
        <stp/>
        <stp>BDP|15028342118588927778</stp>
        <tr r="O2189" s="2"/>
      </tp>
      <tp t="b">
        <v>0</v>
        <stp/>
        <stp>BDS|17433781822008899274</stp>
        <tr r="I2396" s="2"/>
      </tp>
      <tp t="s">
        <v>#N/A Requesting Data...3576124704</v>
        <stp/>
        <stp>BDP|16611625927602484854</stp>
        <tr r="F2396" s="2"/>
      </tp>
      <tp t="s">
        <v>#N/A Requesting Data...3541628680</v>
        <stp/>
        <stp>BDP|18038556935770598675</stp>
        <tr r="J390" s="2"/>
      </tp>
      <tp t="s">
        <v>#N/A Requesting Data...4003381854</v>
        <stp/>
        <stp>BDP|13541700957648195115</stp>
        <tr r="H1788" s="2"/>
      </tp>
      <tp t="s">
        <v>#N/A Requesting Data...3522984642</v>
        <stp/>
        <stp>BDP|18276169184081345814</stp>
        <tr r="A1827" s="2"/>
      </tp>
      <tp t="s">
        <v>#N/A Requesting Data...3532797660</v>
        <stp/>
        <stp>BDP|10200217474809564407</stp>
        <tr r="R2252" s="2"/>
      </tp>
      <tp t="s">
        <v>#N/A Requesting Data...3998791031</v>
        <stp/>
        <stp>BDP|13266464768151869868</stp>
        <tr r="T29" s="2"/>
      </tp>
      <tp t="s">
        <v>#N/A Requesting Data...3503218220</v>
        <stp/>
        <stp>BDP|11573032895452096215</stp>
        <tr r="M2353" s="2"/>
      </tp>
      <tp t="s">
        <v>#N/A Requesting Data...3701806919</v>
        <stp/>
        <stp>BDP|17195226844328337162</stp>
        <tr r="Q35" s="2"/>
      </tp>
      <tp t="s">
        <v>#N/A Requesting Data...3679172190</v>
        <stp/>
        <stp>BDP|17712118930478709530</stp>
        <tr r="G879" s="2"/>
      </tp>
      <tp t="s">
        <v>#N/A Requesting Data...4025457533</v>
        <stp/>
        <stp>BDP|15320490781231855018</stp>
        <tr r="D314" s="2"/>
      </tp>
      <tp t="s">
        <v>#N/A Requesting Data...4182719704</v>
        <stp/>
        <stp>BDP|14825279783485705393</stp>
        <tr r="K290" s="2"/>
      </tp>
      <tp t="s">
        <v>#N/A Requesting Data...4158107032</v>
        <stp/>
        <stp>BDP|17851819898156195828</stp>
        <tr r="E2171" s="2"/>
      </tp>
      <tp t="s">
        <v>#N/A Requesting Data...4007230488</v>
        <stp/>
        <stp>BDP|12471215761046083866</stp>
        <tr r="G1262" s="2"/>
      </tp>
      <tp t="s">
        <v>#N/A Requesting Data...3730679573</v>
        <stp/>
        <stp>BDP|11205857897570776856</stp>
        <tr r="A1652" s="2"/>
      </tp>
      <tp t="s">
        <v>#N/A Requesting Data...3689233353</v>
        <stp/>
        <stp>BDP|10180705796964456212</stp>
        <tr r="K973" s="2"/>
      </tp>
      <tp t="s">
        <v>#N/A Requesting Data...3573978279</v>
        <stp/>
        <stp>BDP|12527946673112556653</stp>
        <tr r="Q685" s="2"/>
      </tp>
      <tp t="s">
        <v>#N/A Requesting Data...3577873790</v>
        <stp/>
        <stp>BDP|16608700761396636933</stp>
        <tr r="D2460" s="2"/>
      </tp>
      <tp t="s">
        <v>#N/A Requesting Data...4099819871</v>
        <stp/>
        <stp>BDP|10577944066122516500</stp>
        <tr r="O2036" s="2"/>
      </tp>
      <tp t="s">
        <v>#N/A Requesting Data...3631975317</v>
        <stp/>
        <stp>BDP|15197901054325599420</stp>
        <tr r="G1741" s="2"/>
      </tp>
      <tp t="s">
        <v>#N/A Requesting Data...3863893702</v>
        <stp/>
        <stp>BDP|13579112921668589029</stp>
        <tr r="J435" s="2"/>
      </tp>
      <tp t="s">
        <v>#N/A Requesting Data...4245651545</v>
        <stp/>
        <stp>BDP|12308774797781229533</stp>
        <tr r="G2438" s="2"/>
      </tp>
      <tp t="s">
        <v>#N/A Requesting Data...4146415571</v>
        <stp/>
        <stp>BDP|17422825559491850354</stp>
        <tr r="O2136" s="2"/>
      </tp>
      <tp t="s">
        <v>#N/A Requesting Data...3777296514</v>
        <stp/>
        <stp>BDP|13129080248726740943</stp>
        <tr r="E342" s="2"/>
      </tp>
      <tp t="s">
        <v>#N/A Requesting Data...3512366749</v>
        <stp/>
        <stp>BDP|14608544696915096566</stp>
        <tr r="P244" s="2"/>
      </tp>
      <tp t="s">
        <v>#N/A Requesting Data...3962012054</v>
        <stp/>
        <stp>BDP|10346266741146382859</stp>
        <tr r="G609" s="2"/>
      </tp>
      <tp t="s">
        <v>#N/A Requesting Data...3876062208</v>
        <stp/>
        <stp>BDP|15528886039162508437</stp>
        <tr r="N2425" s="2"/>
      </tp>
      <tp t="s">
        <v>#N/A Requesting Data...4237825801</v>
        <stp/>
        <stp>BDP|17343891974105959553</stp>
        <tr r="S415" s="2"/>
      </tp>
      <tp t="s">
        <v>#N/A Requesting Data...3890613294</v>
        <stp/>
        <stp>BDP|18409562570652956090</stp>
        <tr r="J1405" s="2"/>
      </tp>
      <tp t="s">
        <v>#N/A Requesting Data...4268862450</v>
        <stp/>
        <stp>BDP|11455252791533405163</stp>
        <tr r="G1997" s="2"/>
      </tp>
      <tp t="s">
        <v>#N/A Requesting Data...3617288797</v>
        <stp/>
        <stp>BDP|13346693119638653475</stp>
        <tr r="E343" s="2"/>
      </tp>
      <tp t="s">
        <v>#N/A Requesting Data...4256239524</v>
        <stp/>
        <stp>BDP|15218321911069604651</stp>
        <tr r="R1025" s="2"/>
      </tp>
      <tp t="s">
        <v>#N/A Requesting Data...4204336012</v>
        <stp/>
        <stp>BDP|13503331874468236726</stp>
        <tr r="N1158" s="2"/>
      </tp>
      <tp t="s">
        <v>#N/A Requesting Data...3938933598</v>
        <stp/>
        <stp>BDP|18273427802256164214</stp>
        <tr r="N1791" s="2"/>
      </tp>
      <tp t="s">
        <v>#N/A Requesting Data...3726582036</v>
        <stp/>
        <stp>BDP|15359717582787431566</stp>
        <tr r="M1472" s="2"/>
      </tp>
      <tp t="s">
        <v>#N/A Requesting Data...3536296996</v>
        <stp/>
        <stp>BDP|16537883156626173581</stp>
        <tr r="A1405" s="2"/>
      </tp>
      <tp t="s">
        <v>#N/A Requesting Data...3603641964</v>
        <stp/>
        <stp>BDP|15241549380516180650</stp>
        <tr r="N1768" s="2"/>
      </tp>
      <tp t="s">
        <v>#N/A Requesting Data...3887515009</v>
        <stp/>
        <stp>BDP|16219420340089790758</stp>
        <tr r="Q351" s="2"/>
      </tp>
      <tp t="s">
        <v>#N/A Requesting Data...3925308600</v>
        <stp/>
        <stp>BDP|12633305886956017729</stp>
        <tr r="R1243" s="2"/>
      </tp>
      <tp t="s">
        <v>#N/A Requesting Data...3720778992</v>
        <stp/>
        <stp>BDP|13657966674993691604</stp>
        <tr r="N1001" s="2"/>
      </tp>
      <tp t="s">
        <v>#N/A Requesting Data...4291627216</v>
        <stp/>
        <stp>BDP|16572898941846914461</stp>
        <tr r="E1961" s="2"/>
      </tp>
      <tp t="s">
        <v>#N/A Requesting Data...4067560491</v>
        <stp/>
        <stp>BDP|12182063341759081743</stp>
        <tr r="G1666" s="2"/>
      </tp>
      <tp t="s">
        <v>#N/A Requesting Data...4190307128</v>
        <stp/>
        <stp>BDP|14659232864661062930</stp>
        <tr r="F1640" s="2"/>
      </tp>
      <tp t="s">
        <v>#N/A Requesting Data...3676463746</v>
        <stp/>
        <stp>BDP|16568334064698034300</stp>
        <tr r="A2114" s="2"/>
      </tp>
      <tp t="s">
        <v>#N/A Requesting Data...3659760319</v>
        <stp/>
        <stp>BDP|13246584999986790167</stp>
        <tr r="P285" s="2"/>
      </tp>
      <tp t="s">
        <v>#N/A Requesting Data...3626672462</v>
        <stp/>
        <stp>BDP|13696890623042973379</stp>
        <tr r="S660" s="2"/>
      </tp>
      <tp t="s">
        <v>#N/A Requesting Data...4184085754</v>
        <stp/>
        <stp>BDP|17234832428370851530</stp>
        <tr r="E536" s="2"/>
      </tp>
      <tp t="s">
        <v>#N/A Requesting Data...4244893374</v>
        <stp/>
        <stp>BDP|10075400911665018837</stp>
        <tr r="A2352" s="2"/>
      </tp>
      <tp t="s">
        <v>#N/A Requesting Data...3864197672</v>
        <stp/>
        <stp>BDP|11579371452378300713</stp>
        <tr r="E1321" s="2"/>
      </tp>
      <tp t="s">
        <v>#N/A Requesting Data...3570442413</v>
        <stp/>
        <stp>BDP|11041845667140267730</stp>
        <tr r="P1146" s="2"/>
      </tp>
      <tp t="s">
        <v>#N/A Requesting Data...3803655983</v>
        <stp/>
        <stp>BDP|16274413143376014820</stp>
        <tr r="G2139" s="2"/>
      </tp>
      <tp t="s">
        <v>#N/A Requesting Data...4105524106</v>
        <stp/>
        <stp>BDP|10976562656449804137</stp>
        <tr r="J325" s="2"/>
      </tp>
      <tp t="s">
        <v>#N/A Requesting Data...3791851121</v>
        <stp/>
        <stp>BDP|16045463382803196173</stp>
        <tr r="M2180" s="2"/>
      </tp>
      <tp t="b">
        <v>0</v>
        <stp/>
        <stp>BDS|16409943962783145224</stp>
        <tr r="I153" s="2"/>
      </tp>
      <tp t="s">
        <v>#N/A Requesting Data...3622274698</v>
        <stp/>
        <stp>BDP|15579460483233651244</stp>
        <tr r="G400" s="2"/>
      </tp>
      <tp t="s">
        <v>#N/A Requesting Data...4214392599</v>
        <stp/>
        <stp>BDP|13480519478961689894</stp>
        <tr r="F1327" s="2"/>
      </tp>
      <tp t="s">
        <v>#N/A Requesting Data...3735962680</v>
        <stp/>
        <stp>BDP|16353059484865497349</stp>
        <tr r="S863" s="2"/>
      </tp>
      <tp t="s">
        <v>#N/A Requesting Data...4022778525</v>
        <stp/>
        <stp>BDP|15283820209947936226</stp>
        <tr r="H1410" s="2"/>
      </tp>
      <tp t="s">
        <v>#N/A Requesting Data...3970870722</v>
        <stp/>
        <stp>BDP|17494863940400320347</stp>
        <tr r="F1825" s="2"/>
      </tp>
      <tp t="s">
        <v>#N/A Requesting Data...4104465103</v>
        <stp/>
        <stp>BDP|12487168867849817482</stp>
        <tr r="Q777" s="2"/>
      </tp>
      <tp t="s">
        <v>#N/A Requesting Data...3780155435</v>
        <stp/>
        <stp>BDP|17739259784560420576</stp>
        <tr r="O390" s="2"/>
      </tp>
      <tp t="s">
        <v>#N/A Requesting Data...4131372981</v>
        <stp/>
        <stp>BDP|16720310389085280081</stp>
        <tr r="K952" s="2"/>
      </tp>
      <tp t="s">
        <v>#N/A Requesting Data...3916836397</v>
        <stp/>
        <stp>BDP|13496104256566163965</stp>
        <tr r="H2183" s="2"/>
      </tp>
      <tp t="s">
        <v>#N/A Requesting Data...4199044059</v>
        <stp/>
        <stp>BDP|12143335195703252308</stp>
        <tr r="A2364" s="2"/>
      </tp>
      <tp t="s">
        <v>#N/A Requesting Data...4075679475</v>
        <stp/>
        <stp>BDP|12790451380101133761</stp>
        <tr r="R1287" s="2"/>
      </tp>
      <tp t="s">
        <v>#N/A Requesting Data...3652229447</v>
        <stp/>
        <stp>BDP|18174872823769815389</stp>
        <tr r="A907" s="2"/>
      </tp>
      <tp t="s">
        <v>#N/A Requesting Data...4151052956</v>
        <stp/>
        <stp>BDP|12419454286220541679</stp>
        <tr r="J673" s="2"/>
      </tp>
      <tp t="s">
        <v>#N/A Requesting Data...3956392292</v>
        <stp/>
        <stp>BDP|12845622959028484124</stp>
        <tr r="R2429" s="2"/>
      </tp>
      <tp t="s">
        <v>#N/A Requesting Data...3634908008</v>
        <stp/>
        <stp>BDP|10895706267398362193</stp>
        <tr r="K2324" s="2"/>
      </tp>
      <tp t="s">
        <v>#N/A Requesting Data...4237733756</v>
        <stp/>
        <stp>BDP|13678506044879560326</stp>
        <tr r="H999" s="2"/>
      </tp>
      <tp t="b">
        <v>0</v>
        <stp/>
        <stp>BDS|18437460062674485624</stp>
        <tr r="I866" s="2"/>
      </tp>
      <tp t="s">
        <v>#N/A Requesting Data...3619506772</v>
        <stp/>
        <stp>BDP|18202104701829530836</stp>
        <tr r="G2219" s="2"/>
      </tp>
      <tp t="s">
        <v>#N/A Requesting Data...4114373361</v>
        <stp/>
        <stp>BDP|17780467201358061353</stp>
        <tr r="H2411" s="2"/>
      </tp>
      <tp t="s">
        <v>#N/A Requesting Data...4146355976</v>
        <stp/>
        <stp>BDP|17184050410799738765</stp>
        <tr r="N2307" s="2"/>
      </tp>
      <tp t="s">
        <v>#N/A Requesting Data...3638362160</v>
        <stp/>
        <stp>BDP|10951904824862186199</stp>
        <tr r="T48" s="2"/>
      </tp>
      <tp t="s">
        <v>#N/A Requesting Data...3971956702</v>
        <stp/>
        <stp>BDP|17395468991822317020</stp>
        <tr r="M1469" s="2"/>
      </tp>
      <tp t="s">
        <v>#N/A Requesting Data...3733676884</v>
        <stp/>
        <stp>BDP|10042241793184357719</stp>
        <tr r="C1016" s="2"/>
      </tp>
      <tp t="s">
        <v>#N/A Requesting Data...4052574603</v>
        <stp/>
        <stp>BDP|18301753288108933729</stp>
        <tr r="N1218" s="2"/>
      </tp>
      <tp t="s">
        <v>#N/A Requesting Data...3723923064</v>
        <stp/>
        <stp>BDP|15527954721714275269</stp>
        <tr r="Q2277" s="2"/>
      </tp>
      <tp t="s">
        <v>#N/A Requesting Data...3752079782</v>
        <stp/>
        <stp>BDP|17520829444251405226</stp>
        <tr r="J455" s="2"/>
      </tp>
      <tp t="s">
        <v>#N/A Requesting Data...3966824495</v>
        <stp/>
        <stp>BDP|10272336054646500858</stp>
        <tr r="N2117" s="2"/>
      </tp>
      <tp t="s">
        <v>#N/A Requesting Data...3804840368</v>
        <stp/>
        <stp>BDP|12945616195230178599</stp>
        <tr r="N1031" s="2"/>
      </tp>
      <tp t="s">
        <v>#N/A Requesting Data...3974150949</v>
        <stp/>
        <stp>BDP|11815687256412387804</stp>
        <tr r="T474" s="2"/>
      </tp>
      <tp t="s">
        <v>#N/A Requesting Data...3948781884</v>
        <stp/>
        <stp>BDP|12582005374329232463</stp>
        <tr r="C2225" s="2"/>
      </tp>
      <tp t="s">
        <v>#N/A Requesting Data...3884846305</v>
        <stp/>
        <stp>BDP|17826932238414484122</stp>
        <tr r="O280" s="2"/>
      </tp>
      <tp t="s">
        <v>#N/A Requesting Data...4175143503</v>
        <stp/>
        <stp>BDP|10324243353337947888</stp>
        <tr r="A399" s="2"/>
      </tp>
      <tp t="s">
        <v>#N/A Requesting Data...3679300644</v>
        <stp/>
        <stp>BDP|11719872871873175552</stp>
        <tr r="T1228" s="2"/>
      </tp>
      <tp t="s">
        <v>#N/A Requesting Data...3918813538</v>
        <stp/>
        <stp>BDP|17669802337372221668</stp>
        <tr r="H777" s="2"/>
      </tp>
      <tp t="b">
        <v>0</v>
        <stp/>
        <stp>BDS|13624034392324519649</stp>
        <tr r="I1595" s="2"/>
      </tp>
      <tp t="s">
        <v>#N/A Requesting Data...4037037572</v>
        <stp/>
        <stp>BDP|11527028075697121963</stp>
        <tr r="R2316" s="2"/>
      </tp>
      <tp t="s">
        <v>#N/A Requesting Data...3734172363</v>
        <stp/>
        <stp>BDP|13246736772309257249</stp>
        <tr r="S63" s="2"/>
      </tp>
      <tp t="s">
        <v>#N/A Requesting Data...3986714057</v>
        <stp/>
        <stp>BDP|10363331953188493622</stp>
        <tr r="F1354" s="2"/>
      </tp>
      <tp t="s">
        <v>#N/A Requesting Data...4236707590</v>
        <stp/>
        <stp>BDP|13521848720172172351</stp>
        <tr r="J649" s="2"/>
      </tp>
      <tp t="s">
        <v>#N/A Requesting Data...3718150916</v>
        <stp/>
        <stp>BDP|10848788025168427543</stp>
        <tr r="J1725" s="2"/>
      </tp>
      <tp t="s">
        <v>#N/A Requesting Data...4280905856</v>
        <stp/>
        <stp>BDP|11075018100078009143</stp>
        <tr r="P388" s="2"/>
      </tp>
      <tp t="s">
        <v>#N/A Requesting Data...3982821001</v>
        <stp/>
        <stp>BDP|17167945616180788716</stp>
        <tr r="D586" s="2"/>
      </tp>
      <tp t="s">
        <v>#N/A Requesting Data...4275240935</v>
        <stp/>
        <stp>BDP|12329842127102488215</stp>
        <tr r="C1108" s="2"/>
      </tp>
      <tp t="s">
        <v>#N/A Requesting Data...4185338347</v>
        <stp/>
        <stp>BDP|14084199558758394073</stp>
        <tr r="H1404" s="2"/>
      </tp>
      <tp t="s">
        <v>#N/A Requesting Data...3969746100</v>
        <stp/>
        <stp>BDP|11723731245923620924</stp>
        <tr r="A41" s="2"/>
      </tp>
      <tp t="s">
        <v>#N/A Requesting Data...3789771228</v>
        <stp/>
        <stp>BDP|12013099971465463899</stp>
        <tr r="F720" s="2"/>
      </tp>
      <tp t="s">
        <v>#N/A Requesting Data...4228224708</v>
        <stp/>
        <stp>BDP|14074654130689208027</stp>
        <tr r="Q905" s="2"/>
      </tp>
      <tp t="s">
        <v>#N/A Requesting Data...3939007267</v>
        <stp/>
        <stp>BDP|14475610683303607156</stp>
        <tr r="G1519" s="2"/>
      </tp>
      <tp t="s">
        <v>#N/A Requesting Data...4258937085</v>
        <stp/>
        <stp>BDP|18300707677276365621</stp>
        <tr r="N2427" s="2"/>
      </tp>
      <tp t="s">
        <v>#N/A Requesting Data...3988335912</v>
        <stp/>
        <stp>BDP|18362311225233727255</stp>
        <tr r="P2218" s="2"/>
      </tp>
      <tp t="s">
        <v>#N/A Requesting Data...3821383697</v>
        <stp/>
        <stp>BDP|16710685036858992357</stp>
        <tr r="O764" s="2"/>
      </tp>
      <tp t="s">
        <v>#N/A Requesting Data...3844085585</v>
        <stp/>
        <stp>BDP|18347189646652913718</stp>
        <tr r="M1297" s="2"/>
      </tp>
      <tp t="s">
        <v>#N/A Requesting Data...4035857455</v>
        <stp/>
        <stp>BDP|18315019010267182660</stp>
        <tr r="F784" s="2"/>
      </tp>
      <tp t="s">
        <v>#N/A Requesting Data...3868761077</v>
        <stp/>
        <stp>BDP|10368845872306002102</stp>
        <tr r="J161" s="2"/>
      </tp>
      <tp t="s">
        <v>#N/A Requesting Data...4246544705</v>
        <stp/>
        <stp>BDP|11121525370753603801</stp>
        <tr r="A1471" s="2"/>
      </tp>
      <tp t="s">
        <v>#N/A Requesting Data...4281425680</v>
        <stp/>
        <stp>BDP|10637914740615336013</stp>
        <tr r="O1832" s="2"/>
      </tp>
      <tp t="s">
        <v>#N/A Requesting Data...3987287342</v>
        <stp/>
        <stp>BDP|12906486518759966656</stp>
        <tr r="K122" s="2"/>
      </tp>
      <tp t="b">
        <v>0</v>
        <stp/>
        <stp>BDS|10260922054362266600</stp>
        <tr r="I2512" s="2"/>
      </tp>
      <tp t="s">
        <v>#N/A Requesting Data...3801595578</v>
        <stp/>
        <stp>BDP|13183937645744408268</stp>
        <tr r="F622" s="2"/>
      </tp>
      <tp t="s">
        <v>#N/A Requesting Data...3872745657</v>
        <stp/>
        <stp>BDP|14297740097585656729</stp>
        <tr r="A629" s="2"/>
      </tp>
      <tp t="s">
        <v>#N/A Requesting Data...3743813684</v>
        <stp/>
        <stp>BDP|14573766765275308803</stp>
        <tr r="C1120" s="2"/>
      </tp>
      <tp t="s">
        <v>#N/A Requesting Data...4245669765</v>
        <stp/>
        <stp>BDP|12163332260817256859</stp>
        <tr r="M648" s="2"/>
      </tp>
      <tp t="s">
        <v>#N/A Requesting Data...4158214321</v>
        <stp/>
        <stp>BDP|14458330122689272424</stp>
        <tr r="J324" s="2"/>
      </tp>
      <tp t="s">
        <v>#N/A Requesting Data...3871709715</v>
        <stp/>
        <stp>BDP|15323716493026746530</stp>
        <tr r="N2405" s="2"/>
      </tp>
      <tp t="s">
        <v>#N/A Requesting Data...4268398316</v>
        <stp/>
        <stp>BDP|17716670095389551950</stp>
        <tr r="P1341" s="2"/>
      </tp>
      <tp t="s">
        <v>#N/A Requesting Data...3924472179</v>
        <stp/>
        <stp>BDP|17344827293996597824</stp>
        <tr r="O471" s="2"/>
      </tp>
      <tp t="s">
        <v>#N/A Requesting Data...3820280354</v>
        <stp/>
        <stp>BDP|12443653063412037877</stp>
        <tr r="G2434" s="2"/>
      </tp>
      <tp t="s">
        <v>#N/A Requesting Data...4011707201</v>
        <stp/>
        <stp>BDP|17605646184837292610</stp>
        <tr r="H945" s="2"/>
      </tp>
      <tp t="s">
        <v>#N/A Requesting Data...3877895158</v>
        <stp/>
        <stp>BDP|10592907321760793367</stp>
        <tr r="M1001" s="2"/>
      </tp>
      <tp t="s">
        <v>#N/A Requesting Data...4185614794</v>
        <stp/>
        <stp>BDP|16942797306310004937</stp>
        <tr r="F994" s="2"/>
      </tp>
      <tp t="s">
        <v>#N/A Requesting Data...4244582833</v>
        <stp/>
        <stp>BDP|14150684268755426903</stp>
        <tr r="H1324" s="2"/>
      </tp>
      <tp t="s">
        <v>#N/A Requesting Data...4039820759</v>
        <stp/>
        <stp>BDP|11013575582231126513</stp>
        <tr r="J1541" s="2"/>
      </tp>
      <tp t="s">
        <v>#N/A Requesting Data...4082747190</v>
        <stp/>
        <stp>BDP|11282031719739915148</stp>
        <tr r="R2310" s="2"/>
      </tp>
      <tp t="s">
        <v>#N/A Requesting Data...4155055631</v>
        <stp/>
        <stp>BDP|11455884964975577289</stp>
        <tr r="R2051" s="2"/>
      </tp>
      <tp t="s">
        <v>#N/A Requesting Data...3850178446</v>
        <stp/>
        <stp>BDP|12146316613150709815</stp>
        <tr r="M231" s="2"/>
      </tp>
      <tp t="s">
        <v>#N/A Requesting Data...4052224490</v>
        <stp/>
        <stp>BDP|17763048315378188623</stp>
        <tr r="O177" s="2"/>
      </tp>
      <tp t="s">
        <v>#N/A Requesting Data...3939199616</v>
        <stp/>
        <stp>BDP|12549593589002614560</stp>
        <tr r="P1581" s="2"/>
      </tp>
      <tp t="s">
        <v>#N/A Requesting Data...4155828850</v>
        <stp/>
        <stp>BDP|15097967028923341585</stp>
        <tr r="G1775" s="2"/>
      </tp>
      <tp t="s">
        <v>#N/A Requesting Data...4100658886</v>
        <stp/>
        <stp>BDP|13402071318963864968</stp>
        <tr r="M71" s="2"/>
      </tp>
      <tp t="b">
        <v>0</v>
        <stp/>
        <stp>BDS|16429440032419177054</stp>
        <tr r="I1381" s="2"/>
      </tp>
      <tp t="s">
        <v>#N/A Requesting Data...4207314468</v>
        <stp/>
        <stp>BDP|12788426274161584812</stp>
        <tr r="J2051" s="2"/>
      </tp>
      <tp t="s">
        <v>#N/A Requesting Data...3919725905</v>
        <stp/>
        <stp>BDP|11817190089538851854</stp>
        <tr r="H740" s="2"/>
      </tp>
      <tp t="s">
        <v>#N/A Requesting Data...4195807972</v>
        <stp/>
        <stp>BDP|17494567713478061349</stp>
        <tr r="P79" s="2"/>
      </tp>
      <tp t="s">
        <v>#N/A Requesting Data...4283246295</v>
        <stp/>
        <stp>BDP|17415120882396003017</stp>
        <tr r="H1021" s="2"/>
      </tp>
      <tp t="s">
        <v>#N/A Requesting Data...4200220111</v>
        <stp/>
        <stp>BDP|12035804651406303176</stp>
        <tr r="S2363" s="2"/>
      </tp>
      <tp t="s">
        <v>#N/A Requesting Data...4036413714</v>
        <stp/>
        <stp>BDP|13253546838098922524</stp>
        <tr r="F1679" s="2"/>
      </tp>
      <tp t="s">
        <v>#N/A Requesting Data...3908975216</v>
        <stp/>
        <stp>BDP|11700077221492276960</stp>
        <tr r="J1880" s="2"/>
      </tp>
      <tp t="s">
        <v>#N/A Requesting Data...3995765867</v>
        <stp/>
        <stp>BDP|13764460717778369603</stp>
        <tr r="M1696" s="2"/>
      </tp>
      <tp t="s">
        <v>#N/A Requesting Data...4004932330</v>
        <stp/>
        <stp>BDP|14258328854998296239</stp>
        <tr r="F181" s="2"/>
      </tp>
      <tp t="b">
        <v>0</v>
        <stp/>
        <stp>BDS|11063644822404074905</stp>
        <tr r="I2106" s="2"/>
      </tp>
      <tp t="s">
        <v>#N/A Requesting Data...4293590966</v>
        <stp/>
        <stp>BDP|13052084164694000993</stp>
        <tr r="F1795" s="2"/>
      </tp>
      <tp t="s">
        <v>#N/A Requesting Data...4017043248</v>
        <stp/>
        <stp>BDP|11217410082514443104</stp>
        <tr r="G921" s="2"/>
      </tp>
      <tp t="s">
        <v>#N/A Requesting Data...3828719126</v>
        <stp/>
        <stp>BDP|11238905839774742791</stp>
        <tr r="P915" s="2"/>
      </tp>
      <tp t="s">
        <v>#N/A Requesting Data...3892560656</v>
        <stp/>
        <stp>BDP|18152602835735038017</stp>
        <tr r="E2423" s="2"/>
      </tp>
      <tp t="s">
        <v>#N/A Requesting Data...3968091029</v>
        <stp/>
        <stp>BDP|11078269546737321870</stp>
        <tr r="D2119" s="2"/>
      </tp>
      <tp t="s">
        <v>#N/A Requesting Data...4084645084</v>
        <stp/>
        <stp>BDP|14104881710962911742</stp>
        <tr r="S2358" s="2"/>
      </tp>
      <tp t="s">
        <v>#N/A Requesting Data...4037656685</v>
        <stp/>
        <stp>BDP|17110630208259900078</stp>
        <tr r="O2166" s="2"/>
      </tp>
      <tp t="s">
        <v>#N/A Requesting Data...4232099449</v>
        <stp/>
        <stp>BDP|15800028488681112475</stp>
        <tr r="O50" s="2"/>
      </tp>
      <tp t="s">
        <v>#N/A Requesting Data...4257449087</v>
        <stp/>
        <stp>BDP|13996845918392536046</stp>
        <tr r="O517" s="2"/>
      </tp>
      <tp t="s">
        <v>#N/A Requesting Data...3892594500</v>
        <stp/>
        <stp>BDP|14972498183848155868</stp>
        <tr r="R1458" s="2"/>
      </tp>
      <tp t="b">
        <v>0</v>
        <stp/>
        <stp>BDS|13556157046836879894</stp>
        <tr r="I1783" s="2"/>
      </tp>
      <tp t="s">
        <v>#N/A Requesting Data...4251055474</v>
        <stp/>
        <stp>BDP|11630581793655099094</stp>
        <tr r="E1820" s="2"/>
      </tp>
      <tp t="s">
        <v>#N/A Requesting Data...3895624218</v>
        <stp/>
        <stp>BDP|10777793085197654099</stp>
        <tr r="N2105" s="2"/>
      </tp>
      <tp t="s">
        <v>#N/A Requesting Data...4019389351</v>
        <stp/>
        <stp>BDP|11924582567443780955</stp>
        <tr r="E362" s="2"/>
      </tp>
      <tp t="s">
        <v>#N/A Requesting Data...4110667455</v>
        <stp/>
        <stp>BDP|11796988565037682180</stp>
        <tr r="Q1756" s="2"/>
      </tp>
      <tp t="s">
        <v>#N/A Requesting Data...3937254756</v>
        <stp/>
        <stp>BDP|18368749522791019411</stp>
        <tr r="J1384" s="2"/>
      </tp>
      <tp t="s">
        <v>#N/A Requesting Data...3884346657</v>
        <stp/>
        <stp>BDP|13920984157861518677</stp>
        <tr r="S670" s="2"/>
      </tp>
      <tp t="s">
        <v>#N/A Requesting Data...4037822990</v>
        <stp/>
        <stp>BDP|14312587994830299098</stp>
        <tr r="J855" s="2"/>
      </tp>
      <tp t="s">
        <v>#N/A Requesting Data...4222506065</v>
        <stp/>
        <stp>BDP|15342582141245636988</stp>
        <tr r="Q906" s="2"/>
      </tp>
      <tp t="s">
        <v>#N/A Requesting Data...4249303168</v>
        <stp/>
        <stp>BDP|15466820521817660057</stp>
        <tr r="R942" s="2"/>
      </tp>
      <tp t="s">
        <v>#N/A Requesting Data...3948477931</v>
        <stp/>
        <stp>BDP|15764858333385423311</stp>
        <tr r="C2005" s="2"/>
      </tp>
      <tp t="s">
        <v>#N/A Requesting Data...4105517005</v>
        <stp/>
        <stp>BDP|15058029842669638027</stp>
        <tr r="C171" s="2"/>
      </tp>
      <tp t="s">
        <v>#N/A Requesting Data...4031981311</v>
        <stp/>
        <stp>BDP|13211809387918178308</stp>
        <tr r="A1564" s="2"/>
      </tp>
      <tp t="s">
        <v>#N/A Requesting Data...4048032001</v>
        <stp/>
        <stp>BDP|16916327128257299853</stp>
        <tr r="A330" s="2"/>
      </tp>
      <tp t="b">
        <v>0</v>
        <stp/>
        <stp>BDS|15274360015097509839</stp>
        <tr r="I852" s="2"/>
      </tp>
      <tp t="b">
        <v>0</v>
        <stp/>
        <stp>BDS|17131875760706474758</stp>
        <tr r="I1424" s="2"/>
      </tp>
      <tp t="s">
        <v>#N/A Requesting Data...4156288477</v>
        <stp/>
        <stp>BDP|18055502127282402578</stp>
        <tr r="M2026" s="2"/>
      </tp>
      <tp t="s">
        <v>#N/A Requesting Data...4066079472</v>
        <stp/>
        <stp>BDP|16084770461088511774</stp>
        <tr r="O1169" s="2"/>
      </tp>
      <tp t="s">
        <v>#N/A Requesting Data...3996756072</v>
        <stp/>
        <stp>BDP|10383547890377387309</stp>
        <tr r="C530" s="2"/>
      </tp>
      <tp t="s">
        <v>#N/A Requesting Data...4036712492</v>
        <stp/>
        <stp>BDP|10711754683070403718</stp>
        <tr r="S1899" s="2"/>
      </tp>
      <tp t="s">
        <v>#N/A Requesting Data...4024794991</v>
        <stp/>
        <stp>BDP|16481003785334438217</stp>
        <tr r="H591" s="2"/>
      </tp>
      <tp t="s">
        <v>#N/A Requesting Data...4021432611</v>
        <stp/>
        <stp>BDP|10062844244246391275</stp>
        <tr r="J696" s="2"/>
      </tp>
      <tp t="b">
        <v>0</v>
        <stp/>
        <stp>BDS|11864782734755263819</stp>
        <tr r="I1286" s="2"/>
      </tp>
      <tp t="s">
        <v>#N/A Requesting Data...4112398628</v>
        <stp/>
        <stp>BDP|16335930526455423069</stp>
        <tr r="E1718" s="2"/>
      </tp>
      <tp t="s">
        <v>#N/A Requesting Data...4215053165</v>
        <stp/>
        <stp>BDP|17420473135731094923</stp>
        <tr r="M2406" s="2"/>
      </tp>
      <tp t="s">
        <v>#N/A Requesting Data...3955699741</v>
        <stp/>
        <stp>BDP|16210156471131338916</stp>
        <tr r="R2303" s="2"/>
      </tp>
      <tp t="s">
        <v>#N/A Requesting Data...4175456075</v>
        <stp/>
        <stp>BDP|15059733590117734407</stp>
        <tr r="O1161" s="2"/>
      </tp>
      <tp t="s">
        <v>#N/A Requesting Data...4004353475</v>
        <stp/>
        <stp>BDP|17239687686686030782</stp>
        <tr r="K1060" s="2"/>
      </tp>
      <tp t="s">
        <v>#N/A Requesting Data...4183304177</v>
        <stp/>
        <stp>BDP|10126802234400727365</stp>
        <tr r="H292" s="2"/>
      </tp>
      <tp t="s">
        <v>#N/A Requesting Data...4163507383</v>
        <stp/>
        <stp>BDP|12898946539761385122</stp>
        <tr r="G98" s="2"/>
      </tp>
      <tp t="s">
        <v>#N/A Requesting Data...4039216640</v>
        <stp/>
        <stp>BDP|14566024284590743401</stp>
        <tr r="E1247" s="2"/>
      </tp>
      <tp t="s">
        <v>#N/A Requesting Data...4228879613</v>
        <stp/>
        <stp>BDP|15084814684289852499</stp>
        <tr r="C2239" s="2"/>
      </tp>
      <tp t="s">
        <v>#N/A Requesting Data...4122576529</v>
        <stp/>
        <stp>BDP|16844156098331732760</stp>
        <tr r="K1822" s="2"/>
      </tp>
      <tp t="s">
        <v>#N/A Requesting Data...4146623611</v>
        <stp/>
        <stp>BDP|15654163242668407022</stp>
        <tr r="H141" s="2"/>
      </tp>
      <tp t="s">
        <v>#N/A Requesting Data...4134471209</v>
        <stp/>
        <stp>BDP|16637476009729442384</stp>
        <tr r="J463" s="2"/>
      </tp>
      <tp t="s">
        <v>#N/A Requesting Data...4107176296</v>
        <stp/>
        <stp>BDP|16527002783711400765</stp>
        <tr r="A462" s="2"/>
      </tp>
      <tp t="s">
        <v>#N/A Requesting Data...4099837686</v>
        <stp/>
        <stp>BDP|15910197883291461530</stp>
        <tr r="N534" s="2"/>
      </tp>
      <tp t="s">
        <v>#N/A Requesting Data...4138333219</v>
        <stp/>
        <stp>BDP|18170031219981985066</stp>
        <tr r="E566" s="2"/>
      </tp>
      <tp t="s">
        <v>#N/A Requesting Data...4094935302</v>
        <stp/>
        <stp>BDP|10538506316854650819</stp>
        <tr r="N2137" s="2"/>
      </tp>
      <tp t="s">
        <v>#N/A Requesting Data...4204618003</v>
        <stp/>
        <stp>BDP|18015895413019819064</stp>
        <tr r="D838" s="2"/>
      </tp>
      <tp t="s">
        <v>#N/A Requesting Data...4056464310</v>
        <stp/>
        <stp>BDP|14300900385479022427</stp>
        <tr r="R1780" s="2"/>
      </tp>
      <tp t="s">
        <v>#N/A Requesting Data...4048379997</v>
        <stp/>
        <stp>BDP|18343715412501646721</stp>
        <tr r="D254" s="2"/>
      </tp>
      <tp t="s">
        <v>#N/A Requesting Data...4048693150</v>
        <stp/>
        <stp>BDP|15484945644361686167</stp>
        <tr r="A360" s="2"/>
      </tp>
      <tp t="s">
        <v>#N/A Requesting Data...4009103539</v>
        <stp/>
        <stp>BDP|16793861723675291146</stp>
        <tr r="J1534" s="2"/>
      </tp>
      <tp t="s">
        <v>#N/A Requesting Data...4136524350</v>
        <stp/>
        <stp>BDP|16601928485556249979</stp>
        <tr r="J630" s="2"/>
      </tp>
      <tp t="s">
        <v>#N/A Requesting Data...4080259559</v>
        <stp/>
        <stp>BDP|18162306442093065476</stp>
        <tr r="N1043" s="2"/>
      </tp>
      <tp t="s">
        <v>#N/A Requesting Data...4246422825</v>
        <stp/>
        <stp>BDP|15750807701334423163</stp>
        <tr r="G2459" s="2"/>
      </tp>
      <tp t="s">
        <v>#N/A Requesting Data...4279865066</v>
        <stp/>
        <stp>BDP|10515063018609945060</stp>
        <tr r="R1530" s="2"/>
      </tp>
      <tp t="s">
        <v>#N/A Requesting Data...4003101972</v>
        <stp/>
        <stp>BDP|15527456252659620500</stp>
        <tr r="O357" s="2"/>
      </tp>
      <tp t="s">
        <v>#N/A Requesting Data...3990567892</v>
        <stp/>
        <stp>BDP|13244827813271327344</stp>
        <tr r="E112" s="2"/>
      </tp>
      <tp t="s">
        <v>#N/A Requesting Data...4040639291</v>
        <stp/>
        <stp>BDP|10008702218307965950</stp>
        <tr r="S2062" s="2"/>
      </tp>
      <tp t="s">
        <v>#N/A Requesting Data...4294746088</v>
        <stp/>
        <stp>BDP|14902471472689975617</stp>
        <tr r="N1501" s="2"/>
      </tp>
      <tp t="s">
        <v>#N/A Requesting Data...4128088955</v>
        <stp/>
        <stp>BDP|12287174785257413408</stp>
        <tr r="R1123" s="2"/>
      </tp>
      <tp t="s">
        <v>#N/A Requesting Data...4272631401</v>
        <stp/>
        <stp>BDP|16102509843999360651</stp>
        <tr r="P1807" s="2"/>
      </tp>
      <tp t="s">
        <v>#N/A Requesting Data...4294661918</v>
        <stp/>
        <stp>BDP|13933957203083335181</stp>
        <tr r="H1856" s="2"/>
      </tp>
      <tp t="s">
        <v>#N/A Requesting Data...4178391822</v>
        <stp/>
        <stp>BDP|14883685330091691822</stp>
        <tr r="S746" s="2"/>
      </tp>
      <tp t="s">
        <v>#N/A Requesting Data...4274409589</v>
        <stp/>
        <stp>BDP|16850454294101476291</stp>
        <tr r="K1337" s="2"/>
      </tp>
      <tp t="b">
        <v>0</v>
        <stp/>
        <stp>BDS|12574273521459617327</stp>
        <tr r="I2038" s="2"/>
      </tp>
      <tp t="s">
        <v>#N/A Requesting Data...4250553940</v>
        <stp/>
        <stp>BDP|14282291955012251989</stp>
        <tr r="C2175" s="2"/>
      </tp>
      <tp t="b">
        <v>0</v>
        <stp/>
        <stp>BDS|16210937506904030309</stp>
        <tr r="I616" s="2"/>
      </tp>
      <tp t="s">
        <v>#N/A Requesting Data...4039385295</v>
        <stp/>
        <stp>BDP|17557101476771133865</stp>
        <tr r="F277" s="2"/>
      </tp>
      <tp t="s">
        <v>#N/A Requesting Data...4257959069</v>
        <stp/>
        <stp>BDP|14734891043184871410</stp>
        <tr r="C191" s="2"/>
      </tp>
      <tp t="s">
        <v>#N/A Requesting Data...4056443949</v>
        <stp/>
        <stp>BDP|16058802203343030573</stp>
        <tr r="P1653" s="2"/>
      </tp>
      <tp t="b">
        <v>0</v>
        <stp/>
        <stp>BDS|10275935234696470467</stp>
        <tr r="I1265" s="2"/>
      </tp>
      <tp t="s">
        <v>#N/A Requesting Data...4253399873</v>
        <stp/>
        <stp>BDP|14878342859299521341</stp>
        <tr r="Q2408" s="2"/>
      </tp>
      <tp t="s">
        <v>#N/A Requesting Data...4052261894</v>
        <stp/>
        <stp>BDP|16447319077212483823</stp>
        <tr r="C735" s="2"/>
      </tp>
      <tp t="s">
        <v>#N/A Requesting Data...4131170167</v>
        <stp/>
        <stp>BDP|16869142877161872976</stp>
        <tr r="H662" s="2"/>
      </tp>
      <tp t="s">
        <v>#N/A Requesting Data...4076451090</v>
        <stp/>
        <stp>BDP|14464509230928975295</stp>
        <tr r="E305" s="2"/>
      </tp>
      <tp t="s">
        <v>#N/A Requesting Data...4030962376</v>
        <stp/>
        <stp>BDP|18345524883744479924</stp>
        <tr r="R2392" s="2"/>
      </tp>
      <tp t="s">
        <v>#N/A Requesting Data...4190973320</v>
        <stp/>
        <stp>BDP|14971966273852878035</stp>
        <tr r="G49" s="2"/>
      </tp>
      <tp t="s">
        <v>#N/A Requesting Data...4218879439</v>
        <stp/>
        <stp>BDP|15612843853405581535</stp>
        <tr r="T2087" s="2"/>
      </tp>
      <tp t="s">
        <v>#N/A Requesting Data...4091820092</v>
        <stp/>
        <stp>BDP|11339954965655239368</stp>
        <tr r="R2394" s="2"/>
      </tp>
      <tp t="s">
        <v>#N/A Requesting Data...4062493977</v>
        <stp/>
        <stp>BDP|11359174381737692745</stp>
        <tr r="G1839" s="2"/>
      </tp>
      <tp t="s">
        <v>#N/A Requesting Data...4242952416</v>
        <stp/>
        <stp>BDP|11457179390658484908</stp>
        <tr r="N1440" s="2"/>
      </tp>
      <tp t="s">
        <v>#N/A Requesting Data...4199686360</v>
        <stp/>
        <stp>BDP|18216070619741951029</stp>
        <tr r="A754" s="2"/>
      </tp>
      <tp t="s">
        <v>#N/A Requesting Data...4128747140</v>
        <stp/>
        <stp>BDP|12036311850835399959</stp>
        <tr r="E2005" s="2"/>
      </tp>
      <tp t="s">
        <v>#N/A Requesting Data...4248301437</v>
        <stp/>
        <stp>BDP|17017754453424596942</stp>
        <tr r="S2025" s="2"/>
      </tp>
      <tp t="s">
        <v>#N/A Requesting Data...4160203044</v>
        <stp/>
        <stp>BDP|10696820631261715250</stp>
        <tr r="S58" s="2"/>
      </tp>
      <tp t="s">
        <v>#N/A Requesting Data...4181439374</v>
        <stp/>
        <stp>BDP|11279097756685885924</stp>
        <tr r="H2131" s="2"/>
      </tp>
      <tp t="s">
        <v>#N/A Requesting Data...4266820545</v>
        <stp/>
        <stp>BDP|16068416484564179638</stp>
        <tr r="C1898" s="2"/>
      </tp>
      <tp t="s">
        <v>#N/A Requesting Data...4147418000</v>
        <stp/>
        <stp>BDP|10165207979448747588</stp>
        <tr r="A772" s="2"/>
      </tp>
      <tp t="s">
        <v>#N/A Requesting Data...4229162088</v>
        <stp/>
        <stp>BDP|15712072564888151327</stp>
        <tr r="R1973" s="2"/>
      </tp>
      <tp t="s">
        <v>#N/A Requesting Data...4271665530</v>
        <stp/>
        <stp>BDP|12421167527780085923</stp>
        <tr r="Q1886" s="2"/>
      </tp>
      <tp t="s">
        <v>#N/A Requesting Data...4141168860</v>
        <stp/>
        <stp>BDP|17142835720546649339</stp>
        <tr r="C317" s="2"/>
      </tp>
      <tp t="s">
        <v>#N/A Requesting Data...4204101961</v>
        <stp/>
        <stp>BDP|12166844547697341169</stp>
        <tr r="C2448" s="2"/>
      </tp>
      <tp t="s">
        <v>#N/A Requesting Data...4178447241</v>
        <stp/>
        <stp>BDP|12156963705033268079</stp>
        <tr r="R1514" s="2"/>
      </tp>
      <tp t="s">
        <v>#N/A Requesting Data...4203374616</v>
        <stp/>
        <stp>BDP|12977422388960347671</stp>
        <tr r="J1509" s="2"/>
      </tp>
      <tp t="s">
        <v>#N/A Requesting Data...4187195024</v>
        <stp/>
        <stp>BDP|16220578427360627932</stp>
        <tr r="D2094" s="2"/>
      </tp>
      <tp t="s">
        <v>#N/A Requesting Data...4286024398</v>
        <stp/>
        <stp>BDP|15119013188962758787</stp>
        <tr r="D1422" s="2"/>
      </tp>
      <tp t="s">
        <v>#N/A Requesting Data...4100113739</v>
        <stp/>
        <stp>BDP|17253476725849536021</stp>
        <tr r="G2385" s="2"/>
      </tp>
      <tp t="s">
        <v>#N/A Requesting Data...4121260446</v>
        <stp/>
        <stp>BDP|11517364550626732939</stp>
        <tr r="J1643" s="2"/>
      </tp>
      <tp t="s">
        <v>#N/A Requesting Data...4153300516</v>
        <stp/>
        <stp>BDP|17042216805115195822</stp>
        <tr r="T1739" s="2"/>
      </tp>
      <tp t="s">
        <v>#N/A Requesting Data...4270532730</v>
        <stp/>
        <stp>BDP|12399275298203330285</stp>
        <tr r="O634" s="2"/>
      </tp>
      <tp t="s">
        <v>#N/A Requesting Data...4174747607</v>
        <stp/>
        <stp>BDP|14709814055861514015</stp>
        <tr r="J488" s="2"/>
      </tp>
      <tp t="s">
        <v>#N/A Requesting Data...4091167670</v>
        <stp/>
        <stp>BDP|15585963685049670574</stp>
        <tr r="C83" s="2"/>
      </tp>
      <tp t="s">
        <v>#N/A Requesting Data...4196429163</v>
        <stp/>
        <stp>BDP|11726178090306406736</stp>
        <tr r="S1264" s="2"/>
      </tp>
      <tp t="s">
        <v>#N/A Requesting Data...4290327688</v>
        <stp/>
        <stp>BDP|12644494493922972521</stp>
        <tr r="P2200" s="2"/>
      </tp>
      <tp t="s">
        <v>#N/A Requesting Data...4285419335</v>
        <stp/>
        <stp>BDP|11703827401793693257</stp>
        <tr r="D291" s="2"/>
      </tp>
      <tp t="s">
        <v>#N/A Requesting Data...4170593059</v>
        <stp/>
        <stp>BDP|12531137880044430759</stp>
        <tr r="N2233" s="2"/>
      </tp>
      <tp t="s">
        <v>#N/A Requesting Data...4236159414</v>
        <stp/>
        <stp>BDP|11669554325849475753</stp>
        <tr r="J821" s="2"/>
      </tp>
      <tp t="s">
        <v>#N/A Requesting Data...4282333417</v>
        <stp/>
        <stp>BDP|12791966542455115257</stp>
        <tr r="D911" s="2"/>
      </tp>
      <tp t="s">
        <v>#N/A Requesting Data...4112289036</v>
        <stp/>
        <stp>BDP|14009410193815455411</stp>
        <tr r="G1817" s="2"/>
      </tp>
      <tp t="s">
        <v>#N/A Requesting Data...4262303915</v>
        <stp/>
        <stp>BDP|18218729752737452516</stp>
        <tr r="H630" s="2"/>
      </tp>
      <tp t="s">
        <v>#N/A Requesting Data...4143129180</v>
        <stp/>
        <stp>BDP|13015088882664438790</stp>
        <tr r="P386" s="2"/>
      </tp>
      <tp t="s">
        <v>#N/A Requesting Data...4132796091</v>
        <stp/>
        <stp>BDP|11184031292129236957</stp>
        <tr r="J245" s="2"/>
      </tp>
      <tp t="s">
        <v>#N/A Requesting Data...4216929102</v>
        <stp/>
        <stp>BDP|12437569057012654843</stp>
        <tr r="O1514" s="2"/>
      </tp>
      <tp t="s">
        <v>#N/A Requesting Data...4219707886</v>
        <stp/>
        <stp>BDP|10517150932449312367</stp>
        <tr r="C2339" s="2"/>
      </tp>
      <tp t="s">
        <v>#N/A Requesting Data...4171858182</v>
        <stp/>
        <stp>BDP|18392371513534291627</stp>
        <tr r="O76" s="2"/>
      </tp>
      <tp t="s">
        <v>#N/A Requesting Data...4149576050</v>
        <stp/>
        <stp>BDP|18252595326602925537</stp>
        <tr r="A846" s="2"/>
      </tp>
      <tp t="s">
        <v>#N/A Requesting Data...4201564198</v>
        <stp/>
        <stp>BDP|10218409574499395226</stp>
        <tr r="R2217" s="2"/>
      </tp>
      <tp t="s">
        <v>#N/A Requesting Data...4190872569</v>
        <stp/>
        <stp>BDP|15348901976131462261</stp>
        <tr r="M1646" s="2"/>
      </tp>
      <tp t="s">
        <v>#N/A Requesting Data...4246997614</v>
        <stp/>
        <stp>BDP|16556945740252208140</stp>
        <tr r="P1030" s="2"/>
      </tp>
      <tp t="s">
        <v>#N/A Requesting Data...4158512975</v>
        <stp/>
        <stp>BDP|11772388905632933848</stp>
        <tr r="S711" s="2"/>
      </tp>
      <tp t="s">
        <v>#N/A Requesting Data...4151733865</v>
        <stp/>
        <stp>BDP|16386207576719236209</stp>
        <tr r="E1970" s="2"/>
      </tp>
      <tp t="s">
        <v>#N/A Requesting Data...4169726767</v>
        <stp/>
        <stp>BDP|13441754827039227733</stp>
        <tr r="C1582" s="2"/>
      </tp>
      <tp t="b">
        <v>0</v>
        <stp/>
        <stp>BDS|12922522036589952501</stp>
        <tr r="I2491" s="2"/>
      </tp>
      <tp t="s">
        <v>#N/A Requesting Data...4269847033</v>
        <stp/>
        <stp>BDP|16391701699648598886</stp>
        <tr r="S1568" s="2"/>
      </tp>
      <tp t="s">
        <v>#N/A Requesting Data...4278123544</v>
        <stp/>
        <stp>BDP|14425705010682537863</stp>
        <tr r="C1011" s="2"/>
      </tp>
      <tp t="s">
        <v>#N/A Requesting Data...4221124581</v>
        <stp/>
        <stp>BDP|15815305389490099668</stp>
        <tr r="N5" s="2"/>
      </tp>
      <tp t="s">
        <v>#N/A Requesting Data...4278046091</v>
        <stp/>
        <stp>BDP|18181959180059705840</stp>
        <tr r="P1611" s="2"/>
      </tp>
      <tp t="s">
        <v>#N/A Requesting Data...4260885793</v>
        <stp/>
        <stp>BDP|10251014466647652943</stp>
        <tr r="A1820" s="2"/>
      </tp>
      <tp t="s">
        <v>#N/A Requesting Data...4264441243</v>
        <stp/>
        <stp>BDP|12330253813528714154</stp>
        <tr r="M286" s="2"/>
      </tp>
      <tp t="s">
        <v>#N/A Requesting Data...4211277954</v>
        <stp/>
        <stp>BDP|15185849954379542936</stp>
        <tr r="E1827" s="2"/>
      </tp>
      <tp t="s">
        <v>#N/A Requesting Data...4230516528</v>
        <stp/>
        <stp>BDP|17411760697798209906</stp>
        <tr r="J949" s="2"/>
      </tp>
      <tp t="s">
        <v>#N/A Requesting Data...4239848381</v>
        <stp/>
        <stp>BDP|15061873763465526663</stp>
        <tr r="O443" s="2"/>
      </tp>
      <tp t="s">
        <v>#N/A Requesting Data...4289447973</v>
        <stp/>
        <stp>BDP|13659253685177448653</stp>
        <tr r="J2373" s="2"/>
      </tp>
      <tp t="s">
        <v>#N/A Requesting Data...4212032528</v>
        <stp/>
        <stp>BDP|16773557280466014555</stp>
        <tr r="J819" s="2"/>
      </tp>
      <tp t="s">
        <v>#N/A Requesting Data...4216355012</v>
        <stp/>
        <stp>BDP|11333462480647088228</stp>
        <tr r="N2012" s="2"/>
      </tp>
      <tp t="s">
        <v>#N/A Requesting Data...4264785018</v>
        <stp/>
        <stp>BDP|14296332043403302868</stp>
        <tr r="N1976" s="2"/>
      </tp>
      <tp t="s">
        <v>#N/A Requesting Data...4291230825</v>
        <stp/>
        <stp>BDP|11025530140551606920</stp>
        <tr r="S2133" s="2"/>
      </tp>
      <tp t="s">
        <v>#N/A Requesting Data...4285080335</v>
        <stp/>
        <stp>BDP|12240843176475227056</stp>
        <tr r="P2142" s="2"/>
      </tp>
      <tp t="s">
        <v>#N/A Requesting Data...4270588099</v>
        <stp/>
        <stp>BDP|11691409186710461536</stp>
        <tr r="D1243" s="2"/>
      </tp>
      <tp t="b">
        <v>0</v>
        <stp/>
        <stp>BDS|10058847805257066751</stp>
        <tr r="I1331" s="2"/>
      </tp>
      <tp t="s">
        <v>#N/A Requesting Data...4281708233</v>
        <stp/>
        <stp>BDP|12962318669456297945</stp>
        <tr r="F1834" s="2"/>
      </tp>
      <tp t="s">
        <v>#N/A Requesting Data...4286717831</v>
        <stp/>
        <stp>BDP|14773085605058851451</stp>
        <tr r="M2089" s="2"/>
      </tp>
      <tp t="s">
        <v>#N/A Requesting Data...4255651188</v>
        <stp/>
        <stp>BDP|13652923076044016151</stp>
        <tr r="F1268" s="2"/>
      </tp>
      <tp t="s">
        <v>#N/A Requesting Data...4278273351</v>
        <stp/>
        <stp>BDP|17075015961299668013</stp>
        <tr r="C2072" s="2"/>
      </tp>
      <tp t="s">
        <v>#N/A Requesting Data...4240524983</v>
        <stp/>
        <stp>BDP|16829320519268400405</stp>
        <tr r="E1963" s="2"/>
      </tp>
      <tp t="s">
        <v>#N/A Requesting Data...4270255679</v>
        <stp/>
        <stp>BDP|18413842420732379847</stp>
        <tr r="S1180" s="2"/>
      </tp>
      <tp t="s">
        <v>#N/A Requesting Data...4282972191</v>
        <stp/>
        <stp>BDP|10455253693690215375</stp>
        <tr r="H1047" s="2"/>
      </tp>
      <tp t="s">
        <v>#N/A Requesting Data...4277808326</v>
        <stp/>
        <stp>BDP|14079342073251649967</stp>
        <tr r="M1304" s="2"/>
      </tp>
      <tp t="s">
        <v>#N/A Requesting Data...4292104697</v>
        <stp/>
        <stp>BDP|13525610499041932535</stp>
        <tr r="A1614" s="2"/>
      </tp>
      <tp t="s">
        <v>#N/A Requesting Data...4279711728</v>
        <stp/>
        <stp>BDP|12945569138624679877</stp>
        <tr r="Q1215" s="2"/>
      </tp>
      <tp t="s">
        <v>#N/A Requesting Data...4274948148</v>
        <stp/>
        <stp>BDP|11493024725472309962</stp>
        <tr r="P1036" s="2"/>
      </tp>
      <tp t="s">
        <v>#N/A Requesting Data...4294715264</v>
        <stp/>
        <stp>BDP|11951484536776396824</stp>
        <tr r="S1223" s="2"/>
      </tp>
      <tp t="s">
        <v>#N/A Requesting Data...4291659133</v>
        <stp/>
        <stp>BDP|16707988447755816665</stp>
        <tr r="H1079" s="2"/>
      </tp>
      <tp t="s">
        <v>#N/A Requesting Data...4279216076</v>
        <stp/>
        <stp>BDP|10047722494040752679</stp>
        <tr r="J1232" s="2"/>
      </tp>
      <tp t="s">
        <v>#N/A Requesting Data...4274795431</v>
        <stp/>
        <stp>BDP|17738574492506289560</stp>
        <tr r="P1528" s="2"/>
      </tp>
      <tp t="s">
        <v>#N/A Requesting Data...4291481848</v>
        <stp/>
        <stp>BDP|18301398963593921665</stp>
        <tr r="E2219" s="2"/>
      </tp>
      <tp t="s">
        <v>#N/A Requesting Data...4291020111</v>
        <stp/>
        <stp>BDP|17551688935333868962</stp>
        <tr r="P1615" s="2"/>
      </tp>
      <tp t="s">
        <v>#N/A Requesting Data...4281535797</v>
        <stp/>
        <stp>BDP|10443619184836693016</stp>
        <tr r="O1836" s="2"/>
      </tp>
      <tp t="s">
        <v>#N/A Requesting Data...4284196831</v>
        <stp/>
        <stp>BDP|17437337065149491306</stp>
        <tr r="G1001" s="2"/>
      </tp>
      <tp t="s">
        <v>#N/A Requesting Data...4288872133</v>
        <stp/>
        <stp>BDP|10312238111098686318</stp>
        <tr r="H1816" s="2"/>
      </tp>
      <tp t="s">
        <v>#N/A Requesting Data...4288816136</v>
        <stp/>
        <stp>BDP|14273633493696680523</stp>
        <tr r="R1491" s="2"/>
      </tp>
      <tp t="s">
        <v>#N/A Requesting Data...4291336530</v>
        <stp/>
        <stp>BDP|16829655731858951333</stp>
        <tr r="P992" s="2"/>
      </tp>
      <tp t="s">
        <v>#N/A Requesting Data...4294333655</v>
        <stp/>
        <stp>BDP|14599865605123729776</stp>
        <tr r="N1593" s="2"/>
      </tp>
      <tp t="s">
        <v>#N/A Requesting Data...597794056</v>
        <stp/>
        <stp>BDP|13996514698510781719</stp>
        <tr r="N481" s="2"/>
      </tp>
      <tp t="s">
        <v>#N/A Requesting Data...4199492011</v>
        <stp/>
        <stp>BDP|18317049047230568434</stp>
        <tr r="S1873" s="2"/>
      </tp>
      <tp t="s">
        <v>#N/A Requesting Data...3546551368</v>
        <stp/>
        <stp>BDP|11088406123607198849</stp>
        <tr r="P469" s="2"/>
      </tp>
      <tp t="s">
        <v>#N/A Requesting Data...39535206</v>
        <stp/>
        <stp>BDP|13289725165533066931</stp>
        <tr r="F2172" s="2"/>
      </tp>
      <tp t="s">
        <v>#N/A Requesting Data...944956203</v>
        <stp/>
        <stp>BDP|13329458694703250567</stp>
        <tr r="R630" s="2"/>
      </tp>
      <tp t="s">
        <v>#N/A Requesting Data...262937314</v>
        <stp/>
        <stp>BDP|11469320491974091719</stp>
        <tr r="J1366" s="2"/>
      </tp>
      <tp t="s">
        <v>#N/A Requesting Data...2278235216</v>
        <stp/>
        <stp>BDP|15302217794805480348</stp>
        <tr r="M84" s="2"/>
      </tp>
      <tp t="s">
        <v>#N/A Requesting Data...1498661730</v>
        <stp/>
        <stp>BDP|14123908376337003516</stp>
        <tr r="N2286" s="2"/>
      </tp>
      <tp t="s">
        <v>#N/A Requesting Data...2251857081</v>
        <stp/>
        <stp>BDP|13591156295036619550</stp>
        <tr r="N776" s="2"/>
      </tp>
      <tp t="s">
        <v>#N/A Requesting Data...4172176340</v>
        <stp/>
        <stp>BDP|11676699094253439591</stp>
        <tr r="A551" s="2"/>
      </tp>
      <tp t="s">
        <v>#N/A Requesting Data...4132273745</v>
        <stp/>
        <stp>BDP|14313730806892324935</stp>
        <tr r="F2358" s="2"/>
      </tp>
      <tp t="s">
        <v>#N/A Requesting Data...2764997018</v>
        <stp/>
        <stp>BDP|13523934446802385458</stp>
        <tr r="J1535" s="2"/>
      </tp>
      <tp t="s">
        <v>#N/A Requesting Data...3382997272</v>
        <stp/>
        <stp>BDP|16947866138195886096</stp>
        <tr r="R294" s="2"/>
      </tp>
      <tp t="s">
        <v>#N/A Requesting Data...850173985</v>
        <stp/>
        <stp>BDP|11502367820341684931</stp>
        <tr r="J347" s="2"/>
      </tp>
      <tp t="s">
        <v>#N/A Requesting Data...3771511876</v>
        <stp/>
        <stp>BDP|15740403885213593211</stp>
        <tr r="K1169" s="2"/>
      </tp>
      <tp t="s">
        <v>#N/A Requesting Data...1832863697</v>
        <stp/>
        <stp>BDP|15691601841009141600</stp>
        <tr r="Q1773" s="2"/>
      </tp>
      <tp t="s">
        <v>#N/A Requesting Data...992244135</v>
        <stp/>
        <stp>BDP|18091395543797965051</stp>
        <tr r="P1805" s="2"/>
      </tp>
      <tp t="s">
        <v>#N/A Requesting Data...3596826679</v>
        <stp/>
        <stp>BDP|17984907678714537527</stp>
        <tr r="T1769" s="2"/>
      </tp>
      <tp t="s">
        <v>#N/A Requesting Data...2527192282</v>
        <stp/>
        <stp>BDP|16401754383280751130</stp>
        <tr r="R1992" s="2"/>
      </tp>
      <tp t="s">
        <v>#N/A Requesting Data...989656439</v>
        <stp/>
        <stp>BDP|10444441688462940676</stp>
        <tr r="N330" s="2"/>
      </tp>
      <tp t="s">
        <v>#N/A Requesting Data...2913773176</v>
        <stp/>
        <stp>BDP|14609391951379090388</stp>
        <tr r="O434" s="2"/>
      </tp>
      <tp t="s">
        <v>#N/A Requesting Data...192202794</v>
        <stp/>
        <stp>BDP|13531171282966085460</stp>
        <tr r="H959" s="2"/>
      </tp>
      <tp t="s">
        <v>#N/A Requesting Data...1672897836</v>
        <stp/>
        <stp>BDP|18135792060248832963</stp>
        <tr r="G2042" s="2"/>
      </tp>
      <tp t="s">
        <v>#N/A Requesting Data...1657269232</v>
        <stp/>
        <stp>BDP|14299988118176430201</stp>
        <tr r="J1346" s="2"/>
      </tp>
      <tp t="s">
        <v>#N/A Requesting Data...1768937110</v>
        <stp/>
        <stp>BDP|11822444989327240213</stp>
        <tr r="F413" s="2"/>
      </tp>
      <tp t="s">
        <v>#N/A Requesting Data...1772488710</v>
        <stp/>
        <stp>BDP|13032734504398054413</stp>
        <tr r="O1246" s="2"/>
      </tp>
      <tp t="s">
        <v>#N/A Requesting Data...593426898</v>
        <stp/>
        <stp>BDP|16407825676612285349</stp>
        <tr r="H86" s="2"/>
      </tp>
      <tp t="s">
        <v>#N/A Requesting Data...2647941723</v>
        <stp/>
        <stp>BDP|16234450280120330223</stp>
        <tr r="A1456" s="2"/>
      </tp>
      <tp t="b">
        <v>0</v>
        <stp/>
        <stp>BDS|11230012602211790838</stp>
        <tr r="I1515" s="2"/>
      </tp>
      <tp t="b">
        <v>0</v>
        <stp/>
        <stp>BDS|13809502368421569902</stp>
        <tr r="I945" s="2"/>
      </tp>
      <tp t="s">
        <v>#N/A Requesting Data...3279174362</v>
        <stp/>
        <stp>BDP|14942669684902909045</stp>
        <tr r="S2286" s="2"/>
      </tp>
      <tp t="s">
        <v>#N/A Requesting Data...538425591</v>
        <stp/>
        <stp>BDP|15178825053167222740</stp>
        <tr r="F1612" s="2"/>
      </tp>
      <tp t="s">
        <v>#N/A Requesting Data...1524212515</v>
        <stp/>
        <stp>BDP|12499966375177863399</stp>
        <tr r="T2013" s="2"/>
      </tp>
      <tp t="s">
        <v>#N/A Requesting Data...874544332</v>
        <stp/>
        <stp>BDP|10159875116630753112</stp>
        <tr r="M2363" s="2"/>
      </tp>
      <tp t="s">
        <v>#N/A Requesting Data...854032066</v>
        <stp/>
        <stp>BDP|18152605768191764186</stp>
        <tr r="H930" s="2"/>
      </tp>
      <tp t="s">
        <v>#N/A Requesting Data...1147522253</v>
        <stp/>
        <stp>BDP|13012544796301030644</stp>
        <tr r="C1100" s="2"/>
      </tp>
      <tp t="s">
        <v>#N/A Requesting Data...3043909625</v>
        <stp/>
        <stp>BDP|12695379274789158723</stp>
        <tr r="N510" s="2"/>
      </tp>
      <tp t="s">
        <v>#N/A Requesting Data...924117919</v>
        <stp/>
        <stp>BDP|15775793759167625876</stp>
        <tr r="H901" s="2"/>
      </tp>
      <tp t="s">
        <v>#N/A Requesting Data...659070680</v>
        <stp/>
        <stp>BDP|12175830654135973290</stp>
        <tr r="P284" s="2"/>
      </tp>
      <tp t="s">
        <v>#N/A Requesting Data...2920078079</v>
        <stp/>
        <stp>BDP|13523801182853894893</stp>
        <tr r="P115" s="2"/>
      </tp>
      <tp t="s">
        <v>#N/A Requesting Data...1794163854</v>
        <stp/>
        <stp>BDP|17304055091665460354</stp>
        <tr r="O2445" s="2"/>
      </tp>
      <tp t="s">
        <v>#N/A Requesting Data...2600156028</v>
        <stp/>
        <stp>BDP|15503486129698416361</stp>
        <tr r="D629" s="2"/>
      </tp>
      <tp t="s">
        <v>#N/A Requesting Data...1118144895</v>
        <stp/>
        <stp>BDP|11349754246029371357</stp>
        <tr r="O173" s="2"/>
      </tp>
      <tp t="s">
        <v>#N/A Requesting Data...2870404345</v>
        <stp/>
        <stp>BDP|12328876746154562213</stp>
        <tr r="D597" s="2"/>
      </tp>
      <tp t="s">
        <v>#N/A Requesting Data...588496775</v>
        <stp/>
        <stp>BDP|15786639763695440853</stp>
        <tr r="K86" s="2"/>
      </tp>
      <tp t="s">
        <v>#N/A Requesting Data...3385409611</v>
        <stp/>
        <stp>BDP|16798931612447690165</stp>
        <tr r="E883" s="2"/>
      </tp>
      <tp t="s">
        <v>#N/A Requesting Data...1301296029</v>
        <stp/>
        <stp>BDP|16326963118840904629</stp>
        <tr r="P2254" s="2"/>
      </tp>
      <tp t="b">
        <v>0</v>
        <stp/>
        <stp>BDS|16634448864499063539</stp>
        <tr r="I74" s="2"/>
      </tp>
      <tp t="s">
        <v>#N/A Requesting Data...1284221398</v>
        <stp/>
        <stp>BDP|15793919392084689948</stp>
        <tr r="C1021" s="2"/>
      </tp>
      <tp t="s">
        <v>#N/A Requesting Data...3959788997</v>
        <stp/>
        <stp>BDP|10122865752422649750</stp>
        <tr r="T1887" s="2"/>
      </tp>
      <tp t="s">
        <v>#N/A Requesting Data...4201190128</v>
        <stp/>
        <stp>BDP|15700228021159780457</stp>
        <tr r="A2059" s="2"/>
      </tp>
      <tp t="s">
        <v>#N/A Requesting Data...3143261886</v>
        <stp/>
        <stp>BDP|11986418108529625401</stp>
        <tr r="N2251" s="2"/>
      </tp>
      <tp t="s">
        <v>#N/A Requesting Data...4108689357</v>
        <stp/>
        <stp>BDP|17853140111488234797</stp>
        <tr r="A2074" s="2"/>
      </tp>
      <tp t="s">
        <v>#N/A Requesting Data...466868373</v>
        <stp/>
        <stp>BDP|18077678838847000292</stp>
        <tr r="F1425" s="2"/>
      </tp>
      <tp t="s">
        <v>#N/A Requesting Data...2058234130</v>
        <stp/>
        <stp>BDP|13608962375757254215</stp>
        <tr r="D2226" s="2"/>
      </tp>
      <tp t="s">
        <v>#N/A Requesting Data...882106149</v>
        <stp/>
        <stp>BDP|14081173380816559343</stp>
        <tr r="Q149" s="2"/>
      </tp>
      <tp t="s">
        <v>#N/A Requesting Data...402394353</v>
        <stp/>
        <stp>BDP|10646253483937794512</stp>
        <tr r="S744" s="2"/>
      </tp>
      <tp t="s">
        <v>#N/A Requesting Data...2617139988</v>
        <stp/>
        <stp>BDP|13231857497849712318</stp>
        <tr r="H1909" s="2"/>
      </tp>
      <tp t="s">
        <v>#N/A Requesting Data...487137977</v>
        <stp/>
        <stp>BDP|10529115200370601940</stp>
        <tr r="K332" s="2"/>
      </tp>
      <tp t="s">
        <v>#N/A Requesting Data...2487610440</v>
        <stp/>
        <stp>BDP|15128421645459954496</stp>
        <tr r="G1783" s="2"/>
      </tp>
      <tp t="s">
        <v>#N/A Requesting Data...1316409439</v>
        <stp/>
        <stp>BDP|13797924532400489155</stp>
        <tr r="A1246" s="2"/>
      </tp>
      <tp t="s">
        <v>#N/A Requesting Data...4258147477</v>
        <stp/>
        <stp>BDP|12344803687669501375</stp>
        <tr r="F281" s="2"/>
      </tp>
      <tp t="s">
        <v>#N/A Requesting Data...2148948597</v>
        <stp/>
        <stp>BDP|12110598470311693987</stp>
        <tr r="G802" s="2"/>
      </tp>
      <tp t="s">
        <v>#N/A Requesting Data...2072522572</v>
        <stp/>
        <stp>BDP|15602317983485363311</stp>
        <tr r="G855" s="2"/>
      </tp>
      <tp t="s">
        <v>#N/A Requesting Data...3140755536</v>
        <stp/>
        <stp>BDP|16235718783939652803</stp>
        <tr r="P1194" s="2"/>
      </tp>
      <tp t="s">
        <v>#N/A Requesting Data...709301765</v>
        <stp/>
        <stp>BDP|14268129491894167065</stp>
        <tr r="A989" s="2"/>
      </tp>
      <tp t="s">
        <v>#N/A Requesting Data...1762944439</v>
        <stp/>
        <stp>BDP|16609200698200106469</stp>
        <tr r="M416" s="2"/>
      </tp>
      <tp t="s">
        <v>#N/A Requesting Data...3543917550</v>
        <stp/>
        <stp>BDP|13443890134857572650</stp>
        <tr r="T64" s="2"/>
      </tp>
      <tp t="s">
        <v>#N/A Requesting Data...3829963830</v>
        <stp/>
        <stp>BDP|14080488699508167898</stp>
        <tr r="J1423" s="2"/>
      </tp>
      <tp t="s">
        <v>#N/A Requesting Data...3746704554</v>
        <stp/>
        <stp>BDP|18258652193579805758</stp>
        <tr r="A2313" s="2"/>
      </tp>
      <tp t="s">
        <v>#N/A Requesting Data...2945148251</v>
        <stp/>
        <stp>BDP|16589513793193922072</stp>
        <tr r="Q1825" s="2"/>
      </tp>
      <tp t="s">
        <v>#N/A Requesting Data...3238571157</v>
        <stp/>
        <stp>BDP|14836194001579990501</stp>
        <tr r="T2369" s="2"/>
      </tp>
      <tp t="s">
        <v>#N/A Requesting Data...1301469347</v>
        <stp/>
        <stp>BDP|11136491642689242119</stp>
        <tr r="E2449" s="2"/>
      </tp>
      <tp t="s">
        <v>#N/A Requesting Data...2020441465</v>
        <stp/>
        <stp>BDP|18317441620873668486</stp>
        <tr r="R722" s="2"/>
      </tp>
      <tp t="s">
        <v>#N/A Requesting Data...3619539676</v>
        <stp/>
        <stp>BDP|18197513622343281599</stp>
        <tr r="G750" s="2"/>
      </tp>
      <tp t="s">
        <v>#N/A Requesting Data...2240199290</v>
        <stp/>
        <stp>BDP|17925684739689267239</stp>
        <tr r="T491" s="2"/>
      </tp>
      <tp t="s">
        <v>#N/A Requesting Data...4266364390</v>
        <stp/>
        <stp>BDP|14639110498675634009</stp>
        <tr r="F2150" s="2"/>
      </tp>
      <tp t="s">
        <v>#N/A Requesting Data...2290489996</v>
        <stp/>
        <stp>BDP|18289958419401134868</stp>
        <tr r="A208" s="2"/>
      </tp>
      <tp t="s">
        <v>#N/A Requesting Data...2094293406</v>
        <stp/>
        <stp>BDP|11854902170783565549</stp>
        <tr r="H417" s="2"/>
      </tp>
      <tp t="s">
        <v>#N/A Requesting Data...1845468330</v>
        <stp/>
        <stp>BDP|12142036098920346200</stp>
        <tr r="O902" s="2"/>
      </tp>
      <tp t="s">
        <v>#N/A Requesting Data...1516574644</v>
        <stp/>
        <stp>BDP|13787318794463286393</stp>
        <tr r="K81" s="2"/>
      </tp>
      <tp t="s">
        <v>#N/A Requesting Data...1687787733</v>
        <stp/>
        <stp>BDP|16747801968393307259</stp>
        <tr r="F1549" s="2"/>
      </tp>
      <tp t="s">
        <v>#N/A Requesting Data...626921105</v>
        <stp/>
        <stp>BDP|10489040186689973866</stp>
        <tr r="S1572" s="2"/>
      </tp>
      <tp t="s">
        <v>#N/A Requesting Data...1111085279</v>
        <stp/>
        <stp>BDP|17023607290837962605</stp>
        <tr r="H1791" s="2"/>
      </tp>
      <tp t="s">
        <v>#N/A Requesting Data...490527907</v>
        <stp/>
        <stp>BDP|17786888204034197237</stp>
        <tr r="K1391" s="2"/>
      </tp>
      <tp t="s">
        <v>#N/A Requesting Data...4264765947</v>
        <stp/>
        <stp>BDP|13805576397183830599</stp>
        <tr r="H2075" s="2"/>
      </tp>
      <tp t="s">
        <v>#N/A Requesting Data...336310717</v>
        <stp/>
        <stp>BDP|14857215529954879913</stp>
        <tr r="A2052" s="2"/>
      </tp>
      <tp t="s">
        <v>#N/A Requesting Data...1426627280</v>
        <stp/>
        <stp>BDP|17206136386071993672</stp>
        <tr r="E469" s="2"/>
      </tp>
      <tp t="s">
        <v>#N/A Requesting Data...2035059836</v>
        <stp/>
        <stp>BDP|15835712981861173202</stp>
        <tr r="H2271" s="2"/>
      </tp>
      <tp t="s">
        <v>#N/A Requesting Data...1073128931</v>
        <stp/>
        <stp>BDP|11304375991821574396</stp>
        <tr r="O1651" s="2"/>
      </tp>
      <tp t="s">
        <v>#N/A Requesting Data...3990489253</v>
        <stp/>
        <stp>BDP|13412129420829784084</stp>
        <tr r="R1306" s="2"/>
      </tp>
      <tp t="s">
        <v>#N/A Requesting Data...1076122136</v>
        <stp/>
        <stp>BDP|13761289053285577809</stp>
        <tr r="S1991" s="2"/>
      </tp>
      <tp t="s">
        <v>#N/A Requesting Data...3263548139</v>
        <stp/>
        <stp>BDP|10125029295955919560</stp>
        <tr r="S1693" s="2"/>
      </tp>
      <tp t="s">
        <v>#N/A Requesting Data...1299821842</v>
        <stp/>
        <stp>BDP|15071261871851985874</stp>
        <tr r="J203" s="2"/>
      </tp>
      <tp t="s">
        <v>#N/A Requesting Data...2005096605</v>
        <stp/>
        <stp>BDP|12706394347178755472</stp>
        <tr r="K1021" s="2"/>
      </tp>
      <tp t="s">
        <v>#N/A Requesting Data...3646837575</v>
        <stp/>
        <stp>BDP|13579343947518657596</stp>
        <tr r="E253" s="2"/>
      </tp>
      <tp t="s">
        <v>#N/A Requesting Data...1790386871</v>
        <stp/>
        <stp>BDP|17228194371118256013</stp>
        <tr r="N172" s="2"/>
      </tp>
      <tp t="s">
        <v>#N/A Requesting Data...3990441924</v>
        <stp/>
        <stp>BDP|18054494540632502356</stp>
        <tr r="D1313" s="2"/>
      </tp>
      <tp t="s">
        <v>#N/A Requesting Data...2670403778</v>
        <stp/>
        <stp>BDP|14028781817379215240</stp>
        <tr r="S2319" s="2"/>
      </tp>
      <tp t="s">
        <v>#N/A Requesting Data...3410951628</v>
        <stp/>
        <stp>BDP|17735962821824885111</stp>
        <tr r="R2134" s="2"/>
      </tp>
      <tp t="s">
        <v>#N/A Requesting Data...993226824</v>
        <stp/>
        <stp>BDP|12764319957738098586</stp>
        <tr r="N1298" s="2"/>
      </tp>
      <tp t="s">
        <v>#N/A Requesting Data...2540703356</v>
        <stp/>
        <stp>BDP|17480889830276268373</stp>
        <tr r="R2005" s="2"/>
      </tp>
      <tp t="s">
        <v>#N/A Requesting Data...290485017</v>
        <stp/>
        <stp>BDP|11233159509918207155</stp>
        <tr r="A1325" s="2"/>
      </tp>
      <tp t="b">
        <v>0</v>
        <stp/>
        <stp>BDS|10610145387578667891</stp>
        <tr r="I67" s="2"/>
      </tp>
      <tp t="s">
        <v>#N/A Requesting Data...520253367</v>
        <stp/>
        <stp>BDP|11833898776344692387</stp>
        <tr r="J804" s="2"/>
      </tp>
      <tp t="s">
        <v>#N/A Requesting Data...4138116190</v>
        <stp/>
        <stp>BDP|12901447724805704879</stp>
        <tr r="G1516" s="2"/>
      </tp>
      <tp t="s">
        <v>#N/A Requesting Data...3397660140</v>
        <stp/>
        <stp>BDP|17935024492151996699</stp>
        <tr r="J2197" s="2"/>
      </tp>
      <tp t="s">
        <v>#N/A Requesting Data...3462033618</v>
        <stp/>
        <stp>BDP|17285888844663525121</stp>
        <tr r="Q1082" s="2"/>
      </tp>
      <tp t="s">
        <v>#N/A Requesting Data...3429324379</v>
        <stp/>
        <stp>BDP|12844885724134848551</stp>
        <tr r="Q1367" s="2"/>
      </tp>
      <tp t="s">
        <v>#N/A Requesting Data...1356794419</v>
        <stp/>
        <stp>BDP|14769091403794311974</stp>
        <tr r="D2221" s="2"/>
      </tp>
      <tp t="s">
        <v>#N/A Requesting Data...494635323</v>
        <stp/>
        <stp>BDP|14712942741638932823</stp>
        <tr r="H240" s="2"/>
      </tp>
      <tp t="s">
        <v>#N/A Requesting Data...2877428626</v>
        <stp/>
        <stp>BDP|12660496256429390338</stp>
        <tr r="A1840" s="2"/>
      </tp>
      <tp t="s">
        <v>#N/A Requesting Data...2841511785</v>
        <stp/>
        <stp>BDP|16629285881061379454</stp>
        <tr r="G1706" s="2"/>
      </tp>
      <tp t="s">
        <v>#N/A Requesting Data...2838019865</v>
        <stp/>
        <stp>BDP|13453042596191845276</stp>
        <tr r="M2004" s="2"/>
      </tp>
      <tp t="s">
        <v>#N/A Requesting Data...3563310283</v>
        <stp/>
        <stp>BDP|13494850278796395333</stp>
        <tr r="J1784" s="2"/>
      </tp>
      <tp t="s">
        <v>#N/A Requesting Data...2379062454</v>
        <stp/>
        <stp>BDP|10869023713958116006</stp>
        <tr r="Q483" s="2"/>
      </tp>
      <tp t="s">
        <v>#N/A Requesting Data...1461591854</v>
        <stp/>
        <stp>BDP|10421684537129780544</stp>
        <tr r="C1361" s="2"/>
      </tp>
      <tp t="s">
        <v>#N/A Requesting Data...869954311</v>
        <stp/>
        <stp>BDP|10479089324883482845</stp>
        <tr r="P2197" s="2"/>
      </tp>
      <tp t="s">
        <v>#N/A Requesting Data...1422083938</v>
        <stp/>
        <stp>BDP|12883121807653727927</stp>
        <tr r="P633" s="2"/>
      </tp>
      <tp t="s">
        <v>#N/A Requesting Data...1974329445</v>
        <stp/>
        <stp>BDP|10415879241150309593</stp>
        <tr r="F1572" s="2"/>
      </tp>
      <tp t="s">
        <v>#N/A Requesting Data...1724933858</v>
        <stp/>
        <stp>BDP|13165587907967320850</stp>
        <tr r="H899" s="2"/>
      </tp>
      <tp t="s">
        <v>#N/A Requesting Data...2144420868</v>
        <stp/>
        <stp>BDP|18191899190074885482</stp>
        <tr r="O2226" s="2"/>
      </tp>
      <tp t="s">
        <v>#N/A Requesting Data...3086081339</v>
        <stp/>
        <stp>BDP|12984332888163315393</stp>
        <tr r="Q61" s="2"/>
      </tp>
      <tp t="b">
        <v>0</v>
        <stp/>
        <stp>BDS|11553906146945049087</stp>
        <tr r="I1689" s="2"/>
      </tp>
      <tp t="s">
        <v>#N/A Requesting Data...3408320438</v>
        <stp/>
        <stp>BDP|12839608214058045446</stp>
        <tr r="G1840" s="2"/>
      </tp>
      <tp t="s">
        <v>#N/A Requesting Data...3095653139</v>
        <stp/>
        <stp>BDP|13619793294884166025</stp>
        <tr r="E2295" s="2"/>
      </tp>
      <tp t="s">
        <v>#N/A Requesting Data...2295247764</v>
        <stp/>
        <stp>BDP|10390620427084723993</stp>
        <tr r="T1477" s="2"/>
      </tp>
      <tp t="s">
        <v>#N/A Requesting Data...601206405</v>
        <stp/>
        <stp>BDP|11735829016484247592</stp>
        <tr r="M2231" s="2"/>
      </tp>
      <tp t="s">
        <v>#N/A Requesting Data...2028202569</v>
        <stp/>
        <stp>BDP|11694414198721043476</stp>
        <tr r="K1704" s="2"/>
      </tp>
      <tp t="s">
        <v>#N/A Requesting Data...1493283041</v>
        <stp/>
        <stp>BDP|14095973500576666291</stp>
        <tr r="Q126" s="2"/>
      </tp>
      <tp t="s">
        <v>#N/A Requesting Data...3875576681</v>
        <stp/>
        <stp>BDP|15394780199157359592</stp>
        <tr r="K158" s="2"/>
      </tp>
      <tp t="s">
        <v>#N/A Requesting Data...3642559798</v>
        <stp/>
        <stp>BDP|16395897875154598429</stp>
        <tr r="E2233" s="2"/>
      </tp>
      <tp t="s">
        <v>#N/A Requesting Data...520338152</v>
        <stp/>
        <stp>BDP|11605744862059834009</stp>
        <tr r="T1634" s="2"/>
      </tp>
      <tp t="s">
        <v>#N/A Requesting Data...811090943</v>
        <stp/>
        <stp>BDP|17832177778000689892</stp>
        <tr r="A380" s="2"/>
      </tp>
      <tp t="s">
        <v>#N/A Requesting Data...978688374</v>
        <stp/>
        <stp>BDP|11600583983264760129</stp>
        <tr r="T1251" s="2"/>
      </tp>
      <tp t="s">
        <v>#N/A Requesting Data...1235693818</v>
        <stp/>
        <stp>BDP|13021511087683932478</stp>
        <tr r="A941" s="2"/>
      </tp>
      <tp t="s">
        <v>#N/A Requesting Data...3975954734</v>
        <stp/>
        <stp>BDP|12345306188963104325</stp>
        <tr r="F1655" s="2"/>
      </tp>
      <tp t="s">
        <v>#N/A Requesting Data...3603446421</v>
        <stp/>
        <stp>BDP|13116915679021414558</stp>
        <tr r="C130" s="2"/>
      </tp>
      <tp t="b">
        <v>0</v>
        <stp/>
        <stp>BDS|12936392891361385096</stp>
        <tr r="I308" s="2"/>
      </tp>
      <tp t="s">
        <v>#N/A Requesting Data...3865586564</v>
        <stp/>
        <stp>BDP|17108189843639345217</stp>
        <tr r="Q480" s="2"/>
      </tp>
      <tp t="s">
        <v>#N/A Requesting Data...2141395177</v>
        <stp/>
        <stp>BDP|12975973136434896585</stp>
        <tr r="Q272" s="2"/>
      </tp>
      <tp t="s">
        <v>#N/A Requesting Data...2340856585</v>
        <stp/>
        <stp>BDP|18187688534563139745</stp>
        <tr r="G1864" s="2"/>
      </tp>
      <tp t="s">
        <v>#N/A Requesting Data...692656166</v>
        <stp/>
        <stp>BDP|11645678630405928809</stp>
        <tr r="H523" s="2"/>
      </tp>
      <tp t="s">
        <v>#N/A Requesting Data...3807381400</v>
        <stp/>
        <stp>BDP|14081512366829624793</stp>
        <tr r="R2151" s="2"/>
      </tp>
      <tp t="s">
        <v>#N/A Requesting Data...1586277359</v>
        <stp/>
        <stp>BDP|12648272078386777861</stp>
        <tr r="A2464" s="2"/>
      </tp>
      <tp t="s">
        <v>#N/A Requesting Data...3784741720</v>
        <stp/>
        <stp>BDP|15218517626702849956</stp>
        <tr r="D1233" s="2"/>
      </tp>
      <tp t="s">
        <v>#N/A Requesting Data...1977357981</v>
        <stp/>
        <stp>BDP|15700302872171548984</stp>
        <tr r="C1835" s="2"/>
      </tp>
      <tp t="s">
        <v>#N/A Requesting Data...534885602</v>
        <stp/>
        <stp>BDP|15730011271653640893</stp>
        <tr r="C434" s="2"/>
      </tp>
      <tp t="s">
        <v>#N/A Requesting Data...802742833</v>
        <stp/>
        <stp>BDP|11601795877188422045</stp>
        <tr r="A460" s="2"/>
      </tp>
      <tp t="s">
        <v>#N/A Requesting Data...2862473466</v>
        <stp/>
        <stp>BDP|13653341269136611957</stp>
        <tr r="M1970" s="2"/>
      </tp>
      <tp t="s">
        <v>#N/A Requesting Data...530770941</v>
        <stp/>
        <stp>BDP|18364682008246853130</stp>
        <tr r="A1780" s="2"/>
      </tp>
      <tp t="s">
        <v>#N/A Requesting Data...2581137476</v>
        <stp/>
        <stp>BDP|12619925857990985727</stp>
        <tr r="N2239" s="2"/>
      </tp>
      <tp t="s">
        <v>#N/A Requesting Data...1393000379</v>
        <stp/>
        <stp>BDP|13596780614195584942</stp>
        <tr r="K672" s="2"/>
      </tp>
      <tp t="s">
        <v>#N/A Requesting Data...1682517291</v>
        <stp/>
        <stp>BDP|17512234157470808913</stp>
        <tr r="H117" s="2"/>
      </tp>
      <tp t="s">
        <v>#N/A Requesting Data...2276395387</v>
        <stp/>
        <stp>BDP|18160414651032959205</stp>
        <tr r="R1649" s="2"/>
      </tp>
      <tp t="s">
        <v>#N/A Requesting Data...2953442455</v>
        <stp/>
        <stp>BDP|16943955036890294502</stp>
        <tr r="T801" s="2"/>
      </tp>
      <tp t="b">
        <v>0</v>
        <stp/>
        <stp>BDS|13439461284771902747</stp>
        <tr r="I1916" s="2"/>
      </tp>
      <tp t="s">
        <v>#N/A Requesting Data...4265441694</v>
        <stp/>
        <stp>BDP|13328489872809359024</stp>
        <tr r="P2146" s="2"/>
      </tp>
      <tp t="s">
        <v>#N/A Requesting Data...1242722991</v>
        <stp/>
        <stp>BDP|17038189167991618810</stp>
        <tr r="S2106" s="2"/>
      </tp>
      <tp t="s">
        <v>#N/A Requesting Data...2796429769</v>
        <stp/>
        <stp>BDP|15705304256449145386</stp>
        <tr r="N2381" s="2"/>
      </tp>
      <tp t="b">
        <v>0</v>
        <stp/>
        <stp>BDS|14268970847345825515</stp>
        <tr r="I1254" s="2"/>
      </tp>
      <tp t="b">
        <v>0</v>
        <stp/>
        <stp>BDS|15970669837671002839</stp>
        <tr r="I654" s="2"/>
      </tp>
      <tp t="s">
        <v>#N/A Requesting Data...1658353501</v>
        <stp/>
        <stp>BDP|11896360246358198712</stp>
        <tr r="T1423" s="2"/>
      </tp>
      <tp t="s">
        <v>#N/A Requesting Data...823596080</v>
        <stp/>
        <stp>BDP|11243627043522305887</stp>
        <tr r="T518" s="2"/>
      </tp>
      <tp t="s">
        <v>#N/A Requesting Data...2630182470</v>
        <stp/>
        <stp>BDP|15350055529059534722</stp>
        <tr r="E1801" s="2"/>
      </tp>
      <tp t="s">
        <v>#N/A Requesting Data...2702061458</v>
        <stp/>
        <stp>BDP|11087765898992101475</stp>
        <tr r="M808" s="2"/>
      </tp>
      <tp t="s">
        <v>#N/A Requesting Data...2905175157</v>
        <stp/>
        <stp>BDP|17213593490930486272</stp>
        <tr r="F1317" s="2"/>
      </tp>
      <tp t="s">
        <v>#N/A Requesting Data...3205168674</v>
        <stp/>
        <stp>BDP|18313387096683716821</stp>
        <tr r="T882" s="2"/>
      </tp>
      <tp t="s">
        <v>#N/A Requesting Data...3033517657</v>
        <stp/>
        <stp>BDP|17871328555888068071</stp>
        <tr r="Q1273" s="2"/>
      </tp>
      <tp t="s">
        <v>#N/A Requesting Data...3058837717</v>
        <stp/>
        <stp>BDP|14292677085950137394</stp>
        <tr r="O2384" s="2"/>
      </tp>
      <tp t="s">
        <v>#N/A Requesting Data...4108685254</v>
        <stp/>
        <stp>BDP|18364746745566338491</stp>
        <tr r="N1964" s="2"/>
      </tp>
      <tp t="s">
        <v>#N/A Requesting Data...4114162223</v>
        <stp/>
        <stp>BDP|14775973349460500047</stp>
        <tr r="Q1202" s="2"/>
      </tp>
      <tp t="s">
        <v>#N/A Requesting Data...3723500439</v>
        <stp/>
        <stp>BDP|15377925438015321327</stp>
        <tr r="K314" s="2"/>
      </tp>
      <tp t="s">
        <v>#N/A Requesting Data...3759355640</v>
        <stp/>
        <stp>BDP|10310286599600228285</stp>
        <tr r="A1775" s="2"/>
      </tp>
      <tp t="s">
        <v>#N/A Requesting Data...1015252716</v>
        <stp/>
        <stp>BDP|11260894219044919535</stp>
        <tr r="M1886" s="2"/>
      </tp>
      <tp t="s">
        <v>#N/A Requesting Data...2564892323</v>
        <stp/>
        <stp>BDP|13232014789891292300</stp>
        <tr r="S1327" s="2"/>
      </tp>
      <tp t="s">
        <v>#N/A Requesting Data...1564788457</v>
        <stp/>
        <stp>BDP|15940765796532747066</stp>
        <tr r="Q446" s="2"/>
      </tp>
      <tp t="s">
        <v>#N/A Requesting Data...2432593745</v>
        <stp/>
        <stp>BDP|10578932137430904304</stp>
        <tr r="P749" s="2"/>
      </tp>
      <tp t="s">
        <v>#N/A Requesting Data...522054852</v>
        <stp/>
        <stp>BDP|11022032867119505794</stp>
        <tr r="M2012" s="2"/>
      </tp>
      <tp t="s">
        <v>#N/A Requesting Data...4078962692</v>
        <stp/>
        <stp>BDP|12818347591563250273</stp>
        <tr r="D1987" s="2"/>
      </tp>
      <tp t="s">
        <v>#N/A Requesting Data...1551539492</v>
        <stp/>
        <stp>BDP|11834415013365491869</stp>
        <tr r="T2069" s="2"/>
      </tp>
      <tp t="s">
        <v>#N/A Requesting Data...686904600</v>
        <stp/>
        <stp>BDP|12888490679221290927</stp>
        <tr r="A2306" s="2"/>
      </tp>
      <tp t="s">
        <v>#N/A Requesting Data...2293891484</v>
        <stp/>
        <stp>BDP|14175914777005678690</stp>
        <tr r="N1802" s="2"/>
      </tp>
      <tp t="s">
        <v>#N/A Requesting Data...4071795149</v>
        <stp/>
        <stp>BDP|10023447848979488000</stp>
        <tr r="Q2245" s="2"/>
      </tp>
      <tp t="s">
        <v>#N/A Requesting Data...2654431302</v>
        <stp/>
        <stp>BDP|13967187686202706187</stp>
        <tr r="E492" s="2"/>
      </tp>
      <tp t="s">
        <v>#N/A Requesting Data...3976977156</v>
        <stp/>
        <stp>BDP|16422068326275994855</stp>
        <tr r="N1069" s="2"/>
      </tp>
      <tp t="s">
        <v>#N/A Requesting Data...3345539815</v>
        <stp/>
        <stp>BDP|13500936904977143480</stp>
        <tr r="A2451" s="2"/>
      </tp>
      <tp t="s">
        <v>#N/A Requesting Data...2643555227</v>
        <stp/>
        <stp>BDP|13829453295245186220</stp>
        <tr r="Q1904" s="2"/>
      </tp>
      <tp t="s">
        <v>#N/A Requesting Data...732990172</v>
        <stp/>
        <stp>BDP|17848865002897519123</stp>
        <tr r="G1460" s="2"/>
      </tp>
      <tp t="s">
        <v>#N/A Requesting Data...3225464288</v>
        <stp/>
        <stp>BDP|10103499466652423916</stp>
        <tr r="G841" s="2"/>
      </tp>
      <tp t="s">
        <v>#N/A Requesting Data...3080659175</v>
        <stp/>
        <stp>BDP|16766883721084586107</stp>
        <tr r="R2126" s="2"/>
      </tp>
      <tp t="s">
        <v>#N/A Requesting Data...2829134668</v>
        <stp/>
        <stp>BDP|18302005803885808437</stp>
        <tr r="K654" s="2"/>
      </tp>
      <tp t="s">
        <v>#N/A Requesting Data...3883066387</v>
        <stp/>
        <stp>BDP|12696480082577324044</stp>
        <tr r="K533" s="2"/>
      </tp>
      <tp t="s">
        <v>#N/A Requesting Data...1714334037</v>
        <stp/>
        <stp>BDP|10611530827978846614</stp>
        <tr r="N1151" s="2"/>
      </tp>
      <tp t="s">
        <v>#N/A Requesting Data...4233710299</v>
        <stp/>
        <stp>BDP|14464731811443599882</stp>
        <tr r="F923" s="2"/>
      </tp>
      <tp t="s">
        <v>#N/A Requesting Data...1937521957</v>
        <stp/>
        <stp>BDP|14043331618068151718</stp>
        <tr r="G943" s="2"/>
      </tp>
      <tp t="s">
        <v>#N/A Requesting Data...1538219653</v>
        <stp/>
        <stp>BDP|13063240248205188963</stp>
        <tr r="H942" s="2"/>
      </tp>
      <tp t="s">
        <v>#N/A Requesting Data...1078092773</v>
        <stp/>
        <stp>BDP|11501791283160592716</stp>
        <tr r="P839" s="2"/>
      </tp>
      <tp t="s">
        <v>#N/A Requesting Data...3921474705</v>
        <stp/>
        <stp>BDP|13090072195866841518</stp>
        <tr r="C1787" s="2"/>
      </tp>
      <tp t="s">
        <v>#N/A Requesting Data...2746972247</v>
        <stp/>
        <stp>BDP|16055152286663161598</stp>
        <tr r="Q469" s="2"/>
      </tp>
      <tp t="s">
        <v>#N/A Requesting Data...995511488</v>
        <stp/>
        <stp>BDP|15222033888810526475</stp>
        <tr r="C634" s="2"/>
      </tp>
      <tp t="s">
        <v>#N/A Requesting Data...2314930450</v>
        <stp/>
        <stp>BDP|14961479225393301832</stp>
        <tr r="C879" s="2"/>
      </tp>
      <tp t="s">
        <v>#N/A Requesting Data...3814567820</v>
        <stp/>
        <stp>BDP|14932512576306592905</stp>
        <tr r="M1201" s="2"/>
      </tp>
      <tp t="s">
        <v>#N/A Requesting Data...1346050291</v>
        <stp/>
        <stp>BDP|13581348888756698740</stp>
        <tr r="R715" s="2"/>
      </tp>
      <tp t="s">
        <v>#N/A Requesting Data...1872657674</v>
        <stp/>
        <stp>BDP|14922841730372186475</stp>
        <tr r="G1358" s="2"/>
      </tp>
      <tp t="s">
        <v>#N/A Requesting Data...1055788516</v>
        <stp/>
        <stp>BDP|14556945619240463579</stp>
        <tr r="F312" s="2"/>
      </tp>
      <tp t="s">
        <v>#N/A Requesting Data...3313611521</v>
        <stp/>
        <stp>BDP|11835975622007323459</stp>
        <tr r="M239" s="2"/>
      </tp>
      <tp t="s">
        <v>#N/A Requesting Data...2772723163</v>
        <stp/>
        <stp>BDP|10784346759376205931</stp>
        <tr r="S76" s="2"/>
      </tp>
      <tp t="s">
        <v>#N/A Requesting Data...1831420248</v>
        <stp/>
        <stp>BDP|18137864939502575806</stp>
        <tr r="C1615" s="2"/>
      </tp>
      <tp t="s">
        <v>#N/A Requesting Data...2991728243</v>
        <stp/>
        <stp>BDP|13958808481279541368</stp>
        <tr r="N2228" s="2"/>
      </tp>
      <tp t="s">
        <v>#N/A Requesting Data...2164032391</v>
        <stp/>
        <stp>BDP|11237954609450744124</stp>
        <tr r="G494" s="2"/>
      </tp>
      <tp t="s">
        <v>#N/A Requesting Data...873301451</v>
        <stp/>
        <stp>BDP|12725655528649624670</stp>
        <tr r="T602" s="2"/>
      </tp>
      <tp t="s">
        <v>#N/A Requesting Data...720507576</v>
        <stp/>
        <stp>BDP|16842056591432744401</stp>
        <tr r="G968" s="2"/>
      </tp>
      <tp t="s">
        <v>#N/A Requesting Data...2304215393</v>
        <stp/>
        <stp>BDP|10431505668578102260</stp>
        <tr r="T1554" s="2"/>
      </tp>
      <tp t="s">
        <v>#N/A Requesting Data...2194670966</v>
        <stp/>
        <stp>BDP|15858313292286267020</stp>
        <tr r="S1468" s="2"/>
      </tp>
      <tp t="s">
        <v>#N/A Requesting Data...1732912098</v>
        <stp/>
        <stp>BDP|12531083682477764430</stp>
        <tr r="P1494" s="2"/>
      </tp>
      <tp t="s">
        <v>#N/A Requesting Data...1338476887</v>
        <stp/>
        <stp>BDP|12432900804587945520</stp>
        <tr r="S1107" s="2"/>
      </tp>
      <tp t="b">
        <v>0</v>
        <stp/>
        <stp>BDS|17633528010002805849</stp>
        <tr r="I14" s="2"/>
      </tp>
      <tp t="s">
        <v>#N/A Requesting Data...3756535153</v>
        <stp/>
        <stp>BDP|16952187353053835813</stp>
        <tr r="C1261" s="2"/>
      </tp>
      <tp t="s">
        <v>#N/A Requesting Data...3879247540</v>
        <stp/>
        <stp>BDP|11354295985173718132</stp>
        <tr r="C216" s="2"/>
      </tp>
      <tp t="s">
        <v>#N/A Requesting Data...1886465892</v>
        <stp/>
        <stp>BDP|16965949864992246200</stp>
        <tr r="Q1559" s="2"/>
      </tp>
      <tp t="s">
        <v>#N/A Requesting Data...3357204155</v>
        <stp/>
        <stp>BDP|10960819313994116417</stp>
        <tr r="Q1685" s="2"/>
      </tp>
      <tp t="s">
        <v>#N/A Requesting Data...4000753569</v>
        <stp/>
        <stp>BDP|17342350873372767891</stp>
        <tr r="A2477" s="2"/>
      </tp>
      <tp t="s">
        <v>#N/A Requesting Data...3203498275</v>
        <stp/>
        <stp>BDP|13148500099596322003</stp>
        <tr r="J129" s="2"/>
      </tp>
      <tp t="s">
        <v>#N/A Requesting Data...1073501992</v>
        <stp/>
        <stp>BDP|11725345065615576886</stp>
        <tr r="N1173" s="2"/>
      </tp>
      <tp t="s">
        <v>#N/A Requesting Data...2541789256</v>
        <stp/>
        <stp>BDP|17402314426207964810</stp>
        <tr r="E1980" s="2"/>
      </tp>
      <tp t="s">
        <v>#N/A Requesting Data...2058772783</v>
        <stp/>
        <stp>BDP|10668120550564864972</stp>
        <tr r="Q926" s="2"/>
      </tp>
      <tp t="s">
        <v>#N/A Requesting Data...1475400980</v>
        <stp/>
        <stp>BDP|15623817659196743727</stp>
        <tr r="A1966" s="2"/>
      </tp>
      <tp t="s">
        <v>#N/A Requesting Data...3742027610</v>
        <stp/>
        <stp>BDP|18087055819289398941</stp>
        <tr r="S274" s="2"/>
      </tp>
      <tp t="b">
        <v>0</v>
        <stp/>
        <stp>BDS|14758544266337416994</stp>
        <tr r="I1750" s="2"/>
      </tp>
      <tp t="s">
        <v>#N/A Requesting Data...2562517753</v>
        <stp/>
        <stp>BDP|11376933032791156381</stp>
        <tr r="E2037" s="2"/>
      </tp>
      <tp t="s">
        <v>#N/A Requesting Data...2932253406</v>
        <stp/>
        <stp>BDP|12243810259184800292</stp>
        <tr r="G885" s="2"/>
      </tp>
      <tp t="s">
        <v>#N/A Requesting Data...3669374547</v>
        <stp/>
        <stp>BDP|12577919539730667108</stp>
        <tr r="N1582" s="2"/>
      </tp>
      <tp t="s">
        <v>#N/A Requesting Data...1204821678</v>
        <stp/>
        <stp>BDP|13650298782820755017</stp>
        <tr r="A834" s="2"/>
      </tp>
      <tp t="s">
        <v>#N/A Requesting Data...3326371599</v>
        <stp/>
        <stp>BDP|13906878251976210167</stp>
        <tr r="C1266" s="2"/>
      </tp>
      <tp t="s">
        <v>#N/A Requesting Data...3339542042</v>
        <stp/>
        <stp>BDP|12799827743254437399</stp>
        <tr r="D2017" s="2"/>
      </tp>
      <tp t="s">
        <v>#N/A Requesting Data...2221351724</v>
        <stp/>
        <stp>BDP|16952385222697195999</stp>
        <tr r="D1920" s="2"/>
      </tp>
      <tp t="s">
        <v>#N/A Requesting Data...4116235350</v>
        <stp/>
        <stp>BDP|14440872963340313382</stp>
        <tr r="O1555" s="2"/>
      </tp>
      <tp t="s">
        <v>#N/A Requesting Data...1931628410</v>
        <stp/>
        <stp>BDP|13328004944588860643</stp>
        <tr r="O901" s="2"/>
      </tp>
      <tp t="s">
        <v>#N/A Requesting Data...4104871092</v>
        <stp/>
        <stp>BDP|15710182852688338050</stp>
        <tr r="S1135" s="2"/>
      </tp>
      <tp t="s">
        <v>#N/A Requesting Data...3647077099</v>
        <stp/>
        <stp>BDP|16912340218265923877</stp>
        <tr r="E1774" s="2"/>
      </tp>
      <tp t="s">
        <v>#N/A Requesting Data...1915668964</v>
        <stp/>
        <stp>BDP|14634104260762817857</stp>
        <tr r="O477" s="2"/>
      </tp>
      <tp t="s">
        <v>#N/A Requesting Data...1381534671</v>
        <stp/>
        <stp>BDP|16999024017279298750</stp>
        <tr r="J1554" s="2"/>
      </tp>
      <tp t="s">
        <v>#N/A Requesting Data...3545629428</v>
        <stp/>
        <stp>BDP|11724514004545112884</stp>
        <tr r="D100" s="2"/>
      </tp>
      <tp t="s">
        <v>#N/A Requesting Data...1825625206</v>
        <stp/>
        <stp>BDP|14509811548563766207</stp>
        <tr r="G961" s="2"/>
      </tp>
      <tp t="s">
        <v>#N/A Requesting Data...2602024679</v>
        <stp/>
        <stp>BDP|10274813718347868784</stp>
        <tr r="N520" s="2"/>
      </tp>
      <tp t="s">
        <v>#N/A Requesting Data...2762783883</v>
        <stp/>
        <stp>BDP|15607464819041555874</stp>
        <tr r="S576" s="2"/>
      </tp>
      <tp t="s">
        <v>#N/A Requesting Data...2546340530</v>
        <stp/>
        <stp>BDP|17559413904612954820</stp>
        <tr r="E211" s="2"/>
      </tp>
      <tp t="s">
        <v>#N/A Requesting Data...2156758183</v>
        <stp/>
        <stp>BDP|12432982457622455547</stp>
        <tr r="E225" s="2"/>
      </tp>
      <tp t="s">
        <v>#N/A Requesting Data...4019864814</v>
        <stp/>
        <stp>BDP|13756339178919758704</stp>
        <tr r="N1548" s="2"/>
      </tp>
      <tp t="s">
        <v>#N/A Requesting Data...2582151198</v>
        <stp/>
        <stp>BDP|15340800352758253982</stp>
        <tr r="J641" s="2"/>
      </tp>
      <tp t="s">
        <v>#N/A Requesting Data...1809007183</v>
        <stp/>
        <stp>BDP|13246995635034547401</stp>
        <tr r="S1233" s="2"/>
      </tp>
      <tp t="s">
        <v>#N/A Requesting Data...2618646880</v>
        <stp/>
        <stp>BDP|13485376786047979662</stp>
        <tr r="F55" s="2"/>
      </tp>
      <tp t="s">
        <v>#N/A Requesting Data...2674929294</v>
        <stp/>
        <stp>BDP|14224619748278871795</stp>
        <tr r="D439" s="2"/>
      </tp>
      <tp t="s">
        <v>#N/A Requesting Data...3102552709</v>
        <stp/>
        <stp>BDP|15476666081860042296</stp>
        <tr r="N2075" s="2"/>
      </tp>
      <tp t="s">
        <v>#N/A Requesting Data...1359309740</v>
        <stp/>
        <stp>BDP|14554799888381669383</stp>
        <tr r="H2527" s="2"/>
      </tp>
      <tp t="s">
        <v>#N/A Requesting Data...2413759128</v>
        <stp/>
        <stp>BDP|11601412391543841649</stp>
        <tr r="E56" s="2"/>
      </tp>
      <tp t="s">
        <v>#N/A Requesting Data...1387181359</v>
        <stp/>
        <stp>BDP|15173188093924151019</stp>
        <tr r="J1354" s="2"/>
      </tp>
      <tp t="s">
        <v>#N/A Requesting Data...2513459858</v>
        <stp/>
        <stp>BDP|13989070792482754113</stp>
        <tr r="G1141" s="2"/>
      </tp>
      <tp t="s">
        <v>#N/A Requesting Data...1773235637</v>
        <stp/>
        <stp>BDP|10028418513665066983</stp>
        <tr r="Q354" s="2"/>
      </tp>
      <tp t="s">
        <v>#N/A Requesting Data...1843469666</v>
        <stp/>
        <stp>BDP|10587317357237844810</stp>
        <tr r="S1651" s="2"/>
      </tp>
      <tp t="s">
        <v>#N/A Requesting Data...3755847356</v>
        <stp/>
        <stp>BDP|12742942166440988462</stp>
        <tr r="M2052" s="2"/>
      </tp>
      <tp t="s">
        <v>#N/A Requesting Data...2539561201</v>
        <stp/>
        <stp>BDP|13449370188862201334</stp>
        <tr r="Q1489" s="2"/>
      </tp>
      <tp t="s">
        <v>#N/A Requesting Data...1878073785</v>
        <stp/>
        <stp>BDP|17633593964904442955</stp>
        <tr r="F2059" s="2"/>
      </tp>
      <tp t="s">
        <v>#N/A Requesting Data...3533757374</v>
        <stp/>
        <stp>BDP|11737065358999666451</stp>
        <tr r="P1326" s="2"/>
      </tp>
      <tp t="s">
        <v>#N/A Requesting Data...2324773011</v>
        <stp/>
        <stp>BDP|12367668687281842400</stp>
        <tr r="A348" s="2"/>
      </tp>
      <tp t="s">
        <v>#N/A Requesting Data...1302116583</v>
        <stp/>
        <stp>BDP|14393821154464602494</stp>
        <tr r="O1388" s="2"/>
      </tp>
      <tp t="s">
        <v>#N/A Requesting Data...1295941040</v>
        <stp/>
        <stp>BDP|14552106615015395892</stp>
        <tr r="N457" s="2"/>
      </tp>
      <tp t="s">
        <v>#N/A Requesting Data...4038980126</v>
        <stp/>
        <stp>BDP|18072358260443967765</stp>
        <tr r="P1275" s="2"/>
      </tp>
      <tp t="b">
        <v>0</v>
        <stp/>
        <stp>BDS|12125348254339847405</stp>
        <tr r="I1409" s="2"/>
      </tp>
      <tp t="s">
        <v>#N/A Requesting Data...2715614862</v>
        <stp/>
        <stp>BDP|12969517126139709538</stp>
        <tr r="R164" s="2"/>
      </tp>
      <tp t="s">
        <v>#N/A Requesting Data...1568284091</v>
        <stp/>
        <stp>BDP|14999425183829532878</stp>
        <tr r="T1431" s="2"/>
      </tp>
      <tp t="s">
        <v>#N/A Requesting Data...2189293907</v>
        <stp/>
        <stp>BDP|14584045348311337802</stp>
        <tr r="M1111" s="2"/>
      </tp>
      <tp t="s">
        <v>#N/A Requesting Data...1515041080</v>
        <stp/>
        <stp>BDP|14816948007240523446</stp>
        <tr r="F937" s="2"/>
      </tp>
      <tp t="s">
        <v>#N/A Requesting Data...2476575099</v>
        <stp/>
        <stp>BDP|14946729690194308723</stp>
        <tr r="C1026" s="2"/>
      </tp>
      <tp t="s">
        <v>#N/A Requesting Data...2343092935</v>
        <stp/>
        <stp>BDP|14355377704398876628</stp>
        <tr r="M1944" s="2"/>
      </tp>
      <tp t="s">
        <v>#N/A Requesting Data...1617278569</v>
        <stp/>
        <stp>BDP|10470960839460281335</stp>
        <tr r="S724" s="2"/>
      </tp>
      <tp t="s">
        <v>#N/A Requesting Data...2371848592</v>
        <stp/>
        <stp>BDP|13364298183494117425</stp>
        <tr r="N1721" s="2"/>
      </tp>
      <tp t="s">
        <v>#N/A Requesting Data...1234561449</v>
        <stp/>
        <stp>BDP|10858954070297541029</stp>
        <tr r="N2158" s="2"/>
      </tp>
      <tp t="s">
        <v>#N/A Requesting Data...1524633244</v>
        <stp/>
        <stp>BDP|11993831014468226960</stp>
        <tr r="D339" s="2"/>
      </tp>
      <tp t="s">
        <v>#N/A Requesting Data...3763662753</v>
        <stp/>
        <stp>BDP|14485856792775978903</stp>
        <tr r="G1360" s="2"/>
      </tp>
      <tp t="s">
        <v>#N/A Requesting Data...3407183001</v>
        <stp/>
        <stp>BDP|14018285457339390363</stp>
        <tr r="E1512" s="2"/>
      </tp>
      <tp t="s">
        <v>#N/A Requesting Data...3318352140</v>
        <stp/>
        <stp>BDP|17085351392684834051</stp>
        <tr r="E579" s="2"/>
      </tp>
      <tp t="s">
        <v>#N/A Requesting Data...3330174023</v>
        <stp/>
        <stp>BDP|17302378067153040890</stp>
        <tr r="G63" s="2"/>
      </tp>
      <tp t="b">
        <v>0</v>
        <stp/>
        <stp>BDS|17653485992944138747</stp>
        <tr r="I2115" s="2"/>
      </tp>
      <tp t="s">
        <v>#N/A Requesting Data...1640050044</v>
        <stp/>
        <stp>BDP|16103499718418244284</stp>
        <tr r="M1961" s="2"/>
      </tp>
      <tp t="s">
        <v>#N/A Requesting Data...1909087186</v>
        <stp/>
        <stp>BDP|10256939932471035297</stp>
        <tr r="C2291" s="2"/>
      </tp>
      <tp t="s">
        <v>#N/A Requesting Data...4223829059</v>
        <stp/>
        <stp>BDP|14404817363014869742</stp>
        <tr r="O2158" s="2"/>
      </tp>
      <tp t="s">
        <v>#N/A Requesting Data...3025907414</v>
        <stp/>
        <stp>BDP|16707019359592286877</stp>
        <tr r="J272" s="2"/>
      </tp>
      <tp t="s">
        <v>#N/A Requesting Data...968414067</v>
        <stp/>
        <stp>BDP|11169194583954603578</stp>
        <tr r="E1348" s="2"/>
      </tp>
      <tp t="s">
        <v>#N/A Requesting Data...3655264317</v>
        <stp/>
        <stp>BDP|15520910400706601386</stp>
        <tr r="D2408" s="2"/>
      </tp>
      <tp t="s">
        <v>#N/A Requesting Data...4126032155</v>
        <stp/>
        <stp>BDP|12053101459567045836</stp>
        <tr r="R142" s="2"/>
      </tp>
      <tp t="s">
        <v>#N/A Requesting Data...2674645107</v>
        <stp/>
        <stp>BDP|14071692312733325923</stp>
        <tr r="H268" s="2"/>
      </tp>
      <tp t="s">
        <v>#N/A Requesting Data...2714579422</v>
        <stp/>
        <stp>BDP|16402947472193108295</stp>
        <tr r="D2152" s="2"/>
      </tp>
      <tp t="s">
        <v>#N/A Requesting Data...3731768671</v>
        <stp/>
        <stp>BDP|11580430266792396894</stp>
        <tr r="O2516" s="2"/>
      </tp>
      <tp t="s">
        <v>#N/A Requesting Data...1044493155</v>
        <stp/>
        <stp>BDP|17594843969869036923</stp>
        <tr r="T2256" s="2"/>
      </tp>
      <tp t="s">
        <v>#N/A Requesting Data...4214852921</v>
        <stp/>
        <stp>BDP|11068897500228670856</stp>
        <tr r="J2083" s="2"/>
      </tp>
      <tp t="s">
        <v>#N/A Requesting Data...1104319726</v>
        <stp/>
        <stp>BDP|18377529967750481283</stp>
        <tr r="N309" s="2"/>
      </tp>
      <tp t="s">
        <v>#N/A Requesting Data...2001208333</v>
        <stp/>
        <stp>BDP|11456917908182261357</stp>
        <tr r="A745" s="2"/>
      </tp>
      <tp t="s">
        <v>#N/A Requesting Data...956847669</v>
        <stp/>
        <stp>BDP|18203902617610677991</stp>
        <tr r="O1109" s="2"/>
      </tp>
      <tp t="b">
        <v>0</v>
        <stp/>
        <stp>BDS|12455224989173614200</stp>
        <tr r="I127" s="2"/>
      </tp>
      <tp t="s">
        <v>#N/A Requesting Data...856643479</v>
        <stp/>
        <stp>BDP|17370026315629639684</stp>
        <tr r="S2028" s="2"/>
      </tp>
      <tp t="s">
        <v>#N/A Requesting Data...3130830270</v>
        <stp/>
        <stp>BDP|10690449529638299738</stp>
        <tr r="Q746" s="2"/>
      </tp>
      <tp t="s">
        <v>#N/A Requesting Data...3012650883</v>
        <stp/>
        <stp>BDP|15939764501703163851</stp>
        <tr r="T769" s="2"/>
      </tp>
      <tp t="s">
        <v>#N/A Requesting Data...1472595739</v>
        <stp/>
        <stp>BDP|16181807979056392611</stp>
        <tr r="Q1357" s="2"/>
      </tp>
      <tp t="s">
        <v>#N/A Requesting Data...3464910159</v>
        <stp/>
        <stp>BDP|17719852238677749276</stp>
        <tr r="R1894" s="2"/>
      </tp>
      <tp t="s">
        <v>#N/A Requesting Data...1727122950</v>
        <stp/>
        <stp>BDP|15918689712192076999</stp>
        <tr r="M1497" s="2"/>
      </tp>
      <tp t="s">
        <v>#N/A Requesting Data...1782272098</v>
        <stp/>
        <stp>BDP|15191267758933727822</stp>
        <tr r="A469" s="2"/>
      </tp>
      <tp t="s">
        <v>#N/A Requesting Data...1961867862</v>
        <stp/>
        <stp>BDP|14899925639077195083</stp>
        <tr r="O703" s="2"/>
      </tp>
      <tp t="s">
        <v>#N/A Requesting Data...934320804</v>
        <stp/>
        <stp>BDP|14539991607824092015</stp>
        <tr r="H508" s="2"/>
      </tp>
      <tp t="s">
        <v>#N/A Requesting Data...3900390034</v>
        <stp/>
        <stp>BDP|16888341380140495427</stp>
        <tr r="P684" s="2"/>
      </tp>
      <tp t="s">
        <v>#N/A Requesting Data...1386594767</v>
        <stp/>
        <stp>BDP|16949371940249570116</stp>
        <tr r="H1463" s="2"/>
      </tp>
      <tp t="s">
        <v>#N/A Requesting Data...3319077603</v>
        <stp/>
        <stp>BDP|10023457601624600985</stp>
        <tr r="O2424" s="2"/>
      </tp>
      <tp t="s">
        <v>#N/A Requesting Data...1946667729</v>
        <stp/>
        <stp>BDP|10990018783105164400</stp>
        <tr r="D1516" s="2"/>
      </tp>
      <tp t="s">
        <v>#N/A Requesting Data...2436981160</v>
        <stp/>
        <stp>BDP|10199768284651162785</stp>
        <tr r="T919" s="2"/>
      </tp>
      <tp t="s">
        <v>#N/A Requesting Data...2670374795</v>
        <stp/>
        <stp>BDP|10870378108799847358</stp>
        <tr r="P583" s="2"/>
      </tp>
      <tp t="s">
        <v>#N/A Requesting Data...2962614590</v>
        <stp/>
        <stp>BDP|10469983410385350457</stp>
        <tr r="K1740" s="2"/>
      </tp>
      <tp t="s">
        <v>#N/A Requesting Data...1582959139</v>
        <stp/>
        <stp>BDP|13909324485095715431</stp>
        <tr r="T1203" s="2"/>
      </tp>
      <tp t="s">
        <v>#N/A Requesting Data...3837900125</v>
        <stp/>
        <stp>BDP|10139893353433509740</stp>
        <tr r="K1809" s="2"/>
      </tp>
      <tp t="s">
        <v>#N/A Requesting Data...3359637057</v>
        <stp/>
        <stp>BDP|11234987307248251957</stp>
        <tr r="J1512" s="2"/>
      </tp>
      <tp t="s">
        <v>#N/A Requesting Data...1767390483</v>
        <stp/>
        <stp>BDP|18328510685689369599</stp>
        <tr r="N1074" s="2"/>
      </tp>
      <tp t="s">
        <v>#N/A Requesting Data...1567816944</v>
        <stp/>
        <stp>BDP|10627438547991600898</stp>
        <tr r="A1027" s="2"/>
      </tp>
      <tp t="s">
        <v>#N/A Requesting Data...982509915</v>
        <stp/>
        <stp>BDP|16098896325870389524</stp>
        <tr r="D2027" s="2"/>
      </tp>
      <tp t="s">
        <v>#N/A Requesting Data...3287557372</v>
        <stp/>
        <stp>BDP|13043230090366693785</stp>
        <tr r="T902" s="2"/>
      </tp>
      <tp t="s">
        <v>#N/A Requesting Data...3682278198</v>
        <stp/>
        <stp>BDP|15135960328343730458</stp>
        <tr r="K412" s="2"/>
      </tp>
      <tp t="s">
        <v>#N/A Requesting Data...999055387</v>
        <stp/>
        <stp>BDP|18234957959569597462</stp>
        <tr r="R1571" s="2"/>
      </tp>
      <tp t="s">
        <v>#N/A Requesting Data...3826575009</v>
        <stp/>
        <stp>BDP|12895084568928394567</stp>
        <tr r="K986" s="2"/>
      </tp>
      <tp t="b">
        <v>0</v>
        <stp/>
        <stp>BDS|10784921759900093523</stp>
        <tr r="I973" s="2"/>
      </tp>
      <tp t="s">
        <v>#N/A Requesting Data...1092291422</v>
        <stp/>
        <stp>BDP|13532173298144088670</stp>
        <tr r="K1145" s="2"/>
      </tp>
      <tp t="s">
        <v>#N/A Requesting Data...1385529360</v>
        <stp/>
        <stp>BDP|17496994771700624071</stp>
        <tr r="E187" s="2"/>
      </tp>
      <tp t="s">
        <v>#N/A Requesting Data...1396448476</v>
        <stp/>
        <stp>BDP|13847114636850202801</stp>
        <tr r="R2031" s="2"/>
      </tp>
      <tp t="b">
        <v>0</v>
        <stp/>
        <stp>BDS|16241235093086809248</stp>
        <tr r="I2420" s="2"/>
      </tp>
      <tp t="s">
        <v>#N/A Requesting Data...3579161538</v>
        <stp/>
        <stp>BDP|15895963936625102344</stp>
        <tr r="E2205" s="2"/>
      </tp>
      <tp t="s">
        <v>#N/A Requesting Data...3572369419</v>
        <stp/>
        <stp>BDP|17750490954848721707</stp>
        <tr r="T1299" s="2"/>
      </tp>
      <tp t="s">
        <v>#N/A Requesting Data...1423251779</v>
        <stp/>
        <stp>BDP|14296507432909599286</stp>
        <tr r="K1462" s="2"/>
      </tp>
      <tp t="s">
        <v>#N/A Requesting Data...1992082357</v>
        <stp/>
        <stp>BDP|14487315657289779280</stp>
        <tr r="M113" s="2"/>
      </tp>
      <tp t="s">
        <v>#N/A Requesting Data...4218516364</v>
        <stp/>
        <stp>BDP|17843653384268439809</stp>
        <tr r="G2466" s="2"/>
      </tp>
      <tp t="s">
        <v>#N/A Requesting Data...933286092</v>
        <stp/>
        <stp>BDP|14733974819974015140</stp>
        <tr r="N594" s="2"/>
      </tp>
      <tp t="b">
        <v>0</v>
        <stp/>
        <stp>BDS|12287695037629142730</stp>
        <tr r="I2446" s="2"/>
      </tp>
      <tp t="s">
        <v>#N/A Requesting Data...2869478140</v>
        <stp/>
        <stp>BDP|17291226748498229076</stp>
        <tr r="K495" s="2"/>
      </tp>
      <tp t="s">
        <v>#N/A Requesting Data...4025761865</v>
        <stp/>
        <stp>BDP|11532721801777224899</stp>
        <tr r="E1225" s="2"/>
      </tp>
      <tp t="s">
        <v>#N/A Requesting Data...3831782195</v>
        <stp/>
        <stp>BDP|10903111387804468461</stp>
        <tr r="A2185" s="2"/>
      </tp>
      <tp t="s">
        <v>#N/A Requesting Data...2045457349</v>
        <stp/>
        <stp>BDP|16105599822609628113</stp>
        <tr r="F1813" s="2"/>
      </tp>
      <tp t="s">
        <v>#N/A Requesting Data...1278668741</v>
        <stp/>
        <stp>BDP|17710806831912889738</stp>
        <tr r="K2313" s="2"/>
      </tp>
      <tp t="s">
        <v>#N/A Requesting Data...2958195524</v>
        <stp/>
        <stp>BDP|14291656235681625996</stp>
        <tr r="M2152" s="2"/>
      </tp>
      <tp t="s">
        <v>#N/A Requesting Data...3333761957</v>
        <stp/>
        <stp>BDP|14965658004028703323</stp>
        <tr r="H369" s="2"/>
      </tp>
      <tp t="s">
        <v>#N/A Requesting Data...4123825257</v>
        <stp/>
        <stp>BDP|11345526245931043892</stp>
        <tr r="J1065" s="2"/>
      </tp>
      <tp t="s">
        <v>#N/A Requesting Data...2002078774</v>
        <stp/>
        <stp>BDP|11547354201289881246</stp>
        <tr r="R2425" s="2"/>
      </tp>
      <tp t="b">
        <v>0</v>
        <stp/>
        <stp>BDS|12633496367998366156</stp>
        <tr r="I64" s="2"/>
      </tp>
      <tp t="s">
        <v>#N/A Requesting Data...2691994358</v>
        <stp/>
        <stp>BDP|13884790329056229976</stp>
        <tr r="K175" s="2"/>
      </tp>
      <tp t="s">
        <v>#N/A Requesting Data...3544516093</v>
        <stp/>
        <stp>BDP|12271299381714119564</stp>
        <tr r="A687" s="2"/>
      </tp>
      <tp t="s">
        <v>#N/A Requesting Data...4226150204</v>
        <stp/>
        <stp>BDP|11060691476320513979</stp>
        <tr r="D49" s="2"/>
      </tp>
      <tp t="s">
        <v>#N/A Requesting Data...1693023715</v>
        <stp/>
        <stp>BDP|13814475762669591157</stp>
        <tr r="C1049" s="2"/>
      </tp>
      <tp t="s">
        <v>#N/A Requesting Data...1241514883</v>
        <stp/>
        <stp>BDP|16165654468948202737</stp>
        <tr r="D121" s="2"/>
      </tp>
      <tp t="s">
        <v>#N/A Requesting Data...3843045144</v>
        <stp/>
        <stp>BDP|16827412099463800158</stp>
        <tr r="R1896" s="2"/>
      </tp>
      <tp t="s">
        <v>#N/A Requesting Data...3317540722</v>
        <stp/>
        <stp>BDP|12964237328578713389</stp>
        <tr r="D981" s="2"/>
      </tp>
      <tp t="s">
        <v>#N/A Requesting Data...3753981010</v>
        <stp/>
        <stp>BDP|16433687630423873994</stp>
        <tr r="C582" s="2"/>
      </tp>
      <tp t="s">
        <v>#N/A Requesting Data...3861398990</v>
        <stp/>
        <stp>BDP|12590892230912495258</stp>
        <tr r="F2223" s="2"/>
      </tp>
      <tp t="s">
        <v>#N/A Requesting Data...2780049587</v>
        <stp/>
        <stp>BDP|12942165952906121918</stp>
        <tr r="N1295" s="2"/>
      </tp>
      <tp t="s">
        <v>#N/A Requesting Data...2059595395</v>
        <stp/>
        <stp>BDP|16392325588657513319</stp>
        <tr r="J2372" s="2"/>
      </tp>
      <tp t="s">
        <v>#N/A Requesting Data...2832501729</v>
        <stp/>
        <stp>BDP|16372156391487301094</stp>
        <tr r="P2322" s="2"/>
      </tp>
      <tp t="s">
        <v>#N/A Requesting Data...1094992783</v>
        <stp/>
        <stp>BDP|16211372432258846724</stp>
        <tr r="Q1816" s="2"/>
      </tp>
      <tp t="s">
        <v>#N/A Requesting Data...1437919581</v>
        <stp/>
        <stp>BDP|10578570891744885169</stp>
        <tr r="Q1346" s="2"/>
      </tp>
      <tp t="s">
        <v>#N/A Requesting Data...2904875043</v>
        <stp/>
        <stp>BDP|10357290081622115173</stp>
        <tr r="T1511" s="2"/>
      </tp>
      <tp t="s">
        <v>#N/A Requesting Data...1612413315</v>
        <stp/>
        <stp>BDP|14649538718690394932</stp>
        <tr r="F1105" s="2"/>
      </tp>
      <tp t="b">
        <v>0</v>
        <stp/>
        <stp>BDS|17372227366578804214</stp>
        <tr r="I102" s="2"/>
      </tp>
      <tp t="s">
        <v>#N/A Requesting Data...1011690222</v>
        <stp/>
        <stp>BDP|12057843514693514181</stp>
        <tr r="R306" s="2"/>
      </tp>
      <tp t="s">
        <v>#N/A Requesting Data...3648240758</v>
        <stp/>
        <stp>BDP|12054383316670067936</stp>
        <tr r="P1183" s="2"/>
      </tp>
      <tp t="s">
        <v>#N/A Requesting Data...1670720527</v>
        <stp/>
        <stp>BDP|12602436515579471794</stp>
        <tr r="D523" s="2"/>
      </tp>
      <tp t="s">
        <v>#N/A Requesting Data...3743743085</v>
        <stp/>
        <stp>BDP|10574687963418749147</stp>
        <tr r="E1866" s="2"/>
      </tp>
      <tp t="s">
        <v>#N/A Requesting Data...1246275080</v>
        <stp/>
        <stp>BDP|10577937233963866008</stp>
        <tr r="P796" s="2"/>
      </tp>
      <tp t="s">
        <v>#N/A Requesting Data...1475698670</v>
        <stp/>
        <stp>BDP|16952064997473409512</stp>
        <tr r="D1288" s="2"/>
      </tp>
      <tp t="s">
        <v>#N/A Requesting Data...1213575563</v>
        <stp/>
        <stp>BDP|17938405918558515395</stp>
        <tr r="R1080" s="2"/>
      </tp>
      <tp t="s">
        <v>#N/A Requesting Data...2389691641</v>
        <stp/>
        <stp>BDP|11348585827639013611</stp>
        <tr r="R21" s="2"/>
      </tp>
      <tp t="s">
        <v>#N/A Requesting Data...1023891559</v>
        <stp/>
        <stp>BDP|10327499102484401919</stp>
        <tr r="A1634" s="2"/>
      </tp>
      <tp t="s">
        <v>#N/A Requesting Data...1693129295</v>
        <stp/>
        <stp>BDP|13939924337616053612</stp>
        <tr r="J2444" s="2"/>
      </tp>
      <tp t="b">
        <v>0</v>
        <stp/>
        <stp>BDS|18009444163735110684</stp>
        <tr r="I1871" s="2"/>
      </tp>
      <tp t="s">
        <v>#N/A Requesting Data...3639917943</v>
        <stp/>
        <stp>BDP|11049040798229810892</stp>
        <tr r="M448" s="2"/>
      </tp>
      <tp t="s">
        <v>#N/A Requesting Data...1810011702</v>
        <stp/>
        <stp>BDP|15815066285243248744</stp>
        <tr r="A1220" s="2"/>
      </tp>
      <tp t="s">
        <v>#N/A Requesting Data...1944776241</v>
        <stp/>
        <stp>BDP|14077052809119229433</stp>
        <tr r="A852" s="2"/>
      </tp>
      <tp t="s">
        <v>#N/A Requesting Data...2756952518</v>
        <stp/>
        <stp>BDP|14736958401255691185</stp>
        <tr r="D1577" s="2"/>
      </tp>
      <tp t="s">
        <v>#N/A Requesting Data...3107332254</v>
        <stp/>
        <stp>BDP|12579066860458767596</stp>
        <tr r="Q1160" s="2"/>
      </tp>
      <tp t="s">
        <v>#N/A Requesting Data...1190727143</v>
        <stp/>
        <stp>BDP|16016260683624810103</stp>
        <tr r="S282" s="2"/>
      </tp>
      <tp t="s">
        <v>#N/A Requesting Data...1812467411</v>
        <stp/>
        <stp>BDP|18304831696825395584</stp>
        <tr r="K1894" s="2"/>
      </tp>
      <tp t="s">
        <v>#N/A Requesting Data...1980877145</v>
        <stp/>
        <stp>BDP|15907925572707130555</stp>
        <tr r="P680" s="2"/>
      </tp>
      <tp t="s">
        <v>#N/A Requesting Data...2787013860</v>
        <stp/>
        <stp>BDP|10148257189500284335</stp>
        <tr r="S1036" s="2"/>
      </tp>
      <tp t="s">
        <v>#N/A Requesting Data...2839855095</v>
        <stp/>
        <stp>BDP|12583928266955558187</stp>
        <tr r="P1944" s="2"/>
      </tp>
      <tp t="s">
        <v>#N/A Requesting Data...2886152768</v>
        <stp/>
        <stp>BDP|12959559313517245816</stp>
        <tr r="C1090" s="2"/>
      </tp>
      <tp t="s">
        <v>#N/A Requesting Data...1980556417</v>
        <stp/>
        <stp>BDP|10208928616079903833</stp>
        <tr r="M2041" s="2"/>
      </tp>
      <tp t="s">
        <v>#N/A Requesting Data...3683898743</v>
        <stp/>
        <stp>BDP|15905081086767899334</stp>
        <tr r="F458" s="2"/>
      </tp>
      <tp t="s">
        <v>#N/A Requesting Data...3257221934</v>
        <stp/>
        <stp>BDP|16110289744159824090</stp>
        <tr r="R124" s="2"/>
      </tp>
      <tp t="s">
        <v>#N/A Requesting Data...2952357624</v>
        <stp/>
        <stp>BDP|13005680184271088500</stp>
        <tr r="F641" s="2"/>
      </tp>
      <tp t="s">
        <v>#N/A Requesting Data...3700441489</v>
        <stp/>
        <stp>BDP|16523144159568183351</stp>
        <tr r="H2518" s="2"/>
      </tp>
      <tp t="s">
        <v>#N/A Requesting Data...3643772983</v>
        <stp/>
        <stp>BDP|15613514911680913838</stp>
        <tr r="S2064" s="2"/>
      </tp>
      <tp t="s">
        <v>#N/A Requesting Data...2936088204</v>
        <stp/>
        <stp>BDP|15950072063869417354</stp>
        <tr r="K889" s="2"/>
      </tp>
      <tp t="s">
        <v>#N/A Requesting Data...2769164850</v>
        <stp/>
        <stp>BDP|16001282596233584772</stp>
        <tr r="M310" s="2"/>
      </tp>
      <tp t="s">
        <v>#N/A Requesting Data...3395816821</v>
        <stp/>
        <stp>BDP|12719815636864945451</stp>
        <tr r="P716" s="2"/>
      </tp>
      <tp t="s">
        <v>#N/A Requesting Data...1414734805</v>
        <stp/>
        <stp>BDP|10404994207482100279</stp>
        <tr r="N27" s="2"/>
      </tp>
      <tp t="s">
        <v>#N/A Requesting Data...1083201745</v>
        <stp/>
        <stp>BDP|11267033459294791937</stp>
        <tr r="A417" s="2"/>
      </tp>
      <tp t="s">
        <v>#N/A Requesting Data...3366323309</v>
        <stp/>
        <stp>BDP|13802172588961834231</stp>
        <tr r="M2384" s="2"/>
      </tp>
      <tp t="s">
        <v>#N/A Requesting Data...3182248753</v>
        <stp/>
        <stp>BDP|13088823908253795119</stp>
        <tr r="C1170" s="2"/>
      </tp>
      <tp t="s">
        <v>#N/A Requesting Data...2458415762</v>
        <stp/>
        <stp>BDP|11601389667055330863</stp>
        <tr r="M1562" s="2"/>
      </tp>
      <tp t="s">
        <v>#N/A Requesting Data...4041433022</v>
        <stp/>
        <stp>BDP|18086939687890815000</stp>
        <tr r="H128" s="2"/>
      </tp>
      <tp t="s">
        <v>#N/A Requesting Data...4149246184</v>
        <stp/>
        <stp>BDP|13841395774808819610</stp>
        <tr r="M920" s="2"/>
      </tp>
      <tp t="s">
        <v>#N/A Requesting Data...4110735181</v>
        <stp/>
        <stp>BDP|13138159836681865965</stp>
        <tr r="E2175" s="2"/>
      </tp>
      <tp t="s">
        <v>#N/A Requesting Data...1333915855</v>
        <stp/>
        <stp>BDP|15749571260488486786</stp>
        <tr r="H1399" s="2"/>
      </tp>
      <tp t="s">
        <v>#N/A Requesting Data...4063223252</v>
        <stp/>
        <stp>BDP|15944955211833334725</stp>
        <tr r="D1019" s="2"/>
      </tp>
      <tp t="s">
        <v>#N/A Requesting Data...4287332501</v>
        <stp/>
        <stp>BDP|17334723793522793293</stp>
        <tr r="O1411" s="2"/>
      </tp>
      <tp t="s">
        <v>#N/A Requesting Data...2369307133</v>
        <stp/>
        <stp>BDP|14355648374438619496</stp>
        <tr r="K2052" s="2"/>
      </tp>
      <tp t="s">
        <v>#N/A Requesting Data...4181708562</v>
        <stp/>
        <stp>BDP|16842546565298665438</stp>
        <tr r="Q918" s="2"/>
      </tp>
      <tp t="s">
        <v>#N/A Requesting Data...2939264518</v>
        <stp/>
        <stp>BDP|14623837459725951599</stp>
        <tr r="C1632" s="2"/>
      </tp>
      <tp t="s">
        <v>#N/A Requesting Data...1462059566</v>
        <stp/>
        <stp>BDP|16818908729723439793</stp>
        <tr r="M1899" s="2"/>
      </tp>
      <tp t="s">
        <v>#N/A Requesting Data...2676921995</v>
        <stp/>
        <stp>BDP|16002457699371793373</stp>
        <tr r="Q353" s="2"/>
      </tp>
      <tp t="s">
        <v>#N/A Requesting Data...3264124508</v>
        <stp/>
        <stp>BDP|15674861329015514309</stp>
        <tr r="E321" s="2"/>
      </tp>
      <tp t="s">
        <v>#N/A Requesting Data...1493505184</v>
        <stp/>
        <stp>BDP|15890212027138731457</stp>
        <tr r="K1852" s="2"/>
      </tp>
      <tp t="s">
        <v>#N/A Requesting Data...2289174435</v>
        <stp/>
        <stp>BDP|13998655421066775866</stp>
        <tr r="J1299" s="2"/>
      </tp>
      <tp t="s">
        <v>#N/A Requesting Data...2475941892</v>
        <stp/>
        <stp>BDP|13624393155938160473</stp>
        <tr r="E1328" s="2"/>
      </tp>
      <tp t="s">
        <v>#N/A Requesting Data...3735282353</v>
        <stp/>
        <stp>BDP|13860895120017898756</stp>
        <tr r="T480" s="2"/>
      </tp>
      <tp t="s">
        <v>#N/A Requesting Data...3022651463</v>
        <stp/>
        <stp>BDP|17876508491644363663</stp>
        <tr r="F597" s="2"/>
      </tp>
      <tp t="s">
        <v>#N/A Requesting Data...2523792761</v>
        <stp/>
        <stp>BDP|16923280612339641599</stp>
        <tr r="O1589" s="2"/>
      </tp>
      <tp t="s">
        <v>#N/A Requesting Data...3955589523</v>
        <stp/>
        <stp>BDP|14685268951372422892</stp>
        <tr r="G2323" s="2"/>
      </tp>
      <tp t="s">
        <v>#N/A Requesting Data...3172458134</v>
        <stp/>
        <stp>BDP|10351496528096915971</stp>
        <tr r="N2264" s="2"/>
      </tp>
      <tp t="s">
        <v>#N/A Requesting Data...1136906718</v>
        <stp/>
        <stp>BDP|11546375479944032878</stp>
        <tr r="Q1525" s="2"/>
      </tp>
      <tp t="s">
        <v>#N/A Requesting Data...2375463733</v>
        <stp/>
        <stp>BDP|12279253594818971869</stp>
        <tr r="G118" s="2"/>
      </tp>
      <tp t="s">
        <v>#N/A Requesting Data...1173651872</v>
        <stp/>
        <stp>BDP|16111286803608656506</stp>
        <tr r="Q2254" s="2"/>
      </tp>
      <tp t="s">
        <v>#N/A Requesting Data...2842103346</v>
        <stp/>
        <stp>BDP|13308955328582759357</stp>
        <tr r="H76" s="2"/>
      </tp>
      <tp t="s">
        <v>#N/A Requesting Data...2500963580</v>
        <stp/>
        <stp>BDP|16902736993954249579</stp>
        <tr r="K2233" s="2"/>
      </tp>
      <tp t="s">
        <v>#N/A Requesting Data...2217033272</v>
        <stp/>
        <stp>BDP|14737835566336663581</stp>
        <tr r="K1445" s="2"/>
      </tp>
      <tp t="s">
        <v>#N/A Requesting Data...1709278355</v>
        <stp/>
        <stp>BDP|11202792083657459000</stp>
        <tr r="F1662" s="2"/>
      </tp>
      <tp t="s">
        <v>#N/A Requesting Data...3083047955</v>
        <stp/>
        <stp>BDP|14631188127549480717</stp>
        <tr r="G1827" s="2"/>
      </tp>
      <tp t="s">
        <v>#N/A Requesting Data...2101046133</v>
        <stp/>
        <stp>BDP|10215323169155676935</stp>
        <tr r="N342" s="2"/>
      </tp>
      <tp t="s">
        <v>#N/A Requesting Data...2454434686</v>
        <stp/>
        <stp>BDP|15205604296436153594</stp>
        <tr r="P2523" s="2"/>
      </tp>
      <tp t="s">
        <v>#N/A Requesting Data...2544278083</v>
        <stp/>
        <stp>BDP|12983914635200593146</stp>
        <tr r="Q960" s="2"/>
      </tp>
      <tp t="s">
        <v>#N/A Requesting Data...3635360634</v>
        <stp/>
        <stp>BDP|11679880823350959281</stp>
        <tr r="H1268" s="2"/>
      </tp>
      <tp t="s">
        <v>#N/A Requesting Data...2751055999</v>
        <stp/>
        <stp>BDP|11870284007523227994</stp>
        <tr r="F813" s="2"/>
      </tp>
      <tp t="s">
        <v>#N/A Requesting Data...2866609225</v>
        <stp/>
        <stp>BDP|15577699483646312409</stp>
        <tr r="O590" s="2"/>
      </tp>
      <tp t="s">
        <v>#N/A Requesting Data...2970798943</v>
        <stp/>
        <stp>BDP|16530821676554466491</stp>
        <tr r="M1477" s="2"/>
      </tp>
      <tp t="s">
        <v>#N/A Requesting Data...3816702883</v>
        <stp/>
        <stp>BDP|18159736858664463723</stp>
        <tr r="E777" s="2"/>
      </tp>
      <tp t="s">
        <v>#N/A Requesting Data...2028621358</v>
        <stp/>
        <stp>BDP|10694557069918774210</stp>
        <tr r="D1681" s="2"/>
      </tp>
      <tp t="s">
        <v>#N/A Requesting Data...1524078205</v>
        <stp/>
        <stp>BDP|16877807487509741641</stp>
        <tr r="P149" s="2"/>
      </tp>
      <tp t="s">
        <v>#N/A Requesting Data...4210170628</v>
        <stp/>
        <stp>BDP|13417297986091599128</stp>
        <tr r="D1888" s="2"/>
      </tp>
      <tp t="s">
        <v>#N/A Requesting Data...3718087755</v>
        <stp/>
        <stp>BDP|13683979965432960714</stp>
        <tr r="G447" s="2"/>
      </tp>
      <tp t="s">
        <v>#N/A Requesting Data...2558511424</v>
        <stp/>
        <stp>BDP|11567005007478898069</stp>
        <tr r="T985" s="2"/>
      </tp>
      <tp t="s">
        <v>#N/A Requesting Data...1938074997</v>
        <stp/>
        <stp>BDP|18003029819091599127</stp>
        <tr r="G439" s="2"/>
      </tp>
      <tp t="b">
        <v>0</v>
        <stp/>
        <stp>BDS|13174558332505041999</stp>
        <tr r="I486" s="2"/>
      </tp>
      <tp t="s">
        <v>#N/A Requesting Data...1650632099</v>
        <stp/>
        <stp>BDP|13053970798138113223</stp>
        <tr r="R2052" s="2"/>
      </tp>
      <tp t="s">
        <v>#N/A Requesting Data...2782864580</v>
        <stp/>
        <stp>BDP|16221796546438041412</stp>
        <tr r="M1910" s="2"/>
      </tp>
      <tp t="s">
        <v>#N/A Requesting Data...2509705909</v>
        <stp/>
        <stp>BDP|16522954639361103443</stp>
        <tr r="P1372" s="2"/>
      </tp>
      <tp t="s">
        <v>#N/A Requesting Data...4231883785</v>
        <stp/>
        <stp>BDP|18146025546690919500</stp>
        <tr r="M1298" s="2"/>
      </tp>
      <tp t="s">
        <v>#N/A Requesting Data...1452449083</v>
        <stp/>
        <stp>BDP|10474492680231783469</stp>
        <tr r="P617" s="2"/>
      </tp>
      <tp t="s">
        <v>#N/A Requesting Data...3994597931</v>
        <stp/>
        <stp>BDP|18250592971014624700</stp>
        <tr r="C5" s="2"/>
      </tp>
      <tp t="s">
        <v>#N/A Requesting Data...1351315229</v>
        <stp/>
        <stp>BDP|17408221908388403467</stp>
        <tr r="J8" s="2"/>
      </tp>
      <tp t="s">
        <v>#N/A Requesting Data...3197398799</v>
        <stp/>
        <stp>BDP|17282354490324394083</stp>
        <tr r="T923" s="2"/>
      </tp>
      <tp t="s">
        <v>#N/A Requesting Data...1576296325</v>
        <stp/>
        <stp>BDP|13299206080158796893</stp>
        <tr r="Q822" s="2"/>
      </tp>
      <tp t="s">
        <v>#N/A Requesting Data...1385446329</v>
        <stp/>
        <stp>BDP|16198867947022529198</stp>
        <tr r="N2038" s="2"/>
      </tp>
      <tp t="b">
        <v>0</v>
        <stp/>
        <stp>BDS|13333012602898659298</stp>
        <tr r="I218" s="2"/>
      </tp>
      <tp t="s">
        <v>#N/A Requesting Data...3410620029</v>
        <stp/>
        <stp>BDP|10237135343644833867</stp>
        <tr r="O785" s="2"/>
      </tp>
      <tp t="s">
        <v>#N/A Requesting Data...2461784163</v>
        <stp/>
        <stp>BDP|12014966008424274600</stp>
        <tr r="P16" s="2"/>
      </tp>
      <tp t="s">
        <v>#N/A Requesting Data...1267033035</v>
        <stp/>
        <stp>BDP|15990979844936654737</stp>
        <tr r="O1102" s="2"/>
      </tp>
      <tp t="s">
        <v>#N/A Requesting Data...2231197860</v>
        <stp/>
        <stp>BDP|12607018711388976207</stp>
        <tr r="N1078" s="2"/>
      </tp>
      <tp t="s">
        <v>#N/A Requesting Data...1709051597</v>
        <stp/>
        <stp>BDP|10109334565038984417</stp>
        <tr r="M2450" s="2"/>
      </tp>
      <tp t="s">
        <v>#N/A Requesting Data...2599478718</v>
        <stp/>
        <stp>BDP|11661922452914160080</stp>
        <tr r="K1521" s="2"/>
      </tp>
      <tp t="s">
        <v>#N/A Requesting Data...1297447329</v>
        <stp/>
        <stp>BDP|13385602521057586989</stp>
        <tr r="K1254" s="2"/>
      </tp>
      <tp t="b">
        <v>0</v>
        <stp/>
        <stp>BDS|12413205699994012416</stp>
        <tr r="I1338" s="2"/>
      </tp>
      <tp t="s">
        <v>#N/A Requesting Data...2771761381</v>
        <stp/>
        <stp>BDP|15632815317586991360</stp>
        <tr r="C1267" s="2"/>
      </tp>
      <tp t="s">
        <v>#N/A Requesting Data...2800602655</v>
        <stp/>
        <stp>BDP|17928960705851552605</stp>
        <tr r="H1660" s="2"/>
      </tp>
      <tp t="s">
        <v>#N/A Requesting Data...1419978777</v>
        <stp/>
        <stp>BDP|16774724806298596092</stp>
        <tr r="C847" s="2"/>
      </tp>
      <tp t="s">
        <v>#N/A Requesting Data...2492342421</v>
        <stp/>
        <stp>BDP|10691547599614428103</stp>
        <tr r="S1598" s="2"/>
      </tp>
      <tp t="s">
        <v>#N/A Requesting Data...4148236882</v>
        <stp/>
        <stp>BDP|15130106274819849320</stp>
        <tr r="A807" s="2"/>
      </tp>
      <tp t="s">
        <v>#N/A Requesting Data...1721708998</v>
        <stp/>
        <stp>BDP|13706676794366341388</stp>
        <tr r="N939" s="2"/>
      </tp>
      <tp t="s">
        <v>#N/A Requesting Data...1877930631</v>
        <stp/>
        <stp>BDP|14710993634801258677</stp>
        <tr r="J1195" s="2"/>
      </tp>
      <tp t="s">
        <v>#N/A Requesting Data...2981516319</v>
        <stp/>
        <stp>BDP|10773955172991602693</stp>
        <tr r="J2474" s="2"/>
      </tp>
      <tp t="s">
        <v>#N/A Requesting Data...1725682522</v>
        <stp/>
        <stp>BDP|16582840667592905305</stp>
        <tr r="D1732" s="2"/>
      </tp>
      <tp t="s">
        <v>#N/A Requesting Data...3576751912</v>
        <stp/>
        <stp>BDP|18260758702212833427</stp>
        <tr r="O611" s="2"/>
      </tp>
      <tp t="s">
        <v>#N/A Requesting Data...2252744872</v>
        <stp/>
        <stp>BDP|12255432114278284685</stp>
        <tr r="F183" s="2"/>
      </tp>
      <tp t="s">
        <v>#N/A Requesting Data...3320434913</v>
        <stp/>
        <stp>BDP|15526610747298470688</stp>
        <tr r="R700" s="2"/>
      </tp>
      <tp t="s">
        <v>#N/A Requesting Data...3645489618</v>
        <stp/>
        <stp>BDP|15058995103126761328</stp>
        <tr r="N1442" s="2"/>
      </tp>
      <tp t="s">
        <v>#N/A Requesting Data...2501657653</v>
        <stp/>
        <stp>BDP|15890920143166454722</stp>
        <tr r="S1943" s="2"/>
      </tp>
      <tp t="s">
        <v>#N/A Requesting Data...3318901053</v>
        <stp/>
        <stp>BDP|12418787483623463748</stp>
        <tr r="N1181" s="2"/>
      </tp>
      <tp t="s">
        <v>#N/A Requesting Data...2770183906</v>
        <stp/>
        <stp>BDP|14164582822558764239</stp>
        <tr r="Q1942" s="2"/>
      </tp>
      <tp t="s">
        <v>#N/A Requesting Data...1859397562</v>
        <stp/>
        <stp>BDP|17351653777618979779</stp>
        <tr r="M2413" s="2"/>
      </tp>
      <tp t="s">
        <v>#N/A Requesting Data...3936655729</v>
        <stp/>
        <stp>BDP|16704489387876388547</stp>
        <tr r="G2304" s="2"/>
      </tp>
      <tp t="s">
        <v>#N/A Requesting Data...2809357966</v>
        <stp/>
        <stp>BDP|16903868864530560115</stp>
        <tr r="A400" s="2"/>
      </tp>
      <tp t="s">
        <v>#N/A Requesting Data...3868871810</v>
        <stp/>
        <stp>BDP|18203316208954000641</stp>
        <tr r="J1201" s="2"/>
      </tp>
      <tp t="s">
        <v>#N/A Requesting Data...2675050177</v>
        <stp/>
        <stp>BDP|16520609493188820815</stp>
        <tr r="N37" s="2"/>
      </tp>
      <tp t="s">
        <v>#N/A Requesting Data...2945451782</v>
        <stp/>
        <stp>BDP|15441800858466480775</stp>
        <tr r="N1800" s="2"/>
      </tp>
      <tp t="s">
        <v>#N/A Requesting Data...1453946898</v>
        <stp/>
        <stp>BDP|17101889741480647214</stp>
        <tr r="T2483" s="2"/>
      </tp>
      <tp t="b">
        <v>0</v>
        <stp/>
        <stp>BDS|10130779392956882106</stp>
        <tr r="I56" s="2"/>
      </tp>
      <tp t="s">
        <v>#N/A Requesting Data...2993125201</v>
        <stp/>
        <stp>BDP|12296080690804057659</stp>
        <tr r="Q667" s="2"/>
      </tp>
      <tp t="s">
        <v>#N/A Requesting Data...1418095239</v>
        <stp/>
        <stp>BDP|12862636610975170953</stp>
        <tr r="R191" s="2"/>
      </tp>
      <tp t="s">
        <v>#N/A Requesting Data...3642070621</v>
        <stp/>
        <stp>BDP|15166428233278628392</stp>
        <tr r="O2400" s="2"/>
      </tp>
      <tp t="s">
        <v>#N/A Requesting Data...2499316358</v>
        <stp/>
        <stp>BDP|15496881279703875024</stp>
        <tr r="A267" s="2"/>
      </tp>
      <tp t="s">
        <v>#N/A Requesting Data...3924085521</v>
        <stp/>
        <stp>BDP|15543439592973278290</stp>
        <tr r="D2023" s="2"/>
      </tp>
      <tp t="b">
        <v>0</v>
        <stp/>
        <stp>BDS|10158991206661518170</stp>
        <tr r="I870" s="2"/>
      </tp>
      <tp t="s">
        <v>#N/A Requesting Data...1940988912</v>
        <stp/>
        <stp>BDP|12074750293416026392</stp>
        <tr r="D90" s="2"/>
      </tp>
      <tp t="s">
        <v>#N/A Requesting Data...3209826510</v>
        <stp/>
        <stp>BDP|13160684312325171855</stp>
        <tr r="M748" s="2"/>
      </tp>
      <tp t="s">
        <v>#N/A Requesting Data...3748668272</v>
        <stp/>
        <stp>BDP|11690388295104347676</stp>
        <tr r="P1849" s="2"/>
      </tp>
      <tp t="b">
        <v>0</v>
        <stp/>
        <stp>BDS|12896230794944131421</stp>
        <tr r="I1715" s="2"/>
      </tp>
      <tp t="s">
        <v>#N/A Requesting Data...3038727426</v>
        <stp/>
        <stp>BDP|14782404228963310836</stp>
        <tr r="Q2357" s="2"/>
      </tp>
      <tp t="s">
        <v>#N/A Requesting Data...3975402248</v>
        <stp/>
        <stp>BDP|14269832117214168082</stp>
        <tr r="M823" s="2"/>
      </tp>
      <tp t="s">
        <v>#N/A Requesting Data...2007802966</v>
        <stp/>
        <stp>BDP|16735656294072857211</stp>
        <tr r="Q696" s="2"/>
      </tp>
      <tp t="s">
        <v>#N/A Requesting Data...3310952353</v>
        <stp/>
        <stp>BDP|17343035458183418830</stp>
        <tr r="H1935" s="2"/>
      </tp>
      <tp t="s">
        <v>#N/A Requesting Data...1935122166</v>
        <stp/>
        <stp>BDP|13986149387787755423</stp>
        <tr r="C2367" s="2"/>
      </tp>
      <tp t="s">
        <v>#N/A Requesting Data...2680593167</v>
        <stp/>
        <stp>BDP|17464830520591822501</stp>
        <tr r="Q2242" s="2"/>
      </tp>
      <tp t="s">
        <v>#N/A Requesting Data...1708957158</v>
        <stp/>
        <stp>BDP|15699936426904542395</stp>
        <tr r="P761" s="2"/>
      </tp>
      <tp t="s">
        <v>#N/A Requesting Data...4278850087</v>
        <stp/>
        <stp>BDP|13694913534113589394</stp>
        <tr r="H1347" s="2"/>
      </tp>
      <tp t="s">
        <v>#N/A Requesting Data...1903848411</v>
        <stp/>
        <stp>BDP|15213508341425599893</stp>
        <tr r="M67" s="2"/>
      </tp>
      <tp t="s">
        <v>#N/A Requesting Data...3903764881</v>
        <stp/>
        <stp>BDP|10447567574739866215</stp>
        <tr r="S772" s="2"/>
      </tp>
      <tp t="s">
        <v>#N/A Requesting Data...1870061477</v>
        <stp/>
        <stp>BDP|16357638724862371985</stp>
        <tr r="C992" s="2"/>
      </tp>
      <tp t="s">
        <v>#N/A Requesting Data...2500087968</v>
        <stp/>
        <stp>BDP|17924725493007639712</stp>
        <tr r="F1208" s="2"/>
      </tp>
      <tp t="s">
        <v>#N/A Requesting Data...4143048075</v>
        <stp/>
        <stp>BDP|13653130529250272916</stp>
        <tr r="K15" s="2"/>
      </tp>
      <tp t="s">
        <v>#N/A Requesting Data...4211043015</v>
        <stp/>
        <stp>BDP|14498329981784064284</stp>
        <tr r="N2247" s="2"/>
      </tp>
      <tp t="s">
        <v>#N/A Requesting Data...1488598223</v>
        <stp/>
        <stp>BDP|13946054296567337463</stp>
        <tr r="G425" s="2"/>
      </tp>
      <tp t="s">
        <v>#N/A Requesting Data...3100634488</v>
        <stp/>
        <stp>BDP|15382994299934457885</stp>
        <tr r="O1115" s="2"/>
      </tp>
      <tp t="b">
        <v>0</v>
        <stp/>
        <stp>BDS|15373849859790746158</stp>
        <tr r="I2177" s="2"/>
      </tp>
      <tp t="s">
        <v>#N/A Requesting Data...2270851931</v>
        <stp/>
        <stp>BDP|14458143777889931218</stp>
        <tr r="F2532" s="2"/>
      </tp>
      <tp t="s">
        <v>#N/A Requesting Data...1441562941</v>
        <stp/>
        <stp>BDP|16854411267029238433</stp>
        <tr r="E2213" s="2"/>
      </tp>
      <tp t="s">
        <v>#N/A Requesting Data...2044358902</v>
        <stp/>
        <stp>BDP|15414975705392102783</stp>
        <tr r="P782" s="2"/>
      </tp>
      <tp t="b">
        <v>0</v>
        <stp/>
        <stp>BDS|17097797679067921958</stp>
        <tr r="I112" s="2"/>
      </tp>
      <tp t="s">
        <v>#N/A Requesting Data...3160701671</v>
        <stp/>
        <stp>BDP|12019451122315049883</stp>
        <tr r="H1809" s="2"/>
      </tp>
      <tp t="s">
        <v>#N/A Requesting Data...3152135176</v>
        <stp/>
        <stp>BDP|11100199514331465978</stp>
        <tr r="E2147" s="2"/>
      </tp>
      <tp t="s">
        <v>#N/A Requesting Data...1678061955</v>
        <stp/>
        <stp>BDP|11217850120231976310</stp>
        <tr r="R2335" s="2"/>
      </tp>
      <tp t="s">
        <v>#N/A Requesting Data...2047049356</v>
        <stp/>
        <stp>BDP|17570636749408035402</stp>
        <tr r="R1119" s="2"/>
      </tp>
      <tp t="s">
        <v>#N/A Requesting Data...3223623483</v>
        <stp/>
        <stp>BDP|12093932217386867525</stp>
        <tr r="O140" s="2"/>
      </tp>
      <tp t="s">
        <v>#N/A Requesting Data...2611336844</v>
        <stp/>
        <stp>BDP|14914858132077543156</stp>
        <tr r="K1651" s="2"/>
      </tp>
      <tp t="b">
        <v>0</v>
        <stp/>
        <stp>BDS|14916763184776081466</stp>
        <tr r="I1313" s="2"/>
      </tp>
      <tp t="s">
        <v>#N/A Requesting Data...4030657389</v>
        <stp/>
        <stp>BDP|11951373821999203034</stp>
        <tr r="P1836" s="2"/>
      </tp>
      <tp t="s">
        <v>#N/A Requesting Data...2746087483</v>
        <stp/>
        <stp>BDP|15892337521899291465</stp>
        <tr r="O1076" s="2"/>
      </tp>
      <tp t="s">
        <v>#N/A Requesting Data...4078479147</v>
        <stp/>
        <stp>BDP|14011985176460693363</stp>
        <tr r="A1223" s="2"/>
      </tp>
      <tp t="s">
        <v>#N/A Requesting Data...2000982643</v>
        <stp/>
        <stp>BDP|14524985016852415714</stp>
        <tr r="K1921" s="2"/>
      </tp>
      <tp t="s">
        <v>#N/A Requesting Data...3868546903</v>
        <stp/>
        <stp>BDP|12230238084505341480</stp>
        <tr r="T2253" s="2"/>
      </tp>
      <tp t="s">
        <v>#N/A Requesting Data...2455441343</v>
        <stp/>
        <stp>BDP|15961177233497095935</stp>
        <tr r="R2496" s="2"/>
      </tp>
      <tp t="s">
        <v>#N/A Requesting Data...3279753936</v>
        <stp/>
        <stp>BDP|16157507787480167299</stp>
        <tr r="G1630" s="2"/>
      </tp>
      <tp t="s">
        <v>#N/A Requesting Data...4031011960</v>
        <stp/>
        <stp>BDP|18413688740487513475</stp>
        <tr r="J2383" s="2"/>
      </tp>
      <tp t="s">
        <v>#N/A Requesting Data...1709904533</v>
        <stp/>
        <stp>BDP|18319938292240928150</stp>
        <tr r="R2259" s="2"/>
      </tp>
      <tp t="s">
        <v>#N/A Requesting Data...2078983332</v>
        <stp/>
        <stp>BDP|15423115607855800846</stp>
        <tr r="D1749" s="2"/>
      </tp>
      <tp t="s">
        <v>#N/A Requesting Data...4273497068</v>
        <stp/>
        <stp>BDP|12152079689351112207</stp>
        <tr r="T250" s="2"/>
      </tp>
      <tp t="s">
        <v>#N/A Requesting Data...4256677994</v>
        <stp/>
        <stp>BDP|17615405394972802144</stp>
        <tr r="G1375" s="2"/>
      </tp>
      <tp t="s">
        <v>#N/A Requesting Data...3990501677</v>
        <stp/>
        <stp>BDP|15124155731969209796</stp>
        <tr r="T1868" s="2"/>
      </tp>
      <tp t="s">
        <v>#N/A Requesting Data...2772557932</v>
        <stp/>
        <stp>BDP|13206902209783655038</stp>
        <tr r="K1028" s="2"/>
      </tp>
      <tp t="s">
        <v>#N/A Requesting Data...2092832813</v>
        <stp/>
        <stp>BDP|18310577207926919246</stp>
        <tr r="A1142" s="2"/>
      </tp>
      <tp t="s">
        <v>#N/A Requesting Data...2126372181</v>
        <stp/>
        <stp>BDP|10797031443138034592</stp>
        <tr r="K1320" s="2"/>
      </tp>
      <tp t="s">
        <v>#N/A Requesting Data...1944839597</v>
        <stp/>
        <stp>BDP|13330987727905041421</stp>
        <tr r="G1820" s="2"/>
      </tp>
      <tp t="s">
        <v>#N/A Requesting Data...2307257973</v>
        <stp/>
        <stp>BDP|15947331000876531916</stp>
        <tr r="D2088" s="2"/>
      </tp>
      <tp t="s">
        <v>#N/A Requesting Data...2498460434</v>
        <stp/>
        <stp>BDP|17782053419607244871</stp>
        <tr r="H262" s="2"/>
      </tp>
      <tp t="s">
        <v>#N/A Requesting Data...1927114842</v>
        <stp/>
        <stp>BDP|14265600934418981015</stp>
        <tr r="H260" s="2"/>
      </tp>
      <tp t="s">
        <v>#N/A Requesting Data...1940280430</v>
        <stp/>
        <stp>BDP|16549760535063992812</stp>
        <tr r="K955" s="2"/>
      </tp>
      <tp t="s">
        <v>#N/A Requesting Data...1854943790</v>
        <stp/>
        <stp>BDP|12524218962547892809</stp>
        <tr r="N1557" s="2"/>
      </tp>
      <tp t="s">
        <v>#N/A Requesting Data...3034158512</v>
        <stp/>
        <stp>BDP|16218944824915864145</stp>
        <tr r="S777" s="2"/>
      </tp>
      <tp t="s">
        <v>#N/A Requesting Data...1491538347</v>
        <stp/>
        <stp>BDP|17561415193986115585</stp>
        <tr r="J2425" s="2"/>
      </tp>
      <tp t="s">
        <v>#N/A Requesting Data...1937698901</v>
        <stp/>
        <stp>BDP|14778717499305789665</stp>
        <tr r="S952" s="2"/>
      </tp>
      <tp t="s">
        <v>#N/A Requesting Data...3736730581</v>
        <stp/>
        <stp>BDP|10063734282812921466</stp>
        <tr r="M1268" s="2"/>
      </tp>
      <tp t="s">
        <v>#N/A Requesting Data...3370067548</v>
        <stp/>
        <stp>BDP|16508053593746928048</stp>
        <tr r="G1850" s="2"/>
      </tp>
      <tp t="s">
        <v>#N/A Requesting Data...4127744518</v>
        <stp/>
        <stp>BDP|14869640414862449824</stp>
        <tr r="T1319" s="2"/>
      </tp>
      <tp t="s">
        <v>#N/A Requesting Data...3254310545</v>
        <stp/>
        <stp>BDP|13506595254328223249</stp>
        <tr r="H104" s="2"/>
      </tp>
      <tp t="s">
        <v>#N/A Requesting Data...1755598570</v>
        <stp/>
        <stp>BDP|16446093652908137200</stp>
        <tr r="F1417" s="2"/>
      </tp>
      <tp t="s">
        <v>#N/A Requesting Data...2316122989</v>
        <stp/>
        <stp>BDP|17719520503523998810</stp>
        <tr r="N1643" s="2"/>
      </tp>
      <tp t="s">
        <v>#N/A Requesting Data...4155601082</v>
        <stp/>
        <stp>BDP|13516014357699563689</stp>
        <tr r="T1302" s="2"/>
      </tp>
      <tp t="s">
        <v>#N/A Requesting Data...1689344465</v>
        <stp/>
        <stp>BDP|13070836661082874645</stp>
        <tr r="R1566" s="2"/>
      </tp>
      <tp t="s">
        <v>#N/A Requesting Data...1534842245</v>
        <stp/>
        <stp>BDP|18243257174783510786</stp>
        <tr r="F1740" s="2"/>
      </tp>
      <tp t="s">
        <v>#N/A Requesting Data...4274405584</v>
        <stp/>
        <stp>BDP|12943957872107337233</stp>
        <tr r="A2282" s="2"/>
      </tp>
      <tp t="s">
        <v>#N/A Requesting Data...2287456012</v>
        <stp/>
        <stp>BDP|13788917423626882733</stp>
        <tr r="E682" s="2"/>
      </tp>
      <tp t="s">
        <v>#N/A Requesting Data...1763599581</v>
        <stp/>
        <stp>BDP|10992639960269345074</stp>
        <tr r="P1238" s="2"/>
      </tp>
      <tp t="b">
        <v>0</v>
        <stp/>
        <stp>BDS|11837739610706583837</stp>
        <tr r="I684" s="2"/>
      </tp>
      <tp t="s">
        <v>#N/A Requesting Data...3325108361</v>
        <stp/>
        <stp>BDP|13058954177453471783</stp>
        <tr r="J330" s="2"/>
      </tp>
      <tp t="s">
        <v>#N/A Requesting Data...2107938772</v>
        <stp/>
        <stp>BDP|15650583243664169927</stp>
        <tr r="C827" s="2"/>
      </tp>
      <tp t="s">
        <v>#N/A Requesting Data...4110634087</v>
        <stp/>
        <stp>BDP|14889323481165495312</stp>
        <tr r="O754" s="2"/>
      </tp>
      <tp t="s">
        <v>#N/A Requesting Data...1658421090</v>
        <stp/>
        <stp>BDP|13030807978567306250</stp>
        <tr r="P1699" s="2"/>
      </tp>
      <tp t="s">
        <v>#N/A Requesting Data...3711821091</v>
        <stp/>
        <stp>BDP|13428999740275510269</stp>
        <tr r="E1766" s="2"/>
      </tp>
      <tp t="s">
        <v>#N/A Requesting Data...3664366659</v>
        <stp/>
        <stp>BDP|18143883599406613683</stp>
        <tr r="A787" s="2"/>
      </tp>
      <tp t="s">
        <v>#N/A Requesting Data...3416603176</v>
        <stp/>
        <stp>BDP|13550544039059082568</stp>
        <tr r="J1105" s="2"/>
      </tp>
      <tp t="b">
        <v>0</v>
        <stp/>
        <stp>BDS|16355911696639803613</stp>
        <tr r="I2222" s="2"/>
      </tp>
      <tp t="s">
        <v>#N/A Requesting Data...2759246093</v>
        <stp/>
        <stp>BDP|16485545668578106479</stp>
        <tr r="K267" s="2"/>
      </tp>
      <tp t="s">
        <v>#N/A Requesting Data...3544109355</v>
        <stp/>
        <stp>BDP|10678087410359244127</stp>
        <tr r="S1395" s="2"/>
      </tp>
      <tp t="s">
        <v>#N/A Requesting Data...2547273106</v>
        <stp/>
        <stp>BDP|17453765999657619737</stp>
        <tr r="D1893" s="2"/>
      </tp>
      <tp t="s">
        <v>#N/A Requesting Data...1724885676</v>
        <stp/>
        <stp>BDP|11822547172173925996</stp>
        <tr r="C257" s="2"/>
      </tp>
      <tp t="s">
        <v>#N/A Requesting Data...1686783730</v>
        <stp/>
        <stp>BDP|18278871792079018997</stp>
        <tr r="H388" s="2"/>
      </tp>
      <tp t="s">
        <v>#N/A Requesting Data...2815613239</v>
        <stp/>
        <stp>BDP|13370742889020919594</stp>
        <tr r="G2297" s="2"/>
      </tp>
      <tp t="s">
        <v>#N/A Requesting Data...3547373474</v>
        <stp/>
        <stp>BDP|16453932459157279426</stp>
        <tr r="G456" s="2"/>
      </tp>
      <tp t="s">
        <v>#N/A Requesting Data...2949595473</v>
        <stp/>
        <stp>BDP|14543091792557915396</stp>
        <tr r="D2387" s="2"/>
      </tp>
      <tp t="s">
        <v>#N/A Requesting Data...4003198720</v>
        <stp/>
        <stp>BDP|12213423584084945330</stp>
        <tr r="C1176" s="2"/>
      </tp>
      <tp t="s">
        <v>#N/A Requesting Data...2719561429</v>
        <stp/>
        <stp>BDP|14558681098171244397</stp>
        <tr r="C2479" s="2"/>
      </tp>
      <tp t="s">
        <v>#N/A Requesting Data...3209884132</v>
        <stp/>
        <stp>BDP|16706740285821086186</stp>
        <tr r="R1785" s="2"/>
      </tp>
      <tp t="s">
        <v>#N/A Requesting Data...2106618333</v>
        <stp/>
        <stp>BDP|15852493092181499098</stp>
        <tr r="F2347" s="2"/>
      </tp>
      <tp t="s">
        <v>#N/A Requesting Data...2289946380</v>
        <stp/>
        <stp>BDP|12460281886226128751</stp>
        <tr r="J2082" s="2"/>
      </tp>
      <tp t="s">
        <v>#N/A Requesting Data...3703297369</v>
        <stp/>
        <stp>BDP|12671144877949976428</stp>
        <tr r="R1787" s="2"/>
      </tp>
      <tp t="s">
        <v>#N/A Requesting Data...3767735406</v>
        <stp/>
        <stp>BDP|16263016458459299378</stp>
        <tr r="G1459" s="2"/>
      </tp>
      <tp t="s">
        <v>#N/A Requesting Data...1847738472</v>
        <stp/>
        <stp>BDP|12222854832329852935</stp>
        <tr r="T1519" s="2"/>
      </tp>
      <tp t="s">
        <v>#N/A Requesting Data...2171447592</v>
        <stp/>
        <stp>BDP|13926983748276122164</stp>
        <tr r="P2182" s="2"/>
      </tp>
      <tp t="s">
        <v>#N/A Requesting Data...3514572592</v>
        <stp/>
        <stp>BDP|14452374608338236674</stp>
        <tr r="G1246" s="2"/>
      </tp>
      <tp t="s">
        <v>#N/A Requesting Data...2293048110</v>
        <stp/>
        <stp>BDP|16207989243934224657</stp>
        <tr r="K1062" s="2"/>
      </tp>
      <tp t="s">
        <v>#N/A Requesting Data...3387833874</v>
        <stp/>
        <stp>BDP|15870640183664762663</stp>
        <tr r="T306" s="2"/>
      </tp>
      <tp t="s">
        <v>#N/A Requesting Data...1707603200</v>
        <stp/>
        <stp>BDP|18202608548442717139</stp>
        <tr r="H324" s="2"/>
      </tp>
      <tp t="s">
        <v>#N/A Requesting Data...2276866914</v>
        <stp/>
        <stp>BDP|13990158545079603615</stp>
        <tr r="M2344" s="2"/>
      </tp>
      <tp t="s">
        <v>#N/A Requesting Data...2797712511</v>
        <stp/>
        <stp>BDP|14381466895448440855</stp>
        <tr r="J1822" s="2"/>
      </tp>
      <tp t="s">
        <v>#N/A Requesting Data...1897388058</v>
        <stp/>
        <stp>BDP|13033509261081820883</stp>
        <tr r="S2348" s="2"/>
      </tp>
      <tp t="s">
        <v>#N/A Requesting Data...2584953195</v>
        <stp/>
        <stp>BDP|10112223782885875686</stp>
        <tr r="A1905" s="2"/>
      </tp>
      <tp t="s">
        <v>#N/A Requesting Data...2887548370</v>
        <stp/>
        <stp>BDP|16401349219118905513</stp>
        <tr r="P436" s="2"/>
      </tp>
      <tp t="s">
        <v>#N/A Requesting Data...3247474751</v>
        <stp/>
        <stp>BDP|15948935958349304909</stp>
        <tr r="R720" s="2"/>
      </tp>
      <tp t="s">
        <v>#N/A Requesting Data...1909696770</v>
        <stp/>
        <stp>BDP|12745313358334795986</stp>
        <tr r="J2318" s="2"/>
      </tp>
      <tp t="s">
        <v>#N/A Requesting Data...3027702813</v>
        <stp/>
        <stp>BDP|15062007651471990897</stp>
        <tr r="S1884" s="2"/>
      </tp>
      <tp t="s">
        <v>#N/A Requesting Data...3329048149</v>
        <stp/>
        <stp>BDP|18045865885371608049</stp>
        <tr r="E1073" s="2"/>
      </tp>
      <tp t="s">
        <v>#N/A Requesting Data...1941938918</v>
        <stp/>
        <stp>BDP|16528361713818256534</stp>
        <tr r="C654" s="2"/>
      </tp>
      <tp t="s">
        <v>#N/A Requesting Data...3650947502</v>
        <stp/>
        <stp>BDP|11144816801425455549</stp>
        <tr r="D2436" s="2"/>
      </tp>
      <tp t="s">
        <v>#N/A Requesting Data...2779221989</v>
        <stp/>
        <stp>BDP|14111934671807611446</stp>
        <tr r="T2261" s="2"/>
      </tp>
      <tp t="s">
        <v>#N/A Requesting Data...2515842801</v>
        <stp/>
        <stp>BDP|17713405067948941483</stp>
        <tr r="R241" s="2"/>
      </tp>
      <tp t="s">
        <v>#N/A Requesting Data...4279496398</v>
        <stp/>
        <stp>BDP|18000526139927862023</stp>
        <tr r="E1973" s="2"/>
      </tp>
      <tp t="s">
        <v>#N/A Requesting Data...3431330688</v>
        <stp/>
        <stp>BDP|13517368485590008176</stp>
        <tr r="T1980" s="2"/>
      </tp>
      <tp t="s">
        <v>#N/A Requesting Data...2831575480</v>
        <stp/>
        <stp>BDP|13170739237267538916</stp>
        <tr r="M1164" s="2"/>
      </tp>
      <tp t="s">
        <v>#N/A Requesting Data...4104051408</v>
        <stp/>
        <stp>BDP|15336813403815066107</stp>
        <tr r="O615" s="2"/>
      </tp>
      <tp t="s">
        <v>#N/A Requesting Data...3525321945</v>
        <stp/>
        <stp>BDP|17470974239764240099</stp>
        <tr r="O2277" s="2"/>
      </tp>
      <tp t="s">
        <v>#N/A Requesting Data...2189091670</v>
        <stp/>
        <stp>BDP|10805685126275584826</stp>
        <tr r="S1232" s="2"/>
      </tp>
      <tp t="s">
        <v>#N/A Requesting Data...2482170173</v>
        <stp/>
        <stp>BDP|12438649248549038095</stp>
        <tr r="K248" s="2"/>
      </tp>
      <tp t="s">
        <v>#N/A Requesting Data...3676881077</v>
        <stp/>
        <stp>BDP|16404736172958626724</stp>
        <tr r="R788" s="2"/>
      </tp>
      <tp t="s">
        <v>#N/A Requesting Data...2424468307</v>
        <stp/>
        <stp>BDP|18145231752971218735</stp>
        <tr r="N1961" s="2"/>
      </tp>
      <tp t="b">
        <v>0</v>
        <stp/>
        <stp>BDS|13255531591392376418</stp>
        <tr r="I1635" s="2"/>
      </tp>
      <tp t="s">
        <v>#N/A Requesting Data...2035519637</v>
        <stp/>
        <stp>BDP|13402615050798735139</stp>
        <tr r="Q1633" s="2"/>
      </tp>
      <tp t="s">
        <v>#N/A Requesting Data...3512595612</v>
        <stp/>
        <stp>BDP|17223853828934856065</stp>
        <tr r="P602" s="2"/>
      </tp>
      <tp t="s">
        <v>#N/A Requesting Data...3470029106</v>
        <stp/>
        <stp>BDP|15123399547102733991</stp>
        <tr r="D2112" s="2"/>
      </tp>
      <tp t="b">
        <v>0</v>
        <stp/>
        <stp>BDS|14869155739228108779</stp>
        <tr r="I515" s="2"/>
      </tp>
      <tp t="s">
        <v>#N/A Requesting Data...2906167909</v>
        <stp/>
        <stp>BDP|17986543211313492999</stp>
        <tr r="K997" s="2"/>
      </tp>
      <tp t="s">
        <v>#N/A Requesting Data...2707926739</v>
        <stp/>
        <stp>BDP|14560367526005179959</stp>
        <tr r="J2389" s="2"/>
      </tp>
      <tp t="s">
        <v>#N/A Requesting Data...2097666562</v>
        <stp/>
        <stp>BDP|16349562205843893998</stp>
        <tr r="O2038" s="2"/>
      </tp>
      <tp t="s">
        <v>#N/A Requesting Data...3467252201</v>
        <stp/>
        <stp>BDP|10709840573125877399</stp>
        <tr r="R1153" s="2"/>
      </tp>
      <tp t="s">
        <v>#N/A Requesting Data...3910634450</v>
        <stp/>
        <stp>BDP|11019599673542928820</stp>
        <tr r="F1191" s="2"/>
      </tp>
      <tp t="s">
        <v>#N/A Requesting Data...2736405007</v>
        <stp/>
        <stp>BDP|16397945877547159603</stp>
        <tr r="R159" s="2"/>
      </tp>
      <tp t="s">
        <v>#N/A Requesting Data...3522485438</v>
        <stp/>
        <stp>BDP|17720931702626437139</stp>
        <tr r="S2046" s="2"/>
      </tp>
      <tp t="s">
        <v>#N/A Requesting Data...2518886428</v>
        <stp/>
        <stp>BDP|15658671004913644927</stp>
        <tr r="E1592" s="2"/>
      </tp>
      <tp t="s">
        <v>#N/A Requesting Data...3432610426</v>
        <stp/>
        <stp>BDP|14362134863069753359</stp>
        <tr r="H1336" s="2"/>
      </tp>
      <tp t="s">
        <v>#N/A Requesting Data...3387424222</v>
        <stp/>
        <stp>BDP|10508867500246181733</stp>
        <tr r="F532" s="2"/>
      </tp>
      <tp t="s">
        <v>#N/A Requesting Data...2142631986</v>
        <stp/>
        <stp>BDP|16792117129575874962</stp>
        <tr r="Q986" s="2"/>
      </tp>
      <tp t="s">
        <v>#N/A Requesting Data...2456115758</v>
        <stp/>
        <stp>BDP|17763958652462040010</stp>
        <tr r="P1302" s="2"/>
      </tp>
      <tp t="b">
        <v>0</v>
        <stp/>
        <stp>BDS|18038603775474284451</stp>
        <tr r="I1682" s="2"/>
      </tp>
      <tp t="s">
        <v>#N/A Requesting Data...2279358541</v>
        <stp/>
        <stp>BDP|14908309607118750680</stp>
        <tr r="Q641" s="2"/>
      </tp>
      <tp t="s">
        <v>#N/A Requesting Data...3112936429</v>
        <stp/>
        <stp>BDP|10358758195635613247</stp>
        <tr r="Q919" s="2"/>
      </tp>
      <tp t="s">
        <v>#N/A Requesting Data...1768318243</v>
        <stp/>
        <stp>BDP|14043596844248897444</stp>
        <tr r="M801" s="2"/>
      </tp>
      <tp t="s">
        <v>#N/A Requesting Data...1895656321</v>
        <stp/>
        <stp>BDP|18114780566734799492</stp>
        <tr r="A2270" s="2"/>
      </tp>
      <tp t="s">
        <v>#N/A Requesting Data...4273769072</v>
        <stp/>
        <stp>BDP|13721177784266095553</stp>
        <tr r="R840" s="2"/>
      </tp>
      <tp t="s">
        <v>#N/A Requesting Data...2584715565</v>
        <stp/>
        <stp>BDP|15877822231567885025</stp>
        <tr r="E477" s="2"/>
      </tp>
      <tp t="s">
        <v>#N/A Requesting Data...3312354678</v>
        <stp/>
        <stp>BDP|15999636879359772456</stp>
        <tr r="O1563" s="2"/>
      </tp>
      <tp t="s">
        <v>#N/A Requesting Data...4191494201</v>
        <stp/>
        <stp>BDP|10047154355288582546</stp>
        <tr r="M1534" s="2"/>
      </tp>
      <tp t="s">
        <v>#N/A Requesting Data...4092964192</v>
        <stp/>
        <stp>BDP|14842544932462886970</stp>
        <tr r="J486" s="2"/>
      </tp>
      <tp t="s">
        <v>#N/A Requesting Data...3381257109</v>
        <stp/>
        <stp>BDP|13252138862674628945</stp>
        <tr r="O1451" s="2"/>
      </tp>
      <tp t="s">
        <v>#N/A Requesting Data...2249064129</v>
        <stp/>
        <stp>BDP|11646878062551141731</stp>
        <tr r="Q1159" s="2"/>
      </tp>
      <tp t="s">
        <v>#N/A Requesting Data...2271631452</v>
        <stp/>
        <stp>BDP|12088888134165470595</stp>
        <tr r="Q534" s="2"/>
      </tp>
      <tp t="s">
        <v>#N/A Requesting Data...2567534118</v>
        <stp/>
        <stp>BDP|15125196288287144201</stp>
        <tr r="T2443" s="2"/>
      </tp>
      <tp t="b">
        <v>0</v>
        <stp/>
        <stp>BDS|13668537384345698258</stp>
        <tr r="I1099" s="2"/>
      </tp>
      <tp t="s">
        <v>#N/A Requesting Data...2444358976</v>
        <stp/>
        <stp>BDP|15908885350145866480</stp>
        <tr r="D2254" s="2"/>
      </tp>
      <tp t="s">
        <v>#N/A Requesting Data...3343428204</v>
        <stp/>
        <stp>BDP|16263568593853150071</stp>
        <tr r="R933" s="2"/>
      </tp>
      <tp t="s">
        <v>#N/A Requesting Data...2977026033</v>
        <stp/>
        <stp>BDP|11028402296071132462</stp>
        <tr r="Q1582" s="2"/>
      </tp>
      <tp t="s">
        <v>#N/A Requesting Data...3562667905</v>
        <stp/>
        <stp>BDP|16717727927008245213</stp>
        <tr r="F2149" s="2"/>
      </tp>
      <tp t="s">
        <v>#N/A Requesting Data...3721778554</v>
        <stp/>
        <stp>BDP|12925850334901924108</stp>
        <tr r="H1681" s="2"/>
      </tp>
      <tp t="s">
        <v>#N/A Requesting Data...2096811880</v>
        <stp/>
        <stp>BDP|14946295998422110484</stp>
        <tr r="K641" s="2"/>
      </tp>
      <tp t="s">
        <v>#N/A Requesting Data...3311755818</v>
        <stp/>
        <stp>BDP|16641749808138283093</stp>
        <tr r="S917" s="2"/>
      </tp>
      <tp t="s">
        <v>#N/A Requesting Data...2382674063</v>
        <stp/>
        <stp>BDP|16013214886634168172</stp>
        <tr r="K2149" s="2"/>
      </tp>
      <tp t="b">
        <v>0</v>
        <stp/>
        <stp>BDS|10006025403590603956</stp>
        <tr r="I1856" s="2"/>
      </tp>
      <tp t="s">
        <v>#N/A Requesting Data...2798407412</v>
        <stp/>
        <stp>BDP|13564201814260411942</stp>
        <tr r="H1161" s="2"/>
      </tp>
      <tp t="s">
        <v>#N/A Requesting Data...2047695316</v>
        <stp/>
        <stp>BDP|18403199758775609028</stp>
        <tr r="P1893" s="2"/>
      </tp>
      <tp t="s">
        <v>#N/A Requesting Data...2025751995</v>
        <stp/>
        <stp>BDP|11010786880264848317</stp>
        <tr r="F1963" s="2"/>
      </tp>
      <tp t="s">
        <v>#N/A Requesting Data...3055866135</v>
        <stp/>
        <stp>BDP|18423906148525570980</stp>
        <tr r="D1045" s="2"/>
      </tp>
      <tp t="s">
        <v>#N/A Requesting Data...3201225493</v>
        <stp/>
        <stp>BDP|13567921997082834892</stp>
        <tr r="D1935" s="2"/>
      </tp>
      <tp t="s">
        <v>#N/A Requesting Data...3346419855</v>
        <stp/>
        <stp>BDP|14137620394707276545</stp>
        <tr r="P2011" s="2"/>
      </tp>
      <tp t="s">
        <v>#N/A Requesting Data...2376439928</v>
        <stp/>
        <stp>BDP|17107895526097653395</stp>
        <tr r="A720" s="2"/>
      </tp>
      <tp t="s">
        <v>#N/A Requesting Data...3035258534</v>
        <stp/>
        <stp>BDP|15501292771488915152</stp>
        <tr r="S191" s="2"/>
      </tp>
      <tp t="s">
        <v>#N/A Requesting Data...3107404000</v>
        <stp/>
        <stp>BDP|14747937757419072825</stp>
        <tr r="S638" s="2"/>
      </tp>
      <tp t="s">
        <v>#N/A Requesting Data...2683551134</v>
        <stp/>
        <stp>BDP|12528573273138014105</stp>
        <tr r="Q2223" s="2"/>
      </tp>
      <tp t="s">
        <v>#N/A Requesting Data...3725080323</v>
        <stp/>
        <stp>BDP|17653600506599862192</stp>
        <tr r="Q1950" s="2"/>
      </tp>
      <tp t="s">
        <v>#N/A Requesting Data...2608204614</v>
        <stp/>
        <stp>BDP|13912169384975828627</stp>
        <tr r="F756" s="2"/>
      </tp>
      <tp t="s">
        <v>#N/A Requesting Data...3404314986</v>
        <stp/>
        <stp>BDP|10491606591851464705</stp>
        <tr r="H1122" s="2"/>
      </tp>
      <tp t="s">
        <v>#N/A Requesting Data...3283368597</v>
        <stp/>
        <stp>BDP|17885548381474476787</stp>
        <tr r="G405" s="2"/>
      </tp>
      <tp t="s">
        <v>#N/A Requesting Data...3945718986</v>
        <stp/>
        <stp>BDP|14678736523350609816</stp>
        <tr r="K1500" s="2"/>
      </tp>
      <tp t="s">
        <v>#N/A Requesting Data...4226926285</v>
        <stp/>
        <stp>BDP|12992405760249131099</stp>
        <tr r="M683" s="2"/>
      </tp>
      <tp t="s">
        <v>#N/A Requesting Data...2499343850</v>
        <stp/>
        <stp>BDP|16453860081926537964</stp>
        <tr r="N174" s="2"/>
      </tp>
      <tp t="s">
        <v>#N/A Requesting Data...2228346006</v>
        <stp/>
        <stp>BDP|12115170885564768649</stp>
        <tr r="K1505" s="2"/>
      </tp>
      <tp t="s">
        <v>#N/A Requesting Data...3894344275</v>
        <stp/>
        <stp>BDP|15139061273708296366</stp>
        <tr r="M252" s="2"/>
      </tp>
      <tp t="s">
        <v>#N/A Requesting Data...3233819447</v>
        <stp/>
        <stp>BDP|11788361751277851984</stp>
        <tr r="N278" s="2"/>
      </tp>
      <tp t="s">
        <v>#N/A Requesting Data...2061681143</v>
        <stp/>
        <stp>BDP|17139487217758615388</stp>
        <tr r="T968" s="2"/>
      </tp>
      <tp t="s">
        <v>#N/A Requesting Data...2795971784</v>
        <stp/>
        <stp>BDP|16528984464689933909</stp>
        <tr r="C1175" s="2"/>
      </tp>
      <tp t="s">
        <v>#N/A Requesting Data...1856833911</v>
        <stp/>
        <stp>BDP|13402836409515611788</stp>
        <tr r="N1747" s="2"/>
      </tp>
      <tp t="s">
        <v>#N/A Requesting Data...2653675924</v>
        <stp/>
        <stp>BDP|14311334490944160310</stp>
        <tr r="E259" s="2"/>
      </tp>
      <tp t="s">
        <v>#N/A Requesting Data...3071798253</v>
        <stp/>
        <stp>BDP|16265713885950279041</stp>
        <tr r="J651" s="2"/>
      </tp>
      <tp t="s">
        <v>#N/A Requesting Data...3539120715</v>
        <stp/>
        <stp>BDP|11852781975499520108</stp>
        <tr r="P1110" s="2"/>
      </tp>
      <tp t="b">
        <v>0</v>
        <stp/>
        <stp>BDS|13164560586086485167</stp>
        <tr r="I42" s="2"/>
      </tp>
      <tp t="s">
        <v>#N/A Requesting Data...3437351747</v>
        <stp/>
        <stp>BDP|14592632971374122863</stp>
        <tr r="P500" s="2"/>
      </tp>
      <tp t="s">
        <v>#N/A Requesting Data...2014472101</v>
        <stp/>
        <stp>BDP|18047035100760075138</stp>
        <tr r="E1085" s="2"/>
      </tp>
      <tp t="s">
        <v>#N/A Requesting Data...2415110499</v>
        <stp/>
        <stp>BDP|13658520945458386320</stp>
        <tr r="N1672" s="2"/>
      </tp>
      <tp t="s">
        <v>#N/A Requesting Data...3936491479</v>
        <stp/>
        <stp>BDP|16281784568716637841</stp>
        <tr r="J1450" s="2"/>
      </tp>
      <tp t="s">
        <v>#N/A Requesting Data...2377274938</v>
        <stp/>
        <stp>BDP|17119025155498403329</stp>
        <tr r="N410" s="2"/>
      </tp>
      <tp t="s">
        <v>#N/A Requesting Data...2098353206</v>
        <stp/>
        <stp>BDP|10528804101058576919</stp>
        <tr r="A296" s="2"/>
      </tp>
      <tp t="s">
        <v>#N/A Requesting Data...3446992620</v>
        <stp/>
        <stp>BDP|14451434543795668828</stp>
        <tr r="H1467" s="2"/>
      </tp>
      <tp t="s">
        <v>#N/A Requesting Data...2798276576</v>
        <stp/>
        <stp>BDP|15069241322478439428</stp>
        <tr r="M186" s="2"/>
      </tp>
      <tp t="s">
        <v>#N/A Requesting Data...2106592135</v>
        <stp/>
        <stp>BDP|14769622015769238328</stp>
        <tr r="N56" s="2"/>
      </tp>
      <tp t="s">
        <v>#N/A Requesting Data...4137762118</v>
        <stp/>
        <stp>BDP|10564383063318864468</stp>
        <tr r="G825" s="2"/>
      </tp>
      <tp t="s">
        <v>#N/A Requesting Data...3520631911</v>
        <stp/>
        <stp>BDP|13524869244023606513</stp>
        <tr r="A2309" s="2"/>
      </tp>
      <tp t="s">
        <v>#N/A Requesting Data...2521539648</v>
        <stp/>
        <stp>BDP|18258474379417923558</stp>
        <tr r="F1276" s="2"/>
      </tp>
      <tp t="s">
        <v>#N/A Requesting Data...2187244621</v>
        <stp/>
        <stp>BDP|13977600609945631962</stp>
        <tr r="N2237" s="2"/>
      </tp>
      <tp t="s">
        <v>#N/A Requesting Data...4247533661</v>
        <stp/>
        <stp>BDP|18081345430413430205</stp>
        <tr r="M1247" s="2"/>
      </tp>
      <tp t="s">
        <v>#N/A Requesting Data...3381768662</v>
        <stp/>
        <stp>BDP|15720684641039903779</stp>
        <tr r="E282" s="2"/>
      </tp>
      <tp t="s">
        <v>#N/A Requesting Data...3929742891</v>
        <stp/>
        <stp>BDP|15677350151319026329</stp>
        <tr r="Q1456" s="2"/>
      </tp>
      <tp t="s">
        <v>#N/A Requesting Data...3634139795</v>
        <stp/>
        <stp>BDP|14279546687185274538</stp>
        <tr r="G2530" s="2"/>
      </tp>
      <tp t="s">
        <v>#N/A Requesting Data...3844192321</v>
        <stp/>
        <stp>BDP|15558966837445183351</stp>
        <tr r="J2429" s="2"/>
      </tp>
      <tp t="s">
        <v>#N/A Requesting Data...4167106206</v>
        <stp/>
        <stp>BDP|17257030354403077858</stp>
        <tr r="K379" s="2"/>
      </tp>
      <tp t="s">
        <v>#N/A Requesting Data...3456903040</v>
        <stp/>
        <stp>BDP|15270906682108674569</stp>
        <tr r="D1855" s="2"/>
      </tp>
      <tp t="s">
        <v>#N/A Requesting Data...2199384769</v>
        <stp/>
        <stp>BDP|15862356522378869578</stp>
        <tr r="D1797" s="2"/>
      </tp>
      <tp t="s">
        <v>#N/A Requesting Data...3405636092</v>
        <stp/>
        <stp>BDP|14324684222248182181</stp>
        <tr r="O442" s="2"/>
      </tp>
      <tp t="s">
        <v>#N/A Requesting Data...3229365785</v>
        <stp/>
        <stp>BDP|18374128949386879207</stp>
        <tr r="S390" s="2"/>
      </tp>
      <tp t="s">
        <v>#N/A Requesting Data...3492516942</v>
        <stp/>
        <stp>BDP|14190945538524931346</stp>
        <tr r="K419" s="2"/>
      </tp>
      <tp t="s">
        <v>#N/A Requesting Data...2348944464</v>
        <stp/>
        <stp>BDP|10078046754284038803</stp>
        <tr r="N1398" s="2"/>
      </tp>
      <tp t="s">
        <v>#N/A Requesting Data...3676155164</v>
        <stp/>
        <stp>BDP|10202442894524061022</stp>
        <tr r="K620" s="2"/>
      </tp>
      <tp t="s">
        <v>#N/A Requesting Data...4023747123</v>
        <stp/>
        <stp>BDP|10217158742295791921</stp>
        <tr r="D2229" s="2"/>
      </tp>
      <tp t="s">
        <v>#N/A Requesting Data...2245343437</v>
        <stp/>
        <stp>BDP|15054791828511146806</stp>
        <tr r="G1410" s="2"/>
      </tp>
      <tp t="s">
        <v>#N/A Requesting Data...3534206915</v>
        <stp/>
        <stp>BDP|13484919234477314727</stp>
        <tr r="F314" s="2"/>
      </tp>
      <tp t="s">
        <v>#N/A Requesting Data...2981437886</v>
        <stp/>
        <stp>BDP|11532517576349167332</stp>
        <tr r="S1295" s="2"/>
      </tp>
      <tp t="s">
        <v>#N/A Requesting Data...3343011637</v>
        <stp/>
        <stp>BDP|16770717720439420325</stp>
        <tr r="F780" s="2"/>
      </tp>
      <tp t="s">
        <v>#N/A Requesting Data...3379538992</v>
        <stp/>
        <stp>BDP|14162505427002230843</stp>
        <tr r="F731" s="2"/>
      </tp>
      <tp t="b">
        <v>0</v>
        <stp/>
        <stp>BDS|10422346019023310896</stp>
        <tr r="I1122" s="2"/>
      </tp>
      <tp t="s">
        <v>#N/A Requesting Data...2294479620</v>
        <stp/>
        <stp>BDP|17923482450299595649</stp>
        <tr r="P900" s="2"/>
      </tp>
      <tp t="s">
        <v>#N/A Requesting Data...3497343578</v>
        <stp/>
        <stp>BDP|17242790921298337397</stp>
        <tr r="K1694" s="2"/>
      </tp>
      <tp t="s">
        <v>#N/A Requesting Data...2472850427</v>
        <stp/>
        <stp>BDP|18064486608312914790</stp>
        <tr r="P2277" s="2"/>
      </tp>
      <tp t="s">
        <v>#N/A Requesting Data...2297227055</v>
        <stp/>
        <stp>BDP|18093341339818557987</stp>
        <tr r="A979" s="2"/>
      </tp>
      <tp t="s">
        <v>#N/A Requesting Data...3721452977</v>
        <stp/>
        <stp>BDP|14661641738609256186</stp>
        <tr r="F753" s="2"/>
      </tp>
      <tp t="s">
        <v>#N/A Requesting Data...3450979319</v>
        <stp/>
        <stp>BDP|10559680353703917972</stp>
        <tr r="N204" s="2"/>
      </tp>
      <tp t="s">
        <v>#N/A Requesting Data...3252308315</v>
        <stp/>
        <stp>BDP|12711464198180047691</stp>
        <tr r="J1735" s="2"/>
      </tp>
      <tp t="s">
        <v>#N/A Requesting Data...3260122251</v>
        <stp/>
        <stp>BDP|13641051780137321507</stp>
        <tr r="N595" s="2"/>
      </tp>
      <tp t="s">
        <v>#N/A Requesting Data...4247234180</v>
        <stp/>
        <stp>BDP|11419473810404116926</stp>
        <tr r="Q823" s="2"/>
      </tp>
      <tp t="b">
        <v>0</v>
        <stp/>
        <stp>BDS|11870893575750167764</stp>
        <tr r="I2125" s="2"/>
      </tp>
      <tp t="s">
        <v>#N/A Requesting Data...3138450861</v>
        <stp/>
        <stp>BDP|14613219328439792484</stp>
        <tr r="A1085" s="2"/>
      </tp>
      <tp t="b">
        <v>0</v>
        <stp/>
        <stp>BDS|10482051385843417231</stp>
        <tr r="I1521" s="2"/>
      </tp>
      <tp t="s">
        <v>#N/A Requesting Data...2043992147</v>
        <stp/>
        <stp>BDP|12679276241334444946</stp>
        <tr r="K1155" s="2"/>
      </tp>
      <tp t="s">
        <v>#N/A Requesting Data...2783592239</v>
        <stp/>
        <stp>BDP|13462607527666616856</stp>
        <tr r="G2075" s="2"/>
      </tp>
      <tp t="s">
        <v>#N/A Requesting Data...2726843431</v>
        <stp/>
        <stp>BDP|10902309029731415948</stp>
        <tr r="R2084" s="2"/>
      </tp>
      <tp t="s">
        <v>#N/A Requesting Data...3775785609</v>
        <stp/>
        <stp>BDP|13875454482461653795</stp>
        <tr r="C325" s="2"/>
      </tp>
      <tp t="s">
        <v>#N/A Requesting Data...3428782161</v>
        <stp/>
        <stp>BDP|13212129769944026994</stp>
        <tr r="K2199" s="2"/>
      </tp>
      <tp t="s">
        <v>#N/A Requesting Data...2915398638</v>
        <stp/>
        <stp>BDP|11065979211801347154</stp>
        <tr r="D328" s="2"/>
      </tp>
      <tp t="s">
        <v>#N/A Requesting Data...2992627598</v>
        <stp/>
        <stp>BDP|16041971841133709113</stp>
        <tr r="C1767" s="2"/>
      </tp>
      <tp t="s">
        <v>#N/A Requesting Data...2256094692</v>
        <stp/>
        <stp>BDP|13604871515444577715</stp>
        <tr r="T2274" s="2"/>
      </tp>
      <tp t="s">
        <v>#N/A Requesting Data...3699832421</v>
        <stp/>
        <stp>BDP|11553975977357400115</stp>
        <tr r="J1546" s="2"/>
      </tp>
      <tp t="s">
        <v>#N/A Requesting Data...4275237225</v>
        <stp/>
        <stp>BDP|17177852969272561287</stp>
        <tr r="E1454" s="2"/>
      </tp>
      <tp t="s">
        <v>#N/A Requesting Data...3522370340</v>
        <stp/>
        <stp>BDP|17018218339898974710</stp>
        <tr r="Q1918" s="2"/>
      </tp>
      <tp t="s">
        <v>#N/A Requesting Data...2304353386</v>
        <stp/>
        <stp>BDP|14568205136785220910</stp>
        <tr r="M2064" s="2"/>
      </tp>
      <tp t="s">
        <v>#N/A Requesting Data...3898067741</v>
        <stp/>
        <stp>BDP|15617801950403402221</stp>
        <tr r="G1901" s="2"/>
      </tp>
      <tp t="s">
        <v>#N/A Requesting Data...3779830514</v>
        <stp/>
        <stp>BDP|18286609290096307814</stp>
        <tr r="F1761" s="2"/>
      </tp>
      <tp t="s">
        <v>#N/A Requesting Data...2080771254</v>
        <stp/>
        <stp>BDP|11125408386717797301</stp>
        <tr r="J667" s="2"/>
      </tp>
      <tp t="s">
        <v>#N/A Requesting Data...3668811322</v>
        <stp/>
        <stp>BDP|14223542596766610763</stp>
        <tr r="T2262" s="2"/>
      </tp>
      <tp t="s">
        <v>#N/A Requesting Data...4082439463</v>
        <stp/>
        <stp>BDP|12306661728368508786</stp>
        <tr r="J1307" s="2"/>
      </tp>
      <tp t="s">
        <v>#N/A Requesting Data...4044812279</v>
        <stp/>
        <stp>BDP|12890129565058859471</stp>
        <tr r="E1134" s="2"/>
      </tp>
      <tp t="s">
        <v>#N/A Requesting Data...3360408342</v>
        <stp/>
        <stp>BDP|17280801934777227248</stp>
        <tr r="P130" s="2"/>
      </tp>
      <tp t="s">
        <v>#N/A Requesting Data...3692128144</v>
        <stp/>
        <stp>BDP|13526721315679557574</stp>
        <tr r="G16" s="2"/>
      </tp>
      <tp t="s">
        <v>#N/A Requesting Data...3145572979</v>
        <stp/>
        <stp>BDP|10943967849164639005</stp>
        <tr r="H432" s="2"/>
      </tp>
      <tp t="s">
        <v>#N/A Requesting Data...3585967340</v>
        <stp/>
        <stp>BDP|12660969858790995715</stp>
        <tr r="R1118" s="2"/>
      </tp>
      <tp t="s">
        <v>#N/A Requesting Data...3330127079</v>
        <stp/>
        <stp>BDP|17189331385223078678</stp>
        <tr r="T129" s="2"/>
      </tp>
      <tp t="s">
        <v>#N/A Requesting Data...2135482660</v>
        <stp/>
        <stp>BDP|17350303077009286355</stp>
        <tr r="S934" s="2"/>
      </tp>
      <tp t="s">
        <v>#N/A Requesting Data...2092905359</v>
        <stp/>
        <stp>BDP|14213489290563817317</stp>
        <tr r="D1483" s="2"/>
      </tp>
      <tp t="s">
        <v>#N/A Requesting Data...2344381711</v>
        <stp/>
        <stp>BDP|15462399596010924616</stp>
        <tr r="Q1538" s="2"/>
      </tp>
      <tp t="s">
        <v>#N/A Requesting Data...3849838195</v>
        <stp/>
        <stp>BDP|16349974554180528369</stp>
        <tr r="H2335" s="2"/>
      </tp>
      <tp t="s">
        <v>#N/A Requesting Data...2987240481</v>
        <stp/>
        <stp>BDP|12866245895524942438</stp>
        <tr r="A1373" s="2"/>
      </tp>
      <tp t="s">
        <v>#N/A Requesting Data...3225764140</v>
        <stp/>
        <stp>BDP|16149862629904422194</stp>
        <tr r="D485" s="2"/>
      </tp>
      <tp t="s">
        <v>#N/A Requesting Data...3523042183</v>
        <stp/>
        <stp>BDP|12735708491533338664</stp>
        <tr r="D1759" s="2"/>
      </tp>
      <tp t="s">
        <v>#N/A Requesting Data...4029123977</v>
        <stp/>
        <stp>BDP|13802651454908248184</stp>
        <tr r="N834" s="2"/>
      </tp>
      <tp t="s">
        <v>#N/A Requesting Data...2905266664</v>
        <stp/>
        <stp>BDP|11873994926185028648</stp>
        <tr r="G1236" s="2"/>
      </tp>
      <tp t="s">
        <v>#N/A Requesting Data...4162767514</v>
        <stp/>
        <stp>BDP|18397645035021421556</stp>
        <tr r="F976" s="2"/>
      </tp>
      <tp t="s">
        <v>#N/A Requesting Data...3103434289</v>
        <stp/>
        <stp>BDP|15839663473099806468</stp>
        <tr r="O546" s="2"/>
      </tp>
      <tp t="s">
        <v>#N/A Requesting Data...3926482087</v>
        <stp/>
        <stp>BDP|11767308747648258712</stp>
        <tr r="Q1755" s="2"/>
      </tp>
      <tp t="s">
        <v>#N/A Requesting Data...3402242188</v>
        <stp/>
        <stp>BDP|14976642881625957669</stp>
        <tr r="N792" s="2"/>
      </tp>
      <tp t="s">
        <v>#N/A Requesting Data...2729285668</v>
        <stp/>
        <stp>BDP|10043387035088759199</stp>
        <tr r="P999" s="2"/>
      </tp>
      <tp t="s">
        <v>#N/A Requesting Data...3136296106</v>
        <stp/>
        <stp>BDP|12491074136508372050</stp>
        <tr r="A22" s="2"/>
      </tp>
      <tp t="s">
        <v>#N/A Requesting Data...4096071466</v>
        <stp/>
        <stp>BDP|11338910728234864719</stp>
        <tr r="C146" s="2"/>
      </tp>
      <tp t="s">
        <v>#N/A Requesting Data...3893767198</v>
        <stp/>
        <stp>BDP|14198938706801027575</stp>
        <tr r="D165" s="2"/>
      </tp>
      <tp t="s">
        <v>#N/A Requesting Data...3358802993</v>
        <stp/>
        <stp>BDP|13401403496136582144</stp>
        <tr r="M873" s="2"/>
      </tp>
      <tp t="s">
        <v>#N/A Requesting Data...3322569538</v>
        <stp/>
        <stp>BDP|17836911445842667192</stp>
        <tr r="R1430" s="2"/>
      </tp>
      <tp t="s">
        <v>#N/A Requesting Data...4136449426</v>
        <stp/>
        <stp>BDP|10580725744669529354</stp>
        <tr r="O1838" s="2"/>
      </tp>
      <tp t="s">
        <v>#N/A Requesting Data...3587466045</v>
        <stp/>
        <stp>BDP|18267068337817731578</stp>
        <tr r="R2023" s="2"/>
      </tp>
      <tp t="s">
        <v>#N/A Requesting Data...3178544317</v>
        <stp/>
        <stp>BDP|14550891653421949158</stp>
        <tr r="A1515" s="2"/>
      </tp>
      <tp t="b">
        <v>0</v>
        <stp/>
        <stp>BDS|11280669603738238659</stp>
        <tr r="I647" s="2"/>
      </tp>
      <tp t="s">
        <v>#N/A Requesting Data...2130854098</v>
        <stp/>
        <stp>BDP|10864512613969068497</stp>
        <tr r="R555" s="2"/>
      </tp>
      <tp t="s">
        <v>#N/A Requesting Data...3332188829</v>
        <stp/>
        <stp>BDP|10878488983347169216</stp>
        <tr r="E2529" s="2"/>
      </tp>
      <tp t="s">
        <v>#N/A Requesting Data...3447636061</v>
        <stp/>
        <stp>BDP|15214795929968651174</stp>
        <tr r="P1272" s="2"/>
      </tp>
      <tp t="s">
        <v>#N/A Requesting Data...3234515268</v>
        <stp/>
        <stp>BDP|15572643754967379856</stp>
        <tr r="N1334" s="2"/>
      </tp>
      <tp t="s">
        <v>#N/A Requesting Data...3327638329</v>
        <stp/>
        <stp>BDP|15632608340327275973</stp>
        <tr r="F1958" s="2"/>
      </tp>
      <tp t="s">
        <v>#N/A Requesting Data...2350033591</v>
        <stp/>
        <stp>BDP|15398420318570899926</stp>
        <tr r="K2138" s="2"/>
      </tp>
      <tp t="s">
        <v>#N/A Requesting Data...3588928065</v>
        <stp/>
        <stp>BDP|13263823612102723165</stp>
        <tr r="E1320" s="2"/>
      </tp>
      <tp t="s">
        <v>#N/A Requesting Data...3944947018</v>
        <stp/>
        <stp>BDP|17480636650265776838</stp>
        <tr r="J170" s="2"/>
      </tp>
      <tp t="s">
        <v>#N/A Requesting Data...3030079720</v>
        <stp/>
        <stp>BDP|10367973409908683887</stp>
        <tr r="N128" s="2"/>
      </tp>
      <tp t="s">
        <v>#N/A Requesting Data...4086197703</v>
        <stp/>
        <stp>BDP|13962430139775174815</stp>
        <tr r="M1583" s="2"/>
      </tp>
      <tp t="s">
        <v>#N/A Requesting Data...3622905091</v>
        <stp/>
        <stp>BDP|16568330930648176744</stp>
        <tr r="O2329" s="2"/>
      </tp>
      <tp t="s">
        <v>#N/A Requesting Data...4053845788</v>
        <stp/>
        <stp>BDP|16793735960149567729</stp>
        <tr r="T615" s="2"/>
      </tp>
      <tp t="s">
        <v>#N/A Requesting Data...2535691716</v>
        <stp/>
        <stp>BDP|10022814721562465177</stp>
        <tr r="H469" s="2"/>
      </tp>
      <tp t="s">
        <v>#N/A Requesting Data...3183115913</v>
        <stp/>
        <stp>BDP|10859808818616280611</stp>
        <tr r="N407" s="2"/>
      </tp>
      <tp t="s">
        <v>#N/A Requesting Data...3268621762</v>
        <stp/>
        <stp>BDP|16245983911767917010</stp>
        <tr r="D1486" s="2"/>
      </tp>
      <tp t="s">
        <v>#N/A Requesting Data...3125788243</v>
        <stp/>
        <stp>BDP|10419156375629361646</stp>
        <tr r="P368" s="2"/>
      </tp>
      <tp t="s">
        <v>#N/A Requesting Data...3782453135</v>
        <stp/>
        <stp>BDP|13095214219788935128</stp>
        <tr r="O2435" s="2"/>
      </tp>
      <tp t="s">
        <v>#N/A Requesting Data...3573452184</v>
        <stp/>
        <stp>BDP|16401927451336353570</stp>
        <tr r="E1501" s="2"/>
      </tp>
      <tp t="s">
        <v>#N/A Requesting Data...2681064724</v>
        <stp/>
        <stp>BDP|10503510984163518761</stp>
        <tr r="K1015" s="2"/>
      </tp>
      <tp t="s">
        <v>#N/A Requesting Data...3694679714</v>
        <stp/>
        <stp>BDP|14793368543839114309</stp>
        <tr r="N951" s="2"/>
      </tp>
      <tp t="s">
        <v>#N/A Requesting Data...2652850128</v>
        <stp/>
        <stp>BDP|11017231750517332837</stp>
        <tr r="J880" s="2"/>
      </tp>
      <tp t="s">
        <v>#N/A Requesting Data...3090638866</v>
        <stp/>
        <stp>BDP|11510894774074943320</stp>
        <tr r="G1336" s="2"/>
      </tp>
      <tp t="s">
        <v>#N/A Requesting Data...3975892236</v>
        <stp/>
        <stp>BDP|17680147061010782976</stp>
        <tr r="T1601" s="2"/>
      </tp>
      <tp t="s">
        <v>#N/A Requesting Data...2587546002</v>
        <stp/>
        <stp>BDP|11075327812872096831</stp>
        <tr r="G2345" s="2"/>
      </tp>
      <tp t="s">
        <v>#N/A Requesting Data...2570680707</v>
        <stp/>
        <stp>BDP|16229893668954614569</stp>
        <tr r="E166" s="2"/>
      </tp>
      <tp t="s">
        <v>#N/A Requesting Data...2674344525</v>
        <stp/>
        <stp>BDP|18411534836067751050</stp>
        <tr r="A2372" s="2"/>
      </tp>
      <tp t="s">
        <v>#N/A Requesting Data...4217287791</v>
        <stp/>
        <stp>BDP|14888947637802147593</stp>
        <tr r="O323" s="2"/>
      </tp>
      <tp t="s">
        <v>#N/A Requesting Data...3725413954</v>
        <stp/>
        <stp>BDP|10559375892507565463</stp>
        <tr r="C831" s="2"/>
      </tp>
      <tp t="s">
        <v>#N/A Requesting Data...2555594769</v>
        <stp/>
        <stp>BDP|11405863859451129495</stp>
        <tr r="D1081" s="2"/>
      </tp>
      <tp t="s">
        <v>#N/A Requesting Data...4235310255</v>
        <stp/>
        <stp>BDP|17744759723073029828</stp>
        <tr r="O913" s="2"/>
      </tp>
      <tp t="b">
        <v>0</v>
        <stp/>
        <stp>BDS|17183261091273699605</stp>
        <tr r="I2214" s="2"/>
      </tp>
      <tp t="b">
        <v>0</v>
        <stp/>
        <stp>BDS|10348923372010436773</stp>
        <tr r="I2149" s="2"/>
      </tp>
      <tp t="b">
        <v>0</v>
        <stp/>
        <stp>BDS|14829988760547385530</stp>
        <tr r="I1200" s="2"/>
      </tp>
      <tp t="s">
        <v>#N/A Requesting Data...2386061365</v>
        <stp/>
        <stp>BDP|11321686894266954154</stp>
        <tr r="A837" s="2"/>
      </tp>
      <tp t="s">
        <v>#N/A Requesting Data...3153873985</v>
        <stp/>
        <stp>BDP|17788326460532494925</stp>
        <tr r="R2208" s="2"/>
      </tp>
      <tp t="s">
        <v>#N/A Requesting Data...2740982765</v>
        <stp/>
        <stp>BDP|17063233169402058893</stp>
        <tr r="D2158" s="2"/>
      </tp>
      <tp t="s">
        <v>#N/A Requesting Data...4288213149</v>
        <stp/>
        <stp>BDP|16066227978699131383</stp>
        <tr r="C691" s="2"/>
      </tp>
      <tp t="s">
        <v>#N/A Requesting Data...2766886238</v>
        <stp/>
        <stp>BDP|12597220325203956889</stp>
        <tr r="K810" s="2"/>
      </tp>
      <tp t="s">
        <v>#N/A Requesting Data...3779102093</v>
        <stp/>
        <stp>BDP|14079495526018410385</stp>
        <tr r="H623" s="2"/>
      </tp>
      <tp t="s">
        <v>#N/A Requesting Data...2665788739</v>
        <stp/>
        <stp>BDP|18441798028096434229</stp>
        <tr r="N864" s="2"/>
      </tp>
      <tp t="b">
        <v>0</v>
        <stp/>
        <stp>BDS|17086259957541612843</stp>
        <tr r="I1792" s="2"/>
      </tp>
      <tp t="s">
        <v>#N/A Requesting Data...4032491775</v>
        <stp/>
        <stp>BDP|14026336385101514702</stp>
        <tr r="S1662" s="2"/>
      </tp>
      <tp t="s">
        <v>#N/A Requesting Data...3398134775</v>
        <stp/>
        <stp>BDP|11913298706509034359</stp>
        <tr r="D522" s="2"/>
      </tp>
      <tp t="s">
        <v>#N/A Requesting Data...4047246328</v>
        <stp/>
        <stp>BDP|14052103824766467832</stp>
        <tr r="H1484" s="2"/>
      </tp>
      <tp t="s">
        <v>#N/A Requesting Data...3141458385</v>
        <stp/>
        <stp>BDP|15991392133734286821</stp>
        <tr r="F2068" s="2"/>
      </tp>
      <tp t="s">
        <v>#N/A Requesting Data...2841466276</v>
        <stp/>
        <stp>BDP|14061366199257858043</stp>
        <tr r="A2355" s="2"/>
      </tp>
      <tp t="s">
        <v>#N/A Requesting Data...2764607684</v>
        <stp/>
        <stp>BDP|12442068357997220943</stp>
        <tr r="M793" s="2"/>
      </tp>
      <tp t="s">
        <v>#N/A Requesting Data...2771985087</v>
        <stp/>
        <stp>BDP|16320909740900013207</stp>
        <tr r="E1731" s="2"/>
      </tp>
      <tp t="s">
        <v>#N/A Requesting Data...3772975922</v>
        <stp/>
        <stp>BDP|17024916130244725050</stp>
        <tr r="J2047" s="2"/>
      </tp>
      <tp t="s">
        <v>#N/A Requesting Data...2602251822</v>
        <stp/>
        <stp>BDP|12972065698153076140</stp>
        <tr r="M1465" s="2"/>
      </tp>
      <tp t="s">
        <v>#N/A Requesting Data...4271858219</v>
        <stp/>
        <stp>BDP|14893843767175185697</stp>
        <tr r="K826" s="2"/>
      </tp>
      <tp t="s">
        <v>#N/A Requesting Data...3598771850</v>
        <stp/>
        <stp>BDP|10082073318639858153</stp>
        <tr r="J1770" s="2"/>
      </tp>
      <tp t="s">
        <v>#N/A Requesting Data...3528368550</v>
        <stp/>
        <stp>BDP|14318555540729383571</stp>
        <tr r="Q1106" s="2"/>
      </tp>
      <tp t="s">
        <v>#N/A Requesting Data...3844921519</v>
        <stp/>
        <stp>BDP|13191010474494123975</stp>
        <tr r="R1716" s="2"/>
      </tp>
      <tp t="s">
        <v>#N/A Requesting Data...2928083616</v>
        <stp/>
        <stp>BDP|13032024926208063069</stp>
        <tr r="O1407" s="2"/>
      </tp>
      <tp t="s">
        <v>#N/A Requesting Data...3009071809</v>
        <stp/>
        <stp>BDP|15357806474415588605</stp>
        <tr r="Q577" s="2"/>
      </tp>
      <tp t="s">
        <v>#N/A Requesting Data...2295378895</v>
        <stp/>
        <stp>BDP|16083678087554784557</stp>
        <tr r="S1916" s="2"/>
      </tp>
      <tp t="s">
        <v>#N/A Requesting Data...3527646523</v>
        <stp/>
        <stp>BDP|14044272614798886690</stp>
        <tr r="M736" s="2"/>
      </tp>
      <tp t="s">
        <v>#N/A Requesting Data...2978605731</v>
        <stp/>
        <stp>BDP|17349338202208476540</stp>
        <tr r="J798" s="2"/>
      </tp>
      <tp t="s">
        <v>#N/A Requesting Data...3427441458</v>
        <stp/>
        <stp>BDP|16417980426992195698</stp>
        <tr r="C2520" s="2"/>
      </tp>
      <tp t="b">
        <v>0</v>
        <stp/>
        <stp>BDS|11793145297789730921</stp>
        <tr r="I2052" s="2"/>
      </tp>
      <tp t="s">
        <v>#N/A Requesting Data...3460417419</v>
        <stp/>
        <stp>BDP|10337738081901186723</stp>
        <tr r="G2248" s="2"/>
      </tp>
      <tp t="s">
        <v>#N/A Requesting Data...3139500482</v>
        <stp/>
        <stp>BDP|14608978256110093158</stp>
        <tr r="S1354" s="2"/>
      </tp>
      <tp t="b">
        <v>0</v>
        <stp/>
        <stp>BDS|15513579613880417849</stp>
        <tr r="I319" s="2"/>
      </tp>
      <tp t="s">
        <v>#N/A Requesting Data...2533999246</v>
        <stp/>
        <stp>BDP|10003234623949455060</stp>
        <tr r="A1888" s="2"/>
      </tp>
      <tp t="s">
        <v>#N/A Requesting Data...2994247403</v>
        <stp/>
        <stp>BDP|10370401563368784355</stp>
        <tr r="T988" s="2"/>
      </tp>
      <tp t="s">
        <v>#N/A Requesting Data...2814901879</v>
        <stp/>
        <stp>BDP|11613649325644173841</stp>
        <tr r="Q267" s="2"/>
      </tp>
      <tp t="s">
        <v>#N/A Requesting Data...2470852325</v>
        <stp/>
        <stp>BDP|11529837264371210728</stp>
        <tr r="E153" s="2"/>
      </tp>
      <tp t="s">
        <v>#N/A Requesting Data...3789038787</v>
        <stp/>
        <stp>BDP|13604068114038203347</stp>
        <tr r="Q1463" s="2"/>
      </tp>
      <tp t="s">
        <v>#N/A Requesting Data...2537960179</v>
        <stp/>
        <stp>BDP|16013864432125080163</stp>
        <tr r="Q1705" s="2"/>
      </tp>
      <tp t="s">
        <v>#N/A Requesting Data...2836640296</v>
        <stp/>
        <stp>BDP|15020320574570416809</stp>
        <tr r="E893" s="2"/>
      </tp>
      <tp t="s">
        <v>#N/A Requesting Data...4109442323</v>
        <stp/>
        <stp>BDP|13760280998126507709</stp>
        <tr r="T493" s="2"/>
      </tp>
      <tp t="s">
        <v>#N/A Requesting Data...3483158021</v>
        <stp/>
        <stp>BDP|10745808115285202520</stp>
        <tr r="G923" s="2"/>
      </tp>
      <tp t="s">
        <v>#N/A Requesting Data...3146675074</v>
        <stp/>
        <stp>BDP|18060250080099281250</stp>
        <tr r="F1302" s="2"/>
      </tp>
      <tp t="s">
        <v>#N/A Requesting Data...3096663317</v>
        <stp/>
        <stp>BDP|18380307477891186471</stp>
        <tr r="R2351" s="2"/>
      </tp>
      <tp t="s">
        <v>#N/A Requesting Data...2776117414</v>
        <stp/>
        <stp>BDP|15887906711035859135</stp>
        <tr r="M1165" s="2"/>
      </tp>
      <tp t="s">
        <v>#N/A Requesting Data...4049715385</v>
        <stp/>
        <stp>BDP|14756539180739231946</stp>
        <tr r="Q640" s="2"/>
      </tp>
      <tp t="b">
        <v>0</v>
        <stp/>
        <stp>BDS|13055604045299649129</stp>
        <tr r="I1542" s="2"/>
      </tp>
      <tp t="s">
        <v>#N/A Requesting Data...2759089930</v>
        <stp/>
        <stp>BDP|10108814018559879928</stp>
        <tr r="T1510" s="2"/>
      </tp>
      <tp t="s">
        <v>#N/A Requesting Data...4251768649</v>
        <stp/>
        <stp>BDP|11392779317928424655</stp>
        <tr r="T2323" s="2"/>
      </tp>
      <tp t="s">
        <v>#N/A Requesting Data...2533475579</v>
        <stp/>
        <stp>BDP|12159874793352065879</stp>
        <tr r="D1029" s="2"/>
      </tp>
      <tp t="s">
        <v>#N/A Requesting Data...4103692619</v>
        <stp/>
        <stp>BDP|14869388186046515012</stp>
        <tr r="Q2342" s="2"/>
      </tp>
      <tp t="s">
        <v>#N/A Requesting Data...4025983126</v>
        <stp/>
        <stp>BDP|15981911660444956735</stp>
        <tr r="S2153" s="2"/>
      </tp>
      <tp t="s">
        <v>#N/A Requesting Data...2721241909</v>
        <stp/>
        <stp>BDP|18123029354617524302</stp>
        <tr r="J2337" s="2"/>
      </tp>
      <tp t="s">
        <v>#N/A Requesting Data...4220049224</v>
        <stp/>
        <stp>BDP|10325360781694790611</stp>
        <tr r="D278" s="2"/>
      </tp>
      <tp t="s">
        <v>#N/A Requesting Data...3553851391</v>
        <stp/>
        <stp>BDP|14638301480950173650</stp>
        <tr r="P254" s="2"/>
      </tp>
      <tp t="s">
        <v>#N/A Requesting Data...2450947799</v>
        <stp/>
        <stp>BDP|13330273191823346240</stp>
        <tr r="M1921" s="2"/>
      </tp>
      <tp t="s">
        <v>#N/A Requesting Data...3971665496</v>
        <stp/>
        <stp>BDP|16998895846106421503</stp>
        <tr r="R2493" s="2"/>
      </tp>
      <tp t="s">
        <v>#N/A Requesting Data...4224833910</v>
        <stp/>
        <stp>BDP|12873804864910649582</stp>
        <tr r="E1413" s="2"/>
      </tp>
      <tp t="s">
        <v>#N/A Requesting Data...3682302547</v>
        <stp/>
        <stp>BDP|10405406787690926581</stp>
        <tr r="H132" s="2"/>
      </tp>
      <tp t="s">
        <v>#N/A Requesting Data...4280867524</v>
        <stp/>
        <stp>BDP|14922694382545353635</stp>
        <tr r="H254" s="2"/>
      </tp>
      <tp t="s">
        <v>#N/A Requesting Data...3018425281</v>
        <stp/>
        <stp>BDP|12419122545159508741</stp>
        <tr r="P1358" s="2"/>
      </tp>
      <tp t="s">
        <v>#N/A Requesting Data...3143268781</v>
        <stp/>
        <stp>BDP|12502546802198073613</stp>
        <tr r="S503" s="2"/>
      </tp>
      <tp t="s">
        <v>#N/A Requesting Data...2909717475</v>
        <stp/>
        <stp>BDP|10907444738647117960</stp>
        <tr r="J56" s="2"/>
      </tp>
      <tp t="s">
        <v>#N/A Requesting Data...3246188542</v>
        <stp/>
        <stp>BDP|14959152854349216086</stp>
        <tr r="J1556" s="2"/>
      </tp>
      <tp t="s">
        <v>#N/A Requesting Data...3068769899</v>
        <stp/>
        <stp>BDP|15039258313396081943</stp>
        <tr r="C47" s="2"/>
      </tp>
      <tp t="s">
        <v>#N/A Requesting Data...4180633943</v>
        <stp/>
        <stp>BDP|11142894066430444682</stp>
        <tr r="T934" s="2"/>
      </tp>
      <tp t="s">
        <v>#N/A Requesting Data...3320102193</v>
        <stp/>
        <stp>BDP|11224986036086668480</stp>
        <tr r="G73" s="2"/>
      </tp>
      <tp t="s">
        <v>#N/A Requesting Data...3006192394</v>
        <stp/>
        <stp>BDP|11323683020964183882</stp>
        <tr r="Q2367" s="2"/>
      </tp>
      <tp t="s">
        <v>#N/A Requesting Data...3262022740</v>
        <stp/>
        <stp>BDP|15856409492510093182</stp>
        <tr r="S485" s="2"/>
      </tp>
      <tp t="s">
        <v>#N/A Requesting Data...2815770895</v>
        <stp/>
        <stp>BDP|10322653277141759944</stp>
        <tr r="J1931" s="2"/>
      </tp>
      <tp t="s">
        <v>#N/A Requesting Data...2571313248</v>
        <stp/>
        <stp>BDP|13516230384519378932</stp>
        <tr r="M662" s="2"/>
      </tp>
      <tp t="s">
        <v>#N/A Requesting Data...3758189146</v>
        <stp/>
        <stp>BDP|12678461583177325024</stp>
        <tr r="F1950" s="2"/>
      </tp>
      <tp t="s">
        <v>#N/A Requesting Data...2935774600</v>
        <stp/>
        <stp>BDP|16794961565681683107</stp>
        <tr r="N2180" s="2"/>
      </tp>
      <tp t="s">
        <v>#N/A Requesting Data...2629171535</v>
        <stp/>
        <stp>BDP|12330802282862011939</stp>
        <tr r="Q844" s="2"/>
      </tp>
      <tp t="s">
        <v>#N/A Requesting Data...2786791966</v>
        <stp/>
        <stp>BDP|14842982232413821481</stp>
        <tr r="Q1702" s="2"/>
      </tp>
      <tp t="s">
        <v>#N/A Requesting Data...2823780795</v>
        <stp/>
        <stp>BDP|10920318685726689495</stp>
        <tr r="Q1166" s="2"/>
      </tp>
      <tp t="s">
        <v>#N/A Requesting Data...3252287549</v>
        <stp/>
        <stp>BDP|18026278058987406193</stp>
        <tr r="R1381" s="2"/>
      </tp>
      <tp t="s">
        <v>#N/A Requesting Data...3240679230</v>
        <stp/>
        <stp>BDP|17006556049258617785</stp>
        <tr r="F1360" s="2"/>
      </tp>
      <tp t="s">
        <v>#N/A Requesting Data...3239852261</v>
        <stp/>
        <stp>BDP|12063235766526650913</stp>
        <tr r="S399" s="2"/>
      </tp>
      <tp t="s">
        <v>#N/A Requesting Data...3072006714</v>
        <stp/>
        <stp>BDP|10249211638130111882</stp>
        <tr r="P1345" s="2"/>
      </tp>
      <tp t="s">
        <v>#N/A Requesting Data...4026250161</v>
        <stp/>
        <stp>BDP|10174797439625177826</stp>
        <tr r="S1297" s="2"/>
      </tp>
      <tp t="s">
        <v>#N/A Requesting Data...3175112377</v>
        <stp/>
        <stp>BDP|11775158395456143648</stp>
        <tr r="M1191" s="2"/>
      </tp>
      <tp t="s">
        <v>#N/A Requesting Data...3539728046</v>
        <stp/>
        <stp>BDP|14430974367952314058</stp>
        <tr r="G2427" s="2"/>
      </tp>
      <tp t="s">
        <v>#N/A Requesting Data...3842605105</v>
        <stp/>
        <stp>BDP|16508498997217982505</stp>
        <tr r="T1864" s="2"/>
      </tp>
      <tp t="s">
        <v>#N/A Requesting Data...3507443784</v>
        <stp/>
        <stp>BDP|11507873251186771363</stp>
        <tr r="G174" s="2"/>
      </tp>
      <tp t="s">
        <v>#N/A Requesting Data...3356280594</v>
        <stp/>
        <stp>BDP|18388331225521134169</stp>
        <tr r="E1310" s="2"/>
      </tp>
      <tp t="s">
        <v>#N/A Requesting Data...3839626576</v>
        <stp/>
        <stp>BDP|17463776890672026212</stp>
        <tr r="N698" s="2"/>
      </tp>
      <tp t="s">
        <v>#N/A Requesting Data...3110851008</v>
        <stp/>
        <stp>BDP|18146840949468943572</stp>
        <tr r="O2151" s="2"/>
      </tp>
      <tp t="s">
        <v>#N/A Requesting Data...3693378783</v>
        <stp/>
        <stp>BDP|11470783389666530127</stp>
        <tr r="Q319" s="2"/>
      </tp>
      <tp t="s">
        <v>#N/A Requesting Data...3490246411</v>
        <stp/>
        <stp>BDP|13653721017345293938</stp>
        <tr r="P906" s="2"/>
      </tp>
      <tp t="s">
        <v>#N/A Requesting Data...3729590860</v>
        <stp/>
        <stp>BDP|13957385465576535930</stp>
        <tr r="P1516" s="2"/>
      </tp>
      <tp t="s">
        <v>#N/A Requesting Data...2576522657</v>
        <stp/>
        <stp>BDP|16670523456356251924</stp>
        <tr r="S1740" s="2"/>
      </tp>
      <tp t="b">
        <v>0</v>
        <stp/>
        <stp>BDS|14896619378749232522</stp>
        <tr r="I453" s="2"/>
      </tp>
      <tp t="s">
        <v>#N/A Requesting Data...2496640409</v>
        <stp/>
        <stp>BDP|18029572206696780248</stp>
        <tr r="J2063" s="2"/>
      </tp>
      <tp t="s">
        <v>#N/A Requesting Data...2506274995</v>
        <stp/>
        <stp>BDP|12340739930039296601</stp>
        <tr r="G2146" s="2"/>
      </tp>
      <tp t="s">
        <v>#N/A Requesting Data...3101474846</v>
        <stp/>
        <stp>BDP|12058304409478942024</stp>
        <tr r="S2096" s="2"/>
      </tp>
      <tp t="s">
        <v>#N/A Requesting Data...2916970931</v>
        <stp/>
        <stp>BDP|10222437162002919981</stp>
        <tr r="Q2313" s="2"/>
      </tp>
      <tp t="b">
        <v>0</v>
        <stp/>
        <stp>BDS|16978194854659633233</stp>
        <tr r="I1733" s="2"/>
      </tp>
      <tp t="s">
        <v>#N/A Requesting Data...3618573265</v>
        <stp/>
        <stp>BDP|12570067664678661535</stp>
        <tr r="G301" s="2"/>
      </tp>
      <tp t="s">
        <v>#N/A Requesting Data...2911008493</v>
        <stp/>
        <stp>BDP|10719060391602375214</stp>
        <tr r="Q615" s="2"/>
      </tp>
      <tp t="s">
        <v>#N/A Requesting Data...2599728896</v>
        <stp/>
        <stp>BDP|17088606480746696644</stp>
        <tr r="C948" s="2"/>
      </tp>
      <tp t="s">
        <v>#N/A Requesting Data...3993639247</v>
        <stp/>
        <stp>BDP|12418093180615880678</stp>
        <tr r="D2223" s="2"/>
      </tp>
      <tp t="s">
        <v>#N/A Requesting Data...3843648990</v>
        <stp/>
        <stp>BDP|16466097298272347443</stp>
        <tr r="A323" s="2"/>
      </tp>
      <tp t="s">
        <v>#N/A Requesting Data...3674229932</v>
        <stp/>
        <stp>BDP|17714710038262966851</stp>
        <tr r="H494" s="2"/>
      </tp>
      <tp t="s">
        <v>#N/A Requesting Data...2796504268</v>
        <stp/>
        <stp>BDP|17911545667159873406</stp>
        <tr r="J1797" s="2"/>
      </tp>
      <tp t="s">
        <v>#N/A Requesting Data...4074845325</v>
        <stp/>
        <stp>BDP|13652226165708531663</stp>
        <tr r="F2414" s="2"/>
      </tp>
      <tp t="s">
        <v>#N/A Requesting Data...2966128842</v>
        <stp/>
        <stp>BDP|16475840821273348605</stp>
        <tr r="O2255" s="2"/>
      </tp>
      <tp t="s">
        <v>#N/A Requesting Data...2896426084</v>
        <stp/>
        <stp>BDP|17212122015198006609</stp>
        <tr r="E948" s="2"/>
      </tp>
      <tp t="s">
        <v>#N/A Requesting Data...2695009773</v>
        <stp/>
        <stp>BDP|18200122306868389809</stp>
        <tr r="H2417" s="2"/>
      </tp>
      <tp t="s">
        <v>#N/A Requesting Data...3146692425</v>
        <stp/>
        <stp>BDP|15839789299685816746</stp>
        <tr r="Q1146" s="2"/>
      </tp>
      <tp t="s">
        <v>#N/A Requesting Data...3168356852</v>
        <stp/>
        <stp>BDP|11955285506418276208</stp>
        <tr r="R1531" s="2"/>
      </tp>
      <tp t="s">
        <v>#N/A Requesting Data...2679710728</v>
        <stp/>
        <stp>BDP|17046100655912056803</stp>
        <tr r="F100" s="2"/>
      </tp>
      <tp t="s">
        <v>#N/A Requesting Data...2534898621</v>
        <stp/>
        <stp>BDP|18237418737402560442</stp>
        <tr r="O152" s="2"/>
      </tp>
      <tp t="s">
        <v>#N/A Requesting Data...3303371296</v>
        <stp/>
        <stp>BDP|12574831217592403009</stp>
        <tr r="D2525" s="2"/>
      </tp>
      <tp t="s">
        <v>#N/A Requesting Data...2986070901</v>
        <stp/>
        <stp>BDP|11178647033878641556</stp>
        <tr r="G1577" s="2"/>
      </tp>
      <tp t="s">
        <v>#N/A Requesting Data...3412694521</v>
        <stp/>
        <stp>BDP|16450430192384492645</stp>
        <tr r="K788" s="2"/>
      </tp>
      <tp t="s">
        <v>#N/A Requesting Data...4249490202</v>
        <stp/>
        <stp>BDP|10900084137523025939</stp>
        <tr r="M1957" s="2"/>
      </tp>
      <tp t="s">
        <v>#N/A Requesting Data...2969241896</v>
        <stp/>
        <stp>BDP|18402094580888929114</stp>
        <tr r="F1166" s="2"/>
      </tp>
      <tp t="s">
        <v>#N/A Requesting Data...3748292046</v>
        <stp/>
        <stp>BDP|14244357527164595801</stp>
        <tr r="O2428" s="2"/>
      </tp>
      <tp t="s">
        <v>#N/A Requesting Data...3431418599</v>
        <stp/>
        <stp>BDP|14561047813148184461</stp>
        <tr r="O201" s="2"/>
      </tp>
      <tp t="s">
        <v>#N/A Requesting Data...4223017168</v>
        <stp/>
        <stp>BDP|10567349403522279854</stp>
        <tr r="E29" s="2"/>
      </tp>
      <tp t="s">
        <v>#N/A Requesting Data...2564192632</v>
        <stp/>
        <stp>BDP|14109275382814328326</stp>
        <tr r="Q2051" s="2"/>
      </tp>
      <tp t="s">
        <v>#N/A Requesting Data...2744524690</v>
        <stp/>
        <stp>BDP|12180604513184054870</stp>
        <tr r="F1300" s="2"/>
      </tp>
      <tp t="s">
        <v>#N/A Requesting Data...2989992151</v>
        <stp/>
        <stp>BDP|14438361874770784945</stp>
        <tr r="T633" s="2"/>
      </tp>
      <tp t="s">
        <v>#N/A Requesting Data...2820146983</v>
        <stp/>
        <stp>BDP|15391340112746308831</stp>
        <tr r="S993" s="2"/>
      </tp>
      <tp t="s">
        <v>#N/A Requesting Data...3676464702</v>
        <stp/>
        <stp>BDP|10258219612579067340</stp>
        <tr r="R2473" s="2"/>
      </tp>
      <tp t="s">
        <v>#N/A Requesting Data...3943217193</v>
        <stp/>
        <stp>BDP|11088476622378460644</stp>
        <tr r="C2173" s="2"/>
      </tp>
      <tp t="s">
        <v>#N/A Requesting Data...3931154980</v>
        <stp/>
        <stp>BDP|10826276642416861909</stp>
        <tr r="A181" s="2"/>
      </tp>
      <tp t="s">
        <v>#N/A Requesting Data...4187517991</v>
        <stp/>
        <stp>BDP|14499496986491919075</stp>
        <tr r="R1829" s="2"/>
      </tp>
      <tp t="s">
        <v>#N/A Requesting Data...3403250721</v>
        <stp/>
        <stp>BDP|14604528879518904713</stp>
        <tr r="G823" s="2"/>
      </tp>
      <tp t="s">
        <v>#N/A Requesting Data...2679902805</v>
        <stp/>
        <stp>BDP|10448540121269694721</stp>
        <tr r="E1461" s="2"/>
      </tp>
      <tp t="s">
        <v>#N/A Requesting Data...3794573033</v>
        <stp/>
        <stp>BDP|12559736898426896330</stp>
        <tr r="S679" s="2"/>
      </tp>
      <tp t="s">
        <v>#N/A Requesting Data...3289313144</v>
        <stp/>
        <stp>BDP|17174201361918633232</stp>
        <tr r="G1986" s="2"/>
      </tp>
      <tp t="s">
        <v>#N/A Requesting Data...4000514289</v>
        <stp/>
        <stp>BDP|16280054046139537210</stp>
        <tr r="R307" s="2"/>
      </tp>
      <tp t="s">
        <v>#N/A Requesting Data...3219100386</v>
        <stp/>
        <stp>BDP|13014935621918715902</stp>
        <tr r="Q1786" s="2"/>
      </tp>
      <tp t="s">
        <v>#N/A Requesting Data...2742199568</v>
        <stp/>
        <stp>BDP|11987236673268417583</stp>
        <tr r="O567" s="2"/>
      </tp>
      <tp t="s">
        <v>#N/A Requesting Data...3063406893</v>
        <stp/>
        <stp>BDP|15275455896362088347</stp>
        <tr r="K421" s="2"/>
      </tp>
      <tp t="s">
        <v>#N/A Requesting Data...3922078823</v>
        <stp/>
        <stp>BDP|11336617750459496237</stp>
        <tr r="R1419" s="2"/>
      </tp>
      <tp t="s">
        <v>#N/A Requesting Data...3994977701</v>
        <stp/>
        <stp>BDP|18215929197755253404</stp>
        <tr r="O1610" s="2"/>
      </tp>
      <tp t="s">
        <v>#N/A Requesting Data...3803304253</v>
        <stp/>
        <stp>BDP|13714055684983257115</stp>
        <tr r="M1189" s="2"/>
      </tp>
      <tp t="s">
        <v>#N/A Requesting Data...3328735044</v>
        <stp/>
        <stp>BDP|15525399691365168393</stp>
        <tr r="N1549" s="2"/>
      </tp>
      <tp t="s">
        <v>#N/A Requesting Data...2841475210</v>
        <stp/>
        <stp>BDP|12983883734606078607</stp>
        <tr r="O890" s="2"/>
      </tp>
      <tp t="s">
        <v>#N/A Requesting Data...4050970909</v>
        <stp/>
        <stp>BDP|14324903022670326678</stp>
        <tr r="E1897" s="2"/>
      </tp>
      <tp t="b">
        <v>0</v>
        <stp/>
        <stp>BDS|17172536784595108619</stp>
        <tr r="I1729" s="2"/>
      </tp>
      <tp t="s">
        <v>#N/A Requesting Data...2711330421</v>
        <stp/>
        <stp>BDP|12471806679606127298</stp>
        <tr r="H807" s="2"/>
      </tp>
      <tp t="s">
        <v>#N/A Requesting Data...3448431423</v>
        <stp/>
        <stp>BDP|15550461456604464949</stp>
        <tr r="N930" s="2"/>
      </tp>
      <tp t="s">
        <v>#N/A Requesting Data...3932094291</v>
        <stp/>
        <stp>BDP|14576901590558763579</stp>
        <tr r="F2465" s="2"/>
      </tp>
      <tp t="s">
        <v>#N/A Requesting Data...3585152396</v>
        <stp/>
        <stp>BDP|18350419748368741987</stp>
        <tr r="N1760" s="2"/>
      </tp>
      <tp t="s">
        <v>#N/A Requesting Data...4164187608</v>
        <stp/>
        <stp>BDP|15586172523408658728</stp>
        <tr r="A1050" s="2"/>
      </tp>
      <tp t="s">
        <v>#N/A Requesting Data...2935089327</v>
        <stp/>
        <stp>BDP|11950234954478274791</stp>
        <tr r="R56" s="2"/>
      </tp>
      <tp t="s">
        <v>#N/A Requesting Data...3638759325</v>
        <stp/>
        <stp>BDP|16775996958540672350</stp>
        <tr r="S1501" s="2"/>
      </tp>
      <tp t="s">
        <v>#N/A Requesting Data...3441347689</v>
        <stp/>
        <stp>BDP|13873887315200454344</stp>
        <tr r="O659" s="2"/>
      </tp>
      <tp t="s">
        <v>#N/A Requesting Data...4203727769</v>
        <stp/>
        <stp>BDP|15584183198004693061</stp>
        <tr r="D1866" s="2"/>
      </tp>
      <tp t="s">
        <v>#N/A Requesting Data...3186555706</v>
        <stp/>
        <stp>BDP|18322219575821603540</stp>
        <tr r="Q1758" s="2"/>
      </tp>
      <tp t="s">
        <v>#N/A Requesting Data...4217246110</v>
        <stp/>
        <stp>BDP|18257487626530177782</stp>
        <tr r="S617" s="2"/>
      </tp>
      <tp t="b">
        <v>0</v>
        <stp/>
        <stp>BDS|16509699397125914548</stp>
        <tr r="I223" s="2"/>
      </tp>
      <tp t="s">
        <v>#N/A Requesting Data...3270151144</v>
        <stp/>
        <stp>BDP|12628848605914674745</stp>
        <tr r="S301" s="2"/>
      </tp>
      <tp t="s">
        <v>#N/A Requesting Data...2919659244</v>
        <stp/>
        <stp>BDP|12414353805000916882</stp>
        <tr r="E468" s="2"/>
      </tp>
      <tp t="s">
        <v>#N/A Requesting Data...2741927720</v>
        <stp/>
        <stp>BDP|10067351346399078762</stp>
        <tr r="D1689" s="2"/>
      </tp>
      <tp t="s">
        <v>#N/A Requesting Data...4186692747</v>
        <stp/>
        <stp>BDP|10401721306448331667</stp>
        <tr r="M593" s="2"/>
      </tp>
      <tp t="s">
        <v>#N/A Requesting Data...3839829573</v>
        <stp/>
        <stp>BDP|15339955592479116503</stp>
        <tr r="C1758" s="2"/>
      </tp>
      <tp t="s">
        <v>#N/A Requesting Data...4077079625</v>
        <stp/>
        <stp>BDP|12204938111894450715</stp>
        <tr r="N440" s="2"/>
      </tp>
      <tp t="s">
        <v>#N/A Requesting Data...3167016666</v>
        <stp/>
        <stp>BDP|10252934803138136863</stp>
        <tr r="N1274" s="2"/>
      </tp>
      <tp t="s">
        <v>#N/A Requesting Data...2684199012</v>
        <stp/>
        <stp>BDP|13723164514158848283</stp>
        <tr r="K1645" s="2"/>
      </tp>
      <tp t="s">
        <v>#N/A Requesting Data...3469753420</v>
        <stp/>
        <stp>BDP|11557871311190058160</stp>
        <tr r="F2343" s="2"/>
      </tp>
      <tp t="s">
        <v>#N/A Requesting Data...4023471870</v>
        <stp/>
        <stp>BDP|17978727380474718595</stp>
        <tr r="J2456" s="2"/>
      </tp>
      <tp t="s">
        <v>#N/A Requesting Data...3798734932</v>
        <stp/>
        <stp>BDP|18044600910404669236</stp>
        <tr r="P1703" s="2"/>
      </tp>
      <tp t="s">
        <v>#N/A Requesting Data...2778554603</v>
        <stp/>
        <stp>BDP|17272069300536424859</stp>
        <tr r="K779" s="2"/>
      </tp>
      <tp t="s">
        <v>#N/A Requesting Data...3270136199</v>
        <stp/>
        <stp>BDP|15070163092151864593</stp>
        <tr r="S1533" s="2"/>
      </tp>
      <tp t="s">
        <v>#N/A Requesting Data...2822663855</v>
        <stp/>
        <stp>BDP|10900884272750608604</stp>
        <tr r="P57" s="2"/>
      </tp>
      <tp t="s">
        <v>#N/A Requesting Data...3931576570</v>
        <stp/>
        <stp>BDP|17241876887967446938</stp>
        <tr r="D1490" s="2"/>
      </tp>
      <tp t="s">
        <v>#N/A Requesting Data...4080359881</v>
        <stp/>
        <stp>BDP|11205840770131339605</stp>
        <tr r="F1230" s="2"/>
      </tp>
      <tp t="s">
        <v>#N/A Requesting Data...4180783660</v>
        <stp/>
        <stp>BDP|12092627666073605879</stp>
        <tr r="H1693" s="2"/>
      </tp>
      <tp t="s">
        <v>#N/A Requesting Data...3155092557</v>
        <stp/>
        <stp>BDP|17587856465643067309</stp>
        <tr r="K351" s="2"/>
      </tp>
      <tp t="s">
        <v>#N/A Requesting Data...2710206588</v>
        <stp/>
        <stp>BDP|15663906172017341523</stp>
        <tr r="A1049" s="2"/>
      </tp>
      <tp t="s">
        <v>#N/A Requesting Data...4202712716</v>
        <stp/>
        <stp>BDP|17676052019809693692</stp>
        <tr r="G2369" s="2"/>
      </tp>
      <tp t="s">
        <v>#N/A Requesting Data...3425581860</v>
        <stp/>
        <stp>BDP|18171127045516234210</stp>
        <tr r="O1061" s="2"/>
      </tp>
      <tp t="s">
        <v>#N/A Requesting Data...3438492277</v>
        <stp/>
        <stp>BDP|16297858761644323503</stp>
        <tr r="M1301" s="2"/>
      </tp>
      <tp t="s">
        <v>#N/A Requesting Data...3695356780</v>
        <stp/>
        <stp>BDP|17821979063547895611</stp>
        <tr r="E897" s="2"/>
      </tp>
      <tp t="s">
        <v>#N/A Requesting Data...3408767822</v>
        <stp/>
        <stp>BDP|10126941772456357114</stp>
        <tr r="Q770" s="2"/>
      </tp>
      <tp t="s">
        <v>#N/A Requesting Data...3197200204</v>
        <stp/>
        <stp>BDP|12705563182603248544</stp>
        <tr r="E1844" s="2"/>
      </tp>
      <tp t="s">
        <v>#N/A Requesting Data...3165161976</v>
        <stp/>
        <stp>BDP|17307493210653617891</stp>
        <tr r="M485" s="2"/>
      </tp>
      <tp t="s">
        <v>#N/A Requesting Data...3034082089</v>
        <stp/>
        <stp>BDP|14494620696024783624</stp>
        <tr r="K436" s="2"/>
      </tp>
      <tp t="s">
        <v>#N/A Requesting Data...4078709830</v>
        <stp/>
        <stp>BDP|11251792458009368355</stp>
        <tr r="N837" s="2"/>
      </tp>
      <tp t="s">
        <v>#N/A Requesting Data...3922637941</v>
        <stp/>
        <stp>BDP|16350990966105075597</stp>
        <tr r="E1837" s="2"/>
      </tp>
      <tp t="s">
        <v>#N/A Requesting Data...3885356485</v>
        <stp/>
        <stp>BDP|14718836431047923191</stp>
        <tr r="E2368" s="2"/>
      </tp>
      <tp t="s">
        <v>#N/A Requesting Data...3085797355</v>
        <stp/>
        <stp>BDP|12752129213918466377</stp>
        <tr r="M288" s="2"/>
      </tp>
      <tp t="s">
        <v>#N/A Requesting Data...3387087000</v>
        <stp/>
        <stp>BDP|18159222360617448221</stp>
        <tr r="F260" s="2"/>
      </tp>
      <tp t="b">
        <v>0</v>
        <stp/>
        <stp>BDS|12241797135046156992</stp>
        <tr r="I604" s="2"/>
      </tp>
      <tp t="s">
        <v>#N/A Requesting Data...4249634698</v>
        <stp/>
        <stp>BDP|18188461355379533932</stp>
        <tr r="M1745" s="2"/>
      </tp>
      <tp t="s">
        <v>#N/A Requesting Data...3699269284</v>
        <stp/>
        <stp>BDP|14604513163166886881</stp>
        <tr r="N998" s="2"/>
      </tp>
      <tp t="s">
        <v>#N/A Requesting Data...3052461944</v>
        <stp/>
        <stp>BDP|16958738109759298158</stp>
        <tr r="N2186" s="2"/>
      </tp>
      <tp t="s">
        <v>#N/A Requesting Data...3611268715</v>
        <stp/>
        <stp>BDP|10127028778578625696</stp>
        <tr r="M2062" s="2"/>
      </tp>
      <tp t="s">
        <v>#N/A Requesting Data...4219610782</v>
        <stp/>
        <stp>BDP|11857268998025564671</stp>
        <tr r="D1143" s="2"/>
      </tp>
      <tp t="s">
        <v>#N/A Requesting Data...3759405185</v>
        <stp/>
        <stp>BDP|10630126592488226909</stp>
        <tr r="N835" s="2"/>
      </tp>
      <tp t="s">
        <v>#N/A Requesting Data...3777579756</v>
        <stp/>
        <stp>BDP|11050422046678632068</stp>
        <tr r="N149" s="2"/>
      </tp>
      <tp t="s">
        <v>#N/A Requesting Data...3795268361</v>
        <stp/>
        <stp>BDP|17949779927093948843</stp>
        <tr r="G1148" s="2"/>
      </tp>
      <tp t="s">
        <v>#N/A Requesting Data...3378745316</v>
        <stp/>
        <stp>BDP|16999192561851399960</stp>
        <tr r="J2064" s="2"/>
      </tp>
      <tp t="s">
        <v>#N/A Requesting Data...3631187002</v>
        <stp/>
        <stp>BDP|10084733850668639314</stp>
        <tr r="Q1834" s="2"/>
      </tp>
      <tp t="s">
        <v>#N/A Requesting Data...3487950191</v>
        <stp/>
        <stp>BDP|11893855560463130582</stp>
        <tr r="R1877" s="2"/>
      </tp>
      <tp t="s">
        <v>#N/A Requesting Data...3761578146</v>
        <stp/>
        <stp>BDP|13057773359730397891</stp>
        <tr r="H1572" s="2"/>
      </tp>
      <tp t="s">
        <v>#N/A Requesting Data...4284872415</v>
        <stp/>
        <stp>BDP|14970369409767131933</stp>
        <tr r="F1232" s="2"/>
      </tp>
      <tp t="s">
        <v>#N/A Requesting Data...3416782054</v>
        <stp/>
        <stp>BDP|17496264982512721632</stp>
        <tr r="C139" s="2"/>
      </tp>
      <tp t="s">
        <v>#N/A Requesting Data...2920166318</v>
        <stp/>
        <stp>BDP|15697098852000984901</stp>
        <tr r="E1432" s="2"/>
      </tp>
      <tp t="s">
        <v>#N/A Requesting Data...2906260078</v>
        <stp/>
        <stp>BDP|11239396738998073073</stp>
        <tr r="R1553" s="2"/>
      </tp>
      <tp t="s">
        <v>#N/A Requesting Data...3280891021</v>
        <stp/>
        <stp>BDP|15146128591010605404</stp>
        <tr r="R1085" s="2"/>
      </tp>
      <tp t="s">
        <v>#N/A Requesting Data...3676650556</v>
        <stp/>
        <stp>BDP|12922921321117931779</stp>
        <tr r="M509" s="2"/>
      </tp>
      <tp t="s">
        <v>#N/A Requesting Data...3826963465</v>
        <stp/>
        <stp>BDP|10457867351752741609</stp>
        <tr r="R224" s="2"/>
      </tp>
      <tp t="s">
        <v>#N/A Requesting Data...2892160578</v>
        <stp/>
        <stp>BDP|13555501407798743718</stp>
        <tr r="O2354" s="2"/>
      </tp>
      <tp t="s">
        <v>#N/A Requesting Data...4024140646</v>
        <stp/>
        <stp>BDP|17734887108863379504</stp>
        <tr r="G1515" s="2"/>
      </tp>
      <tp t="s">
        <v>#N/A Requesting Data...3886762949</v>
        <stp/>
        <stp>BDP|16671660435369284333</stp>
        <tr r="K325" s="2"/>
      </tp>
      <tp t="s">
        <v>#N/A Requesting Data...3954840985</v>
        <stp/>
        <stp>BDP|16822578088727466574</stp>
        <tr r="A816" s="2"/>
      </tp>
      <tp t="b">
        <v>0</v>
        <stp/>
        <stp>BDS|11025378106499751215</stp>
        <tr r="I2378" s="2"/>
      </tp>
      <tp t="s">
        <v>#N/A Requesting Data...3176553512</v>
        <stp/>
        <stp>BDP|17924274991024897131</stp>
        <tr r="J1389" s="2"/>
      </tp>
      <tp t="b">
        <v>0</v>
        <stp/>
        <stp>BDS|14376813735932340437</stp>
        <tr r="I1029" s="2"/>
      </tp>
      <tp t="s">
        <v>#N/A Requesting Data...3102574943</v>
        <stp/>
        <stp>BDP|17097910577173548371</stp>
        <tr r="S411" s="2"/>
      </tp>
      <tp t="s">
        <v>#N/A Requesting Data...4103745985</v>
        <stp/>
        <stp>BDP|10285350898065202695</stp>
        <tr r="K1830" s="2"/>
      </tp>
      <tp t="s">
        <v>#N/A Requesting Data...3513591353</v>
        <stp/>
        <stp>BDP|15515055926419644749</stp>
        <tr r="M1720" s="2"/>
      </tp>
      <tp t="s">
        <v>#N/A Requesting Data...4192755347</v>
        <stp/>
        <stp>BDP|13085572786743383468</stp>
        <tr r="H1024" s="2"/>
      </tp>
      <tp t="s">
        <v>#N/A Requesting Data...3495074596</v>
        <stp/>
        <stp>BDP|17266379494660643430</stp>
        <tr r="G648" s="2"/>
      </tp>
      <tp t="s">
        <v>#N/A Requesting Data...3867023276</v>
        <stp/>
        <stp>BDP|18400821362866055901</stp>
        <tr r="M496" s="2"/>
      </tp>
      <tp t="s">
        <v>#N/A Requesting Data...3262219356</v>
        <stp/>
        <stp>BDP|17113418717912046939</stp>
        <tr r="M2400" s="2"/>
      </tp>
      <tp t="s">
        <v>#N/A Requesting Data...3585762680</v>
        <stp/>
        <stp>BDP|17553319897651752503</stp>
        <tr r="N383" s="2"/>
      </tp>
      <tp t="s">
        <v>#N/A Requesting Data...3898606120</v>
        <stp/>
        <stp>BDP|12223364682244615449</stp>
        <tr r="R168" s="2"/>
      </tp>
      <tp t="s">
        <v>#N/A Requesting Data...3479835767</v>
        <stp/>
        <stp>BDP|11017540036208490626</stp>
        <tr r="O2196" s="2"/>
      </tp>
      <tp t="s">
        <v>#N/A Requesting Data...3688027810</v>
        <stp/>
        <stp>BDP|17652126595965432315</stp>
        <tr r="A42" s="2"/>
      </tp>
      <tp t="s">
        <v>#N/A Requesting Data...4218135261</v>
        <stp/>
        <stp>BDP|10042493250618813053</stp>
        <tr r="C2514" s="2"/>
      </tp>
      <tp t="s">
        <v>#N/A Requesting Data...3273193691</v>
        <stp/>
        <stp>BDP|18283881445724857938</stp>
        <tr r="P1013" s="2"/>
      </tp>
      <tp t="s">
        <v>#N/A Requesting Data...3120957330</v>
        <stp/>
        <stp>BDP|16341247684983403638</stp>
        <tr r="O1883" s="2"/>
      </tp>
      <tp t="s">
        <v>#N/A Requesting Data...3074983955</v>
        <stp/>
        <stp>BDP|16662728370867433847</stp>
        <tr r="J1692" s="2"/>
      </tp>
      <tp t="s">
        <v>#N/A Requesting Data...3079627775</v>
        <stp/>
        <stp>BDP|17882381472483188977</stp>
        <tr r="G322" s="2"/>
      </tp>
      <tp t="s">
        <v>#N/A Requesting Data...3558059518</v>
        <stp/>
        <stp>BDP|15463452147459635541</stp>
        <tr r="O973" s="2"/>
      </tp>
      <tp t="s">
        <v>#N/A Requesting Data...3214544960</v>
        <stp/>
        <stp>BDP|14619950365717167531</stp>
        <tr r="C653" s="2"/>
      </tp>
      <tp t="s">
        <v>#N/A Requesting Data...3391066815</v>
        <stp/>
        <stp>BDP|15965701289460152357</stp>
        <tr r="S1893" s="2"/>
      </tp>
      <tp t="s">
        <v>#N/A Requesting Data...3968443568</v>
        <stp/>
        <stp>BDP|11589776487655594241</stp>
        <tr r="D1320" s="2"/>
      </tp>
      <tp t="s">
        <v>#N/A Requesting Data...3591684134</v>
        <stp/>
        <stp>BDP|12638910472236246335</stp>
        <tr r="F540" s="2"/>
      </tp>
      <tp t="s">
        <v>#N/A Requesting Data...4200843772</v>
        <stp/>
        <stp>BDP|15352134025297942887</stp>
        <tr r="C1922" s="2"/>
      </tp>
      <tp t="s">
        <v>#N/A Requesting Data...2872880278</v>
        <stp/>
        <stp>BDP|10813744616348879761</stp>
        <tr r="J2207" s="2"/>
      </tp>
      <tp t="s">
        <v>#N/A Requesting Data...2858630486</v>
        <stp/>
        <stp>BDP|12919307383077635785</stp>
        <tr r="S1019" s="2"/>
      </tp>
      <tp t="s">
        <v>#N/A Requesting Data...4207890709</v>
        <stp/>
        <stp>BDP|15257968577366081476</stp>
        <tr r="T1343" s="2"/>
      </tp>
      <tp t="s">
        <v>#N/A Requesting Data...3246103372</v>
        <stp/>
        <stp>BDP|12043015132478103065</stp>
        <tr r="J857" s="2"/>
      </tp>
      <tp t="s">
        <v>#N/A Requesting Data...4104600237</v>
        <stp/>
        <stp>BDP|13761123064554037953</stp>
        <tr r="H2031" s="2"/>
      </tp>
      <tp t="s">
        <v>#N/A Requesting Data...3659744455</v>
        <stp/>
        <stp>BDP|15428758395541803388</stp>
        <tr r="K545" s="2"/>
      </tp>
      <tp t="s">
        <v>#N/A Requesting Data...4118928446</v>
        <stp/>
        <stp>BDP|11470642872538261141</stp>
        <tr r="A2371" s="2"/>
      </tp>
      <tp t="s">
        <v>#N/A Requesting Data...3034891504</v>
        <stp/>
        <stp>BDP|14005846635530204674</stp>
        <tr r="G2420" s="2"/>
      </tp>
      <tp t="s">
        <v>#N/A Requesting Data...4139825920</v>
        <stp/>
        <stp>BDP|15866667764125703997</stp>
        <tr r="H1213" s="2"/>
      </tp>
      <tp t="s">
        <v>#N/A Requesting Data...3032447878</v>
        <stp/>
        <stp>BDP|18002455520473622474</stp>
        <tr r="T2042" s="2"/>
      </tp>
      <tp t="s">
        <v>#N/A Requesting Data...3786927529</v>
        <stp/>
        <stp>BDP|11021597966269233292</stp>
        <tr r="M2019" s="2"/>
      </tp>
      <tp t="b">
        <v>0</v>
        <stp/>
        <stp>BDS|13633543874579150106</stp>
        <tr r="I1431" s="2"/>
      </tp>
      <tp t="s">
        <v>#N/A Requesting Data...4215953856</v>
        <stp/>
        <stp>BDP|17189784502129627099</stp>
        <tr r="P1676" s="2"/>
      </tp>
      <tp t="s">
        <v>#N/A Requesting Data...3679021761</v>
        <stp/>
        <stp>BDP|14916097755300979884</stp>
        <tr r="M674" s="2"/>
      </tp>
      <tp t="s">
        <v>#N/A Requesting Data...3804084871</v>
        <stp/>
        <stp>BDP|11026003126192519877</stp>
        <tr r="S1669" s="2"/>
      </tp>
      <tp t="s">
        <v>#N/A Requesting Data...3155466251</v>
        <stp/>
        <stp>BDP|13075010506773256913</stp>
        <tr r="A1385" s="2"/>
      </tp>
      <tp t="s">
        <v>#N/A Requesting Data...4105593423</v>
        <stp/>
        <stp>BDP|13828654005719908557</stp>
        <tr r="J1794" s="2"/>
      </tp>
      <tp t="s">
        <v>#N/A Requesting Data...2885969193</v>
        <stp/>
        <stp>BDP|15424497633413202887</stp>
        <tr r="P828" s="2"/>
      </tp>
      <tp t="s">
        <v>#N/A Requesting Data...4143647505</v>
        <stp/>
        <stp>BDP|14773449089909723893</stp>
        <tr r="H107" s="2"/>
      </tp>
      <tp t="s">
        <v>#N/A Requesting Data...3361596933</v>
        <stp/>
        <stp>BDP|14951644938660002812</stp>
        <tr r="O1329" s="2"/>
      </tp>
      <tp t="s">
        <v>#N/A Requesting Data...3719533898</v>
        <stp/>
        <stp>BDP|18240081035742318086</stp>
        <tr r="T1503" s="2"/>
      </tp>
      <tp t="s">
        <v>#N/A Requesting Data...2921220318</v>
        <stp/>
        <stp>BDP|10182423986883369620</stp>
        <tr r="H506" s="2"/>
      </tp>
      <tp t="s">
        <v>#N/A Requesting Data...4140243245</v>
        <stp/>
        <stp>BDP|10015564406258335471</stp>
        <tr r="R1548" s="2"/>
      </tp>
      <tp t="s">
        <v>#N/A Requesting Data...3261023612</v>
        <stp/>
        <stp>BDP|13685767585300302529</stp>
        <tr r="M1894" s="2"/>
      </tp>
      <tp t="s">
        <v>#N/A Requesting Data...4219611669</v>
        <stp/>
        <stp>BDP|14586978400881398554</stp>
        <tr r="C1495" s="2"/>
      </tp>
      <tp t="s">
        <v>#N/A Requesting Data...3703129958</v>
        <stp/>
        <stp>BDP|12670510900046770844</stp>
        <tr r="A514" s="2"/>
      </tp>
      <tp t="s">
        <v>#N/A Requesting Data...3646189365</v>
        <stp/>
        <stp>BDP|17563714220478448346</stp>
        <tr r="T1048" s="2"/>
      </tp>
      <tp t="b">
        <v>0</v>
        <stp/>
        <stp>BDS|17370765356005127954</stp>
        <tr r="I1868" s="2"/>
      </tp>
      <tp t="s">
        <v>#N/A Requesting Data...3390035959</v>
        <stp/>
        <stp>BDP|13118406672399040074</stp>
        <tr r="P2122" s="2"/>
      </tp>
      <tp t="s">
        <v>#N/A Requesting Data...3078690444</v>
        <stp/>
        <stp>BDP|15026284280567855142</stp>
        <tr r="R219" s="2"/>
      </tp>
      <tp t="s">
        <v>#N/A Requesting Data...3852477514</v>
        <stp/>
        <stp>BDP|15044515223623015862</stp>
        <tr r="F796" s="2"/>
      </tp>
      <tp t="s">
        <v>#N/A Requesting Data...3110785883</v>
        <stp/>
        <stp>BDP|16194351436327117841</stp>
        <tr r="C1017" s="2"/>
      </tp>
      <tp t="s">
        <v>#N/A Requesting Data...3576933692</v>
        <stp/>
        <stp>BDP|16744929537775073056</stp>
        <tr r="K9" s="2"/>
      </tp>
      <tp t="s">
        <v>#N/A Requesting Data...3567081563</v>
        <stp/>
        <stp>BDP|14055220660940768920</stp>
        <tr r="K2117" s="2"/>
      </tp>
      <tp t="s">
        <v>#N/A Requesting Data...3620958843</v>
        <stp/>
        <stp>BDP|10118481381441786486</stp>
        <tr r="R495" s="2"/>
      </tp>
      <tp t="s">
        <v>#N/A Requesting Data...4121676373</v>
        <stp/>
        <stp>BDP|14174200732224485807</stp>
        <tr r="K288" s="2"/>
      </tp>
      <tp t="b">
        <v>0</v>
        <stp/>
        <stp>BDS|10024803310919736931</stp>
        <tr r="I1057" s="2"/>
      </tp>
      <tp t="s">
        <v>#N/A Requesting Data...4031145076</v>
        <stp/>
        <stp>BDP|10704640382702094564</stp>
        <tr r="N1277" s="2"/>
      </tp>
      <tp t="s">
        <v>#N/A Requesting Data...3743345408</v>
        <stp/>
        <stp>BDP|16881990292396603922</stp>
        <tr r="D2037" s="2"/>
      </tp>
      <tp t="s">
        <v>#N/A Requesting Data...3469472480</v>
        <stp/>
        <stp>BDP|16658428224129612014</stp>
        <tr r="E72" s="2"/>
      </tp>
      <tp t="s">
        <v>#N/A Requesting Data...3136487310</v>
        <stp/>
        <stp>BDP|10470747242858197248</stp>
        <tr r="A916" s="2"/>
      </tp>
      <tp t="s">
        <v>#N/A Requesting Data...3030539424</v>
        <stp/>
        <stp>BDP|13559815170823317601</stp>
        <tr r="G2007" s="2"/>
      </tp>
      <tp t="b">
        <v>0</v>
        <stp/>
        <stp>BDS|11063023051284790906</stp>
        <tr r="I940" s="2"/>
      </tp>
      <tp t="s">
        <v>#N/A Requesting Data...4167961959</v>
        <stp/>
        <stp>BDP|12008638936206655847</stp>
        <tr r="M1169" s="2"/>
      </tp>
      <tp t="s">
        <v>#N/A Requesting Data...3985220488</v>
        <stp/>
        <stp>BDP|14277448687347471623</stp>
        <tr r="J174" s="2"/>
      </tp>
      <tp t="s">
        <v>#N/A Requesting Data...3113863420</v>
        <stp/>
        <stp>BDP|10223413268973539894</stp>
        <tr r="O1271" s="2"/>
      </tp>
      <tp t="s">
        <v>#N/A Requesting Data...4150077637</v>
        <stp/>
        <stp>BDP|10218599793216734386</stp>
        <tr r="G1065" s="2"/>
      </tp>
      <tp t="s">
        <v>#N/A Requesting Data...3550056259</v>
        <stp/>
        <stp>BDP|11754707584800744731</stp>
        <tr r="T825" s="2"/>
      </tp>
      <tp t="s">
        <v>#N/A Requesting Data...4189516825</v>
        <stp/>
        <stp>BDP|10988310084994382686</stp>
        <tr r="F1387" s="2"/>
      </tp>
      <tp t="b">
        <v>0</v>
        <stp/>
        <stp>BDS|12484681538116975891</stp>
        <tr r="I892" s="2"/>
      </tp>
      <tp t="s">
        <v>#N/A Requesting Data...4275408375</v>
        <stp/>
        <stp>BDP|12459014232978658063</stp>
        <tr r="A1473" s="2"/>
      </tp>
      <tp t="s">
        <v>#N/A Requesting Data...3258847406</v>
        <stp/>
        <stp>BDP|17166874585736791832</stp>
        <tr r="E2148" s="2"/>
      </tp>
      <tp t="s">
        <v>#N/A Requesting Data...3637976840</v>
        <stp/>
        <stp>BDP|11096724495312100410</stp>
        <tr r="D369" s="2"/>
      </tp>
      <tp t="b">
        <v>0</v>
        <stp/>
        <stp>BDS|13247965277640739409</stp>
        <tr r="I1655" s="2"/>
      </tp>
      <tp t="s">
        <v>#N/A Requesting Data...3052483393</v>
        <stp/>
        <stp>BDP|13994562719088768660</stp>
        <tr r="N2081" s="2"/>
      </tp>
      <tp t="s">
        <v>#N/A Requesting Data...3330212819</v>
        <stp/>
        <stp>BDP|11897211881504866677</stp>
        <tr r="F1837" s="2"/>
      </tp>
      <tp t="s">
        <v>#N/A Requesting Data...3452671352</v>
        <stp/>
        <stp>BDP|17399274926716209876</stp>
        <tr r="R1668" s="2"/>
      </tp>
      <tp t="s">
        <v>#N/A Requesting Data...3995292741</v>
        <stp/>
        <stp>BDP|14358842823887643057</stp>
        <tr r="F2517" s="2"/>
      </tp>
      <tp t="s">
        <v>#N/A Requesting Data...3460620591</v>
        <stp/>
        <stp>BDP|16283163626474717822</stp>
        <tr r="E991" s="2"/>
      </tp>
      <tp t="s">
        <v>#N/A Requesting Data...3475754111</v>
        <stp/>
        <stp>BDP|17450783105020697983</stp>
        <tr r="Q1700" s="2"/>
      </tp>
      <tp t="b">
        <v>0</v>
        <stp/>
        <stp>BDS|16446262142168235168</stp>
        <tr r="I354" s="2"/>
      </tp>
      <tp t="s">
        <v>#N/A Requesting Data...4026147458</v>
        <stp/>
        <stp>BDP|15904877477863949078</stp>
        <tr r="P745" s="2"/>
      </tp>
      <tp t="s">
        <v>#N/A Requesting Data...4095261806</v>
        <stp/>
        <stp>BDP|14346406824022692968</stp>
        <tr r="S1904" s="2"/>
      </tp>
      <tp t="s">
        <v>#N/A Requesting Data...3657197203</v>
        <stp/>
        <stp>BDP|17634128993804463246</stp>
        <tr r="F2493" s="2"/>
      </tp>
      <tp t="s">
        <v>#N/A Requesting Data...3374829980</v>
        <stp/>
        <stp>BDP|15086679853256293919</stp>
        <tr r="T2471" s="2"/>
      </tp>
      <tp t="s">
        <v>#N/A Requesting Data...4119191279</v>
        <stp/>
        <stp>BDP|14105871131085009302</stp>
        <tr r="Q2394" s="2"/>
      </tp>
      <tp t="s">
        <v>#N/A Requesting Data...4046874124</v>
        <stp/>
        <stp>BDP|17032044189715316392</stp>
        <tr r="R2104" s="2"/>
      </tp>
      <tp t="s">
        <v>#N/A Requesting Data...4196950277</v>
        <stp/>
        <stp>BDP|10786200880107389432</stp>
        <tr r="E66" s="2"/>
      </tp>
      <tp t="s">
        <v>#N/A Requesting Data...3484737229</v>
        <stp/>
        <stp>BDP|14455522375526703931</stp>
        <tr r="H1705" s="2"/>
      </tp>
      <tp t="s">
        <v>#N/A Requesting Data...3269803076</v>
        <stp/>
        <stp>BDP|15557789166164970959</stp>
        <tr r="C2187" s="2"/>
      </tp>
      <tp t="s">
        <v>#N/A Requesting Data...3751315291</v>
        <stp/>
        <stp>BDP|16815872348735046603</stp>
        <tr r="E274" s="2"/>
      </tp>
      <tp t="s">
        <v>#N/A Requesting Data...3588200092</v>
        <stp/>
        <stp>BDP|18408219910172698043</stp>
        <tr r="J822" s="2"/>
      </tp>
      <tp t="s">
        <v>#N/A Requesting Data...3868233894</v>
        <stp/>
        <stp>BDP|13549517191144434263</stp>
        <tr r="K1807" s="2"/>
      </tp>
      <tp t="s">
        <v>#N/A Requesting Data...3558596257</v>
        <stp/>
        <stp>BDP|10028161240199947584</stp>
        <tr r="Q866" s="2"/>
      </tp>
      <tp t="s">
        <v>#N/A Requesting Data...3669133954</v>
        <stp/>
        <stp>BDP|13535048194214532778</stp>
        <tr r="M1840" s="2"/>
      </tp>
      <tp t="s">
        <v>#N/A Requesting Data...4229577635</v>
        <stp/>
        <stp>BDP|15784087681213994706</stp>
        <tr r="T1430" s="2"/>
      </tp>
      <tp t="s">
        <v>#N/A Requesting Data...3809342723</v>
        <stp/>
        <stp>BDP|13264917734378404840</stp>
        <tr r="K309" s="2"/>
      </tp>
      <tp t="s">
        <v>#N/A Requesting Data...3079206019</v>
        <stp/>
        <stp>BDP|13657150093902777009</stp>
        <tr r="E1363" s="2"/>
      </tp>
      <tp t="s">
        <v>#N/A Requesting Data...3830554465</v>
        <stp/>
        <stp>BDP|10212548244551388965</stp>
        <tr r="Q2263" s="2"/>
      </tp>
      <tp t="s">
        <v>#N/A Requesting Data...4179180702</v>
        <stp/>
        <stp>BDP|13229265576509730620</stp>
        <tr r="J417" s="2"/>
      </tp>
      <tp t="s">
        <v>#N/A Requesting Data...4250901882</v>
        <stp/>
        <stp>BDP|14850821204113106684</stp>
        <tr r="G88" s="2"/>
      </tp>
      <tp t="s">
        <v>#N/A Requesting Data...3398237474</v>
        <stp/>
        <stp>BDP|18151423032434555236</stp>
        <tr r="H2073" s="2"/>
      </tp>
      <tp t="s">
        <v>#N/A Requesting Data...3537951685</v>
        <stp/>
        <stp>BDP|12506565784443775577</stp>
        <tr r="Q900" s="2"/>
      </tp>
      <tp t="s">
        <v>#N/A Requesting Data...3765824862</v>
        <stp/>
        <stp>BDP|10218420220337154867</stp>
        <tr r="R2170" s="2"/>
      </tp>
      <tp t="s">
        <v>#N/A Requesting Data...4137408011</v>
        <stp/>
        <stp>BDP|16192181656483141898</stp>
        <tr r="O815" s="2"/>
      </tp>
      <tp t="s">
        <v>#N/A Requesting Data...4029719670</v>
        <stp/>
        <stp>BDP|15733112177153528932</stp>
        <tr r="E2164" s="2"/>
      </tp>
      <tp t="s">
        <v>#N/A Requesting Data...3109383675</v>
        <stp/>
        <stp>BDP|12883890339896977667</stp>
        <tr r="T996" s="2"/>
      </tp>
      <tp t="s">
        <v>#N/A Requesting Data...3908507893</v>
        <stp/>
        <stp>BDP|11582563277808569265</stp>
        <tr r="R797" s="2"/>
      </tp>
      <tp t="s">
        <v>#N/A Requesting Data...3348923054</v>
        <stp/>
        <stp>BDP|14615484708329168000</stp>
        <tr r="P1343" s="2"/>
      </tp>
      <tp t="s">
        <v>#N/A Requesting Data...4281086951</v>
        <stp/>
        <stp>BDP|16595599982205866714</stp>
        <tr r="P850" s="2"/>
      </tp>
      <tp t="s">
        <v>#N/A Requesting Data...3704549820</v>
        <stp/>
        <stp>BDP|15996563092757882725</stp>
        <tr r="T1685" s="2"/>
      </tp>
      <tp t="s">
        <v>#N/A Requesting Data...3298742119</v>
        <stp/>
        <stp>BDP|14721632430821207918</stp>
        <tr r="F2256" s="2"/>
      </tp>
      <tp t="s">
        <v>#N/A Requesting Data...4070919721</v>
        <stp/>
        <stp>BDP|11370718014397936988</stp>
        <tr r="K1674" s="2"/>
      </tp>
      <tp t="s">
        <v>#N/A Requesting Data...3199409486</v>
        <stp/>
        <stp>BDP|11672847877577728050</stp>
        <tr r="Q1703" s="2"/>
      </tp>
      <tp t="s">
        <v>#N/A Requesting Data...3091566955</v>
        <stp/>
        <stp>BDP|13430751090823342759</stp>
        <tr r="S1407" s="2"/>
      </tp>
      <tp t="s">
        <v>#N/A Requesting Data...3649654999</v>
        <stp/>
        <stp>BDP|16536591587461555394</stp>
        <tr r="P213" s="2"/>
      </tp>
      <tp t="s">
        <v>#N/A Requesting Data...3753036748</v>
        <stp/>
        <stp>BDP|10546495649760145935</stp>
        <tr r="S1988" s="2"/>
      </tp>
      <tp t="s">
        <v>#N/A Requesting Data...3636795122</v>
        <stp/>
        <stp>BDP|14553020424429578610</stp>
        <tr r="M98" s="2"/>
      </tp>
      <tp t="s">
        <v>#N/A Requesting Data...3740836684</v>
        <stp/>
        <stp>BDP|17745187809309412657</stp>
        <tr r="O2337" s="2"/>
      </tp>
      <tp t="s">
        <v>#N/A Requesting Data...3819827879</v>
        <stp/>
        <stp>BDP|15810593029892680994</stp>
        <tr r="F1102" s="2"/>
      </tp>
      <tp t="s">
        <v>#N/A Requesting Data...3360281884</v>
        <stp/>
        <stp>BDP|12744950607610638247</stp>
        <tr r="A2492" s="2"/>
      </tp>
      <tp t="s">
        <v>#N/A Requesting Data...3796393551</v>
        <stp/>
        <stp>BDP|15258610733078702103</stp>
        <tr r="J1164" s="2"/>
      </tp>
      <tp t="s">
        <v>#N/A Requesting Data...3530080129</v>
        <stp/>
        <stp>BDP|13114225064686238827</stp>
        <tr r="N814" s="2"/>
      </tp>
      <tp t="s">
        <v>#N/A Requesting Data...3198839024</v>
        <stp/>
        <stp>BDP|10707754117677246800</stp>
        <tr r="A2380" s="2"/>
      </tp>
      <tp t="s">
        <v>#N/A Requesting Data...3660840210</v>
        <stp/>
        <stp>BDP|11882368358028205636</stp>
        <tr r="T320" s="2"/>
      </tp>
      <tp t="s">
        <v>#N/A Requesting Data...3260263525</v>
        <stp/>
        <stp>BDP|14274433815789272112</stp>
        <tr r="J2427" s="2"/>
      </tp>
      <tp t="s">
        <v>#N/A Requesting Data...4260736423</v>
        <stp/>
        <stp>BDP|14720011961708700371</stp>
        <tr r="F2082" s="2"/>
      </tp>
      <tp t="s">
        <v>#N/A Requesting Data...3181586081</v>
        <stp/>
        <stp>BDP|14912010791267838365</stp>
        <tr r="N1790" s="2"/>
      </tp>
      <tp t="s">
        <v>#N/A Requesting Data...4279534243</v>
        <stp/>
        <stp>BDP|16060366285764331071</stp>
        <tr r="K1212" s="2"/>
      </tp>
      <tp t="s">
        <v>#N/A Requesting Data...3596418785</v>
        <stp/>
        <stp>BDP|16114966581309084719</stp>
        <tr r="A765" s="2"/>
      </tp>
      <tp t="s">
        <v>#N/A Requesting Data...3145927825</v>
        <stp/>
        <stp>BDP|12572415694517712103</stp>
        <tr r="K497" s="2"/>
      </tp>
      <tp t="s">
        <v>#N/A Requesting Data...3831965580</v>
        <stp/>
        <stp>BDP|16233561361588729450</stp>
        <tr r="E2520" s="2"/>
      </tp>
      <tp t="s">
        <v>#N/A Requesting Data...3287548050</v>
        <stp/>
        <stp>BDP|15710133383072218727</stp>
        <tr r="C2473" s="2"/>
      </tp>
      <tp t="s">
        <v>#N/A Requesting Data...3738149293</v>
        <stp/>
        <stp>BDP|17123821567182050233</stp>
        <tr r="N1027" s="2"/>
      </tp>
      <tp t="s">
        <v>#N/A Requesting Data...3564424357</v>
        <stp/>
        <stp>BDP|15716130747389162050</stp>
        <tr r="M1856" s="2"/>
      </tp>
      <tp t="s">
        <v>#N/A Requesting Data...4184930980</v>
        <stp/>
        <stp>BDP|17396097233888749596</stp>
        <tr r="F2325" s="2"/>
      </tp>
      <tp t="s">
        <v>#N/A Requesting Data...3220668641</v>
        <stp/>
        <stp>BDP|13607118159776895812</stp>
        <tr r="J181" s="2"/>
      </tp>
      <tp t="s">
        <v>#N/A Requesting Data...3829287622</v>
        <stp/>
        <stp>BDP|15560855275616087529</stp>
        <tr r="Q535" s="2"/>
      </tp>
      <tp t="s">
        <v>#N/A Requesting Data...4090999188</v>
        <stp/>
        <stp>BDP|13199257234858549326</stp>
        <tr r="E2106" s="2"/>
      </tp>
      <tp t="s">
        <v>#N/A Requesting Data...3254879225</v>
        <stp/>
        <stp>BDP|18133227054124693268</stp>
        <tr r="O816" s="2"/>
      </tp>
      <tp t="s">
        <v>#N/A Requesting Data...3979582928</v>
        <stp/>
        <stp>BDP|10081025835752300821</stp>
        <tr r="H386" s="2"/>
      </tp>
      <tp t="s">
        <v>#N/A Requesting Data...3501671453</v>
        <stp/>
        <stp>BDP|16796404545348738736</stp>
        <tr r="H1125" s="2"/>
      </tp>
      <tp t="s">
        <v>#N/A Requesting Data...3956170061</v>
        <stp/>
        <stp>BDP|11199142486867391661</stp>
        <tr r="N1131" s="2"/>
      </tp>
      <tp t="s">
        <v>#N/A Requesting Data...3858862590</v>
        <stp/>
        <stp>BDP|16885193635179371416</stp>
        <tr r="C868" s="2"/>
      </tp>
      <tp t="s">
        <v>#N/A Requesting Data...3270439735</v>
        <stp/>
        <stp>BDP|10583864659502846646</stp>
        <tr r="H374" s="2"/>
      </tp>
      <tp t="s">
        <v>#N/A Requesting Data...3597264885</v>
        <stp/>
        <stp>BDP|11048284488101039368</stp>
        <tr r="E1935" s="2"/>
      </tp>
      <tp t="s">
        <v>#N/A Requesting Data...3416895437</v>
        <stp/>
        <stp>BDP|15429271832979763406</stp>
        <tr r="N1896" s="2"/>
      </tp>
      <tp t="s">
        <v>#N/A Requesting Data...3340154573</v>
        <stp/>
        <stp>BDP|16404709650058675544</stp>
        <tr r="Q1351" s="2"/>
      </tp>
      <tp t="s">
        <v>#N/A Requesting Data...3612307250</v>
        <stp/>
        <stp>BDP|17768543152177057978</stp>
        <tr r="N2336" s="2"/>
      </tp>
      <tp t="s">
        <v>#N/A Requesting Data...4292649186</v>
        <stp/>
        <stp>BDP|10588453677322028813</stp>
        <tr r="P1260" s="2"/>
      </tp>
      <tp t="s">
        <v>#N/A Requesting Data...3557284332</v>
        <stp/>
        <stp>BDP|17485967865729118800</stp>
        <tr r="T642" s="2"/>
      </tp>
      <tp t="s">
        <v>#N/A Requesting Data...4131984064</v>
        <stp/>
        <stp>BDP|12317738882623360771</stp>
        <tr r="J977" s="2"/>
      </tp>
      <tp t="b">
        <v>0</v>
        <stp/>
        <stp>BDS|16713342816278083501</stp>
        <tr r="I1076" s="2"/>
      </tp>
      <tp t="s">
        <v>#N/A Requesting Data...3993528480</v>
        <stp/>
        <stp>BDP|13038679661053202922</stp>
        <tr r="T1596" s="2"/>
      </tp>
      <tp t="b">
        <v>0</v>
        <stp/>
        <stp>BDS|16132730002391312969</stp>
        <tr r="I1601" s="2"/>
      </tp>
      <tp t="s">
        <v>#N/A Requesting Data...4232283711</v>
        <stp/>
        <stp>BDP|11437680788011027729</stp>
        <tr r="H1843" s="2"/>
      </tp>
      <tp t="s">
        <v>#N/A Requesting Data...3669497874</v>
        <stp/>
        <stp>BDP|12293971949627919137</stp>
        <tr r="G1478" s="2"/>
      </tp>
      <tp t="s">
        <v>#N/A Requesting Data...3661121454</v>
        <stp/>
        <stp>BDP|10376049566178709700</stp>
        <tr r="E2434" s="2"/>
      </tp>
      <tp t="s">
        <v>#N/A Requesting Data...3633633007</v>
        <stp/>
        <stp>BDP|15867624320091484985</stp>
        <tr r="H37" s="2"/>
      </tp>
      <tp t="s">
        <v>#N/A Requesting Data...4188702600</v>
        <stp/>
        <stp>BDP|11326761034889776503</stp>
        <tr r="A2232" s="2"/>
      </tp>
      <tp t="s">
        <v>#N/A Requesting Data...3830856304</v>
        <stp/>
        <stp>BDP|15539930121916543141</stp>
        <tr r="C2450" s="2"/>
      </tp>
      <tp t="s">
        <v>#N/A Requesting Data...3412058393</v>
        <stp/>
        <stp>BDP|17199329185754690160</stp>
        <tr r="J1410" s="2"/>
      </tp>
      <tp t="s">
        <v>#N/A Requesting Data...4171971403</v>
        <stp/>
        <stp>BDP|16441662215149303129</stp>
        <tr r="K1203" s="2"/>
      </tp>
      <tp t="s">
        <v>#N/A Requesting Data...4010952520</v>
        <stp/>
        <stp>BDP|10207105979817469895</stp>
        <tr r="G413" s="2"/>
      </tp>
      <tp t="s">
        <v>#N/A Requesting Data...4156337732</v>
        <stp/>
        <stp>BDP|12577697587127571288</stp>
        <tr r="C1893" s="2"/>
      </tp>
      <tp t="s">
        <v>#N/A Requesting Data...4207368518</v>
        <stp/>
        <stp>BDP|10474739670511973882</stp>
        <tr r="Q1104" s="2"/>
      </tp>
      <tp t="s">
        <v>#N/A Requesting Data...4148424985</v>
        <stp/>
        <stp>BDP|13525985413671084387</stp>
        <tr r="T2196" s="2"/>
      </tp>
      <tp t="s">
        <v>#N/A Requesting Data...3426847616</v>
        <stp/>
        <stp>BDP|16740129857488412306</stp>
        <tr r="G792" s="2"/>
      </tp>
      <tp t="s">
        <v>#N/A Requesting Data...3612798721</v>
        <stp/>
        <stp>BDP|17397831265956186625</stp>
        <tr r="T399" s="2"/>
      </tp>
      <tp t="s">
        <v>#N/A Requesting Data...3333921687</v>
        <stp/>
        <stp>BDP|11162272769915904901</stp>
        <tr r="R1967" s="2"/>
      </tp>
      <tp t="s">
        <v>#N/A Requesting Data...4203368991</v>
        <stp/>
        <stp>BDP|12100933433744202558</stp>
        <tr r="R1795" s="2"/>
      </tp>
      <tp t="s">
        <v>#N/A Requesting Data...4064189157</v>
        <stp/>
        <stp>BDP|12940790039707768886</stp>
        <tr r="N1782" s="2"/>
      </tp>
      <tp t="s">
        <v>#N/A Requesting Data...3447471331</v>
        <stp/>
        <stp>BDP|15052297538249658416</stp>
        <tr r="Q1276" s="2"/>
      </tp>
      <tp t="s">
        <v>#N/A Requesting Data...3356087591</v>
        <stp/>
        <stp>BDP|16084732501311286962</stp>
        <tr r="J956" s="2"/>
      </tp>
      <tp t="s">
        <v>#N/A Requesting Data...4282580004</v>
        <stp/>
        <stp>BDP|17357864066458664830</stp>
        <tr r="M602" s="2"/>
      </tp>
      <tp t="s">
        <v>#N/A Requesting Data...3914809879</v>
        <stp/>
        <stp>BDP|12786014567709392441</stp>
        <tr r="E1229" s="2"/>
      </tp>
      <tp t="s">
        <v>#N/A Requesting Data...4135852652</v>
        <stp/>
        <stp>BDP|12807583983285577305</stp>
        <tr r="O1926" s="2"/>
      </tp>
      <tp t="s">
        <v>#N/A Requesting Data...4000163253</v>
        <stp/>
        <stp>BDP|15694697512199349288</stp>
        <tr r="T1063" s="2"/>
      </tp>
      <tp t="s">
        <v>#N/A Requesting Data...3679504279</v>
        <stp/>
        <stp>BDP|15960396719868880673</stp>
        <tr r="Q92" s="2"/>
      </tp>
      <tp t="s">
        <v>#N/A Requesting Data...3879653976</v>
        <stp/>
        <stp>BDP|18298961364837259946</stp>
        <tr r="D2230" s="2"/>
      </tp>
      <tp t="s">
        <v>#N/A Requesting Data...3736412780</v>
        <stp/>
        <stp>BDP|15103854352144916597</stp>
        <tr r="P744" s="2"/>
      </tp>
      <tp t="s">
        <v>#N/A Requesting Data...3820937729</v>
        <stp/>
        <stp>BDP|18194605690996175860</stp>
        <tr r="P1872" s="2"/>
      </tp>
      <tp t="s">
        <v>#N/A Requesting Data...3317266827</v>
        <stp/>
        <stp>BDP|17751979847826232535</stp>
        <tr r="R951" s="2"/>
      </tp>
      <tp t="s">
        <v>#N/A Requesting Data...3362529362</v>
        <stp/>
        <stp>BDP|18268000081790545907</stp>
        <tr r="O2073" s="2"/>
      </tp>
      <tp t="s">
        <v>#N/A Requesting Data...3296153661</v>
        <stp/>
        <stp>BDP|14145890229773347445</stp>
        <tr r="J1783" s="2"/>
      </tp>
      <tp t="b">
        <v>0</v>
        <stp/>
        <stp>BDS|16381238182714601115</stp>
        <tr r="I2434" s="2"/>
      </tp>
      <tp t="s">
        <v>#N/A Requesting Data...4185631822</v>
        <stp/>
        <stp>BDP|17399065405298156679</stp>
        <tr r="R640" s="2"/>
      </tp>
      <tp t="s">
        <v>#N/A Requesting Data...3742187825</v>
        <stp/>
        <stp>BDP|10613211834670645833</stp>
        <tr r="R9" s="2"/>
      </tp>
      <tp t="s">
        <v>#N/A Requesting Data...3889571771</v>
        <stp/>
        <stp>BDP|15718370496031494749</stp>
        <tr r="S26" s="2"/>
      </tp>
      <tp t="s">
        <v>#N/A Requesting Data...3784093755</v>
        <stp/>
        <stp>BDP|16416916433595911092</stp>
        <tr r="T1316" s="2"/>
      </tp>
      <tp t="s">
        <v>#N/A Requesting Data...4052526896</v>
        <stp/>
        <stp>BDP|12050357337302744934</stp>
        <tr r="Q2380" s="2"/>
      </tp>
      <tp t="s">
        <v>#N/A Requesting Data...3835315057</v>
        <stp/>
        <stp>BDP|16143801066967489654</stp>
        <tr r="D1315" s="2"/>
      </tp>
      <tp t="s">
        <v>#N/A Requesting Data...3680359573</v>
        <stp/>
        <stp>BDP|11007710371249132171</stp>
        <tr r="R2010" s="2"/>
      </tp>
      <tp t="s">
        <v>#N/A Requesting Data...3594041460</v>
        <stp/>
        <stp>BDP|13537728853481085927</stp>
        <tr r="P2107" s="2"/>
      </tp>
      <tp t="b">
        <v>0</v>
        <stp/>
        <stp>BDS|16753233182027612257</stp>
        <tr r="I856" s="2"/>
      </tp>
      <tp t="s">
        <v>#N/A Requesting Data...3291917520</v>
        <stp/>
        <stp>BDP|18258100249222547684</stp>
        <tr r="G1742" s="2"/>
      </tp>
      <tp t="s">
        <v>#N/A Requesting Data...3368939206</v>
        <stp/>
        <stp>BDP|11041876460515371327</stp>
        <tr r="M2104" s="2"/>
      </tp>
      <tp t="s">
        <v>#N/A Requesting Data...4003017297</v>
        <stp/>
        <stp>BDP|15913402668329202757</stp>
        <tr r="N426" s="2"/>
      </tp>
      <tp t="s">
        <v>#N/A Requesting Data...3336627641</v>
        <stp/>
        <stp>BDP|16500690419790149824</stp>
        <tr r="D1306" s="2"/>
      </tp>
      <tp t="s">
        <v>#N/A Requesting Data...3535600425</v>
        <stp/>
        <stp>BDP|12320244871289670764</stp>
        <tr r="R597" s="2"/>
      </tp>
      <tp t="s">
        <v>#N/A Requesting Data...4290238750</v>
        <stp/>
        <stp>BDP|17127917067457621674</stp>
        <tr r="T310" s="2"/>
      </tp>
      <tp t="s">
        <v>#N/A Requesting Data...4170136236</v>
        <stp/>
        <stp>BDP|12237301973359153662</stp>
        <tr r="J1211" s="2"/>
      </tp>
      <tp t="s">
        <v>#N/A Requesting Data...4188973169</v>
        <stp/>
        <stp>BDP|11491885248591491566</stp>
        <tr r="M2293" s="2"/>
      </tp>
      <tp t="s">
        <v>#N/A Requesting Data...3870165259</v>
        <stp/>
        <stp>BDP|13170430096733769450</stp>
        <tr r="S1640" s="2"/>
      </tp>
      <tp t="s">
        <v>#N/A Requesting Data...3837956020</v>
        <stp/>
        <stp>BDP|17178557549057333886</stp>
        <tr r="F1350" s="2"/>
      </tp>
      <tp t="s">
        <v>#N/A Requesting Data...4269589372</v>
        <stp/>
        <stp>BDP|13679324790306144631</stp>
        <tr r="G1834" s="2"/>
      </tp>
      <tp t="s">
        <v>#N/A Requesting Data...4228365412</v>
        <stp/>
        <stp>BDP|13540910894628715217</stp>
        <tr r="E1522" s="2"/>
      </tp>
      <tp t="s">
        <v>#N/A Requesting Data...3675493669</v>
        <stp/>
        <stp>BDP|10460152926019780368</stp>
        <tr r="Q1338" s="2"/>
      </tp>
      <tp t="b">
        <v>0</v>
        <stp/>
        <stp>BDS|18445597944117869740</stp>
        <tr r="I646" s="2"/>
      </tp>
      <tp t="b">
        <v>0</v>
        <stp/>
        <stp>BDS|14023952041611432151</stp>
        <tr r="I2140" s="2"/>
      </tp>
      <tp t="s">
        <v>#N/A Requesting Data...3426452285</v>
        <stp/>
        <stp>BDP|15555293087654813255</stp>
        <tr r="G1557" s="2"/>
      </tp>
      <tp t="s">
        <v>#N/A Requesting Data...3466229138</v>
        <stp/>
        <stp>BDP|15971355740629347294</stp>
        <tr r="M2020" s="2"/>
      </tp>
      <tp t="s">
        <v>#N/A Requesting Data...3777028298</v>
        <stp/>
        <stp>BDP|16249756707506180984</stp>
        <tr r="N747" s="2"/>
      </tp>
      <tp t="s">
        <v>#N/A Requesting Data...3369693529</v>
        <stp/>
        <stp>BDP|12562337680091988662</stp>
        <tr r="C1769" s="2"/>
      </tp>
      <tp t="s">
        <v>#N/A Requesting Data...3803649055</v>
        <stp/>
        <stp>BDP|13895838514526087267</stp>
        <tr r="E757" s="2"/>
      </tp>
      <tp t="s">
        <v>#N/A Requesting Data...3469751207</v>
        <stp/>
        <stp>BDP|13460695344277485842</stp>
        <tr r="F177" s="2"/>
      </tp>
      <tp t="s">
        <v>#N/A Requesting Data...3834557138</v>
        <stp/>
        <stp>BDP|17951868026045735675</stp>
        <tr r="J2117" s="2"/>
      </tp>
      <tp t="s">
        <v>#N/A Requesting Data...4181176796</v>
        <stp/>
        <stp>BDP|16523760660629374098</stp>
        <tr r="K1774" s="2"/>
      </tp>
      <tp t="s">
        <v>#N/A Requesting Data...3543748372</v>
        <stp/>
        <stp>BDP|11059198640498258226</stp>
        <tr r="R898" s="2"/>
      </tp>
      <tp t="s">
        <v>#N/A Requesting Data...3425903808</v>
        <stp/>
        <stp>BDP|11532720533188922349</stp>
        <tr r="N2018" s="2"/>
      </tp>
      <tp t="s">
        <v>#N/A Requesting Data...3579375337</v>
        <stp/>
        <stp>BDP|13922748254117625860</stp>
        <tr r="P674" s="2"/>
      </tp>
      <tp t="s">
        <v>#N/A Requesting Data...3762118803</v>
        <stp/>
        <stp>BDP|17867740494361193605</stp>
        <tr r="T1428" s="2"/>
      </tp>
      <tp t="s">
        <v>#N/A Requesting Data...3768044886</v>
        <stp/>
        <stp>BDP|14873128471645363916</stp>
        <tr r="T1495" s="2"/>
      </tp>
      <tp t="s">
        <v>#N/A Requesting Data...4211101554</v>
        <stp/>
        <stp>BDP|11130831160873304283</stp>
        <tr r="C18" s="2"/>
      </tp>
      <tp t="s">
        <v>#N/A Requesting Data...4197310981</v>
        <stp/>
        <stp>BDP|13543270849742493962</stp>
        <tr r="O540" s="2"/>
      </tp>
      <tp t="s">
        <v>#N/A Requesting Data...3611662649</v>
        <stp/>
        <stp>BDP|16489720238639574526</stp>
        <tr r="R2418" s="2"/>
      </tp>
      <tp t="s">
        <v>#N/A Requesting Data...3950929841</v>
        <stp/>
        <stp>BDP|18062189350687460550</stp>
        <tr r="F1716" s="2"/>
      </tp>
      <tp t="b">
        <v>0</v>
        <stp/>
        <stp>BDS|16766322689503279049</stp>
        <tr r="I610" s="2"/>
      </tp>
      <tp t="s">
        <v>#N/A Requesting Data...3376479375</v>
        <stp/>
        <stp>BDP|14844973893859331363</stp>
        <tr r="S1273" s="2"/>
      </tp>
      <tp t="s">
        <v>#N/A Requesting Data...3843598343</v>
        <stp/>
        <stp>BDP|13075921167795896747</stp>
        <tr r="R1348" s="2"/>
      </tp>
      <tp t="s">
        <v>#N/A Requesting Data...3492041597</v>
        <stp/>
        <stp>BDP|11769446665864933964</stp>
        <tr r="C1424" s="2"/>
      </tp>
      <tp t="s">
        <v>#N/A Requesting Data...3466426132</v>
        <stp/>
        <stp>BDP|13942440094878521851</stp>
        <tr r="H1317" s="2"/>
      </tp>
      <tp t="s">
        <v>#N/A Requesting Data...4166725296</v>
        <stp/>
        <stp>BDP|12019716819449387324</stp>
        <tr r="T549" s="2"/>
      </tp>
      <tp t="s">
        <v>#N/A Requesting Data...3874614639</v>
        <stp/>
        <stp>BDP|15180992411720604363</stp>
        <tr r="E116" s="2"/>
      </tp>
      <tp t="s">
        <v>#N/A Requesting Data...3935527215</v>
        <stp/>
        <stp>BDP|17044850612935870567</stp>
        <tr r="A2220" s="2"/>
      </tp>
      <tp t="s">
        <v>#N/A Requesting Data...4018826470</v>
        <stp/>
        <stp>BDP|12957785012409933334</stp>
        <tr r="M821" s="2"/>
      </tp>
      <tp t="s">
        <v>#N/A Requesting Data...3680257619</v>
        <stp/>
        <stp>BDP|13273450780901792094</stp>
        <tr r="S1954" s="2"/>
      </tp>
      <tp t="s">
        <v>#N/A Requesting Data...3806408639</v>
        <stp/>
        <stp>BDP|10958690983087800727</stp>
        <tr r="H794" s="2"/>
      </tp>
      <tp t="s">
        <v>#N/A Requesting Data...3467706250</v>
        <stp/>
        <stp>BDP|12672239708897336977</stp>
        <tr r="E433" s="2"/>
      </tp>
      <tp t="s">
        <v>#N/A Requesting Data...3971167473</v>
        <stp/>
        <stp>BDP|14970931127076543713</stp>
        <tr r="F2388" s="2"/>
      </tp>
      <tp t="s">
        <v>#N/A Requesting Data...3999320226</v>
        <stp/>
        <stp>BDP|10019021680850299690</stp>
        <tr r="E762" s="2"/>
      </tp>
      <tp t="s">
        <v>#N/A Requesting Data...3741349122</v>
        <stp/>
        <stp>BDP|11089819262071845025</stp>
        <tr r="T617" s="2"/>
      </tp>
      <tp t="s">
        <v>#N/A Requesting Data...3842137811</v>
        <stp/>
        <stp>BDP|13696249882232946506</stp>
        <tr r="R101" s="2"/>
      </tp>
      <tp t="s">
        <v>#N/A Requesting Data...3491167590</v>
        <stp/>
        <stp>BDP|12212331159093418951</stp>
        <tr r="K454" s="2"/>
      </tp>
      <tp t="s">
        <v>#N/A Requesting Data...4117224703</v>
        <stp/>
        <stp>BDP|13524272794674626294</stp>
        <tr r="A1519" s="2"/>
      </tp>
      <tp t="b">
        <v>0</v>
        <stp/>
        <stp>BDS|13156426355595864947</stp>
        <tr r="I929" s="2"/>
      </tp>
      <tp t="s">
        <v>#N/A Requesting Data...4284917788</v>
        <stp/>
        <stp>BDP|17861200376589001574</stp>
        <tr r="C2012" s="2"/>
      </tp>
      <tp t="s">
        <v>#N/A Requesting Data...3592013333</v>
        <stp/>
        <stp>BDP|13087114289824813092</stp>
        <tr r="R2030" s="2"/>
      </tp>
      <tp t="s">
        <v>#N/A Requesting Data...3790750794</v>
        <stp/>
        <stp>BDP|15712104591546747583</stp>
        <tr r="K634" s="2"/>
      </tp>
      <tp t="s">
        <v>#N/A Requesting Data...4127588770</v>
        <stp/>
        <stp>BDP|13831016157400536825</stp>
        <tr r="H1412" s="2"/>
      </tp>
      <tp t="s">
        <v>#N/A Requesting Data...3560106968</v>
        <stp/>
        <stp>BDP|12004289072008275119</stp>
        <tr r="H573" s="2"/>
      </tp>
      <tp t="s">
        <v>#N/A Requesting Data...3700603258</v>
        <stp/>
        <stp>BDP|11293056795666872039</stp>
        <tr r="J1347" s="2"/>
      </tp>
      <tp t="s">
        <v>#N/A Requesting Data...3589871145</v>
        <stp/>
        <stp>BDP|13549927379085431637</stp>
        <tr r="H481" s="2"/>
      </tp>
      <tp t="s">
        <v>#N/A Requesting Data...3795412956</v>
        <stp/>
        <stp>BDP|17948792188521328726</stp>
        <tr r="P343" s="2"/>
      </tp>
      <tp t="s">
        <v>#N/A Requesting Data...3743073913</v>
        <stp/>
        <stp>BDP|13991700523988473071</stp>
        <tr r="R584" s="2"/>
      </tp>
      <tp t="s">
        <v>#N/A Requesting Data...3609221962</v>
        <stp/>
        <stp>BDP|15722885001695754602</stp>
        <tr r="E1760" s="2"/>
      </tp>
      <tp t="s">
        <v>#N/A Requesting Data...4106609797</v>
        <stp/>
        <stp>BDP|15647979206500783296</stp>
        <tr r="Q2412" s="2"/>
      </tp>
      <tp t="s">
        <v>#N/A Requesting Data...3932280282</v>
        <stp/>
        <stp>BDP|16167866764072860423</stp>
        <tr r="Q1332" s="2"/>
      </tp>
      <tp t="s">
        <v>#N/A Requesting Data...4243105781</v>
        <stp/>
        <stp>BDP|10214097256352215961</stp>
        <tr r="F876" s="2"/>
      </tp>
      <tp t="s">
        <v>#N/A Requesting Data...4049552044</v>
        <stp/>
        <stp>BDP|16134411564088519286</stp>
        <tr r="S85" s="2"/>
      </tp>
      <tp t="s">
        <v>#N/A Requesting Data...3954826886</v>
        <stp/>
        <stp>BDP|18370596421317375610</stp>
        <tr r="C1307" s="2"/>
      </tp>
      <tp t="s">
        <v>#N/A Requesting Data...4149190002</v>
        <stp/>
        <stp>BDP|12981031275272176979</stp>
        <tr r="C1271" s="2"/>
      </tp>
      <tp t="s">
        <v>#N/A Requesting Data...4222420432</v>
        <stp/>
        <stp>BDP|14426531196414824200</stp>
        <tr r="F450" s="2"/>
      </tp>
      <tp t="s">
        <v>#N/A Requesting Data...4106042477</v>
        <stp/>
        <stp>BDP|13265880206024602132</stp>
        <tr r="K2464" s="2"/>
      </tp>
      <tp t="s">
        <v>#N/A Requesting Data...3886821515</v>
        <stp/>
        <stp>BDP|15631012580511997279</stp>
        <tr r="R1714" s="2"/>
      </tp>
      <tp t="s">
        <v>#N/A Requesting Data...3716949524</v>
        <stp/>
        <stp>BDP|17987104595098354972</stp>
        <tr r="G2101" s="2"/>
      </tp>
      <tp t="s">
        <v>#N/A Requesting Data...3651820341</v>
        <stp/>
        <stp>BDP|11085794568786832813</stp>
        <tr r="D1232" s="2"/>
      </tp>
      <tp t="s">
        <v>#N/A Requesting Data...3691142013</v>
        <stp/>
        <stp>BDP|18171712791890841813</stp>
        <tr r="P848" s="2"/>
      </tp>
      <tp t="s">
        <v>#N/A Requesting Data...3931760385</v>
        <stp/>
        <stp>BDP|15371094891175494772</stp>
        <tr r="C2530" s="2"/>
      </tp>
      <tp t="s">
        <v>#N/A Requesting Data...3690508655</v>
        <stp/>
        <stp>BDP|17382875377366827035</stp>
        <tr r="F1855" s="2"/>
      </tp>
      <tp t="s">
        <v>#N/A Requesting Data...4126013232</v>
        <stp/>
        <stp>BDP|12232119462728966302</stp>
        <tr r="G889" s="2"/>
      </tp>
      <tp t="s">
        <v>#N/A Requesting Data...4235146003</v>
        <stp/>
        <stp>BDP|12571225596986911102</stp>
        <tr r="Q460" s="2"/>
      </tp>
      <tp t="s">
        <v>#N/A Requesting Data...4193349189</v>
        <stp/>
        <stp>BDP|10725450471194224999</stp>
        <tr r="J2058" s="2"/>
      </tp>
      <tp t="s">
        <v>#N/A Requesting Data...3513792872</v>
        <stp/>
        <stp>BDP|17269286513953791968</stp>
        <tr r="O1587" s="2"/>
      </tp>
      <tp t="s">
        <v>#N/A Requesting Data...4220963513</v>
        <stp/>
        <stp>BDP|11713116733868506587</stp>
        <tr r="F1971" s="2"/>
      </tp>
      <tp t="s">
        <v>#N/A Requesting Data...3673335481</v>
        <stp/>
        <stp>BDP|18289483640432007420</stp>
        <tr r="K1286" s="2"/>
      </tp>
      <tp t="s">
        <v>#N/A Requesting Data...3734371724</v>
        <stp/>
        <stp>BDP|15922598010206054982</stp>
        <tr r="E1670" s="2"/>
      </tp>
      <tp t="s">
        <v>#N/A Requesting Data...4048389722</v>
        <stp/>
        <stp>BDP|13915097499812688678</stp>
        <tr r="G1047" s="2"/>
      </tp>
      <tp t="s">
        <v>#N/A Requesting Data...3814159686</v>
        <stp/>
        <stp>BDP|16245485942450328839</stp>
        <tr r="J1458" s="2"/>
      </tp>
      <tp t="s">
        <v>#N/A Requesting Data...3688390178</v>
        <stp/>
        <stp>BDP|11187732589282238215</stp>
        <tr r="S43" s="2"/>
      </tp>
      <tp t="s">
        <v>#N/A Requesting Data...4041108931</v>
        <stp/>
        <stp>BDP|14516219999853550208</stp>
        <tr r="J2004" s="2"/>
      </tp>
      <tp t="s">
        <v>#N/A Requesting Data...3537043847</v>
        <stp/>
        <stp>BDP|11985143293775547234</stp>
        <tr r="G1778" s="2"/>
      </tp>
      <tp t="b">
        <v>0</v>
        <stp/>
        <stp>BDS|18106884036915514810</stp>
        <tr r="I2459" s="2"/>
      </tp>
      <tp t="s">
        <v>#N/A Requesting Data...3587500378</v>
        <stp/>
        <stp>BDP|16925467950240016975</stp>
        <tr r="O1503" s="2"/>
      </tp>
      <tp t="s">
        <v>#N/A Requesting Data...3532812997</v>
        <stp/>
        <stp>BDP|14821176277889282527</stp>
        <tr r="K2257" s="2"/>
      </tp>
      <tp t="s">
        <v>#N/A Requesting Data...3826225511</v>
        <stp/>
        <stp>BDP|16628311309193309851</stp>
        <tr r="M738" s="2"/>
      </tp>
      <tp t="s">
        <v>#N/A Requesting Data...3611138827</v>
        <stp/>
        <stp>BDP|12647822210390579591</stp>
        <tr r="D2438" s="2"/>
      </tp>
      <tp t="s">
        <v>#N/A Requesting Data...3869071950</v>
        <stp/>
        <stp>BDP|16696667642733936939</stp>
        <tr r="K946" s="2"/>
      </tp>
      <tp t="s">
        <v>#N/A Requesting Data...3736612034</v>
        <stp/>
        <stp>BDP|16426307190781439382</stp>
        <tr r="A767" s="2"/>
      </tp>
      <tp t="s">
        <v>#N/A Requesting Data...4253280615</v>
        <stp/>
        <stp>BDP|16603966631336900406</stp>
        <tr r="T545" s="2"/>
      </tp>
      <tp t="s">
        <v>#N/A Requesting Data...3785036752</v>
        <stp/>
        <stp>BDP|12651766670044173897</stp>
        <tr r="K2062" s="2"/>
      </tp>
      <tp t="s">
        <v>#N/A Requesting Data...3832545463</v>
        <stp/>
        <stp>BDP|10319199578981867924</stp>
        <tr r="R2471" s="2"/>
      </tp>
      <tp t="s">
        <v>#N/A Requesting Data...4118568118</v>
        <stp/>
        <stp>BDP|13089162991925760086</stp>
        <tr r="A2502" s="2"/>
      </tp>
      <tp t="s">
        <v>#N/A Requesting Data...3595615920</v>
        <stp/>
        <stp>BDP|12636230648759048352</stp>
        <tr r="P180" s="2"/>
      </tp>
      <tp t="s">
        <v>#N/A Requesting Data...3725620262</v>
        <stp/>
        <stp>BDP|17655997795990505979</stp>
        <tr r="Q360" s="2"/>
      </tp>
      <tp t="s">
        <v>#N/A Requesting Data...4273649299</v>
        <stp/>
        <stp>BDP|17015817514608965844</stp>
        <tr r="N922" s="2"/>
      </tp>
      <tp t="s">
        <v>#N/A Requesting Data...4256146310</v>
        <stp/>
        <stp>BDP|15931927101022141032</stp>
        <tr r="E1840" s="2"/>
      </tp>
      <tp t="s">
        <v>#N/A Requesting Data...3661729120</v>
        <stp/>
        <stp>BDP|10915845750066126544</stp>
        <tr r="M147" s="2"/>
      </tp>
      <tp t="s">
        <v>#N/A Requesting Data...3798542664</v>
        <stp/>
        <stp>BDP|15316605655669704190</stp>
        <tr r="C246" s="2"/>
      </tp>
      <tp t="s">
        <v>#N/A Requesting Data...4157299657</v>
        <stp/>
        <stp>BDP|14206497664680254855</stp>
        <tr r="Q2390" s="2"/>
      </tp>
      <tp t="s">
        <v>#N/A Requesting Data...4049076728</v>
        <stp/>
        <stp>BDP|10503197150552228861</stp>
        <tr r="R637" s="2"/>
      </tp>
      <tp t="s">
        <v>#N/A Requesting Data...3887001909</v>
        <stp/>
        <stp>BDP|11968514284910229268</stp>
        <tr r="J26" s="2"/>
      </tp>
      <tp t="s">
        <v>#N/A Requesting Data...3931798444</v>
        <stp/>
        <stp>BDP|16879783798744114212</stp>
        <tr r="M350" s="2"/>
      </tp>
      <tp t="s">
        <v>#N/A Requesting Data...4185812907</v>
        <stp/>
        <stp>BDP|17185838968024487368</stp>
        <tr r="K284" s="2"/>
      </tp>
      <tp t="s">
        <v>#N/A Requesting Data...3981300379</v>
        <stp/>
        <stp>BDP|10906479483726695437</stp>
        <tr r="E1116" s="2"/>
      </tp>
      <tp t="s">
        <v>#N/A Requesting Data...4006525911</v>
        <stp/>
        <stp>BDP|17766474265408861350</stp>
        <tr r="S41" s="2"/>
      </tp>
      <tp t="s">
        <v>#N/A Requesting Data...3805413714</v>
        <stp/>
        <stp>BDP|15752797589467716387</stp>
        <tr r="N1518" s="2"/>
      </tp>
      <tp t="s">
        <v>#N/A Requesting Data...3827334704</v>
        <stp/>
        <stp>BDP|11834510195406575510</stp>
        <tr r="G588" s="2"/>
      </tp>
      <tp t="s">
        <v>#N/A Requesting Data...4117848703</v>
        <stp/>
        <stp>BDP|12731396203206440913</stp>
        <tr r="K1431" s="2"/>
      </tp>
      <tp t="s">
        <v>#N/A Requesting Data...4165335118</v>
        <stp/>
        <stp>BDP|15205996069251273583</stp>
        <tr r="D934" s="2"/>
      </tp>
      <tp t="s">
        <v>#N/A Requesting Data...3967617261</v>
        <stp/>
        <stp>BDP|13575697639788957045</stp>
        <tr r="T417" s="2"/>
      </tp>
      <tp t="s">
        <v>#N/A Requesting Data...4280770017</v>
        <stp/>
        <stp>BDP|10840933772075388528</stp>
        <tr r="H1969" s="2"/>
      </tp>
      <tp t="s">
        <v>#N/A Requesting Data...4064015455</v>
        <stp/>
        <stp>BDP|13898123596487517218</stp>
        <tr r="J446" s="2"/>
      </tp>
      <tp t="s">
        <v>#N/A Requesting Data...4002443128</v>
        <stp/>
        <stp>BDP|15598972680752234889</stp>
        <tr r="T1328" s="2"/>
      </tp>
      <tp t="s">
        <v>#N/A Requesting Data...4135601262</v>
        <stp/>
        <stp>BDP|11569645776009615794</stp>
        <tr r="J2141" s="2"/>
      </tp>
      <tp t="s">
        <v>#N/A Requesting Data...3610857050</v>
        <stp/>
        <stp>BDP|10812067610197538832</stp>
        <tr r="R2515" s="2"/>
      </tp>
      <tp t="b">
        <v>0</v>
        <stp/>
        <stp>BDS|11498982306610684670</stp>
        <tr r="I554" s="2"/>
      </tp>
      <tp t="s">
        <v>#N/A Requesting Data...3848843586</v>
        <stp/>
        <stp>BDP|12115882934343628437</stp>
        <tr r="O2346" s="2"/>
      </tp>
      <tp t="s">
        <v>#N/A Requesting Data...3990495058</v>
        <stp/>
        <stp>BDP|15949376598754635582</stp>
        <tr r="G330" s="2"/>
      </tp>
      <tp t="s">
        <v>#N/A Requesting Data...4186626412</v>
        <stp/>
        <stp>BDP|14243697862443744967</stp>
        <tr r="D2186" s="2"/>
      </tp>
      <tp t="s">
        <v>#N/A Requesting Data...3745553576</v>
        <stp/>
        <stp>BDP|12931098466842950872</stp>
        <tr r="N1862" s="2"/>
      </tp>
      <tp t="s">
        <v>#N/A Requesting Data...3998232454</v>
        <stp/>
        <stp>BDP|10443181175260907883</stp>
        <tr r="M2112" s="2"/>
      </tp>
      <tp t="s">
        <v>#N/A Requesting Data...3651756640</v>
        <stp/>
        <stp>BDP|12951031449680917818</stp>
        <tr r="C891" s="2"/>
      </tp>
      <tp t="b">
        <v>0</v>
        <stp/>
        <stp>BDS|13609425593467620798</stp>
        <tr r="I1480" s="2"/>
      </tp>
      <tp t="s">
        <v>#N/A Requesting Data...4114007671</v>
        <stp/>
        <stp>BDP|10986636183528346814</stp>
        <tr r="G300" s="2"/>
      </tp>
      <tp t="s">
        <v>#N/A Requesting Data...4178781619</v>
        <stp/>
        <stp>BDP|15609088094370085219</stp>
        <tr r="R487" s="2"/>
      </tp>
      <tp t="s">
        <v>#N/A Requesting Data...3689056592</v>
        <stp/>
        <stp>BDP|11827282789305602049</stp>
        <tr r="F585" s="2"/>
      </tp>
      <tp t="s">
        <v>#N/A Requesting Data...3796411454</v>
        <stp/>
        <stp>BDP|16722782592254400228</stp>
        <tr r="T2487" s="2"/>
      </tp>
      <tp t="s">
        <v>#N/A Requesting Data...4289760635</v>
        <stp/>
        <stp>BDP|12223569854845920928</stp>
        <tr r="P917" s="2"/>
      </tp>
      <tp t="s">
        <v>#N/A Requesting Data...3750656046</v>
        <stp/>
        <stp>BDP|12734243096247788093</stp>
        <tr r="G1248" s="2"/>
      </tp>
      <tp t="s">
        <v>#N/A Requesting Data...4174488781</v>
        <stp/>
        <stp>BDP|16785880218986804748</stp>
        <tr r="C279" s="2"/>
      </tp>
      <tp t="s">
        <v>#N/A Requesting Data...3708692472</v>
        <stp/>
        <stp>BDP|16133228529298965086</stp>
        <tr r="A2143" s="2"/>
      </tp>
      <tp t="s">
        <v>#N/A Requesting Data...3812838368</v>
        <stp/>
        <stp>BDP|17219241038949317161</stp>
        <tr r="S35" s="2"/>
      </tp>
      <tp t="s">
        <v>#N/A Requesting Data...3713591201</v>
        <stp/>
        <stp>BDP|18097224718676304322</stp>
        <tr r="K2295" s="2"/>
      </tp>
      <tp t="s">
        <v>#N/A Requesting Data...3682788172</v>
        <stp/>
        <stp>BDP|15642512314549188693</stp>
        <tr r="D1460" s="2"/>
      </tp>
      <tp t="b">
        <v>0</v>
        <stp/>
        <stp>BDS|17989851047665673050</stp>
        <tr r="I879" s="2"/>
      </tp>
      <tp t="s">
        <v>#N/A Requesting Data...4078922461</v>
        <stp/>
        <stp>BDP|10491500104193297899</stp>
        <tr r="R1346" s="2"/>
      </tp>
      <tp t="s">
        <v>#N/A Requesting Data...3709455961</v>
        <stp/>
        <stp>BDP|18098167464457107682</stp>
        <tr r="G2242" s="2"/>
      </tp>
      <tp t="s">
        <v>#N/A Requesting Data...3828683538</v>
        <stp/>
        <stp>BDP|16327696561889340137</stp>
        <tr r="D468" s="2"/>
      </tp>
      <tp t="s">
        <v>#N/A Requesting Data...4094220442</v>
        <stp/>
        <stp>BDP|11774373131217900839</stp>
        <tr r="T2048" s="2"/>
      </tp>
      <tp t="s">
        <v>#N/A Requesting Data...3759549078</v>
        <stp/>
        <stp>BDP|12895940601351255440</stp>
        <tr r="Q654" s="2"/>
      </tp>
      <tp t="s">
        <v>#N/A Requesting Data...4060289108</v>
        <stp/>
        <stp>BDP|15752015342298748788</stp>
        <tr r="E2162" s="2"/>
      </tp>
      <tp t="s">
        <v>#N/A Requesting Data...4075770311</v>
        <stp/>
        <stp>BDP|16885736820309740474</stp>
        <tr r="H2508" s="2"/>
      </tp>
      <tp t="b">
        <v>0</v>
        <stp/>
        <stp>BDS|11828119184762070456</stp>
        <tr r="I2398" s="2"/>
      </tp>
      <tp t="s">
        <v>#N/A Requesting Data...3699138100</v>
        <stp/>
        <stp>BDP|11354229239718079631</stp>
        <tr r="N2407" s="2"/>
      </tp>
      <tp t="s">
        <v>#N/A Requesting Data...4260232822</v>
        <stp/>
        <stp>BDP|14989441258323712896</stp>
        <tr r="C366" s="2"/>
      </tp>
      <tp t="s">
        <v>#N/A Requesting Data...4039069045</v>
        <stp/>
        <stp>BDP|16280899179920155780</stp>
        <tr r="C862" s="2"/>
      </tp>
      <tp t="s">
        <v>#N/A Requesting Data...4042400070</v>
        <stp/>
        <stp>BDP|10907027761341519949</stp>
        <tr r="F2431" s="2"/>
      </tp>
      <tp t="s">
        <v>#N/A Requesting Data...4206899414</v>
        <stp/>
        <stp>BDP|12579511628532783907</stp>
        <tr r="A973" s="2"/>
      </tp>
      <tp t="s">
        <v>#N/A Requesting Data...3912364726</v>
        <stp/>
        <stp>BDP|14349850691888939353</stp>
        <tr r="T1707" s="2"/>
      </tp>
      <tp t="s">
        <v>#N/A Requesting Data...4113291812</v>
        <stp/>
        <stp>BDP|14925951477796410249</stp>
        <tr r="T467" s="2"/>
      </tp>
      <tp t="s">
        <v>#N/A Requesting Data...4105967480</v>
        <stp/>
        <stp>BDP|16918828220726823480</stp>
        <tr r="C1444" s="2"/>
      </tp>
      <tp t="s">
        <v>#N/A Requesting Data...4207039764</v>
        <stp/>
        <stp>BDP|14585877516251706281</stp>
        <tr r="R1546" s="2"/>
      </tp>
      <tp t="s">
        <v>#N/A Requesting Data...4031942357</v>
        <stp/>
        <stp>BDP|11703248195561984546</stp>
        <tr r="S2200" s="2"/>
      </tp>
      <tp t="b">
        <v>0</v>
        <stp/>
        <stp>BDS|10240282121767109923</stp>
        <tr r="I2241" s="2"/>
      </tp>
      <tp t="s">
        <v>#N/A Requesting Data...4077334209</v>
        <stp/>
        <stp>BDP|15841752495681606452</stp>
        <tr r="E480" s="2"/>
      </tp>
      <tp t="s">
        <v>#N/A Requesting Data...4161471416</v>
        <stp/>
        <stp>BDP|10302535350576861834</stp>
        <tr r="G13" s="2"/>
      </tp>
      <tp t="s">
        <v>#N/A Requesting Data...3950998493</v>
        <stp/>
        <stp>BDP|13017881648055945426</stp>
        <tr r="Q512" s="2"/>
      </tp>
      <tp t="s">
        <v>#N/A Requesting Data...4050190357</v>
        <stp/>
        <stp>BDP|11299214216588983472</stp>
        <tr r="A422" s="2"/>
      </tp>
      <tp t="s">
        <v>#N/A Requesting Data...4005681025</v>
        <stp/>
        <stp>BDP|16342437797267510292</stp>
        <tr r="J1007" s="2"/>
      </tp>
      <tp t="s">
        <v>#N/A Requesting Data...4111919225</v>
        <stp/>
        <stp>BDP|17051479387522808738</stp>
        <tr r="T2023" s="2"/>
      </tp>
      <tp t="s">
        <v>#N/A Requesting Data...4123849345</v>
        <stp/>
        <stp>BDP|11984552981315209748</stp>
        <tr r="G810" s="2"/>
      </tp>
      <tp t="s">
        <v>#N/A Requesting Data...4147448103</v>
        <stp/>
        <stp>BDP|13966285581511926625</stp>
        <tr r="N992" s="2"/>
      </tp>
      <tp t="s">
        <v>#N/A Requesting Data...4021776106</v>
        <stp/>
        <stp>BDP|12007199429447855839</stp>
        <tr r="N859" s="2"/>
      </tp>
      <tp t="s">
        <v>#N/A Requesting Data...4083398018</v>
        <stp/>
        <stp>BDP|16701047709289012114</stp>
        <tr r="R1196" s="2"/>
      </tp>
      <tp t="s">
        <v>#N/A Requesting Data...4194609860</v>
        <stp/>
        <stp>BDP|17333207643719928621</stp>
        <tr r="S957" s="2"/>
      </tp>
      <tp t="b">
        <v>0</v>
        <stp/>
        <stp>BDS|10307844454056278593</stp>
        <tr r="I1064" s="2"/>
      </tp>
      <tp t="s">
        <v>#N/A Requesting Data...3780174373</v>
        <stp/>
        <stp>BDP|17300652699475318377</stp>
        <tr r="K2187" s="2"/>
      </tp>
      <tp t="s">
        <v>#N/A Requesting Data...3985926263</v>
        <stp/>
        <stp>BDP|12815264412738239751</stp>
        <tr r="D1382" s="2"/>
      </tp>
      <tp t="s">
        <v>#N/A Requesting Data...3994587121</v>
        <stp/>
        <stp>BDP|14561951538243764343</stp>
        <tr r="Q1271" s="2"/>
      </tp>
      <tp t="s">
        <v>#N/A Requesting Data...4285959197</v>
        <stp/>
        <stp>BDP|16601780060108225173</stp>
        <tr r="E2283" s="2"/>
      </tp>
      <tp t="s">
        <v>#N/A Requesting Data...3806392887</v>
        <stp/>
        <stp>BDP|12504456485505750596</stp>
        <tr r="D1204" s="2"/>
      </tp>
      <tp t="s">
        <v>#N/A Requesting Data...3778361856</v>
        <stp/>
        <stp>BDP|10984465900599287360</stp>
        <tr r="O1583" s="2"/>
      </tp>
      <tp t="s">
        <v>#N/A Requesting Data...4074112225</v>
        <stp/>
        <stp>BDP|15456460313309939732</stp>
        <tr r="N856" s="2"/>
      </tp>
      <tp t="s">
        <v>#N/A Requesting Data...4181350002</v>
        <stp/>
        <stp>BDP|12667422782126839651</stp>
        <tr r="M521" s="2"/>
      </tp>
      <tp t="s">
        <v>#N/A Requesting Data...4155770663</v>
        <stp/>
        <stp>BDP|13513804268420376351</stp>
        <tr r="P590" s="2"/>
      </tp>
      <tp t="s">
        <v>#N/A Requesting Data...3927665186</v>
        <stp/>
        <stp>BDP|16144885441547141327</stp>
        <tr r="M1567" s="2"/>
      </tp>
      <tp t="s">
        <v>#N/A Requesting Data...3932948376</v>
        <stp/>
        <stp>BDP|13880970622770405628</stp>
        <tr r="T546" s="2"/>
      </tp>
      <tp t="s">
        <v>#N/A Requesting Data...3874864650</v>
        <stp/>
        <stp>BDP|10197304782605057089</stp>
        <tr r="N478" s="2"/>
      </tp>
      <tp t="s">
        <v>#N/A Requesting Data...3850300746</v>
        <stp/>
        <stp>BDP|17440997316323427245</stp>
        <tr r="K2400" s="2"/>
      </tp>
      <tp t="s">
        <v>#N/A Requesting Data...3937093840</v>
        <stp/>
        <stp>BDP|11241891539134919003</stp>
        <tr r="J1281" s="2"/>
      </tp>
      <tp t="s">
        <v>#N/A Requesting Data...3964553543</v>
        <stp/>
        <stp>BDP|11923467756089735750</stp>
        <tr r="S1447" s="2"/>
      </tp>
      <tp t="b">
        <v>0</v>
        <stp/>
        <stp>BDS|17344902349551132536</stp>
        <tr r="I386" s="2"/>
      </tp>
      <tp t="s">
        <v>#N/A Requesting Data...3862168461</v>
        <stp/>
        <stp>BDP|10683714884406144799</stp>
        <tr r="E968" s="2"/>
      </tp>
      <tp t="s">
        <v>#N/A Requesting Data...4129486195</v>
        <stp/>
        <stp>BDP|15050312941575830934</stp>
        <tr r="D375" s="2"/>
      </tp>
      <tp t="s">
        <v>#N/A Requesting Data...4161100085</v>
        <stp/>
        <stp>BDP|16122455199083342657</stp>
        <tr r="Q237" s="2"/>
      </tp>
      <tp t="s">
        <v>#N/A Requesting Data...4136515905</v>
        <stp/>
        <stp>BDP|16708932842391813454</stp>
        <tr r="A1312" s="2"/>
      </tp>
      <tp t="s">
        <v>#N/A Requesting Data...4076767074</v>
        <stp/>
        <stp>BDP|16187846019019122868</stp>
        <tr r="E1914" s="2"/>
      </tp>
      <tp t="s">
        <v>#N/A Requesting Data...4017578311</v>
        <stp/>
        <stp>BDP|11198595324059619119</stp>
        <tr r="K143" s="2"/>
      </tp>
      <tp t="s">
        <v>#N/A Requesting Data...4028922628</v>
        <stp/>
        <stp>BDP|13147956421565852366</stp>
        <tr r="C276" s="2"/>
      </tp>
      <tp t="b">
        <v>0</v>
        <stp/>
        <stp>BDS|15080263258169663508</stp>
        <tr r="I1035" s="2"/>
      </tp>
      <tp t="s">
        <v>#N/A Requesting Data...4061869399</v>
        <stp/>
        <stp>BDP|14432808025511822128</stp>
        <tr r="R2397" s="2"/>
      </tp>
      <tp t="s">
        <v>#N/A Requesting Data...4246144657</v>
        <stp/>
        <stp>BDP|16025404684025632191</stp>
        <tr r="S1810" s="2"/>
      </tp>
      <tp t="s">
        <v>#N/A Requesting Data...3944717466</v>
        <stp/>
        <stp>BDP|18334698751527233229</stp>
        <tr r="K1949" s="2"/>
      </tp>
      <tp t="s">
        <v>#N/A Requesting Data...4284508372</v>
        <stp/>
        <stp>BDP|18374473236780993111</stp>
        <tr r="H524" s="2"/>
      </tp>
      <tp t="s">
        <v>#N/A Requesting Data...4228621418</v>
        <stp/>
        <stp>BDP|14480285696206635767</stp>
        <tr r="K44" s="2"/>
      </tp>
      <tp t="s">
        <v>#N/A Requesting Data...3944171135</v>
        <stp/>
        <stp>BDP|16106036897311877078</stp>
        <tr r="M23" s="2"/>
      </tp>
      <tp t="s">
        <v>#N/A Requesting Data...3942419210</v>
        <stp/>
        <stp>BDP|14374102198842123005</stp>
        <tr r="Q16" s="2"/>
      </tp>
      <tp t="s">
        <v>#N/A Requesting Data...3902455581</v>
        <stp/>
        <stp>BDP|12343782115718489200</stp>
        <tr r="M167" s="2"/>
      </tp>
      <tp t="s">
        <v>#N/A Requesting Data...3987373997</v>
        <stp/>
        <stp>BDP|18164668834942962108</stp>
        <tr r="E2178" s="2"/>
      </tp>
      <tp t="s">
        <v>#N/A Requesting Data...4187796012</v>
        <stp/>
        <stp>BDP|12612738751619813767</stp>
        <tr r="M2300" s="2"/>
      </tp>
      <tp t="s">
        <v>#N/A Requesting Data...4125791513</v>
        <stp/>
        <stp>BDP|14512544798506393000</stp>
        <tr r="S2340" s="2"/>
      </tp>
      <tp t="s">
        <v>#N/A Requesting Data...3908233521</v>
        <stp/>
        <stp>BDP|15917698196137415380</stp>
        <tr r="E1171" s="2"/>
      </tp>
      <tp t="s">
        <v>#N/A Requesting Data...3903869475</v>
        <stp/>
        <stp>BDP|18406853947988454286</stp>
        <tr r="R1559" s="2"/>
      </tp>
      <tp t="s">
        <v>#N/A Requesting Data...3923909733</v>
        <stp/>
        <stp>BDP|15959438478191906915</stp>
        <tr r="D2476" s="2"/>
      </tp>
      <tp t="s">
        <v>#N/A Requesting Data...4154721023</v>
        <stp/>
        <stp>BDP|13034928710151969414</stp>
        <tr r="N2001" s="2"/>
      </tp>
      <tp t="s">
        <v>#N/A Requesting Data...4278495193</v>
        <stp/>
        <stp>BDP|13681154491383027685</stp>
        <tr r="A414" s="2"/>
      </tp>
      <tp t="s">
        <v>#N/A Requesting Data...4008897353</v>
        <stp/>
        <stp>BDP|15657727588812714613</stp>
        <tr r="K1381" s="2"/>
      </tp>
      <tp t="s">
        <v>#N/A Requesting Data...4219017961</v>
        <stp/>
        <stp>BDP|14697073812622911902</stp>
        <tr r="F2425" s="2"/>
      </tp>
      <tp t="s">
        <v>#N/A Requesting Data...3963462070</v>
        <stp/>
        <stp>BDP|14085017485697906576</stp>
        <tr r="A839" s="2"/>
      </tp>
      <tp t="s">
        <v>#N/A Requesting Data...4141375161</v>
        <stp/>
        <stp>BDP|11182226858148949084</stp>
        <tr r="G1456" s="2"/>
      </tp>
      <tp t="s">
        <v>#N/A Requesting Data...4023632144</v>
        <stp/>
        <stp>BDP|12706304313909757797</stp>
        <tr r="O47" s="2"/>
      </tp>
      <tp t="s">
        <v>#N/A Requesting Data...4037045423</v>
        <stp/>
        <stp>BDP|17281316568599716564</stp>
        <tr r="T1175" s="2"/>
      </tp>
      <tp t="s">
        <v>#N/A Requesting Data...4217898943</v>
        <stp/>
        <stp>BDP|15258244091848966841</stp>
        <tr r="J2121" s="2"/>
      </tp>
      <tp t="s">
        <v>#N/A Requesting Data...3984702958</v>
        <stp/>
        <stp>BDP|16130665959283495803</stp>
        <tr r="J1868" s="2"/>
      </tp>
      <tp t="s">
        <v>#N/A Requesting Data...4146946685</v>
        <stp/>
        <stp>BDP|12852935612512032638</stp>
        <tr r="D482" s="2"/>
      </tp>
      <tp t="s">
        <v>#N/A Requesting Data...3981995658</v>
        <stp/>
        <stp>BDP|13497343181334314286</stp>
        <tr r="S1486" s="2"/>
      </tp>
      <tp t="s">
        <v>#N/A Requesting Data...4277322726</v>
        <stp/>
        <stp>BDP|17856953231691041269</stp>
        <tr r="G2204" s="2"/>
      </tp>
      <tp t="s">
        <v>#N/A Requesting Data...4084011207</v>
        <stp/>
        <stp>BDP|11861829553004003632</stp>
        <tr r="S1649" s="2"/>
      </tp>
      <tp t="s">
        <v>#N/A Requesting Data...4254230091</v>
        <stp/>
        <stp>BDP|10088095620055499979</stp>
        <tr r="O1066" s="2"/>
      </tp>
      <tp t="s">
        <v>#N/A Requesting Data...4078816412</v>
        <stp/>
        <stp>BDP|16124161239972003847</stp>
        <tr r="D2414" s="2"/>
      </tp>
      <tp t="s">
        <v>#N/A Requesting Data...3978756367</v>
        <stp/>
        <stp>BDP|14894514284342648516</stp>
        <tr r="S2315" s="2"/>
      </tp>
      <tp t="s">
        <v>#N/A Requesting Data...3979091891</v>
        <stp/>
        <stp>BDP|16248792895295722335</stp>
        <tr r="E1267" s="2"/>
      </tp>
      <tp t="s">
        <v>#N/A Requesting Data...3956256222</v>
        <stp/>
        <stp>BDP|12536964294225413997</stp>
        <tr r="J2093" s="2"/>
      </tp>
      <tp t="s">
        <v>#N/A Requesting Data...3987065322</v>
        <stp/>
        <stp>BDP|10720705815990986815</stp>
        <tr r="T135" s="2"/>
      </tp>
      <tp t="s">
        <v>#N/A Requesting Data...4101102444</v>
        <stp/>
        <stp>BDP|12793348998740941680</stp>
        <tr r="H2399" s="2"/>
      </tp>
      <tp t="b">
        <v>0</v>
        <stp/>
        <stp>BDS|12091947569214070749</stp>
        <tr r="I831" s="2"/>
      </tp>
      <tp t="s">
        <v>#N/A Requesting Data...4201856756</v>
        <stp/>
        <stp>BDP|10514382487125470047</stp>
        <tr r="N673" s="2"/>
      </tp>
      <tp t="s">
        <v>#N/A Requesting Data...3967377149</v>
        <stp/>
        <stp>BDP|16419819725942248087</stp>
        <tr r="P1338" s="2"/>
      </tp>
      <tp t="s">
        <v>#N/A Requesting Data...4213924644</v>
        <stp/>
        <stp>BDP|13160581292088613977</stp>
        <tr r="T1826" s="2"/>
      </tp>
      <tp t="s">
        <v>#N/A Requesting Data...4032909782</v>
        <stp/>
        <stp>BDP|17108124024079576382</stp>
        <tr r="K1338" s="2"/>
      </tp>
      <tp t="s">
        <v>#N/A Requesting Data...4253508222</v>
        <stp/>
        <stp>BDP|11728889591728698624</stp>
        <tr r="C878" s="2"/>
      </tp>
      <tp t="s">
        <v>#N/A Requesting Data...4183140735</v>
        <stp/>
        <stp>BDP|17917736567740421833</stp>
        <tr r="E1560" s="2"/>
      </tp>
      <tp t="s">
        <v>#N/A Requesting Data...4275783029</v>
        <stp/>
        <stp>BDP|12463866209433962783</stp>
        <tr r="A1182" s="2"/>
      </tp>
      <tp t="s">
        <v>#N/A Requesting Data...4011784913</v>
        <stp/>
        <stp>BDP|15940170311573334863</stp>
        <tr r="D2492" s="2"/>
      </tp>
      <tp t="b">
        <v>0</v>
        <stp/>
        <stp>BDS|10932264627729045715</stp>
        <tr r="I2520" s="2"/>
      </tp>
      <tp t="s">
        <v>#N/A Requesting Data...4129485806</v>
        <stp/>
        <stp>BDP|17007285717352478811</stp>
        <tr r="F482" s="2"/>
      </tp>
      <tp t="b">
        <v>0</v>
        <stp/>
        <stp>BDS|17678416881816908369</stp>
        <tr r="I490" s="2"/>
      </tp>
      <tp t="s">
        <v>#N/A Requesting Data...4255324849</v>
        <stp/>
        <stp>BDP|17928673160581501814</stp>
        <tr r="E829" s="2"/>
      </tp>
      <tp t="s">
        <v>#N/A Requesting Data...4008988920</v>
        <stp/>
        <stp>BDP|15735380791660018143</stp>
        <tr r="F1038" s="2"/>
      </tp>
      <tp t="s">
        <v>#N/A Requesting Data...4245018573</v>
        <stp/>
        <stp>BDP|11563830249364219773</stp>
        <tr r="P2220" s="2"/>
      </tp>
      <tp t="s">
        <v>#N/A Requesting Data...4246002462</v>
        <stp/>
        <stp>BDP|13668930348332531221</stp>
        <tr r="P37" s="2"/>
      </tp>
      <tp t="s">
        <v>#N/A Requesting Data...4022796782</v>
        <stp/>
        <stp>BDP|10828036253539442262</stp>
        <tr r="T955" s="2"/>
      </tp>
      <tp t="s">
        <v>#N/A Requesting Data...4015187070</v>
        <stp/>
        <stp>BDP|17267430168062478977</stp>
        <tr r="K1045" s="2"/>
      </tp>
      <tp t="s">
        <v>#N/A Requesting Data...4002620348</v>
        <stp/>
        <stp>BDP|11601956328603479751</stp>
        <tr r="M1553" s="2"/>
      </tp>
      <tp t="s">
        <v>#N/A Requesting Data...4242342571</v>
        <stp/>
        <stp>BDP|12422542322313114894</stp>
        <tr r="O678" s="2"/>
      </tp>
      <tp t="s">
        <v>#N/A Requesting Data...4243575378</v>
        <stp/>
        <stp>BDP|14579648393801037481</stp>
        <tr r="F2421" s="2"/>
      </tp>
      <tp t="s">
        <v>#N/A Requesting Data...4166717806</v>
        <stp/>
        <stp>BDP|11596534015088901308</stp>
        <tr r="P1328" s="2"/>
      </tp>
      <tp t="s">
        <v>#N/A Requesting Data...4274893464</v>
        <stp/>
        <stp>BDP|10381960918101781704</stp>
        <tr r="C571" s="2"/>
      </tp>
      <tp t="s">
        <v>#N/A Requesting Data...4054725964</v>
        <stp/>
        <stp>BDP|17747754799207008017</stp>
        <tr r="R52" s="2"/>
      </tp>
      <tp t="s">
        <v>#N/A Requesting Data...4121670853</v>
        <stp/>
        <stp>BDP|15014685684322247746</stp>
        <tr r="E1105" s="2"/>
      </tp>
      <tp t="s">
        <v>#N/A Requesting Data...4058903748</v>
        <stp/>
        <stp>BDP|16349275880813790195</stp>
        <tr r="H1589" s="2"/>
      </tp>
      <tp t="s">
        <v>#N/A Requesting Data...4036246310</v>
        <stp/>
        <stp>BDP|15325887710102630072</stp>
        <tr r="J948" s="2"/>
      </tp>
      <tp t="s">
        <v>#N/A Requesting Data...4177176673</v>
        <stp/>
        <stp>BDP|14851194249567209800</stp>
        <tr r="N1684" s="2"/>
      </tp>
      <tp t="s">
        <v>#N/A Requesting Data...4037420805</v>
        <stp/>
        <stp>BDP|13195220492992527499</stp>
        <tr r="N406" s="2"/>
      </tp>
      <tp t="s">
        <v>#N/A Requesting Data...4110334982</v>
        <stp/>
        <stp>BDP|18073498833246349742</stp>
        <tr r="G1436" s="2"/>
      </tp>
      <tp t="s">
        <v>#N/A Requesting Data...4284915404</v>
        <stp/>
        <stp>BDP|17598856938484749624</stp>
        <tr r="D1066" s="2"/>
      </tp>
      <tp t="s">
        <v>#N/A Requesting Data...4110741052</v>
        <stp/>
        <stp>BDP|16032715279450496810</stp>
        <tr r="G932" s="2"/>
      </tp>
      <tp t="s">
        <v>#N/A Requesting Data...4223348965</v>
        <stp/>
        <stp>BDP|13190376518307402876</stp>
        <tr r="N1550" s="2"/>
      </tp>
      <tp t="s">
        <v>#N/A Requesting Data...4160381547</v>
        <stp/>
        <stp>BDP|15071849053770316692</stp>
        <tr r="F2037" s="2"/>
      </tp>
      <tp t="s">
        <v>#N/A Requesting Data...4063055829</v>
        <stp/>
        <stp>BDP|17121888200525102455</stp>
        <tr r="J1648" s="2"/>
      </tp>
      <tp t="s">
        <v>#N/A Requesting Data...4068720581</v>
        <stp/>
        <stp>BDP|18105605049204478019</stp>
        <tr r="R1481" s="2"/>
      </tp>
      <tp t="s">
        <v>#N/A Requesting Data...4163733878</v>
        <stp/>
        <stp>BDP|10886955312741446767</stp>
        <tr r="S587" s="2"/>
      </tp>
      <tp t="s">
        <v>#N/A Requesting Data...4053096074</v>
        <stp/>
        <stp>BDP|13682377559179251272</stp>
        <tr r="Q765" s="2"/>
      </tp>
      <tp t="s">
        <v>#N/A Requesting Data...4227374243</v>
        <stp/>
        <stp>BDP|15978576097907689029</stp>
        <tr r="K38" s="2"/>
      </tp>
      <tp t="s">
        <v>#N/A Requesting Data...4244725969</v>
        <stp/>
        <stp>BDP|15149696597962218603</stp>
        <tr r="M1865" s="2"/>
      </tp>
      <tp t="s">
        <v>#N/A Requesting Data...4270670654</v>
        <stp/>
        <stp>BDP|13878251580636410149</stp>
        <tr r="D1146" s="2"/>
      </tp>
      <tp t="s">
        <v>#N/A Requesting Data...4203990020</v>
        <stp/>
        <stp>BDP|11955437722120238978</stp>
        <tr r="Q1224" s="2"/>
      </tp>
      <tp t="s">
        <v>#N/A Requesting Data...4095975415</v>
        <stp/>
        <stp>BDP|10728686285281376149</stp>
        <tr r="A2509" s="2"/>
      </tp>
      <tp t="s">
        <v>#N/A Requesting Data...4261122723</v>
        <stp/>
        <stp>BDP|16994810664636221035</stp>
        <tr r="R923" s="2"/>
      </tp>
      <tp t="s">
        <v>#N/A Requesting Data...4200692407</v>
        <stp/>
        <stp>BDP|13879354391396811199</stp>
        <tr r="H1093" s="2"/>
      </tp>
      <tp t="s">
        <v>#N/A Requesting Data...4141626443</v>
        <stp/>
        <stp>BDP|15504791930929850692</stp>
        <tr r="E1788" s="2"/>
      </tp>
      <tp t="s">
        <v>#N/A Requesting Data...4172656713</v>
        <stp/>
        <stp>BDP|17257145504891760981</stp>
        <tr r="D89" s="2"/>
      </tp>
      <tp t="s">
        <v>#N/A Requesting Data...4172631127</v>
        <stp/>
        <stp>BDP|13927275739144891820</stp>
        <tr r="S962" s="2"/>
      </tp>
      <tp t="s">
        <v>#N/A Requesting Data...4129466849</v>
        <stp/>
        <stp>BDP|10695076868699402106</stp>
        <tr r="M829" s="2"/>
      </tp>
      <tp t="s">
        <v>#N/A Requesting Data...4172621466</v>
        <stp/>
        <stp>BDP|12770886915272648718</stp>
        <tr r="J1708" s="2"/>
      </tp>
      <tp t="s">
        <v>#N/A Requesting Data...4274805901</v>
        <stp/>
        <stp>BDP|17168715189697334178</stp>
        <tr r="O175" s="2"/>
      </tp>
      <tp t="s">
        <v>#N/A Requesting Data...4290697814</v>
        <stp/>
        <stp>BDP|14631912669853419675</stp>
        <tr r="E603" s="2"/>
      </tp>
      <tp t="s">
        <v>#N/A Requesting Data...4134403573</v>
        <stp/>
        <stp>BDP|17765229313143324981</stp>
        <tr r="T1535" s="2"/>
      </tp>
      <tp t="s">
        <v>#N/A Requesting Data...4218579870</v>
        <stp/>
        <stp>BDP|13192470362498193788</stp>
        <tr r="J1169" s="2"/>
      </tp>
      <tp t="s">
        <v>#N/A Requesting Data...4097039811</v>
        <stp/>
        <stp>BDP|15655381080652367208</stp>
        <tr r="G1732" s="2"/>
      </tp>
      <tp t="s">
        <v>#N/A Requesting Data...4186927574</v>
        <stp/>
        <stp>BDP|14501900478286150214</stp>
        <tr r="D1839" s="2"/>
      </tp>
      <tp t="s">
        <v>#N/A Requesting Data...4157199132</v>
        <stp/>
        <stp>BDP|14263974023297316682</stp>
        <tr r="P2140" s="2"/>
      </tp>
      <tp t="s">
        <v>#N/A Requesting Data...4239637370</v>
        <stp/>
        <stp>BDP|13762551282421505180</stp>
        <tr r="N1004" s="2"/>
      </tp>
      <tp t="s">
        <v>#N/A Requesting Data...4259073174</v>
        <stp/>
        <stp>BDP|10662847213803420488</stp>
        <tr r="P1089" s="2"/>
      </tp>
      <tp t="b">
        <v>0</v>
        <stp/>
        <stp>BDS|16988839914615113415</stp>
        <tr r="I1356" s="2"/>
      </tp>
      <tp t="s">
        <v>#N/A Requesting Data...4163622970</v>
        <stp/>
        <stp>BDP|17231367684232456090</stp>
        <tr r="K2457" s="2"/>
      </tp>
      <tp t="s">
        <v>#N/A Requesting Data...4192703336</v>
        <stp/>
        <stp>BDP|18446257952329721890</stp>
        <tr r="R123" s="2"/>
      </tp>
      <tp t="s">
        <v>#N/A Requesting Data...4160518492</v>
        <stp/>
        <stp>BDP|16762119095914647480</stp>
        <tr r="F1193" s="2"/>
      </tp>
      <tp t="s">
        <v>#N/A Requesting Data...4213400044</v>
        <stp/>
        <stp>BDP|18210100001563975471</stp>
        <tr r="E1409" s="2"/>
      </tp>
      <tp t="s">
        <v>#N/A Requesting Data...4150905648</v>
        <stp/>
        <stp>BDP|14694981371994190039</stp>
        <tr r="T2290" s="2"/>
      </tp>
      <tp t="s">
        <v>#N/A Requesting Data...4128815314</v>
        <stp/>
        <stp>BDP|10543148255383080996</stp>
        <tr r="E1436" s="2"/>
      </tp>
      <tp t="s">
        <v>#N/A Requesting Data...4236884878</v>
        <stp/>
        <stp>BDP|14396264865186590884</stp>
        <tr r="K356" s="2"/>
      </tp>
      <tp t="s">
        <v>#N/A Requesting Data...4140680384</v>
        <stp/>
        <stp>BDP|18311507283602531982</stp>
        <tr r="Q1664" s="2"/>
      </tp>
      <tp t="b">
        <v>0</v>
        <stp/>
        <stp>BDS|12307329776948079097</stp>
        <tr r="I2450" s="2"/>
      </tp>
      <tp t="s">
        <v>#N/A Requesting Data...4288858590</v>
        <stp/>
        <stp>BDP|11660383993312630765</stp>
        <tr r="G462" s="2"/>
      </tp>
      <tp t="s">
        <v>#N/A Requesting Data...4248804359</v>
        <stp/>
        <stp>BDP|15456573472209819045</stp>
        <tr r="R36" s="2"/>
      </tp>
      <tp t="s">
        <v>#N/A Requesting Data...4258535838</v>
        <stp/>
        <stp>BDP|11701715256359432495</stp>
        <tr r="H2512" s="2"/>
      </tp>
      <tp t="s">
        <v>#N/A Requesting Data...4160381126</v>
        <stp/>
        <stp>BDP|13541241268518613121</stp>
        <tr r="M274" s="2"/>
      </tp>
      <tp t="s">
        <v>#N/A Requesting Data...4275153824</v>
        <stp/>
        <stp>BDP|18212693480579052162</stp>
        <tr r="J1958" s="2"/>
      </tp>
      <tp t="s">
        <v>#N/A Requesting Data...4293671436</v>
        <stp/>
        <stp>BDP|10161918278695175548</stp>
        <tr r="R742" s="2"/>
      </tp>
      <tp t="s">
        <v>#N/A Requesting Data...4231438410</v>
        <stp/>
        <stp>BDP|15144887143153205455</stp>
        <tr r="S761" s="2"/>
      </tp>
      <tp t="s">
        <v>#N/A Requesting Data...4228606524</v>
        <stp/>
        <stp>BDP|11088699084289423846</stp>
        <tr r="K696" s="2"/>
      </tp>
      <tp t="s">
        <v>#N/A Requesting Data...4203683312</v>
        <stp/>
        <stp>BDP|15956301645105113903</stp>
        <tr r="O2139" s="2"/>
      </tp>
      <tp t="s">
        <v>#N/A Requesting Data...4184951439</v>
        <stp/>
        <stp>BDP|16281662080240088696</stp>
        <tr r="J1041" s="2"/>
      </tp>
      <tp t="s">
        <v>#N/A Requesting Data...4179557243</v>
        <stp/>
        <stp>BDP|17432925507839909958</stp>
        <tr r="J1180" s="2"/>
      </tp>
      <tp t="s">
        <v>#N/A Requesting Data...4265853917</v>
        <stp/>
        <stp>BDP|10018148954433486993</stp>
        <tr r="M702" s="2"/>
      </tp>
      <tp t="s">
        <v>#N/A Requesting Data...4188653751</v>
        <stp/>
        <stp>BDP|14503791672258714244</stp>
        <tr r="K272" s="2"/>
      </tp>
      <tp t="s">
        <v>#N/A Requesting Data...4228808582</v>
        <stp/>
        <stp>BDP|13264395681307463130</stp>
        <tr r="Q1287" s="2"/>
      </tp>
      <tp t="s">
        <v>#N/A Requesting Data...4227449198</v>
        <stp/>
        <stp>BDP|13490239949108758342</stp>
        <tr r="A2089" s="2"/>
      </tp>
      <tp t="s">
        <v>#N/A Requesting Data...4265277686</v>
        <stp/>
        <stp>BDP|17225198176439284620</stp>
        <tr r="K567" s="2"/>
      </tp>
      <tp t="s">
        <v>#N/A Requesting Data...4281283812</v>
        <stp/>
        <stp>BDP|11830506533350579934</stp>
        <tr r="J669" s="2"/>
      </tp>
      <tp t="s">
        <v>#N/A Requesting Data...4215826126</v>
        <stp/>
        <stp>BDP|17097880039974448681</stp>
        <tr r="R842" s="2"/>
      </tp>
      <tp t="s">
        <v>#N/A Requesting Data...4247664821</v>
        <stp/>
        <stp>BDP|11174515187084208687</stp>
        <tr r="D1522" s="2"/>
      </tp>
      <tp t="s">
        <v>#N/A Requesting Data...4220963885</v>
        <stp/>
        <stp>BDP|14174400372641854861</stp>
        <tr r="O1980" s="2"/>
      </tp>
      <tp t="s">
        <v>#N/A Requesting Data...4231180429</v>
        <stp/>
        <stp>BDP|16968276821639134131</stp>
        <tr r="D1489" s="2"/>
      </tp>
      <tp t="s">
        <v>#N/A Requesting Data...4257481811</v>
        <stp/>
        <stp>BDP|13137698845848379730</stp>
        <tr r="G1166" s="2"/>
      </tp>
      <tp t="s">
        <v>#N/A Requesting Data...4254952515</v>
        <stp/>
        <stp>BDP|15961984759725256274</stp>
        <tr r="H1430" s="2"/>
      </tp>
      <tp t="s">
        <v>#N/A Requesting Data...4224457280</v>
        <stp/>
        <stp>BDP|16908660103396552842</stp>
        <tr r="M1222" s="2"/>
      </tp>
      <tp t="s">
        <v>#N/A Requesting Data...4222590913</v>
        <stp/>
        <stp>BDP|11805700893622441339</stp>
        <tr r="G329" s="2"/>
      </tp>
      <tp t="s">
        <v>#N/A Requesting Data...4231765616</v>
        <stp/>
        <stp>BDP|11754332318798734578</stp>
        <tr r="J71" s="2"/>
      </tp>
      <tp t="s">
        <v>#N/A Requesting Data...4230009447</v>
        <stp/>
        <stp>BDP|15974572718656807928</stp>
        <tr r="E200" s="2"/>
      </tp>
      <tp t="b">
        <v>0</v>
        <stp/>
        <stp>BDS|14573296182202092211</stp>
        <tr r="I1079" s="2"/>
      </tp>
      <tp t="s">
        <v>#N/A Requesting Data...4244157062</v>
        <stp/>
        <stp>BDP|15081614389017109256</stp>
        <tr r="O147" s="2"/>
      </tp>
      <tp t="s">
        <v>#N/A Requesting Data...4229789182</v>
        <stp/>
        <stp>BDP|11464864888806051966</stp>
        <tr r="F1974" s="2"/>
      </tp>
      <tp t="s">
        <v>#N/A Requesting Data...4229657968</v>
        <stp/>
        <stp>BDP|16088964118557600740</stp>
        <tr r="H939" s="2"/>
      </tp>
      <tp t="s">
        <v>#N/A Requesting Data...4241291807</v>
        <stp/>
        <stp>BDP|15641211445698732599</stp>
        <tr r="O309" s="2"/>
      </tp>
      <tp t="s">
        <v>#N/A Requesting Data...4250767724</v>
        <stp/>
        <stp>BDP|10284934455493091188</stp>
        <tr r="E1528" s="2"/>
      </tp>
      <tp t="s">
        <v>#N/A Requesting Data...4274654951</v>
        <stp/>
        <stp>BDP|12895423242924390873</stp>
        <tr r="N913" s="2"/>
      </tp>
      <tp t="s">
        <v>#N/A Requesting Data...4237223609</v>
        <stp/>
        <stp>BDP|13030845628024072308</stp>
        <tr r="F626" s="2"/>
      </tp>
      <tp t="s">
        <v>#N/A Requesting Data...4282342070</v>
        <stp/>
        <stp>BDP|10994165223138564552</stp>
        <tr r="S2380" s="2"/>
      </tp>
      <tp t="s">
        <v>#N/A Requesting Data...4276591307</v>
        <stp/>
        <stp>BDP|10511937951624319688</stp>
        <tr r="N2482" s="2"/>
      </tp>
      <tp t="b">
        <v>0</v>
        <stp/>
        <stp>BDS|10809239487915080130</stp>
        <tr r="I1530" s="2"/>
      </tp>
      <tp t="s">
        <v>#N/A Requesting Data...4270207193</v>
        <stp/>
        <stp>BDP|13421876990099754589</stp>
        <tr r="R1225" s="2"/>
      </tp>
      <tp t="s">
        <v>#N/A Requesting Data...4270908934</v>
        <stp/>
        <stp>BDP|14170992155624331228</stp>
        <tr r="O539" s="2"/>
      </tp>
      <tp t="s">
        <v>#N/A Requesting Data...4238736280</v>
        <stp/>
        <stp>BDP|11506320428737694951</stp>
        <tr r="J2172" s="2"/>
      </tp>
      <tp t="s">
        <v>#N/A Requesting Data...4268483699</v>
        <stp/>
        <stp>BDP|13457198255839133059</stp>
        <tr r="O264" s="2"/>
      </tp>
      <tp t="s">
        <v>#N/A Requesting Data...4269604319</v>
        <stp/>
        <stp>BDP|17687125979096203932</stp>
        <tr r="J436" s="2"/>
      </tp>
      <tp t="s">
        <v>#N/A Requesting Data...4251301244</v>
        <stp/>
        <stp>BDP|12954801345299518959</stp>
        <tr r="O2103" s="2"/>
      </tp>
      <tp t="s">
        <v>#N/A Requesting Data...4258070875</v>
        <stp/>
        <stp>BDP|13590184581813595752</stp>
        <tr r="J1271" s="2"/>
      </tp>
      <tp t="s">
        <v>#N/A Requesting Data...4270654527</v>
        <stp/>
        <stp>BDP|18035427755870347786</stp>
        <tr r="M2322" s="2"/>
      </tp>
      <tp t="s">
        <v>#N/A Requesting Data...4280116318</v>
        <stp/>
        <stp>BDP|12983361407009119655</stp>
        <tr r="A1602" s="2"/>
      </tp>
      <tp t="s">
        <v>#N/A Requesting Data...4275037122</v>
        <stp/>
        <stp>BDP|11779979513666752180</stp>
        <tr r="F46" s="2"/>
      </tp>
      <tp t="s">
        <v>#N/A Requesting Data...4292049695</v>
        <stp/>
        <stp>BDP|12676042290674678189</stp>
        <tr r="R1948" s="2"/>
      </tp>
      <tp t="s">
        <v>#N/A Requesting Data...4268164118</v>
        <stp/>
        <stp>BDP|15160497125808175503</stp>
        <tr r="N1633" s="2"/>
      </tp>
      <tp t="s">
        <v>#N/A Requesting Data...4264477924</v>
        <stp/>
        <stp>BDP|14057664089980368403</stp>
        <tr r="S2159" s="2"/>
      </tp>
      <tp t="s">
        <v>#N/A Requesting Data...4282058190</v>
        <stp/>
        <stp>BDP|14196253373667355884</stp>
        <tr r="K631" s="2"/>
      </tp>
      <tp t="s">
        <v>#N/A Requesting Data...4294063335</v>
        <stp/>
        <stp>BDP|15148488820079555404</stp>
        <tr r="C1860" s="2"/>
      </tp>
      <tp t="s">
        <v>#N/A Requesting Data...4286919672</v>
        <stp/>
        <stp>BDP|13695911778502576166</stp>
        <tr r="D2276" s="2"/>
      </tp>
      <tp t="s">
        <v>#N/A Requesting Data...4282376662</v>
        <stp/>
        <stp>BDP|16690991172227724164</stp>
        <tr r="Q1577" s="2"/>
      </tp>
      <tp t="s">
        <v>#N/A Requesting Data...4285360020</v>
        <stp/>
        <stp>BDP|12245136816085874939</stp>
        <tr r="A397" s="2"/>
      </tp>
      <tp t="b">
        <v>0</v>
        <stp/>
        <stp>BDS|18077094617582938589</stp>
        <tr r="I571" s="2"/>
      </tp>
      <tp t="s">
        <v>#N/A Requesting Data...4286359757</v>
        <stp/>
        <stp>BDP|17163144466199682798</stp>
        <tr r="D1369" s="2"/>
      </tp>
      <tp t="s">
        <v>#N/A Requesting Data...4286481095</v>
        <stp/>
        <stp>BDP|15345805529756641701</stp>
        <tr r="M1293" s="2"/>
      </tp>
      <tp t="s">
        <v>#N/A Requesting Data...4290333332</v>
        <stp/>
        <stp>BDP|15490382693972645355</stp>
        <tr r="D1902" s="2"/>
      </tp>
      <tp t="s">
        <v>#N/A Requesting Data...4290299839</v>
        <stp/>
        <stp>BDP|18302160188027215832</stp>
        <tr r="J671" s="2"/>
      </tp>
      <tp t="s">
        <v>#N/A Requesting Data...4293269259</v>
        <stp/>
        <stp>BDP|15820559190573496454</stp>
        <tr r="E1917" s="2"/>
      </tp>
      <tp t="s">
        <v>#N/A Requesting Data...371167846</v>
        <stp/>
        <stp>BDP|10194607265916825806</stp>
        <tr r="P1342" s="2"/>
      </tp>
      <tp t="s">
        <v>#N/A Requesting Data...1565954519</v>
        <stp/>
        <stp>BDP|13610815059749209901</stp>
        <tr r="C1618" s="2"/>
      </tp>
      <tp t="s">
        <v>#N/A Requesting Data...3641141942</v>
        <stp/>
        <stp>BDP|13700015298762379617</stp>
        <tr r="R2474" s="2"/>
      </tp>
      <tp t="s">
        <v>#N/A Requesting Data...769734698</v>
        <stp/>
        <stp>BDP|10963363677338269262</stp>
        <tr r="E1765" s="2"/>
      </tp>
      <tp t="s">
        <v>#N/A Requesting Data...1051798166</v>
        <stp/>
        <stp>BDP|13865134572099516201</stp>
        <tr r="G2228" s="2"/>
      </tp>
      <tp t="s">
        <v>#N/A Requesting Data...3450162291</v>
        <stp/>
        <stp>BDP|12118865272257174483</stp>
        <tr r="H57" s="2"/>
      </tp>
      <tp t="s">
        <v>#N/A Requesting Data...236726502</v>
        <stp/>
        <stp>BDP|17429757118047715825</stp>
        <tr r="R1975" s="2"/>
      </tp>
      <tp t="s">
        <v>#N/A Requesting Data...2880025049</v>
        <stp/>
        <stp>BDP|12621189686144632128</stp>
        <tr r="R2011" s="2"/>
      </tp>
      <tp t="b">
        <v>0</v>
        <stp/>
        <stp>BDS|14819930924264076505</stp>
        <tr r="I2462" s="2"/>
      </tp>
      <tp t="b">
        <v>0</v>
        <stp/>
        <stp>BDS|17304314488457636532</stp>
        <tr r="I660" s="2"/>
      </tp>
      <tp t="s">
        <v>#N/A Requesting Data...4017246081</v>
        <stp/>
        <stp>BDP|12184627042269890755</stp>
        <tr r="F744" s="2"/>
      </tp>
      <tp t="s">
        <v>#N/A Requesting Data...651027337</v>
        <stp/>
        <stp>BDP|15141906626790276092</stp>
        <tr r="S1971" s="2"/>
      </tp>
      <tp t="s">
        <v>#N/A Requesting Data...2044528998</v>
        <stp/>
        <stp>BDP|16118993344537123215</stp>
        <tr r="F1932" s="2"/>
      </tp>
      <tp t="s">
        <v>#N/A Requesting Data...3001488534</v>
        <stp/>
        <stp>BDP|14766383490208638854</stp>
        <tr r="P2184" s="2"/>
      </tp>
      <tp t="s">
        <v>#N/A Requesting Data...2897579135</v>
        <stp/>
        <stp>BDP|18066105458162320070</stp>
        <tr r="E663" s="2"/>
      </tp>
      <tp t="s">
        <v>#N/A Requesting Data...3837284405</v>
        <stp/>
        <stp>BDP|14725330100451941812</stp>
        <tr r="H1478" s="2"/>
      </tp>
      <tp t="s">
        <v>#N/A Requesting Data...3061040158</v>
        <stp/>
        <stp>BDP|10366482085691167333</stp>
        <tr r="H377" s="2"/>
      </tp>
      <tp t="s">
        <v>#N/A Requesting Data...697786784</v>
        <stp/>
        <stp>BDP|13161938381304889872</stp>
        <tr r="D1293" s="2"/>
      </tp>
      <tp t="s">
        <v>#N/A Requesting Data...2180092848</v>
        <stp/>
        <stp>BDP|14997972512964310634</stp>
        <tr r="S1013" s="2"/>
      </tp>
      <tp t="s">
        <v>#N/A Requesting Data...2439709669</v>
        <stp/>
        <stp>BDP|12404668689945207756</stp>
        <tr r="E1382" s="2"/>
      </tp>
      <tp t="s">
        <v>#N/A Requesting Data...959444159</v>
        <stp/>
        <stp>BDP|13967746114552701922</stp>
        <tr r="G2417" s="2"/>
      </tp>
      <tp t="s">
        <v>#N/A Requesting Data...72993501</v>
        <stp/>
        <stp>BDP|16432548984276175398</stp>
        <tr r="D2422" s="2"/>
      </tp>
      <tp t="b">
        <v>0</v>
        <stp/>
        <stp>BDS|16642591100914299923</stp>
        <tr r="I1696" s="2"/>
      </tp>
      <tp t="s">
        <v>#N/A Requesting Data...3346680551</v>
        <stp/>
        <stp>BDP|14404344092970889063</stp>
        <tr r="A1979" s="2"/>
      </tp>
      <tp t="s">
        <v>#N/A Requesting Data...1114066677</v>
        <stp/>
        <stp>BDP|12000263357723815853</stp>
        <tr r="S2180" s="2"/>
      </tp>
      <tp t="s">
        <v>#N/A Requesting Data...456638067</v>
        <stp/>
        <stp>BDP|16891514985886117312</stp>
        <tr r="D2026" s="2"/>
      </tp>
      <tp t="b">
        <v>0</v>
        <stp/>
        <stp>BDS|14258459988991006700</stp>
        <tr r="I303" s="2"/>
      </tp>
      <tp t="s">
        <v>#N/A Requesting Data...3174234752</v>
        <stp/>
        <stp>BDP|16275784787282362522</stp>
        <tr r="M2368" s="2"/>
      </tp>
      <tp t="s">
        <v>#N/A Requesting Data...1221630086</v>
        <stp/>
        <stp>BDP|10330650403090927804</stp>
        <tr r="J1245" s="2"/>
      </tp>
      <tp t="s">
        <v>#N/A Requesting Data...434815192</v>
        <stp/>
        <stp>BDP|12979616124491746974</stp>
        <tr r="C1668" s="2"/>
      </tp>
      <tp t="s">
        <v>#N/A Requesting Data...3313669593</v>
        <stp/>
        <stp>BDP|14264290540575445932</stp>
        <tr r="S490" s="2"/>
      </tp>
      <tp t="s">
        <v>#N/A Requesting Data...1817979808</v>
        <stp/>
        <stp>BDP|16113601484532906400</stp>
        <tr r="Q1751" s="2"/>
      </tp>
      <tp t="s">
        <v>#N/A Requesting Data...4000063593</v>
        <stp/>
        <stp>BDP|12622809796519928458</stp>
        <tr r="M2321" s="2"/>
      </tp>
      <tp t="s">
        <v>#N/A Requesting Data...3776221011</v>
        <stp/>
        <stp>BDP|16338698490464739318</stp>
        <tr r="J1191" s="2"/>
      </tp>
      <tp t="s">
        <v>#N/A Requesting Data...2019277155</v>
        <stp/>
        <stp>BDP|12495030794154578194</stp>
        <tr r="N607" s="2"/>
      </tp>
      <tp t="s">
        <v>#N/A Requesting Data...2821054628</v>
        <stp/>
        <stp>BDP|13275188197127071222</stp>
        <tr r="H2105" s="2"/>
      </tp>
      <tp t="s">
        <v>#N/A Requesting Data...3451702839</v>
        <stp/>
        <stp>BDP|14444168212363936967</stp>
        <tr r="K2298" s="2"/>
      </tp>
      <tp t="s">
        <v>#N/A Requesting Data...208204824</v>
        <stp/>
        <stp>BDP|15839043970318407478</stp>
        <tr r="H223" s="2"/>
      </tp>
      <tp t="s">
        <v>#N/A Requesting Data...1477916161</v>
        <stp/>
        <stp>BDP|16466154304519845028</stp>
        <tr r="S2070" s="2"/>
      </tp>
      <tp t="s">
        <v>#N/A Requesting Data...1979255311</v>
        <stp/>
        <stp>BDP|17605840504459965809</stp>
        <tr r="Q562" s="2"/>
      </tp>
      <tp t="s">
        <v>#N/A Requesting Data...2324003416</v>
        <stp/>
        <stp>BDP|10869844058873840034</stp>
        <tr r="Q875" s="2"/>
      </tp>
      <tp t="s">
        <v>#N/A Requesting Data...220785678</v>
        <stp/>
        <stp>BDP|18325351061976078587</stp>
        <tr r="H513" s="2"/>
      </tp>
      <tp t="s">
        <v>#N/A Requesting Data...220471950</v>
        <stp/>
        <stp>BDP|18379459019471399239</stp>
        <tr r="O1659" s="2"/>
      </tp>
      <tp t="s">
        <v>#N/A Requesting Data...2179233120</v>
        <stp/>
        <stp>BDP|12693923551122237282</stp>
        <tr r="R745" s="2"/>
      </tp>
      <tp t="s">
        <v>#N/A Requesting Data...1339492757</v>
        <stp/>
        <stp>BDP|12446861840241487196</stp>
        <tr r="P1537" s="2"/>
      </tp>
      <tp t="s">
        <v>#N/A Requesting Data...1831686783</v>
        <stp/>
        <stp>BDP|11383887942655783618</stp>
        <tr r="D580" s="2"/>
      </tp>
      <tp t="s">
        <v>#N/A Requesting Data...3843041190</v>
        <stp/>
        <stp>BDP|18296595566692756756</stp>
        <tr r="D2255" s="2"/>
      </tp>
      <tp t="s">
        <v>#N/A Requesting Data...603688519</v>
        <stp/>
        <stp>BDP|10984900116185278327</stp>
        <tr r="Q1242" s="2"/>
      </tp>
      <tp t="s">
        <v>#N/A Requesting Data...719080256</v>
        <stp/>
        <stp>BDP|14566253662277970949</stp>
        <tr r="O482" s="2"/>
      </tp>
      <tp t="s">
        <v>#N/A Requesting Data...4176075227</v>
        <stp/>
        <stp>BDP|16634938678550357612</stp>
        <tr r="C175" s="2"/>
      </tp>
      <tp t="s">
        <v>#N/A Requesting Data...1379228984</v>
        <stp/>
        <stp>BDP|17722286675175091955</stp>
        <tr r="K1791" s="2"/>
      </tp>
      <tp t="s">
        <v>#N/A Requesting Data...1154791962</v>
        <stp/>
        <stp>BDP|16586516362379868213</stp>
        <tr r="R655" s="2"/>
      </tp>
      <tp t="s">
        <v>#N/A Requesting Data...2294985798</v>
        <stp/>
        <stp>BDP|10195257258559637050</stp>
        <tr r="K285" s="2"/>
      </tp>
      <tp t="s">
        <v>#N/A Requesting Data...4001881465</v>
        <stp/>
        <stp>BDP|17365868106779847845</stp>
        <tr r="P1680" s="2"/>
      </tp>
      <tp t="s">
        <v>#N/A Requesting Data...816920837</v>
        <stp/>
        <stp>BDP|10459132518069989797</stp>
        <tr r="C1953" s="2"/>
      </tp>
      <tp t="s">
        <v>#N/A Requesting Data...1647827450</v>
        <stp/>
        <stp>BDP|12284285330698042550</stp>
        <tr r="J1526" s="2"/>
      </tp>
      <tp t="s">
        <v>#N/A Requesting Data...1359378007</v>
        <stp/>
        <stp>BDP|11282560800049250392</stp>
        <tr r="R744" s="2"/>
      </tp>
      <tp t="s">
        <v>#N/A Requesting Data...3195752790</v>
        <stp/>
        <stp>BDP|16902197890881697199</stp>
        <tr r="A1776" s="2"/>
      </tp>
      <tp t="s">
        <v>#N/A Requesting Data...2507067014</v>
        <stp/>
        <stp>BDP|11876089378340749807</stp>
        <tr r="O959" s="2"/>
      </tp>
      <tp t="s">
        <v>#N/A Requesting Data...1043135034</v>
        <stp/>
        <stp>BDP|16395421883285932147</stp>
        <tr r="T1303" s="2"/>
      </tp>
      <tp t="s">
        <v>#N/A Requesting Data...1288575268</v>
        <stp/>
        <stp>BDP|10965336798987863352</stp>
        <tr r="D2462" s="2"/>
      </tp>
      <tp t="s">
        <v>#N/A Requesting Data...1423694508</v>
        <stp/>
        <stp>BDP|13742193675923503813</stp>
        <tr r="J2010" s="2"/>
      </tp>
      <tp t="s">
        <v>#N/A Requesting Data...3792136471</v>
        <stp/>
        <stp>BDP|15582337785514805447</stp>
        <tr r="Q2502" s="2"/>
      </tp>
      <tp t="s">
        <v>#N/A Requesting Data...1513386369</v>
        <stp/>
        <stp>BDP|14673504558252343828</stp>
        <tr r="S2415" s="2"/>
      </tp>
      <tp t="s">
        <v>#N/A Requesting Data...1139586335</v>
        <stp/>
        <stp>BDP|17282294063474215954</stp>
        <tr r="G1270" s="2"/>
      </tp>
      <tp t="s">
        <v>#N/A Requesting Data...4077775775</v>
        <stp/>
        <stp>BDP|18352600589509645139</stp>
        <tr r="H2352" s="2"/>
      </tp>
      <tp t="s">
        <v>#N/A Requesting Data...2380298346</v>
        <stp/>
        <stp>BDP|12801503862726007958</stp>
        <tr r="P5" s="2"/>
      </tp>
      <tp t="s">
        <v>#N/A Requesting Data...281792427</v>
        <stp/>
        <stp>BDP|11617527348679292715</stp>
        <tr r="Q1022" s="2"/>
      </tp>
      <tp t="s">
        <v>#N/A Requesting Data...3078345553</v>
        <stp/>
        <stp>BDP|12836405783327690720</stp>
        <tr r="J1993" s="2"/>
      </tp>
      <tp t="s">
        <v>#N/A Requesting Data...241208822</v>
        <stp/>
        <stp>BDP|15884350471408073737</stp>
        <tr r="G332" s="2"/>
      </tp>
      <tp t="s">
        <v>#N/A Requesting Data...304917417</v>
        <stp/>
        <stp>BDP|18149182972879199954</stp>
        <tr r="F1563" s="2"/>
      </tp>
      <tp t="s">
        <v>#N/A Requesting Data...2491104739</v>
        <stp/>
        <stp>BDP|11664451241526900941</stp>
        <tr r="R1379" s="2"/>
      </tp>
      <tp t="s">
        <v>#N/A Requesting Data...2327826950</v>
        <stp/>
        <stp>BDP|10611665629242316855</stp>
        <tr r="T1182" s="2"/>
      </tp>
      <tp t="s">
        <v>#N/A Requesting Data...4290383969</v>
        <stp/>
        <stp>BDP|10226851870209959816</stp>
        <tr r="O501" s="2"/>
      </tp>
      <tp t="s">
        <v>#N/A Requesting Data...2830391628</v>
        <stp/>
        <stp>BDP|17652681289277810005</stp>
        <tr r="C1218" s="2"/>
      </tp>
      <tp t="s">
        <v>#N/A Requesting Data...3095469074</v>
        <stp/>
        <stp>BDP|11803846384316078973</stp>
        <tr r="K1513" s="2"/>
      </tp>
      <tp t="s">
        <v>#N/A Requesting Data...3280283135</v>
        <stp/>
        <stp>BDP|13306629528881711811</stp>
        <tr r="C2359" s="2"/>
      </tp>
      <tp t="s">
        <v>#N/A Requesting Data...3372681063</v>
        <stp/>
        <stp>BDP|11412443789381449224</stp>
        <tr r="Q1378" s="2"/>
      </tp>
      <tp t="s">
        <v>#N/A Requesting Data...2465427307</v>
        <stp/>
        <stp>BDP|11492887851931016326</stp>
        <tr r="O1928" s="2"/>
      </tp>
      <tp t="s">
        <v>#N/A Requesting Data...3756976750</v>
        <stp/>
        <stp>BDP|12289669999092093128</stp>
        <tr r="O663" s="2"/>
      </tp>
      <tp t="s">
        <v>#N/A Requesting Data...1674298338</v>
        <stp/>
        <stp>BDP|11982863070609695964</stp>
        <tr r="T2439" s="2"/>
      </tp>
      <tp t="s">
        <v>#N/A Requesting Data...546051049</v>
        <stp/>
        <stp>BDP|12116380249058983369</stp>
        <tr r="N1683" s="2"/>
      </tp>
      <tp t="s">
        <v>#N/A Requesting Data...677442434</v>
        <stp/>
        <stp>BDP|17149539448938602033</stp>
        <tr r="P779" s="2"/>
      </tp>
      <tp t="s">
        <v>#N/A Requesting Data...435737238</v>
        <stp/>
        <stp>BDP|16428474109338625430</stp>
        <tr r="H1042" s="2"/>
      </tp>
      <tp t="s">
        <v>#N/A Requesting Data...1924025304</v>
        <stp/>
        <stp>BDP|14719766291352720681</stp>
        <tr r="S1796" s="2"/>
      </tp>
      <tp t="s">
        <v>#N/A Requesting Data...1497466020</v>
        <stp/>
        <stp>BDP|10273794135619952387</stp>
        <tr r="R2406" s="2"/>
      </tp>
      <tp t="s">
        <v>#N/A Requesting Data...2588514940</v>
        <stp/>
        <stp>BDP|10712983507746201152</stp>
        <tr r="T1981" s="2"/>
      </tp>
      <tp t="s">
        <v>#N/A Requesting Data...1975981774</v>
        <stp/>
        <stp>BDP|12953243562859315139</stp>
        <tr r="F2016" s="2"/>
      </tp>
      <tp t="s">
        <v>#N/A Requesting Data...1296725401</v>
        <stp/>
        <stp>BDP|13076836901961484495</stp>
        <tr r="G873" s="2"/>
      </tp>
      <tp t="s">
        <v>#N/A Requesting Data...774523262</v>
        <stp/>
        <stp>BDP|11508171115226954913</stp>
        <tr r="R1695" s="2"/>
      </tp>
      <tp t="s">
        <v>#N/A Requesting Data...783023214</v>
        <stp/>
        <stp>BDP|17023165661698166692</stp>
        <tr r="M501" s="2"/>
      </tp>
      <tp t="s">
        <v>#N/A Requesting Data...3167529185</v>
        <stp/>
        <stp>BDP|12044352981302368586</stp>
        <tr r="T1164" s="2"/>
      </tp>
      <tp t="s">
        <v>#N/A Requesting Data...3866101090</v>
        <stp/>
        <stp>BDP|15820668493706104238</stp>
        <tr r="K1583" s="2"/>
      </tp>
      <tp t="s">
        <v>#N/A Requesting Data...2087199265</v>
        <stp/>
        <stp>BDP|16499891570734380313</stp>
        <tr r="F739" s="2"/>
      </tp>
      <tp t="s">
        <v>#N/A Requesting Data...2577436098</v>
        <stp/>
        <stp>BDP|10026589910412335848</stp>
        <tr r="G1659" s="2"/>
      </tp>
      <tp t="s">
        <v>#N/A Requesting Data...1168537540</v>
        <stp/>
        <stp>BDP|14193631538617033859</stp>
        <tr r="S537" s="2"/>
      </tp>
      <tp t="b">
        <v>0</v>
        <stp/>
        <stp>BDS|16269497000788632411</stp>
        <tr r="I2430" s="2"/>
      </tp>
      <tp t="b">
        <v>0</v>
        <stp/>
        <stp>BDS|17368064034013984951</stp>
        <tr r="I315" s="2"/>
      </tp>
      <tp t="s">
        <v>#N/A Requesting Data...1586177029</v>
        <stp/>
        <stp>BDP|18146733789988623137</stp>
        <tr r="H551" s="2"/>
      </tp>
      <tp t="s">
        <v>#N/A Requesting Data...1151406012</v>
        <stp/>
        <stp>BDP|11986425085606353535</stp>
        <tr r="J117" s="2"/>
      </tp>
      <tp t="s">
        <v>#N/A Requesting Data...1086394728</v>
        <stp/>
        <stp>BDP|11133031131658495496</stp>
        <tr r="H1889" s="2"/>
      </tp>
      <tp t="s">
        <v>#N/A Requesting Data...3831653486</v>
        <stp/>
        <stp>BDP|15319249238619773363</stp>
        <tr r="D1632" s="2"/>
      </tp>
      <tp t="s">
        <v>#N/A Requesting Data...1279140346</v>
        <stp/>
        <stp>BDP|18185146693369870700</stp>
        <tr r="P1896" s="2"/>
      </tp>
      <tp t="s">
        <v>#N/A Requesting Data...1014727590</v>
        <stp/>
        <stp>BDP|11940649462426302923</stp>
        <tr r="A1791" s="2"/>
      </tp>
      <tp t="s">
        <v>#N/A Requesting Data...3383291099</v>
        <stp/>
        <stp>BDP|17730835954424989070</stp>
        <tr r="H1673" s="2"/>
      </tp>
      <tp t="s">
        <v>#N/A Requesting Data...1855179890</v>
        <stp/>
        <stp>BDP|15781260979826092860</stp>
        <tr r="J1801" s="2"/>
      </tp>
      <tp t="s">
        <v>#N/A Requesting Data...2459447635</v>
        <stp/>
        <stp>BDP|16043391892872358061</stp>
        <tr r="G399" s="2"/>
      </tp>
      <tp t="s">
        <v>#N/A Requesting Data...3718111538</v>
        <stp/>
        <stp>BDP|15521919154162820560</stp>
        <tr r="S99" s="2"/>
      </tp>
      <tp t="s">
        <v>#N/A Requesting Data...1091932258</v>
        <stp/>
        <stp>BDP|16852469460462640864</stp>
        <tr r="R2267" s="2"/>
      </tp>
      <tp t="s">
        <v>#N/A Requesting Data...3812615869</v>
        <stp/>
        <stp>BDP|17900466399233128799</stp>
        <tr r="P2283" s="2"/>
      </tp>
      <tp t="s">
        <v>#N/A Requesting Data...4035720964</v>
        <stp/>
        <stp>BDP|11895523886104537677</stp>
        <tr r="F453" s="2"/>
      </tp>
      <tp t="s">
        <v>#N/A Requesting Data...2119382032</v>
        <stp/>
        <stp>BDP|10843654276956503906</stp>
        <tr r="O1341" s="2"/>
      </tp>
      <tp t="s">
        <v>#N/A Requesting Data...1919435407</v>
        <stp/>
        <stp>BDP|16017226791140984341</stp>
        <tr r="M2472" s="2"/>
      </tp>
      <tp t="s">
        <v>#N/A Requesting Data...2873686680</v>
        <stp/>
        <stp>BDP|14228363198025172538</stp>
        <tr r="H1593" s="2"/>
      </tp>
      <tp t="s">
        <v>#N/A Requesting Data...2988076462</v>
        <stp/>
        <stp>BDP|17879297586355159688</stp>
        <tr r="Q1309" s="2"/>
      </tp>
      <tp t="s">
        <v>#N/A Requesting Data...3322207848</v>
        <stp/>
        <stp>BDP|10100228998000755520</stp>
        <tr r="E582" s="2"/>
      </tp>
      <tp t="s">
        <v>#N/A Requesting Data...2913077307</v>
        <stp/>
        <stp>BDP|17858930437222392113</stp>
        <tr r="G1892" s="2"/>
      </tp>
      <tp t="b">
        <v>0</v>
        <stp/>
        <stp>BDS|16825652666349279149</stp>
        <tr r="I757" s="2"/>
      </tp>
      <tp t="s">
        <v>#N/A Requesting Data...875405914</v>
        <stp/>
        <stp>BDP|12788901458072001214</stp>
        <tr r="H2020" s="2"/>
      </tp>
      <tp t="s">
        <v>#N/A Requesting Data...3932922594</v>
        <stp/>
        <stp>BDP|16699829023530890211</stp>
        <tr r="R1607" s="2"/>
      </tp>
      <tp t="s">
        <v>#N/A Requesting Data...3661789044</v>
        <stp/>
        <stp>BDP|10551603557804971954</stp>
        <tr r="R1159" s="2"/>
      </tp>
      <tp t="s">
        <v>#N/A Requesting Data...405408744</v>
        <stp/>
        <stp>BDP|12977791314918945236</stp>
        <tr r="E1015" s="2"/>
      </tp>
      <tp t="s">
        <v>#N/A Requesting Data...1577149583</v>
        <stp/>
        <stp>BDP|17556851520233683083</stp>
        <tr r="N2079" s="2"/>
      </tp>
      <tp t="s">
        <v>#N/A Requesting Data...2784670252</v>
        <stp/>
        <stp>BDP|18376451603284903628</stp>
        <tr r="D1670" s="2"/>
      </tp>
      <tp t="s">
        <v>#N/A Requesting Data...941183395</v>
        <stp/>
        <stp>BDP|13512279630534943855</stp>
        <tr r="Q347" s="2"/>
      </tp>
      <tp t="s">
        <v>#N/A Requesting Data...3054810169</v>
        <stp/>
        <stp>BDP|13642098240440055911</stp>
        <tr r="Q788" s="2"/>
      </tp>
      <tp t="s">
        <v>#N/A Requesting Data...2432180364</v>
        <stp/>
        <stp>BDP|17011483393476794223</stp>
        <tr r="S548" s="2"/>
      </tp>
      <tp t="s">
        <v>#N/A Requesting Data...3708826839</v>
        <stp/>
        <stp>BDP|13957432099830576084</stp>
        <tr r="M363" s="2"/>
      </tp>
      <tp t="s">
        <v>#N/A Requesting Data...2477222943</v>
        <stp/>
        <stp>BDP|10026924964507840604</stp>
        <tr r="G2478" s="2"/>
      </tp>
      <tp t="s">
        <v>#N/A Requesting Data...2149093449</v>
        <stp/>
        <stp>BDP|11841735881874188452</stp>
        <tr r="C2109" s="2"/>
      </tp>
      <tp t="s">
        <v>#N/A Requesting Data...558640444</v>
        <stp/>
        <stp>BDP|15727456280614889348</stp>
        <tr r="H1539" s="2"/>
      </tp>
      <tp t="s">
        <v>#N/A Requesting Data...4193982777</v>
        <stp/>
        <stp>BDP|13498599313509637067</stp>
        <tr r="O2027" s="2"/>
      </tp>
      <tp t="s">
        <v>#N/A Requesting Data...3491326326</v>
        <stp/>
        <stp>BDP|13256080679582982849</stp>
        <tr r="J1606" s="2"/>
      </tp>
      <tp t="s">
        <v>#N/A Requesting Data...3728608694</v>
        <stp/>
        <stp>BDP|14282629838176038962</stp>
        <tr r="Q2395" s="2"/>
      </tp>
      <tp t="s">
        <v>#N/A Requesting Data...3168351204</v>
        <stp/>
        <stp>BDP|15900944253234566351</stp>
        <tr r="K52" s="2"/>
      </tp>
      <tp t="s">
        <v>#N/A Requesting Data...2966208580</v>
        <stp/>
        <stp>BDP|16911887536512864114</stp>
        <tr r="P1859" s="2"/>
      </tp>
      <tp t="s">
        <v>#N/A Requesting Data...2513908347</v>
        <stp/>
        <stp>BDP|16632323755236919863</stp>
        <tr r="K253" s="2"/>
      </tp>
      <tp t="s">
        <v>#N/A Requesting Data...2419582457</v>
        <stp/>
        <stp>BDP|11310548826991645994</stp>
        <tr r="G1170" s="2"/>
      </tp>
      <tp t="s">
        <v>#N/A Requesting Data...3869853950</v>
        <stp/>
        <stp>BDP|16110708582817850054</stp>
        <tr r="S1159" s="2"/>
      </tp>
      <tp t="s">
        <v>#N/A Requesting Data...3663429085</v>
        <stp/>
        <stp>BDP|18196277268481688362</stp>
        <tr r="D1274" s="2"/>
      </tp>
      <tp t="s">
        <v>#N/A Requesting Data...1673131152</v>
        <stp/>
        <stp>BDP|12299612606903972922</stp>
        <tr r="D865" s="2"/>
      </tp>
      <tp t="s">
        <v>#N/A Requesting Data...2893465444</v>
        <stp/>
        <stp>BDP|14804507987602123504</stp>
        <tr r="M1746" s="2"/>
      </tp>
      <tp t="s">
        <v>#N/A Requesting Data...2623302764</v>
        <stp/>
        <stp>BDP|18384904680060420799</stp>
        <tr r="Q1406" s="2"/>
      </tp>
      <tp t="s">
        <v>#N/A Requesting Data...553052735</v>
        <stp/>
        <stp>BDP|16802842510045624447</stp>
        <tr r="F1185" s="2"/>
      </tp>
      <tp t="s">
        <v>#N/A Requesting Data...4147654206</v>
        <stp/>
        <stp>BDP|16984706849552795994</stp>
        <tr r="D979" s="2"/>
      </tp>
      <tp t="s">
        <v>#N/A Requesting Data...3599415641</v>
        <stp/>
        <stp>BDP|17402295263399455445</stp>
        <tr r="G355" s="2"/>
      </tp>
      <tp t="s">
        <v>#N/A Requesting Data...4248684779</v>
        <stp/>
        <stp>BDP|13894416723848559314</stp>
        <tr r="S1178" s="2"/>
      </tp>
      <tp t="s">
        <v>#N/A Requesting Data...2272746588</v>
        <stp/>
        <stp>BDP|15299628181615851074</stp>
        <tr r="A1051" s="2"/>
      </tp>
      <tp t="s">
        <v>#N/A Requesting Data...1748334057</v>
        <stp/>
        <stp>BDP|18411986426874798930</stp>
        <tr r="G2169" s="2"/>
      </tp>
      <tp t="s">
        <v>#N/A Requesting Data...4026929649</v>
        <stp/>
        <stp>BDP|10175979502757866029</stp>
        <tr r="O1314" s="2"/>
      </tp>
      <tp t="s">
        <v>#N/A Requesting Data...3541258173</v>
        <stp/>
        <stp>BDP|12604978138802557423</stp>
        <tr r="A1282" s="2"/>
      </tp>
      <tp t="s">
        <v>#N/A Requesting Data...2777971334</v>
        <stp/>
        <stp>BDP|17942390389390205252</stp>
        <tr r="P2438" s="2"/>
      </tp>
      <tp t="s">
        <v>#N/A Requesting Data...2010033619</v>
        <stp/>
        <stp>BDP|15733666109789712416</stp>
        <tr r="G389" s="2"/>
      </tp>
      <tp t="b">
        <v>0</v>
        <stp/>
        <stp>BDS|18069400728278494819</stp>
        <tr r="I1060" s="2"/>
      </tp>
      <tp t="s">
        <v>#N/A Requesting Data...2735368588</v>
        <stp/>
        <stp>BDP|11280193486486293012</stp>
        <tr r="P275" s="2"/>
      </tp>
      <tp t="b">
        <v>0</v>
        <stp/>
        <stp>BDS|16665140647908829509</stp>
        <tr r="I222" s="2"/>
      </tp>
      <tp t="s">
        <v>#N/A Requesting Data...573152834</v>
        <stp/>
        <stp>BDP|12863333016267752946</stp>
        <tr r="S1053" s="2"/>
      </tp>
      <tp t="s">
        <v>#N/A Requesting Data...2090456227</v>
        <stp/>
        <stp>BDP|12878193131877919979</stp>
        <tr r="M1548" s="2"/>
      </tp>
      <tp t="s">
        <v>#N/A Requesting Data...486302550</v>
        <stp/>
        <stp>BDP|10904147484204995317</stp>
        <tr r="O2156" s="2"/>
      </tp>
      <tp t="s">
        <v>#N/A Requesting Data...2940805319</v>
        <stp/>
        <stp>BDP|13415242661741470848</stp>
        <tr r="S899" s="2"/>
      </tp>
      <tp t="s">
        <v>#N/A Requesting Data...3741590677</v>
        <stp/>
        <stp>BDP|11501275132589039718</stp>
        <tr r="K2254" s="2"/>
      </tp>
      <tp t="s">
        <v>#N/A Requesting Data...1235761689</v>
        <stp/>
        <stp>BDP|12046709127540752916</stp>
        <tr r="J55" s="2"/>
      </tp>
      <tp t="b">
        <v>0</v>
        <stp/>
        <stp>BDS|15046395199564370518</stp>
        <tr r="I1388" s="2"/>
      </tp>
      <tp t="s">
        <v>#N/A Requesting Data...699539861</v>
        <stp/>
        <stp>BDP|14119043664444897885</stp>
        <tr r="G2140" s="2"/>
      </tp>
      <tp t="s">
        <v>#N/A Requesting Data...2835031059</v>
        <stp/>
        <stp>BDP|16517004917959602056</stp>
        <tr r="C2527" s="2"/>
      </tp>
      <tp t="s">
        <v>#N/A Requesting Data...2020385282</v>
        <stp/>
        <stp>BDP|15209486984366773188</stp>
        <tr r="M804" s="2"/>
      </tp>
      <tp t="s">
        <v>#N/A Requesting Data...2740507056</v>
        <stp/>
        <stp>BDP|11018016572499110138</stp>
        <tr r="K940" s="2"/>
      </tp>
      <tp t="s">
        <v>#N/A Requesting Data...2217779393</v>
        <stp/>
        <stp>BDP|14406848814600246373</stp>
        <tr r="K671" s="2"/>
      </tp>
      <tp t="s">
        <v>#N/A Requesting Data...2926954120</v>
        <stp/>
        <stp>BDP|15225391290052889322</stp>
        <tr r="M512" s="2"/>
      </tp>
      <tp t="s">
        <v>#N/A Requesting Data...2920040380</v>
        <stp/>
        <stp>BDP|11445381835288071789</stp>
        <tr r="S1621" s="2"/>
      </tp>
      <tp t="s">
        <v>#N/A Requesting Data...1129916340</v>
        <stp/>
        <stp>BDP|18361336326803731402</stp>
        <tr r="P1356" s="2"/>
      </tp>
      <tp t="s">
        <v>#N/A Requesting Data...4165848889</v>
        <stp/>
        <stp>BDP|16565982186980841921</stp>
        <tr r="E2462" s="2"/>
      </tp>
      <tp t="s">
        <v>#N/A Requesting Data...645005109</v>
        <stp/>
        <stp>BDP|11550168773021359820</stp>
        <tr r="N288" s="2"/>
      </tp>
      <tp t="s">
        <v>#N/A Requesting Data...2124887647</v>
        <stp/>
        <stp>BDP|16285954841000512525</stp>
        <tr r="G1776" s="2"/>
      </tp>
      <tp t="s">
        <v>#N/A Requesting Data...1575948772</v>
        <stp/>
        <stp>BDP|17180610880084905380</stp>
        <tr r="C1370" s="2"/>
      </tp>
      <tp t="s">
        <v>#N/A Requesting Data...1237785642</v>
        <stp/>
        <stp>BDP|10567949342566755557</stp>
        <tr r="T1989" s="2"/>
      </tp>
      <tp t="s">
        <v>#N/A Requesting Data...774149452</v>
        <stp/>
        <stp>BDP|15786643211688000432</stp>
        <tr r="A903" s="2"/>
      </tp>
      <tp t="s">
        <v>#N/A Requesting Data...3011072694</v>
        <stp/>
        <stp>BDP|17436341241966807884</stp>
        <tr r="T2260" s="2"/>
      </tp>
      <tp t="s">
        <v>#N/A Requesting Data...3439913339</v>
        <stp/>
        <stp>BDP|12856593142978481568</stp>
        <tr r="J122" s="2"/>
      </tp>
      <tp t="s">
        <v>#N/A Requesting Data...3083326900</v>
        <stp/>
        <stp>BDP|16915669698586269144</stp>
        <tr r="H2487" s="2"/>
      </tp>
      <tp t="s">
        <v>#N/A Requesting Data...1326254782</v>
        <stp/>
        <stp>BDP|17443016393922141261</stp>
        <tr r="F23" s="2"/>
      </tp>
      <tp t="s">
        <v>#N/A Requesting Data...1265177282</v>
        <stp/>
        <stp>BDP|11240709898119940825</stp>
        <tr r="T2070" s="2"/>
      </tp>
      <tp t="s">
        <v>#N/A Requesting Data...3877366633</v>
        <stp/>
        <stp>BDP|16719253064389047578</stp>
        <tr r="S2487" s="2"/>
      </tp>
      <tp t="s">
        <v>#N/A Requesting Data...1855428351</v>
        <stp/>
        <stp>BDP|13777838461783238066</stp>
        <tr r="N863" s="2"/>
      </tp>
      <tp t="s">
        <v>#N/A Requesting Data...3568570301</v>
        <stp/>
        <stp>BDP|18303674106082683250</stp>
        <tr r="R155" s="2"/>
      </tp>
      <tp t="s">
        <v>#N/A Requesting Data...3609595660</v>
        <stp/>
        <stp>BDP|12737620751836719926</stp>
        <tr r="J2404" s="2"/>
      </tp>
      <tp t="s">
        <v>#N/A Requesting Data...3595345306</v>
        <stp/>
        <stp>BDP|18166444010054085746</stp>
        <tr r="F1772" s="2"/>
      </tp>
      <tp t="s">
        <v>#N/A Requesting Data...3455764612</v>
        <stp/>
        <stp>BDP|12870732683004195780</stp>
        <tr r="N822" s="2"/>
      </tp>
      <tp t="s">
        <v>#N/A Requesting Data...918856035</v>
        <stp/>
        <stp>BDP|10458572150236308819</stp>
        <tr r="O449" s="2"/>
      </tp>
      <tp t="s">
        <v>#N/A Requesting Data...1798273673</v>
        <stp/>
        <stp>BDP|12024596998770896089</stp>
        <tr r="K728" s="2"/>
      </tp>
      <tp t="s">
        <v>#N/A Requesting Data...3230655312</v>
        <stp/>
        <stp>BDP|17893545711895831844</stp>
        <tr r="N1799" s="2"/>
      </tp>
      <tp t="s">
        <v>#N/A Requesting Data...3660775508</v>
        <stp/>
        <stp>BDP|17579666642512507957</stp>
        <tr r="J45" s="2"/>
      </tp>
      <tp t="b">
        <v>0</v>
        <stp/>
        <stp>BDS|13756072366592055944</stp>
        <tr r="I939" s="2"/>
      </tp>
      <tp t="s">
        <v>#N/A Requesting Data...3135875978</v>
        <stp/>
        <stp>BDP|16477867504827538728</stp>
        <tr r="G1752" s="2"/>
      </tp>
      <tp t="s">
        <v>#N/A Requesting Data...3625697765</v>
        <stp/>
        <stp>BDP|11104710185205661527</stp>
        <tr r="N1864" s="2"/>
      </tp>
      <tp t="s">
        <v>#N/A Requesting Data...2156219928</v>
        <stp/>
        <stp>BDP|12803385666300301945</stp>
        <tr r="T198" s="2"/>
      </tp>
      <tp t="s">
        <v>#N/A Requesting Data...2415330825</v>
        <stp/>
        <stp>BDP|16682451841781492974</stp>
        <tr r="R131" s="2"/>
      </tp>
      <tp t="s">
        <v>#N/A Requesting Data...1744312925</v>
        <stp/>
        <stp>BDP|14624414180546473027</stp>
        <tr r="N807" s="2"/>
      </tp>
      <tp t="s">
        <v>#N/A Requesting Data...2061324479</v>
        <stp/>
        <stp>BDP|18250044902252781429</stp>
        <tr r="N1143" s="2"/>
      </tp>
      <tp t="s">
        <v>#N/A Requesting Data...3325994216</v>
        <stp/>
        <stp>BDP|12116722985782778101</stp>
        <tr r="G1806" s="2"/>
      </tp>
      <tp t="s">
        <v>#N/A Requesting Data...2183162378</v>
        <stp/>
        <stp>BDP|15332911014735307647</stp>
        <tr r="H1544" s="2"/>
      </tp>
      <tp t="s">
        <v>#N/A Requesting Data...777476601</v>
        <stp/>
        <stp>BDP|13395933756533352248</stp>
        <tr r="Q659" s="2"/>
      </tp>
      <tp t="s">
        <v>#N/A Requesting Data...3765419868</v>
        <stp/>
        <stp>BDP|15727844263435209033</stp>
        <tr r="C1054" s="2"/>
      </tp>
      <tp t="s">
        <v>#N/A Requesting Data...3356423828</v>
        <stp/>
        <stp>BDP|17212953646973489742</stp>
        <tr r="S835" s="2"/>
      </tp>
      <tp t="s">
        <v>#N/A Requesting Data...4020807694</v>
        <stp/>
        <stp>BDP|17347024255269729521</stp>
        <tr r="J2290" s="2"/>
      </tp>
      <tp t="s">
        <v>#N/A Requesting Data...655754525</v>
        <stp/>
        <stp>BDP|18346743445050172521</stp>
        <tr r="S1936" s="2"/>
      </tp>
      <tp t="s">
        <v>#N/A Requesting Data...3874641791</v>
        <stp/>
        <stp>BDP|15359190139499345014</stp>
        <tr r="K145" s="2"/>
      </tp>
      <tp t="s">
        <v>#N/A Requesting Data...2910589242</v>
        <stp/>
        <stp>BDP|12111837432142876591</stp>
        <tr r="R1047" s="2"/>
      </tp>
      <tp t="s">
        <v>#N/A Requesting Data...3782662700</v>
        <stp/>
        <stp>BDP|13951314257779923275</stp>
        <tr r="C1842" s="2"/>
      </tp>
      <tp t="s">
        <v>#N/A Requesting Data...2774622237</v>
        <stp/>
        <stp>BDP|16794003795490772149</stp>
        <tr r="R1667" s="2"/>
      </tp>
      <tp t="s">
        <v>#N/A Requesting Data...2378243319</v>
        <stp/>
        <stp>BDP|16282969113306738611</stp>
        <tr r="A219" s="2"/>
      </tp>
      <tp t="s">
        <v>#N/A Requesting Data...3096675478</v>
        <stp/>
        <stp>BDP|10857993760637607660</stp>
        <tr r="C779" s="2"/>
      </tp>
      <tp t="s">
        <v>#N/A Requesting Data...1471843427</v>
        <stp/>
        <stp>BDP|12597459549665162990</stp>
        <tr r="A1712" s="2"/>
      </tp>
      <tp t="s">
        <v>#N/A Requesting Data...1724283612</v>
        <stp/>
        <stp>BDP|16630622293864496320</stp>
        <tr r="D1973" s="2"/>
      </tp>
      <tp t="s">
        <v>#N/A Requesting Data...3088900734</v>
        <stp/>
        <stp>BDP|10829743896946969629</stp>
        <tr r="C604" s="2"/>
      </tp>
      <tp t="b">
        <v>0</v>
        <stp/>
        <stp>BDS|10882908117282937446</stp>
        <tr r="I1459" s="2"/>
      </tp>
      <tp t="s">
        <v>#N/A Requesting Data...2913142046</v>
        <stp/>
        <stp>BDP|15339564112518761713</stp>
        <tr r="K2266" s="2"/>
      </tp>
      <tp t="s">
        <v>#N/A Requesting Data...1854156427</v>
        <stp/>
        <stp>BDP|14732916706543567041</stp>
        <tr r="T207" s="2"/>
      </tp>
      <tp t="s">
        <v>#N/A Requesting Data...705798095</v>
        <stp/>
        <stp>BDP|15026351092547683609</stp>
        <tr r="R723" s="2"/>
      </tp>
      <tp t="s">
        <v>#N/A Requesting Data...1080605711</v>
        <stp/>
        <stp>BDP|12529054427288645607</stp>
        <tr r="O2147" s="2"/>
      </tp>
      <tp t="s">
        <v>#N/A Requesting Data...1278073185</v>
        <stp/>
        <stp>BDP|16161446509669841555</stp>
        <tr r="R2421" s="2"/>
      </tp>
      <tp t="s">
        <v>#N/A Requesting Data...826646616</v>
        <stp/>
        <stp>BDP|18193172257244277629</stp>
        <tr r="E2180" s="2"/>
      </tp>
      <tp t="s">
        <v>#N/A Requesting Data...3510653278</v>
        <stp/>
        <stp>BDP|13776928407642473678</stp>
        <tr r="C1711" s="2"/>
      </tp>
      <tp t="s">
        <v>#N/A Requesting Data...3041687763</v>
        <stp/>
        <stp>BDP|13977780542557210905</stp>
        <tr r="S1778" s="2"/>
      </tp>
      <tp t="s">
        <v>#N/A Requesting Data...1563201331</v>
        <stp/>
        <stp>BDP|10401964131706446261</stp>
        <tr r="C36" s="2"/>
      </tp>
      <tp t="s">
        <v>#N/A Requesting Data...791319185</v>
        <stp/>
        <stp>BDP|17478901664405028316</stp>
        <tr r="G1347" s="2"/>
      </tp>
      <tp t="s">
        <v>#N/A Requesting Data...2785631848</v>
        <stp/>
        <stp>BDP|13061678786841961296</stp>
        <tr r="H1745" s="2"/>
      </tp>
      <tp t="s">
        <v>#N/A Requesting Data...631321196</v>
        <stp/>
        <stp>BDP|15161865954632133433</stp>
        <tr r="T1418" s="2"/>
      </tp>
      <tp t="s">
        <v>#N/A Requesting Data...1425485987</v>
        <stp/>
        <stp>BDP|10338819550046782547</stp>
        <tr r="T672" s="2"/>
      </tp>
      <tp t="s">
        <v>#N/A Requesting Data...752548846</v>
        <stp/>
        <stp>BDP|18038936571108578066</stp>
        <tr r="K553" s="2"/>
      </tp>
      <tp t="s">
        <v>#N/A Requesting Data...2343796667</v>
        <stp/>
        <stp>BDP|13011148501989628527</stp>
        <tr r="F1000" s="2"/>
      </tp>
      <tp t="s">
        <v>#N/A Requesting Data...3831627925</v>
        <stp/>
        <stp>BDP|12415180715768972414</stp>
        <tr r="N1859" s="2"/>
      </tp>
      <tp t="s">
        <v>#N/A Requesting Data...1363584293</v>
        <stp/>
        <stp>BDP|11206599193931049290</stp>
        <tr r="A1355" s="2"/>
      </tp>
      <tp t="s">
        <v>#N/A Requesting Data...2493656646</v>
        <stp/>
        <stp>BDP|17369364459756545985</stp>
        <tr r="T728" s="2"/>
      </tp>
      <tp t="s">
        <v>#N/A Requesting Data...664265120</v>
        <stp/>
        <stp>BDP|16469493708649752532</stp>
        <tr r="N456" s="2"/>
      </tp>
      <tp t="s">
        <v>#N/A Requesting Data...2307208390</v>
        <stp/>
        <stp>BDP|16928399176434492832</stp>
        <tr r="E2252" s="2"/>
      </tp>
      <tp t="s">
        <v>#N/A Requesting Data...1890067576</v>
        <stp/>
        <stp>BDP|16557783115746059890</stp>
        <tr r="Q5" s="2"/>
      </tp>
      <tp t="b">
        <v>0</v>
        <stp/>
        <stp>BDS|18131270630412472504</stp>
        <tr r="I629" s="2"/>
      </tp>
      <tp t="b">
        <v>0</v>
        <stp/>
        <stp>BDS|17235385229758622077</stp>
        <tr r="I2318" s="2"/>
      </tp>
      <tp t="s">
        <v>#N/A Requesting Data...2077996664</v>
        <stp/>
        <stp>BDP|18246428266812566626</stp>
        <tr r="P1524" s="2"/>
      </tp>
      <tp t="s">
        <v>#N/A Requesting Data...1793270785</v>
        <stp/>
        <stp>BDP|11769558102713152917</stp>
        <tr r="S1017" s="2"/>
      </tp>
      <tp t="s">
        <v>#N/A Requesting Data...3279822289</v>
        <stp/>
        <stp>BDP|12179510495767589703</stp>
        <tr r="S1965" s="2"/>
      </tp>
      <tp t="s">
        <v>#N/A Requesting Data...3838948055</v>
        <stp/>
        <stp>BDP|16908181745645699825</stp>
        <tr r="E784" s="2"/>
      </tp>
      <tp t="s">
        <v>#N/A Requesting Data...3202015228</v>
        <stp/>
        <stp>BDP|15776728414464938982</stp>
        <tr r="A823" s="2"/>
      </tp>
      <tp t="s">
        <v>#N/A Requesting Data...4102825966</v>
        <stp/>
        <stp>BDP|13556078243421138800</stp>
        <tr r="Q1760" s="2"/>
      </tp>
      <tp t="s">
        <v>#N/A Requesting Data...1827698803</v>
        <stp/>
        <stp>BDP|15128026605622094961</stp>
        <tr r="N1155" s="2"/>
      </tp>
      <tp t="s">
        <v>#N/A Requesting Data...3353579095</v>
        <stp/>
        <stp>BDP|15217755226069288736</stp>
        <tr r="P2104" s="2"/>
      </tp>
      <tp t="s">
        <v>#N/A Requesting Data...3199037533</v>
        <stp/>
        <stp>BDP|15326110280661078329</stp>
        <tr r="A914" s="2"/>
      </tp>
      <tp t="s">
        <v>#N/A Requesting Data...1599971584</v>
        <stp/>
        <stp>BDP|12763835618474956158</stp>
        <tr r="E2531" s="2"/>
      </tp>
      <tp t="s">
        <v>#N/A Requesting Data...2015327931</v>
        <stp/>
        <stp>BDP|16107154183514636518</stp>
        <tr r="F1303" s="2"/>
      </tp>
      <tp t="s">
        <v>#N/A Requesting Data...3372869393</v>
        <stp/>
        <stp>BDP|12249383744698885363</stp>
        <tr r="O2507" s="2"/>
      </tp>
      <tp t="s">
        <v>#N/A Requesting Data...1369651226</v>
        <stp/>
        <stp>BDP|14547901125025088404</stp>
        <tr r="D645" s="2"/>
      </tp>
      <tp t="s">
        <v>#N/A Requesting Data...1338164691</v>
        <stp/>
        <stp>BDP|17636385614978305396</stp>
        <tr r="N2112" s="2"/>
      </tp>
      <tp t="s">
        <v>#N/A Requesting Data...804858834</v>
        <stp/>
        <stp>BDP|17279962272576384150</stp>
        <tr r="T1076" s="2"/>
      </tp>
      <tp t="s">
        <v>#N/A Requesting Data...2399144377</v>
        <stp/>
        <stp>BDP|15283467826428172534</stp>
        <tr r="Q1745" s="2"/>
      </tp>
      <tp t="s">
        <v>#N/A Requesting Data...3220041259</v>
        <stp/>
        <stp>BDP|14028989905397839453</stp>
        <tr r="P1375" s="2"/>
      </tp>
      <tp t="s">
        <v>#N/A Requesting Data...1111126496</v>
        <stp/>
        <stp>BDP|13135997838860958791</stp>
        <tr r="T762" s="2"/>
      </tp>
      <tp t="s">
        <v>#N/A Requesting Data...1684284133</v>
        <stp/>
        <stp>BDP|17884662283032816553</stp>
        <tr r="G2214" s="2"/>
      </tp>
      <tp t="s">
        <v>#N/A Requesting Data...3596703050</v>
        <stp/>
        <stp>BDP|10474518743038322755</stp>
        <tr r="E2489" s="2"/>
      </tp>
      <tp t="s">
        <v>#N/A Requesting Data...2157227945</v>
        <stp/>
        <stp>BDP|14933861250020642799</stp>
        <tr r="M397" s="2"/>
      </tp>
      <tp t="s">
        <v>#N/A Requesting Data...723373337</v>
        <stp/>
        <stp>BDP|15592162375118171572</stp>
        <tr r="M17" s="2"/>
      </tp>
      <tp t="s">
        <v>#N/A Requesting Data...2074020421</v>
        <stp/>
        <stp>BDP|16642370953176291802</stp>
        <tr r="C1586" s="2"/>
      </tp>
      <tp t="b">
        <v>0</v>
        <stp/>
        <stp>BDS|16555422886246424269</stp>
        <tr r="I1771" s="2"/>
      </tp>
      <tp t="s">
        <v>#N/A Requesting Data...1588630603</v>
        <stp/>
        <stp>BDP|16748860121586469449</stp>
        <tr r="H960" s="2"/>
      </tp>
      <tp t="s">
        <v>#N/A Requesting Data...1674276442</v>
        <stp/>
        <stp>BDP|15867318896768673990</stp>
        <tr r="F2187" s="2"/>
      </tp>
      <tp t="s">
        <v>#N/A Requesting Data...4060114840</v>
        <stp/>
        <stp>BDP|12347900053855817583</stp>
        <tr r="K2487" s="2"/>
      </tp>
      <tp t="s">
        <v>#N/A Requesting Data...2777480484</v>
        <stp/>
        <stp>BDP|16898923119096365602</stp>
        <tr r="D891" s="2"/>
      </tp>
      <tp t="s">
        <v>#N/A Requesting Data...1763056783</v>
        <stp/>
        <stp>BDP|17724225201382388972</stp>
        <tr r="N1654" s="2"/>
      </tp>
      <tp t="s">
        <v>#N/A Requesting Data...3030192555</v>
        <stp/>
        <stp>BDP|17399112402368579051</stp>
        <tr r="P968" s="2"/>
      </tp>
      <tp t="s">
        <v>#N/A Requesting Data...1391828866</v>
        <stp/>
        <stp>BDP|12046869814070514571</stp>
        <tr r="R274" s="2"/>
      </tp>
      <tp t="s">
        <v>#N/A Requesting Data...737039834</v>
        <stp/>
        <stp>BDP|13434761251868026735</stp>
        <tr r="N1510" s="2"/>
      </tp>
      <tp t="s">
        <v>#N/A Requesting Data...2606303257</v>
        <stp/>
        <stp>BDP|16029768767660525942</stp>
        <tr r="M1834" s="2"/>
      </tp>
      <tp t="s">
        <v>#N/A Requesting Data...3420266887</v>
        <stp/>
        <stp>BDP|17988471170493955974</stp>
        <tr r="G324" s="2"/>
      </tp>
      <tp t="s">
        <v>#N/A Requesting Data...1860367340</v>
        <stp/>
        <stp>BDP|10494305461512131946</stp>
        <tr r="C2300" s="2"/>
      </tp>
      <tp t="b">
        <v>0</v>
        <stp/>
        <stp>BDS|13214238588522803520</stp>
        <tr r="I1866" s="2"/>
      </tp>
      <tp t="s">
        <v>#N/A Requesting Data...957303692</v>
        <stp/>
        <stp>BDP|17487801082131298842</stp>
        <tr r="C1794" s="2"/>
      </tp>
      <tp t="s">
        <v>#N/A Requesting Data...2376209141</v>
        <stp/>
        <stp>BDP|17383003023822218921</stp>
        <tr r="K1047" s="2"/>
      </tp>
      <tp t="s">
        <v>#N/A Requesting Data...936188169</v>
        <stp/>
        <stp>BDP|11696562970565682865</stp>
        <tr r="R869" s="2"/>
      </tp>
      <tp t="s">
        <v>#N/A Requesting Data...1526952636</v>
        <stp/>
        <stp>BDP|17452426845789044033</stp>
        <tr r="F1670" s="2"/>
      </tp>
      <tp t="s">
        <v>#N/A Requesting Data...3533903869</v>
        <stp/>
        <stp>BDP|11300053396636713077</stp>
        <tr r="K90" s="2"/>
      </tp>
      <tp t="s">
        <v>#N/A Requesting Data...1062625720</v>
        <stp/>
        <stp>BDP|10679470690692974185</stp>
        <tr r="D2478" s="2"/>
      </tp>
      <tp t="s">
        <v>#N/A Requesting Data...3816897955</v>
        <stp/>
        <stp>BDP|13542344540038109202</stp>
        <tr r="Q2309" s="2"/>
      </tp>
      <tp t="s">
        <v>#N/A Requesting Data...2746977337</v>
        <stp/>
        <stp>BDP|16338535843410294919</stp>
        <tr r="D528" s="2"/>
      </tp>
      <tp t="s">
        <v>#N/A Requesting Data...3398887437</v>
        <stp/>
        <stp>BDP|18355343474936652458</stp>
        <tr r="J1479" s="2"/>
      </tp>
      <tp t="s">
        <v>#N/A Requesting Data...1896115406</v>
        <stp/>
        <stp>BDP|17890815913811844121</stp>
        <tr r="F792" s="2"/>
      </tp>
      <tp t="s">
        <v>#N/A Requesting Data...3531982984</v>
        <stp/>
        <stp>BDP|10104787384045809456</stp>
        <tr r="F2451" s="2"/>
      </tp>
      <tp t="s">
        <v>#N/A Requesting Data...1580837006</v>
        <stp/>
        <stp>BDP|10954754903330634990</stp>
        <tr r="F1027" s="2"/>
      </tp>
      <tp t="s">
        <v>#N/A Requesting Data...1127466456</v>
        <stp/>
        <stp>BDP|12932085174782231973</stp>
        <tr r="A1042" s="2"/>
      </tp>
      <tp t="s">
        <v>#N/A Requesting Data...1227252250</v>
        <stp/>
        <stp>BDP|13902851468472156151</stp>
        <tr r="J1589" s="2"/>
      </tp>
      <tp t="s">
        <v>#N/A Requesting Data...3249772943</v>
        <stp/>
        <stp>BDP|13544864567042795138</stp>
        <tr r="J2143" s="2"/>
      </tp>
      <tp t="s">
        <v>#N/A Requesting Data...952912420</v>
        <stp/>
        <stp>BDP|18377406442503861593</stp>
        <tr r="R1356" s="2"/>
      </tp>
      <tp t="s">
        <v>#N/A Requesting Data...4127598508</v>
        <stp/>
        <stp>BDP|16358583198165357102</stp>
        <tr r="Q916" s="2"/>
      </tp>
      <tp t="s">
        <v>#N/A Requesting Data...2814874913</v>
        <stp/>
        <stp>BDP|14588956671872623674</stp>
        <tr r="N1816" s="2"/>
      </tp>
      <tp t="s">
        <v>#N/A Requesting Data...2043334939</v>
        <stp/>
        <stp>BDP|11490190507539952739</stp>
        <tr r="G1180" s="2"/>
      </tp>
      <tp t="s">
        <v>#N/A Requesting Data...3911349204</v>
        <stp/>
        <stp>BDP|16090335684130442339</stp>
        <tr r="A1327" s="2"/>
      </tp>
      <tp t="s">
        <v>#N/A Requesting Data...1801627965</v>
        <stp/>
        <stp>BDP|10838980373840139028</stp>
        <tr r="N2043" s="2"/>
      </tp>
      <tp t="s">
        <v>#N/A Requesting Data...2467815212</v>
        <stp/>
        <stp>BDP|15318421441692324934</stp>
        <tr r="K1765" s="2"/>
      </tp>
      <tp t="s">
        <v>#N/A Requesting Data...4244659976</v>
        <stp/>
        <stp>BDP|18107124017415744334</stp>
        <tr r="N1865" s="2"/>
      </tp>
      <tp t="s">
        <v>#N/A Requesting Data...821146570</v>
        <stp/>
        <stp>BDP|17557562741281611943</stp>
        <tr r="E121" s="2"/>
      </tp>
      <tp t="s">
        <v>#N/A Requesting Data...1126521784</v>
        <stp/>
        <stp>BDP|14018950634248821896</stp>
        <tr r="T924" s="2"/>
      </tp>
      <tp t="s">
        <v>#N/A Requesting Data...2507541048</v>
        <stp/>
        <stp>BDP|13152862711592473623</stp>
        <tr r="H586" s="2"/>
      </tp>
      <tp t="s">
        <v>#N/A Requesting Data...2545356437</v>
        <stp/>
        <stp>BDP|11323689669576589970</stp>
        <tr r="M369" s="2"/>
      </tp>
      <tp t="s">
        <v>#N/A Requesting Data...1861682912</v>
        <stp/>
        <stp>BDP|17139393324551565995</stp>
        <tr r="K1064" s="2"/>
      </tp>
      <tp t="s">
        <v>#N/A Requesting Data...2841638769</v>
        <stp/>
        <stp>BDP|14638779552431631958</stp>
        <tr r="K317" s="2"/>
      </tp>
      <tp t="s">
        <v>#N/A Requesting Data...1455591585</v>
        <stp/>
        <stp>BDP|15910055563349611493</stp>
        <tr r="R1327" s="2"/>
      </tp>
      <tp t="s">
        <v>#N/A Requesting Data...2122902960</v>
        <stp/>
        <stp>BDP|14118930929456269797</stp>
        <tr r="O1635" s="2"/>
      </tp>
      <tp t="s">
        <v>#N/A Requesting Data...3578505294</v>
        <stp/>
        <stp>BDP|14997715784996985359</stp>
        <tr r="M1601" s="2"/>
      </tp>
      <tp t="s">
        <v>#N/A Requesting Data...2954830540</v>
        <stp/>
        <stp>BDP|18114360809070875562</stp>
        <tr r="Q2196" s="2"/>
      </tp>
      <tp t="s">
        <v>#N/A Requesting Data...4146248197</v>
        <stp/>
        <stp>BDP|13645556282065844592</stp>
        <tr r="A553" s="2"/>
      </tp>
      <tp t="s">
        <v>#N/A Requesting Data...3760277160</v>
        <stp/>
        <stp>BDP|14065445195145717267</stp>
        <tr r="F2029" s="2"/>
      </tp>
      <tp t="s">
        <v>#N/A Requesting Data...2352876469</v>
        <stp/>
        <stp>BDP|12144615335260747923</stp>
        <tr r="T2155" s="2"/>
      </tp>
      <tp t="s">
        <v>#N/A Requesting Data...1989890249</v>
        <stp/>
        <stp>BDP|15543276930102209807</stp>
        <tr r="A55" s="2"/>
      </tp>
      <tp t="s">
        <v>#N/A Requesting Data...949000904</v>
        <stp/>
        <stp>BDP|10566439464819585544</stp>
        <tr r="J1470" s="2"/>
      </tp>
      <tp t="s">
        <v>#N/A Requesting Data...1303076057</v>
        <stp/>
        <stp>BDP|12314157214229492556</stp>
        <tr r="K1512" s="2"/>
      </tp>
      <tp t="s">
        <v>#N/A Requesting Data...3645217852</v>
        <stp/>
        <stp>BDP|14994290655935720819</stp>
        <tr r="H1288" s="2"/>
      </tp>
      <tp t="s">
        <v>#N/A Requesting Data...1565753135</v>
        <stp/>
        <stp>BDP|12890089084821322541</stp>
        <tr r="R149" s="2"/>
      </tp>
      <tp t="s">
        <v>#N/A Requesting Data...3907919931</v>
        <stp/>
        <stp>BDP|17860418578582497868</stp>
        <tr r="S2196" s="2"/>
      </tp>
      <tp t="s">
        <v>#N/A Requesting Data...2641686226</v>
        <stp/>
        <stp>BDP|16143652202656291873</stp>
        <tr r="N2441" s="2"/>
      </tp>
      <tp t="b">
        <v>0</v>
        <stp/>
        <stp>BDS|11314633450888218421</stp>
        <tr r="I1938" s="2"/>
      </tp>
      <tp t="b">
        <v>0</v>
        <stp/>
        <stp>BDS|17484551980667453353</stp>
        <tr r="I1493" s="2"/>
      </tp>
      <tp t="s">
        <v>#N/A Requesting Data...4037028306</v>
        <stp/>
        <stp>BDP|15372256973289536739</stp>
        <tr r="G85" s="2"/>
      </tp>
      <tp t="s">
        <v>#N/A Requesting Data...1324325720</v>
        <stp/>
        <stp>BDP|13117850172220423218</stp>
        <tr r="C435" s="2"/>
      </tp>
      <tp t="s">
        <v>#N/A Requesting Data...1469050284</v>
        <stp/>
        <stp>BDP|12791403560307665926</stp>
        <tr r="Q495" s="2"/>
      </tp>
      <tp t="s">
        <v>#N/A Requesting Data...1573691329</v>
        <stp/>
        <stp>BDP|11995685193559861996</stp>
        <tr r="S518" s="2"/>
      </tp>
      <tp t="s">
        <v>#N/A Requesting Data...3918070710</v>
        <stp/>
        <stp>BDP|15414442065279303058</stp>
        <tr r="C4" s="2"/>
      </tp>
      <tp t="s">
        <v>#N/A Requesting Data...4118010591</v>
        <stp/>
        <stp>BDP|16455032131652311969</stp>
        <tr r="K681" s="2"/>
      </tp>
      <tp t="s">
        <v>#N/A Requesting Data...1632967818</v>
        <stp/>
        <stp>BDP|11882083327605432807</stp>
        <tr r="Q2085" s="2"/>
      </tp>
      <tp t="s">
        <v>#N/A Requesting Data...1720024756</v>
        <stp/>
        <stp>BDP|12086445360627224950</stp>
        <tr r="P1806" s="2"/>
      </tp>
      <tp t="s">
        <v>#N/A Requesting Data...3743746857</v>
        <stp/>
        <stp>BDP|16943824704162500298</stp>
        <tr r="S1106" s="2"/>
      </tp>
      <tp t="s">
        <v>#N/A Requesting Data...2633477201</v>
        <stp/>
        <stp>BDP|18060389018717399309</stp>
        <tr r="G974" s="2"/>
      </tp>
      <tp t="s">
        <v>#N/A Requesting Data...1724350184</v>
        <stp/>
        <stp>BDP|15475415666930772974</stp>
        <tr r="H1636" s="2"/>
      </tp>
      <tp t="s">
        <v>#N/A Requesting Data...1092036865</v>
        <stp/>
        <stp>BDP|11932314995883719691</stp>
        <tr r="F2496" s="2"/>
      </tp>
      <tp t="s">
        <v>#N/A Requesting Data...1025721519</v>
        <stp/>
        <stp>BDP|12222369667389856082</stp>
        <tr r="M2188" s="2"/>
      </tp>
      <tp t="s">
        <v>#N/A Requesting Data...3264179446</v>
        <stp/>
        <stp>BDP|12133826430212412549</stp>
        <tr r="A2013" s="2"/>
      </tp>
      <tp t="s">
        <v>#N/A Requesting Data...3591059240</v>
        <stp/>
        <stp>BDP|15187453971638329050</stp>
        <tr r="C2112" s="2"/>
      </tp>
      <tp t="s">
        <v>#N/A Requesting Data...3168014066</v>
        <stp/>
        <stp>BDP|10003201043049380136</stp>
        <tr r="M2257" s="2"/>
      </tp>
      <tp t="s">
        <v>#N/A Requesting Data...1698531352</v>
        <stp/>
        <stp>BDP|18125631327806501434</stp>
        <tr r="E677" s="2"/>
      </tp>
      <tp t="b">
        <v>0</v>
        <stp/>
        <stp>BDS|17664738835128653564</stp>
        <tr r="I947" s="2"/>
      </tp>
      <tp t="s">
        <v>#N/A Requesting Data...1129127913</v>
        <stp/>
        <stp>BDP|16796946915217257776</stp>
        <tr r="J763" s="2"/>
      </tp>
      <tp t="s">
        <v>#N/A Requesting Data...2724619540</v>
        <stp/>
        <stp>BDP|16466233152839231640</stp>
        <tr r="H1837" s="2"/>
      </tp>
      <tp t="s">
        <v>#N/A Requesting Data...2275944634</v>
        <stp/>
        <stp>BDP|11190228630057577958</stp>
        <tr r="P2424" s="2"/>
      </tp>
      <tp t="s">
        <v>#N/A Requesting Data...1584022548</v>
        <stp/>
        <stp>BDP|14356229764108107673</stp>
        <tr r="R68" s="2"/>
      </tp>
      <tp t="s">
        <v>#N/A Requesting Data...2560622087</v>
        <stp/>
        <stp>BDP|13880497294043207341</stp>
        <tr r="T631" s="2"/>
      </tp>
      <tp t="s">
        <v>#N/A Requesting Data...4268314454</v>
        <stp/>
        <stp>BDP|17046493922989026682</stp>
        <tr r="T2271" s="2"/>
      </tp>
      <tp t="s">
        <v>#N/A Requesting Data...3588234164</v>
        <stp/>
        <stp>BDP|12630049723306245803</stp>
        <tr r="F1200" s="2"/>
      </tp>
      <tp t="s">
        <v>#N/A Requesting Data...3494571233</v>
        <stp/>
        <stp>BDP|10093600886935346569</stp>
        <tr r="O894" s="2"/>
      </tp>
      <tp t="s">
        <v>#N/A Requesting Data...1047814538</v>
        <stp/>
        <stp>BDP|16172059661388105670</stp>
        <tr r="C211" s="2"/>
      </tp>
      <tp t="s">
        <v>#N/A Requesting Data...957798234</v>
        <stp/>
        <stp>BDP|15239427682537586044</stp>
        <tr r="F503" s="2"/>
      </tp>
      <tp t="s">
        <v>#N/A Requesting Data...3284474988</v>
        <stp/>
        <stp>BDP|13423674999360118289</stp>
        <tr r="J1348" s="2"/>
      </tp>
      <tp t="s">
        <v>#N/A Requesting Data...1914481737</v>
        <stp/>
        <stp>BDP|15155211101409750058</stp>
        <tr r="F1697" s="2"/>
      </tp>
      <tp t="s">
        <v>#N/A Requesting Data...4189397379</v>
        <stp/>
        <stp>BDP|11835887646761394267</stp>
        <tr r="G1374" s="2"/>
      </tp>
      <tp t="s">
        <v>#N/A Requesting Data...3756799807</v>
        <stp/>
        <stp>BDP|15181955739579842861</stp>
        <tr r="M2066" s="2"/>
      </tp>
      <tp t="s">
        <v>#N/A Requesting Data...1914030891</v>
        <stp/>
        <stp>BDP|10354552524618182104</stp>
        <tr r="S913" s="2"/>
      </tp>
      <tp t="s">
        <v>#N/A Requesting Data...1636812717</v>
        <stp/>
        <stp>BDP|18137879985877176119</stp>
        <tr r="F497" s="2"/>
      </tp>
      <tp t="s">
        <v>#N/A Requesting Data...1565969766</v>
        <stp/>
        <stp>BDP|12881781845139333657</stp>
        <tr r="O1423" s="2"/>
      </tp>
      <tp t="s">
        <v>#N/A Requesting Data...2710188802</v>
        <stp/>
        <stp>BDP|10804799586886789735</stp>
        <tr r="N647" s="2"/>
      </tp>
      <tp t="s">
        <v>#N/A Requesting Data...1769843791</v>
        <stp/>
        <stp>BDP|10747863437991579405</stp>
        <tr r="Q2337" s="2"/>
      </tp>
      <tp t="s">
        <v>#N/A Requesting Data...4211201978</v>
        <stp/>
        <stp>BDP|15142094627621494883</stp>
        <tr r="O1666" s="2"/>
      </tp>
      <tp t="s">
        <v>#N/A Requesting Data...3529353043</v>
        <stp/>
        <stp>BDP|18367168345414001739</stp>
        <tr r="O2059" s="2"/>
      </tp>
      <tp t="s">
        <v>#N/A Requesting Data...2199147861</v>
        <stp/>
        <stp>BDP|11449073786005079263</stp>
        <tr r="O331" s="2"/>
      </tp>
      <tp t="s">
        <v>#N/A Requesting Data...3554180867</v>
        <stp/>
        <stp>BDP|15506469389154131388</stp>
        <tr r="Q2378" s="2"/>
      </tp>
      <tp t="s">
        <v>#N/A Requesting Data...4194591526</v>
        <stp/>
        <stp>BDP|10658004380642722427</stp>
        <tr r="C1365" s="2"/>
      </tp>
      <tp t="s">
        <v>#N/A Requesting Data...3412960731</v>
        <stp/>
        <stp>BDP|12973787552966789873</stp>
        <tr r="M2452" s="2"/>
      </tp>
      <tp t="s">
        <v>#N/A Requesting Data...1534783704</v>
        <stp/>
        <stp>BDP|11512607386452644364</stp>
        <tr r="E668" s="2"/>
      </tp>
      <tp t="s">
        <v>#N/A Requesting Data...2655357194</v>
        <stp/>
        <stp>BDP|11376286147210745985</stp>
        <tr r="H1035" s="2"/>
      </tp>
      <tp t="s">
        <v>#N/A Requesting Data...1220420778</v>
        <stp/>
        <stp>BDP|18357602845096725227</stp>
        <tr r="E1258" s="2"/>
      </tp>
      <tp t="s">
        <v>#N/A Requesting Data...3626719359</v>
        <stp/>
        <stp>BDP|15717501581160608630</stp>
        <tr r="T541" s="2"/>
      </tp>
      <tp t="s">
        <v>#N/A Requesting Data...2978267685</v>
        <stp/>
        <stp>BDP|14748681651648503182</stp>
        <tr r="C1611" s="2"/>
      </tp>
      <tp t="s">
        <v>#N/A Requesting Data...2462028621</v>
        <stp/>
        <stp>BDP|17464224743626038966</stp>
        <tr r="C595" s="2"/>
      </tp>
      <tp t="s">
        <v>#N/A Requesting Data...1171361517</v>
        <stp/>
        <stp>BDP|13742811797485527972</stp>
        <tr r="E1895" s="2"/>
      </tp>
      <tp t="s">
        <v>#N/A Requesting Data...2029965108</v>
        <stp/>
        <stp>BDP|10527160430509747572</stp>
        <tr r="P473" s="2"/>
      </tp>
      <tp t="s">
        <v>#N/A Requesting Data...3839608098</v>
        <stp/>
        <stp>BDP|13297819130141383738</stp>
        <tr r="T1274" s="2"/>
      </tp>
      <tp t="s">
        <v>#N/A Requesting Data...1374814396</v>
        <stp/>
        <stp>BDP|11452628965489493641</stp>
        <tr r="P399" s="2"/>
      </tp>
      <tp t="s">
        <v>#N/A Requesting Data...3928138835</v>
        <stp/>
        <stp>BDP|14433994087713192888</stp>
        <tr r="H501" s="2"/>
      </tp>
      <tp t="s">
        <v>#N/A Requesting Data...3805703180</v>
        <stp/>
        <stp>BDP|17141053327423940896</stp>
        <tr r="O1658" s="2"/>
      </tp>
      <tp t="s">
        <v>#N/A Requesting Data...2377842008</v>
        <stp/>
        <stp>BDP|16323925663004876391</stp>
        <tr r="A2171" s="2"/>
      </tp>
      <tp t="s">
        <v>#N/A Requesting Data...1237512243</v>
        <stp/>
        <stp>BDP|13200732634891423828</stp>
        <tr r="P2386" s="2"/>
      </tp>
      <tp t="s">
        <v>#N/A Requesting Data...1827815182</v>
        <stp/>
        <stp>BDP|15755857831619950991</stp>
        <tr r="C369" s="2"/>
      </tp>
      <tp t="s">
        <v>#N/A Requesting Data...4200718397</v>
        <stp/>
        <stp>BDP|15412520770189484018</stp>
        <tr r="D1431" s="2"/>
      </tp>
      <tp t="s">
        <v>#N/A Requesting Data...2235151941</v>
        <stp/>
        <stp>BDP|10973342385934896135</stp>
        <tr r="P299" s="2"/>
      </tp>
      <tp t="s">
        <v>#N/A Requesting Data...3232045250</v>
        <stp/>
        <stp>BDP|12850181452929093114</stp>
        <tr r="T703" s="2"/>
      </tp>
      <tp t="s">
        <v>#N/A Requesting Data...1362097171</v>
        <stp/>
        <stp>BDP|14042048876944919984</stp>
        <tr r="C904" s="2"/>
      </tp>
      <tp t="s">
        <v>#N/A Requesting Data...2715951502</v>
        <stp/>
        <stp>BDP|13638624409222918974</stp>
        <tr r="K1277" s="2"/>
      </tp>
      <tp t="s">
        <v>#N/A Requesting Data...3416079417</v>
        <stp/>
        <stp>BDP|11318874106226186108</stp>
        <tr r="T844" s="2"/>
      </tp>
      <tp t="s">
        <v>#N/A Requesting Data...1683141791</v>
        <stp/>
        <stp>BDP|15957631959640216824</stp>
        <tr r="R542" s="2"/>
      </tp>
      <tp t="s">
        <v>#N/A Requesting Data...2133969200</v>
        <stp/>
        <stp>BDP|10619055108326951815</stp>
        <tr r="P1480" s="2"/>
      </tp>
      <tp t="s">
        <v>#N/A Requesting Data...2059061802</v>
        <stp/>
        <stp>BDP|13681998803273955760</stp>
        <tr r="M2038" s="2"/>
      </tp>
      <tp t="s">
        <v>#N/A Requesting Data...2334409573</v>
        <stp/>
        <stp>BDP|16707620921924277859</stp>
        <tr r="A1186" s="2"/>
      </tp>
      <tp t="s">
        <v>#N/A Requesting Data...3587443335</v>
        <stp/>
        <stp>BDP|13351378087994052206</stp>
        <tr r="S2191" s="2"/>
      </tp>
      <tp t="b">
        <v>0</v>
        <stp/>
        <stp>BDS|17560725596300054712</stp>
        <tr r="I506" s="2"/>
      </tp>
      <tp t="s">
        <v>#N/A Requesting Data...3610746255</v>
        <stp/>
        <stp>BDP|10166018335915374856</stp>
        <tr r="G406" s="2"/>
      </tp>
      <tp t="s">
        <v>#N/A Requesting Data...1415817378</v>
        <stp/>
        <stp>BDP|10758747782779432863</stp>
        <tr r="S543" s="2"/>
      </tp>
      <tp t="s">
        <v>#N/A Requesting Data...1566148740</v>
        <stp/>
        <stp>BDP|14555364931263240932</stp>
        <tr r="C2347" s="2"/>
      </tp>
      <tp t="s">
        <v>#N/A Requesting Data...4105263765</v>
        <stp/>
        <stp>BDP|16340278700053112968</stp>
        <tr r="D192" s="2"/>
      </tp>
      <tp t="s">
        <v>#N/A Requesting Data...1087762802</v>
        <stp/>
        <stp>BDP|16028887508974782440</stp>
        <tr r="J413" s="2"/>
      </tp>
      <tp t="b">
        <v>0</v>
        <stp/>
        <stp>BDS|16815331099436142434</stp>
        <tr r="I1512" s="2"/>
      </tp>
      <tp t="s">
        <v>#N/A Requesting Data...3402281420</v>
        <stp/>
        <stp>BDP|10810693714469300052</stp>
        <tr r="A934" s="2"/>
      </tp>
      <tp t="b">
        <v>0</v>
        <stp/>
        <stp>BDS|12505239399365981266</stp>
        <tr r="I2471" s="2"/>
      </tp>
      <tp t="s">
        <v>#N/A Requesting Data...2322074302</v>
        <stp/>
        <stp>BDP|12262057025677348938</stp>
        <tr r="M2467" s="2"/>
      </tp>
      <tp t="s">
        <v>#N/A Requesting Data...3899764855</v>
        <stp/>
        <stp>BDP|11142040233178169458</stp>
        <tr r="H169" s="2"/>
      </tp>
      <tp t="s">
        <v>#N/A Requesting Data...2590480111</v>
        <stp/>
        <stp>BDP|15736239987410025117</stp>
        <tr r="A2393" s="2"/>
      </tp>
      <tp t="s">
        <v>#N/A Requesting Data...2091362471</v>
        <stp/>
        <stp>BDP|15693479385793683404</stp>
        <tr r="K845" s="2"/>
      </tp>
      <tp t="b">
        <v>0</v>
        <stp/>
        <stp>BDS|10081865900745748305</stp>
        <tr r="I1315" s="2"/>
      </tp>
      <tp t="s">
        <v>#N/A Requesting Data...3887979643</v>
        <stp/>
        <stp>BDP|10680097184002153481</stp>
        <tr r="F468" s="2"/>
      </tp>
      <tp t="s">
        <v>#N/A Requesting Data...1499471499</v>
        <stp/>
        <stp>BDP|17693432883543723636</stp>
        <tr r="K2226" s="2"/>
      </tp>
      <tp t="s">
        <v>#N/A Requesting Data...1525731925</v>
        <stp/>
        <stp>BDP|16883099956159084452</stp>
        <tr r="T2072" s="2"/>
      </tp>
      <tp t="s">
        <v>#N/A Requesting Data...1891475295</v>
        <stp/>
        <stp>BDP|13842981012932804786</stp>
        <tr r="G1767" s="2"/>
      </tp>
      <tp t="s">
        <v>#N/A Requesting Data...2446936766</v>
        <stp/>
        <stp>BDP|15370061685646283502</stp>
        <tr r="P1290" s="2"/>
      </tp>
      <tp t="s">
        <v>#N/A Requesting Data...1180652281</v>
        <stp/>
        <stp>BDP|10087288988325490163</stp>
        <tr r="R2352" s="2"/>
      </tp>
      <tp t="s">
        <v>#N/A Requesting Data...3225074529</v>
        <stp/>
        <stp>BDP|12047784918393638949</stp>
        <tr r="R794" s="2"/>
      </tp>
      <tp t="s">
        <v>#N/A Requesting Data...3679620672</v>
        <stp/>
        <stp>BDP|13977321960139882116</stp>
        <tr r="D811" s="2"/>
      </tp>
      <tp t="s">
        <v>#N/A Requesting Data...3744852588</v>
        <stp/>
        <stp>BDP|13113868769764838744</stp>
        <tr r="R610" s="2"/>
      </tp>
      <tp t="s">
        <v>#N/A Requesting Data...3156341185</v>
        <stp/>
        <stp>BDP|16822903538846111431</stp>
        <tr r="T2325" s="2"/>
      </tp>
      <tp t="s">
        <v>#N/A Requesting Data...2328203002</v>
        <stp/>
        <stp>BDP|14758267005970241847</stp>
        <tr r="G813" s="2"/>
      </tp>
      <tp t="s">
        <v>#N/A Requesting Data...3554173202</v>
        <stp/>
        <stp>BDP|10786849645860552213</stp>
        <tr r="A882" s="2"/>
      </tp>
      <tp t="s">
        <v>#N/A Requesting Data...2960038597</v>
        <stp/>
        <stp>BDP|16728312283115775608</stp>
        <tr r="R1355" s="2"/>
      </tp>
      <tp t="b">
        <v>0</v>
        <stp/>
        <stp>BDS|18085267503504078043</stp>
        <tr r="I877" s="2"/>
      </tp>
      <tp t="s">
        <v>#N/A Requesting Data...1374456068</v>
        <stp/>
        <stp>BDP|11497061899735009391</stp>
        <tr r="E1546" s="2"/>
      </tp>
      <tp t="b">
        <v>0</v>
        <stp/>
        <stp>BDS|13923592635862704936</stp>
        <tr r="I886" s="2"/>
      </tp>
      <tp t="s">
        <v>#N/A Requesting Data...1840676429</v>
        <stp/>
        <stp>BDP|15795257992862018229</stp>
        <tr r="R1171" s="2"/>
      </tp>
      <tp t="s">
        <v>#N/A Requesting Data...2762675422</v>
        <stp/>
        <stp>BDP|13128517062259221728</stp>
        <tr r="P2245" s="2"/>
      </tp>
      <tp t="s">
        <v>#N/A Requesting Data...1220525082</v>
        <stp/>
        <stp>BDP|18398041535370475541</stp>
        <tr r="N2426" s="2"/>
      </tp>
      <tp t="s">
        <v>#N/A Requesting Data...1851353007</v>
        <stp/>
        <stp>BDP|14827502410016845829</stp>
        <tr r="N1553" s="2"/>
      </tp>
      <tp t="s">
        <v>#N/A Requesting Data...2075215546</v>
        <stp/>
        <stp>BDP|18315462051861634605</stp>
        <tr r="M1292" s="2"/>
      </tp>
      <tp t="b">
        <v>0</v>
        <stp/>
        <stp>BDS|15287954414106164536</stp>
        <tr r="I2120" s="2"/>
      </tp>
      <tp t="s">
        <v>#N/A Requesting Data...2567628638</v>
        <stp/>
        <stp>BDP|17509198328529088368</stp>
        <tr r="C2374" s="2"/>
      </tp>
      <tp t="s">
        <v>#N/A Requesting Data...1771349881</v>
        <stp/>
        <stp>BDP|16262265742896766831</stp>
        <tr r="D885" s="2"/>
      </tp>
      <tp t="b">
        <v>0</v>
        <stp/>
        <stp>BDS|10662801601594178279</stp>
        <tr r="I2382" s="2"/>
      </tp>
      <tp t="s">
        <v>#N/A Requesting Data...1153713004</v>
        <stp/>
        <stp>BDP|12682730086892905183</stp>
        <tr r="R428" s="2"/>
      </tp>
      <tp t="s">
        <v>#N/A Requesting Data...2220894205</v>
        <stp/>
        <stp>BDP|11775522483656031443</stp>
        <tr r="C1705" s="2"/>
      </tp>
      <tp t="s">
        <v>#N/A Requesting Data...3794533420</v>
        <stp/>
        <stp>BDP|18282359783438472521</stp>
        <tr r="D1247" s="2"/>
      </tp>
      <tp t="s">
        <v>#N/A Requesting Data...2992527149</v>
        <stp/>
        <stp>BDP|12341803551721071004</stp>
        <tr r="E1289" s="2"/>
      </tp>
      <tp t="s">
        <v>#N/A Requesting Data...3685454063</v>
        <stp/>
        <stp>BDP|14371823033921662068</stp>
        <tr r="H1978" s="2"/>
      </tp>
      <tp t="s">
        <v>#N/A Requesting Data...2997278045</v>
        <stp/>
        <stp>BDP|10113366863733727810</stp>
        <tr r="R1409" s="2"/>
      </tp>
      <tp t="s">
        <v>#N/A Requesting Data...2595987767</v>
        <stp/>
        <stp>BDP|11800357199783743616</stp>
        <tr r="F2013" s="2"/>
      </tp>
      <tp t="s">
        <v>#N/A Requesting Data...1474715943</v>
        <stp/>
        <stp>BDP|14365356390173014342</stp>
        <tr r="D333" s="2"/>
      </tp>
      <tp t="s">
        <v>#N/A Requesting Data...2868292345</v>
        <stp/>
        <stp>BDP|15846880041746542165</stp>
        <tr r="K1298" s="2"/>
      </tp>
      <tp t="s">
        <v>#N/A Requesting Data...2127440563</v>
        <stp/>
        <stp>BDP|14112023444226576805</stp>
        <tr r="C1412" s="2"/>
      </tp>
      <tp t="s">
        <v>#N/A Requesting Data...1319632372</v>
        <stp/>
        <stp>BDP|10746229665583595970</stp>
        <tr r="J1929" s="2"/>
      </tp>
      <tp t="b">
        <v>0</v>
        <stp/>
        <stp>BDS|11176723283596480658</stp>
        <tr r="I1703" s="2"/>
      </tp>
      <tp t="s">
        <v>#N/A Requesting Data...3980549020</v>
        <stp/>
        <stp>BDP|12173056397570239536</stp>
        <tr r="S1908" s="2"/>
      </tp>
      <tp t="s">
        <v>#N/A Requesting Data...1314821183</v>
        <stp/>
        <stp>BDP|14856657913019955456</stp>
        <tr r="T2461" s="2"/>
      </tp>
      <tp t="s">
        <v>#N/A Requesting Data...4242701918</v>
        <stp/>
        <stp>BDP|10376953022784438121</stp>
        <tr r="S1217" s="2"/>
      </tp>
      <tp t="s">
        <v>#N/A Requesting Data...2491092194</v>
        <stp/>
        <stp>BDP|10391328282464933187</stp>
        <tr r="C2471" s="2"/>
      </tp>
      <tp t="s">
        <v>#N/A Requesting Data...2948314063</v>
        <stp/>
        <stp>BDP|12102600397796364571</stp>
        <tr r="P1416" s="2"/>
      </tp>
      <tp t="b">
        <v>0</v>
        <stp/>
        <stp>BDS|11100606501048639175</stp>
        <tr r="I481" s="2"/>
      </tp>
      <tp t="s">
        <v>#N/A Requesting Data...3320716421</v>
        <stp/>
        <stp>BDP|15880490609737991836</stp>
        <tr r="C1311" s="2"/>
      </tp>
      <tp t="s">
        <v>#N/A Requesting Data...2079171526</v>
        <stp/>
        <stp>BDP|16237874171715200240</stp>
        <tr r="H2289" s="2"/>
      </tp>
      <tp t="s">
        <v>#N/A Requesting Data...1399321725</v>
        <stp/>
        <stp>BDP|18222971527465167811</stp>
        <tr r="F803" s="2"/>
      </tp>
      <tp t="s">
        <v>#N/A Requesting Data...1561999684</v>
        <stp/>
        <stp>BDP|14123050458416636985</stp>
        <tr r="T501" s="2"/>
      </tp>
      <tp t="s">
        <v>#N/A Requesting Data...3985464670</v>
        <stp/>
        <stp>BDP|10409720623453766805</stp>
        <tr r="J2351" s="2"/>
      </tp>
      <tp t="s">
        <v>#N/A Requesting Data...2022127921</v>
        <stp/>
        <stp>BDP|17672145795538489918</stp>
        <tr r="E336" s="2"/>
      </tp>
      <tp t="s">
        <v>#N/A Requesting Data...4172546070</v>
        <stp/>
        <stp>BDP|16987432075132941948</stp>
        <tr r="C1867" s="2"/>
      </tp>
      <tp t="s">
        <v>#N/A Requesting Data...2710562466</v>
        <stp/>
        <stp>BDP|14730898212751993272</stp>
        <tr r="H1472" s="2"/>
      </tp>
      <tp t="s">
        <v>#N/A Requesting Data...3942969640</v>
        <stp/>
        <stp>BDP|16459369181855559646</stp>
        <tr r="D2021" s="2"/>
      </tp>
      <tp t="s">
        <v>#N/A Requesting Data...1715173851</v>
        <stp/>
        <stp>BDP|14497325990866549617</stp>
        <tr r="H2316" s="2"/>
      </tp>
      <tp t="s">
        <v>#N/A Requesting Data...3009253287</v>
        <stp/>
        <stp>BDP|15880662289774595103</stp>
        <tr r="A764" s="2"/>
      </tp>
      <tp t="s">
        <v>#N/A Requesting Data...1776869414</v>
        <stp/>
        <stp>BDP|16672787243642924963</stp>
        <tr r="C896" s="2"/>
      </tp>
      <tp t="s">
        <v>#N/A Requesting Data...2797650543</v>
        <stp/>
        <stp>BDP|12479856884864185866</stp>
        <tr r="H2027" s="2"/>
      </tp>
      <tp t="s">
        <v>#N/A Requesting Data...2270354974</v>
        <stp/>
        <stp>BDP|13750421342489409417</stp>
        <tr r="F1978" s="2"/>
      </tp>
      <tp t="s">
        <v>#N/A Requesting Data...3153793433</v>
        <stp/>
        <stp>BDP|16106041583223223366</stp>
        <tr r="F2240" s="2"/>
      </tp>
      <tp t="s">
        <v>#N/A Requesting Data...3687168540</v>
        <stp/>
        <stp>BDP|11194099132805060988</stp>
        <tr r="M2246" s="2"/>
      </tp>
      <tp t="s">
        <v>#N/A Requesting Data...2643246703</v>
        <stp/>
        <stp>BDP|15777138028858837062</stp>
        <tr r="N32" s="2"/>
      </tp>
      <tp t="s">
        <v>#N/A Requesting Data...2422189733</v>
        <stp/>
        <stp>BDP|13425312615036667940</stp>
        <tr r="N347" s="2"/>
      </tp>
      <tp t="s">
        <v>#N/A Requesting Data...2479148467</v>
        <stp/>
        <stp>BDP|11243465422611290868</stp>
        <tr r="R1182" s="2"/>
      </tp>
      <tp t="s">
        <v>#N/A Requesting Data...2948356366</v>
        <stp/>
        <stp>BDP|12742876622963554558</stp>
        <tr r="K164" s="2"/>
      </tp>
      <tp t="s">
        <v>#N/A Requesting Data...2182719633</v>
        <stp/>
        <stp>BDP|13260503928078058286</stp>
        <tr r="O60" s="2"/>
      </tp>
      <tp t="s">
        <v>#N/A Requesting Data...3347449180</v>
        <stp/>
        <stp>BDP|17088615422089335428</stp>
        <tr r="S1826" s="2"/>
      </tp>
      <tp t="b">
        <v>0</v>
        <stp/>
        <stp>BDS|16046303053966412869</stp>
        <tr r="I577" s="2"/>
      </tp>
      <tp t="s">
        <v>#N/A Requesting Data...3270272515</v>
        <stp/>
        <stp>BDP|14716341655808298464</stp>
        <tr r="E2241" s="2"/>
      </tp>
      <tp t="s">
        <v>#N/A Requesting Data...1651971056</v>
        <stp/>
        <stp>BDP|17693131486898846891</stp>
        <tr r="H798" s="2"/>
      </tp>
      <tp t="s">
        <v>#N/A Requesting Data...2230096341</v>
        <stp/>
        <stp>BDP|10045471767009108530</stp>
        <tr r="K147" s="2"/>
      </tp>
      <tp t="s">
        <v>#N/A Requesting Data...4061651299</v>
        <stp/>
        <stp>BDP|11369057741863649838</stp>
        <tr r="J614" s="2"/>
      </tp>
      <tp t="s">
        <v>#N/A Requesting Data...3125731131</v>
        <stp/>
        <stp>BDP|15061913357427510015</stp>
        <tr r="G1465" s="2"/>
      </tp>
      <tp t="s">
        <v>#N/A Requesting Data...3490793052</v>
        <stp/>
        <stp>BDP|17207525774568454320</stp>
        <tr r="N1142" s="2"/>
      </tp>
      <tp t="s">
        <v>#N/A Requesting Data...3220930110</v>
        <stp/>
        <stp>BDP|10129207114678433534</stp>
        <tr r="T748" s="2"/>
      </tp>
      <tp t="s">
        <v>#N/A Requesting Data...1859516735</v>
        <stp/>
        <stp>BDP|13152586063269858700</stp>
        <tr r="H2100" s="2"/>
      </tp>
      <tp t="s">
        <v>#N/A Requesting Data...1473551471</v>
        <stp/>
        <stp>BDP|14925089095272188175</stp>
        <tr r="C929" s="2"/>
      </tp>
      <tp t="s">
        <v>#N/A Requesting Data...2522175414</v>
        <stp/>
        <stp>BDP|16340852308205939553</stp>
        <tr r="N606" s="2"/>
      </tp>
      <tp t="s">
        <v>#N/A Requesting Data...1508542889</v>
        <stp/>
        <stp>BDP|17832502239906795945</stp>
        <tr r="O583" s="2"/>
      </tp>
      <tp t="s">
        <v>#N/A Requesting Data...2194092946</v>
        <stp/>
        <stp>BDP|11991681951189281505</stp>
        <tr r="S2103" s="2"/>
      </tp>
      <tp t="s">
        <v>#N/A Requesting Data...3153631418</v>
        <stp/>
        <stp>BDP|13975020766253696898</stp>
        <tr r="K142" s="2"/>
      </tp>
      <tp t="s">
        <v>#N/A Requesting Data...3361505812</v>
        <stp/>
        <stp>BDP|17875698886627603042</stp>
        <tr r="P527" s="2"/>
      </tp>
      <tp t="s">
        <v>#N/A Requesting Data...1855322848</v>
        <stp/>
        <stp>BDP|11361446183517699477</stp>
        <tr r="J1652" s="2"/>
      </tp>
      <tp t="s">
        <v>#N/A Requesting Data...2041588610</v>
        <stp/>
        <stp>BDP|12770845612961198459</stp>
        <tr r="G809" s="2"/>
      </tp>
      <tp t="b">
        <v>0</v>
        <stp/>
        <stp>BDS|14186817726517374736</stp>
        <tr r="I1607" s="2"/>
      </tp>
      <tp t="s">
        <v>#N/A Requesting Data...2233773160</v>
        <stp/>
        <stp>BDP|10924752397812925271</stp>
        <tr r="E298" s="2"/>
      </tp>
      <tp t="s">
        <v>#N/A Requesting Data...2677686455</v>
        <stp/>
        <stp>BDP|12455812434832161552</stp>
        <tr r="O1871" s="2"/>
      </tp>
      <tp t="s">
        <v>#N/A Requesting Data...3764458685</v>
        <stp/>
        <stp>BDP|11337428322181174877</stp>
        <tr r="Q1563" s="2"/>
      </tp>
      <tp t="s">
        <v>#N/A Requesting Data...2509283245</v>
        <stp/>
        <stp>BDP|12091427248554612890</stp>
        <tr r="F1265" s="2"/>
      </tp>
      <tp t="s">
        <v>#N/A Requesting Data...2741592697</v>
        <stp/>
        <stp>BDP|13714653195893068126</stp>
        <tr r="H2056" s="2"/>
      </tp>
      <tp t="s">
        <v>#N/A Requesting Data...4116763247</v>
        <stp/>
        <stp>BDP|16452769910816046879</stp>
        <tr r="A177" s="2"/>
      </tp>
      <tp t="s">
        <v>#N/A Requesting Data...3034536682</v>
        <stp/>
        <stp>BDP|13008944293455186831</stp>
        <tr r="Q268" s="2"/>
      </tp>
      <tp t="s">
        <v>#N/A Requesting Data...2875500815</v>
        <stp/>
        <stp>BDP|10265146830844023833</stp>
        <tr r="C874" s="2"/>
      </tp>
      <tp t="s">
        <v>#N/A Requesting Data...1698693737</v>
        <stp/>
        <stp>BDP|10410139624025071866</stp>
        <tr r="A958" s="2"/>
      </tp>
      <tp t="s">
        <v>#N/A Requesting Data...2195242206</v>
        <stp/>
        <stp>BDP|14456648382214457033</stp>
        <tr r="Q1024" s="2"/>
      </tp>
      <tp t="s">
        <v>#N/A Requesting Data...1733478670</v>
        <stp/>
        <stp>BDP|16144516601495592817</stp>
        <tr r="F901" s="2"/>
      </tp>
      <tp t="s">
        <v>#N/A Requesting Data...2795220520</v>
        <stp/>
        <stp>BDP|15555762697475321029</stp>
        <tr r="N2000" s="2"/>
      </tp>
      <tp t="s">
        <v>#N/A Requesting Data...3530671616</v>
        <stp/>
        <stp>BDP|16254281357848944710</stp>
        <tr r="Q872" s="2"/>
      </tp>
      <tp t="s">
        <v>#N/A Requesting Data...2302365900</v>
        <stp/>
        <stp>BDP|12788946880334503935</stp>
        <tr r="J1441" s="2"/>
      </tp>
      <tp t="s">
        <v>#N/A Requesting Data...2785892502</v>
        <stp/>
        <stp>BDP|14114446098871160691</stp>
        <tr r="P1383" s="2"/>
      </tp>
      <tp t="s">
        <v>#N/A Requesting Data...2005126438</v>
        <stp/>
        <stp>BDP|14940163417758892251</stp>
        <tr r="D2120" s="2"/>
      </tp>
      <tp t="s">
        <v>#N/A Requesting Data...4248403177</v>
        <stp/>
        <stp>BDP|11482104424439129545</stp>
        <tr r="S307" s="2"/>
      </tp>
      <tp t="s">
        <v>#N/A Requesting Data...1871766323</v>
        <stp/>
        <stp>BDP|14080626500539039577</stp>
        <tr r="T2383" s="2"/>
      </tp>
      <tp t="s">
        <v>#N/A Requesting Data...1595360631</v>
        <stp/>
        <stp>BDP|10887148017997820964</stp>
        <tr r="E511" s="2"/>
      </tp>
      <tp t="s">
        <v>#N/A Requesting Data...4173563052</v>
        <stp/>
        <stp>BDP|13875123592963933641</stp>
        <tr r="F640" s="2"/>
      </tp>
      <tp t="s">
        <v>#N/A Requesting Data...2002892857</v>
        <stp/>
        <stp>BDP|15953985247365243318</stp>
        <tr r="A849" s="2"/>
      </tp>
      <tp t="s">
        <v>#N/A Requesting Data...2222247035</v>
        <stp/>
        <stp>BDP|11312061432914617847</stp>
        <tr r="S1857" s="2"/>
      </tp>
      <tp t="s">
        <v>#N/A Requesting Data...2292697377</v>
        <stp/>
        <stp>BDP|12971708422791959873</stp>
        <tr r="M2430" s="2"/>
      </tp>
      <tp t="s">
        <v>#N/A Requesting Data...2486942162</v>
        <stp/>
        <stp>BDP|13569228305848209758</stp>
        <tr r="P2346" s="2"/>
      </tp>
      <tp t="s">
        <v>#N/A Requesting Data...3810593547</v>
        <stp/>
        <stp>BDP|17134388079509513401</stp>
        <tr r="J16" s="2"/>
      </tp>
      <tp t="s">
        <v>#N/A Requesting Data...3301440944</v>
        <stp/>
        <stp>BDP|10897737670627752993</stp>
        <tr r="J1567" s="2"/>
      </tp>
      <tp t="s">
        <v>#N/A Requesting Data...1722142656</v>
        <stp/>
        <stp>BDP|12340948932260977694</stp>
        <tr r="J427" s="2"/>
      </tp>
      <tp t="s">
        <v>#N/A Requesting Data...2739466361</v>
        <stp/>
        <stp>BDP|15038835632909445906</stp>
        <tr r="K2174" s="2"/>
      </tp>
      <tp t="b">
        <v>0</v>
        <stp/>
        <stp>BDS|16296201790602155156</stp>
        <tr r="I1906" s="2"/>
      </tp>
      <tp t="s">
        <v>#N/A Requesting Data...3529890925</v>
        <stp/>
        <stp>BDP|12763509134913585933</stp>
        <tr r="M2289" s="2"/>
      </tp>
      <tp t="s">
        <v>#N/A Requesting Data...3537613259</v>
        <stp/>
        <stp>BDP|18014457851692294534</stp>
        <tr r="Q96" s="2"/>
      </tp>
      <tp t="s">
        <v>#N/A Requesting Data...2833497877</v>
        <stp/>
        <stp>BDP|18030576174533043769</stp>
        <tr r="F992" s="2"/>
      </tp>
      <tp t="s">
        <v>#N/A Requesting Data...2811271051</v>
        <stp/>
        <stp>BDP|15221272027068657319</stp>
        <tr r="K1570" s="2"/>
      </tp>
      <tp t="s">
        <v>#N/A Requesting Data...2221602872</v>
        <stp/>
        <stp>BDP|14736987136914925453</stp>
        <tr r="G2485" s="2"/>
      </tp>
      <tp t="s">
        <v>#N/A Requesting Data...1408203008</v>
        <stp/>
        <stp>BDP|13352255913357817981</stp>
        <tr r="J870" s="2"/>
      </tp>
      <tp t="s">
        <v>#N/A Requesting Data...4108693523</v>
        <stp/>
        <stp>BDP|15224679686812316751</stp>
        <tr r="F1959" s="2"/>
      </tp>
      <tp t="s">
        <v>#N/A Requesting Data...2879463681</v>
        <stp/>
        <stp>BDP|18220564227762011363</stp>
        <tr r="T275" s="2"/>
      </tp>
      <tp t="s">
        <v>#N/A Requesting Data...3084544179</v>
        <stp/>
        <stp>BDP|15716420078760806805</stp>
        <tr r="N2379" s="2"/>
      </tp>
      <tp t="s">
        <v>#N/A Requesting Data...2110793596</v>
        <stp/>
        <stp>BDP|12772602463849762568</stp>
        <tr r="R1421" s="2"/>
      </tp>
      <tp t="s">
        <v>#N/A Requesting Data...3415675091</v>
        <stp/>
        <stp>BDP|14894803429194307479</stp>
        <tr r="C1457" s="2"/>
      </tp>
      <tp t="s">
        <v>#N/A Requesting Data...2868826840</v>
        <stp/>
        <stp>BDP|15761247688106939771</stp>
        <tr r="N220" s="2"/>
      </tp>
      <tp t="s">
        <v>#N/A Requesting Data...2737309413</v>
        <stp/>
        <stp>BDP|10241524298832599083</stp>
        <tr r="J1396" s="2"/>
      </tp>
      <tp t="s">
        <v>#N/A Requesting Data...3101471981</v>
        <stp/>
        <stp>BDP|12202676515243607836</stp>
        <tr r="A2472" s="2"/>
      </tp>
      <tp t="b">
        <v>0</v>
        <stp/>
        <stp>BDS|17398973447802598609</stp>
        <tr r="I81" s="2"/>
      </tp>
      <tp t="b">
        <v>0</v>
        <stp/>
        <stp>BDS|15965265549209440447</stp>
        <tr r="I2290" s="2"/>
      </tp>
      <tp t="b">
        <v>0</v>
        <stp/>
        <stp>BDS|10283046744183590917</stp>
        <tr r="I888" s="2"/>
      </tp>
      <tp t="s">
        <v>#N/A Requesting Data...3003331978</v>
        <stp/>
        <stp>BDP|10718784853385920905</stp>
        <tr r="D2114" s="2"/>
      </tp>
      <tp t="s">
        <v>#N/A Requesting Data...1908661618</v>
        <stp/>
        <stp>BDP|10642060265880992894</stp>
        <tr r="F2080" s="2"/>
      </tp>
      <tp t="s">
        <v>#N/A Requesting Data...2505747932</v>
        <stp/>
        <stp>BDP|10678843837596549354</stp>
        <tr r="S1516" s="2"/>
      </tp>
      <tp t="s">
        <v>#N/A Requesting Data...1980519613</v>
        <stp/>
        <stp>BDP|10124336877692838881</stp>
        <tr r="E1946" s="2"/>
      </tp>
      <tp t="s">
        <v>#N/A Requesting Data...3924887227</v>
        <stp/>
        <stp>BDP|10636955667695520442</stp>
        <tr r="J1058" s="2"/>
      </tp>
      <tp t="s">
        <v>#N/A Requesting Data...3660501944</v>
        <stp/>
        <stp>BDP|15021017315508189208</stp>
        <tr r="C2266" s="2"/>
      </tp>
      <tp t="s">
        <v>#N/A Requesting Data...4048831179</v>
        <stp/>
        <stp>BDP|11632685498246515665</stp>
        <tr r="P802" s="2"/>
      </tp>
      <tp t="s">
        <v>#N/A Requesting Data...2856982666</v>
        <stp/>
        <stp>BDP|16488639478189973037</stp>
        <tr r="M1750" s="2"/>
      </tp>
      <tp t="s">
        <v>#N/A Requesting Data...3672027063</v>
        <stp/>
        <stp>BDP|16280216975289097435</stp>
        <tr r="E1217" s="2"/>
      </tp>
      <tp t="s">
        <v>#N/A Requesting Data...2192405187</v>
        <stp/>
        <stp>BDP|11913053059722520857</stp>
        <tr r="K1608" s="2"/>
      </tp>
      <tp t="s">
        <v>#N/A Requesting Data...3601733975</v>
        <stp/>
        <stp>BDP|15240803014913063138</stp>
        <tr r="S1512" s="2"/>
      </tp>
      <tp t="s">
        <v>#N/A Requesting Data...2411786515</v>
        <stp/>
        <stp>BDP|10568966273850286077</stp>
        <tr r="R1734" s="2"/>
      </tp>
      <tp t="s">
        <v>#N/A Requesting Data...2023498411</v>
        <stp/>
        <stp>BDP|14181300187904004536</stp>
        <tr r="M800" s="2"/>
      </tp>
      <tp t="s">
        <v>#N/A Requesting Data...2679254077</v>
        <stp/>
        <stp>BDP|14937794626347022831</stp>
        <tr r="M2401" s="2"/>
      </tp>
      <tp t="s">
        <v>#N/A Requesting Data...3864295701</v>
        <stp/>
        <stp>BDP|17792998029661342314</stp>
        <tr r="M739" s="2"/>
      </tp>
      <tp t="s">
        <v>#N/A Requesting Data...1931823593</v>
        <stp/>
        <stp>BDP|15078837646360459741</stp>
        <tr r="G594" s="2"/>
      </tp>
      <tp t="s">
        <v>#N/A Requesting Data...4045783910</v>
        <stp/>
        <stp>BDP|10293140372961905987</stp>
        <tr r="T2268" s="2"/>
      </tp>
      <tp t="s">
        <v>#N/A Requesting Data...2144617969</v>
        <stp/>
        <stp>BDP|10727355360799400236</stp>
        <tr r="N723" s="2"/>
      </tp>
      <tp t="b">
        <v>0</v>
        <stp/>
        <stp>BDS|12747279104998143636</stp>
        <tr r="I2188" s="2"/>
      </tp>
      <tp t="s">
        <v>#N/A Requesting Data...3025735249</v>
        <stp/>
        <stp>BDP|17562340853379742607</stp>
        <tr r="R534" s="2"/>
      </tp>
      <tp t="s">
        <v>#N/A Requesting Data...1868454876</v>
        <stp/>
        <stp>BDP|12252125810778643435</stp>
        <tr r="T2218" s="2"/>
      </tp>
      <tp t="s">
        <v>#N/A Requesting Data...3086407745</v>
        <stp/>
        <stp>BDP|11609171142462377854</stp>
        <tr r="G1772" s="2"/>
      </tp>
      <tp t="s">
        <v>#N/A Requesting Data...2913184764</v>
        <stp/>
        <stp>BDP|12081969467087118456</stp>
        <tr r="H212" s="2"/>
      </tp>
      <tp t="s">
        <v>#N/A Requesting Data...3661569972</v>
        <stp/>
        <stp>BDP|12490368092856564009</stp>
        <tr r="E2059" s="2"/>
      </tp>
      <tp t="s">
        <v>#N/A Requesting Data...3203748500</v>
        <stp/>
        <stp>BDP|14791174378949877555</stp>
        <tr r="H360" s="2"/>
      </tp>
      <tp t="s">
        <v>#N/A Requesting Data...1543729868</v>
        <stp/>
        <stp>BDP|13746120372242042924</stp>
        <tr r="O2076" s="2"/>
      </tp>
      <tp t="b">
        <v>0</v>
        <stp/>
        <stp>BDS|16367682218166311962</stp>
        <tr r="I1593" s="2"/>
      </tp>
      <tp t="s">
        <v>#N/A Requesting Data...2611434206</v>
        <stp/>
        <stp>BDP|10128224946581436945</stp>
        <tr r="Q1820" s="2"/>
      </tp>
      <tp t="s">
        <v>#N/A Requesting Data...2522112718</v>
        <stp/>
        <stp>BDP|11130263992042004605</stp>
        <tr r="N2415" s="2"/>
      </tp>
      <tp t="s">
        <v>#N/A Requesting Data...2888067558</v>
        <stp/>
        <stp>BDP|17725842605565294419</stp>
        <tr r="R88" s="2"/>
      </tp>
      <tp t="s">
        <v>#N/A Requesting Data...2352149520</v>
        <stp/>
        <stp>BDP|18048707882431471835</stp>
        <tr r="P1318" s="2"/>
      </tp>
      <tp t="s">
        <v>#N/A Requesting Data...1598488375</v>
        <stp/>
        <stp>BDP|18089524734115195520</stp>
        <tr r="F713" s="2"/>
      </tp>
      <tp t="b">
        <v>0</v>
        <stp/>
        <stp>BDS|13861068703578898529</stp>
        <tr r="I1701" s="2"/>
      </tp>
      <tp t="s">
        <v>#N/A Requesting Data...1863141491</v>
        <stp/>
        <stp>BDP|15087553394364369365</stp>
        <tr r="M100" s="2"/>
      </tp>
      <tp t="s">
        <v>#N/A Requesting Data...2843194343</v>
        <stp/>
        <stp>BDP|16783279783560278258</stp>
        <tr r="N380" s="2"/>
      </tp>
      <tp t="s">
        <v>#N/A Requesting Data...3808233215</v>
        <stp/>
        <stp>BDP|13533157654901562850</stp>
        <tr r="M566" s="2"/>
      </tp>
      <tp t="s">
        <v>#N/A Requesting Data...3694866230</v>
        <stp/>
        <stp>BDP|16834618223235619982</stp>
        <tr r="O1213" s="2"/>
      </tp>
      <tp t="s">
        <v>#N/A Requesting Data...1861107480</v>
        <stp/>
        <stp>BDP|17203567843611695952</stp>
        <tr r="E529" s="2"/>
      </tp>
      <tp t="s">
        <v>#N/A Requesting Data...1564654332</v>
        <stp/>
        <stp>BDP|10944499047146648852</stp>
        <tr r="F1685" s="2"/>
      </tp>
      <tp t="s">
        <v>#N/A Requesting Data...1732576123</v>
        <stp/>
        <stp>BDP|15089848275042185642</stp>
        <tr r="K1829" s="2"/>
      </tp>
      <tp t="s">
        <v>#N/A Requesting Data...3976734730</v>
        <stp/>
        <stp>BDP|13913733679305083873</stp>
        <tr r="A896" s="2"/>
      </tp>
      <tp t="b">
        <v>0</v>
        <stp/>
        <stp>BDS|13214105164718505249</stp>
        <tr r="I1541" s="2"/>
      </tp>
      <tp t="s">
        <v>#N/A Requesting Data...3400304334</v>
        <stp/>
        <stp>BDP|16421037031919540272</stp>
        <tr r="T1940" s="2"/>
      </tp>
      <tp t="s">
        <v>#N/A Requesting Data...2875758713</v>
        <stp/>
        <stp>BDP|16833960922020085382</stp>
        <tr r="N10" s="2"/>
      </tp>
      <tp t="s">
        <v>#N/A Requesting Data...3109767824</v>
        <stp/>
        <stp>BDP|18205946445152089976</stp>
        <tr r="M112" s="2"/>
      </tp>
      <tp t="s">
        <v>#N/A Requesting Data...4066735685</v>
        <stp/>
        <stp>BDP|15746592804657912978</stp>
        <tr r="K1355" s="2"/>
      </tp>
      <tp t="s">
        <v>#N/A Requesting Data...3024981836</v>
        <stp/>
        <stp>BDP|12511062703178799432</stp>
        <tr r="C1877" s="2"/>
      </tp>
      <tp t="s">
        <v>#N/A Requesting Data...2200210954</v>
        <stp/>
        <stp>BDP|13665748462835798936</stp>
        <tr r="N915" s="2"/>
      </tp>
      <tp t="s">
        <v>#N/A Requesting Data...3746566938</v>
        <stp/>
        <stp>BDP|10974818922703668787</stp>
        <tr r="D781" s="2"/>
      </tp>
      <tp t="s">
        <v>#N/A Requesting Data...1649725635</v>
        <stp/>
        <stp>BDP|15233947937478018958</stp>
        <tr r="P2415" s="2"/>
      </tp>
      <tp t="s">
        <v>#N/A Requesting Data...4193972540</v>
        <stp/>
        <stp>BDP|11787560884306011412</stp>
        <tr r="P2215" s="2"/>
      </tp>
      <tp t="s">
        <v>#N/A Requesting Data...3085673085</v>
        <stp/>
        <stp>BDP|14403020507213594903</stp>
        <tr r="H1563" s="2"/>
      </tp>
      <tp t="b">
        <v>0</v>
        <stp/>
        <stp>BDS|12836186415234383817</stp>
        <tr r="I1246" s="2"/>
      </tp>
      <tp t="s">
        <v>#N/A Requesting Data...2878625331</v>
        <stp/>
        <stp>BDP|11209765783867305702</stp>
        <tr r="H299" s="2"/>
      </tp>
      <tp t="s">
        <v>#N/A Requesting Data...4011424266</v>
        <stp/>
        <stp>BDP|15261372344369609538</stp>
        <tr r="K664" s="2"/>
      </tp>
      <tp t="s">
        <v>#N/A Requesting Data...3325665439</v>
        <stp/>
        <stp>BDP|13539140302375494936</stp>
        <tr r="H1182" s="2"/>
      </tp>
      <tp t="s">
        <v>#N/A Requesting Data...3331282341</v>
        <stp/>
        <stp>BDP|16526951846827726256</stp>
        <tr r="S77" s="2"/>
      </tp>
      <tp t="s">
        <v>#N/A Requesting Data...3003022353</v>
        <stp/>
        <stp>BDP|11052924563512432218</stp>
        <tr r="N902" s="2"/>
      </tp>
      <tp t="b">
        <v>0</v>
        <stp/>
        <stp>BDS|12766468149388828470</stp>
        <tr r="I2499" s="2"/>
      </tp>
      <tp t="s">
        <v>#N/A Requesting Data...3342753295</v>
        <stp/>
        <stp>BDP|15507354495816130700</stp>
        <tr r="N629" s="2"/>
      </tp>
      <tp t="s">
        <v>#N/A Requesting Data...2517751129</v>
        <stp/>
        <stp>BDP|13714772871949245470</stp>
        <tr r="J2511" s="2"/>
      </tp>
      <tp t="s">
        <v>#N/A Requesting Data...3760971593</v>
        <stp/>
        <stp>BDP|13881915046082944227</stp>
        <tr r="H2010" s="2"/>
      </tp>
      <tp t="s">
        <v>#N/A Requesting Data...3839853659</v>
        <stp/>
        <stp>BDP|10056435984547727549</stp>
        <tr r="A1094" s="2"/>
      </tp>
      <tp t="s">
        <v>#N/A Requesting Data...2647642948</v>
        <stp/>
        <stp>BDP|15286832888258802356</stp>
        <tr r="S1999" s="2"/>
      </tp>
      <tp t="s">
        <v>#N/A Requesting Data...2463992818</v>
        <stp/>
        <stp>BDP|14949895923949450933</stp>
        <tr r="Q1408" s="2"/>
      </tp>
      <tp t="s">
        <v>#N/A Requesting Data...3724358693</v>
        <stp/>
        <stp>BDP|15569760090922239752</stp>
        <tr r="P2260" s="2"/>
      </tp>
      <tp t="s">
        <v>#N/A Requesting Data...4278448755</v>
        <stp/>
        <stp>BDP|17379084991338691887</stp>
        <tr r="S2381" s="2"/>
      </tp>
      <tp t="s">
        <v>#N/A Requesting Data...2989983916</v>
        <stp/>
        <stp>BDP|10909643511290099985</stp>
        <tr r="Q2308" s="2"/>
      </tp>
      <tp t="s">
        <v>#N/A Requesting Data...2028994093</v>
        <stp/>
        <stp>BDP|13467668973765473913</stp>
        <tr r="E424" s="2"/>
      </tp>
      <tp t="s">
        <v>#N/A Requesting Data...3121987691</v>
        <stp/>
        <stp>BDP|13929919479374230776</stp>
        <tr r="Q888" s="2"/>
      </tp>
      <tp t="s">
        <v>#N/A Requesting Data...3489457938</v>
        <stp/>
        <stp>BDP|11686013499071840722</stp>
        <tr r="P2268" s="2"/>
      </tp>
      <tp t="s">
        <v>#N/A Requesting Data...2494729481</v>
        <stp/>
        <stp>BDP|17933540702308342489</stp>
        <tr r="P1586" s="2"/>
      </tp>
      <tp t="s">
        <v>#N/A Requesting Data...4272003507</v>
        <stp/>
        <stp>BDP|12543499991769100886</stp>
        <tr r="G2091" s="2"/>
      </tp>
      <tp t="s">
        <v>#N/A Requesting Data...3380446072</v>
        <stp/>
        <stp>BDP|15713108842386709866</stp>
        <tr r="H601" s="2"/>
      </tp>
      <tp t="s">
        <v>#N/A Requesting Data...3585918410</v>
        <stp/>
        <stp>BDP|15459278268748958763</stp>
        <tr r="G838" s="2"/>
      </tp>
      <tp t="s">
        <v>#N/A Requesting Data...3664143077</v>
        <stp/>
        <stp>BDP|18060814127794704856</stp>
        <tr r="O1962" s="2"/>
      </tp>
      <tp t="s">
        <v>#N/A Requesting Data...3614039972</v>
        <stp/>
        <stp>BDP|14667293753675119891</stp>
        <tr r="M459" s="2"/>
      </tp>
      <tp t="s">
        <v>#N/A Requesting Data...2764077158</v>
        <stp/>
        <stp>BDP|13839672878819499573</stp>
        <tr r="P697" s="2"/>
      </tp>
      <tp t="s">
        <v>#N/A Requesting Data...1889333680</v>
        <stp/>
        <stp>BDP|11542349034426228938</stp>
        <tr r="J1922" s="2"/>
      </tp>
      <tp t="s">
        <v>#N/A Requesting Data...2588370883</v>
        <stp/>
        <stp>BDP|12015165711769591569</stp>
        <tr r="M2258" s="2"/>
      </tp>
      <tp t="s">
        <v>#N/A Requesting Data...3682518991</v>
        <stp/>
        <stp>BDP|16684008349074805833</stp>
        <tr r="K112" s="2"/>
      </tp>
      <tp t="s">
        <v>#N/A Requesting Data...2493790524</v>
        <stp/>
        <stp>BDP|14218639317165089822</stp>
        <tr r="S1001" s="2"/>
      </tp>
      <tp t="s">
        <v>#N/A Requesting Data...2771752069</v>
        <stp/>
        <stp>BDP|12148492183715929560</stp>
        <tr r="O285" s="2"/>
      </tp>
      <tp t="s">
        <v>#N/A Requesting Data...3717699385</v>
        <stp/>
        <stp>BDP|15060551202757406973</stp>
        <tr r="O656" s="2"/>
      </tp>
      <tp t="s">
        <v>#N/A Requesting Data...1721123808</v>
        <stp/>
        <stp>BDP|13606782034739875061</stp>
        <tr r="R1779" s="2"/>
      </tp>
      <tp t="s">
        <v>#N/A Requesting Data...2815305811</v>
        <stp/>
        <stp>BDP|11147132817296944983</stp>
        <tr r="E2259" s="2"/>
      </tp>
      <tp t="s">
        <v>#N/A Requesting Data...2192653964</v>
        <stp/>
        <stp>BDP|13866357596021903662</stp>
        <tr r="F2018" s="2"/>
      </tp>
      <tp t="s">
        <v>#N/A Requesting Data...3626961732</v>
        <stp/>
        <stp>BDP|16222340105068377346</stp>
        <tr r="G1836" s="2"/>
      </tp>
      <tp t="s">
        <v>#N/A Requesting Data...3574729098</v>
        <stp/>
        <stp>BDP|14791407202786236838</stp>
        <tr r="C1621" s="2"/>
      </tp>
      <tp t="s">
        <v>#N/A Requesting Data...3707035737</v>
        <stp/>
        <stp>BDP|13134271873558170002</stp>
        <tr r="N1223" s="2"/>
      </tp>
      <tp t="s">
        <v>#N/A Requesting Data...2350288345</v>
        <stp/>
        <stp>BDP|15691480679990108822</stp>
        <tr r="G1003" s="2"/>
      </tp>
      <tp t="s">
        <v>#N/A Requesting Data...2894722642</v>
        <stp/>
        <stp>BDP|17455928174842176570</stp>
        <tr r="P507" s="2"/>
      </tp>
      <tp t="s">
        <v>#N/A Requesting Data...1705619272</v>
        <stp/>
        <stp>BDP|10048180929308468510</stp>
        <tr r="J1952" s="2"/>
      </tp>
      <tp t="s">
        <v>#N/A Requesting Data...4214457657</v>
        <stp/>
        <stp>BDP|13756093291786954225</stp>
        <tr r="S1937" s="2"/>
      </tp>
      <tp t="s">
        <v>#N/A Requesting Data...3229387662</v>
        <stp/>
        <stp>BDP|15236220226548128335</stp>
        <tr r="R2157" s="2"/>
      </tp>
      <tp t="s">
        <v>#N/A Requesting Data...2933802049</v>
        <stp/>
        <stp>BDP|10087536984091568268</stp>
        <tr r="E2239" s="2"/>
      </tp>
      <tp t="s">
        <v>#N/A Requesting Data...1908197315</v>
        <stp/>
        <stp>BDP|17548161790377670611</stp>
        <tr r="E1035" s="2"/>
      </tp>
      <tp t="b">
        <v>0</v>
        <stp/>
        <stp>BDS|10872796101139681018</stp>
        <tr r="I529" s="2"/>
      </tp>
      <tp t="s">
        <v>#N/A Requesting Data...3531938087</v>
        <stp/>
        <stp>BDP|12528176142441105857</stp>
        <tr r="T667" s="2"/>
      </tp>
      <tp t="s">
        <v>#N/A Requesting Data...2108051692</v>
        <stp/>
        <stp>BDP|14250275906449136160</stp>
        <tr r="O657" s="2"/>
      </tp>
      <tp t="s">
        <v>#N/A Requesting Data...2673867773</v>
        <stp/>
        <stp>BDP|15539986808051833391</stp>
        <tr r="D1141" s="2"/>
      </tp>
      <tp t="s">
        <v>#N/A Requesting Data...2989059637</v>
        <stp/>
        <stp>BDP|11317054582007521050</stp>
        <tr r="P651" s="2"/>
      </tp>
      <tp t="s">
        <v>#N/A Requesting Data...2585203229</v>
        <stp/>
        <stp>BDP|12739952912965469108</stp>
        <tr r="D2132" s="2"/>
      </tp>
      <tp t="s">
        <v>#N/A Requesting Data...3063745554</v>
        <stp/>
        <stp>BDP|15371472884293239462</stp>
        <tr r="T551" s="2"/>
      </tp>
      <tp t="s">
        <v>#N/A Requesting Data...2705345862</v>
        <stp/>
        <stp>BDP|11227017498641921767</stp>
        <tr r="T516" s="2"/>
      </tp>
      <tp t="s">
        <v>#N/A Requesting Data...3864249502</v>
        <stp/>
        <stp>BDP|12493468650925681806</stp>
        <tr r="S442" s="2"/>
      </tp>
      <tp t="s">
        <v>#N/A Requesting Data...3620959907</v>
        <stp/>
        <stp>BDP|13506122716704337960</stp>
        <tr r="O1608" s="2"/>
      </tp>
      <tp t="s">
        <v>#N/A Requesting Data...4127986068</v>
        <stp/>
        <stp>BDP|10961031534544223986</stp>
        <tr r="T1414" s="2"/>
      </tp>
      <tp t="s">
        <v>#N/A Requesting Data...3906405403</v>
        <stp/>
        <stp>BDP|14220379132813253910</stp>
        <tr r="A1617" s="2"/>
      </tp>
      <tp t="s">
        <v>#N/A Requesting Data...4157781470</v>
        <stp/>
        <stp>BDP|13715728824620326868</stp>
        <tr r="J532" s="2"/>
      </tp>
      <tp t="s">
        <v>#N/A Requesting Data...1751515324</v>
        <stp/>
        <stp>BDP|11034260452969982197</stp>
        <tr r="C810" s="2"/>
      </tp>
      <tp t="s">
        <v>#N/A Requesting Data...1978824480</v>
        <stp/>
        <stp>BDP|10277755031358515275</stp>
        <tr r="G835" s="2"/>
      </tp>
      <tp t="s">
        <v>#N/A Requesting Data...3287166802</v>
        <stp/>
        <stp>BDP|16398050811250683956</stp>
        <tr r="O2192" s="2"/>
      </tp>
      <tp t="s">
        <v>#N/A Requesting Data...3861951776</v>
        <stp/>
        <stp>BDP|15725966794109013211</stp>
        <tr r="C1686" s="2"/>
      </tp>
      <tp t="s">
        <v>#N/A Requesting Data...4181060789</v>
        <stp/>
        <stp>BDP|16191748293660535671</stp>
        <tr r="O295" s="2"/>
      </tp>
      <tp t="s">
        <v>#N/A Requesting Data...4268841855</v>
        <stp/>
        <stp>BDP|11923260457461963955</stp>
        <tr r="C1259" s="2"/>
      </tp>
      <tp t="b">
        <v>0</v>
        <stp/>
        <stp>BDS|10340687706330979833</stp>
        <tr r="I16" s="2"/>
      </tp>
      <tp t="s">
        <v>#N/A Requesting Data...2171912748</v>
        <stp/>
        <stp>BDP|11853238052821979946</stp>
        <tr r="D2200" s="2"/>
      </tp>
      <tp t="b">
        <v>0</v>
        <stp/>
        <stp>BDS|16144753981727677043</stp>
        <tr r="I526" s="2"/>
      </tp>
      <tp t="s">
        <v>#N/A Requesting Data...3758982101</v>
        <stp/>
        <stp>BDP|10769535092756217401</stp>
        <tr r="T1890" s="2"/>
      </tp>
      <tp t="s">
        <v>#N/A Requesting Data...2995498337</v>
        <stp/>
        <stp>BDP|15476314188143826314</stp>
        <tr r="G1211" s="2"/>
      </tp>
      <tp t="s">
        <v>#N/A Requesting Data...1962047098</v>
        <stp/>
        <stp>BDP|18269545683439308223</stp>
        <tr r="T1415" s="2"/>
      </tp>
      <tp t="s">
        <v>#N/A Requesting Data...2982505763</v>
        <stp/>
        <stp>BDP|15095232084524124528</stp>
        <tr r="J374" s="2"/>
      </tp>
      <tp t="s">
        <v>#N/A Requesting Data...3542238196</v>
        <stp/>
        <stp>BDP|14003949193149178314</stp>
        <tr r="J2099" s="2"/>
      </tp>
      <tp t="s">
        <v>#N/A Requesting Data...1879706351</v>
        <stp/>
        <stp>BDP|16182369064819743436</stp>
        <tr r="M1786" s="2"/>
      </tp>
      <tp t="s">
        <v>#N/A Requesting Data...3047796934</v>
        <stp/>
        <stp>BDP|15659687550889198189</stp>
        <tr r="J662" s="2"/>
      </tp>
      <tp t="s">
        <v>#N/A Requesting Data...3334187002</v>
        <stp/>
        <stp>BDP|16727677697275788275</stp>
        <tr r="R1669" s="2"/>
      </tp>
      <tp t="s">
        <v>#N/A Requesting Data...4151137696</v>
        <stp/>
        <stp>BDP|18310315113887650303</stp>
        <tr r="T2105" s="2"/>
      </tp>
      <tp t="s">
        <v>#N/A Requesting Data...3211536665</v>
        <stp/>
        <stp>BDP|10104908177256947684</stp>
        <tr r="C2024" s="2"/>
      </tp>
      <tp t="s">
        <v>#N/A Requesting Data...3850868820</v>
        <stp/>
        <stp>BDP|15466879980619169255</stp>
        <tr r="G2249" s="2"/>
      </tp>
      <tp t="s">
        <v>#N/A Requesting Data...4214301521</v>
        <stp/>
        <stp>BDP|10743549527491279814</stp>
        <tr r="E137" s="2"/>
      </tp>
      <tp t="s">
        <v>#N/A Requesting Data...2987094812</v>
        <stp/>
        <stp>BDP|11190224802595612803</stp>
        <tr r="G782" s="2"/>
      </tp>
      <tp t="s">
        <v>#N/A Requesting Data...2334977547</v>
        <stp/>
        <stp>BDP|17903793436115705868</stp>
        <tr r="C1805" s="2"/>
      </tp>
      <tp t="s">
        <v>#N/A Requesting Data...3485751503</v>
        <stp/>
        <stp>BDP|17038526165503084901</stp>
        <tr r="K1798" s="2"/>
      </tp>
      <tp t="s">
        <v>#N/A Requesting Data...3978754985</v>
        <stp/>
        <stp>BDP|17817876114493984352</stp>
        <tr r="C28" s="2"/>
      </tp>
      <tp t="s">
        <v>#N/A Requesting Data...3790393498</v>
        <stp/>
        <stp>BDP|18305279239755224285</stp>
        <tr r="J1259" s="2"/>
      </tp>
      <tp t="s">
        <v>#N/A Requesting Data...3964426417</v>
        <stp/>
        <stp>BDP|10671128223264817985</stp>
        <tr r="S416" s="2"/>
      </tp>
      <tp t="s">
        <v>#N/A Requesting Data...2955071795</v>
        <stp/>
        <stp>BDP|17465672214666993892</stp>
        <tr r="K932" s="2"/>
      </tp>
      <tp t="s">
        <v>#N/A Requesting Data...4253868777</v>
        <stp/>
        <stp>BDP|10043144154533749909</stp>
        <tr r="O1437" s="2"/>
      </tp>
      <tp t="s">
        <v>#N/A Requesting Data...2750238689</v>
        <stp/>
        <stp>BDP|10370487596065808628</stp>
        <tr r="P330" s="2"/>
      </tp>
      <tp t="s">
        <v>#N/A Requesting Data...2865738843</v>
        <stp/>
        <stp>BDP|17360020283915568401</stp>
        <tr r="T2259" s="2"/>
      </tp>
      <tp t="s">
        <v>#N/A Requesting Data...3467119704</v>
        <stp/>
        <stp>BDP|16248436086557398336</stp>
        <tr r="C1167" s="2"/>
      </tp>
      <tp t="s">
        <v>#N/A Requesting Data...2428171299</v>
        <stp/>
        <stp>BDP|11886405679625436920</stp>
        <tr r="D2084" s="2"/>
      </tp>
      <tp t="s">
        <v>#N/A Requesting Data...3155610768</v>
        <stp/>
        <stp>BDP|12425260623615052969</stp>
        <tr r="M1888" s="2"/>
      </tp>
      <tp t="s">
        <v>#N/A Requesting Data...3226705544</v>
        <stp/>
        <stp>BDP|16685555360543642824</stp>
        <tr r="Q656" s="2"/>
      </tp>
      <tp t="s">
        <v>#N/A Requesting Data...2075826933</v>
        <stp/>
        <stp>BDP|15927153489675497766</stp>
        <tr r="H381" s="2"/>
      </tp>
      <tp t="s">
        <v>#N/A Requesting Data...3318084337</v>
        <stp/>
        <stp>BDP|11601864163948139951</stp>
        <tr r="J281" s="2"/>
      </tp>
      <tp t="s">
        <v>#N/A Requesting Data...1981687795</v>
        <stp/>
        <stp>BDP|16963888520395713713</stp>
        <tr r="G1669" s="2"/>
      </tp>
      <tp t="s">
        <v>#N/A Requesting Data...4243018959</v>
        <stp/>
        <stp>BDP|15228224074209586763</stp>
        <tr r="N695" s="2"/>
      </tp>
      <tp t="s">
        <v>#N/A Requesting Data...2018248161</v>
        <stp/>
        <stp>BDP|12834289333099226467</stp>
        <tr r="A1019" s="2"/>
      </tp>
      <tp t="s">
        <v>#N/A Requesting Data...2017539862</v>
        <stp/>
        <stp>BDP|12575832581714590854</stp>
        <tr r="R1370" s="2"/>
      </tp>
      <tp t="s">
        <v>#N/A Requesting Data...2784320186</v>
        <stp/>
        <stp>BDP|14378064092013644069</stp>
        <tr r="R1887" s="2"/>
      </tp>
      <tp t="s">
        <v>#N/A Requesting Data...1880631346</v>
        <stp/>
        <stp>BDP|11459118654372006960</stp>
        <tr r="T1722" s="2"/>
      </tp>
      <tp t="s">
        <v>#N/A Requesting Data...2673874619</v>
        <stp/>
        <stp>BDP|16732042600740508818</stp>
        <tr r="Q243" s="2"/>
      </tp>
      <tp t="s">
        <v>#N/A Requesting Data...4249756054</v>
        <stp/>
        <stp>BDP|14819934578214199050</stp>
        <tr r="Q613" s="2"/>
      </tp>
      <tp t="s">
        <v>#N/A Requesting Data...3488692578</v>
        <stp/>
        <stp>BDP|17732351381746633428</stp>
        <tr r="M1242" s="2"/>
      </tp>
      <tp t="s">
        <v>#N/A Requesting Data...3282463240</v>
        <stp/>
        <stp>BDP|13695959237587610059</stp>
        <tr r="H2395" s="2"/>
      </tp>
      <tp t="s">
        <v>#N/A Requesting Data...2997964491</v>
        <stp/>
        <stp>BDP|18379439003327085548</stp>
        <tr r="H1366" s="2"/>
      </tp>
      <tp t="s">
        <v>#N/A Requesting Data...2438964055</v>
        <stp/>
        <stp>BDP|14443905816882516005</stp>
        <tr r="N1394" s="2"/>
      </tp>
      <tp t="s">
        <v>#N/A Requesting Data...2119402202</v>
        <stp/>
        <stp>BDP|12796839264850115264</stp>
        <tr r="C1078" s="2"/>
      </tp>
      <tp t="s">
        <v>#N/A Requesting Data...2221278602</v>
        <stp/>
        <stp>BDP|13382448021022787965</stp>
        <tr r="G1611" s="2"/>
      </tp>
      <tp t="s">
        <v>#N/A Requesting Data...3948750227</v>
        <stp/>
        <stp>BDP|16731405542029091122</stp>
        <tr r="K725" s="2"/>
      </tp>
      <tp t="s">
        <v>#N/A Requesting Data...2498522914</v>
        <stp/>
        <stp>BDP|14863793869882615991</stp>
        <tr r="Q328" s="2"/>
      </tp>
      <tp t="s">
        <v>#N/A Requesting Data...2694207999</v>
        <stp/>
        <stp>BDP|18348525967627125208</stp>
        <tr r="D84" s="2"/>
      </tp>
      <tp t="s">
        <v>#N/A Requesting Data...1966631838</v>
        <stp/>
        <stp>BDP|15645067158568781683</stp>
        <tr r="A569" s="2"/>
      </tp>
      <tp t="s">
        <v>#N/A Requesting Data...2830570088</v>
        <stp/>
        <stp>BDP|15433656110579757518</stp>
        <tr r="Q1887" s="2"/>
      </tp>
      <tp t="s">
        <v>#N/A Requesting Data...2645103585</v>
        <stp/>
        <stp>BDP|11343967435322489734</stp>
        <tr r="A1420" s="2"/>
      </tp>
      <tp t="s">
        <v>#N/A Requesting Data...2368600096</v>
        <stp/>
        <stp>BDP|14894894314577345410</stp>
        <tr r="K1866" s="2"/>
      </tp>
      <tp t="s">
        <v>#N/A Requesting Data...2458729760</v>
        <stp/>
        <stp>BDP|17036752621155246918</stp>
        <tr r="K2335" s="2"/>
      </tp>
      <tp t="s">
        <v>#N/A Requesting Data...3203054103</v>
        <stp/>
        <stp>BDP|14259846171234056107</stp>
        <tr r="M1642" s="2"/>
      </tp>
      <tp t="s">
        <v>#N/A Requesting Data...2904956976</v>
        <stp/>
        <stp>BDP|17844896911939783900</stp>
        <tr r="M2107" s="2"/>
      </tp>
      <tp t="s">
        <v>#N/A Requesting Data...2604840358</v>
        <stp/>
        <stp>BDP|12222319323214726908</stp>
        <tr r="R2221" s="2"/>
      </tp>
      <tp t="s">
        <v>#N/A Requesting Data...3763598571</v>
        <stp/>
        <stp>BDP|11525160986883385511</stp>
        <tr r="O1897" s="2"/>
      </tp>
      <tp t="s">
        <v>#N/A Requesting Data...3419445873</v>
        <stp/>
        <stp>BDP|18140924138119461584</stp>
        <tr r="T1786" s="2"/>
      </tp>
      <tp t="s">
        <v>#N/A Requesting Data...4021793960</v>
        <stp/>
        <stp>BDP|11553514284267347544</stp>
        <tr r="G579" s="2"/>
      </tp>
      <tp t="s">
        <v>#N/A Requesting Data...2622468896</v>
        <stp/>
        <stp>BDP|14620260252345564804</stp>
        <tr r="Q1116" s="2"/>
      </tp>
      <tp t="s">
        <v>#N/A Requesting Data...2646854440</v>
        <stp/>
        <stp>BDP|13949351236754572987</stp>
        <tr r="C1932" s="2"/>
      </tp>
      <tp t="s">
        <v>#N/A Requesting Data...3107254242</v>
        <stp/>
        <stp>BDP|16594894021921328394</stp>
        <tr r="G1624" s="2"/>
      </tp>
      <tp t="s">
        <v>#N/A Requesting Data...3864818961</v>
        <stp/>
        <stp>BDP|17952494387431228425</stp>
        <tr r="T2142" s="2"/>
      </tp>
      <tp t="s">
        <v>#N/A Requesting Data...2766188023</v>
        <stp/>
        <stp>BDP|15610984722627369784</stp>
        <tr r="N2463" s="2"/>
      </tp>
      <tp t="s">
        <v>#N/A Requesting Data...2110348646</v>
        <stp/>
        <stp>BDP|11459626605299432003</stp>
        <tr r="Q642" s="2"/>
      </tp>
      <tp t="s">
        <v>#N/A Requesting Data...2806427476</v>
        <stp/>
        <stp>BDP|13607642315618752270</stp>
        <tr r="K1648" s="2"/>
      </tp>
      <tp t="s">
        <v>#N/A Requesting Data...4218430901</v>
        <stp/>
        <stp>BDP|14007656976258649321</stp>
        <tr r="G1601" s="2"/>
      </tp>
      <tp t="s">
        <v>#N/A Requesting Data...3829039533</v>
        <stp/>
        <stp>BDP|12289167656820603837</stp>
        <tr r="D1864" s="2"/>
      </tp>
      <tp t="b">
        <v>0</v>
        <stp/>
        <stp>BDS|11960133689452664417</stp>
        <tr r="I844" s="2"/>
      </tp>
      <tp t="s">
        <v>#N/A Requesting Data...4025495758</v>
        <stp/>
        <stp>BDP|14609734946889089044</stp>
        <tr r="J1003" s="2"/>
      </tp>
      <tp t="s">
        <v>#N/A Requesting Data...3881744076</v>
        <stp/>
        <stp>BDP|10644681288950940088</stp>
        <tr r="K1817" s="2"/>
      </tp>
      <tp t="s">
        <v>#N/A Requesting Data...2901433465</v>
        <stp/>
        <stp>BDP|18148163784459269665</stp>
        <tr r="R1504" s="2"/>
      </tp>
      <tp t="s">
        <v>#N/A Requesting Data...3255117928</v>
        <stp/>
        <stp>BDP|10900742279088725647</stp>
        <tr r="D107" s="2"/>
      </tp>
      <tp t="s">
        <v>#N/A Requesting Data...4253880989</v>
        <stp/>
        <stp>BDP|16747315347548019762</stp>
        <tr r="T461" s="2"/>
      </tp>
      <tp t="s">
        <v>#N/A Requesting Data...3655525160</v>
        <stp/>
        <stp>BDP|12468005907205679921</stp>
        <tr r="A1884" s="2"/>
      </tp>
      <tp t="b">
        <v>0</v>
        <stp/>
        <stp>BDS|14565764995424149035</stp>
        <tr r="I1380" s="2"/>
      </tp>
      <tp t="s">
        <v>#N/A Requesting Data...2889335450</v>
        <stp/>
        <stp>BDP|18433364213521105575</stp>
        <tr r="C479" s="2"/>
      </tp>
      <tp t="s">
        <v>#N/A Requesting Data...2681732602</v>
        <stp/>
        <stp>BDP|10583563347276485976</stp>
        <tr r="Q510" s="2"/>
      </tp>
      <tp t="s">
        <v>#N/A Requesting Data...3223161396</v>
        <stp/>
        <stp>BDP|11276626419189777191</stp>
        <tr r="M2360" s="2"/>
      </tp>
      <tp t="s">
        <v>#N/A Requesting Data...3005055786</v>
        <stp/>
        <stp>BDP|11788469630568475025</stp>
        <tr r="C1126" s="2"/>
      </tp>
      <tp t="s">
        <v>#N/A Requesting Data...3843477439</v>
        <stp/>
        <stp>BDP|17090675183786684155</stp>
        <tr r="R1109" s="2"/>
      </tp>
      <tp t="s">
        <v>#N/A Requesting Data...3915133311</v>
        <stp/>
        <stp>BDP|16012013849649822570</stp>
        <tr r="R2067" s="2"/>
      </tp>
      <tp t="s">
        <v>#N/A Requesting Data...2517330184</v>
        <stp/>
        <stp>BDP|13233946717386483328</stp>
        <tr r="Q437" s="2"/>
      </tp>
      <tp t="s">
        <v>#N/A Requesting Data...2703745553</v>
        <stp/>
        <stp>BDP|15132903956437527050</stp>
        <tr r="H2063" s="2"/>
      </tp>
      <tp t="s">
        <v>#N/A Requesting Data...3720576096</v>
        <stp/>
        <stp>BDP|12956336889357705036</stp>
        <tr r="N1727" s="2"/>
      </tp>
      <tp t="s">
        <v>#N/A Requesting Data...2005719483</v>
        <stp/>
        <stp>BDP|14269883105335042784</stp>
        <tr r="P628" s="2"/>
      </tp>
      <tp t="s">
        <v>#N/A Requesting Data...3760621021</v>
        <stp/>
        <stp>BDP|12903271793026833124</stp>
        <tr r="O1621" s="2"/>
      </tp>
      <tp t="s">
        <v>#N/A Requesting Data...4290684597</v>
        <stp/>
        <stp>BDP|14510364097000445077</stp>
        <tr r="D1834" s="2"/>
      </tp>
      <tp t="b">
        <v>0</v>
        <stp/>
        <stp>BDS|11286143022045287925</stp>
        <tr r="I1479" s="2"/>
      </tp>
      <tp t="s">
        <v>#N/A Requesting Data...3053171561</v>
        <stp/>
        <stp>BDP|11551909451243687050</stp>
        <tr r="H273" s="2"/>
      </tp>
      <tp t="s">
        <v>#N/A Requesting Data...4072155908</v>
        <stp/>
        <stp>BDP|17293840214763616339</stp>
        <tr r="H215" s="2"/>
      </tp>
      <tp t="s">
        <v>#N/A Requesting Data...3548988021</v>
        <stp/>
        <stp>BDP|16224001452375337845</stp>
        <tr r="T885" s="2"/>
      </tp>
      <tp t="s">
        <v>#N/A Requesting Data...3420728669</v>
        <stp/>
        <stp>BDP|13811998516423589650</stp>
        <tr r="M241" s="2"/>
      </tp>
      <tp t="s">
        <v>#N/A Requesting Data...2330130768</v>
        <stp/>
        <stp>BDP|12142810807736531255</stp>
        <tr r="F2079" s="2"/>
      </tp>
      <tp t="s">
        <v>#N/A Requesting Data...3565170483</v>
        <stp/>
        <stp>BDP|11923903716412823502</stp>
        <tr r="A1533" s="2"/>
      </tp>
      <tp t="s">
        <v>#N/A Requesting Data...3796645268</v>
        <stp/>
        <stp>BDP|12605097477048866375</stp>
        <tr r="E503" s="2"/>
      </tp>
      <tp t="s">
        <v>#N/A Requesting Data...3497139290</v>
        <stp/>
        <stp>BDP|17024953386500344874</stp>
        <tr r="H1078" s="2"/>
      </tp>
      <tp t="s">
        <v>#N/A Requesting Data...4199156965</v>
        <stp/>
        <stp>BDP|10620428630139277018</stp>
        <tr r="N1934" s="2"/>
      </tp>
      <tp t="s">
        <v>#N/A Requesting Data...3019083564</v>
        <stp/>
        <stp>BDP|12650397459343532946</stp>
        <tr r="T321" s="2"/>
      </tp>
      <tp t="b">
        <v>0</v>
        <stp/>
        <stp>BDS|17335777884041196746</stp>
        <tr r="I1118" s="2"/>
      </tp>
      <tp t="s">
        <v>#N/A Requesting Data...2086211734</v>
        <stp/>
        <stp>BDP|16427160718211935958</stp>
        <tr r="G1758" s="2"/>
      </tp>
      <tp t="s">
        <v>#N/A Requesting Data...3418559401</v>
        <stp/>
        <stp>BDP|17192303010342262954</stp>
        <tr r="O1766" s="2"/>
      </tp>
      <tp t="s">
        <v>#N/A Requesting Data...2214781151</v>
        <stp/>
        <stp>BDP|15288779096070639539</stp>
        <tr r="D1625" s="2"/>
      </tp>
      <tp t="s">
        <v>#N/A Requesting Data...4212019262</v>
        <stp/>
        <stp>BDP|14181488351868726391</stp>
        <tr r="O1540" s="2"/>
      </tp>
      <tp t="s">
        <v>#N/A Requesting Data...3034626637</v>
        <stp/>
        <stp>BDP|15838001790817773597</stp>
        <tr r="R1914" s="2"/>
      </tp>
      <tp t="s">
        <v>#N/A Requesting Data...3059916706</v>
        <stp/>
        <stp>BDP|13379479794429223942</stp>
        <tr r="E1277" s="2"/>
      </tp>
      <tp t="s">
        <v>#N/A Requesting Data...3053831198</v>
        <stp/>
        <stp>BDP|15293457680375707267</stp>
        <tr r="J1810" s="2"/>
      </tp>
      <tp t="s">
        <v>#N/A Requesting Data...2167281369</v>
        <stp/>
        <stp>BDP|12210301253909036370</stp>
        <tr r="J479" s="2"/>
      </tp>
      <tp t="s">
        <v>#N/A Requesting Data...3150042709</v>
        <stp/>
        <stp>BDP|17694245183094245751</stp>
        <tr r="M254" s="2"/>
      </tp>
      <tp t="b">
        <v>0</v>
        <stp/>
        <stp>BDS|10392429353487091874</stp>
        <tr r="I1718" s="2"/>
      </tp>
      <tp t="s">
        <v>#N/A Requesting Data...3724052495</v>
        <stp/>
        <stp>BDP|18204440863333634759</stp>
        <tr r="A2077" s="2"/>
      </tp>
      <tp t="s">
        <v>#N/A Requesting Data...2666548424</v>
        <stp/>
        <stp>BDP|16290102360409629624</stp>
        <tr r="N816" s="2"/>
      </tp>
      <tp t="s">
        <v>#N/A Requesting Data...3413692548</v>
        <stp/>
        <stp>BDP|11557713058054874928</stp>
        <tr r="M1418" s="2"/>
      </tp>
      <tp t="s">
        <v>#N/A Requesting Data...3388727987</v>
        <stp/>
        <stp>BDP|12509938986239222441</stp>
        <tr r="E57" s="2"/>
      </tp>
      <tp t="s">
        <v>#N/A Requesting Data...2309500407</v>
        <stp/>
        <stp>BDP|10784901231917817388</stp>
        <tr r="R2144" s="2"/>
      </tp>
      <tp t="s">
        <v>#N/A Requesting Data...2373604376</v>
        <stp/>
        <stp>BDP|17566668704618613770</stp>
        <tr r="C2366" s="2"/>
      </tp>
      <tp t="s">
        <v>#N/A Requesting Data...2383279764</v>
        <stp/>
        <stp>BDP|18307429963645769130</stp>
        <tr r="A2186" s="2"/>
      </tp>
      <tp t="s">
        <v>#N/A Requesting Data...3653247226</v>
        <stp/>
        <stp>BDP|10893413204683916925</stp>
        <tr r="C1288" s="2"/>
      </tp>
      <tp t="s">
        <v>#N/A Requesting Data...3484070996</v>
        <stp/>
        <stp>BDP|10738638897303369266</stp>
        <tr r="R573" s="2"/>
      </tp>
      <tp t="s">
        <v>#N/A Requesting Data...2983171474</v>
        <stp/>
        <stp>BDP|13731238162401718876</stp>
        <tr r="D1988" s="2"/>
      </tp>
      <tp t="s">
        <v>#N/A Requesting Data...2118121119</v>
        <stp/>
        <stp>BDP|18224773746063110648</stp>
        <tr r="A1365" s="2"/>
      </tp>
      <tp t="s">
        <v>#N/A Requesting Data...2249171052</v>
        <stp/>
        <stp>BDP|18386469441274431268</stp>
        <tr r="N1988" s="2"/>
      </tp>
      <tp t="s">
        <v>#N/A Requesting Data...4124032439</v>
        <stp/>
        <stp>BDP|17637717691470694761</stp>
        <tr r="T425" s="2"/>
      </tp>
      <tp t="s">
        <v>#N/A Requesting Data...3898997092</v>
        <stp/>
        <stp>BDP|18190745886441038854</stp>
        <tr r="G199" s="2"/>
      </tp>
      <tp t="s">
        <v>#N/A Requesting Data...2480903427</v>
        <stp/>
        <stp>BDP|13300047186955613010</stp>
        <tr r="G2238" s="2"/>
      </tp>
      <tp t="s">
        <v>#N/A Requesting Data...3693363268</v>
        <stp/>
        <stp>BDP|14200277898771290097</stp>
        <tr r="M1433" s="2"/>
      </tp>
      <tp t="s">
        <v>#N/A Requesting Data...3880155681</v>
        <stp/>
        <stp>BDP|18083113326306479351</stp>
        <tr r="Q1301" s="2"/>
      </tp>
      <tp t="s">
        <v>#N/A Requesting Data...3676877906</v>
        <stp/>
        <stp>BDP|10330969914510213650</stp>
        <tr r="H1088" s="2"/>
      </tp>
      <tp t="s">
        <v>#N/A Requesting Data...3405547786</v>
        <stp/>
        <stp>BDP|16506603461620185833</stp>
        <tr r="G652" s="2"/>
      </tp>
      <tp t="s">
        <v>#N/A Requesting Data...4055293140</v>
        <stp/>
        <stp>BDP|10061960294528295664</stp>
        <tr r="Q857" s="2"/>
      </tp>
      <tp t="s">
        <v>#N/A Requesting Data...2533490229</v>
        <stp/>
        <stp>BDP|10166834725423692771</stp>
        <tr r="A1955" s="2"/>
      </tp>
      <tp t="s">
        <v>#N/A Requesting Data...3375175043</v>
        <stp/>
        <stp>BDP|12870239831294820940</stp>
        <tr r="T1173" s="2"/>
      </tp>
      <tp t="s">
        <v>#N/A Requesting Data...2129171253</v>
        <stp/>
        <stp>BDP|17192770274050026945</stp>
        <tr r="A1497" s="2"/>
      </tp>
      <tp t="s">
        <v>#N/A Requesting Data...2903655014</v>
        <stp/>
        <stp>BDP|18231676035941736211</stp>
        <tr r="K2128" s="2"/>
      </tp>
      <tp t="s">
        <v>#N/A Requesting Data...2646439748</v>
        <stp/>
        <stp>BDP|14151737826376587974</stp>
        <tr r="E1059" s="2"/>
      </tp>
      <tp t="s">
        <v>#N/A Requesting Data...2626139895</v>
        <stp/>
        <stp>BDP|11910679038338647262</stp>
        <tr r="S1322" s="2"/>
      </tp>
      <tp t="s">
        <v>#N/A Requesting Data...3351471793</v>
        <stp/>
        <stp>BDP|16297238052536183941</stp>
        <tr r="J343" s="2"/>
      </tp>
      <tp t="s">
        <v>#N/A Requesting Data...2186293049</v>
        <stp/>
        <stp>BDP|15618519292900490774</stp>
        <tr r="K1138" s="2"/>
      </tp>
      <tp t="s">
        <v>#N/A Requesting Data...3911091275</v>
        <stp/>
        <stp>BDP|17192125793469669802</stp>
        <tr r="S1230" s="2"/>
      </tp>
      <tp t="s">
        <v>#N/A Requesting Data...3647248393</v>
        <stp/>
        <stp>BDP|18322651773510487772</stp>
        <tr r="O923" s="2"/>
      </tp>
      <tp t="s">
        <v>#N/A Requesting Data...3992122275</v>
        <stp/>
        <stp>BDP|10011350496502531604</stp>
        <tr r="S1383" s="2"/>
      </tp>
      <tp t="s">
        <v>#N/A Requesting Data...2379154875</v>
        <stp/>
        <stp>BDP|17865405128799369651</stp>
        <tr r="F2212" s="2"/>
      </tp>
      <tp t="s">
        <v>#N/A Requesting Data...3560485975</v>
        <stp/>
        <stp>BDP|10326993164265187498</stp>
        <tr r="S939" s="2"/>
      </tp>
      <tp t="s">
        <v>#N/A Requesting Data...4200716312</v>
        <stp/>
        <stp>BDP|15975436731215813951</stp>
        <tr r="E263" s="2"/>
      </tp>
      <tp t="b">
        <v>0</v>
        <stp/>
        <stp>BDS|10639794341079900425</stp>
        <tr r="I2104" s="2"/>
      </tp>
      <tp t="s">
        <v>#N/A Requesting Data...3459456189</v>
        <stp/>
        <stp>BDP|14122238042295284942</stp>
        <tr r="E1573" s="2"/>
      </tp>
      <tp t="s">
        <v>#N/A Requesting Data...3026345667</v>
        <stp/>
        <stp>BDP|15076349880877666742</stp>
        <tr r="J1806" s="2"/>
      </tp>
      <tp t="s">
        <v>#N/A Requesting Data...3500467140</v>
        <stp/>
        <stp>BDP|12095699081130917272</stp>
        <tr r="J1345" s="2"/>
      </tp>
      <tp t="s">
        <v>#N/A Requesting Data...2441997615</v>
        <stp/>
        <stp>BDP|17753855442861291443</stp>
        <tr r="N2508" s="2"/>
      </tp>
      <tp t="s">
        <v>#N/A Requesting Data...2930336522</v>
        <stp/>
        <stp>BDP|14226181999323252174</stp>
        <tr r="D833" s="2"/>
      </tp>
      <tp t="s">
        <v>#N/A Requesting Data...2904511887</v>
        <stp/>
        <stp>BDP|14495815601086795454</stp>
        <tr r="M1931" s="2"/>
      </tp>
      <tp t="s">
        <v>#N/A Requesting Data...2434945598</v>
        <stp/>
        <stp>BDP|17210162916450224964</stp>
        <tr r="P2459" s="2"/>
      </tp>
      <tp t="s">
        <v>#N/A Requesting Data...2378243323</v>
        <stp/>
        <stp>BDP|15681988765375864154</stp>
        <tr r="G742" s="2"/>
      </tp>
      <tp t="s">
        <v>#N/A Requesting Data...2325785084</v>
        <stp/>
        <stp>BDP|12389670980776681446</stp>
        <tr r="T2458" s="2"/>
      </tp>
      <tp t="s">
        <v>#N/A Requesting Data...2366818291</v>
        <stp/>
        <stp>BDP|17453145857235429851</stp>
        <tr r="H1393" s="2"/>
      </tp>
      <tp t="s">
        <v>#N/A Requesting Data...2331214343</v>
        <stp/>
        <stp>BDP|17513656124354047921</stp>
        <tr r="C2267" s="2"/>
      </tp>
      <tp t="s">
        <v>#N/A Requesting Data...3516764903</v>
        <stp/>
        <stp>BDP|11855782582080000047</stp>
        <tr r="A480" s="2"/>
      </tp>
      <tp t="s">
        <v>#N/A Requesting Data...3786957788</v>
        <stp/>
        <stp>BDP|14954553893034165280</stp>
        <tr r="C1816" s="2"/>
      </tp>
      <tp t="s">
        <v>#N/A Requesting Data...3788470780</v>
        <stp/>
        <stp>BDP|12207968412432784674</stp>
        <tr r="M1749" s="2"/>
      </tp>
      <tp t="s">
        <v>#N/A Requesting Data...2206682213</v>
        <stp/>
        <stp>BDP|10847016186293939503</stp>
        <tr r="K941" s="2"/>
      </tp>
      <tp t="s">
        <v>#N/A Requesting Data...3835487921</v>
        <stp/>
        <stp>BDP|12806716633940597896</stp>
        <tr r="M2359" s="2"/>
      </tp>
      <tp t="s">
        <v>#N/A Requesting Data...3861973082</v>
        <stp/>
        <stp>BDP|17440263814403760972</stp>
        <tr r="D92" s="2"/>
      </tp>
      <tp t="s">
        <v>#N/A Requesting Data...4045851624</v>
        <stp/>
        <stp>BDP|15627832586392141940</stp>
        <tr r="A261" s="2"/>
      </tp>
      <tp t="s">
        <v>#N/A Requesting Data...3153954573</v>
        <stp/>
        <stp>BDP|16638805020142646064</stp>
        <tr r="Q540" s="2"/>
      </tp>
      <tp t="s">
        <v>#N/A Requesting Data...2580447241</v>
        <stp/>
        <stp>BDP|12499458542839688536</stp>
        <tr r="M707" s="2"/>
      </tp>
      <tp t="s">
        <v>#N/A Requesting Data...4111813136</v>
        <stp/>
        <stp>BDP|16086425140778240069</stp>
        <tr r="N1137" s="2"/>
      </tp>
      <tp t="s">
        <v>#N/A Requesting Data...3018670269</v>
        <stp/>
        <stp>BDP|18245756701697659666</stp>
        <tr r="A7" s="2"/>
      </tp>
      <tp t="s">
        <v>#N/A Requesting Data...2430108713</v>
        <stp/>
        <stp>BDP|15932397206770639866</stp>
        <tr r="G1627" s="2"/>
      </tp>
      <tp t="s">
        <v>#N/A Requesting Data...3858300867</v>
        <stp/>
        <stp>BDP|14463790541690249982</stp>
        <tr r="E689" s="2"/>
      </tp>
      <tp t="s">
        <v>#N/A Requesting Data...2872476124</v>
        <stp/>
        <stp>BDP|15540856038071821166</stp>
        <tr r="C1957" s="2"/>
      </tp>
      <tp t="s">
        <v>#N/A Requesting Data...2522260620</v>
        <stp/>
        <stp>BDP|15447965400510713233</stp>
        <tr r="P775" s="2"/>
      </tp>
      <tp t="s">
        <v>#N/A Requesting Data...3443484498</v>
        <stp/>
        <stp>BDP|16977778798804041205</stp>
        <tr r="T1290" s="2"/>
      </tp>
      <tp t="s">
        <v>#N/A Requesting Data...2510557189</v>
        <stp/>
        <stp>BDP|13768552455568448553</stp>
        <tr r="G916" s="2"/>
      </tp>
      <tp t="s">
        <v>#N/A Requesting Data...2785254858</v>
        <stp/>
        <stp>BDP|10203863815515574224</stp>
        <tr r="D1815" s="2"/>
      </tp>
      <tp t="s">
        <v>#N/A Requesting Data...2430807346</v>
        <stp/>
        <stp>BDP|16292483165632093890</stp>
        <tr r="F676" s="2"/>
      </tp>
      <tp t="s">
        <v>#N/A Requesting Data...3712890539</v>
        <stp/>
        <stp>BDP|11214718285820235026</stp>
        <tr r="J570" s="2"/>
      </tp>
      <tp t="s">
        <v>#N/A Requesting Data...2834019902</v>
        <stp/>
        <stp>BDP|18203118403563402429</stp>
        <tr r="E1585" s="2"/>
      </tp>
      <tp t="s">
        <v>#N/A Requesting Data...3086575806</v>
        <stp/>
        <stp>BDP|15757167456749935682</stp>
        <tr r="A571" s="2"/>
      </tp>
      <tp t="s">
        <v>#N/A Requesting Data...3812649105</v>
        <stp/>
        <stp>BDP|11934827134485390052</stp>
        <tr r="N1754" s="2"/>
      </tp>
      <tp t="s">
        <v>#N/A Requesting Data...3044081179</v>
        <stp/>
        <stp>BDP|14030547535784993911</stp>
        <tr r="G1633" s="2"/>
      </tp>
      <tp t="s">
        <v>#N/A Requesting Data...3244196091</v>
        <stp/>
        <stp>BDP|11189466509508496239</stp>
        <tr r="E1922" s="2"/>
      </tp>
      <tp t="s">
        <v>#N/A Requesting Data...2980408115</v>
        <stp/>
        <stp>BDP|14113982711472385124</stp>
        <tr r="A942" s="2"/>
      </tp>
      <tp t="s">
        <v>#N/A Requesting Data...3218187065</v>
        <stp/>
        <stp>BDP|10246723090627129689</stp>
        <tr r="O789" s="2"/>
      </tp>
      <tp t="s">
        <v>#N/A Requesting Data...3278619294</v>
        <stp/>
        <stp>BDP|14966439417257362971</stp>
        <tr r="S88" s="2"/>
      </tp>
      <tp t="s">
        <v>#N/A Requesting Data...3918258992</v>
        <stp/>
        <stp>BDP|14283880219251842324</stp>
        <tr r="J1156" s="2"/>
      </tp>
      <tp t="s">
        <v>#N/A Requesting Data...3605642561</v>
        <stp/>
        <stp>BDP|16738351489881254305</stp>
        <tr r="F1893" s="2"/>
      </tp>
      <tp t="s">
        <v>#N/A Requesting Data...3863258157</v>
        <stp/>
        <stp>BDP|12953886763937924422</stp>
        <tr r="S154" s="2"/>
      </tp>
      <tp t="s">
        <v>#N/A Requesting Data...2630336215</v>
        <stp/>
        <stp>BDP|16998532753271562856</stp>
        <tr r="G1812" s="2"/>
      </tp>
      <tp t="s">
        <v>#N/A Requesting Data...2497776291</v>
        <stp/>
        <stp>BDP|13330190703805601862</stp>
        <tr r="P2252" s="2"/>
      </tp>
      <tp t="s">
        <v>#N/A Requesting Data...3303078457</v>
        <stp/>
        <stp>BDP|13890865972581730223</stp>
        <tr r="D1696" s="2"/>
      </tp>
      <tp t="s">
        <v>#N/A Requesting Data...3608268258</v>
        <stp/>
        <stp>BDP|16799618642143813859</stp>
        <tr r="S890" s="2"/>
      </tp>
      <tp t="s">
        <v>#N/A Requesting Data...2714956604</v>
        <stp/>
        <stp>BDP|14671119948439127777</stp>
        <tr r="T2182" s="2"/>
      </tp>
      <tp t="s">
        <v>#N/A Requesting Data...2605041107</v>
        <stp/>
        <stp>BDP|10481340976342853971</stp>
        <tr r="N657" s="2"/>
      </tp>
      <tp t="s">
        <v>#N/A Requesting Data...3047600515</v>
        <stp/>
        <stp>BDP|16093112751435844814</stp>
        <tr r="G2307" s="2"/>
      </tp>
      <tp t="s">
        <v>#N/A Requesting Data...3175751667</v>
        <stp/>
        <stp>BDP|17493415175923823818</stp>
        <tr r="N2383" s="2"/>
      </tp>
      <tp t="b">
        <v>0</v>
        <stp/>
        <stp>BDS|10850755973077262868</stp>
        <tr r="I1198" s="2"/>
      </tp>
      <tp t="s">
        <v>#N/A Requesting Data...3035361541</v>
        <stp/>
        <stp>BDP|11588784034318993298</stp>
        <tr r="N952" s="2"/>
      </tp>
      <tp t="s">
        <v>#N/A Requesting Data...3263418903</v>
        <stp/>
        <stp>BDP|16213505924478679699</stp>
        <tr r="S1814" s="2"/>
      </tp>
      <tp t="s">
        <v>#N/A Requesting Data...3787892945</v>
        <stp/>
        <stp>BDP|12859037891260266418</stp>
        <tr r="N964" s="2"/>
      </tp>
      <tp t="s">
        <v>#N/A Requesting Data...2990549219</v>
        <stp/>
        <stp>BDP|16226063566947857830</stp>
        <tr r="S713" s="2"/>
      </tp>
      <tp t="s">
        <v>#N/A Requesting Data...4196654038</v>
        <stp/>
        <stp>BDP|10033788510040441952</stp>
        <tr r="O978" s="2"/>
      </tp>
      <tp t="s">
        <v>#N/A Requesting Data...2758917047</v>
        <stp/>
        <stp>BDP|17591534934536868833</stp>
        <tr r="K1987" s="2"/>
      </tp>
      <tp t="s">
        <v>#N/A Requesting Data...2614879340</v>
        <stp/>
        <stp>BDP|17730735858478774229</stp>
        <tr r="N2024" s="2"/>
      </tp>
      <tp t="s">
        <v>#N/A Requesting Data...2703893306</v>
        <stp/>
        <stp>BDP|11886030133049315425</stp>
        <tr r="G960" s="2"/>
      </tp>
      <tp t="s">
        <v>#N/A Requesting Data...4147990946</v>
        <stp/>
        <stp>BDP|11913825326364590012</stp>
        <tr r="K980" s="2"/>
      </tp>
      <tp t="s">
        <v>#N/A Requesting Data...3579027828</v>
        <stp/>
        <stp>BDP|10112827184839842666</stp>
        <tr r="R209" s="2"/>
      </tp>
      <tp t="s">
        <v>#N/A Requesting Data...3982898561</v>
        <stp/>
        <stp>BDP|12752295462381693839</stp>
        <tr r="E971" s="2"/>
      </tp>
      <tp t="s">
        <v>#N/A Requesting Data...3985445432</v>
        <stp/>
        <stp>BDP|14507898865957916293</stp>
        <tr r="O2515" s="2"/>
      </tp>
      <tp t="s">
        <v>#N/A Requesting Data...4220756632</v>
        <stp/>
        <stp>BDP|18213527672424808131</stp>
        <tr r="Q2406" s="2"/>
      </tp>
      <tp t="b">
        <v>0</v>
        <stp/>
        <stp>BDS|10871306083566078210</stp>
        <tr r="I1571" s="2"/>
      </tp>
      <tp t="s">
        <v>#N/A Requesting Data...3899568526</v>
        <stp/>
        <stp>BDP|17263235558008923792</stp>
        <tr r="D547" s="2"/>
      </tp>
      <tp t="s">
        <v>#N/A Requesting Data...4193966260</v>
        <stp/>
        <stp>BDP|14246983416483149044</stp>
        <tr r="Q1585" s="2"/>
      </tp>
      <tp t="s">
        <v>#N/A Requesting Data...2859730097</v>
        <stp/>
        <stp>BDP|10635007981374874362</stp>
        <tr r="G187" s="2"/>
      </tp>
      <tp t="s">
        <v>#N/A Requesting Data...4120670151</v>
        <stp/>
        <stp>BDP|17093696841858524247</stp>
        <tr r="Q2180" s="2"/>
      </tp>
      <tp t="s">
        <v>#N/A Requesting Data...2877068202</v>
        <stp/>
        <stp>BDP|13936958344113389223</stp>
        <tr r="G1638" s="2"/>
      </tp>
      <tp t="s">
        <v>#N/A Requesting Data...4006851482</v>
        <stp/>
        <stp>BDP|15070894207566133464</stp>
        <tr r="F1507" s="2"/>
      </tp>
      <tp t="s">
        <v>#N/A Requesting Data...2616997341</v>
        <stp/>
        <stp>BDP|11968535829539345093</stp>
        <tr r="E2116" s="2"/>
      </tp>
      <tp t="s">
        <v>#N/A Requesting Data...4175331131</v>
        <stp/>
        <stp>BDP|13910870402981610539</stp>
        <tr r="J1942" s="2"/>
      </tp>
      <tp t="s">
        <v>#N/A Requesting Data...3440295271</v>
        <stp/>
        <stp>BDP|15813813632168178934</stp>
        <tr r="P1959" s="2"/>
      </tp>
      <tp t="s">
        <v>#N/A Requesting Data...2890311557</v>
        <stp/>
        <stp>BDP|16342381187282260071</stp>
        <tr r="D2173" s="2"/>
      </tp>
      <tp t="s">
        <v>#N/A Requesting Data...3999745507</v>
        <stp/>
        <stp>BDP|13563877393055024883</stp>
        <tr r="C886" s="2"/>
      </tp>
      <tp t="s">
        <v>#N/A Requesting Data...3765798743</v>
        <stp/>
        <stp>BDP|12193072689804047167</stp>
        <tr r="T1655" s="2"/>
      </tp>
      <tp t="s">
        <v>#N/A Requesting Data...2621865512</v>
        <stp/>
        <stp>BDP|10949627973869183704</stp>
        <tr r="M601" s="2"/>
      </tp>
      <tp t="s">
        <v>#N/A Requesting Data...4013711555</v>
        <stp/>
        <stp>BDP|11825143798823985546</stp>
        <tr r="M62" s="2"/>
      </tp>
      <tp t="s">
        <v>#N/A Requesting Data...3635267897</v>
        <stp/>
        <stp>BDP|14022235460028904730</stp>
        <tr r="N395" s="2"/>
      </tp>
      <tp t="s">
        <v>#N/A Requesting Data...3817390994</v>
        <stp/>
        <stp>BDP|18234523209223046101</stp>
        <tr r="R1246" s="2"/>
      </tp>
      <tp t="s">
        <v>#N/A Requesting Data...3607224848</v>
        <stp/>
        <stp>BDP|15173554929434616920</stp>
        <tr r="Q2193" s="2"/>
      </tp>
      <tp t="s">
        <v>#N/A Requesting Data...2551847553</v>
        <stp/>
        <stp>BDP|13963950906216105322</stp>
        <tr r="A597" s="2"/>
      </tp>
      <tp t="s">
        <v>#N/A Requesting Data...4270421175</v>
        <stp/>
        <stp>BDP|14614487856058797269</stp>
        <tr r="S1544" s="2"/>
      </tp>
      <tp t="s">
        <v>#N/A Requesting Data...2740813357</v>
        <stp/>
        <stp>BDP|14760670029596630966</stp>
        <tr r="A1219" s="2"/>
      </tp>
      <tp t="s">
        <v>#N/A Requesting Data...2467763786</v>
        <stp/>
        <stp>BDP|17307828109979112906</stp>
        <tr r="G386" s="2"/>
      </tp>
      <tp t="s">
        <v>#N/A Requesting Data...4023833496</v>
        <stp/>
        <stp>BDP|17675299724399014129</stp>
        <tr r="K571" s="2"/>
      </tp>
      <tp t="s">
        <v>#N/A Requesting Data...2647623872</v>
        <stp/>
        <stp>BDP|14020996735664164541</stp>
        <tr r="Q841" s="2"/>
      </tp>
      <tp t="s">
        <v>#N/A Requesting Data...2766374171</v>
        <stp/>
        <stp>BDP|12494805950005889551</stp>
        <tr r="T1683" s="2"/>
      </tp>
      <tp t="s">
        <v>#N/A Requesting Data...3094573268</v>
        <stp/>
        <stp>BDP|17575310753657716995</stp>
        <tr r="H2410" s="2"/>
      </tp>
      <tp t="s">
        <v>#N/A Requesting Data...4120132216</v>
        <stp/>
        <stp>BDP|14846085710693805913</stp>
        <tr r="P773" s="2"/>
      </tp>
      <tp t="s">
        <v>#N/A Requesting Data...3083929678</v>
        <stp/>
        <stp>BDP|15848250678509540691</stp>
        <tr r="O126" s="2"/>
      </tp>
      <tp t="s">
        <v>#N/A Requesting Data...3796612691</v>
        <stp/>
        <stp>BDP|16673115794466808722</stp>
        <tr r="E1280" s="2"/>
      </tp>
      <tp t="s">
        <v>#N/A Requesting Data...3971987348</v>
        <stp/>
        <stp>BDP|11894149342753653816</stp>
        <tr r="S731" s="2"/>
      </tp>
      <tp t="s">
        <v>#N/A Requesting Data...2539046851</v>
        <stp/>
        <stp>BDP|11383279485546950215</stp>
        <tr r="G2522" s="2"/>
      </tp>
      <tp t="s">
        <v>#N/A Requesting Data...3822262911</v>
        <stp/>
        <stp>BDP|11388625018740803991</stp>
        <tr r="F2140" s="2"/>
      </tp>
      <tp t="s">
        <v>#N/A Requesting Data...3480547153</v>
        <stp/>
        <stp>BDP|17929800743062499660</stp>
        <tr r="F740" s="2"/>
      </tp>
      <tp t="s">
        <v>#N/A Requesting Data...2933722086</v>
        <stp/>
        <stp>BDP|14055018135370431886</stp>
        <tr r="P586" s="2"/>
      </tp>
      <tp t="s">
        <v>#N/A Requesting Data...2541578646</v>
        <stp/>
        <stp>BDP|15875168400409183278</stp>
        <tr r="N1435" s="2"/>
      </tp>
      <tp t="s">
        <v>#N/A Requesting Data...4209188679</v>
        <stp/>
        <stp>BDP|10508985940454119649</stp>
        <tr r="S1877" s="2"/>
      </tp>
      <tp t="s">
        <v>#N/A Requesting Data...3753216559</v>
        <stp/>
        <stp>BDP|10675020596953811526</stp>
        <tr r="N156" s="2"/>
      </tp>
      <tp t="b">
        <v>0</v>
        <stp/>
        <stp>BDS|17496836860112546492</stp>
        <tr r="I1189" s="2"/>
      </tp>
      <tp t="s">
        <v>#N/A Requesting Data...3581126197</v>
        <stp/>
        <stp>BDP|11396614566378522694</stp>
        <tr r="A1403" s="2"/>
      </tp>
      <tp t="s">
        <v>#N/A Requesting Data...3337565046</v>
        <stp/>
        <stp>BDP|16324244499724714618</stp>
        <tr r="N743" s="2"/>
      </tp>
      <tp t="s">
        <v>#N/A Requesting Data...2534013901</v>
        <stp/>
        <stp>BDP|14775868550247914104</stp>
        <tr r="H1561" s="2"/>
      </tp>
      <tp t="s">
        <v>#N/A Requesting Data...4238774340</v>
        <stp/>
        <stp>BDP|17917819742290026427</stp>
        <tr r="C1650" s="2"/>
      </tp>
      <tp t="s">
        <v>#N/A Requesting Data...3349101995</v>
        <stp/>
        <stp>BDP|17690562579832798865</stp>
        <tr r="G1574" s="2"/>
      </tp>
      <tp t="s">
        <v>#N/A Requesting Data...4187685974</v>
        <stp/>
        <stp>BDP|11139698883816199625</stp>
        <tr r="H191" s="2"/>
      </tp>
      <tp t="s">
        <v>#N/A Requesting Data...4207920597</v>
        <stp/>
        <stp>BDP|12060480490498947899</stp>
        <tr r="F1828" s="2"/>
      </tp>
      <tp t="s">
        <v>#N/A Requesting Data...2832391972</v>
        <stp/>
        <stp>BDP|14195888723992039325</stp>
        <tr r="C972" s="2"/>
      </tp>
      <tp t="s">
        <v>#N/A Requesting Data...3376306635</v>
        <stp/>
        <stp>BDP|16999311018393859803</stp>
        <tr r="Q327" s="2"/>
      </tp>
      <tp t="s">
        <v>#N/A Requesting Data...4288087654</v>
        <stp/>
        <stp>BDP|10509445968778477558</stp>
        <tr r="O2341" s="2"/>
      </tp>
      <tp t="s">
        <v>#N/A Requesting Data...2656626924</v>
        <stp/>
        <stp>BDP|14837999736337940660</stp>
        <tr r="O1757" s="2"/>
      </tp>
      <tp t="s">
        <v>#N/A Requesting Data...2780615415</v>
        <stp/>
        <stp>BDP|12264116025798729699</stp>
        <tr r="K622" s="2"/>
      </tp>
      <tp t="s">
        <v>#N/A Requesting Data...3222027089</v>
        <stp/>
        <stp>BDP|14005855039266683623</stp>
        <tr r="H1325" s="2"/>
      </tp>
      <tp t="s">
        <v>#N/A Requesting Data...3893530354</v>
        <stp/>
        <stp>BDP|10266284176448191253</stp>
        <tr r="P1695" s="2"/>
      </tp>
      <tp t="s">
        <v>#N/A Requesting Data...3448824366</v>
        <stp/>
        <stp>BDP|13556143554859424190</stp>
        <tr r="Q555" s="2"/>
      </tp>
      <tp t="s">
        <v>#N/A Requesting Data...2628321818</v>
        <stp/>
        <stp>BDP|14360785897267037241</stp>
        <tr r="T146" s="2"/>
      </tp>
      <tp t="s">
        <v>#N/A Requesting Data...3549713697</v>
        <stp/>
        <stp>BDP|10007633529472560972</stp>
        <tr r="O1267" s="2"/>
      </tp>
      <tp t="s">
        <v>#N/A Requesting Data...2989863088</v>
        <stp/>
        <stp>BDP|15336577382667863067</stp>
        <tr r="T1779" s="2"/>
      </tp>
      <tp t="s">
        <v>#N/A Requesting Data...2720206898</v>
        <stp/>
        <stp>BDP|15037482196564276341</stp>
        <tr r="S639" s="2"/>
      </tp>
      <tp t="s">
        <v>#N/A Requesting Data...3566707754</v>
        <stp/>
        <stp>BDP|17432157448704016910</stp>
        <tr r="O165" s="2"/>
      </tp>
      <tp t="s">
        <v>#N/A Requesting Data...3274356470</v>
        <stp/>
        <stp>BDP|10525410097556303485</stp>
        <tr r="D2321" s="2"/>
      </tp>
      <tp t="s">
        <v>#N/A Requesting Data...3856908707</v>
        <stp/>
        <stp>BDP|12742392785613449575</stp>
        <tr r="S1035" s="2"/>
      </tp>
      <tp t="s">
        <v>#N/A Requesting Data...3284137245</v>
        <stp/>
        <stp>BDP|18383742206979829910</stp>
        <tr r="F102" s="2"/>
      </tp>
      <tp t="s">
        <v>#N/A Requesting Data...3441572272</v>
        <stp/>
        <stp>BDP|12675218865809248082</stp>
        <tr r="F1103" s="2"/>
      </tp>
      <tp t="s">
        <v>#N/A Requesting Data...3294649821</v>
        <stp/>
        <stp>BDP|12766822327004340391</stp>
        <tr r="T1374" s="2"/>
      </tp>
      <tp t="s">
        <v>#N/A Requesting Data...3653778199</v>
        <stp/>
        <stp>BDP|11836860764446663640</stp>
        <tr r="K2209" s="2"/>
      </tp>
      <tp t="s">
        <v>#N/A Requesting Data...3794610669</v>
        <stp/>
        <stp>BDP|18063315905786552290</stp>
        <tr r="P865" s="2"/>
      </tp>
      <tp t="s">
        <v>#N/A Requesting Data...2960836499</v>
        <stp/>
        <stp>BDP|17776698182510599613</stp>
        <tr r="S780" s="2"/>
      </tp>
      <tp t="s">
        <v>#N/A Requesting Data...4016307166</v>
        <stp/>
        <stp>BDP|16101807919677505751</stp>
        <tr r="S451" s="2"/>
      </tp>
      <tp t="s">
        <v>#N/A Requesting Data...3573688766</v>
        <stp/>
        <stp>BDP|12858707030849993094</stp>
        <tr r="C1592" s="2"/>
      </tp>
      <tp t="s">
        <v>#N/A Requesting Data...3475619067</v>
        <stp/>
        <stp>BDP|12109986420706235035</stp>
        <tr r="A540" s="2"/>
      </tp>
      <tp t="s">
        <v>#N/A Requesting Data...3121236992</v>
        <stp/>
        <stp>BDP|15492627359311398843</stp>
        <tr r="M1621" s="2"/>
      </tp>
      <tp t="s">
        <v>#N/A Requesting Data...4008221360</v>
        <stp/>
        <stp>BDP|15081633456671939849</stp>
        <tr r="K1152" s="2"/>
      </tp>
      <tp t="s">
        <v>#N/A Requesting Data...3622476735</v>
        <stp/>
        <stp>BDP|17740647615029635687</stp>
        <tr r="A283" s="2"/>
      </tp>
      <tp t="s">
        <v>#N/A Requesting Data...2567496808</v>
        <stp/>
        <stp>BDP|15944937830186434666</stp>
        <tr r="H815" s="2"/>
      </tp>
      <tp t="s">
        <v>#N/A Requesting Data...2539290774</v>
        <stp/>
        <stp>BDP|10585276228726476969</stp>
        <tr r="T826" s="2"/>
      </tp>
      <tp t="s">
        <v>#N/A Requesting Data...3448297964</v>
        <stp/>
        <stp>BDP|13448807275170821316</stp>
        <tr r="G1333" s="2"/>
      </tp>
      <tp t="s">
        <v>#N/A Requesting Data...4158200923</v>
        <stp/>
        <stp>BDP|13269945401014712184</stp>
        <tr r="D177" s="2"/>
      </tp>
      <tp t="s">
        <v>#N/A Requesting Data...4148434021</v>
        <stp/>
        <stp>BDP|13806635150409029635</stp>
        <tr r="D213" s="2"/>
      </tp>
      <tp t="s">
        <v>#N/A Requesting Data...4150010968</v>
        <stp/>
        <stp>BDP|15490974718370007238</stp>
        <tr r="S802" s="2"/>
      </tp>
      <tp t="s">
        <v>#N/A Requesting Data...3843123846</v>
        <stp/>
        <stp>BDP|11512857157190777385</stp>
        <tr r="O1751" s="2"/>
      </tp>
      <tp t="s">
        <v>#N/A Requesting Data...3634072318</v>
        <stp/>
        <stp>BDP|15615921776166829226</stp>
        <tr r="R407" s="2"/>
      </tp>
      <tp t="s">
        <v>#N/A Requesting Data...4272374902</v>
        <stp/>
        <stp>BDP|11976105855452635820</stp>
        <tr r="O1220" s="2"/>
      </tp>
      <tp t="s">
        <v>#N/A Requesting Data...2839692606</v>
        <stp/>
        <stp>BDP|13018486702679426166</stp>
        <tr r="A1401" s="2"/>
      </tp>
      <tp t="s">
        <v>#N/A Requesting Data...3670815928</v>
        <stp/>
        <stp>BDP|16249660770759963150</stp>
        <tr r="J401" s="2"/>
      </tp>
      <tp t="s">
        <v>#N/A Requesting Data...3278865308</v>
        <stp/>
        <stp>BDP|15339161599520775235</stp>
        <tr r="S158" s="2"/>
      </tp>
      <tp t="s">
        <v>#N/A Requesting Data...2620403567</v>
        <stp/>
        <stp>BDP|17702315418679256343</stp>
        <tr r="M1530" s="2"/>
      </tp>
      <tp t="s">
        <v>#N/A Requesting Data...3605143527</v>
        <stp/>
        <stp>BDP|15259858791199715298</stp>
        <tr r="T1790" s="2"/>
      </tp>
      <tp t="s">
        <v>#N/A Requesting Data...3984145338</v>
        <stp/>
        <stp>BDP|15536255298051327030</stp>
        <tr r="Q145" s="2"/>
      </tp>
      <tp t="s">
        <v>#N/A Requesting Data...3546701158</v>
        <stp/>
        <stp>BDP|15277005759368537766</stp>
        <tr r="N1467" s="2"/>
      </tp>
      <tp t="s">
        <v>#N/A Requesting Data...2647097075</v>
        <stp/>
        <stp>BDP|12516921808242101659</stp>
        <tr r="K1831" s="2"/>
      </tp>
      <tp t="s">
        <v>#N/A Requesting Data...3806531686</v>
        <stp/>
        <stp>BDP|12594941947528874851</stp>
        <tr r="P2479" s="2"/>
      </tp>
      <tp t="b">
        <v>0</v>
        <stp/>
        <stp>BDS|11208055607506925818</stp>
        <tr r="I2410" s="2"/>
      </tp>
      <tp t="s">
        <v>#N/A Requesting Data...3688148498</v>
        <stp/>
        <stp>BDP|16295911227446919464</stp>
        <tr r="S393" s="2"/>
      </tp>
      <tp t="s">
        <v>#N/A Requesting Data...2884251172</v>
        <stp/>
        <stp>BDP|15649133070174699886</stp>
        <tr r="K610" s="2"/>
      </tp>
      <tp t="s">
        <v>#N/A Requesting Data...3093975172</v>
        <stp/>
        <stp>BDP|11383402068609245521</stp>
        <tr r="T186" s="2"/>
      </tp>
      <tp t="s">
        <v>#N/A Requesting Data...2698960482</v>
        <stp/>
        <stp>BDP|15969524830504588857</stp>
        <tr r="N1133" s="2"/>
      </tp>
      <tp t="s">
        <v>#N/A Requesting Data...2621295149</v>
        <stp/>
        <stp>BDP|10660356456999750093</stp>
        <tr r="P866" s="2"/>
      </tp>
      <tp t="s">
        <v>#N/A Requesting Data...2948220944</v>
        <stp/>
        <stp>BDP|17384524904699653481</stp>
        <tr r="J249" s="2"/>
      </tp>
      <tp t="s">
        <v>#N/A Requesting Data...3448747168</v>
        <stp/>
        <stp>BDP|18019997596744285364</stp>
        <tr r="E1737" s="2"/>
      </tp>
      <tp t="s">
        <v>#N/A Requesting Data...4092021491</v>
        <stp/>
        <stp>BDP|13901669511663056857</stp>
        <tr r="J1971" s="2"/>
      </tp>
      <tp t="s">
        <v>#N/A Requesting Data...2924967789</v>
        <stp/>
        <stp>BDP|16743984125651283333</stp>
        <tr r="H1486" s="2"/>
      </tp>
      <tp t="s">
        <v>#N/A Requesting Data...3668826606</v>
        <stp/>
        <stp>BDP|10183366785824036098</stp>
        <tr r="J2304" s="2"/>
      </tp>
      <tp t="s">
        <v>#N/A Requesting Data...3516087177</v>
        <stp/>
        <stp>BDP|14517772286951721584</stp>
        <tr r="P306" s="2"/>
      </tp>
      <tp t="s">
        <v>#N/A Requesting Data...3563459678</v>
        <stp/>
        <stp>BDP|15890575654999451343</stp>
        <tr r="E130" s="2"/>
      </tp>
      <tp t="s">
        <v>#N/A Requesting Data...3708188825</v>
        <stp/>
        <stp>BDP|17595278969039236521</stp>
        <tr r="M2214" s="2"/>
      </tp>
      <tp t="s">
        <v>#N/A Requesting Data...3698176437</v>
        <stp/>
        <stp>BDP|11928461448549960753</stp>
        <tr r="F733" s="2"/>
      </tp>
      <tp t="s">
        <v>#N/A Requesting Data...3080295840</v>
        <stp/>
        <stp>BDP|17607959977941841777</stp>
        <tr r="R2239" s="2"/>
      </tp>
      <tp t="s">
        <v>#N/A Requesting Data...2802207919</v>
        <stp/>
        <stp>BDP|10927998572523186284</stp>
        <tr r="Q2024" s="2"/>
      </tp>
      <tp t="s">
        <v>#N/A Requesting Data...2749801911</v>
        <stp/>
        <stp>BDP|12423294513037163943</stp>
        <tr r="H1949" s="2"/>
      </tp>
      <tp t="s">
        <v>#N/A Requesting Data...3487315996</v>
        <stp/>
        <stp>BDP|10147535727158805063</stp>
        <tr r="D2022" s="2"/>
      </tp>
      <tp t="s">
        <v>#N/A Requesting Data...2858169767</v>
        <stp/>
        <stp>BDP|17202631917737908845</stp>
        <tr r="P1868" s="2"/>
      </tp>
      <tp t="s">
        <v>#N/A Requesting Data...3907708975</v>
        <stp/>
        <stp>BDP|10997667203428311149</stp>
        <tr r="P2009" s="2"/>
      </tp>
      <tp t="s">
        <v>#N/A Requesting Data...3653082251</v>
        <stp/>
        <stp>BDP|17110830112172873336</stp>
        <tr r="O610" s="2"/>
      </tp>
      <tp t="s">
        <v>#N/A Requesting Data...3181196074</v>
        <stp/>
        <stp>BDP|14810544494746154126</stp>
        <tr r="F521" s="2"/>
      </tp>
      <tp t="b">
        <v>0</v>
        <stp/>
        <stp>BDS|13836101664922696923</stp>
        <tr r="I793" s="2"/>
      </tp>
      <tp t="s">
        <v>#N/A Requesting Data...4114688689</v>
        <stp/>
        <stp>BDP|13561484156335765876</stp>
        <tr r="K1483" s="2"/>
      </tp>
      <tp t="s">
        <v>#N/A Requesting Data...2852081793</v>
        <stp/>
        <stp>BDP|11469890803092213477</stp>
        <tr r="N328" s="2"/>
      </tp>
      <tp t="s">
        <v>#N/A Requesting Data...4174716182</v>
        <stp/>
        <stp>BDP|17526760684747422087</stp>
        <tr r="G1727" s="2"/>
      </tp>
      <tp t="s">
        <v>#N/A Requesting Data...4198904422</v>
        <stp/>
        <stp>BDP|10742620604018265182</stp>
        <tr r="E31" s="2"/>
      </tp>
      <tp t="s">
        <v>#N/A Requesting Data...3819032428</v>
        <stp/>
        <stp>BDP|14129408298894012223</stp>
        <tr r="N1382" s="2"/>
      </tp>
      <tp t="s">
        <v>#N/A Requesting Data...2941169870</v>
        <stp/>
        <stp>BDP|12120393112357959880</stp>
        <tr r="H2174" s="2"/>
      </tp>
      <tp t="s">
        <v>#N/A Requesting Data...3617270752</v>
        <stp/>
        <stp>BDP|13144382668190261986</stp>
        <tr r="S214" s="2"/>
      </tp>
      <tp t="s">
        <v>#N/A Requesting Data...3268020641</v>
        <stp/>
        <stp>BDP|10387212419664781873</stp>
        <tr r="Q975" s="2"/>
      </tp>
      <tp t="s">
        <v>#N/A Requesting Data...4004855866</v>
        <stp/>
        <stp>BDP|17005136062139882628</stp>
        <tr r="C1163" s="2"/>
      </tp>
      <tp t="s">
        <v>#N/A Requesting Data...3372155298</v>
        <stp/>
        <stp>BDP|15065827979650838583</stp>
        <tr r="T1549" s="2"/>
      </tp>
      <tp t="b">
        <v>0</v>
        <stp/>
        <stp>BDS|16840966582219615126</stp>
        <tr r="I967" s="2"/>
      </tp>
      <tp t="s">
        <v>#N/A Requesting Data...3757019458</v>
        <stp/>
        <stp>BDP|13174117110368953421</stp>
        <tr r="S1898" s="2"/>
      </tp>
      <tp t="s">
        <v>#N/A Requesting Data...3445173187</v>
        <stp/>
        <stp>BDP|17926585092024827002</stp>
        <tr r="S1505" s="2"/>
      </tp>
      <tp t="s">
        <v>#N/A Requesting Data...2892269156</v>
        <stp/>
        <stp>BDP|16808996340041800520</stp>
        <tr r="P2338" s="2"/>
      </tp>
      <tp t="b">
        <v>0</v>
        <stp/>
        <stp>BDS|13210940359580313043</stp>
        <tr r="I540" s="2"/>
      </tp>
      <tp t="s">
        <v>#N/A Requesting Data...3850665707</v>
        <stp/>
        <stp>BDP|15895518860201437866</stp>
        <tr r="M281" s="2"/>
      </tp>
      <tp t="s">
        <v>#N/A Requesting Data...2954139230</v>
        <stp/>
        <stp>BDP|12719935207950139498</stp>
        <tr r="E2086" s="2"/>
      </tp>
      <tp t="s">
        <v>#N/A Requesting Data...2820572163</v>
        <stp/>
        <stp>BDP|14496549308026245812</stp>
        <tr r="G2318" s="2"/>
      </tp>
      <tp t="s">
        <v>#N/A Requesting Data...3736236826</v>
        <stp/>
        <stp>BDP|18427493107294313727</stp>
        <tr r="M1837" s="2"/>
      </tp>
      <tp t="s">
        <v>#N/A Requesting Data...3975481950</v>
        <stp/>
        <stp>BDP|17616810427536905421</stp>
        <tr r="N2372" s="2"/>
      </tp>
      <tp t="s">
        <v>#N/A Requesting Data...4248242303</v>
        <stp/>
        <stp>BDP|13323547480479833847</stp>
        <tr r="J138" s="2"/>
      </tp>
      <tp t="s">
        <v>#N/A Requesting Data...3825286526</v>
        <stp/>
        <stp>BDP|12909465012701115977</stp>
        <tr r="O817" s="2"/>
      </tp>
      <tp t="s">
        <v>#N/A Requesting Data...3670179878</v>
        <stp/>
        <stp>BDP|12149413412518902006</stp>
        <tr r="P1206" s="2"/>
      </tp>
      <tp t="s">
        <v>#N/A Requesting Data...4249177009</v>
        <stp/>
        <stp>BDP|12528632092650939261</stp>
        <tr r="A196" s="2"/>
      </tp>
      <tp t="s">
        <v>#N/A Requesting Data...3533244893</v>
        <stp/>
        <stp>BDP|17977954351607382359</stp>
        <tr r="K1724" s="2"/>
      </tp>
      <tp t="s">
        <v>#N/A Requesting Data...3506892898</v>
        <stp/>
        <stp>BDP|15149009087066546492</stp>
        <tr r="O311" s="2"/>
      </tp>
      <tp t="s">
        <v>#N/A Requesting Data...2723548118</v>
        <stp/>
        <stp>BDP|12286372588294371244</stp>
        <tr r="E1835" s="2"/>
      </tp>
      <tp t="s">
        <v>#N/A Requesting Data...2932494986</v>
        <stp/>
        <stp>BDP|10174525098903903080</stp>
        <tr r="F1199" s="2"/>
      </tp>
      <tp t="s">
        <v>#N/A Requesting Data...2888377964</v>
        <stp/>
        <stp>BDP|18436053759965756757</stp>
        <tr r="D1782" s="2"/>
      </tp>
      <tp t="s">
        <v>#N/A Requesting Data...4190301586</v>
        <stp/>
        <stp>BDP|13385978269220118369</stp>
        <tr r="F1367" s="2"/>
      </tp>
      <tp t="s">
        <v>#N/A Requesting Data...2771327552</v>
        <stp/>
        <stp>BDP|15263047409822110842</stp>
        <tr r="S440" s="2"/>
      </tp>
      <tp t="s">
        <v>#N/A Requesting Data...2783879392</v>
        <stp/>
        <stp>BDP|16442905405938819830</stp>
        <tr r="J312" s="2"/>
      </tp>
      <tp t="s">
        <v>#N/A Requesting Data...3784526773</v>
        <stp/>
        <stp>BDP|12531282681444551339</stp>
        <tr r="Q1360" s="2"/>
      </tp>
      <tp t="s">
        <v>#N/A Requesting Data...3946443649</v>
        <stp/>
        <stp>BDP|15970512287934766322</stp>
        <tr r="A354" s="2"/>
      </tp>
      <tp t="s">
        <v>#N/A Requesting Data...3831589321</v>
        <stp/>
        <stp>BDP|16481486434229076723</stp>
        <tr r="P1788" s="2"/>
      </tp>
      <tp t="s">
        <v>#N/A Requesting Data...3533024563</v>
        <stp/>
        <stp>BDP|10543396327026659878</stp>
        <tr r="O680" s="2"/>
      </tp>
      <tp t="s">
        <v>#N/A Requesting Data...4209815598</v>
        <stp/>
        <stp>BDP|17358190113070024838</stp>
        <tr r="F1132" s="2"/>
      </tp>
      <tp t="b">
        <v>0</v>
        <stp/>
        <stp>BDS|10968809404281311673</stp>
        <tr r="I1285" s="2"/>
      </tp>
      <tp t="s">
        <v>#N/A Requesting Data...4288556135</v>
        <stp/>
        <stp>BDP|14310414578301116918</stp>
        <tr r="O681" s="2"/>
      </tp>
      <tp t="s">
        <v>#N/A Requesting Data...4255698145</v>
        <stp/>
        <stp>BDP|11173411220571958938</stp>
        <tr r="P2490" s="2"/>
      </tp>
      <tp t="s">
        <v>#N/A Requesting Data...3904984992</v>
        <stp/>
        <stp>BDP|10138847258901563325</stp>
        <tr r="G1158" s="2"/>
      </tp>
      <tp t="s">
        <v>#N/A Requesting Data...3481609151</v>
        <stp/>
        <stp>BDP|11898680054085669881</stp>
        <tr r="O2116" s="2"/>
      </tp>
      <tp t="s">
        <v>#N/A Requesting Data...3667430395</v>
        <stp/>
        <stp>BDP|12031335955898511391</stp>
        <tr r="R1595" s="2"/>
      </tp>
      <tp t="s">
        <v>#N/A Requesting Data...3804753878</v>
        <stp/>
        <stp>BDP|18176374861880844251</stp>
        <tr r="C184" s="2"/>
      </tp>
      <tp t="s">
        <v>#N/A Requesting Data...3346432597</v>
        <stp/>
        <stp>BDP|16922620591982652463</stp>
        <tr r="F2067" s="2"/>
      </tp>
      <tp t="s">
        <v>#N/A Requesting Data...3527073586</v>
        <stp/>
        <stp>BDP|13723004466042922829</stp>
        <tr r="E538" s="2"/>
      </tp>
      <tp t="s">
        <v>#N/A Requesting Data...4113141926</v>
        <stp/>
        <stp>BDP|14505578890451020682</stp>
        <tr r="G21" s="2"/>
      </tp>
      <tp t="b">
        <v>0</v>
        <stp/>
        <stp>BDS|14842062413508693226</stp>
        <tr r="I334" s="2"/>
      </tp>
      <tp t="s">
        <v>#N/A Requesting Data...3347614458</v>
        <stp/>
        <stp>BDP|17878471312518094579</stp>
        <tr r="F5" s="2"/>
      </tp>
      <tp t="s">
        <v>#N/A Requesting Data...2864212406</v>
        <stp/>
        <stp>BDP|10023254902235962841</stp>
        <tr r="J348" s="2"/>
      </tp>
      <tp t="s">
        <v>#N/A Requesting Data...3182041427</v>
        <stp/>
        <stp>BDP|12346522170987949828</stp>
        <tr r="N1185" s="2"/>
      </tp>
      <tp t="s">
        <v>#N/A Requesting Data...2917540693</v>
        <stp/>
        <stp>BDP|12241308251168094397</stp>
        <tr r="N2139" s="2"/>
      </tp>
      <tp t="s">
        <v>#N/A Requesting Data...4263881320</v>
        <stp/>
        <stp>BDP|18362757415702115384</stp>
        <tr r="H367" s="2"/>
      </tp>
      <tp t="b">
        <v>0</v>
        <stp/>
        <stp>BDS|12277676492946925479</stp>
        <tr r="I620" s="2"/>
      </tp>
      <tp t="s">
        <v>#N/A Requesting Data...3241126298</v>
        <stp/>
        <stp>BDP|16632652564591563880</stp>
        <tr r="N427" s="2"/>
      </tp>
      <tp t="s">
        <v>#N/A Requesting Data...2934279426</v>
        <stp/>
        <stp>BDP|17033152962336483998</stp>
        <tr r="C1355" s="2"/>
      </tp>
      <tp t="s">
        <v>#N/A Requesting Data...3103188525</v>
        <stp/>
        <stp>BDP|11403745769309710645</stp>
        <tr r="A1394" s="2"/>
      </tp>
      <tp t="s">
        <v>#N/A Requesting Data...3639689778</v>
        <stp/>
        <stp>BDP|13866211195824195374</stp>
        <tr r="G1531" s="2"/>
      </tp>
      <tp t="s">
        <v>#N/A Requesting Data...4292345290</v>
        <stp/>
        <stp>BDP|17386548041529804047</stp>
        <tr r="K466" s="2"/>
      </tp>
      <tp t="s">
        <v>#N/A Requesting Data...3801143743</v>
        <stp/>
        <stp>BDP|18337539930442275388</stp>
        <tr r="M830" s="2"/>
      </tp>
      <tp t="s">
        <v>#N/A Requesting Data...2895455106</v>
        <stp/>
        <stp>BDP|11939091249332540864</stp>
        <tr r="R1512" s="2"/>
      </tp>
      <tp t="s">
        <v>#N/A Requesting Data...3919363710</v>
        <stp/>
        <stp>BDP|14670124689521101367</stp>
        <tr r="F950" s="2"/>
      </tp>
      <tp t="s">
        <v>#N/A Requesting Data...4209419711</v>
        <stp/>
        <stp>BDP|15522045269759158535</stp>
        <tr r="P1840" s="2"/>
      </tp>
      <tp t="s">
        <v>#N/A Requesting Data...3309103195</v>
        <stp/>
        <stp>BDP|11718299161243694933</stp>
        <tr r="M313" s="2"/>
      </tp>
      <tp t="s">
        <v>#N/A Requesting Data...3500734639</v>
        <stp/>
        <stp>BDP|16803069353404385845</stp>
        <tr r="A1664" s="2"/>
      </tp>
      <tp t="s">
        <v>#N/A Requesting Data...4192786618</v>
        <stp/>
        <stp>BDP|11177261179748186359</stp>
        <tr r="D537" s="2"/>
      </tp>
      <tp t="s">
        <v>#N/A Requesting Data...2915985644</v>
        <stp/>
        <stp>BDP|10840255221249400623</stp>
        <tr r="C1662" s="2"/>
      </tp>
      <tp t="s">
        <v>#N/A Requesting Data...3746125130</v>
        <stp/>
        <stp>BDP|13366806471157109496</stp>
        <tr r="P2141" s="2"/>
      </tp>
      <tp t="s">
        <v>#N/A Requesting Data...3747104378</v>
        <stp/>
        <stp>BDP|18388210632435325399</stp>
        <tr r="T1845" s="2"/>
      </tp>
      <tp t="s">
        <v>#N/A Requesting Data...2848770619</v>
        <stp/>
        <stp>BDP|15641125304209226286</stp>
        <tr r="P762" s="2"/>
      </tp>
      <tp t="s">
        <v>#N/A Requesting Data...4143079402</v>
        <stp/>
        <stp>BDP|10941913502036994099</stp>
        <tr r="K507" s="2"/>
      </tp>
      <tp t="s">
        <v>#N/A Requesting Data...2898465353</v>
        <stp/>
        <stp>BDP|16011732397695704293</stp>
        <tr r="C1742" s="2"/>
      </tp>
      <tp t="s">
        <v>#N/A Requesting Data...3138630346</v>
        <stp/>
        <stp>BDP|13721956728294945394</stp>
        <tr r="N1604" s="2"/>
      </tp>
      <tp t="s">
        <v>#N/A Requesting Data...3175917346</v>
        <stp/>
        <stp>BDP|14601982145733325521</stp>
        <tr r="D844" s="2"/>
      </tp>
      <tp t="s">
        <v>#N/A Requesting Data...3376328793</v>
        <stp/>
        <stp>BDP|14631583934875899887</stp>
        <tr r="E1216" s="2"/>
      </tp>
      <tp t="s">
        <v>#N/A Requesting Data...3173696738</v>
        <stp/>
        <stp>BDP|17953340354588768640</stp>
        <tr r="G2209" s="2"/>
      </tp>
      <tp t="s">
        <v>#N/A Requesting Data...3250786776</v>
        <stp/>
        <stp>BDP|15996110887925606635</stp>
        <tr r="M2415" s="2"/>
      </tp>
      <tp t="s">
        <v>#N/A Requesting Data...3070915350</v>
        <stp/>
        <stp>BDP|12925607156866797821</stp>
        <tr r="F711" s="2"/>
      </tp>
      <tp t="b">
        <v>0</v>
        <stp/>
        <stp>BDS|15807236113579574040</stp>
        <tr r="I1110" s="2"/>
      </tp>
      <tp t="s">
        <v>#N/A Requesting Data...3166712845</v>
        <stp/>
        <stp>BDP|11637908283419920669</stp>
        <tr r="M530" s="2"/>
      </tp>
      <tp t="s">
        <v>#N/A Requesting Data...3800713079</v>
        <stp/>
        <stp>BDP|13419814515263308693</stp>
        <tr r="Q1626" s="2"/>
      </tp>
      <tp t="s">
        <v>#N/A Requesting Data...3099106897</v>
        <stp/>
        <stp>BDP|17317362938068405048</stp>
        <tr r="N1011" s="2"/>
      </tp>
      <tp t="s">
        <v>#N/A Requesting Data...3232415454</v>
        <stp/>
        <stp>BDP|12198014624816173989</stp>
        <tr r="M1954" s="2"/>
      </tp>
      <tp t="s">
        <v>#N/A Requesting Data...3420418515</v>
        <stp/>
        <stp>BDP|11904419833039156077</stp>
        <tr r="M1655" s="2"/>
      </tp>
      <tp t="s">
        <v>#N/A Requesting Data...3984175363</v>
        <stp/>
        <stp>BDP|15167829919565611610</stp>
        <tr r="N1545" s="2"/>
      </tp>
      <tp t="s">
        <v>#N/A Requesting Data...3644603401</v>
        <stp/>
        <stp>BDP|14852301649384956859</stp>
        <tr r="G860" s="2"/>
      </tp>
      <tp t="s">
        <v>#N/A Requesting Data...3723507829</v>
        <stp/>
        <stp>BDP|12392732365249974515</stp>
        <tr r="C470" s="2"/>
      </tp>
      <tp t="s">
        <v>#N/A Requesting Data...3601871436</v>
        <stp/>
        <stp>BDP|11944736096875273536</stp>
        <tr r="D709" s="2"/>
      </tp>
      <tp t="s">
        <v>#N/A Requesting Data...2904868130</v>
        <stp/>
        <stp>BDP|16592264012078556293</stp>
        <tr r="D651" s="2"/>
      </tp>
      <tp t="s">
        <v>#N/A Requesting Data...3217951419</v>
        <stp/>
        <stp>BDP|10653945238891425430</stp>
        <tr r="T1304" s="2"/>
      </tp>
      <tp t="s">
        <v>#N/A Requesting Data...3993202317</v>
        <stp/>
        <stp>BDP|10031490495070688271</stp>
        <tr r="J2138" s="2"/>
      </tp>
      <tp t="s">
        <v>#N/A Requesting Data...4294056115</v>
        <stp/>
        <stp>BDP|10072207887981271484</stp>
        <tr r="C1672" s="2"/>
      </tp>
      <tp t="s">
        <v>#N/A Requesting Data...4191666963</v>
        <stp/>
        <stp>BDP|15454092562828060423</stp>
        <tr r="E39" s="2"/>
      </tp>
      <tp t="s">
        <v>#N/A Requesting Data...4069480781</v>
        <stp/>
        <stp>BDP|15515839748265696359</stp>
        <tr r="T1867" s="2"/>
      </tp>
      <tp t="s">
        <v>#N/A Requesting Data...3247520222</v>
        <stp/>
        <stp>BDP|17344327082943892069</stp>
        <tr r="S1331" s="2"/>
      </tp>
      <tp t="s">
        <v>#N/A Requesting Data...4015187004</v>
        <stp/>
        <stp>BDP|18272406138069337948</stp>
        <tr r="J1316" s="2"/>
      </tp>
      <tp t="s">
        <v>#N/A Requesting Data...3802596318</v>
        <stp/>
        <stp>BDP|12360737118213083852</stp>
        <tr r="H1374" s="2"/>
      </tp>
      <tp t="s">
        <v>#N/A Requesting Data...4221154140</v>
        <stp/>
        <stp>BDP|12799986473495449657</stp>
        <tr r="K2493" s="2"/>
      </tp>
      <tp t="s">
        <v>#N/A Requesting Data...3402931771</v>
        <stp/>
        <stp>BDP|10704978609036184058</stp>
        <tr r="J2397" s="2"/>
      </tp>
      <tp t="s">
        <v>#N/A Requesting Data...3317217622</v>
        <stp/>
        <stp>BDP|13764588487677370667</stp>
        <tr r="G1728" s="2"/>
      </tp>
      <tp t="s">
        <v>#N/A Requesting Data...2931910499</v>
        <stp/>
        <stp>BDP|15842072753467180802</stp>
        <tr r="H1953" s="2"/>
      </tp>
      <tp t="s">
        <v>#N/A Requesting Data...4162058891</v>
        <stp/>
        <stp>BDP|11852279860843735958</stp>
        <tr r="P1185" s="2"/>
      </tp>
      <tp t="s">
        <v>#N/A Requesting Data...3070778257</v>
        <stp/>
        <stp>BDP|11265881781236194873</stp>
        <tr r="G1569" s="2"/>
      </tp>
      <tp t="s">
        <v>#N/A Requesting Data...3831912842</v>
        <stp/>
        <stp>BDP|16266863887988903173</stp>
        <tr r="M1026" s="2"/>
      </tp>
      <tp t="s">
        <v>#N/A Requesting Data...3904246638</v>
        <stp/>
        <stp>BDP|15110527177721984906</stp>
        <tr r="A2262" s="2"/>
      </tp>
      <tp t="s">
        <v>#N/A Requesting Data...3501639128</v>
        <stp/>
        <stp>BDP|17217189772649113740</stp>
        <tr r="J1312" s="2"/>
      </tp>
      <tp t="s">
        <v>#N/A Requesting Data...4229449408</v>
        <stp/>
        <stp>BDP|11927816616953165424</stp>
        <tr r="O1772" s="2"/>
      </tp>
      <tp t="s">
        <v>#N/A Requesting Data...4185153313</v>
        <stp/>
        <stp>BDP|10959654877646316859</stp>
        <tr r="H2068" s="2"/>
      </tp>
      <tp t="s">
        <v>#N/A Requesting Data...3465817056</v>
        <stp/>
        <stp>BDP|13582287791644759362</stp>
        <tr r="F2210" s="2"/>
      </tp>
      <tp t="s">
        <v>#N/A Requesting Data...3720051230</v>
        <stp/>
        <stp>BDP|17798051362398838656</stp>
        <tr r="F566" s="2"/>
      </tp>
      <tp t="s">
        <v>#N/A Requesting Data...3085058298</v>
        <stp/>
        <stp>BDP|13544960631762941469</stp>
        <tr r="N1407" s="2"/>
      </tp>
      <tp t="s">
        <v>#N/A Requesting Data...3363819472</v>
        <stp/>
        <stp>BDP|17465399028011142895</stp>
        <tr r="E115" s="2"/>
      </tp>
      <tp t="s">
        <v>#N/A Requesting Data...4141894251</v>
        <stp/>
        <stp>BDP|13184800288269704537</stp>
        <tr r="C1473" s="2"/>
      </tp>
      <tp t="s">
        <v>#N/A Requesting Data...3294709078</v>
        <stp/>
        <stp>BDP|17976657066810208854</stp>
        <tr r="D1079" s="2"/>
      </tp>
      <tp t="s">
        <v>#N/A Requesting Data...3083798245</v>
        <stp/>
        <stp>BDP|15397582227795526842</stp>
        <tr r="O872" s="2"/>
      </tp>
      <tp t="s">
        <v>#N/A Requesting Data...3032273558</v>
        <stp/>
        <stp>BDP|14680559696317090087</stp>
        <tr r="S1871" s="2"/>
      </tp>
      <tp t="s">
        <v>#N/A Requesting Data...3955974105</v>
        <stp/>
        <stp>BDP|12913849963350729345</stp>
        <tr r="E1702" s="2"/>
      </tp>
      <tp t="s">
        <v>#N/A Requesting Data...3653638836</v>
        <stp/>
        <stp>BDP|10184505979325541809</stp>
        <tr r="D32" s="2"/>
      </tp>
      <tp t="s">
        <v>#N/A Requesting Data...3138063680</v>
        <stp/>
        <stp>BDP|16498290395142129049</stp>
        <tr r="Q169" s="2"/>
      </tp>
      <tp t="s">
        <v>#N/A Requesting Data...3795682390</v>
        <stp/>
        <stp>BDP|15943595598836797023</stp>
        <tr r="R559" s="2"/>
      </tp>
      <tp t="s">
        <v>#N/A Requesting Data...4227920662</v>
        <stp/>
        <stp>BDP|11523449035420989905</stp>
        <tr r="O1327" s="2"/>
      </tp>
      <tp t="s">
        <v>#N/A Requesting Data...3463091771</v>
        <stp/>
        <stp>BDP|12553642506288864321</stp>
        <tr r="C429" s="2"/>
      </tp>
      <tp t="s">
        <v>#N/A Requesting Data...3481924246</v>
        <stp/>
        <stp>BDP|17167387164599065400</stp>
        <tr r="J1612" s="2"/>
      </tp>
      <tp t="s">
        <v>#N/A Requesting Data...3763820171</v>
        <stp/>
        <stp>BDP|13635969560936917540</stp>
        <tr r="M2304" s="2"/>
      </tp>
      <tp t="b">
        <v>0</v>
        <stp/>
        <stp>BDS|12966663274379742520</stp>
        <tr r="I1577" s="2"/>
      </tp>
      <tp t="s">
        <v>#N/A Requesting Data...3095717415</v>
        <stp/>
        <stp>BDP|15744221593442937320</stp>
        <tr r="D1894" s="2"/>
      </tp>
      <tp t="s">
        <v>#N/A Requesting Data...3019105145</v>
        <stp/>
        <stp>BDP|16655162771307560890</stp>
        <tr r="Q14" s="2"/>
      </tp>
      <tp t="s">
        <v>#N/A Requesting Data...3106156180</v>
        <stp/>
        <stp>BDP|13969914144152313323</stp>
        <tr r="M1089" s="2"/>
      </tp>
      <tp t="b">
        <v>0</v>
        <stp/>
        <stp>BDS|14058250184110956160</stp>
        <tr r="I1092" s="2"/>
      </tp>
      <tp t="s">
        <v>#N/A Requesting Data...3128645074</v>
        <stp/>
        <stp>BDP|15967195846396947925</stp>
        <tr r="G638" s="2"/>
      </tp>
      <tp t="b">
        <v>0</v>
        <stp/>
        <stp>BDS|11635611630409123285</stp>
        <tr r="I1232" s="2"/>
      </tp>
      <tp t="s">
        <v>#N/A Requesting Data...3949343859</v>
        <stp/>
        <stp>BDP|10265165770691867813</stp>
        <tr r="O2062" s="2"/>
      </tp>
      <tp t="s">
        <v>#N/A Requesting Data...3040592533</v>
        <stp/>
        <stp>BDP|10643881942207021415</stp>
        <tr r="N98" s="2"/>
      </tp>
      <tp t="s">
        <v>#N/A Requesting Data...3424111835</v>
        <stp/>
        <stp>BDP|10488042413988660685</stp>
        <tr r="N679" s="2"/>
      </tp>
      <tp t="s">
        <v>#N/A Requesting Data...3059360302</v>
        <stp/>
        <stp>BDP|14901397587347254781</stp>
        <tr r="H1957" s="2"/>
      </tp>
      <tp t="s">
        <v>#N/A Requesting Data...4119771152</v>
        <stp/>
        <stp>BDP|17254347130010800832</stp>
        <tr r="T2000" s="2"/>
      </tp>
      <tp t="b">
        <v>0</v>
        <stp/>
        <stp>BDS|10577171068378134056</stp>
        <tr r="I930" s="2"/>
      </tp>
      <tp t="s">
        <v>#N/A Requesting Data...4170201567</v>
        <stp/>
        <stp>BDP|15364169398760088207</stp>
        <tr r="J1684" s="2"/>
      </tp>
      <tp t="s">
        <v>#N/A Requesting Data...4254768508</v>
        <stp/>
        <stp>BDP|17911428643278695035</stp>
        <tr r="G248" s="2"/>
      </tp>
      <tp t="b">
        <v>0</v>
        <stp/>
        <stp>BDS|16375888501408742938</stp>
        <tr r="I1269" s="2"/>
      </tp>
      <tp t="s">
        <v>#N/A Requesting Data...3816343670</v>
        <stp/>
        <stp>BDP|12429614235869912149</stp>
        <tr r="G1872" s="2"/>
      </tp>
      <tp t="s">
        <v>#N/A Requesting Data...3147169821</v>
        <stp/>
        <stp>BDP|17019482241780536811</stp>
        <tr r="Q2227" s="2"/>
      </tp>
      <tp t="b">
        <v>0</v>
        <stp/>
        <stp>BDS|14970997333276966742</stp>
        <tr r="I360" s="2"/>
      </tp>
      <tp t="s">
        <v>#N/A Requesting Data...4134236707</v>
        <stp/>
        <stp>BDP|16553764141593850974</stp>
        <tr r="J789" s="2"/>
      </tp>
      <tp t="s">
        <v>#N/A Requesting Data...3527609197</v>
        <stp/>
        <stp>BDP|18214720362644669294</stp>
        <tr r="T895" s="2"/>
      </tp>
      <tp t="s">
        <v>#N/A Requesting Data...3723256328</v>
        <stp/>
        <stp>BDP|11690704167839502690</stp>
        <tr r="G2014" s="2"/>
      </tp>
      <tp t="s">
        <v>#N/A Requesting Data...3343294995</v>
        <stp/>
        <stp>BDP|15419969305890223387</stp>
        <tr r="K1222" s="2"/>
      </tp>
      <tp t="s">
        <v>#N/A Requesting Data...3722832523</v>
        <stp/>
        <stp>BDP|10259652595507666790</stp>
        <tr r="N1719" s="2"/>
      </tp>
      <tp t="s">
        <v>#N/A Requesting Data...4023467067</v>
        <stp/>
        <stp>BDP|10847303398610866553</stp>
        <tr r="E879" s="2"/>
      </tp>
      <tp t="s">
        <v>#N/A Requesting Data...4086395165</v>
        <stp/>
        <stp>BDP|15499388296412477229</stp>
        <tr r="S1786" s="2"/>
      </tp>
      <tp t="s">
        <v>#N/A Requesting Data...4174308642</v>
        <stp/>
        <stp>BDP|13148629008653634913</stp>
        <tr r="H1312" s="2"/>
      </tp>
      <tp t="s">
        <v>#N/A Requesting Data...3589348017</v>
        <stp/>
        <stp>BDP|12442227451043897931</stp>
        <tr r="M605" s="2"/>
      </tp>
      <tp t="s">
        <v>#N/A Requesting Data...3216568987</v>
        <stp/>
        <stp>BDP|12706977138241194657</stp>
        <tr r="H2528" s="2"/>
      </tp>
      <tp t="s">
        <v>#N/A Requesting Data...3618472092</v>
        <stp/>
        <stp>BDP|17011908048616015344</stp>
        <tr r="A1823" s="2"/>
      </tp>
      <tp t="s">
        <v>#N/A Requesting Data...3619855412</v>
        <stp/>
        <stp>BDP|17432385943778211719</stp>
        <tr r="D158" s="2"/>
      </tp>
      <tp t="s">
        <v>#N/A Requesting Data...3865144733</v>
        <stp/>
        <stp>BDP|11048111578819547100</stp>
        <tr r="R1915" s="2"/>
      </tp>
      <tp t="s">
        <v>#N/A Requesting Data...3564530528</v>
        <stp/>
        <stp>BDP|17457294382391097332</stp>
        <tr r="N507" s="2"/>
      </tp>
      <tp t="s">
        <v>#N/A Requesting Data...3479621051</v>
        <stp/>
        <stp>BDP|11709822113267298080</stp>
        <tr r="M767" s="2"/>
      </tp>
      <tp t="s">
        <v>#N/A Requesting Data...3569592741</v>
        <stp/>
        <stp>BDP|14676541038155490826</stp>
        <tr r="N1286" s="2"/>
      </tp>
      <tp t="s">
        <v>#N/A Requesting Data...4137850664</v>
        <stp/>
        <stp>BDP|17121491994942201724</stp>
        <tr r="T179" s="2"/>
      </tp>
      <tp t="s">
        <v>#N/A Requesting Data...3999177985</v>
        <stp/>
        <stp>BDP|10189061464530657997</stp>
        <tr r="K2222" s="2"/>
      </tp>
      <tp t="s">
        <v>#N/A Requesting Data...4192722540</v>
        <stp/>
        <stp>BDP|15820153711879020305</stp>
        <tr r="F1806" s="2"/>
      </tp>
      <tp t="s">
        <v>#N/A Requesting Data...3249888223</v>
        <stp/>
        <stp>BDP|10239784075148235718</stp>
        <tr r="C1382" s="2"/>
      </tp>
      <tp t="s">
        <v>#N/A Requesting Data...3149545116</v>
        <stp/>
        <stp>BDP|10229234640759891054</stp>
        <tr r="R53" s="2"/>
      </tp>
      <tp t="s">
        <v>#N/A Requesting Data...3592951659</v>
        <stp/>
        <stp>BDP|17674505402625005887</stp>
        <tr r="A394" s="2"/>
      </tp>
      <tp t="s">
        <v>#N/A Requesting Data...4191036934</v>
        <stp/>
        <stp>BDP|15847875292363300821</stp>
        <tr r="G976" s="2"/>
      </tp>
      <tp t="s">
        <v>#N/A Requesting Data...3881302682</v>
        <stp/>
        <stp>BDP|11986962821951232402</stp>
        <tr r="A1425" s="2"/>
      </tp>
      <tp t="s">
        <v>#N/A Requesting Data...4017435718</v>
        <stp/>
        <stp>BDP|12934711395404622776</stp>
        <tr r="R1023" s="2"/>
      </tp>
      <tp t="b">
        <v>0</v>
        <stp/>
        <stp>BDS|13226922712266880258</stp>
        <tr r="I140" s="2"/>
      </tp>
      <tp t="s">
        <v>#N/A Requesting Data...3402889111</v>
        <stp/>
        <stp>BDP|13906392813788960661</stp>
        <tr r="E1815" s="2"/>
      </tp>
      <tp t="s">
        <v>#N/A Requesting Data...3158831110</v>
        <stp/>
        <stp>BDP|13813010763879582333</stp>
        <tr r="O1497" s="2"/>
      </tp>
      <tp t="s">
        <v>#N/A Requesting Data...3212293527</v>
        <stp/>
        <stp>BDP|15897227286089084907</stp>
        <tr r="K718" s="2"/>
      </tp>
      <tp t="s">
        <v>#N/A Requesting Data...3553847848</v>
        <stp/>
        <stp>BDP|18405061135287327380</stp>
        <tr r="F1542" s="2"/>
      </tp>
      <tp t="s">
        <v>#N/A Requesting Data...3834493302</v>
        <stp/>
        <stp>BDP|13921446435719453206</stp>
        <tr r="P488" s="2"/>
      </tp>
      <tp t="s">
        <v>#N/A Requesting Data...3380443754</v>
        <stp/>
        <stp>BDP|13183220397603909419</stp>
        <tr r="J269" s="2"/>
      </tp>
      <tp t="s">
        <v>#N/A Requesting Data...3631768904</v>
        <stp/>
        <stp>BDP|14334637126186324990</stp>
        <tr r="E1537" s="2"/>
      </tp>
      <tp t="s">
        <v>#N/A Requesting Data...3481454907</v>
        <stp/>
        <stp>BDP|13685926339311420758</stp>
        <tr r="J1060" s="2"/>
      </tp>
      <tp t="s">
        <v>#N/A Requesting Data...3199485060</v>
        <stp/>
        <stp>BDP|16079962295249688098</stp>
        <tr r="Q53" s="2"/>
      </tp>
      <tp t="s">
        <v>#N/A Requesting Data...3178810319</v>
        <stp/>
        <stp>BDP|11452646206009866122</stp>
        <tr r="H1084" s="2"/>
      </tp>
      <tp t="s">
        <v>#N/A Requesting Data...3963646974</v>
        <stp/>
        <stp>BDP|11000095284033941586</stp>
        <tr r="M2170" s="2"/>
      </tp>
      <tp t="b">
        <v>0</v>
        <stp/>
        <stp>BDS|10164229594887984319</stp>
        <tr r="I1971" s="2"/>
      </tp>
      <tp t="s">
        <v>#N/A Requesting Data...4060802220</v>
        <stp/>
        <stp>BDP|10250205647799050094</stp>
        <tr r="F969" s="2"/>
      </tp>
      <tp t="s">
        <v>#N/A Requesting Data...4071578849</v>
        <stp/>
        <stp>BDP|10867018374189016118</stp>
        <tr r="G360" s="2"/>
      </tp>
      <tp t="s">
        <v>#N/A Requesting Data...3862584032</v>
        <stp/>
        <stp>BDP|15650023677418722586</stp>
        <tr r="T2209" s="2"/>
      </tp>
      <tp t="s">
        <v>#N/A Requesting Data...3315410474</v>
        <stp/>
        <stp>BDP|11604589197244356668</stp>
        <tr r="H2247" s="2"/>
      </tp>
      <tp t="s">
        <v>#N/A Requesting Data...4105193532</v>
        <stp/>
        <stp>BDP|12843082397345363185</stp>
        <tr r="S1578" s="2"/>
      </tp>
      <tp t="s">
        <v>#N/A Requesting Data...4048125379</v>
        <stp/>
        <stp>BDP|13351358659093393901</stp>
        <tr r="O1436" s="2"/>
      </tp>
      <tp t="s">
        <v>#N/A Requesting Data...3515974303</v>
        <stp/>
        <stp>BDP|12993312354499096203</stp>
        <tr r="D322" s="2"/>
      </tp>
      <tp t="s">
        <v>#N/A Requesting Data...3876526346</v>
        <stp/>
        <stp>BDP|10811163827318310465</stp>
        <tr r="C1788" s="2"/>
      </tp>
      <tp t="s">
        <v>#N/A Requesting Data...4260178687</v>
        <stp/>
        <stp>BDP|11360236015485010890</stp>
        <tr r="A2474" s="2"/>
      </tp>
      <tp t="s">
        <v>#N/A Requesting Data...3487775251</v>
        <stp/>
        <stp>BDP|13260286381426209051</stp>
        <tr r="K2495" s="2"/>
      </tp>
      <tp t="s">
        <v>#N/A Requesting Data...4268028898</v>
        <stp/>
        <stp>BDP|10120701123998663289</stp>
        <tr r="E1264" s="2"/>
      </tp>
      <tp t="b">
        <v>0</v>
        <stp/>
        <stp>BDS|16521256872959483591</stp>
        <tr r="I405" s="2"/>
      </tp>
      <tp t="s">
        <v>#N/A Requesting Data...3444115342</v>
        <stp/>
        <stp>BDP|14983319935569234233</stp>
        <tr r="S756" s="2"/>
      </tp>
      <tp t="s">
        <v>#N/A Requesting Data...4198621769</v>
        <stp/>
        <stp>BDP|10862503996065376616</stp>
        <tr r="E1570" s="2"/>
      </tp>
      <tp t="s">
        <v>#N/A Requesting Data...3599386829</v>
        <stp/>
        <stp>BDP|10868338732138287773</stp>
        <tr r="O1894" s="2"/>
      </tp>
      <tp t="b">
        <v>0</v>
        <stp/>
        <stp>BDS|16522726948768207227</stp>
        <tr r="I314" s="2"/>
      </tp>
      <tp t="b">
        <v>0</v>
        <stp/>
        <stp>BDS|15444712198725201105</stp>
        <tr r="I1887" s="2"/>
      </tp>
      <tp t="s">
        <v>#N/A Requesting Data...3472077242</v>
        <stp/>
        <stp>BDP|16532878198979000159</stp>
        <tr r="N1300" s="2"/>
      </tp>
      <tp t="s">
        <v>#N/A Requesting Data...3881216116</v>
        <stp/>
        <stp>BDP|11747782255788335468</stp>
        <tr r="R114" s="2"/>
      </tp>
      <tp t="s">
        <v>#N/A Requesting Data...3646053213</v>
        <stp/>
        <stp>BDP|17637124324089846279</stp>
        <tr r="J1990" s="2"/>
      </tp>
      <tp t="s">
        <v>#N/A Requesting Data...3217184168</v>
        <stp/>
        <stp>BDP|17149483950851220847</stp>
        <tr r="T1904" s="2"/>
      </tp>
      <tp t="s">
        <v>#N/A Requesting Data...3792242609</v>
        <stp/>
        <stp>BDP|11246215982162681681</stp>
        <tr r="R886" s="2"/>
      </tp>
      <tp t="s">
        <v>#N/A Requesting Data...4065914846</v>
        <stp/>
        <stp>BDP|14442049458456110861</stp>
        <tr r="A554" s="2"/>
      </tp>
      <tp t="s">
        <v>#N/A Requesting Data...4129772963</v>
        <stp/>
        <stp>BDP|11789882533051515463</stp>
        <tr r="G2059" s="2"/>
      </tp>
      <tp t="s">
        <v>#N/A Requesting Data...3410719694</v>
        <stp/>
        <stp>BDP|11587587578479310592</stp>
        <tr r="E405" s="2"/>
      </tp>
      <tp t="s">
        <v>#N/A Requesting Data...3506525942</v>
        <stp/>
        <stp>BDP|10328904844803024184</stp>
        <tr r="C1416" s="2"/>
      </tp>
      <tp t="s">
        <v>#N/A Requesting Data...3460310688</v>
        <stp/>
        <stp>BDP|11954914819690762699</stp>
        <tr r="O2126" s="2"/>
      </tp>
      <tp t="b">
        <v>0</v>
        <stp/>
        <stp>BDS|16312078698918268829</stp>
        <tr r="I1767" s="2"/>
      </tp>
      <tp t="s">
        <v>#N/A Requesting Data...3654483127</v>
        <stp/>
        <stp>BDP|15594513886673515482</stp>
        <tr r="Q1579" s="2"/>
      </tp>
      <tp t="s">
        <v>#N/A Requesting Data...3278072657</v>
        <stp/>
        <stp>BDP|17172863913951337081</stp>
        <tr r="C2386" s="2"/>
      </tp>
      <tp t="s">
        <v>#N/A Requesting Data...4132049624</v>
        <stp/>
        <stp>BDP|16731398112548602351</stp>
        <tr r="P467" s="2"/>
      </tp>
      <tp t="s">
        <v>#N/A Requesting Data...3901107207</v>
        <stp/>
        <stp>BDP|10918982050670987373</stp>
        <tr r="R1261" s="2"/>
      </tp>
      <tp t="s">
        <v>#N/A Requesting Data...3924695989</v>
        <stp/>
        <stp>BDP|10299223998410280458</stp>
        <tr r="D1675" s="2"/>
      </tp>
      <tp t="s">
        <v>#N/A Requesting Data...3478108069</v>
        <stp/>
        <stp>BDP|17427121978198497655</stp>
        <tr r="G2103" s="2"/>
      </tp>
      <tp t="s">
        <v>#N/A Requesting Data...3998029690</v>
        <stp/>
        <stp>BDP|16731887422534498765</stp>
        <tr r="O515" s="2"/>
      </tp>
      <tp t="s">
        <v>#N/A Requesting Data...3728837953</v>
        <stp/>
        <stp>BDP|10534127538169582450</stp>
        <tr r="K1846" s="2"/>
      </tp>
      <tp t="s">
        <v>#N/A Requesting Data...4276480935</v>
        <stp/>
        <stp>BDP|15629618494351459481</stp>
        <tr r="T2122" s="2"/>
      </tp>
      <tp t="s">
        <v>#N/A Requesting Data...3480538952</v>
        <stp/>
        <stp>BDP|15747239337249450287</stp>
        <tr r="K740" s="2"/>
      </tp>
      <tp t="s">
        <v>#N/A Requesting Data...4015997061</v>
        <stp/>
        <stp>BDP|12041389793713054442</stp>
        <tr r="N985" s="2"/>
      </tp>
      <tp t="b">
        <v>0</v>
        <stp/>
        <stp>BDS|17650608959518745340</stp>
        <tr r="I510" s="2"/>
      </tp>
      <tp t="s">
        <v>#N/A Requesting Data...3776790637</v>
        <stp/>
        <stp>BDP|14258385169887528996</stp>
        <tr r="R330" s="2"/>
      </tp>
      <tp t="s">
        <v>#N/A Requesting Data...3545833792</v>
        <stp/>
        <stp>BDP|11332298234778582748</stp>
        <tr r="M1593" s="2"/>
      </tp>
      <tp t="b">
        <v>0</v>
        <stp/>
        <stp>BDS|13708644347889067786</stp>
        <tr r="I1245" s="2"/>
      </tp>
      <tp t="s">
        <v>#N/A Requesting Data...3818241506</v>
        <stp/>
        <stp>BDP|14854260132799221313</stp>
        <tr r="R2191" s="2"/>
      </tp>
      <tp t="b">
        <v>0</v>
        <stp/>
        <stp>BDS|17088185294304745479</stp>
        <tr r="I409" s="2"/>
      </tp>
      <tp t="s">
        <v>#N/A Requesting Data...3592922629</v>
        <stp/>
        <stp>BDP|14743592462780515863</stp>
        <tr r="D1927" s="2"/>
      </tp>
      <tp t="s">
        <v>#N/A Requesting Data...4048539448</v>
        <stp/>
        <stp>BDP|12845099562198888347</stp>
        <tr r="F1658" s="2"/>
      </tp>
      <tp t="s">
        <v>#N/A Requesting Data...3720075518</v>
        <stp/>
        <stp>BDP|14164545222644863800</stp>
        <tr r="K1078" s="2"/>
      </tp>
      <tp t="s">
        <v>#N/A Requesting Data...3429095952</v>
        <stp/>
        <stp>BDP|10668859941460807358</stp>
        <tr r="J1821" s="2"/>
      </tp>
      <tp t="s">
        <v>#N/A Requesting Data...3875459857</v>
        <stp/>
        <stp>BDP|15219204459958477509</stp>
        <tr r="N1203" s="2"/>
      </tp>
      <tp t="s">
        <v>#N/A Requesting Data...4083007497</v>
        <stp/>
        <stp>BDP|13174176079749369332</stp>
        <tr r="K30" s="2"/>
      </tp>
      <tp t="s">
        <v>#N/A Requesting Data...3303711847</v>
        <stp/>
        <stp>BDP|16568207568338614541</stp>
        <tr r="J759" s="2"/>
      </tp>
      <tp t="s">
        <v>#N/A Requesting Data...3327962638</v>
        <stp/>
        <stp>BDP|16452367288363770124</stp>
        <tr r="A802" s="2"/>
      </tp>
      <tp t="s">
        <v>#N/A Requesting Data...3611122538</v>
        <stp/>
        <stp>BDP|16703922063077172187</stp>
        <tr r="R2288" s="2"/>
      </tp>
      <tp t="s">
        <v>#N/A Requesting Data...3391315466</v>
        <stp/>
        <stp>BDP|11827204907465944997</stp>
        <tr r="A626" s="2"/>
      </tp>
      <tp t="s">
        <v>#N/A Requesting Data...3840124245</v>
        <stp/>
        <stp>BDP|16267217871839413599</stp>
        <tr r="K12" s="2"/>
      </tp>
      <tp t="s">
        <v>#N/A Requesting Data...3944978473</v>
        <stp/>
        <stp>BDP|15240975977064527082</stp>
        <tr r="E291" s="2"/>
      </tp>
      <tp t="s">
        <v>#N/A Requesting Data...4100196848</v>
        <stp/>
        <stp>BDP|11965987219135025373</stp>
        <tr r="D1773" s="2"/>
      </tp>
      <tp t="b">
        <v>0</v>
        <stp/>
        <stp>BDS|11917891412135643284</stp>
        <tr r="I2138" s="2"/>
      </tp>
      <tp t="s">
        <v>#N/A Requesting Data...4102170212</v>
        <stp/>
        <stp>BDP|15372265820058203282</stp>
        <tr r="R1014" s="2"/>
      </tp>
      <tp t="s">
        <v>#N/A Requesting Data...4193307994</v>
        <stp/>
        <stp>BDP|16320094396689442974</stp>
        <tr r="P2285" s="2"/>
      </tp>
      <tp t="s">
        <v>#N/A Requesting Data...3440402334</v>
        <stp/>
        <stp>BDP|13333740028598600166</stp>
        <tr r="D1387" s="2"/>
      </tp>
      <tp t="s">
        <v>#N/A Requesting Data...3638161191</v>
        <stp/>
        <stp>BDP|18107390900694515027</stp>
        <tr r="S776" s="2"/>
      </tp>
      <tp t="s">
        <v>#N/A Requesting Data...3674290920</v>
        <stp/>
        <stp>BDP|11432904461263919233</stp>
        <tr r="H413" s="2"/>
      </tp>
      <tp t="s">
        <v>#N/A Requesting Data...4041392829</v>
        <stp/>
        <stp>BDP|17423841120996751488</stp>
        <tr r="E1747" s="2"/>
      </tp>
      <tp t="s">
        <v>#N/A Requesting Data...3902240231</v>
        <stp/>
        <stp>BDP|14064985692603516803</stp>
        <tr r="E458" s="2"/>
      </tp>
      <tp t="s">
        <v>#N/A Requesting Data...3906595531</v>
        <stp/>
        <stp>BDP|16886849150407404372</stp>
        <tr r="C362" s="2"/>
      </tp>
      <tp t="s">
        <v>#N/A Requesting Data...3531157164</v>
        <stp/>
        <stp>BDP|17055672276101673887</stp>
        <tr r="M2131" s="2"/>
      </tp>
      <tp t="s">
        <v>#N/A Requesting Data...3495756008</v>
        <stp/>
        <stp>BDP|16875892239714567622</stp>
        <tr r="K1221" s="2"/>
      </tp>
      <tp t="s">
        <v>#N/A Requesting Data...3398862465</v>
        <stp/>
        <stp>BDP|15817864144587672132</stp>
        <tr r="K471" s="2"/>
      </tp>
      <tp t="s">
        <v>#N/A Requesting Data...4243864549</v>
        <stp/>
        <stp>BDP|11160422988234654626</stp>
        <tr r="G2197" s="2"/>
      </tp>
      <tp t="b">
        <v>0</v>
        <stp/>
        <stp>BDS|13646331438658308427</stp>
        <tr r="I1759" s="2"/>
      </tp>
      <tp t="s">
        <v>#N/A Requesting Data...3339409657</v>
        <stp/>
        <stp>BDP|14928595289450717616</stp>
        <tr r="H1775" s="2"/>
      </tp>
      <tp t="s">
        <v>#N/A Requesting Data...3397308214</v>
        <stp/>
        <stp>BDP|18153795209607963774</stp>
        <tr r="O141" s="2"/>
      </tp>
      <tp t="s">
        <v>#N/A Requesting Data...4208240549</v>
        <stp/>
        <stp>BDP|16929214069089659498</stp>
        <tr r="E614" s="2"/>
      </tp>
      <tp t="s">
        <v>#N/A Requesting Data...3490138767</v>
        <stp/>
        <stp>BDP|17013888650664479123</stp>
        <tr r="E1078" s="2"/>
      </tp>
      <tp t="b">
        <v>0</v>
        <stp/>
        <stp>BDS|15966895170486849358</stp>
        <tr r="I1908" s="2"/>
      </tp>
      <tp t="s">
        <v>#N/A Requesting Data...3981805935</v>
        <stp/>
        <stp>BDP|16820422336106189833</stp>
        <tr r="K2241" s="2"/>
      </tp>
      <tp t="s">
        <v>#N/A Requesting Data...4156502375</v>
        <stp/>
        <stp>BDP|12865849936655008343</stp>
        <tr r="G381" s="2"/>
      </tp>
      <tp t="s">
        <v>#N/A Requesting Data...3445916034</v>
        <stp/>
        <stp>BDP|16897909940373188771</stp>
        <tr r="D2420" s="2"/>
      </tp>
      <tp t="s">
        <v>#N/A Requesting Data...4062827253</v>
        <stp/>
        <stp>BDP|16182695077098704064</stp>
        <tr r="C1766" s="2"/>
      </tp>
      <tp t="b">
        <v>0</v>
        <stp/>
        <stp>BDS|17326985301984172560</stp>
        <tr r="I1351" s="2"/>
      </tp>
      <tp t="s">
        <v>#N/A Requesting Data...3650822064</v>
        <stp/>
        <stp>BDP|12852679893033301115</stp>
        <tr r="R141" s="2"/>
      </tp>
      <tp t="s">
        <v>#N/A Requesting Data...3826754377</v>
        <stp/>
        <stp>BDP|10480436348257021817</stp>
        <tr r="J1306" s="2"/>
      </tp>
      <tp t="s">
        <v>#N/A Requesting Data...3736217907</v>
        <stp/>
        <stp>BDP|11253766742449087486</stp>
        <tr r="Q490" s="2"/>
      </tp>
      <tp t="s">
        <v>#N/A Requesting Data...3539415740</v>
        <stp/>
        <stp>BDP|14526931768347198311</stp>
        <tr r="N1240" s="2"/>
      </tp>
      <tp t="s">
        <v>#N/A Requesting Data...4015519230</v>
        <stp/>
        <stp>BDP|18360666309470459169</stp>
        <tr r="S2198" s="2"/>
      </tp>
      <tp t="s">
        <v>#N/A Requesting Data...3848502294</v>
        <stp/>
        <stp>BDP|14197945279491400460</stp>
        <tr r="N1651" s="2"/>
      </tp>
      <tp t="s">
        <v>#N/A Requesting Data...4255674208</v>
        <stp/>
        <stp>BDP|18198969069411745978</stp>
        <tr r="S637" s="2"/>
      </tp>
      <tp t="s">
        <v>#N/A Requesting Data...3615168910</v>
        <stp/>
        <stp>BDP|10296967808895690347</stp>
        <tr r="P2250" s="2"/>
      </tp>
      <tp t="s">
        <v>#N/A Requesting Data...4032390730</v>
        <stp/>
        <stp>BDP|18207638528672148165</stp>
        <tr r="Q81" s="2"/>
      </tp>
      <tp t="s">
        <v>#N/A Requesting Data...3911193739</v>
        <stp/>
        <stp>BDP|11827135392963279556</stp>
        <tr r="F2159" s="2"/>
      </tp>
      <tp t="s">
        <v>#N/A Requesting Data...4169764667</v>
        <stp/>
        <stp>BDP|13751101721957039881</stp>
        <tr r="E2344" s="2"/>
      </tp>
      <tp t="s">
        <v>#N/A Requesting Data...4039137917</v>
        <stp/>
        <stp>BDP|12737888727572407521</stp>
        <tr r="R579" s="2"/>
      </tp>
      <tp t="s">
        <v>#N/A Requesting Data...4270083372</v>
        <stp/>
        <stp>BDP|11763828477651845042</stp>
        <tr r="T2321" s="2"/>
      </tp>
      <tp t="s">
        <v>#N/A Requesting Data...3543090477</v>
        <stp/>
        <stp>BDP|12607393760559182100</stp>
        <tr r="T309" s="2"/>
      </tp>
      <tp t="s">
        <v>#N/A Requesting Data...4030982798</v>
        <stp/>
        <stp>BDP|12956122946251628959</stp>
        <tr r="E1135" s="2"/>
      </tp>
      <tp t="s">
        <v>#N/A Requesting Data...3667818776</v>
        <stp/>
        <stp>BDP|18252160058894572777</stp>
        <tr r="C603" s="2"/>
      </tp>
      <tp t="b">
        <v>0</v>
        <stp/>
        <stp>BDS|16356665279850518844</stp>
        <tr r="I2368" s="2"/>
      </tp>
      <tp t="s">
        <v>#N/A Requesting Data...4187483098</v>
        <stp/>
        <stp>BDP|18108905368709281157</stp>
        <tr r="S570" s="2"/>
      </tp>
      <tp t="s">
        <v>#N/A Requesting Data...4144773735</v>
        <stp/>
        <stp>BDP|16446167628169082347</stp>
        <tr r="C1532" s="2"/>
      </tp>
      <tp t="s">
        <v>#N/A Requesting Data...3788842328</v>
        <stp/>
        <stp>BDP|14928439496402451466</stp>
        <tr r="D151" s="2"/>
      </tp>
      <tp t="s">
        <v>#N/A Requesting Data...3895394509</v>
        <stp/>
        <stp>BDP|12893330332484101961</stp>
        <tr r="Q2275" s="2"/>
      </tp>
      <tp t="s">
        <v>#N/A Requesting Data...3844150554</v>
        <stp/>
        <stp>BDP|13160581082907169644</stp>
        <tr r="R1247" s="2"/>
      </tp>
      <tp t="s">
        <v>#N/A Requesting Data...4068357622</v>
        <stp/>
        <stp>BDP|12766440579969514712</stp>
        <tr r="G1031" s="2"/>
      </tp>
      <tp t="s">
        <v>#N/A Requesting Data...4051061425</v>
        <stp/>
        <stp>BDP|12866043557848397068</stp>
        <tr r="F2487" s="2"/>
      </tp>
      <tp t="s">
        <v>#N/A Requesting Data...3735535665</v>
        <stp/>
        <stp>BDP|10095953474094992560</stp>
        <tr r="A1250" s="2"/>
      </tp>
      <tp t="s">
        <v>#N/A Requesting Data...4084156873</v>
        <stp/>
        <stp>BDP|15293987860902641720</stp>
        <tr r="E1713" s="2"/>
      </tp>
      <tp t="s">
        <v>#N/A Requesting Data...3740796508</v>
        <stp/>
        <stp>BDP|18350214440855534499</stp>
        <tr r="S912" s="2"/>
      </tp>
      <tp t="s">
        <v>#N/A Requesting Data...3984688358</v>
        <stp/>
        <stp>BDP|10776290723029030637</stp>
        <tr r="E1550" s="2"/>
      </tp>
      <tp t="s">
        <v>#N/A Requesting Data...3970973455</v>
        <stp/>
        <stp>BDP|14464273224692963907</stp>
        <tr r="P789" s="2"/>
      </tp>
      <tp t="s">
        <v>#N/A Requesting Data...3760343966</v>
        <stp/>
        <stp>BDP|15378145313483249980</stp>
        <tr r="R607" s="2"/>
      </tp>
      <tp t="s">
        <v>#N/A Requesting Data...3617114961</v>
        <stp/>
        <stp>BDP|13903849935932478525</stp>
        <tr r="F1142" s="2"/>
      </tp>
      <tp t="s">
        <v>#N/A Requesting Data...3994646961</v>
        <stp/>
        <stp>BDP|11938536261618708521</stp>
        <tr r="D2002" s="2"/>
      </tp>
      <tp t="s">
        <v>#N/A Requesting Data...4093169626</v>
        <stp/>
        <stp>BDP|16183751799751552669</stp>
        <tr r="M1273" s="2"/>
      </tp>
      <tp t="s">
        <v>#N/A Requesting Data...4138366357</v>
        <stp/>
        <stp>BDP|18401124669162956281</stp>
        <tr r="P1708" s="2"/>
      </tp>
      <tp t="s">
        <v>#N/A Requesting Data...3837784256</v>
        <stp/>
        <stp>BDP|10630935199637064827</stp>
        <tr r="T1716" s="2"/>
      </tp>
      <tp t="s">
        <v>#N/A Requesting Data...3593981974</v>
        <stp/>
        <stp>BDP|13471422084318863841</stp>
        <tr r="O1482" s="2"/>
      </tp>
      <tp t="s">
        <v>#N/A Requesting Data...3979977436</v>
        <stp/>
        <stp>BDP|15389329493223427381</stp>
        <tr r="K177" s="2"/>
      </tp>
      <tp t="b">
        <v>0</v>
        <stp/>
        <stp>BDS|14526806154246474081</stp>
        <tr r="I182" s="2"/>
      </tp>
      <tp t="s">
        <v>#N/A Requesting Data...4224355751</v>
        <stp/>
        <stp>BDP|12267386661788268071</stp>
        <tr r="S1370" s="2"/>
      </tp>
      <tp t="s">
        <v>#N/A Requesting Data...4151450867</v>
        <stp/>
        <stp>BDP|12933806461435127673</stp>
        <tr r="J2274" s="2"/>
      </tp>
      <tp t="s">
        <v>#N/A Requesting Data...4245627067</v>
        <stp/>
        <stp>BDP|15668068825859367180</stp>
        <tr r="A325" s="2"/>
      </tp>
      <tp t="s">
        <v>#N/A Requesting Data...3602963537</v>
        <stp/>
        <stp>BDP|15316160495497646586</stp>
        <tr r="T1079" s="2"/>
      </tp>
      <tp t="s">
        <v>#N/A Requesting Data...4186813894</v>
        <stp/>
        <stp>BDP|18226181423453279757</stp>
        <tr r="C985" s="2"/>
      </tp>
      <tp t="s">
        <v>#N/A Requesting Data...3821855387</v>
        <stp/>
        <stp>BDP|13168835438505204261</stp>
        <tr r="D664" s="2"/>
      </tp>
      <tp t="s">
        <v>#N/A Requesting Data...4128810888</v>
        <stp/>
        <stp>BDP|17930785104908384780</stp>
        <tr r="E1304" s="2"/>
      </tp>
      <tp t="s">
        <v>#N/A Requesting Data...4122013730</v>
        <stp/>
        <stp>BDP|18122316238140731711</stp>
        <tr r="M1647" s="2"/>
      </tp>
      <tp t="s">
        <v>#N/A Requesting Data...3740353665</v>
        <stp/>
        <stp>BDP|13692367249932617911</stp>
        <tr r="D1475" s="2"/>
      </tp>
      <tp t="b">
        <v>0</v>
        <stp/>
        <stp>BDS|17461359317779394386</stp>
        <tr r="I1316" s="2"/>
      </tp>
      <tp t="s">
        <v>#N/A Requesting Data...3875387052</v>
        <stp/>
        <stp>BDP|11275975805032627586</stp>
        <tr r="J642" s="2"/>
      </tp>
      <tp t="s">
        <v>#N/A Requesting Data...3826372198</v>
        <stp/>
        <stp>BDP|10537923423460921430</stp>
        <tr r="K2002" s="2"/>
      </tp>
      <tp t="s">
        <v>#N/A Requesting Data...3680545499</v>
        <stp/>
        <stp>BDP|12405612094242945062</stp>
        <tr r="R460" s="2"/>
      </tp>
      <tp t="s">
        <v>#N/A Requesting Data...3972263197</v>
        <stp/>
        <stp>BDP|17520846559227117271</stp>
        <tr r="H356" s="2"/>
      </tp>
      <tp t="s">
        <v>#N/A Requesting Data...3996493223</v>
        <stp/>
        <stp>BDP|15824504072881526919</stp>
        <tr r="F1275" s="2"/>
      </tp>
      <tp t="s">
        <v>#N/A Requesting Data...3842831015</v>
        <stp/>
        <stp>BDP|18252994091573010440</stp>
        <tr r="O89" s="2"/>
      </tp>
      <tp t="s">
        <v>#N/A Requesting Data...4104417936</v>
        <stp/>
        <stp>BDP|10506784020148545264</stp>
        <tr r="D1223" s="2"/>
      </tp>
      <tp t="s">
        <v>#N/A Requesting Data...3892905963</v>
        <stp/>
        <stp>BDP|14313538565768927029</stp>
        <tr r="M531" s="2"/>
      </tp>
      <tp t="s">
        <v>#N/A Requesting Data...3707073542</v>
        <stp/>
        <stp>BDP|15383978428748161934</stp>
        <tr r="A319" s="2"/>
      </tp>
      <tp t="s">
        <v>#N/A Requesting Data...3942678926</v>
        <stp/>
        <stp>BDP|12955065874188568203</stp>
        <tr r="N2013" s="2"/>
      </tp>
      <tp t="s">
        <v>#N/A Requesting Data...3566690455</v>
        <stp/>
        <stp>BDP|15176420381891700744</stp>
        <tr r="N2177" s="2"/>
      </tp>
      <tp t="s">
        <v>#N/A Requesting Data...3975518184</v>
        <stp/>
        <stp>BDP|11857889919562933511</stp>
        <tr r="A2075" s="2"/>
      </tp>
      <tp t="s">
        <v>#N/A Requesting Data...4270884617</v>
        <stp/>
        <stp>BDP|14396005401022764941</stp>
        <tr r="T558" s="2"/>
      </tp>
      <tp t="b">
        <v>0</v>
        <stp/>
        <stp>BDS|12555948670466605552</stp>
        <tr r="I2066" s="2"/>
      </tp>
      <tp t="s">
        <v>#N/A Requesting Data...4294351020</v>
        <stp/>
        <stp>BDP|14535940905587049558</stp>
        <tr r="N1939" s="2"/>
      </tp>
      <tp t="s">
        <v>#N/A Requesting Data...3988799021</v>
        <stp/>
        <stp>BDP|11583016574918689175</stp>
        <tr r="F2053" s="2"/>
      </tp>
      <tp t="s">
        <v>#N/A Requesting Data...3978595857</v>
        <stp/>
        <stp>BDP|10891641630553849953</stp>
        <tr r="P458" s="2"/>
      </tp>
      <tp t="s">
        <v>#N/A Requesting Data...4181939706</v>
        <stp/>
        <stp>BDP|13056503186812752301</stp>
        <tr r="J1519" s="2"/>
      </tp>
      <tp t="s">
        <v>#N/A Requesting Data...4180731265</v>
        <stp/>
        <stp>BDP|18248060879876949651</stp>
        <tr r="J681" s="2"/>
      </tp>
      <tp t="s">
        <v>#N/A Requesting Data...4189899151</v>
        <stp/>
        <stp>BDP|10572928688778968677</stp>
        <tr r="N486" s="2"/>
      </tp>
      <tp t="s">
        <v>#N/A Requesting Data...3879802238</v>
        <stp/>
        <stp>BDP|10353259079653653986</stp>
        <tr r="J2516" s="2"/>
      </tp>
      <tp t="s">
        <v>#N/A Requesting Data...3677326478</v>
        <stp/>
        <stp>BDP|14616169283816111438</stp>
        <tr r="J593" s="2"/>
      </tp>
      <tp t="s">
        <v>#N/A Requesting Data...3938770513</v>
        <stp/>
        <stp>BDP|15529839973667247260</stp>
        <tr r="M1380" s="2"/>
      </tp>
      <tp t="s">
        <v>#N/A Requesting Data...3956780575</v>
        <stp/>
        <stp>BDP|15274447318849971666</stp>
        <tr r="E161" s="2"/>
      </tp>
      <tp t="s">
        <v>#N/A Requesting Data...4247371552</v>
        <stp/>
        <stp>BDP|14993832827037437680</stp>
        <tr r="T922" s="2"/>
      </tp>
      <tp t="s">
        <v>#N/A Requesting Data...3702929868</v>
        <stp/>
        <stp>BDP|18067350564016096407</stp>
        <tr r="M1785" s="2"/>
      </tp>
      <tp t="b">
        <v>0</v>
        <stp/>
        <stp>BDS|18210743735131924289</stp>
        <tr r="I1862" s="2"/>
      </tp>
      <tp t="s">
        <v>#N/A Requesting Data...3623430557</v>
        <stp/>
        <stp>BDP|17557633683966554012</stp>
        <tr r="N271" s="2"/>
      </tp>
      <tp t="s">
        <v>#N/A Requesting Data...4014983024</v>
        <stp/>
        <stp>BDP|10392919900825546363</stp>
        <tr r="S1979" s="2"/>
      </tp>
      <tp t="s">
        <v>#N/A Requesting Data...3962720552</v>
        <stp/>
        <stp>BDP|17411657192882583579</stp>
        <tr r="N2235" s="2"/>
      </tp>
      <tp t="s">
        <v>#N/A Requesting Data...4063743187</v>
        <stp/>
        <stp>BDP|10185569837811149802</stp>
        <tr r="O1107" s="2"/>
      </tp>
      <tp t="s">
        <v>#N/A Requesting Data...4053236920</v>
        <stp/>
        <stp>BDP|13561695530941407895</stp>
        <tr r="F943" s="2"/>
      </tp>
      <tp t="s">
        <v>#N/A Requesting Data...3755090132</v>
        <stp/>
        <stp>BDP|14794962256203425424</stp>
        <tr r="F1774" s="2"/>
      </tp>
      <tp t="s">
        <v>#N/A Requesting Data...3660677457</v>
        <stp/>
        <stp>BDP|13297918959307242798</stp>
        <tr r="K126" s="2"/>
      </tp>
      <tp t="s">
        <v>#N/A Requesting Data...3644981848</v>
        <stp/>
        <stp>BDP|10503570905242099865</stp>
        <tr r="S1172" s="2"/>
      </tp>
      <tp t="s">
        <v>#N/A Requesting Data...3952852658</v>
        <stp/>
        <stp>BDP|16670075487036580724</stp>
        <tr r="N1206" s="2"/>
      </tp>
      <tp t="s">
        <v>#N/A Requesting Data...4006352724</v>
        <stp/>
        <stp>BDP|10231651377527386921</stp>
        <tr r="C2287" s="2"/>
      </tp>
      <tp t="s">
        <v>#N/A Requesting Data...3963282928</v>
        <stp/>
        <stp>BDP|17832385840247388822</stp>
        <tr r="J2477" s="2"/>
      </tp>
      <tp t="s">
        <v>#N/A Requesting Data...4197680253</v>
        <stp/>
        <stp>BDP|14129126887931073354</stp>
        <tr r="C1844" s="2"/>
      </tp>
      <tp t="b">
        <v>0</v>
        <stp/>
        <stp>BDS|14188877447051409671</stp>
        <tr r="I2400" s="2"/>
      </tp>
      <tp t="s">
        <v>#N/A Requesting Data...4289153483</v>
        <stp/>
        <stp>BDP|11108088530755106892</stp>
        <tr r="R939" s="2"/>
      </tp>
      <tp t="s">
        <v>#N/A Requesting Data...4243821189</v>
        <stp/>
        <stp>BDP|12728918227632212420</stp>
        <tr r="O992" s="2"/>
      </tp>
      <tp t="s">
        <v>#N/A Requesting Data...4070333913</v>
        <stp/>
        <stp>BDP|10376789448634014824</stp>
        <tr r="J1905" s="2"/>
      </tp>
      <tp t="s">
        <v>#N/A Requesting Data...3766268263</v>
        <stp/>
        <stp>BDP|16760157585921536136</stp>
        <tr r="R1382" s="2"/>
      </tp>
      <tp t="s">
        <v>#N/A Requesting Data...4172600233</v>
        <stp/>
        <stp>BDP|10180898150965927706</stp>
        <tr r="N2511" s="2"/>
      </tp>
      <tp t="s">
        <v>#N/A Requesting Data...3769499525</v>
        <stp/>
        <stp>BDP|10693531785590542245</stp>
        <tr r="J1472" s="2"/>
      </tp>
      <tp t="s">
        <v>#N/A Requesting Data...4036388126</v>
        <stp/>
        <stp>BDP|18033530824246191674</stp>
        <tr r="E1450" s="2"/>
      </tp>
      <tp t="s">
        <v>#N/A Requesting Data...4093812431</v>
        <stp/>
        <stp>BDP|10185927339474349183</stp>
        <tr r="F1754" s="2"/>
      </tp>
      <tp t="s">
        <v>#N/A Requesting Data...3970334465</v>
        <stp/>
        <stp>BDP|17540721997760084616</stp>
        <tr r="D1181" s="2"/>
      </tp>
      <tp t="s">
        <v>#N/A Requesting Data...3657712426</v>
        <stp/>
        <stp>BDP|14896910771986153389</stp>
        <tr r="S1452" s="2"/>
      </tp>
      <tp t="s">
        <v>#N/A Requesting Data...3818984775</v>
        <stp/>
        <stp>BDP|18009333053746718769</stp>
        <tr r="N2327" s="2"/>
      </tp>
      <tp t="b">
        <v>0</v>
        <stp/>
        <stp>BDS|16953371279334035958</stp>
        <tr r="I1536" s="2"/>
      </tp>
      <tp t="s">
        <v>#N/A Requesting Data...3937346499</v>
        <stp/>
        <stp>BDP|13260750117012126808</stp>
        <tr r="D1962" s="2"/>
      </tp>
      <tp t="s">
        <v>#N/A Requesting Data...4243524114</v>
        <stp/>
        <stp>BDP|11193318349341067888</stp>
        <tr r="S1987" s="2"/>
      </tp>
      <tp t="s">
        <v>#N/A Requesting Data...3871569331</v>
        <stp/>
        <stp>BDP|12301415294996366649</stp>
        <tr r="E2506" s="2"/>
      </tp>
      <tp t="s">
        <v>#N/A Requesting Data...4166979562</v>
        <stp/>
        <stp>BDP|12659980761523948177</stp>
        <tr r="O1710" s="2"/>
      </tp>
      <tp t="b">
        <v>0</v>
        <stp/>
        <stp>BDS|12180269291913384573</stp>
        <tr r="I1352" s="2"/>
      </tp>
      <tp t="s">
        <v>#N/A Requesting Data...4230577964</v>
        <stp/>
        <stp>BDP|14590377660136554869</stp>
        <tr r="M1611" s="2"/>
      </tp>
      <tp t="s">
        <v>#N/A Requesting Data...4199113220</v>
        <stp/>
        <stp>BDP|13383087026196557899</stp>
        <tr r="C550" s="2"/>
      </tp>
      <tp t="s">
        <v>#N/A Requesting Data...3697149615</v>
        <stp/>
        <stp>BDP|18106640771526152042</stp>
        <tr r="J1294" s="2"/>
      </tp>
      <tp t="s">
        <v>#N/A Requesting Data...4061141393</v>
        <stp/>
        <stp>BDP|10510039847909997299</stp>
        <tr r="K806" s="2"/>
      </tp>
      <tp t="s">
        <v>#N/A Requesting Data...3939729367</v>
        <stp/>
        <stp>BDP|15400406127395547970</stp>
        <tr r="G12" s="2"/>
      </tp>
      <tp t="s">
        <v>#N/A Requesting Data...4094073852</v>
        <stp/>
        <stp>BDP|15948740518929144558</stp>
        <tr r="P1081" s="2"/>
      </tp>
      <tp t="s">
        <v>#N/A Requesting Data...4062473230</v>
        <stp/>
        <stp>BDP|12761911258931971068</stp>
        <tr r="N1815" s="2"/>
      </tp>
      <tp t="s">
        <v>#N/A Requesting Data...3760588494</v>
        <stp/>
        <stp>BDP|13404541591808613868</stp>
        <tr r="J2309" s="2"/>
      </tp>
      <tp t="s">
        <v>#N/A Requesting Data...4248631066</v>
        <stp/>
        <stp>BDP|13815256818306221961</stp>
        <tr r="M1598" s="2"/>
      </tp>
      <tp t="s">
        <v>#N/A Requesting Data...4200048194</v>
        <stp/>
        <stp>BDP|16702007986367631660</stp>
        <tr r="E1281" s="2"/>
      </tp>
      <tp t="s">
        <v>#N/A Requesting Data...3770189734</v>
        <stp/>
        <stp>BDP|10435226116634549840</stp>
        <tr r="F2216" s="2"/>
      </tp>
      <tp t="s">
        <v>#N/A Requesting Data...3807158289</v>
        <stp/>
        <stp>BDP|17593246896055496621</stp>
        <tr r="C51" s="2"/>
      </tp>
      <tp t="s">
        <v>#N/A Requesting Data...3961664388</v>
        <stp/>
        <stp>BDP|10942403199704678670</stp>
        <tr r="O1812" s="2"/>
      </tp>
      <tp t="s">
        <v>#N/A Requesting Data...4214002542</v>
        <stp/>
        <stp>BDP|14170408129734889917</stp>
        <tr r="G1957" s="2"/>
      </tp>
      <tp t="s">
        <v>#N/A Requesting Data...3900370481</v>
        <stp/>
        <stp>BDP|14812862998613701902</stp>
        <tr r="T2190" s="2"/>
      </tp>
      <tp t="b">
        <v>0</v>
        <stp/>
        <stp>BDS|11598699481533824370</stp>
        <tr r="I2265" s="2"/>
      </tp>
      <tp t="s">
        <v>#N/A Requesting Data...4146668950</v>
        <stp/>
        <stp>BDP|10016248910875442912</stp>
        <tr r="N1726" s="2"/>
      </tp>
      <tp t="s">
        <v>#N/A Requesting Data...3953072002</v>
        <stp/>
        <stp>BDP|11862694500698674064</stp>
        <tr r="M687" s="2"/>
      </tp>
      <tp t="s">
        <v>#N/A Requesting Data...3981807376</v>
        <stp/>
        <stp>BDP|13314913547200461101</stp>
        <tr r="M89" s="2"/>
      </tp>
      <tp t="s">
        <v>#N/A Requesting Data...3966600324</v>
        <stp/>
        <stp>BDP|11405511781475256677</stp>
        <tr r="C1879" s="2"/>
      </tp>
      <tp t="s">
        <v>#N/A Requesting Data...4022365034</v>
        <stp/>
        <stp>BDP|12369468697989104920</stp>
        <tr r="J447" s="2"/>
      </tp>
      <tp t="s">
        <v>#N/A Requesting Data...3941986119</v>
        <stp/>
        <stp>BDP|16495799018846592916</stp>
        <tr r="K41" s="2"/>
      </tp>
      <tp t="s">
        <v>#N/A Requesting Data...3882478579</v>
        <stp/>
        <stp>BDP|12259245547262567952</stp>
        <tr r="G1874" s="2"/>
      </tp>
      <tp t="s">
        <v>#N/A Requesting Data...4020676652</v>
        <stp/>
        <stp>BDP|14045672866429430247</stp>
        <tr r="T381" s="2"/>
      </tp>
      <tp t="s">
        <v>#N/A Requesting Data...4072158558</v>
        <stp/>
        <stp>BDP|10080685249898075504</stp>
        <tr r="S742" s="2"/>
      </tp>
      <tp t="s">
        <v>#N/A Requesting Data...4290978559</v>
        <stp/>
        <stp>BDP|12885055911879961545</stp>
        <tr r="G2486" s="2"/>
      </tp>
      <tp t="s">
        <v>#N/A Requesting Data...4219142455</v>
        <stp/>
        <stp>BDP|17834842482460821871</stp>
        <tr r="P243" s="2"/>
      </tp>
      <tp t="s">
        <v>#N/A Requesting Data...4126840627</v>
        <stp/>
        <stp>BDP|17240211237249014050</stp>
        <tr r="R2158" s="2"/>
      </tp>
      <tp t="s">
        <v>#N/A Requesting Data...3879329251</v>
        <stp/>
        <stp>BDP|15054525337624358876</stp>
        <tr r="C242" s="2"/>
      </tp>
      <tp t="s">
        <v>#N/A Requesting Data...4205040749</v>
        <stp/>
        <stp>BDP|11325636696360149166</stp>
        <tr r="N1842" s="2"/>
      </tp>
      <tp t="s">
        <v>#N/A Requesting Data...3923747930</v>
        <stp/>
        <stp>BDP|10945987517101577620</stp>
        <tr r="J2357" s="2"/>
      </tp>
      <tp t="s">
        <v>#N/A Requesting Data...4143721475</v>
        <stp/>
        <stp>BDP|12487945066321383343</stp>
        <tr r="P395" s="2"/>
      </tp>
      <tp t="s">
        <v>#N/A Requesting Data...3927917458</v>
        <stp/>
        <stp>BDP|14910990436614444536</stp>
        <tr r="M24" s="2"/>
      </tp>
      <tp t="b">
        <v>0</v>
        <stp/>
        <stp>BDS|11520198678429394152</stp>
        <tr r="I1658" s="2"/>
      </tp>
      <tp t="s">
        <v>#N/A Requesting Data...3852290001</v>
        <stp/>
        <stp>BDP|17004591719198509445</stp>
        <tr r="E1224" s="2"/>
      </tp>
      <tp t="s">
        <v>#N/A Requesting Data...4011870560</v>
        <stp/>
        <stp>BDP|16396947496939833081</stp>
        <tr r="R1846" s="2"/>
      </tp>
      <tp t="s">
        <v>#N/A Requesting Data...3813964451</v>
        <stp/>
        <stp>BDP|17762897819310709117</stp>
        <tr r="S1833" s="2"/>
      </tp>
      <tp t="s">
        <v>#N/A Requesting Data...4223770660</v>
        <stp/>
        <stp>BDP|18259391974631711296</stp>
        <tr r="M219" s="2"/>
      </tp>
      <tp t="s">
        <v>#N/A Requesting Data...4259684263</v>
        <stp/>
        <stp>BDP|16340837259241039586</stp>
        <tr r="J1948" s="2"/>
      </tp>
      <tp t="s">
        <v>#N/A Requesting Data...4199946072</v>
        <stp/>
        <stp>BDP|15967830924471701186</stp>
        <tr r="D2202" s="2"/>
      </tp>
      <tp t="s">
        <v>#N/A Requesting Data...3995447027</v>
        <stp/>
        <stp>BDP|16572920621157501522</stp>
        <tr r="A289" s="2"/>
      </tp>
      <tp t="s">
        <v>#N/A Requesting Data...3977983335</v>
        <stp/>
        <stp>BDP|14290889744476882178</stp>
        <tr r="H2270" s="2"/>
      </tp>
      <tp t="s">
        <v>#N/A Requesting Data...4129835385</v>
        <stp/>
        <stp>BDP|15257594879089115124</stp>
        <tr r="J588" s="2"/>
      </tp>
      <tp t="s">
        <v>#N/A Requesting Data...3899149121</v>
        <stp/>
        <stp>BDP|15256979883432372954</stp>
        <tr r="D1904" s="2"/>
      </tp>
      <tp t="s">
        <v>#N/A Requesting Data...4074755820</v>
        <stp/>
        <stp>BDP|15526347461858368730</stp>
        <tr r="R1865" s="2"/>
      </tp>
      <tp t="s">
        <v>#N/A Requesting Data...3796190623</v>
        <stp/>
        <stp>BDP|13144776643916664936</stp>
        <tr r="S1951" s="2"/>
      </tp>
      <tp t="s">
        <v>#N/A Requesting Data...4035590253</v>
        <stp/>
        <stp>BDP|17286836307467142775</stp>
        <tr r="J394" s="2"/>
      </tp>
      <tp t="s">
        <v>#N/A Requesting Data...3865136427</v>
        <stp/>
        <stp>BDP|17056841842582695603</stp>
        <tr r="R561" s="2"/>
      </tp>
      <tp t="s">
        <v>#N/A Requesting Data...4208758287</v>
        <stp/>
        <stp>BDP|11521856534325399074</stp>
        <tr r="R1457" s="2"/>
      </tp>
      <tp t="s">
        <v>#N/A Requesting Data...4043748058</v>
        <stp/>
        <stp>BDP|17596957957512521623</stp>
        <tr r="H2196" s="2"/>
      </tp>
      <tp t="s">
        <v>#N/A Requesting Data...3944724183</v>
        <stp/>
        <stp>BDP|18125609163433239406</stp>
        <tr r="A567" s="2"/>
      </tp>
      <tp t="s">
        <v>#N/A Requesting Data...4139036190</v>
        <stp/>
        <stp>BDP|12474979822272872491</stp>
        <tr r="J2426" s="2"/>
      </tp>
      <tp t="s">
        <v>#N/A Requesting Data...4145701972</v>
        <stp/>
        <stp>BDP|14936300158848218530</stp>
        <tr r="T1605" s="2"/>
      </tp>
      <tp t="s">
        <v>#N/A Requesting Data...3880812944</v>
        <stp/>
        <stp>BDP|16427326542697496902</stp>
        <tr r="S664" s="2"/>
      </tp>
      <tp t="s">
        <v>#N/A Requesting Data...4187957440</v>
        <stp/>
        <stp>BDP|15334245111391385854</stp>
        <tr r="R1831" s="2"/>
      </tp>
      <tp t="s">
        <v>#N/A Requesting Data...4251398164</v>
        <stp/>
        <stp>BDP|15672878663682535673</stp>
        <tr r="E1106" s="2"/>
      </tp>
      <tp t="s">
        <v>#N/A Requesting Data...4177970126</v>
        <stp/>
        <stp>BDP|12563846540339734869</stp>
        <tr r="J836" s="2"/>
      </tp>
      <tp t="s">
        <v>#N/A Requesting Data...4103248363</v>
        <stp/>
        <stp>BDP|14079748873493765805</stp>
        <tr r="J825" s="2"/>
      </tp>
      <tp t="s">
        <v>#N/A Requesting Data...3887363195</v>
        <stp/>
        <stp>BDP|15779868141157660160</stp>
        <tr r="Q2162" s="2"/>
      </tp>
      <tp t="s">
        <v>#N/A Requesting Data...3847761573</v>
        <stp/>
        <stp>BDP|16034928801925282512</stp>
        <tr r="T260" s="2"/>
      </tp>
      <tp t="s">
        <v>#N/A Requesting Data...3898318515</v>
        <stp/>
        <stp>BDP|10105533357817069855</stp>
        <tr r="P1443" s="2"/>
      </tp>
      <tp t="s">
        <v>#N/A Requesting Data...4192357078</v>
        <stp/>
        <stp>BDP|14700633796187496363</stp>
        <tr r="T154" s="2"/>
      </tp>
      <tp t="s">
        <v>#N/A Requesting Data...4005297900</v>
        <stp/>
        <stp>BDP|16031537190385690056</stp>
        <tr r="M1962" s="2"/>
      </tp>
      <tp t="s">
        <v>#N/A Requesting Data...3847036453</v>
        <stp/>
        <stp>BDP|18388025980798753767</stp>
        <tr r="D985" s="2"/>
      </tp>
      <tp t="s">
        <v>#N/A Requesting Data...3992701783</v>
        <stp/>
        <stp>BDP|18108323714632459738</stp>
        <tr r="A1354" s="2"/>
      </tp>
      <tp t="s">
        <v>#N/A Requesting Data...4194106075</v>
        <stp/>
        <stp>BDP|18442064448460894325</stp>
        <tr r="P805" s="2"/>
      </tp>
      <tp t="s">
        <v>#N/A Requesting Data...4154126808</v>
        <stp/>
        <stp>BDP|17621939474761805794</stp>
        <tr r="N168" s="2"/>
      </tp>
      <tp t="s">
        <v>#N/A Requesting Data...4215546679</v>
        <stp/>
        <stp>BDP|15561330592606397671</stp>
        <tr r="O1607" s="2"/>
      </tp>
      <tp t="s">
        <v>#N/A Requesting Data...4265309520</v>
        <stp/>
        <stp>BDP|18246448963355496019</stp>
        <tr r="C208" s="2"/>
      </tp>
      <tp t="s">
        <v>#N/A Requesting Data...3930365172</v>
        <stp/>
        <stp>BDP|16584212997415524763</stp>
        <tr r="S2085" s="2"/>
      </tp>
      <tp t="s">
        <v>#N/A Requesting Data...3916926193</v>
        <stp/>
        <stp>BDP|16358536825818014655</stp>
        <tr r="H1530" s="2"/>
      </tp>
      <tp t="s">
        <v>#N/A Requesting Data...4244652338</v>
        <stp/>
        <stp>BDP|11562932422533172659</stp>
        <tr r="K1126" s="2"/>
      </tp>
      <tp t="s">
        <v>#N/A Requesting Data...4224696784</v>
        <stp/>
        <stp>BDP|16482455033448070621</stp>
        <tr r="C563" s="2"/>
      </tp>
      <tp t="b">
        <v>0</v>
        <stp/>
        <stp>BDS|11520873508573031598</stp>
        <tr r="I256" s="2"/>
      </tp>
      <tp t="s">
        <v>#N/A Requesting Data...3919770901</v>
        <stp/>
        <stp>BDP|15199345096168613852</stp>
        <tr r="P60" s="2"/>
      </tp>
      <tp t="s">
        <v>#N/A Requesting Data...4156401076</v>
        <stp/>
        <stp>BDP|15428581147963971823</stp>
        <tr r="J1767" s="2"/>
      </tp>
      <tp t="s">
        <v>#N/A Requesting Data...4246300489</v>
        <stp/>
        <stp>BDP|17578608892462552520</stp>
        <tr r="E891" s="2"/>
      </tp>
      <tp t="s">
        <v>#N/A Requesting Data...4003202604</v>
        <stp/>
        <stp>BDP|15304953333048654838</stp>
        <tr r="O662" s="2"/>
      </tp>
      <tp t="s">
        <v>#N/A Requesting Data...4001938346</v>
        <stp/>
        <stp>BDP|11672462961728448458</stp>
        <tr r="J1525" s="2"/>
      </tp>
      <tp t="s">
        <v>#N/A Requesting Data...4186587522</v>
        <stp/>
        <stp>BDP|13754462667739770719</stp>
        <tr r="M1884" s="2"/>
      </tp>
      <tp t="s">
        <v>#N/A Requesting Data...4105917389</v>
        <stp/>
        <stp>BDP|16038398829550844884</stp>
        <tr r="T829" s="2"/>
      </tp>
      <tp t="s">
        <v>#N/A Requesting Data...4218729616</v>
        <stp/>
        <stp>BDP|13568734936559387131</stp>
        <tr r="Q1868" s="2"/>
      </tp>
      <tp t="s">
        <v>#N/A Requesting Data...4029939787</v>
        <stp/>
        <stp>BDP|16594095645789937405</stp>
        <tr r="C1770" s="2"/>
      </tp>
      <tp t="s">
        <v>#N/A Requesting Data...3953674558</v>
        <stp/>
        <stp>BDP|17340026075056669929</stp>
        <tr r="M1422" s="2"/>
      </tp>
      <tp t="s">
        <v>#N/A Requesting Data...3958132854</v>
        <stp/>
        <stp>BDP|17626827100059207968</stp>
        <tr r="D543" s="2"/>
      </tp>
      <tp t="s">
        <v>#N/A Requesting Data...3948623990</v>
        <stp/>
        <stp>BDP|14456740796720783517</stp>
        <tr r="J271" s="2"/>
      </tp>
      <tp t="s">
        <v>#N/A Requesting Data...3982790087</v>
        <stp/>
        <stp>BDP|15107320163146292925</stp>
        <tr r="E183" s="2"/>
      </tp>
      <tp t="s">
        <v>#N/A Requesting Data...4208687546</v>
        <stp/>
        <stp>BDP|10374864631730113458</stp>
        <tr r="N1443" s="2"/>
      </tp>
      <tp t="s">
        <v>#N/A Requesting Data...3930905305</v>
        <stp/>
        <stp>BDP|14850994932158081934</stp>
        <tr r="K2085" s="2"/>
      </tp>
      <tp t="s">
        <v>#N/A Requesting Data...4140760144</v>
        <stp/>
        <stp>BDP|16001738914519361647</stp>
        <tr r="P971" s="2"/>
      </tp>
      <tp t="s">
        <v>#N/A Requesting Data...4039937894</v>
        <stp/>
        <stp>BDP|12351961214917139202</stp>
        <tr r="G1316" s="2"/>
      </tp>
      <tp t="s">
        <v>#N/A Requesting Data...4177795350</v>
        <stp/>
        <stp>BDP|12882995106236440237</stp>
        <tr r="O1409" s="2"/>
      </tp>
      <tp t="s">
        <v>#N/A Requesting Data...3951204919</v>
        <stp/>
        <stp>BDP|18111165164517553768</stp>
        <tr r="H1282" s="2"/>
      </tp>
      <tp t="s">
        <v>#N/A Requesting Data...4029661865</v>
        <stp/>
        <stp>BDP|13777795389296220551</stp>
        <tr r="F143" s="2"/>
      </tp>
      <tp t="s">
        <v>#N/A Requesting Data...4069867026</v>
        <stp/>
        <stp>BDP|13928977468291128276</stp>
        <tr r="Q1515" s="2"/>
      </tp>
      <tp t="s">
        <v>#N/A Requesting Data...4081501925</v>
        <stp/>
        <stp>BDP|13885278396057179084</stp>
        <tr r="C1208" s="2"/>
      </tp>
      <tp t="s">
        <v>#N/A Requesting Data...4217416624</v>
        <stp/>
        <stp>BDP|18244526952131264606</stp>
        <tr r="S897" s="2"/>
      </tp>
      <tp t="s">
        <v>#N/A Requesting Data...4130030748</v>
        <stp/>
        <stp>BDP|13715966424036204174</stp>
        <tr r="C1152" s="2"/>
      </tp>
      <tp t="s">
        <v>#N/A Requesting Data...4260905985</v>
        <stp/>
        <stp>BDP|14273291654174903864</stp>
        <tr r="H458" s="2"/>
      </tp>
      <tp t="s">
        <v>#N/A Requesting Data...3957023079</v>
        <stp/>
        <stp>BDP|10872131698540040734</stp>
        <tr r="Q967" s="2"/>
      </tp>
      <tp t="s">
        <v>#N/A Requesting Data...4237428190</v>
        <stp/>
        <stp>BDP|12921155113469865476</stp>
        <tr r="A2345" s="2"/>
      </tp>
      <tp t="s">
        <v>#N/A Requesting Data...4143875895</v>
        <stp/>
        <stp>BDP|16096047551574281871</stp>
        <tr r="Q1901" s="2"/>
      </tp>
      <tp t="s">
        <v>#N/A Requesting Data...4119405289</v>
        <stp/>
        <stp>BDP|15310702300144534963</stp>
        <tr r="D2292" s="2"/>
      </tp>
      <tp t="s">
        <v>#N/A Requesting Data...4128102120</v>
        <stp/>
        <stp>BDP|15057380949464715961</stp>
        <tr r="O883" s="2"/>
      </tp>
      <tp t="s">
        <v>#N/A Requesting Data...4037883577</v>
        <stp/>
        <stp>BDP|16812662984641216685</stp>
        <tr r="J1331" s="2"/>
      </tp>
      <tp t="s">
        <v>#N/A Requesting Data...4125190439</v>
        <stp/>
        <stp>BDP|16660141592288829986</stp>
        <tr r="R1157" s="2"/>
      </tp>
      <tp t="s">
        <v>#N/A Requesting Data...4268867955</v>
        <stp/>
        <stp>BDP|17980108881483941211</stp>
        <tr r="E1429" s="2"/>
      </tp>
      <tp t="s">
        <v>#N/A Requesting Data...4280291538</v>
        <stp/>
        <stp>BDP|15746852122933476349</stp>
        <tr r="T1905" s="2"/>
      </tp>
      <tp t="s">
        <v>#N/A Requesting Data...4287809197</v>
        <stp/>
        <stp>BDP|16724052403159068017</stp>
        <tr r="S604" s="2"/>
      </tp>
      <tp t="s">
        <v>#N/A Requesting Data...4016998044</v>
        <stp/>
        <stp>BDP|16739514063923762928</stp>
        <tr r="G693" s="2"/>
      </tp>
      <tp t="s">
        <v>#N/A Requesting Data...4090624201</v>
        <stp/>
        <stp>BDP|18279005480167230800</stp>
        <tr r="E854" s="2"/>
      </tp>
      <tp t="b">
        <v>0</v>
        <stp/>
        <stp>BDS|13638293828455621926</stp>
        <tr r="I1202" s="2"/>
      </tp>
      <tp t="s">
        <v>#N/A Requesting Data...4026190441</v>
        <stp/>
        <stp>BDP|12499886249093683237</stp>
        <tr r="F1424" s="2"/>
      </tp>
      <tp t="s">
        <v>#N/A Requesting Data...4012217992</v>
        <stp/>
        <stp>BDP|12181448319790936853</stp>
        <tr r="N2348" s="2"/>
      </tp>
      <tp t="s">
        <v>#N/A Requesting Data...4061429284</v>
        <stp/>
        <stp>BDP|11100746813849692100</stp>
        <tr r="K1527" s="2"/>
      </tp>
      <tp t="s">
        <v>#N/A Requesting Data...4193010174</v>
        <stp/>
        <stp>BDP|16081329430731373816</stp>
        <tr r="K1276" s="2"/>
      </tp>
      <tp t="s">
        <v>#N/A Requesting Data...3996923017</v>
        <stp/>
        <stp>BDP|18328587078241671456</stp>
        <tr r="F2100" s="2"/>
      </tp>
      <tp t="s">
        <v>#N/A Requesting Data...4291275901</v>
        <stp/>
        <stp>BDP|14442035953446651826</stp>
        <tr r="T807" s="2"/>
      </tp>
      <tp t="s">
        <v>#N/A Requesting Data...4178544079</v>
        <stp/>
        <stp>BDP|18126456770394246065</stp>
        <tr r="O840" s="2"/>
      </tp>
      <tp t="s">
        <v>#N/A Requesting Data...4282280046</v>
        <stp/>
        <stp>BDP|16018614930414979880</stp>
        <tr r="C1851" s="2"/>
      </tp>
      <tp t="s">
        <v>#N/A Requesting Data...4177278014</v>
        <stp/>
        <stp>BDP|12269621699143963106</stp>
        <tr r="M1236" s="2"/>
      </tp>
      <tp t="s">
        <v>#N/A Requesting Data...4251598954</v>
        <stp/>
        <stp>BDP|14699143926858251061</stp>
        <tr r="C1776" s="2"/>
      </tp>
      <tp t="s">
        <v>#N/A Requesting Data...4169771563</v>
        <stp/>
        <stp>BDP|15451437063509596118</stp>
        <tr r="Q537" s="2"/>
      </tp>
      <tp t="s">
        <v>#N/A Requesting Data...4109502006</v>
        <stp/>
        <stp>BDP|14847377852728842555</stp>
        <tr r="A564" s="2"/>
      </tp>
      <tp t="s">
        <v>#N/A Requesting Data...4025808360</v>
        <stp/>
        <stp>BDP|12880859203455931073</stp>
        <tr r="O237" s="2"/>
      </tp>
      <tp t="s">
        <v>#N/A Requesting Data...4224758287</v>
        <stp/>
        <stp>BDP|10364251905545758842</stp>
        <tr r="O2179" s="2"/>
      </tp>
      <tp t="s">
        <v>#N/A Requesting Data...4030636311</v>
        <stp/>
        <stp>BDP|11094559997290167231</stp>
        <tr r="R661" s="2"/>
      </tp>
      <tp t="s">
        <v>#N/A Requesting Data...4109589935</v>
        <stp/>
        <stp>BDP|17460628373881128841</stp>
        <tr r="J1449" s="2"/>
      </tp>
      <tp t="s">
        <v>#N/A Requesting Data...4173887880</v>
        <stp/>
        <stp>BDP|12454445985007663632</stp>
        <tr r="O795" s="2"/>
      </tp>
      <tp t="s">
        <v>#N/A Requesting Data...4260607272</v>
        <stp/>
        <stp>BDP|10745292531667931967</stp>
        <tr r="H819" s="2"/>
      </tp>
      <tp t="s">
        <v>#N/A Requesting Data...4278327143</v>
        <stp/>
        <stp>BDP|13280237490631041619</stp>
        <tr r="J647" s="2"/>
      </tp>
      <tp t="s">
        <v>#N/A Requesting Data...4237040556</v>
        <stp/>
        <stp>BDP|17176607339578941515</stp>
        <tr r="S1576" s="2"/>
      </tp>
      <tp t="s">
        <v>#N/A Requesting Data...4175001044</v>
        <stp/>
        <stp>BDP|11269824611642795556</stp>
        <tr r="T338" s="2"/>
      </tp>
      <tp t="s">
        <v>#N/A Requesting Data...4281020683</v>
        <stp/>
        <stp>BDP|15871769672682751886</stp>
        <tr r="A1552" s="2"/>
      </tp>
      <tp t="s">
        <v>#N/A Requesting Data...4134202051</v>
        <stp/>
        <stp>BDP|11377426290951479264</stp>
        <tr r="D377" s="2"/>
      </tp>
      <tp t="s">
        <v>#N/A Requesting Data...4128721312</v>
        <stp/>
        <stp>BDP|16182459161709099264</stp>
        <tr r="C739" s="2"/>
      </tp>
      <tp t="s">
        <v>#N/A Requesting Data...4216810062</v>
        <stp/>
        <stp>BDP|13999272581420833646</stp>
        <tr r="N472" s="2"/>
      </tp>
      <tp t="s">
        <v>#N/A Requesting Data...4072502346</v>
        <stp/>
        <stp>BDP|14429508184531674752</stp>
        <tr r="T2177" s="2"/>
      </tp>
      <tp t="s">
        <v>#N/A Requesting Data...4234532582</v>
        <stp/>
        <stp>BDP|17875267875324180991</stp>
        <tr r="K1833" s="2"/>
      </tp>
      <tp t="s">
        <v>#N/A Requesting Data...4069221539</v>
        <stp/>
        <stp>BDP|11664993843405894672</stp>
        <tr r="C269" s="2"/>
      </tp>
      <tp t="s">
        <v>#N/A Requesting Data...4175697179</v>
        <stp/>
        <stp>BDP|17227424396882359761</stp>
        <tr r="G1402" s="2"/>
      </tp>
      <tp t="s">
        <v>#N/A Requesting Data...4102140407</v>
        <stp/>
        <stp>BDP|15462775644021002849</stp>
        <tr r="P361" s="2"/>
      </tp>
      <tp t="s">
        <v>#N/A Requesting Data...4231928146</v>
        <stp/>
        <stp>BDP|11878880601895171332</stp>
        <tr r="S2154" s="2"/>
      </tp>
      <tp t="b">
        <v>0</v>
        <stp/>
        <stp>BDS|10898853257425329796</stp>
        <tr r="I992" s="2"/>
      </tp>
      <tp t="s">
        <v>#N/A Requesting Data...4158627666</v>
        <stp/>
        <stp>BDP|10585718647015092903</stp>
        <tr r="F1124" s="2"/>
      </tp>
      <tp t="s">
        <v>#N/A Requesting Data...4073178964</v>
        <stp/>
        <stp>BDP|12456081851850651880</stp>
        <tr r="D1857" s="2"/>
      </tp>
      <tp t="s">
        <v>#N/A Requesting Data...4225804790</v>
        <stp/>
        <stp>BDP|12607094084906870303</stp>
        <tr r="T383" s="2"/>
      </tp>
      <tp t="s">
        <v>#N/A Requesting Data...4190409589</v>
        <stp/>
        <stp>BDP|11702328183784177140</stp>
        <tr r="P1413" s="2"/>
      </tp>
      <tp t="s">
        <v>#N/A Requesting Data...4176765837</v>
        <stp/>
        <stp>BDP|11659520195283179138</stp>
        <tr r="F258" s="2"/>
      </tp>
      <tp t="s">
        <v>#N/A Requesting Data...4174011653</v>
        <stp/>
        <stp>BDP|10742618325523867887</stp>
        <tr r="P928" s="2"/>
      </tp>
      <tp t="s">
        <v>#N/A Requesting Data...4252032534</v>
        <stp/>
        <stp>BDP|10213619837728704200</stp>
        <tr r="R1733" s="2"/>
      </tp>
      <tp t="s">
        <v>#N/A Requesting Data...4111823610</v>
        <stp/>
        <stp>BDP|13252400783905748557</stp>
        <tr r="A1529" s="2"/>
      </tp>
      <tp t="s">
        <v>#N/A Requesting Data...4290031014</v>
        <stp/>
        <stp>BDP|13509787484137393490</stp>
        <tr r="P1642" s="2"/>
      </tp>
      <tp t="s">
        <v>#N/A Requesting Data...4177143099</v>
        <stp/>
        <stp>BDP|16796950430112622175</stp>
        <tr r="R1900" s="2"/>
      </tp>
      <tp t="s">
        <v>#N/A Requesting Data...4253640927</v>
        <stp/>
        <stp>BDP|16481771092974493367</stp>
        <tr r="C217" s="2"/>
      </tp>
      <tp t="s">
        <v>#N/A Requesting Data...4238894422</v>
        <stp/>
        <stp>BDP|14024558001279665710</stp>
        <tr r="N187" s="2"/>
      </tp>
      <tp t="s">
        <v>#N/A Requesting Data...4246301059</v>
        <stp/>
        <stp>BDP|12084875061330147344</stp>
        <tr r="G903" s="2"/>
      </tp>
      <tp t="s">
        <v>#N/A Requesting Data...4157098715</v>
        <stp/>
        <stp>BDP|15350349360866335979</stp>
        <tr r="C1943" s="2"/>
      </tp>
      <tp t="s">
        <v>#N/A Requesting Data...4157186427</v>
        <stp/>
        <stp>BDP|15494803878091706484</stp>
        <tr r="N879" s="2"/>
      </tp>
      <tp t="s">
        <v>#N/A Requesting Data...4269137497</v>
        <stp/>
        <stp>BDP|17541268646189719711</stp>
        <tr r="C1579" s="2"/>
      </tp>
      <tp t="s">
        <v>#N/A Requesting Data...4243953162</v>
        <stp/>
        <stp>BDP|12426443110830279812</stp>
        <tr r="S2510" s="2"/>
      </tp>
      <tp t="s">
        <v>#N/A Requesting Data...4151682258</v>
        <stp/>
        <stp>BDP|16587441663389617277</stp>
        <tr r="J1841" s="2"/>
      </tp>
      <tp t="s">
        <v>#N/A Requesting Data...4210974194</v>
        <stp/>
        <stp>BDP|11729669891206569763</stp>
        <tr r="O2511" s="2"/>
      </tp>
      <tp t="s">
        <v>#N/A Requesting Data...4174954015</v>
        <stp/>
        <stp>BDP|10513808573850587005</stp>
        <tr r="S1687" s="2"/>
      </tp>
      <tp t="s">
        <v>#N/A Requesting Data...4263815713</v>
        <stp/>
        <stp>BDP|15862506661078884124</stp>
        <tr r="E909" s="2"/>
      </tp>
      <tp t="s">
        <v>#N/A Requesting Data...4217604179</v>
        <stp/>
        <stp>BDP|16394362997286236536</stp>
        <tr r="S230" s="2"/>
      </tp>
      <tp t="s">
        <v>#N/A Requesting Data...4240465337</v>
        <stp/>
        <stp>BDP|18229257672263764112</stp>
        <tr r="M1357" s="2"/>
      </tp>
      <tp t="s">
        <v>#N/A Requesting Data...4243172837</v>
        <stp/>
        <stp>BDP|10295334880320290404</stp>
        <tr r="J772" s="2"/>
      </tp>
      <tp t="s">
        <v>#N/A Requesting Data...4136321118</v>
        <stp/>
        <stp>BDP|16371569012369398477</stp>
        <tr r="D262" s="2"/>
      </tp>
      <tp t="s">
        <v>#N/A Requesting Data...4196573529</v>
        <stp/>
        <stp>BDP|18053477865171395429</stp>
        <tr r="R2427" s="2"/>
      </tp>
      <tp t="s">
        <v>#N/A Requesting Data...4187174326</v>
        <stp/>
        <stp>BDP|15701003584686769470</stp>
        <tr r="G2309" s="2"/>
      </tp>
      <tp t="b">
        <v>0</v>
        <stp/>
        <stp>BDS|15255737894670456413</stp>
        <tr r="I350" s="2"/>
      </tp>
      <tp t="s">
        <v>#N/A Requesting Data...4219804580</v>
        <stp/>
        <stp>BDP|15074420250289430254</stp>
        <tr r="A2010" s="2"/>
      </tp>
      <tp t="s">
        <v>#N/A Requesting Data...4163185265</v>
        <stp/>
        <stp>BDP|15261405885180769636</stp>
        <tr r="S596" s="2"/>
      </tp>
      <tp t="b">
        <v>0</v>
        <stp/>
        <stp>BDS|11835531023150088989</stp>
        <tr r="I1641" s="2"/>
      </tp>
      <tp t="s">
        <v>#N/A Requesting Data...4262781118</v>
        <stp/>
        <stp>BDP|15559935903876521538</stp>
        <tr r="M2530" s="2"/>
      </tp>
      <tp t="s">
        <v>#N/A Requesting Data...4256109808</v>
        <stp/>
        <stp>BDP|13944519426338942348</stp>
        <tr r="R1270" s="2"/>
      </tp>
      <tp t="s">
        <v>#N/A Requesting Data...4239269310</v>
        <stp/>
        <stp>BDP|15546999460805943063</stp>
        <tr r="P26" s="2"/>
      </tp>
      <tp t="s">
        <v>#N/A Requesting Data...4236429497</v>
        <stp/>
        <stp>BDP|12494096896290166499</stp>
        <tr r="F1827" s="2"/>
      </tp>
      <tp t="s">
        <v>#N/A Requesting Data...4185843904</v>
        <stp/>
        <stp>BDP|11236931677243728323</stp>
        <tr r="G1227" s="2"/>
      </tp>
      <tp t="s">
        <v>#N/A Requesting Data...4255723356</v>
        <stp/>
        <stp>BDP|16478335533210510920</stp>
        <tr r="T2464" s="2"/>
      </tp>
      <tp t="s">
        <v>#N/A Requesting Data...4255277450</v>
        <stp/>
        <stp>BDP|14700383079176748927</stp>
        <tr r="Q116" s="2"/>
      </tp>
      <tp t="s">
        <v>#N/A Requesting Data...4255325787</v>
        <stp/>
        <stp>BDP|10852982654276668512</stp>
        <tr r="D1583" s="2"/>
      </tp>
      <tp t="s">
        <v>#N/A Requesting Data...4272547018</v>
        <stp/>
        <stp>BDP|13348937036622431417</stp>
        <tr r="F477" s="2"/>
      </tp>
      <tp t="s">
        <v>#N/A Requesting Data...4273815943</v>
        <stp/>
        <stp>BDP|13695166023786608969</stp>
        <tr r="D337" s="2"/>
      </tp>
      <tp t="s">
        <v>#N/A Requesting Data...4210663183</v>
        <stp/>
        <stp>BDP|17592609484726311017</stp>
        <tr r="G575" s="2"/>
      </tp>
      <tp t="s">
        <v>#N/A Requesting Data...4227843655</v>
        <stp/>
        <stp>BDP|11587139034608515447</stp>
        <tr r="F426" s="2"/>
      </tp>
      <tp t="s">
        <v>#N/A Requesting Data...4224634008</v>
        <stp/>
        <stp>BDP|11696068656343059857</stp>
        <tr r="N1405" s="2"/>
      </tp>
      <tp t="s">
        <v>#N/A Requesting Data...4211161398</v>
        <stp/>
        <stp>BDP|14530928263561089576</stp>
        <tr r="K2456" s="2"/>
      </tp>
      <tp t="s">
        <v>#N/A Requesting Data...4276151178</v>
        <stp/>
        <stp>BDP|13976685391081716243</stp>
        <tr r="O1014" s="2"/>
      </tp>
      <tp t="b">
        <v>0</v>
        <stp/>
        <stp>BDS|15705821425030775076</stp>
        <tr r="I2021" s="2"/>
      </tp>
      <tp t="s">
        <v>#N/A Requesting Data...4285430829</v>
        <stp/>
        <stp>BDP|15458973828145022485</stp>
        <tr r="S1543" s="2"/>
      </tp>
      <tp t="s">
        <v>#N/A Requesting Data...4264332978</v>
        <stp/>
        <stp>BDP|14650468387776337179</stp>
        <tr r="F895" s="2"/>
      </tp>
      <tp t="s">
        <v>#N/A Requesting Data...4233075052</v>
        <stp/>
        <stp>BDP|15979501499723440572</stp>
        <tr r="F339" s="2"/>
      </tp>
      <tp t="s">
        <v>#N/A Requesting Data...4247606992</v>
        <stp/>
        <stp>BDP|14487441647898302376</stp>
        <tr r="R1366" s="2"/>
      </tp>
      <tp t="s">
        <v>#N/A Requesting Data...4234432008</v>
        <stp/>
        <stp>BDP|14753703245700671871</stp>
        <tr r="J1188" s="2"/>
      </tp>
      <tp t="s">
        <v>#N/A Requesting Data...4265531328</v>
        <stp/>
        <stp>BDP|17016476222788261640</stp>
        <tr r="A547" s="2"/>
      </tp>
      <tp t="s">
        <v>#N/A Requesting Data...4259467387</v>
        <stp/>
        <stp>BDP|16367775623408632422</stp>
        <tr r="Q1235" s="2"/>
      </tp>
      <tp t="s">
        <v>#N/A Requesting Data...4238462905</v>
        <stp/>
        <stp>BDP|10430760407289737117</stp>
        <tr r="N487" s="2"/>
      </tp>
      <tp t="s">
        <v>#N/A Requesting Data...4249889673</v>
        <stp/>
        <stp>BDP|14243046272805691916</stp>
        <tr r="O1891" s="2"/>
      </tp>
      <tp t="s">
        <v>#N/A Requesting Data...4258200752</v>
        <stp/>
        <stp>BDP|17036505052279603171</stp>
        <tr r="A175" s="2"/>
      </tp>
      <tp t="s">
        <v>#N/A Requesting Data...4250861657</v>
        <stp/>
        <stp>BDP|16704039610941048970</stp>
        <tr r="O2258" s="2"/>
      </tp>
      <tp t="s">
        <v>#N/A Requesting Data...4249123495</v>
        <stp/>
        <stp>BDP|16225704595296172157</stp>
        <tr r="A2432" s="2"/>
      </tp>
      <tp t="s">
        <v>#N/A Requesting Data...4277469425</v>
        <stp/>
        <stp>BDP|16585273034671416918</stp>
        <tr r="T1539" s="2"/>
      </tp>
      <tp t="b">
        <v>0</v>
        <stp/>
        <stp>BDS|14430227441179317440</stp>
        <tr r="I632" s="2"/>
      </tp>
      <tp t="s">
        <v>#N/A Requesting Data...4293294808</v>
        <stp/>
        <stp>BDP|17632166581879201809</stp>
        <tr r="D1663" s="2"/>
      </tp>
      <tp t="s">
        <v>#N/A Requesting Data...4259471991</v>
        <stp/>
        <stp>BDP|15663106563885663815</stp>
        <tr r="H1644" s="2"/>
      </tp>
      <tp t="s">
        <v>#N/A Requesting Data...4252179886</v>
        <stp/>
        <stp>BDP|12672444684341234068</stp>
        <tr r="N1522" s="2"/>
      </tp>
      <tp t="b">
        <v>0</v>
        <stp/>
        <stp>BDS|15576143854606603828</stp>
        <tr r="I1074" s="2"/>
      </tp>
      <tp t="b">
        <v>0</v>
        <stp/>
        <stp>BDS|14169615643010405969</stp>
        <tr r="I73" s="2"/>
      </tp>
      <tp t="s">
        <v>#N/A Requesting Data...4258844110</v>
        <stp/>
        <stp>BDP|13321863859998714993</stp>
        <tr r="G461" s="2"/>
      </tp>
      <tp t="s">
        <v>#N/A Requesting Data...4287922806</v>
        <stp/>
        <stp>BDP|17747430612009385476</stp>
        <tr r="H1505" s="2"/>
      </tp>
      <tp t="s">
        <v>#N/A Requesting Data...4288806273</v>
        <stp/>
        <stp>BDP|14933424317378680686</stp>
        <tr r="G826" s="2"/>
      </tp>
      <tp t="s">
        <v>#N/A Requesting Data...4258355717</v>
        <stp/>
        <stp>BDP|18183162666545451570</stp>
        <tr r="Q1878" s="2"/>
      </tp>
      <tp t="s">
        <v>#N/A Requesting Data...4293748301</v>
        <stp/>
        <stp>BDP|15022656427766002809</stp>
        <tr r="G768" s="2"/>
      </tp>
      <tp t="s">
        <v>#N/A Requesting Data...4263827203</v>
        <stp/>
        <stp>BDP|11627550399834928611</stp>
        <tr r="A1332" s="2"/>
      </tp>
      <tp t="s">
        <v>#N/A Requesting Data...4269919462</v>
        <stp/>
        <stp>BDP|12079582458559617448</stp>
        <tr r="K1867" s="2"/>
      </tp>
      <tp t="s">
        <v>#N/A Requesting Data...4276595712</v>
        <stp/>
        <stp>BDP|18142012105847421035</stp>
        <tr r="T115" s="2"/>
      </tp>
      <tp t="s">
        <v>#N/A Requesting Data...4287746049</v>
        <stp/>
        <stp>BDP|14296196428878164008</stp>
        <tr r="G2511" s="2"/>
      </tp>
      <tp t="s">
        <v>#N/A Requesting Data...4278315775</v>
        <stp/>
        <stp>BDP|16434043113859071116</stp>
        <tr r="F1024" s="2"/>
      </tp>
      <tp t="s">
        <v>#N/A Requesting Data...4290069935</v>
        <stp/>
        <stp>BDP|12812388988522349491</stp>
        <tr r="K1970" s="2"/>
      </tp>
      <tp t="s">
        <v>#N/A Requesting Data...4292857430</v>
        <stp/>
        <stp>BDP|17771712884917614065</stp>
        <tr r="K1191" s="2"/>
      </tp>
      <tp t="s">
        <v>#N/A Requesting Data...4293558449</v>
        <stp/>
        <stp>BDP|14126403131818393418</stp>
        <tr r="H2495" s="2"/>
      </tp>
      <tp t="s">
        <v>#N/A Requesting Data...4294491535</v>
        <stp/>
        <stp>BDP|14055637883394405169</stp>
        <tr r="T2168" s="2"/>
      </tp>
      <tp t="s">
        <v>#N/A Requesting Data...4289761385</v>
        <stp/>
        <stp>BDP|12022086808728188533</stp>
        <tr r="J632" s="2"/>
      </tp>
      <tp t="s">
        <v>#N/A Requesting Data...4291695498</v>
        <stp/>
        <stp>BDP|11560805235171289405</stp>
        <tr r="T1394" s="2"/>
      </tp>
      <tp t="s">
        <v>#N/A Requesting Data...4294694403</v>
        <stp/>
        <stp>BDP|14116439095105568300</stp>
        <tr r="F54" s="2"/>
      </tp>
      <tp t="s">
        <v>#N/A Requesting Data...4140134511</v>
        <stp/>
        <stp>BDP|11323078939619950466</stp>
        <tr r="E2118" s="2"/>
      </tp>
      <tp t="s">
        <v>#N/A Requesting Data...1392310517</v>
        <stp/>
        <stp>BDP|13640868057365639432</stp>
        <tr r="P1391" s="2"/>
      </tp>
      <tp t="s">
        <v>#N/A Requesting Data...3024068702</v>
        <stp/>
        <stp>BDP|12978080187857574216</stp>
        <tr r="R673" s="2"/>
      </tp>
      <tp t="s">
        <v>#N/A Requesting Data...3304182011</v>
        <stp/>
        <stp>BDP|14089992403705177794</stp>
        <tr r="J1254" s="2"/>
      </tp>
      <tp t="s">
        <v>#N/A Requesting Data...920163556</v>
        <stp/>
        <stp>BDP|13696974748304831533</stp>
        <tr r="N1050" s="2"/>
      </tp>
      <tp t="s">
        <v>#N/A Requesting Data...2207190999</v>
        <stp/>
        <stp>BDP|14081054183904723739</stp>
        <tr r="N2446" s="2"/>
      </tp>
      <tp t="s">
        <v>#N/A Requesting Data...1206054296</v>
        <stp/>
        <stp>BDP|13885588796067795734</stp>
        <tr r="D1703" s="2"/>
      </tp>
      <tp t="s">
        <v>#N/A Requesting Data...2027075369</v>
        <stp/>
        <stp>BDP|17210289164584508890</stp>
        <tr r="D1134" s="2"/>
      </tp>
      <tp t="s">
        <v>#N/A Requesting Data...3968350209</v>
        <stp/>
        <stp>BDP|13318275023558795424</stp>
        <tr r="E1173" s="2"/>
      </tp>
      <tp t="s">
        <v>#N/A Requesting Data...3538827284</v>
        <stp/>
        <stp>BDP|11994602587278551890</stp>
        <tr r="F812" s="2"/>
      </tp>
      <tp t="s">
        <v>#N/A Requesting Data...3461710106</v>
        <stp/>
        <stp>BDP|12234917532956022133</stp>
        <tr r="Q1409" s="2"/>
      </tp>
      <tp t="s">
        <v>#N/A Requesting Data...4131491463</v>
        <stp/>
        <stp>BDP|18353799152273855627</stp>
        <tr r="K643" s="2"/>
      </tp>
      <tp t="b">
        <v>0</v>
        <stp/>
        <stp>BDS|18158352481775517912</stp>
        <tr r="I1277" s="2"/>
      </tp>
      <tp t="s">
        <v>#N/A Requesting Data...204476272</v>
        <stp/>
        <stp>BDP|18035775513781621000</stp>
        <tr r="S1075" s="2"/>
      </tp>
      <tp t="s">
        <v>#N/A Requesting Data...2294498265</v>
        <stp/>
        <stp>BDP|18235233914677161363</stp>
        <tr r="E233" s="2"/>
      </tp>
      <tp t="s">
        <v>#N/A Requesting Data...549244044</v>
        <stp/>
        <stp>BDP|15329948629803498288</stp>
        <tr r="H2459" s="2"/>
      </tp>
      <tp t="s">
        <v>#N/A Requesting Data...4092542923</v>
        <stp/>
        <stp>BDP|13782024486165366128</stp>
        <tr r="P1920" s="2"/>
      </tp>
      <tp t="s">
        <v>#N/A Requesting Data...2172101019</v>
        <stp/>
        <stp>BDP|10017954264735075536</stp>
        <tr r="G353" s="2"/>
      </tp>
      <tp t="b">
        <v>0</v>
        <stp/>
        <stp>BDS|14464550750738912393</stp>
        <tr r="I922" s="2"/>
      </tp>
      <tp t="s">
        <v>#N/A Requesting Data...868845516</v>
        <stp/>
        <stp>BDP|14574603817674476847</stp>
        <tr r="Q947" s="2"/>
      </tp>
      <tp t="s">
        <v>#N/A Requesting Data...3022288565</v>
        <stp/>
        <stp>BDP|12836193985150252446</stp>
        <tr r="M69" s="2"/>
      </tp>
      <tp t="s">
        <v>#N/A Requesting Data...345322553</v>
        <stp/>
        <stp>BDP|16854993807213116357</stp>
        <tr r="D999" s="2"/>
      </tp>
      <tp t="s">
        <v>#N/A Requesting Data...614016607</v>
        <stp/>
        <stp>BDP|14646941670821881487</stp>
        <tr r="C2361" s="2"/>
      </tp>
      <tp t="s">
        <v>#N/A Requesting Data...648229182</v>
        <stp/>
        <stp>BDP|13459071356031055870</stp>
        <tr r="A1580" s="2"/>
      </tp>
      <tp t="s">
        <v>#N/A Requesting Data...4258713554</v>
        <stp/>
        <stp>BDP|15783475602419788770</stp>
        <tr r="P472" s="2"/>
      </tp>
      <tp t="s">
        <v>#N/A Requesting Data...2099905285</v>
        <stp/>
        <stp>BDP|11300402886091608313</stp>
        <tr r="N1744" s="2"/>
      </tp>
      <tp t="s">
        <v>#N/A Requesting Data...2420318778</v>
        <stp/>
        <stp>BDP|13357934195854085870</stp>
        <tr r="C2446" s="2"/>
      </tp>
      <tp t="s">
        <v>#N/A Requesting Data...3474161761</v>
        <stp/>
        <stp>BDP|10021648511429087177</stp>
        <tr r="N2417" s="2"/>
      </tp>
      <tp t="s">
        <v>#N/A Requesting Data...3745893016</v>
        <stp/>
        <stp>BDP|17037809338131337299</stp>
        <tr r="K1872" s="2"/>
      </tp>
      <tp t="s">
        <v>#N/A Requesting Data...601014249</v>
        <stp/>
        <stp>BDP|10833041832214823842</stp>
        <tr r="N1364" s="2"/>
      </tp>
      <tp t="s">
        <v>#N/A Requesting Data...1198852319</v>
        <stp/>
        <stp>BDP|13750964895499039566</stp>
        <tr r="S1240" s="2"/>
      </tp>
      <tp t="s">
        <v>#N/A Requesting Data...2023914627</v>
        <stp/>
        <stp>BDP|11975246172662859952</stp>
        <tr r="T238" s="2"/>
      </tp>
      <tp t="b">
        <v>0</v>
        <stp/>
        <stp>BDS|11924980476648370853</stp>
        <tr r="I1643" s="2"/>
      </tp>
      <tp t="s">
        <v>#N/A Requesting Data...3316708402</v>
        <stp/>
        <stp>BDP|14511505530129266453</stp>
        <tr r="R464" s="2"/>
      </tp>
      <tp t="s">
        <v>#N/A Requesting Data...799644979</v>
        <stp/>
        <stp>BDP|15203098991411894202</stp>
        <tr r="C1102" s="2"/>
      </tp>
      <tp t="b">
        <v>0</v>
        <stp/>
        <stp>BDS|14147024590234668643</stp>
        <tr r="I1763" s="2"/>
      </tp>
      <tp t="s">
        <v>#N/A Requesting Data...2868682174</v>
        <stp/>
        <stp>BDP|11027348824938109734</stp>
        <tr r="E1735" s="2"/>
      </tp>
      <tp t="s">
        <v>#N/A Requesting Data...3688150313</v>
        <stp/>
        <stp>BDP|17091660767850375801</stp>
        <tr r="R1898" s="2"/>
      </tp>
      <tp t="s">
        <v>#N/A Requesting Data...3884842574</v>
        <stp/>
        <stp>BDP|16326820000005025437</stp>
        <tr r="P2443" s="2"/>
      </tp>
      <tp t="s">
        <v>#N/A Requesting Data...2382354751</v>
        <stp/>
        <stp>BDP|13136201973270275921</stp>
        <tr r="E138" s="2"/>
      </tp>
      <tp t="s">
        <v>#N/A Requesting Data...2163691533</v>
        <stp/>
        <stp>BDP|17179673790695029246</stp>
        <tr r="N1621" s="2"/>
      </tp>
      <tp t="s">
        <v>#N/A Requesting Data...2748792478</v>
        <stp/>
        <stp>BDP|11513897440091747394</stp>
        <tr r="N1868" s="2"/>
      </tp>
      <tp t="s">
        <v>#N/A Requesting Data...716572215</v>
        <stp/>
        <stp>BDP|13561804686245658973</stp>
        <tr r="K532" s="2"/>
      </tp>
      <tp t="s">
        <v>#N/A Requesting Data...4043125903</v>
        <stp/>
        <stp>BDP|16950898582498996196</stp>
        <tr r="A1389" s="2"/>
      </tp>
      <tp t="s">
        <v>#N/A Requesting Data...1774806046</v>
        <stp/>
        <stp>BDP|18080171639711402488</stp>
        <tr r="R1746" s="2"/>
      </tp>
      <tp t="s">
        <v>#N/A Requesting Data...2096243233</v>
        <stp/>
        <stp>BDP|10434789798744190572</stp>
        <tr r="C2021" s="2"/>
      </tp>
      <tp t="s">
        <v>#N/A Requesting Data...2258738210</v>
        <stp/>
        <stp>BDP|14274867572240329475</stp>
        <tr r="R1704" s="2"/>
      </tp>
      <tp t="s">
        <v>#N/A Requesting Data...3186495310</v>
        <stp/>
        <stp>BDP|12395885714356539289</stp>
        <tr r="J124" s="2"/>
      </tp>
      <tp t="s">
        <v>#N/A Requesting Data...2132111989</v>
        <stp/>
        <stp>BDP|11445830167153468366</stp>
        <tr r="N975" s="2"/>
      </tp>
      <tp t="s">
        <v>#N/A Requesting Data...1051588476</v>
        <stp/>
        <stp>BDP|16551766844552059856</stp>
        <tr r="P2129" s="2"/>
      </tp>
      <tp t="s">
        <v>#N/A Requesting Data...1151840711</v>
        <stp/>
        <stp>BDP|14041747622368120657</stp>
        <tr r="S142" s="2"/>
      </tp>
      <tp t="s">
        <v>#N/A Requesting Data...2341930339</v>
        <stp/>
        <stp>BDP|15210476678319746085</stp>
        <tr r="E589" s="2"/>
      </tp>
      <tp t="s">
        <v>#N/A Requesting Data...2027109795</v>
        <stp/>
        <stp>BDP|11071675196707200610</stp>
        <tr r="C850" s="2"/>
      </tp>
      <tp t="s">
        <v>#N/A Requesting Data...1478152852</v>
        <stp/>
        <stp>BDP|16631370120708380009</stp>
        <tr r="K1620" s="2"/>
      </tp>
      <tp t="s">
        <v>#N/A Requesting Data...2443233350</v>
        <stp/>
        <stp>BDP|17849734750013166982</stp>
        <tr r="N1581" s="2"/>
      </tp>
      <tp t="s">
        <v>#N/A Requesting Data...3260645363</v>
        <stp/>
        <stp>BDP|18023240575697007530</stp>
        <tr r="T416" s="2"/>
      </tp>
      <tp t="s">
        <v>#N/A Requesting Data...673174436</v>
        <stp/>
        <stp>BDP|15070221907550346843</stp>
        <tr r="H1886" s="2"/>
      </tp>
      <tp t="s">
        <v>#N/A Requesting Data...3797318926</v>
        <stp/>
        <stp>BDP|16812802361072852532</stp>
        <tr r="D721" s="2"/>
      </tp>
      <tp t="s">
        <v>#N/A Requesting Data...4020076148</v>
        <stp/>
        <stp>BDP|11810876883319799799</stp>
        <tr r="Q1481" s="2"/>
      </tp>
      <tp t="s">
        <v>#N/A Requesting Data...516412444</v>
        <stp/>
        <stp>BDP|15751939381113593820</stp>
        <tr r="K528" s="2"/>
      </tp>
      <tp t="s">
        <v>#N/A Requesting Data...1544207363</v>
        <stp/>
        <stp>BDP|15846327089757913681</stp>
        <tr r="K4" s="2"/>
      </tp>
      <tp t="s">
        <v>#N/A Requesting Data...3897054596</v>
        <stp/>
        <stp>BDP|14268931535835017415</stp>
        <tr r="N267" s="2"/>
      </tp>
      <tp t="s">
        <v>#N/A Requesting Data...4197714923</v>
        <stp/>
        <stp>BDP|17280600680197234151</stp>
        <tr r="K773" s="2"/>
      </tp>
      <tp t="s">
        <v>#N/A Requesting Data...1609102098</v>
        <stp/>
        <stp>BDP|15180498568631140949</stp>
        <tr r="E1557" s="2"/>
      </tp>
      <tp t="s">
        <v>#N/A Requesting Data...234705921</v>
        <stp/>
        <stp>BDP|11461949091066067842</stp>
        <tr r="S1993" s="2"/>
      </tp>
      <tp t="s">
        <v>#N/A Requesting Data...4203177709</v>
        <stp/>
        <stp>BDP|12640469290121030154</stp>
        <tr r="F1335" s="2"/>
      </tp>
      <tp t="b">
        <v>0</v>
        <stp/>
        <stp>BDS|17554134832903251907</stp>
        <tr r="I1764" s="2"/>
      </tp>
      <tp t="s">
        <v>#N/A Requesting Data...809443711</v>
        <stp/>
        <stp>BDP|18085620142237248274</stp>
        <tr r="E1798" s="2"/>
      </tp>
      <tp t="s">
        <v>#N/A Requesting Data...3850054475</v>
        <stp/>
        <stp>BDP|11294247583671659564</stp>
        <tr r="O2446" s="2"/>
      </tp>
      <tp t="s">
        <v>#N/A Requesting Data...2148903562</v>
        <stp/>
        <stp>BDP|11772451916619285231</stp>
        <tr r="A2297" s="2"/>
      </tp>
      <tp t="s">
        <v>#N/A Requesting Data...3033751354</v>
        <stp/>
        <stp>BDP|15444589739158869483</stp>
        <tr r="F1687" s="2"/>
      </tp>
      <tp t="s">
        <v>#N/A Requesting Data...2253465987</v>
        <stp/>
        <stp>BDP|12378899022405506283</stp>
        <tr r="A1917" s="2"/>
      </tp>
      <tp t="s">
        <v>#N/A Requesting Data...1037572783</v>
        <stp/>
        <stp>BDP|10666206552630668879</stp>
        <tr r="A1020" s="2"/>
      </tp>
      <tp t="s">
        <v>#N/A Requesting Data...3486109986</v>
        <stp/>
        <stp>BDP|11184707488786409781</stp>
        <tr r="G2180" s="2"/>
      </tp>
      <tp t="s">
        <v>#N/A Requesting Data...3036338129</v>
        <stp/>
        <stp>BDP|12723548263928291673</stp>
        <tr r="F2460" s="2"/>
      </tp>
      <tp t="s">
        <v>#N/A Requesting Data...3375320246</v>
        <stp/>
        <stp>BDP|15415808975901693421</stp>
        <tr r="S631" s="2"/>
      </tp>
      <tp t="s">
        <v>#N/A Requesting Data...3346448254</v>
        <stp/>
        <stp>BDP|11189850546544703605</stp>
        <tr r="M764" s="2"/>
      </tp>
      <tp t="s">
        <v>#N/A Requesting Data...951043975</v>
        <stp/>
        <stp>BDP|13181914265361853282</stp>
        <tr r="N1980" s="2"/>
      </tp>
      <tp t="s">
        <v>#N/A Requesting Data...3391129150</v>
        <stp/>
        <stp>BDP|10998585293660244351</stp>
        <tr r="H1810" s="2"/>
      </tp>
      <tp t="b">
        <v>0</v>
        <stp/>
        <stp>BDS|17782853091008647130</stp>
        <tr r="I1444" s="2"/>
      </tp>
      <tp t="s">
        <v>#N/A Requesting Data...2735316149</v>
        <stp/>
        <stp>BDP|13377951648778897937</stp>
        <tr r="H2072" s="2"/>
      </tp>
      <tp t="s">
        <v>#N/A Requesting Data...2680807951</v>
        <stp/>
        <stp>BDP|15589911902396404574</stp>
        <tr r="E509" s="2"/>
      </tp>
      <tp t="s">
        <v>#N/A Requesting Data...3772170182</v>
        <stp/>
        <stp>BDP|16230945547552586615</stp>
        <tr r="M1836" s="2"/>
      </tp>
      <tp t="s">
        <v>#N/A Requesting Data...695763113</v>
        <stp/>
        <stp>BDP|17386966432332135033</stp>
        <tr r="H541" s="2"/>
      </tp>
      <tp t="s">
        <v>#N/A Requesting Data...1470132069</v>
        <stp/>
        <stp>BDP|17958851649021114519</stp>
        <tr r="N2143" s="2"/>
      </tp>
      <tp t="s">
        <v>#N/A Requesting Data...4030072910</v>
        <stp/>
        <stp>BDP|12487227734234105861</stp>
        <tr r="G1364" s="2"/>
      </tp>
      <tp t="s">
        <v>#N/A Requesting Data...2425637071</v>
        <stp/>
        <stp>BDP|17635362465228765579</stp>
        <tr r="D1535" s="2"/>
      </tp>
      <tp t="b">
        <v>0</v>
        <stp/>
        <stp>BDS|11693839777661193053</stp>
        <tr r="I966" s="2"/>
      </tp>
      <tp t="s">
        <v>#N/A Requesting Data...3130898906</v>
        <stp/>
        <stp>BDP|11721628814688002140</stp>
        <tr r="K1447" s="2"/>
      </tp>
      <tp t="s">
        <v>#N/A Requesting Data...1604123649</v>
        <stp/>
        <stp>BDP|12514549775399097611</stp>
        <tr r="T926" s="2"/>
      </tp>
      <tp t="s">
        <v>#N/A Requesting Data...2080713080</v>
        <stp/>
        <stp>BDP|12809990595149015413</stp>
        <tr r="N1966" s="2"/>
      </tp>
      <tp t="s">
        <v>#N/A Requesting Data...616943095</v>
        <stp/>
        <stp>BDP|16843452658488931092</stp>
        <tr r="O1056" s="2"/>
      </tp>
      <tp t="s">
        <v>#N/A Requesting Data...3176154857</v>
        <stp/>
        <stp>BDP|12807805625356061183</stp>
        <tr r="M1795" s="2"/>
      </tp>
      <tp t="s">
        <v>#N/A Requesting Data...1962051415</v>
        <stp/>
        <stp>BDP|12823199335519246639</stp>
        <tr r="A861" s="2"/>
      </tp>
      <tp t="s">
        <v>#N/A Requesting Data...2127041022</v>
        <stp/>
        <stp>BDP|16645401054018758002</stp>
        <tr r="K935" s="2"/>
      </tp>
      <tp t="s">
        <v>#N/A Requesting Data...1802625678</v>
        <stp/>
        <stp>BDP|10711261052071209942</stp>
        <tr r="C1625" s="2"/>
      </tp>
      <tp t="s">
        <v>#N/A Requesting Data...4185286640</v>
        <stp/>
        <stp>BDP|10836191114467528856</stp>
        <tr r="C91" s="2"/>
      </tp>
      <tp t="s">
        <v>#N/A Requesting Data...2823376381</v>
        <stp/>
        <stp>BDP|16067037373036651836</stp>
        <tr r="P1981" s="2"/>
      </tp>
      <tp t="s">
        <v>#N/A Requesting Data...2739944294</v>
        <stp/>
        <stp>BDP|10321037242263134866</stp>
        <tr r="J257" s="2"/>
      </tp>
      <tp t="s">
        <v>#N/A Requesting Data...3377307146</v>
        <stp/>
        <stp>BDP|14549327234073654807</stp>
        <tr r="H2513" s="2"/>
      </tp>
      <tp t="b">
        <v>0</v>
        <stp/>
        <stp>BDS|14245263722028975391</stp>
        <tr r="I1346" s="2"/>
      </tp>
      <tp t="s">
        <v>#N/A Requesting Data...1655115470</v>
        <stp/>
        <stp>BDP|18330570500673874193</stp>
        <tr r="K2483" s="2"/>
      </tp>
      <tp t="s">
        <v>#N/A Requesting Data...2821035264</v>
        <stp/>
        <stp>BDP|15805045528608821090</stp>
        <tr r="J1628" s="2"/>
      </tp>
      <tp t="s">
        <v>#N/A Requesting Data...1480584588</v>
        <stp/>
        <stp>BDP|12791740899212937168</stp>
        <tr r="R1646" s="2"/>
      </tp>
      <tp t="s">
        <v>#N/A Requesting Data...1486425982</v>
        <stp/>
        <stp>BDP|11602786728723079836</stp>
        <tr r="F1525" s="2"/>
      </tp>
      <tp t="s">
        <v>#N/A Requesting Data...3146438415</v>
        <stp/>
        <stp>BDP|11869865531206852324</stp>
        <tr r="R1107" s="2"/>
      </tp>
      <tp t="s">
        <v>#N/A Requesting Data...3408036754</v>
        <stp/>
        <stp>BDP|11398862016865006263</stp>
        <tr r="R1434" s="2"/>
      </tp>
      <tp t="s">
        <v>#N/A Requesting Data...1929501784</v>
        <stp/>
        <stp>BDP|18104136265157376710</stp>
        <tr r="P646" s="2"/>
      </tp>
      <tp t="s">
        <v>#N/A Requesting Data...2989392935</v>
        <stp/>
        <stp>BDP|13666006450648422174</stp>
        <tr r="J1249" s="2"/>
      </tp>
      <tp t="s">
        <v>#N/A Requesting Data...3924580072</v>
        <stp/>
        <stp>BDP|17813561339417577973</stp>
        <tr r="S2519" s="2"/>
      </tp>
      <tp t="s">
        <v>#N/A Requesting Data...4261142230</v>
        <stp/>
        <stp>BDP|16259414976189379337</stp>
        <tr r="P581" s="2"/>
      </tp>
      <tp t="s">
        <v>#N/A Requesting Data...2249052014</v>
        <stp/>
        <stp>BDP|16027415336907267908</stp>
        <tr r="G1807" s="2"/>
      </tp>
      <tp t="s">
        <v>#N/A Requesting Data...1720719029</v>
        <stp/>
        <stp>BDP|10553931920716744240</stp>
        <tr r="G1151" s="2"/>
      </tp>
      <tp t="s">
        <v>#N/A Requesting Data...2984993600</v>
        <stp/>
        <stp>BDP|11523010487084536236</stp>
        <tr r="S2171" s="2"/>
      </tp>
      <tp t="b">
        <v>0</v>
        <stp/>
        <stp>BDS|14757393968016067807</stp>
        <tr r="I1528" s="2"/>
      </tp>
      <tp t="s">
        <v>#N/A Requesting Data...2965783769</v>
        <stp/>
        <stp>BDP|15436878744781728759</stp>
        <tr r="N2006" s="2"/>
      </tp>
      <tp t="s">
        <v>#N/A Requesting Data...3365082141</v>
        <stp/>
        <stp>BDP|11801869328994309007</stp>
        <tr r="E912" s="2"/>
      </tp>
      <tp t="s">
        <v>#N/A Requesting Data...1593591810</v>
        <stp/>
        <stp>BDP|17034633552989285267</stp>
        <tr r="M923" s="2"/>
      </tp>
      <tp t="s">
        <v>#N/A Requesting Data...579689575</v>
        <stp/>
        <stp>BDP|14859079546917942857</stp>
        <tr r="M1792" s="2"/>
      </tp>
      <tp t="s">
        <v>#N/A Requesting Data...3792871311</v>
        <stp/>
        <stp>BDP|13655532029659102287</stp>
        <tr r="C2489" s="2"/>
      </tp>
      <tp t="s">
        <v>#N/A Requesting Data...2868632790</v>
        <stp/>
        <stp>BDP|14268350534169172275</stp>
        <tr r="A420" s="2"/>
      </tp>
      <tp t="s">
        <v>#N/A Requesting Data...2252957061</v>
        <stp/>
        <stp>BDP|14892694815979474556</stp>
        <tr r="F2399" s="2"/>
      </tp>
      <tp t="s">
        <v>#N/A Requesting Data...2614461036</v>
        <stp/>
        <stp>BDP|11540006397630158764</stp>
        <tr r="G1254" s="2"/>
      </tp>
      <tp t="s">
        <v>#N/A Requesting Data...1155871167</v>
        <stp/>
        <stp>BDP|16069894119599036951</stp>
        <tr r="F500" s="2"/>
      </tp>
      <tp t="s">
        <v>#N/A Requesting Data...3518299250</v>
        <stp/>
        <stp>BDP|10770619047849632420</stp>
        <tr r="E1834" s="2"/>
      </tp>
      <tp t="s">
        <v>#N/A Requesting Data...2536067398</v>
        <stp/>
        <stp>BDP|11943142168248960197</stp>
        <tr r="D1898" s="2"/>
      </tp>
      <tp t="s">
        <v>#N/A Requesting Data...520103189</v>
        <stp/>
        <stp>BDP|14058841981083578856</stp>
        <tr r="M1765" s="2"/>
      </tp>
      <tp t="s">
        <v>#N/A Requesting Data...2259046819</v>
        <stp/>
        <stp>BDP|11972438795256302598</stp>
        <tr r="H1032" s="2"/>
      </tp>
      <tp t="s">
        <v>#N/A Requesting Data...3992551884</v>
        <stp/>
        <stp>BDP|17360354027638358175</stp>
        <tr r="P63" s="2"/>
      </tp>
      <tp t="s">
        <v>#N/A Requesting Data...3440745449</v>
        <stp/>
        <stp>BDP|13702811264735176765</stp>
        <tr r="O1565" s="2"/>
      </tp>
      <tp t="s">
        <v>#N/A Requesting Data...3615664590</v>
        <stp/>
        <stp>BDP|10574326276213063841</stp>
        <tr r="R913" s="2"/>
      </tp>
      <tp t="s">
        <v>#N/A Requesting Data...3027924764</v>
        <stp/>
        <stp>BDP|14267523751763227864</stp>
        <tr r="H286" s="2"/>
      </tp>
      <tp t="s">
        <v>#N/A Requesting Data...1082593632</v>
        <stp/>
        <stp>BDP|12176701912163729811</stp>
        <tr r="O56" s="2"/>
      </tp>
      <tp t="s">
        <v>#N/A Requesting Data...582488817</v>
        <stp/>
        <stp>BDP|11165589138939740129</stp>
        <tr r="R1658" s="2"/>
      </tp>
      <tp t="s">
        <v>#N/A Requesting Data...2287010575</v>
        <stp/>
        <stp>BDP|12052438400379241051</stp>
        <tr r="Q623" s="2"/>
      </tp>
      <tp t="s">
        <v>#N/A Requesting Data...644594323</v>
        <stp/>
        <stp>BDP|13590990197759936566</stp>
        <tr r="P2384" s="2"/>
      </tp>
      <tp t="s">
        <v>#N/A Requesting Data...519120471</v>
        <stp/>
        <stp>BDP|13136658513262078934</stp>
        <tr r="R823" s="2"/>
      </tp>
      <tp t="b">
        <v>0</v>
        <stp/>
        <stp>BDS|11582610809108914032</stp>
        <tr r="I1795" s="2"/>
      </tp>
      <tp t="s">
        <v>#N/A Requesting Data...3696768600</v>
        <stp/>
        <stp>BDP|12694308657539276279</stp>
        <tr r="H325" s="2"/>
      </tp>
      <tp t="s">
        <v>#N/A Requesting Data...4207721473</v>
        <stp/>
        <stp>BDP|13171851049642032299</stp>
        <tr r="F126" s="2"/>
      </tp>
      <tp t="s">
        <v>#N/A Requesting Data...3081693620</v>
        <stp/>
        <stp>BDP|17495065837642849994</stp>
        <tr r="G1581" s="2"/>
      </tp>
      <tp t="s">
        <v>#N/A Requesting Data...1287231177</v>
        <stp/>
        <stp>BDP|13137688631219832040</stp>
        <tr r="T862" s="2"/>
      </tp>
      <tp t="b">
        <v>0</v>
        <stp/>
        <stp>BDS|16749094408879778065</stp>
        <tr r="I1826" s="2"/>
      </tp>
      <tp t="s">
        <v>#N/A Requesting Data...4000549677</v>
        <stp/>
        <stp>BDP|12323260052979169324</stp>
        <tr r="H2285" s="2"/>
      </tp>
      <tp t="s">
        <v>#N/A Requesting Data...3172377463</v>
        <stp/>
        <stp>BDP|14042671947860623926</stp>
        <tr r="O1052" s="2"/>
      </tp>
      <tp t="b">
        <v>0</v>
        <stp/>
        <stp>BDS|13490940756504367423</stp>
        <tr r="I1083" s="2"/>
      </tp>
      <tp t="s">
        <v>#N/A Requesting Data...2535409124</v>
        <stp/>
        <stp>BDP|17113990779914257274</stp>
        <tr r="Q410" s="2"/>
      </tp>
      <tp t="s">
        <v>#N/A Requesting Data...804587461</v>
        <stp/>
        <stp>BDP|12053288595087837116</stp>
        <tr r="R718" s="2"/>
      </tp>
      <tp t="s">
        <v>#N/A Requesting Data...2298372447</v>
        <stp/>
        <stp>BDP|17023439273938692323</stp>
        <tr r="H2465" s="2"/>
      </tp>
      <tp t="s">
        <v>#N/A Requesting Data...582858797</v>
        <stp/>
        <stp>BDP|16505618351319849390</stp>
        <tr r="R526" s="2"/>
      </tp>
      <tp t="s">
        <v>#N/A Requesting Data...3388902952</v>
        <stp/>
        <stp>BDP|11892785927543255813</stp>
        <tr r="R2476" s="2"/>
      </tp>
      <tp t="s">
        <v>#N/A Requesting Data...1401506426</v>
        <stp/>
        <stp>BDP|10038755102810084838</stp>
        <tr r="K1915" s="2"/>
      </tp>
      <tp t="b">
        <v>0</v>
        <stp/>
        <stp>BDS|15308559469240864903</stp>
        <tr r="I2324" s="2"/>
      </tp>
      <tp t="s">
        <v>#N/A Requesting Data...3859877632</v>
        <stp/>
        <stp>BDP|15170825460081492535</stp>
        <tr r="C1759" s="2"/>
      </tp>
      <tp t="s">
        <v>#N/A Requesting Data...799986241</v>
        <stp/>
        <stp>BDP|14793963937300668141</stp>
        <tr r="K742" s="2"/>
      </tp>
      <tp t="s">
        <v>#N/A Requesting Data...3802149255</v>
        <stp/>
        <stp>BDP|10126813986379296606</stp>
        <tr r="D292" s="2"/>
      </tp>
      <tp t="s">
        <v>#N/A Requesting Data...2339261686</v>
        <stp/>
        <stp>BDP|12590832423324178302</stp>
        <tr r="Q2444" s="2"/>
      </tp>
      <tp t="s">
        <v>#N/A Requesting Data...464224642</v>
        <stp/>
        <stp>BDP|14282021950846781834</stp>
        <tr r="J1978" s="2"/>
      </tp>
      <tp t="s">
        <v>#N/A Requesting Data...1959317150</v>
        <stp/>
        <stp>BDP|11152763693614441449</stp>
        <tr r="J2002" s="2"/>
      </tp>
      <tp t="s">
        <v>#N/A Requesting Data...3797676488</v>
        <stp/>
        <stp>BDP|17971284252747504829</stp>
        <tr r="R2138" s="2"/>
      </tp>
      <tp t="s">
        <v>#N/A Requesting Data...731612054</v>
        <stp/>
        <stp>BDP|16343957891819656052</stp>
        <tr r="S91" s="2"/>
      </tp>
      <tp t="b">
        <v>0</v>
        <stp/>
        <stp>BDS|18121533879591817449</stp>
        <tr r="I615" s="2"/>
      </tp>
      <tp t="s">
        <v>#N/A Requesting Data...523510544</v>
        <stp/>
        <stp>BDP|15280302597327277732</stp>
        <tr r="R632" s="2"/>
      </tp>
      <tp t="s">
        <v>#N/A Requesting Data...1720058843</v>
        <stp/>
        <stp>BDP|16152001280548228970</stp>
        <tr r="N2188" s="2"/>
      </tp>
      <tp t="s">
        <v>#N/A Requesting Data...2869141638</v>
        <stp/>
        <stp>BDP|12783979897269579467</stp>
        <tr r="S505" s="2"/>
      </tp>
      <tp t="s">
        <v>#N/A Requesting Data...2039596332</v>
        <stp/>
        <stp>BDP|14249843343533418450</stp>
        <tr r="J1518" s="2"/>
      </tp>
      <tp t="s">
        <v>#N/A Requesting Data...4228512364</v>
        <stp/>
        <stp>BDP|14581314010809940093</stp>
        <tr r="E444" s="2"/>
      </tp>
      <tp t="s">
        <v>#N/A Requesting Data...2880361622</v>
        <stp/>
        <stp>BDP|17367031646644524870</stp>
        <tr r="Q2095" s="2"/>
      </tp>
      <tp t="s">
        <v>#N/A Requesting Data...4284063258</v>
        <stp/>
        <stp>BDP|14578847579782416685</stp>
        <tr r="D1566" s="2"/>
      </tp>
      <tp t="s">
        <v>#N/A Requesting Data...663614534</v>
        <stp/>
        <stp>BDP|12378427697309782959</stp>
        <tr r="R1642" s="2"/>
      </tp>
      <tp t="b">
        <v>0</v>
        <stp/>
        <stp>BDS|18042523736338149922</stp>
        <tr r="I600" s="2"/>
      </tp>
      <tp t="s">
        <v>#N/A Requesting Data...3952218516</v>
        <stp/>
        <stp>BDP|11965183084761259635</stp>
        <tr r="D1347" s="2"/>
      </tp>
      <tp t="s">
        <v>#N/A Requesting Data...4269621551</v>
        <stp/>
        <stp>BDP|15322056889072938025</stp>
        <tr r="C2222" s="2"/>
      </tp>
      <tp t="s">
        <v>#N/A Requesting Data...1995881161</v>
        <stp/>
        <stp>BDP|17763714572440737877</stp>
        <tr r="A2460" s="2"/>
      </tp>
      <tp t="s">
        <v>#N/A Requesting Data...931247189</v>
        <stp/>
        <stp>BDP|18003779332433064019</stp>
        <tr r="S560" s="2"/>
      </tp>
      <tp t="s">
        <v>#N/A Requesting Data...4035641966</v>
        <stp/>
        <stp>BDP|11395173121904702961</stp>
        <tr r="H1305" s="2"/>
      </tp>
      <tp t="s">
        <v>#N/A Requesting Data...859796451</v>
        <stp/>
        <stp>BDP|16610904265773066576</stp>
        <tr r="T412" s="2"/>
      </tp>
      <tp t="s">
        <v>#N/A Requesting Data...3876999746</v>
        <stp/>
        <stp>BDP|10350086549002237942</stp>
        <tr r="O193" s="2"/>
      </tp>
      <tp t="s">
        <v>#N/A Requesting Data...1588321512</v>
        <stp/>
        <stp>BDP|13435344592193415526</stp>
        <tr r="M918" s="2"/>
      </tp>
      <tp t="s">
        <v>#N/A Requesting Data...1436621066</v>
        <stp/>
        <stp>BDP|15574210978228005784</stp>
        <tr r="R2194" s="2"/>
      </tp>
      <tp t="s">
        <v>#N/A Requesting Data...3319665504</v>
        <stp/>
        <stp>BDP|15855282754298301534</stp>
        <tr r="R872" s="2"/>
      </tp>
      <tp t="s">
        <v>#N/A Requesting Data...2477797849</v>
        <stp/>
        <stp>BDP|16484861765866150125</stp>
        <tr r="G2440" s="2"/>
      </tp>
      <tp t="s">
        <v>#N/A Requesting Data...581494853</v>
        <stp/>
        <stp>BDP|10163177503518766663</stp>
        <tr r="C298" s="2"/>
      </tp>
      <tp t="s">
        <v>#N/A Requesting Data...3049473556</v>
        <stp/>
        <stp>BDP|17789775822315373858</stp>
        <tr r="G2118" s="2"/>
      </tp>
      <tp t="s">
        <v>#N/A Requesting Data...2446004067</v>
        <stp/>
        <stp>BDP|11320105297702770476</stp>
        <tr r="S700" s="2"/>
      </tp>
      <tp t="s">
        <v>#N/A Requesting Data...4011062214</v>
        <stp/>
        <stp>BDP|17813086799966570788</stp>
        <tr r="H2002" s="2"/>
      </tp>
      <tp t="s">
        <v>#N/A Requesting Data...1955855175</v>
        <stp/>
        <stp>BDP|15503376914371512974</stp>
        <tr r="K1199" s="2"/>
      </tp>
      <tp t="s">
        <v>#N/A Requesting Data...3557244774</v>
        <stp/>
        <stp>BDP|12225762791655139605</stp>
        <tr r="F922" s="2"/>
      </tp>
      <tp t="s">
        <v>#N/A Requesting Data...2628387894</v>
        <stp/>
        <stp>BDP|10334307401069321556</stp>
        <tr r="O928" s="2"/>
      </tp>
      <tp t="s">
        <v>#N/A Requesting Data...4103492694</v>
        <stp/>
        <stp>BDP|12140532683785619530</stp>
        <tr r="C782" s="2"/>
      </tp>
      <tp t="s">
        <v>#N/A Requesting Data...772304386</v>
        <stp/>
        <stp>BDP|16084003085961565044</stp>
        <tr r="P515" s="2"/>
      </tp>
      <tp t="s">
        <v>#N/A Requesting Data...3003728550</v>
        <stp/>
        <stp>BDP|16197426701708196571</stp>
        <tr r="G2247" s="2"/>
      </tp>
      <tp t="s">
        <v>#N/A Requesting Data...3170064964</v>
        <stp/>
        <stp>BDP|10129118388841941751</stp>
        <tr r="G1512" s="2"/>
      </tp>
      <tp t="s">
        <v>#N/A Requesting Data...1518966631</v>
        <stp/>
        <stp>BDP|16463128693457444659</stp>
        <tr r="S449" s="2"/>
      </tp>
      <tp t="s">
        <v>#N/A Requesting Data...1233837707</v>
        <stp/>
        <stp>BDP|14312847122037127603</stp>
        <tr r="R1185" s="2"/>
      </tp>
      <tp t="s">
        <v>#N/A Requesting Data...2702436831</v>
        <stp/>
        <stp>BDP|10363327372563336840</stp>
        <tr r="S1477" s="2"/>
      </tp>
      <tp t="s">
        <v>#N/A Requesting Data...2797889613</v>
        <stp/>
        <stp>BDP|11570660756039656475</stp>
        <tr r="O1171" s="2"/>
      </tp>
      <tp t="s">
        <v>#N/A Requesting Data...1457899446</v>
        <stp/>
        <stp>BDP|18292701020770419228</stp>
        <tr r="C2507" s="2"/>
      </tp>
      <tp t="s">
        <v>#N/A Requesting Data...2155092987</v>
        <stp/>
        <stp>BDP|13020483884750098089</stp>
        <tr r="G799" s="2"/>
      </tp>
      <tp t="b">
        <v>0</v>
        <stp/>
        <stp>BDS|11864213156699018084</stp>
        <tr r="I655" s="2"/>
      </tp>
      <tp t="b">
        <v>0</v>
        <stp/>
        <stp>BDS|10479722731003311831</stp>
        <tr r="I195" s="2"/>
      </tp>
      <tp t="s">
        <v>#N/A Requesting Data...1662100136</v>
        <stp/>
        <stp>BDP|17661434782863698756</stp>
        <tr r="T994" s="2"/>
      </tp>
      <tp t="s">
        <v>#N/A Requesting Data...3834382438</v>
        <stp/>
        <stp>BDP|14618971338576566787</stp>
        <tr r="S125" s="2"/>
      </tp>
      <tp t="s">
        <v>#N/A Requesting Data...4249160886</v>
        <stp/>
        <stp>BDP|15799406743538402271</stp>
        <tr r="J2034" s="2"/>
      </tp>
      <tp t="s">
        <v>#N/A Requesting Data...2035300990</v>
        <stp/>
        <stp>BDP|10008088398544431235</stp>
        <tr r="R2055" s="2"/>
      </tp>
      <tp t="s">
        <v>#N/A Requesting Data...1981534414</v>
        <stp/>
        <stp>BDP|11276751091773921388</stp>
        <tr r="F2027" s="2"/>
      </tp>
      <tp t="s">
        <v>#N/A Requesting Data...2185560278</v>
        <stp/>
        <stp>BDP|15178999469465714011</stp>
        <tr r="E490" s="2"/>
      </tp>
      <tp t="s">
        <v>#N/A Requesting Data...2558860384</v>
        <stp/>
        <stp>BDP|12108089269708463332</stp>
        <tr r="H441" s="2"/>
      </tp>
      <tp t="s">
        <v>#N/A Requesting Data...1428409296</v>
        <stp/>
        <stp>BDP|18230771864992094468</stp>
        <tr r="J1015" s="2"/>
      </tp>
      <tp t="s">
        <v>#N/A Requesting Data...4100651974</v>
        <stp/>
        <stp>BDP|10738561842957475906</stp>
        <tr r="S778" s="2"/>
      </tp>
      <tp t="s">
        <v>#N/A Requesting Data...2429353827</v>
        <stp/>
        <stp>BDP|12599106508378327497</stp>
        <tr r="G2085" s="2"/>
      </tp>
      <tp t="s">
        <v>#N/A Requesting Data...706854633</v>
        <stp/>
        <stp>BDP|11903956119996240002</stp>
        <tr r="H2111" s="2"/>
      </tp>
      <tp t="b">
        <v>0</v>
        <stp/>
        <stp>BDS|10052295414635991906</stp>
        <tr r="I1590" s="2"/>
      </tp>
      <tp t="s">
        <v>#N/A Requesting Data...3063179600</v>
        <stp/>
        <stp>BDP|12262735783167084553</stp>
        <tr r="H1416" s="2"/>
      </tp>
      <tp t="s">
        <v>#N/A Requesting Data...4151551131</v>
        <stp/>
        <stp>BDP|13494440834088665356</stp>
        <tr r="K2086" s="2"/>
      </tp>
      <tp t="s">
        <v>#N/A Requesting Data...1713664587</v>
        <stp/>
        <stp>BDP|14693353683378393849</stp>
        <tr r="S678" s="2"/>
      </tp>
      <tp t="s">
        <v>#N/A Requesting Data...2776538227</v>
        <stp/>
        <stp>BDP|14474755863563378969</stp>
        <tr r="P1352" s="2"/>
      </tp>
      <tp t="s">
        <v>#N/A Requesting Data...2058908769</v>
        <stp/>
        <stp>BDP|14806803015141890322</stp>
        <tr r="R351" s="2"/>
      </tp>
      <tp t="s">
        <v>#N/A Requesting Data...3318653741</v>
        <stp/>
        <stp>BDP|11499175523044123966</stp>
        <tr r="M1540" s="2"/>
      </tp>
      <tp t="s">
        <v>#N/A Requesting Data...1729212936</v>
        <stp/>
        <stp>BDP|13305948946031288048</stp>
        <tr r="K48" s="2"/>
      </tp>
      <tp t="s">
        <v>#N/A Requesting Data...1493094348</v>
        <stp/>
        <stp>BDP|14032428271628145051</stp>
        <tr r="G1904" s="2"/>
      </tp>
      <tp t="s">
        <v>#N/A Requesting Data...2315593310</v>
        <stp/>
        <stp>BDP|16066890129252355149</stp>
        <tr r="J480" s="2"/>
      </tp>
      <tp t="s">
        <v>#N/A Requesting Data...1285076058</v>
        <stp/>
        <stp>BDP|18216232827804337327</stp>
        <tr r="N1853" s="2"/>
      </tp>
      <tp t="s">
        <v>#N/A Requesting Data...1853208377</v>
        <stp/>
        <stp>BDP|14290993301485831752</stp>
        <tr r="E1532" s="2"/>
      </tp>
      <tp t="s">
        <v>#N/A Requesting Data...3641043379</v>
        <stp/>
        <stp>BDP|10208217687894147124</stp>
        <tr r="O154" s="2"/>
      </tp>
      <tp t="s">
        <v>#N/A Requesting Data...4171042288</v>
        <stp/>
        <stp>BDP|14072003543118336779</stp>
        <tr r="C2171" s="2"/>
      </tp>
      <tp t="s">
        <v>#N/A Requesting Data...777921442</v>
        <stp/>
        <stp>BDP|14722448265209373020</stp>
        <tr r="Q448" s="2"/>
      </tp>
      <tp t="s">
        <v>#N/A Requesting Data...3309860598</v>
        <stp/>
        <stp>BDP|14367707626166370819</stp>
        <tr r="E175" s="2"/>
      </tp>
      <tp t="s">
        <v>#N/A Requesting Data...2376926073</v>
        <stp/>
        <stp>BDP|18396180400303875543</stp>
        <tr r="R1888" s="2"/>
      </tp>
      <tp t="s">
        <v>#N/A Requesting Data...1427433439</v>
        <stp/>
        <stp>BDP|17686139142758394531</stp>
        <tr r="N721" s="2"/>
      </tp>
      <tp t="s">
        <v>#N/A Requesting Data...2529204426</v>
        <stp/>
        <stp>BDP|10632492095064549688</stp>
        <tr r="G490" s="2"/>
      </tp>
      <tp t="s">
        <v>#N/A Requesting Data...867247437</v>
        <stp/>
        <stp>BDP|10712218735309078740</stp>
        <tr r="T360" s="2"/>
      </tp>
      <tp t="s">
        <v>#N/A Requesting Data...2121618603</v>
        <stp/>
        <stp>BDP|15116918655157719154</stp>
        <tr r="M63" s="2"/>
      </tp>
      <tp t="s">
        <v>#N/A Requesting Data...1858124150</v>
        <stp/>
        <stp>BDP|17948859418842692351</stp>
        <tr r="K2154" s="2"/>
      </tp>
      <tp t="s">
        <v>#N/A Requesting Data...2255998413</v>
        <stp/>
        <stp>BDP|10485366781145348177</stp>
        <tr r="O652" s="2"/>
      </tp>
      <tp t="s">
        <v>#N/A Requesting Data...1782392673</v>
        <stp/>
        <stp>BDP|12094094164432852920</stp>
        <tr r="O151" s="2"/>
      </tp>
      <tp t="s">
        <v>#N/A Requesting Data...2665156539</v>
        <stp/>
        <stp>BDP|10966430390876555487</stp>
        <tr r="F164" s="2"/>
      </tp>
      <tp t="s">
        <v>#N/A Requesting Data...2725022547</v>
        <stp/>
        <stp>BDP|15803864759715838283</stp>
        <tr r="E1279" s="2"/>
      </tp>
      <tp t="s">
        <v>#N/A Requesting Data...2784336103</v>
        <stp/>
        <stp>BDP|18218526537566707771</stp>
        <tr r="D321" s="2"/>
      </tp>
      <tp t="s">
        <v>#N/A Requesting Data...3104678534</v>
        <stp/>
        <stp>BDP|17340866089939895131</stp>
        <tr r="M614" s="2"/>
      </tp>
      <tp t="s">
        <v>#N/A Requesting Data...1298243714</v>
        <stp/>
        <stp>BDP|17540635839775022886</stp>
        <tr r="E1218" s="2"/>
      </tp>
      <tp t="s">
        <v>#N/A Requesting Data...1898289166</v>
        <stp/>
        <stp>BDP|12709767006859399334</stp>
        <tr r="A248" s="2"/>
      </tp>
      <tp t="s">
        <v>#N/A Requesting Data...4192674615</v>
        <stp/>
        <stp>BDP|12921945721217833134</stp>
        <tr r="N787" s="2"/>
      </tp>
      <tp t="s">
        <v>#N/A Requesting Data...2647324213</v>
        <stp/>
        <stp>BDP|15354602686066313214</stp>
        <tr r="N2169" s="2"/>
      </tp>
      <tp t="s">
        <v>#N/A Requesting Data...3129769826</v>
        <stp/>
        <stp>BDP|10123831424353849695</stp>
        <tr r="F1773" s="2"/>
      </tp>
      <tp t="s">
        <v>#N/A Requesting Data...2853960395</v>
        <stp/>
        <stp>BDP|16509178190971034053</stp>
        <tr r="Q249" s="2"/>
      </tp>
      <tp t="s">
        <v>#N/A Requesting Data...2562457237</v>
        <stp/>
        <stp>BDP|12074602168289718487</stp>
        <tr r="T468" s="2"/>
      </tp>
      <tp t="s">
        <v>#N/A Requesting Data...1641389713</v>
        <stp/>
        <stp>BDP|11234492258619151653</stp>
        <tr r="O1932" s="2"/>
      </tp>
      <tp t="s">
        <v>#N/A Requesting Data...1636887659</v>
        <stp/>
        <stp>BDP|14911509623839444595</stp>
        <tr r="P2391" s="2"/>
      </tp>
      <tp t="s">
        <v>#N/A Requesting Data...2881421473</v>
        <stp/>
        <stp>BDP|13410997053308013895</stp>
        <tr r="J1126" s="2"/>
      </tp>
      <tp t="s">
        <v>#N/A Requesting Data...3586488173</v>
        <stp/>
        <stp>BDP|13056079935187482815</stp>
        <tr r="E635" s="2"/>
      </tp>
      <tp t="s">
        <v>#N/A Requesting Data...2807673783</v>
        <stp/>
        <stp>BDP|11035739297806463674</stp>
        <tr r="M2146" s="2"/>
      </tp>
      <tp t="s">
        <v>#N/A Requesting Data...2048154207</v>
        <stp/>
        <stp>BDP|17956978542842257790</stp>
        <tr r="J1123" s="2"/>
      </tp>
      <tp t="s">
        <v>#N/A Requesting Data...940964014</v>
        <stp/>
        <stp>BDP|10928392079508776395</stp>
        <tr r="H2160" s="2"/>
      </tp>
      <tp t="b">
        <v>0</v>
        <stp/>
        <stp>BDS|15687449297475269234</stp>
        <tr r="I748" s="2"/>
      </tp>
      <tp t="s">
        <v>#N/A Requesting Data...1140094825</v>
        <stp/>
        <stp>BDP|12412526983667048722</stp>
        <tr r="Q7" s="2"/>
      </tp>
      <tp t="s">
        <v>#N/A Requesting Data...3168281930</v>
        <stp/>
        <stp>BDP|13212605407712210805</stp>
        <tr r="S2394" s="2"/>
      </tp>
      <tp t="s">
        <v>#N/A Requesting Data...3536754866</v>
        <stp/>
        <stp>BDP|16763391479699749472</stp>
        <tr r="Q2516" s="2"/>
      </tp>
      <tp t="s">
        <v>#N/A Requesting Data...2716107955</v>
        <stp/>
        <stp>BDP|14211830037958282837</stp>
        <tr r="D822" s="2"/>
      </tp>
      <tp t="s">
        <v>#N/A Requesting Data...2935948486</v>
        <stp/>
        <stp>BDP|16164338194112188101</stp>
        <tr r="M679" s="2"/>
      </tp>
      <tp t="s">
        <v>#N/A Requesting Data...2782790404</v>
        <stp/>
        <stp>BDP|14729069084752033129</stp>
        <tr r="T2183" s="2"/>
      </tp>
      <tp t="s">
        <v>#N/A Requesting Data...3110881111</v>
        <stp/>
        <stp>BDP|13554151692460403416</stp>
        <tr r="Q1304" s="2"/>
      </tp>
      <tp t="s">
        <v>#N/A Requesting Data...4275019614</v>
        <stp/>
        <stp>BDP|14944717242448991048</stp>
        <tr r="P4" s="2"/>
      </tp>
      <tp t="s">
        <v>#N/A Requesting Data...2820800234</v>
        <stp/>
        <stp>BDP|14447963955456973191</stp>
        <tr r="G1422" s="2"/>
      </tp>
      <tp t="s">
        <v>#N/A Requesting Data...2457058879</v>
        <stp/>
        <stp>BDP|17180485926106982811</stp>
        <tr r="H2436" s="2"/>
      </tp>
      <tp t="s">
        <v>#N/A Requesting Data...1161642945</v>
        <stp/>
        <stp>BDP|11433285437227423883</stp>
        <tr r="J814" s="2"/>
      </tp>
      <tp t="s">
        <v>#N/A Requesting Data...1239834305</v>
        <stp/>
        <stp>BDP|17139634746269479377</stp>
        <tr r="O1712" s="2"/>
      </tp>
      <tp t="s">
        <v>#N/A Requesting Data...2448491524</v>
        <stp/>
        <stp>BDP|11364265785870266458</stp>
        <tr r="M334" s="2"/>
      </tp>
      <tp t="s">
        <v>#N/A Requesting Data...3980208827</v>
        <stp/>
        <stp>BDP|11362731083760749130</stp>
        <tr r="Q2045" s="2"/>
      </tp>
      <tp t="s">
        <v>#N/A Requesting Data...3729830796</v>
        <stp/>
        <stp>BDP|11590077730288382560</stp>
        <tr r="P790" s="2"/>
      </tp>
      <tp t="s">
        <v>#N/A Requesting Data...3038240636</v>
        <stp/>
        <stp>BDP|12421374060589600127</stp>
        <tr r="A2321" s="2"/>
      </tp>
      <tp t="s">
        <v>#N/A Requesting Data...3788159291</v>
        <stp/>
        <stp>BDP|15814113216142077880</stp>
        <tr r="M2490" s="2"/>
      </tp>
      <tp t="s">
        <v>#N/A Requesting Data...792490738</v>
        <stp/>
        <stp>BDP|11200401670514550905</stp>
        <tr r="P1096" s="2"/>
      </tp>
      <tp t="s">
        <v>#N/A Requesting Data...3317507719</v>
        <stp/>
        <stp>BDP|10146015116528843694</stp>
        <tr r="Q1431" s="2"/>
      </tp>
      <tp t="s">
        <v>#N/A Requesting Data...3779056086</v>
        <stp/>
        <stp>BDP|12811646680073273094</stp>
        <tr r="E1892" s="2"/>
      </tp>
      <tp t="s">
        <v>#N/A Requesting Data...3050198019</v>
        <stp/>
        <stp>BDP|14603183081746895409</stp>
        <tr r="Q1070" s="2"/>
      </tp>
      <tp t="s">
        <v>#N/A Requesting Data...2772308116</v>
        <stp/>
        <stp>BDP|10799747189309957953</stp>
        <tr r="E2221" s="2"/>
      </tp>
      <tp t="s">
        <v>#N/A Requesting Data...3649982523</v>
        <stp/>
        <stp>BDP|11048887368277497723</stp>
        <tr r="K327" s="2"/>
      </tp>
      <tp t="s">
        <v>#N/A Requesting Data...2464087339</v>
        <stp/>
        <stp>BDP|16596530592025713053</stp>
        <tr r="D28" s="2"/>
      </tp>
      <tp t="s">
        <v>#N/A Requesting Data...3120399348</v>
        <stp/>
        <stp>BDP|16294122906729573151</stp>
        <tr r="A573" s="2"/>
      </tp>
      <tp t="s">
        <v>#N/A Requesting Data...1424784461</v>
        <stp/>
        <stp>BDP|15370758065882297974</stp>
        <tr r="D2452" s="2"/>
      </tp>
      <tp t="s">
        <v>#N/A Requesting Data...3631427278</v>
        <stp/>
        <stp>BDP|17341699970028935154</stp>
        <tr r="J415" s="2"/>
      </tp>
      <tp t="s">
        <v>#N/A Requesting Data...1956109204</v>
        <stp/>
        <stp>BDP|15293853625441147150</stp>
        <tr r="F2214" s="2"/>
      </tp>
      <tp t="s">
        <v>#N/A Requesting Data...2348380823</v>
        <stp/>
        <stp>BDP|15305019943199365744</stp>
        <tr r="T280" s="2"/>
      </tp>
      <tp t="s">
        <v>#N/A Requesting Data...2204101919</v>
        <stp/>
        <stp>BDP|16022710309258618688</stp>
        <tr r="N381" s="2"/>
      </tp>
      <tp t="s">
        <v>#N/A Requesting Data...2405912336</v>
        <stp/>
        <stp>BDP|16758297647516665998</stp>
        <tr r="N726" s="2"/>
      </tp>
      <tp t="s">
        <v>#N/A Requesting Data...3468624265</v>
        <stp/>
        <stp>BDP|17062477351770591956</stp>
        <tr r="O1275" s="2"/>
      </tp>
      <tp t="s">
        <v>#N/A Requesting Data...4167009409</v>
        <stp/>
        <stp>BDP|18028925004466589852</stp>
        <tr r="P1930" s="2"/>
      </tp>
      <tp t="s">
        <v>#N/A Requesting Data...4025870315</v>
        <stp/>
        <stp>BDP|13394144081802445748</stp>
        <tr r="H35" s="2"/>
      </tp>
      <tp t="s">
        <v>#N/A Requesting Data...1736529988</v>
        <stp/>
        <stp>BDP|14301165673919807485</stp>
        <tr r="S1941" s="2"/>
      </tp>
      <tp t="s">
        <v>#N/A Requesting Data...1299587783</v>
        <stp/>
        <stp>BDP|10441131410176251938</stp>
        <tr r="Q733" s="2"/>
      </tp>
      <tp t="s">
        <v>#N/A Requesting Data...3809558768</v>
        <stp/>
        <stp>BDP|15989273443629852530</stp>
        <tr r="K246" s="2"/>
      </tp>
      <tp t="s">
        <v>#N/A Requesting Data...3856137061</v>
        <stp/>
        <stp>BDP|11062609285113677351</stp>
        <tr r="R2155" s="2"/>
      </tp>
      <tp t="s">
        <v>#N/A Requesting Data...2179513156</v>
        <stp/>
        <stp>BDP|16305725201326167878</stp>
        <tr r="H943" s="2"/>
      </tp>
      <tp t="s">
        <v>#N/A Requesting Data...2017639031</v>
        <stp/>
        <stp>BDP|11397403031408206161</stp>
        <tr r="S541" s="2"/>
      </tp>
      <tp t="s">
        <v>#N/A Requesting Data...2916035858</v>
        <stp/>
        <stp>BDP|10071618731008088269</stp>
        <tr r="R921" s="2"/>
      </tp>
      <tp t="s">
        <v>#N/A Requesting Data...2065707782</v>
        <stp/>
        <stp>BDP|11273260743458548049</stp>
        <tr r="M2161" s="2"/>
      </tp>
      <tp t="s">
        <v>#N/A Requesting Data...1595736633</v>
        <stp/>
        <stp>BDP|16953021358609686534</stp>
        <tr r="N1053" s="2"/>
      </tp>
      <tp t="s">
        <v>#N/A Requesting Data...3452207993</v>
        <stp/>
        <stp>BDP|11046584147237087894</stp>
        <tr r="O2285" s="2"/>
      </tp>
      <tp t="s">
        <v>#N/A Requesting Data...2099177513</v>
        <stp/>
        <stp>BDP|15913288891464201540</stp>
        <tr r="K655" s="2"/>
      </tp>
      <tp t="s">
        <v>#N/A Requesting Data...2894708291</v>
        <stp/>
        <stp>BDP|11879923748546454509</stp>
        <tr r="S323" s="2"/>
      </tp>
      <tp t="s">
        <v>#N/A Requesting Data...3879660076</v>
        <stp/>
        <stp>BDP|12698618794150694234</stp>
        <tr r="F1037" s="2"/>
      </tp>
      <tp t="b">
        <v>0</v>
        <stp/>
        <stp>BDS|14680310102581810981</stp>
        <tr r="I733" s="2"/>
      </tp>
      <tp t="s">
        <v>#N/A Requesting Data...838178071</v>
        <stp/>
        <stp>BDP|11578017048718382292</stp>
        <tr r="S1215" s="2"/>
      </tp>
      <tp t="s">
        <v>#N/A Requesting Data...2599616956</v>
        <stp/>
        <stp>BDP|12472833536786474039</stp>
        <tr r="K1656" s="2"/>
      </tp>
      <tp t="s">
        <v>#N/A Requesting Data...1883414088</v>
        <stp/>
        <stp>BDP|13895823376522251187</stp>
        <tr r="H788" s="2"/>
      </tp>
      <tp t="s">
        <v>#N/A Requesting Data...2752422868</v>
        <stp/>
        <stp>BDP|17216609585350212637</stp>
        <tr r="N2403" s="2"/>
      </tp>
      <tp t="s">
        <v>#N/A Requesting Data...2079747706</v>
        <stp/>
        <stp>BDP|16498520090504769177</stp>
        <tr r="M1627" s="2"/>
      </tp>
      <tp t="b">
        <v>0</v>
        <stp/>
        <stp>BDS|16766795822998978401</stp>
        <tr r="I77" s="2"/>
      </tp>
      <tp t="s">
        <v>#N/A Requesting Data...3722591003</v>
        <stp/>
        <stp>BDP|16541626884070085756</stp>
        <tr r="P2117" s="2"/>
      </tp>
      <tp t="s">
        <v>#N/A Requesting Data...4123018239</v>
        <stp/>
        <stp>BDP|12845615999961249340</stp>
        <tr r="P91" s="2"/>
      </tp>
      <tp t="s">
        <v>#N/A Requesting Data...1258210616</v>
        <stp/>
        <stp>BDP|14889476925418443582</stp>
        <tr r="N439" s="2"/>
      </tp>
      <tp t="s">
        <v>#N/A Requesting Data...3346533842</v>
        <stp/>
        <stp>BDP|17000931814742753260</stp>
        <tr r="P2080" s="2"/>
      </tp>
      <tp t="s">
        <v>#N/A Requesting Data...1940332424</v>
        <stp/>
        <stp>BDP|16506890058101218503</stp>
        <tr r="P997" s="2"/>
      </tp>
      <tp t="s">
        <v>#N/A Requesting Data...935537988</v>
        <stp/>
        <stp>BDP|15070274966776636814</stp>
        <tr r="A1931" s="2"/>
      </tp>
      <tp t="s">
        <v>#N/A Requesting Data...1032776753</v>
        <stp/>
        <stp>BDP|18332548088862872817</stp>
        <tr r="M833" s="2"/>
      </tp>
      <tp t="s">
        <v>#N/A Requesting Data...1672096779</v>
        <stp/>
        <stp>BDP|11386929706177738061</stp>
        <tr r="H1027" s="2"/>
      </tp>
      <tp t="s">
        <v>#N/A Requesting Data...2243439533</v>
        <stp/>
        <stp>BDP|16222931543460408405</stp>
        <tr r="N1130" s="2"/>
      </tp>
      <tp t="s">
        <v>#N/A Requesting Data...895966254</v>
        <stp/>
        <stp>BDP|13331299891083504488</stp>
        <tr r="C1882" s="2"/>
      </tp>
      <tp t="s">
        <v>#N/A Requesting Data...1235843283</v>
        <stp/>
        <stp>BDP|15234283408199346174</stp>
        <tr r="T1732" s="2"/>
      </tp>
      <tp t="s">
        <v>#N/A Requesting Data...1861888753</v>
        <stp/>
        <stp>BDP|12776844394079059517</stp>
        <tr r="T1226" s="2"/>
      </tp>
      <tp t="s">
        <v>#N/A Requesting Data...2356331705</v>
        <stp/>
        <stp>BDP|16458686689307265017</stp>
        <tr r="D1824" s="2"/>
      </tp>
      <tp t="s">
        <v>#N/A Requesting Data...1067656279</v>
        <stp/>
        <stp>BDP|12599909043737770771</stp>
        <tr r="C647" s="2"/>
      </tp>
      <tp t="s">
        <v>#N/A Requesting Data...1300855333</v>
        <stp/>
        <stp>BDP|11752984072538855830</stp>
        <tr r="A1498" s="2"/>
      </tp>
      <tp t="s">
        <v>#N/A Requesting Data...2769437947</v>
        <stp/>
        <stp>BDP|17038709062251489801</stp>
        <tr r="E2341" s="2"/>
      </tp>
      <tp t="b">
        <v>0</v>
        <stp/>
        <stp>BDS|13650165130777760920</stp>
        <tr r="I668" s="2"/>
      </tp>
      <tp t="s">
        <v>#N/A Requesting Data...2675342485</v>
        <stp/>
        <stp>BDP|18100071152546457460</stp>
        <tr r="H2159" s="2"/>
      </tp>
      <tp t="s">
        <v>#N/A Requesting Data...3246723514</v>
        <stp/>
        <stp>BDP|16766754214566065901</stp>
        <tr r="J2527" s="2"/>
      </tp>
      <tp t="s">
        <v>#N/A Requesting Data...1618264585</v>
        <stp/>
        <stp>BDP|12629840122510348753</stp>
        <tr r="H401" s="2"/>
      </tp>
      <tp t="s">
        <v>#N/A Requesting Data...4089890644</v>
        <stp/>
        <stp>BDP|18098869687252138561</stp>
        <tr r="R1377" s="2"/>
      </tp>
      <tp t="s">
        <v>#N/A Requesting Data...3412294879</v>
        <stp/>
        <stp>BDP|14144018496802602064</stp>
        <tr r="D2233" s="2"/>
      </tp>
      <tp t="s">
        <v>#N/A Requesting Data...1121811358</v>
        <stp/>
        <stp>BDP|16704634999283898538</stp>
        <tr r="J2323" s="2"/>
      </tp>
      <tp t="s">
        <v>#N/A Requesting Data...1283839640</v>
        <stp/>
        <stp>BDP|16158716917867888894</stp>
        <tr r="P367" s="2"/>
      </tp>
      <tp t="s">
        <v>#N/A Requesting Data...3324407509</v>
        <stp/>
        <stp>BDP|11685269804698050425</stp>
        <tr r="E1915" s="2"/>
      </tp>
      <tp t="b">
        <v>0</v>
        <stp/>
        <stp>BDS|17208612020348431424</stp>
        <tr r="I1631" s="2"/>
      </tp>
      <tp t="s">
        <v>#N/A Requesting Data...2670411700</v>
        <stp/>
        <stp>BDP|14625132694892466138</stp>
        <tr r="P2259" s="2"/>
      </tp>
      <tp t="s">
        <v>#N/A Requesting Data...2491877416</v>
        <stp/>
        <stp>BDP|17394923071082580434</stp>
        <tr r="M514" s="2"/>
      </tp>
      <tp t="s">
        <v>#N/A Requesting Data...1761075681</v>
        <stp/>
        <stp>BDP|13298066611738682556</stp>
        <tr r="T2240" s="2"/>
      </tp>
      <tp t="s">
        <v>#N/A Requesting Data...1602296371</v>
        <stp/>
        <stp>BDP|16438963763103644513</stp>
        <tr r="S1534" s="2"/>
      </tp>
      <tp t="s">
        <v>#N/A Requesting Data...3678467666</v>
        <stp/>
        <stp>BDP|14517839236491398153</stp>
        <tr r="K1058" s="2"/>
      </tp>
      <tp t="s">
        <v>#N/A Requesting Data...4086267226</v>
        <stp/>
        <stp>BDP|15533633813365779842</stp>
        <tr r="P597" s="2"/>
      </tp>
      <tp t="s">
        <v>#N/A Requesting Data...2821584934</v>
        <stp/>
        <stp>BDP|10064217682773386668</stp>
        <tr r="D330" s="2"/>
      </tp>
      <tp t="s">
        <v>#N/A Requesting Data...1644455121</v>
        <stp/>
        <stp>BDP|11199527812099685313</stp>
        <tr r="P1078" s="2"/>
      </tp>
      <tp t="s">
        <v>#N/A Requesting Data...3986287659</v>
        <stp/>
        <stp>BDP|11267117592535588329</stp>
        <tr r="F1873" s="2"/>
      </tp>
      <tp t="s">
        <v>#N/A Requesting Data...1780236852</v>
        <stp/>
        <stp>BDP|16193206893256114459</stp>
        <tr r="A2463" s="2"/>
      </tp>
      <tp t="s">
        <v>#N/A Requesting Data...2942149610</v>
        <stp/>
        <stp>BDP|18053143725212060677</stp>
        <tr r="Q1862" s="2"/>
      </tp>
      <tp t="s">
        <v>#N/A Requesting Data...2839588781</v>
        <stp/>
        <stp>BDP|15517416292404802386</stp>
        <tr r="C1243" s="2"/>
      </tp>
      <tp t="s">
        <v>#N/A Requesting Data...1486329143</v>
        <stp/>
        <stp>BDP|17343551092315672144</stp>
        <tr r="H1545" s="2"/>
      </tp>
      <tp t="s">
        <v>#N/A Requesting Data...1529219583</v>
        <stp/>
        <stp>BDP|11170606446515307921</stp>
        <tr r="G1472" s="2"/>
      </tp>
      <tp t="s">
        <v>#N/A Requesting Data...1025675064</v>
        <stp/>
        <stp>BDP|13765217231228238534</stp>
        <tr r="K2025" s="2"/>
      </tp>
      <tp t="s">
        <v>#N/A Requesting Data...2708512311</v>
        <stp/>
        <stp>BDP|11559717267677673837</stp>
        <tr r="H1714" s="2"/>
      </tp>
      <tp t="s">
        <v>#N/A Requesting Data...3984293421</v>
        <stp/>
        <stp>BDP|14031827710851513319</stp>
        <tr r="K138" s="2"/>
      </tp>
      <tp t="b">
        <v>0</v>
        <stp/>
        <stp>BDS|18310711486128764063</stp>
        <tr r="I1513" s="2"/>
      </tp>
      <tp t="s">
        <v>#N/A Requesting Data...3815379808</v>
        <stp/>
        <stp>BDP|10680201893224917351</stp>
        <tr r="T214" s="2"/>
      </tp>
      <tp t="s">
        <v>#N/A Requesting Data...3967249815</v>
        <stp/>
        <stp>BDP|12945945561135199442</stp>
        <tr r="E1095" s="2"/>
      </tp>
      <tp t="s">
        <v>#N/A Requesting Data...1005488712</v>
        <stp/>
        <stp>BDP|17187152085790874201</stp>
        <tr r="H2037" s="2"/>
      </tp>
      <tp t="s">
        <v>#N/A Requesting Data...1300223999</v>
        <stp/>
        <stp>BDP|13916608394359111950</stp>
        <tr r="F830" s="2"/>
      </tp>
      <tp t="s">
        <v>#N/A Requesting Data...2715122635</v>
        <stp/>
        <stp>BDP|12436345983944829126</stp>
        <tr r="S1530" s="2"/>
      </tp>
      <tp t="s">
        <v>#N/A Requesting Data...3447447075</v>
        <stp/>
        <stp>BDP|14083927758301166521</stp>
        <tr r="P76" s="2"/>
      </tp>
      <tp t="s">
        <v>#N/A Requesting Data...4067765915</v>
        <stp/>
        <stp>BDP|12306101898035524379</stp>
        <tr r="E1489" s="2"/>
      </tp>
      <tp t="s">
        <v>#N/A Requesting Data...1532715895</v>
        <stp/>
        <stp>BDP|15990145652275270843</stp>
        <tr r="G1399" s="2"/>
      </tp>
      <tp t="s">
        <v>#N/A Requesting Data...4081521515</v>
        <stp/>
        <stp>BDP|15594355379065422844</stp>
        <tr r="G186" s="2"/>
      </tp>
      <tp t="s">
        <v>#N/A Requesting Data...1234838076</v>
        <stp/>
        <stp>BDP|10879697243137985920</stp>
        <tr r="J1258" s="2"/>
      </tp>
      <tp t="s">
        <v>#N/A Requesting Data...2418565310</v>
        <stp/>
        <stp>BDP|13091968149057394551</stp>
        <tr r="N389" s="2"/>
      </tp>
      <tp t="s">
        <v>#N/A Requesting Data...1937639912</v>
        <stp/>
        <stp>BDP|11078879207231167482</stp>
        <tr r="E1979" s="2"/>
      </tp>
      <tp t="s">
        <v>#N/A Requesting Data...4036611393</v>
        <stp/>
        <stp>BDP|13871789290229912805</stp>
        <tr r="E1238" s="2"/>
      </tp>
      <tp t="s">
        <v>#N/A Requesting Data...2220994632</v>
        <stp/>
        <stp>BDP|13491460865598739590</stp>
        <tr r="C842" s="2"/>
      </tp>
      <tp t="s">
        <v>#N/A Requesting Data...1839470485</v>
        <stp/>
        <stp>BDP|17161826127400928149</stp>
        <tr r="T594" s="2"/>
      </tp>
      <tp t="s">
        <v>#N/A Requesting Data...3273977721</v>
        <stp/>
        <stp>BDP|12759807218282393556</stp>
        <tr r="A1431" s="2"/>
      </tp>
      <tp t="b">
        <v>0</v>
        <stp/>
        <stp>BDS|15122482381954054123</stp>
        <tr r="I2164" s="2"/>
      </tp>
      <tp t="s">
        <v>#N/A Requesting Data...1901291376</v>
        <stp/>
        <stp>BDP|15702695937814449846</stp>
        <tr r="H2205" s="2"/>
      </tp>
      <tp t="s">
        <v>#N/A Requesting Data...3683719792</v>
        <stp/>
        <stp>BDP|13933242603269741408</stp>
        <tr r="J188" s="2"/>
      </tp>
      <tp t="s">
        <v>#N/A Requesting Data...3443609011</v>
        <stp/>
        <stp>BDP|18218590356102592617</stp>
        <tr r="E266" s="2"/>
      </tp>
      <tp t="s">
        <v>#N/A Requesting Data...3126444843</v>
        <stp/>
        <stp>BDP|14265026985828538895</stp>
        <tr r="S999" s="2"/>
      </tp>
      <tp t="s">
        <v>#N/A Requesting Data...2600845622</v>
        <stp/>
        <stp>BDP|14136956079440360679</stp>
        <tr r="D737" s="2"/>
      </tp>
      <tp t="s">
        <v>#N/A Requesting Data...1035729756</v>
        <stp/>
        <stp>BDP|15269467943911707895</stp>
        <tr r="F1835" s="2"/>
      </tp>
      <tp t="s">
        <v>#N/A Requesting Data...1658874038</v>
        <stp/>
        <stp>BDP|14906890648445514148</stp>
        <tr r="Q1427" s="2"/>
      </tp>
      <tp t="s">
        <v>#N/A Requesting Data...3015419857</v>
        <stp/>
        <stp>BDP|11425368884717655194</stp>
        <tr r="T2082" s="2"/>
      </tp>
      <tp t="s">
        <v>#N/A Requesting Data...2531946636</v>
        <stp/>
        <stp>BDP|14389318308993569863</stp>
        <tr r="F2198" s="2"/>
      </tp>
      <tp t="s">
        <v>#N/A Requesting Data...2780289983</v>
        <stp/>
        <stp>BDP|16649598795376173024</stp>
        <tr r="N727" s="2"/>
      </tp>
      <tp t="s">
        <v>#N/A Requesting Data...4060598092</v>
        <stp/>
        <stp>BDP|10270527495721427189</stp>
        <tr r="K635" s="2"/>
      </tp>
      <tp t="s">
        <v>#N/A Requesting Data...1736543381</v>
        <stp/>
        <stp>BDP|10224851009825254152</stp>
        <tr r="P1072" s="2"/>
      </tp>
      <tp t="s">
        <v>#N/A Requesting Data...1056685065</v>
        <stp/>
        <stp>BDP|12939735299104957431</stp>
        <tr r="N1425" s="2"/>
      </tp>
      <tp t="s">
        <v>#N/A Requesting Data...3737395477</v>
        <stp/>
        <stp>BDP|12751843857314977741</stp>
        <tr r="S48" s="2"/>
      </tp>
      <tp t="b">
        <v>0</v>
        <stp/>
        <stp>BDS|14904946506104578543</stp>
        <tr r="I237" s="2"/>
      </tp>
      <tp t="s">
        <v>#N/A Requesting Data...1790548536</v>
        <stp/>
        <stp>BDP|13163575649606770811</stp>
        <tr r="Q1676" s="2"/>
      </tp>
      <tp t="s">
        <v>#N/A Requesting Data...2252976844</v>
        <stp/>
        <stp>BDP|13806471627428826194</stp>
        <tr r="E1346" s="2"/>
      </tp>
      <tp t="s">
        <v>#N/A Requesting Data...2995127254</v>
        <stp/>
        <stp>BDP|12472864819091065626</stp>
        <tr r="Q1762" s="2"/>
      </tp>
      <tp t="s">
        <v>#N/A Requesting Data...2410525421</v>
        <stp/>
        <stp>BDP|12562912065010162191</stp>
        <tr r="D1527" s="2"/>
      </tp>
      <tp t="s">
        <v>#N/A Requesting Data...3345032477</v>
        <stp/>
        <stp>BDP|11644069829569038608</stp>
        <tr r="E521" s="2"/>
      </tp>
      <tp t="s">
        <v>#N/A Requesting Data...3681169422</v>
        <stp/>
        <stp>BDP|11713385778610787999</stp>
        <tr r="K823" s="2"/>
      </tp>
      <tp t="s">
        <v>#N/A Requesting Data...2008922987</v>
        <stp/>
        <stp>BDP|18327225169687014712</stp>
        <tr r="P895" s="2"/>
      </tp>
      <tp t="s">
        <v>#N/A Requesting Data...3382954964</v>
        <stp/>
        <stp>BDP|17465817223084908563</stp>
        <tr r="J1818" s="2"/>
      </tp>
      <tp t="s">
        <v>#N/A Requesting Data...4277838990</v>
        <stp/>
        <stp>BDP|10086218303039840736</stp>
        <tr r="O341" s="2"/>
      </tp>
      <tp t="s">
        <v>#N/A Requesting Data...3871411348</v>
        <stp/>
        <stp>BDP|16174939827534489581</stp>
        <tr r="P1541" s="2"/>
      </tp>
      <tp t="s">
        <v>#N/A Requesting Data...3728895668</v>
        <stp/>
        <stp>BDP|12442420462068961440</stp>
        <tr r="M161" s="2"/>
      </tp>
      <tp t="s">
        <v>#N/A Requesting Data...1196260452</v>
        <stp/>
        <stp>BDP|13350482655409395748</stp>
        <tr r="J1848" s="2"/>
      </tp>
      <tp t="s">
        <v>#N/A Requesting Data...2938461686</v>
        <stp/>
        <stp>BDP|18344674078311432411</stp>
        <tr r="A142" s="2"/>
      </tp>
      <tp t="s">
        <v>#N/A Requesting Data...3395239635</v>
        <stp/>
        <stp>BDP|14258691316166274962</stp>
        <tr r="J1592" s="2"/>
      </tp>
      <tp t="s">
        <v>#N/A Requesting Data...1958720677</v>
        <stp/>
        <stp>BDP|16693316388892063361</stp>
        <tr r="J1408" s="2"/>
      </tp>
      <tp t="s">
        <v>#N/A Requesting Data...3617361610</v>
        <stp/>
        <stp>BDP|15497180095235891482</stp>
        <tr r="A1518" s="2"/>
      </tp>
      <tp t="s">
        <v>#N/A Requesting Data...2115802489</v>
        <stp/>
        <stp>BDP|17084299005060645935</stp>
        <tr r="T72" s="2"/>
      </tp>
      <tp t="s">
        <v>#N/A Requesting Data...3575919750</v>
        <stp/>
        <stp>BDP|14977577143711428802</stp>
        <tr r="D2328" s="2"/>
      </tp>
      <tp t="s">
        <v>#N/A Requesting Data...1997706548</v>
        <stp/>
        <stp>BDP|10601717787711811216</stp>
        <tr r="K2033" s="2"/>
      </tp>
      <tp t="s">
        <v>#N/A Requesting Data...1190512271</v>
        <stp/>
        <stp>BDP|15828484266189912261</stp>
        <tr r="K414" s="2"/>
      </tp>
      <tp t="s">
        <v>#N/A Requesting Data...3251110606</v>
        <stp/>
        <stp>BDP|14617506267152022983</stp>
        <tr r="P901" s="2"/>
      </tp>
      <tp t="s">
        <v>#N/A Requesting Data...4183525787</v>
        <stp/>
        <stp>BDP|14563755076790755887</stp>
        <tr r="H1331" s="2"/>
      </tp>
      <tp t="s">
        <v>#N/A Requesting Data...3479810274</v>
        <stp/>
        <stp>BDP|17534481997461074737</stp>
        <tr r="S2124" s="2"/>
      </tp>
      <tp t="s">
        <v>#N/A Requesting Data...2095157899</v>
        <stp/>
        <stp>BDP|11965125834548197779</stp>
        <tr r="M1243" s="2"/>
      </tp>
      <tp t="s">
        <v>#N/A Requesting Data...3603499326</v>
        <stp/>
        <stp>BDP|15918842443532795709</stp>
        <tr r="C645" s="2"/>
      </tp>
      <tp t="s">
        <v>#N/A Requesting Data...3629357426</v>
        <stp/>
        <stp>BDP|11893008781060417546</stp>
        <tr r="H920" s="2"/>
      </tp>
      <tp t="s">
        <v>#N/A Requesting Data...3638284934</v>
        <stp/>
        <stp>BDP|14338985774383553536</stp>
        <tr r="C293" s="2"/>
      </tp>
      <tp t="s">
        <v>#N/A Requesting Data...2003461508</v>
        <stp/>
        <stp>BDP|17853546578409948046</stp>
        <tr r="C368" s="2"/>
      </tp>
      <tp t="s">
        <v>#N/A Requesting Data...2749575786</v>
        <stp/>
        <stp>BDP|16529995639627444780</stp>
        <tr r="F1505" s="2"/>
      </tp>
      <tp t="s">
        <v>#N/A Requesting Data...1304153735</v>
        <stp/>
        <stp>BDP|17498194535868041114</stp>
        <tr r="M1610" s="2"/>
      </tp>
      <tp t="s">
        <v>#N/A Requesting Data...2683494036</v>
        <stp/>
        <stp>BDP|14976513995280366475</stp>
        <tr r="A3" s="2"/>
      </tp>
      <tp t="s">
        <v>#N/A Requesting Data...3885869061</v>
        <stp/>
        <stp>BDP|11376921555410460191</stp>
        <tr r="K1383" s="2"/>
      </tp>
      <tp t="s">
        <v>#N/A Requesting Data...3942286553</v>
        <stp/>
        <stp>BDP|12480471989340180226</stp>
        <tr r="O1946" s="2"/>
      </tp>
      <tp t="s">
        <v>#N/A Requesting Data...2666156359</v>
        <stp/>
        <stp>BDP|12978366676239038304</stp>
        <tr r="C1680" s="2"/>
      </tp>
      <tp t="s">
        <v>#N/A Requesting Data...1880488154</v>
        <stp/>
        <stp>BDP|10629872462800359299</stp>
        <tr r="E1473" s="2"/>
      </tp>
      <tp t="s">
        <v>#N/A Requesting Data...1891306020</v>
        <stp/>
        <stp>BDP|13070995528573889714</stp>
        <tr r="K1658" s="2"/>
      </tp>
      <tp t="s">
        <v>#N/A Requesting Data...1637060912</v>
        <stp/>
        <stp>BDP|13412849202683963433</stp>
        <tr r="T682" s="2"/>
      </tp>
      <tp t="s">
        <v>#N/A Requesting Data...1792369036</v>
        <stp/>
        <stp>BDP|10358872995389873418</stp>
        <tr r="N249" s="2"/>
      </tp>
      <tp t="s">
        <v>#N/A Requesting Data...4225535833</v>
        <stp/>
        <stp>BDP|15784464278278713264</stp>
        <tr r="E747" s="2"/>
      </tp>
      <tp t="s">
        <v>#N/A Requesting Data...4266232143</v>
        <stp/>
        <stp>BDP|15585766850572213990</stp>
        <tr r="A2400" s="2"/>
      </tp>
      <tp t="s">
        <v>#N/A Requesting Data...3468522618</v>
        <stp/>
        <stp>BDP|17267428691241152783</stp>
        <tr r="S1522" s="2"/>
      </tp>
      <tp t="s">
        <v>#N/A Requesting Data...1458409433</v>
        <stp/>
        <stp>BDP|12611794170347185964</stp>
        <tr r="C297" s="2"/>
      </tp>
      <tp t="b">
        <v>0</v>
        <stp/>
        <stp>BDS|14212420357860816942</stp>
        <tr r="I394" s="2"/>
      </tp>
      <tp t="s">
        <v>#N/A Requesting Data...1792651197</v>
        <stp/>
        <stp>BDP|11469585835819083219</stp>
        <tr r="M365" s="2"/>
      </tp>
      <tp t="s">
        <v>#N/A Requesting Data...3286908643</v>
        <stp/>
        <stp>BDP|17914360792230298173</stp>
        <tr r="C670" s="2"/>
      </tp>
      <tp t="s">
        <v>#N/A Requesting Data...4066829040</v>
        <stp/>
        <stp>BDP|14796717079181165960</stp>
        <tr r="E1876" s="2"/>
      </tp>
      <tp t="s">
        <v>#N/A Requesting Data...2900714762</v>
        <stp/>
        <stp>BDP|10166602497927817465</stp>
        <tr r="M1963" s="2"/>
      </tp>
      <tp t="s">
        <v>#N/A Requesting Data...2272261934</v>
        <stp/>
        <stp>BDP|15084289605833130843</stp>
        <tr r="D2456" s="2"/>
      </tp>
      <tp t="s">
        <v>#N/A Requesting Data...4282880793</v>
        <stp/>
        <stp>BDP|11860773233671095843</stp>
        <tr r="R575" s="2"/>
      </tp>
      <tp t="s">
        <v>#N/A Requesting Data...1568672875</v>
        <stp/>
        <stp>BDP|16429410289631444708</stp>
        <tr r="R2526" s="2"/>
      </tp>
      <tp t="s">
        <v>#N/A Requesting Data...1279719908</v>
        <stp/>
        <stp>BDP|14962179470746495829</stp>
        <tr r="H833" s="2"/>
      </tp>
      <tp t="s">
        <v>#N/A Requesting Data...3497608994</v>
        <stp/>
        <stp>BDP|12091197835659050542</stp>
        <tr r="R1161" s="2"/>
      </tp>
      <tp t="s">
        <v>#N/A Requesting Data...2965938655</v>
        <stp/>
        <stp>BDP|13889807912572019424</stp>
        <tr r="H604" s="2"/>
      </tp>
      <tp t="s">
        <v>#N/A Requesting Data...2448058638</v>
        <stp/>
        <stp>BDP|12054959277748347890</stp>
        <tr r="R2501" s="2"/>
      </tp>
      <tp t="s">
        <v>#N/A Requesting Data...4234317930</v>
        <stp/>
        <stp>BDP|14753847538421384201</stp>
        <tr r="R1473" s="2"/>
      </tp>
      <tp t="s">
        <v>#N/A Requesting Data...2313255652</v>
        <stp/>
        <stp>BDP|12688307157171922902</stp>
        <tr r="G2445" s="2"/>
      </tp>
      <tp t="s">
        <v>#N/A Requesting Data...1597952681</v>
        <stp/>
        <stp>BDP|10936996117801910562</stp>
        <tr r="O1121" s="2"/>
      </tp>
      <tp t="s">
        <v>#N/A Requesting Data...2700600238</v>
        <stp/>
        <stp>BDP|17914053280117089446</stp>
        <tr r="S888" s="2"/>
      </tp>
      <tp t="s">
        <v>#N/A Requesting Data...3461342911</v>
        <stp/>
        <stp>BDP|12478225608005467929</stp>
        <tr r="M1441" s="2"/>
      </tp>
      <tp t="s">
        <v>#N/A Requesting Data...1542392256</v>
        <stp/>
        <stp>BDP|12019211646988943060</stp>
        <tr r="J615" s="2"/>
      </tp>
      <tp t="s">
        <v>#N/A Requesting Data...1401285338</v>
        <stp/>
        <stp>BDP|12565759599751601175</stp>
        <tr r="N1062" s="2"/>
      </tp>
      <tp t="s">
        <v>#N/A Requesting Data...2927698489</v>
        <stp/>
        <stp>BDP|16516502314416179883</stp>
        <tr r="F665" s="2"/>
      </tp>
      <tp t="s">
        <v>#N/A Requesting Data...1964706511</v>
        <stp/>
        <stp>BDP|14378866276821980622</stp>
        <tr r="K330" s="2"/>
      </tp>
      <tp t="s">
        <v>#N/A Requesting Data...1463966703</v>
        <stp/>
        <stp>BDP|15133136628692152834</stp>
        <tr r="H1669" s="2"/>
      </tp>
      <tp t="s">
        <v>#N/A Requesting Data...2207942692</v>
        <stp/>
        <stp>BDP|11879083228219621666</stp>
        <tr r="C1869" s="2"/>
      </tp>
      <tp t="s">
        <v>#N/A Requesting Data...1736768668</v>
        <stp/>
        <stp>BDP|16703915432266975652</stp>
        <tr r="D1412" s="2"/>
      </tp>
      <tp t="s">
        <v>#N/A Requesting Data...2203697909</v>
        <stp/>
        <stp>BDP|16885607021878965683</stp>
        <tr r="F6" s="2"/>
      </tp>
      <tp t="s">
        <v>#N/A Requesting Data...4249267079</v>
        <stp/>
        <stp>BDP|11091820226642568598</stp>
        <tr r="N311" s="2"/>
      </tp>
      <tp t="s">
        <v>#N/A Requesting Data...1941687557</v>
        <stp/>
        <stp>BDP|11173946710863989640</stp>
        <tr r="M2471" s="2"/>
      </tp>
      <tp t="s">
        <v>#N/A Requesting Data...2893392111</v>
        <stp/>
        <stp>BDP|16746230589783521300</stp>
        <tr r="J1824" s="2"/>
      </tp>
      <tp t="b">
        <v>0</v>
        <stp/>
        <stp>BDS|17663243788986550749</stp>
        <tr r="I2190" s="2"/>
      </tp>
      <tp t="s">
        <v>#N/A Requesting Data...1484605324</v>
        <stp/>
        <stp>BDP|12429217194705046096</stp>
        <tr r="M166" s="2"/>
      </tp>
      <tp t="s">
        <v>#N/A Requesting Data...1523555337</v>
        <stp/>
        <stp>BDP|10861785706523771891</stp>
        <tr r="G953" s="2"/>
      </tp>
      <tp t="s">
        <v>#N/A Requesting Data...4157601602</v>
        <stp/>
        <stp>BDP|14013003882196964635</stp>
        <tr r="N1954" s="2"/>
      </tp>
      <tp t="s">
        <v>#N/A Requesting Data...3158419686</v>
        <stp/>
        <stp>BDP|17685506230959730494</stp>
        <tr r="C1562" s="2"/>
      </tp>
      <tp t="s">
        <v>#N/A Requesting Data...3623494758</v>
        <stp/>
        <stp>BDP|15059552289671220564</stp>
        <tr r="R2342" s="2"/>
      </tp>
      <tp t="s">
        <v>#N/A Requesting Data...2865581556</v>
        <stp/>
        <stp>BDP|13800665180252281348</stp>
        <tr r="N2510" s="2"/>
      </tp>
      <tp t="s">
        <v>#N/A Requesting Data...2225388593</v>
        <stp/>
        <stp>BDP|11904675284596121534</stp>
        <tr r="T2302" s="2"/>
      </tp>
      <tp t="s">
        <v>#N/A Requesting Data...1968949346</v>
        <stp/>
        <stp>BDP|12499720635958953223</stp>
        <tr r="H1289" s="2"/>
      </tp>
      <tp t="s">
        <v>#N/A Requesting Data...2214680439</v>
        <stp/>
        <stp>BDP|16607884703663343160</stp>
        <tr r="Q1337" s="2"/>
      </tp>
      <tp t="s">
        <v>#N/A Requesting Data...3449352931</v>
        <stp/>
        <stp>BDP|17136201447708867565</stp>
        <tr r="T504" s="2"/>
      </tp>
      <tp t="s">
        <v>#N/A Requesting Data...3665957704</v>
        <stp/>
        <stp>BDP|13670575323261226984</stp>
        <tr r="M539" s="2"/>
      </tp>
      <tp t="s">
        <v>#N/A Requesting Data...2290568511</v>
        <stp/>
        <stp>BDP|10325827956442621396</stp>
        <tr r="A2500" s="2"/>
      </tp>
      <tp t="s">
        <v>#N/A Requesting Data...1933836507</v>
        <stp/>
        <stp>BDP|14264316207538551395</stp>
        <tr r="S1275" s="2"/>
      </tp>
      <tp t="s">
        <v>#N/A Requesting Data...1794399375</v>
        <stp/>
        <stp>BDP|10602797499527779591</stp>
        <tr r="H1263" s="2"/>
      </tp>
      <tp t="s">
        <v>#N/A Requesting Data...3424645514</v>
        <stp/>
        <stp>BDP|12901628143184644869</stp>
        <tr r="G1287" s="2"/>
      </tp>
      <tp t="s">
        <v>#N/A Requesting Data...3317505308</v>
        <stp/>
        <stp>BDP|10081866851607647698</stp>
        <tr r="Q2454" s="2"/>
      </tp>
      <tp t="s">
        <v>#N/A Requesting Data...3520804010</v>
        <stp/>
        <stp>BDP|15074933697689578091</stp>
        <tr r="H2009" s="2"/>
      </tp>
      <tp t="s">
        <v>#N/A Requesting Data...1968788520</v>
        <stp/>
        <stp>BDP|10793662080381237380</stp>
        <tr r="N419" s="2"/>
      </tp>
      <tp t="s">
        <v>#N/A Requesting Data...1483789667</v>
        <stp/>
        <stp>BDP|17935825041333267438</stp>
        <tr r="A995" s="2"/>
      </tp>
      <tp t="s">
        <v>#N/A Requesting Data...3235435943</v>
        <stp/>
        <stp>BDP|14809919399549227194</stp>
        <tr r="T1999" s="2"/>
      </tp>
      <tp t="s">
        <v>#N/A Requesting Data...1938405924</v>
        <stp/>
        <stp>BDP|16020736898251787577</stp>
        <tr r="G453" s="2"/>
      </tp>
      <tp t="s">
        <v>#N/A Requesting Data...3273000868</v>
        <stp/>
        <stp>BDP|11219190314374328979</stp>
        <tr r="R1290" s="2"/>
      </tp>
      <tp t="s">
        <v>#N/A Requesting Data...3991583542</v>
        <stp/>
        <stp>BDP|18054382464021194067</stp>
        <tr r="P2398" s="2"/>
      </tp>
      <tp t="s">
        <v>#N/A Requesting Data...1435742580</v>
        <stp/>
        <stp>BDP|13978590107243551998</stp>
        <tr r="R1479" s="2"/>
      </tp>
      <tp t="s">
        <v>#N/A Requesting Data...3777271139</v>
        <stp/>
        <stp>BDP|17476254340695357898</stp>
        <tr r="A1391" s="2"/>
      </tp>
      <tp t="s">
        <v>#N/A Requesting Data...2393167619</v>
        <stp/>
        <stp>BDP|15987208734548281045</stp>
        <tr r="K1604" s="2"/>
      </tp>
      <tp t="s">
        <v>#N/A Requesting Data...3494783093</v>
        <stp/>
        <stp>BDP|13982711591978217909</stp>
        <tr r="P272" s="2"/>
      </tp>
      <tp t="s">
        <v>#N/A Requesting Data...3008306938</v>
        <stp/>
        <stp>BDP|11640457174906911853</stp>
        <tr r="C1386" s="2"/>
      </tp>
      <tp t="s">
        <v>#N/A Requesting Data...1950108143</v>
        <stp/>
        <stp>BDP|10786797892262230051</stp>
        <tr r="S2300" s="2"/>
      </tp>
      <tp t="s">
        <v>#N/A Requesting Data...3946175072</v>
        <stp/>
        <stp>BDP|18286217499399263635</stp>
        <tr r="O842" s="2"/>
      </tp>
      <tp t="s">
        <v>#N/A Requesting Data...2832539668</v>
        <stp/>
        <stp>BDP|17752015959847625925</stp>
        <tr r="N947" s="2"/>
      </tp>
      <tp t="s">
        <v>#N/A Requesting Data...4102707450</v>
        <stp/>
        <stp>BDP|15295783998000819714</stp>
        <tr r="F1880" s="2"/>
      </tp>
      <tp t="s">
        <v>#N/A Requesting Data...1998226003</v>
        <stp/>
        <stp>BDP|10573364939568988481</stp>
        <tr r="M1965" s="2"/>
      </tp>
      <tp t="s">
        <v>#N/A Requesting Data...2314634150</v>
        <stp/>
        <stp>BDP|16322413319807067800</stp>
        <tr r="O2325" s="2"/>
      </tp>
      <tp t="s">
        <v>#N/A Requesting Data...1735666618</v>
        <stp/>
        <stp>BDP|17071884516076540408</stp>
        <tr r="N307" s="2"/>
      </tp>
      <tp t="s">
        <v>#N/A Requesting Data...2285700425</v>
        <stp/>
        <stp>BDP|10532801198685789813</stp>
        <tr r="P769" s="2"/>
      </tp>
      <tp t="b">
        <v>0</v>
        <stp/>
        <stp>BDS|10711997026920281728</stp>
        <tr r="I784" s="2"/>
      </tp>
      <tp t="b">
        <v>0</v>
        <stp/>
        <stp>BDS|18329278517853295495</stp>
        <tr r="I159" s="2"/>
      </tp>
      <tp t="b">
        <v>0</v>
        <stp/>
        <stp>BDS|10883956022964010378</stp>
        <tr r="I1100" s="2"/>
      </tp>
      <tp t="s">
        <v>#N/A Requesting Data...2937277087</v>
        <stp/>
        <stp>BDP|16784635416949188481</stp>
        <tr r="O915" s="2"/>
      </tp>
      <tp t="s">
        <v>#N/A Requesting Data...3421622087</v>
        <stp/>
        <stp>BDP|13309609488000932197</stp>
        <tr r="R1660" s="2"/>
      </tp>
      <tp t="s">
        <v>#N/A Requesting Data...1866068781</v>
        <stp/>
        <stp>BDP|14957959256284604073</stp>
        <tr r="Q1852" s="2"/>
      </tp>
      <tp t="s">
        <v>#N/A Requesting Data...3307271306</v>
        <stp/>
        <stp>BDP|10652120161649792297</stp>
        <tr r="K1715" s="2"/>
      </tp>
      <tp t="s">
        <v>#N/A Requesting Data...3991896652</v>
        <stp/>
        <stp>BDP|14328821564861846763</stp>
        <tr r="K1421" s="2"/>
      </tp>
      <tp t="s">
        <v>#N/A Requesting Data...3109762544</v>
        <stp/>
        <stp>BDP|17180975157131218681</stp>
        <tr r="O2047" s="2"/>
      </tp>
      <tp t="s">
        <v>#N/A Requesting Data...2586457721</v>
        <stp/>
        <stp>BDP|13212498349407977806</stp>
        <tr r="K1731" s="2"/>
      </tp>
      <tp t="s">
        <v>#N/A Requesting Data...4000207031</v>
        <stp/>
        <stp>BDP|12517344196185514196</stp>
        <tr r="D2117" s="2"/>
      </tp>
      <tp t="s">
        <v>#N/A Requesting Data...3185183107</v>
        <stp/>
        <stp>BDP|15352091311530676865</stp>
        <tr r="Q1774" s="2"/>
      </tp>
      <tp t="s">
        <v>#N/A Requesting Data...3999154748</v>
        <stp/>
        <stp>BDP|15623852718176417643</stp>
        <tr r="F2056" s="2"/>
      </tp>
      <tp t="b">
        <v>0</v>
        <stp/>
        <stp>BDS|13347660433059921375</stp>
        <tr r="I1910" s="2"/>
      </tp>
      <tp t="b">
        <v>0</v>
        <stp/>
        <stp>BDS|17698319878669310644</stp>
        <tr r="I574" s="2"/>
      </tp>
      <tp t="s">
        <v>#N/A Requesting Data...1775283177</v>
        <stp/>
        <stp>BDP|14849432473623567864</stp>
        <tr r="J757" s="2"/>
      </tp>
      <tp t="b">
        <v>0</v>
        <stp/>
        <stp>BDS|16003377628688301340</stp>
        <tr r="I498" s="2"/>
      </tp>
      <tp t="s">
        <v>#N/A Requesting Data...4019049603</v>
        <stp/>
        <stp>BDP|11825852246069128813</stp>
        <tr r="K407" s="2"/>
      </tp>
      <tp t="s">
        <v>#N/A Requesting Data...4219289242</v>
        <stp/>
        <stp>BDP|17229955025913873318</stp>
        <tr r="M2448" s="2"/>
      </tp>
      <tp t="s">
        <v>#N/A Requesting Data...1955988901</v>
        <stp/>
        <stp>BDP|12065207694774605197</stp>
        <tr r="O2138" s="2"/>
      </tp>
      <tp t="s">
        <v>#N/A Requesting Data...1614758635</v>
        <stp/>
        <stp>BDP|11032876733045722386</stp>
        <tr r="N719" s="2"/>
      </tp>
      <tp t="s">
        <v>#N/A Requesting Data...2807452089</v>
        <stp/>
        <stp>BDP|17975848266994852183</stp>
        <tr r="Q1374" s="2"/>
      </tp>
      <tp t="s">
        <v>#N/A Requesting Data...2363176128</v>
        <stp/>
        <stp>BDP|17452719481753886773</stp>
        <tr r="C1812" s="2"/>
      </tp>
      <tp t="s">
        <v>#N/A Requesting Data...2887993897</v>
        <stp/>
        <stp>BDP|14841350295466624452</stp>
        <tr r="C538" s="2"/>
      </tp>
      <tp t="b">
        <v>0</v>
        <stp/>
        <stp>BDS|15167425405325843864</stp>
        <tr r="I746" s="2"/>
      </tp>
      <tp t="s">
        <v>#N/A Requesting Data...1717475426</v>
        <stp/>
        <stp>BDP|15657800308234239572</stp>
        <tr r="P1058" s="2"/>
      </tp>
      <tp t="s">
        <v>#N/A Requesting Data...4151673525</v>
        <stp/>
        <stp>BDP|16499032271564484990</stp>
        <tr r="T337" s="2"/>
      </tp>
      <tp t="s">
        <v>#N/A Requesting Data...2888276104</v>
        <stp/>
        <stp>BDP|14766746981220845710</stp>
        <tr r="F1667" s="2"/>
      </tp>
      <tp t="s">
        <v>#N/A Requesting Data...3961110454</v>
        <stp/>
        <stp>BDP|18046362326472349780</stp>
        <tr r="Q1668" s="2"/>
      </tp>
      <tp t="s">
        <v>#N/A Requesting Data...3694499879</v>
        <stp/>
        <stp>BDP|16957489398831088629</stp>
        <tr r="S2418" s="2"/>
      </tp>
      <tp t="s">
        <v>#N/A Requesting Data...3975006725</v>
        <stp/>
        <stp>BDP|10064483744935706909</stp>
        <tr r="M675" s="2"/>
      </tp>
      <tp t="s">
        <v>#N/A Requesting Data...2340609588</v>
        <stp/>
        <stp>BDP|15937713790175145220</stp>
        <tr r="K1474" s="2"/>
      </tp>
      <tp t="s">
        <v>#N/A Requesting Data...3215437127</v>
        <stp/>
        <stp>BDP|18118936022377216891</stp>
        <tr r="O1693" s="2"/>
      </tp>
      <tp t="s">
        <v>#N/A Requesting Data...2511230272</v>
        <stp/>
        <stp>BDP|12653237999207383253</stp>
        <tr r="Q21" s="2"/>
      </tp>
      <tp t="s">
        <v>#N/A Requesting Data...4056012223</v>
        <stp/>
        <stp>BDP|12907568374174908882</stp>
        <tr r="H1748" s="2"/>
      </tp>
      <tp t="s">
        <v>#N/A Requesting Data...3346264201</v>
        <stp/>
        <stp>BDP|15694187850065210864</stp>
        <tr r="T2349" s="2"/>
      </tp>
      <tp t="s">
        <v>#N/A Requesting Data...1717981852</v>
        <stp/>
        <stp>BDP|10698810251591877040</stp>
        <tr r="O834" s="2"/>
      </tp>
      <tp t="s">
        <v>#N/A Requesting Data...2891578116</v>
        <stp/>
        <stp>BDP|17396007339708571055</stp>
        <tr r="K508" s="2"/>
      </tp>
      <tp t="s">
        <v>#N/A Requesting Data...2879043580</v>
        <stp/>
        <stp>BDP|17782475738428550477</stp>
        <tr r="Q419" s="2"/>
      </tp>
      <tp t="s">
        <v>#N/A Requesting Data...3872248792</v>
        <stp/>
        <stp>BDP|10629782262519686407</stp>
        <tr r="P815" s="2"/>
      </tp>
      <tp t="s">
        <v>#N/A Requesting Data...1814944599</v>
        <stp/>
        <stp>BDP|13963453744886575970</stp>
        <tr r="K2529" s="2"/>
      </tp>
      <tp t="s">
        <v>#N/A Requesting Data...2823292763</v>
        <stp/>
        <stp>BDP|14486185674469467765</stp>
        <tr r="O461" s="2"/>
      </tp>
      <tp t="s">
        <v>#N/A Requesting Data...2608018256</v>
        <stp/>
        <stp>BDP|14281261787632805015</stp>
        <tr r="P2235" s="2"/>
      </tp>
      <tp t="s">
        <v>#N/A Requesting Data...1584965558</v>
        <stp/>
        <stp>BDP|17133347580726684691</stp>
        <tr r="Q2398" s="2"/>
      </tp>
      <tp t="s">
        <v>#N/A Requesting Data...2869952000</v>
        <stp/>
        <stp>BDP|13846420023921727845</stp>
        <tr r="A927" s="2"/>
      </tp>
      <tp t="s">
        <v>#N/A Requesting Data...2792131735</v>
        <stp/>
        <stp>BDP|13839582095935680699</stp>
        <tr r="G1325" s="2"/>
      </tp>
      <tp t="s">
        <v>#N/A Requesting Data...2963687798</v>
        <stp/>
        <stp>BDP|15657910079877577013</stp>
        <tr r="T1992" s="2"/>
      </tp>
      <tp t="s">
        <v>#N/A Requesting Data...2658568201</v>
        <stp/>
        <stp>BDP|12943527451827035901</stp>
        <tr r="P310" s="2"/>
      </tp>
      <tp t="s">
        <v>#N/A Requesting Data...2189720224</v>
        <stp/>
        <stp>BDP|13738725899974257543</stp>
        <tr r="A774" s="2"/>
      </tp>
      <tp t="s">
        <v>#N/A Requesting Data...2104949611</v>
        <stp/>
        <stp>BDP|13456238083821656489</stp>
        <tr r="K1125" s="2"/>
      </tp>
      <tp t="s">
        <v>#N/A Requesting Data...1769745342</v>
        <stp/>
        <stp>BDP|15807176183791392150</stp>
        <tr r="K469" s="2"/>
      </tp>
      <tp t="s">
        <v>#N/A Requesting Data...3017058039</v>
        <stp/>
        <stp>BDP|12525888162435131545</stp>
        <tr r="M1941" s="2"/>
      </tp>
      <tp t="b">
        <v>0</v>
        <stp/>
        <stp>BDS|15867005525868404303</stp>
        <tr r="I2003" s="2"/>
      </tp>
      <tp t="s">
        <v>#N/A Requesting Data...1705075412</v>
        <stp/>
        <stp>BDP|18389418807387856779</stp>
        <tr r="J2257" s="2"/>
      </tp>
      <tp t="s">
        <v>#N/A Requesting Data...2634327014</v>
        <stp/>
        <stp>BDP|17244673413639987556</stp>
        <tr r="M453" s="2"/>
      </tp>
      <tp t="s">
        <v>#N/A Requesting Data...3365972480</v>
        <stp/>
        <stp>BDP|17685393521562329872</stp>
        <tr r="E2512" s="2"/>
      </tp>
      <tp t="s">
        <v>#N/A Requesting Data...2628000278</v>
        <stp/>
        <stp>BDP|16282806078257562254</stp>
        <tr r="G1866" s="2"/>
      </tp>
      <tp t="s">
        <v>#N/A Requesting Data...3885427024</v>
        <stp/>
        <stp>BDP|13343781773897559876</stp>
        <tr r="S2130" s="2"/>
      </tp>
      <tp t="b">
        <v>0</v>
        <stp/>
        <stp>BDS|11418759589411578345</stp>
        <tr r="I567" s="2"/>
      </tp>
      <tp t="s">
        <v>#N/A Requesting Data...2257002141</v>
        <stp/>
        <stp>BDP|11029597392410398126</stp>
        <tr r="N517" s="2"/>
      </tp>
      <tp t="s">
        <v>#N/A Requesting Data...2485231188</v>
        <stp/>
        <stp>BDP|12057908494368656685</stp>
        <tr r="K901" s="2"/>
      </tp>
      <tp t="s">
        <v>#N/A Requesting Data...1742799213</v>
        <stp/>
        <stp>BDP|13559096581713511428</stp>
        <tr r="G986" s="2"/>
      </tp>
      <tp t="s">
        <v>#N/A Requesting Data...3976314641</v>
        <stp/>
        <stp>BDP|14249124228729596273</stp>
        <tr r="N2114" s="2"/>
      </tp>
      <tp t="s">
        <v>#N/A Requesting Data...2697105050</v>
        <stp/>
        <stp>BDP|13486864351290867215</stp>
        <tr r="J2242" s="2"/>
      </tp>
      <tp t="s">
        <v>#N/A Requesting Data...3659233441</v>
        <stp/>
        <stp>BDP|18110990312625727978</stp>
        <tr r="D1251" s="2"/>
      </tp>
      <tp t="s">
        <v>#N/A Requesting Data...4219235064</v>
        <stp/>
        <stp>BDP|10835315960841774845</stp>
        <tr r="J1720" s="2"/>
      </tp>
      <tp t="s">
        <v>#N/A Requesting Data...3716073612</v>
        <stp/>
        <stp>BDP|11849064388703896642</stp>
        <tr r="H2390" s="2"/>
      </tp>
      <tp t="s">
        <v>#N/A Requesting Data...3752978529</v>
        <stp/>
        <stp>BDP|17442739858311711823</stp>
        <tr r="C1560" s="2"/>
      </tp>
      <tp t="s">
        <v>#N/A Requesting Data...3188385554</v>
        <stp/>
        <stp>BDP|17507266735679545398</stp>
        <tr r="E1011" s="2"/>
      </tp>
      <tp t="b">
        <v>0</v>
        <stp/>
        <stp>BDS|17571820301097733487</stp>
        <tr r="I503" s="2"/>
      </tp>
      <tp t="s">
        <v>#N/A Requesting Data...4052719416</v>
        <stp/>
        <stp>BDP|15415493273458006245</stp>
        <tr r="Q1981" s="2"/>
      </tp>
      <tp t="s">
        <v>#N/A Requesting Data...3288771023</v>
        <stp/>
        <stp>BDP|12326393792412217607</stp>
        <tr r="D1549" s="2"/>
      </tp>
      <tp t="s">
        <v>#N/A Requesting Data...2634017361</v>
        <stp/>
        <stp>BDP|14995007028902304884</stp>
        <tr r="H2261" s="2"/>
      </tp>
      <tp t="s">
        <v>#N/A Requesting Data...1945736624</v>
        <stp/>
        <stp>BDP|17015083785246657516</stp>
        <tr r="A1953" s="2"/>
      </tp>
      <tp t="s">
        <v>#N/A Requesting Data...2134896227</v>
        <stp/>
        <stp>BDP|10531622132530677991</stp>
        <tr r="T1641" s="2"/>
      </tp>
      <tp t="s">
        <v>#N/A Requesting Data...2631516425</v>
        <stp/>
        <stp>BDP|17653691795036005206</stp>
        <tr r="F1313" s="2"/>
      </tp>
      <tp t="s">
        <v>#N/A Requesting Data...3308486775</v>
        <stp/>
        <stp>BDP|15876085883185049496</stp>
        <tr r="S2530" s="2"/>
      </tp>
      <tp t="b">
        <v>0</v>
        <stp/>
        <stp>BDS|12636018984705890324</stp>
        <tr r="I2326" s="2"/>
      </tp>
      <tp t="s">
        <v>#N/A Requesting Data...2163767952</v>
        <stp/>
        <stp>BDP|11648702187697928523</stp>
        <tr r="Q1421" s="2"/>
      </tp>
      <tp t="s">
        <v>#N/A Requesting Data...1809161534</v>
        <stp/>
        <stp>BDP|11754121161899797394</stp>
        <tr r="K2447" s="2"/>
      </tp>
      <tp t="s">
        <v>#N/A Requesting Data...3260601222</v>
        <stp/>
        <stp>BDP|11902933733043257417</stp>
        <tr r="G26" s="2"/>
      </tp>
      <tp t="s">
        <v>#N/A Requesting Data...3939823796</v>
        <stp/>
        <stp>BDP|17131982634769760801</stp>
        <tr r="D2403" s="2"/>
      </tp>
      <tp t="s">
        <v>#N/A Requesting Data...3310646365</v>
        <stp/>
        <stp>BDP|11758205790473508585</stp>
        <tr r="A1183" s="2"/>
      </tp>
      <tp t="s">
        <v>#N/A Requesting Data...3856406136</v>
        <stp/>
        <stp>BDP|15956661193531104770</stp>
        <tr r="P417" s="2"/>
      </tp>
      <tp t="s">
        <v>#N/A Requesting Data...1764346180</v>
        <stp/>
        <stp>BDP|13132371287734830037</stp>
        <tr r="E1166" s="2"/>
      </tp>
      <tp t="s">
        <v>#N/A Requesting Data...2436911539</v>
        <stp/>
        <stp>BDP|14645834878874208359</stp>
        <tr r="S1095" s="2"/>
      </tp>
      <tp t="s">
        <v>#N/A Requesting Data...3905762829</v>
        <stp/>
        <stp>BDP|15460976028687077511</stp>
        <tr r="M280" s="2"/>
      </tp>
      <tp t="s">
        <v>#N/A Requesting Data...3487138764</v>
        <stp/>
        <stp>BDP|17543942548207619155</stp>
        <tr r="P2183" s="2"/>
      </tp>
      <tp t="s">
        <v>#N/A Requesting Data...4276133204</v>
        <stp/>
        <stp>BDP|14858396535251862967</stp>
        <tr r="F226" s="2"/>
      </tp>
      <tp t="s">
        <v>#N/A Requesting Data...3399756087</v>
        <stp/>
        <stp>BDP|13838862251090473216</stp>
        <tr r="E131" s="2"/>
      </tp>
      <tp t="s">
        <v>#N/A Requesting Data...2316764880</v>
        <stp/>
        <stp>BDP|16175923559134933296</stp>
        <tr r="E1687" s="2"/>
      </tp>
      <tp t="s">
        <v>#N/A Requesting Data...2935710285</v>
        <stp/>
        <stp>BDP|11408338969851279960</stp>
        <tr r="N2275" s="2"/>
      </tp>
      <tp t="s">
        <v>#N/A Requesting Data...1782154226</v>
        <stp/>
        <stp>BDP|13930724930959810298</stp>
        <tr r="Q466" s="2"/>
      </tp>
      <tp t="s">
        <v>#N/A Requesting Data...2578515390</v>
        <stp/>
        <stp>BDP|17784358310610948915</stp>
        <tr r="E214" s="2"/>
      </tp>
      <tp t="s">
        <v>#N/A Requesting Data...3705716361</v>
        <stp/>
        <stp>BDP|12364062919829126678</stp>
        <tr r="S27" s="2"/>
      </tp>
      <tp t="s">
        <v>#N/A Requesting Data...3090342063</v>
        <stp/>
        <stp>BDP|15278892013634732456</stp>
        <tr r="H349" s="2"/>
      </tp>
      <tp t="s">
        <v>#N/A Requesting Data...4206308009</v>
        <stp/>
        <stp>BDP|16434360686767858664</stp>
        <tr r="T1327" s="2"/>
      </tp>
      <tp t="b">
        <v>0</v>
        <stp/>
        <stp>BDS|17894241163347288846</stp>
        <tr r="I785" s="2"/>
      </tp>
      <tp t="s">
        <v>#N/A Requesting Data...3419862682</v>
        <stp/>
        <stp>BDP|16364198982657450468</stp>
        <tr r="P2385" s="2"/>
      </tp>
      <tp t="s">
        <v>#N/A Requesting Data...2278292087</v>
        <stp/>
        <stp>BDP|12309536320711946831</stp>
        <tr r="A1697" s="2"/>
      </tp>
      <tp t="s">
        <v>#N/A Requesting Data...4064748697</v>
        <stp/>
        <stp>BDP|12531364550511968900</stp>
        <tr r="C1847" s="2"/>
      </tp>
      <tp t="s">
        <v>#N/A Requesting Data...2361746435</v>
        <stp/>
        <stp>BDP|10209197690415665171</stp>
        <tr r="Q112" s="2"/>
      </tp>
      <tp t="s">
        <v>#N/A Requesting Data...3208463363</v>
        <stp/>
        <stp>BDP|12358901254665978741</stp>
        <tr r="T314" s="2"/>
      </tp>
      <tp t="s">
        <v>#N/A Requesting Data...4051244099</v>
        <stp/>
        <stp>BDP|13128196855749019209</stp>
        <tr r="G623" s="2"/>
      </tp>
      <tp t="s">
        <v>#N/A Requesting Data...3171892257</v>
        <stp/>
        <stp>BDP|14886931058280883468</stp>
        <tr r="T218" s="2"/>
      </tp>
      <tp t="s">
        <v>#N/A Requesting Data...2037276457</v>
        <stp/>
        <stp>BDP|10451305507177937879</stp>
        <tr r="M1826" s="2"/>
      </tp>
      <tp t="s">
        <v>#N/A Requesting Data...3088161888</v>
        <stp/>
        <stp>BDP|14519462754181886821</stp>
        <tr r="S954" s="2"/>
      </tp>
      <tp t="s">
        <v>#N/A Requesting Data...3732222100</v>
        <stp/>
        <stp>BDP|15880954002161158132</stp>
        <tr r="K853" s="2"/>
      </tp>
      <tp t="s">
        <v>#N/A Requesting Data...3281446738</v>
        <stp/>
        <stp>BDP|17671371183137998764</stp>
        <tr r="H466" s="2"/>
      </tp>
      <tp t="s">
        <v>#N/A Requesting Data...3115101515</v>
        <stp/>
        <stp>BDP|14976323406773391830</stp>
        <tr r="A1005" s="2"/>
      </tp>
      <tp t="s">
        <v>#N/A Requesting Data...3344326292</v>
        <stp/>
        <stp>BDP|11147792597270462368</stp>
        <tr r="E923" s="2"/>
      </tp>
      <tp t="s">
        <v>#N/A Requesting Data...2089025406</v>
        <stp/>
        <stp>BDP|15526827700824212586</stp>
        <tr r="S2004" s="2"/>
      </tp>
      <tp t="s">
        <v>#N/A Requesting Data...3144395574</v>
        <stp/>
        <stp>BDP|17147817061821926453</stp>
        <tr r="O1276" s="2"/>
      </tp>
      <tp t="b">
        <v>0</v>
        <stp/>
        <stp>BDS|15798017623223302885</stp>
        <tr r="I171" s="2"/>
      </tp>
      <tp t="s">
        <v>#N/A Requesting Data...2020550786</v>
        <stp/>
        <stp>BDP|15869963324854464632</stp>
        <tr r="A1225" s="2"/>
      </tp>
      <tp t="s">
        <v>#N/A Requesting Data...2243507405</v>
        <stp/>
        <stp>BDP|10786970871222959056</stp>
        <tr r="P1052" s="2"/>
      </tp>
      <tp t="s">
        <v>#N/A Requesting Data...2282665893</v>
        <stp/>
        <stp>BDP|12906448984221778334</stp>
        <tr r="H1528" s="2"/>
      </tp>
      <tp t="s">
        <v>#N/A Requesting Data...2686167856</v>
        <stp/>
        <stp>BDP|17921791013745781895</stp>
        <tr r="D461" s="2"/>
      </tp>
      <tp t="b">
        <v>0</v>
        <stp/>
        <stp>BDS|16524698077018401313</stp>
        <tr r="I2156" s="2"/>
      </tp>
      <tp t="s">
        <v>#N/A Requesting Data...1804285052</v>
        <stp/>
        <stp>BDP|18418195805242092756</stp>
        <tr r="G2057" s="2"/>
      </tp>
      <tp t="b">
        <v>0</v>
        <stp/>
        <stp>BDS|16339252652499847428</stp>
        <tr r="I1125" s="2"/>
      </tp>
      <tp t="s">
        <v>#N/A Requesting Data...1781091469</v>
        <stp/>
        <stp>BDP|13855580908918752221</stp>
        <tr r="Q2081" s="2"/>
      </tp>
      <tp t="s">
        <v>#N/A Requesting Data...2454163317</v>
        <stp/>
        <stp>BDP|16330200378998753717</stp>
        <tr r="O2254" s="2"/>
      </tp>
      <tp t="b">
        <v>0</v>
        <stp/>
        <stp>BDS|16877875457850022760</stp>
        <tr r="I674" s="2"/>
      </tp>
      <tp t="s">
        <v>#N/A Requesting Data...3613703262</v>
        <stp/>
        <stp>BDP|12895721784733332204</stp>
        <tr r="J947" s="2"/>
      </tp>
      <tp t="s">
        <v>#N/A Requesting Data...3725619269</v>
        <stp/>
        <stp>BDP|14840589862953621899</stp>
        <tr r="K2392" s="2"/>
      </tp>
      <tp t="s">
        <v>#N/A Requesting Data...2046518412</v>
        <stp/>
        <stp>BDP|10852957938070085685</stp>
        <tr r="F648" s="2"/>
      </tp>
      <tp t="s">
        <v>#N/A Requesting Data...2017683221</v>
        <stp/>
        <stp>BDP|12042570611803907923</stp>
        <tr r="Q2044" s="2"/>
      </tp>
      <tp t="s">
        <v>#N/A Requesting Data...2904963800</v>
        <stp/>
        <stp>BDP|12954694142534824878</stp>
        <tr r="Q1326" s="2"/>
      </tp>
      <tp t="s">
        <v>#N/A Requesting Data...1811538057</v>
        <stp/>
        <stp>BDP|13289022512236951860</stp>
        <tr r="C466" s="2"/>
      </tp>
      <tp t="s">
        <v>#N/A Requesting Data...3868809565</v>
        <stp/>
        <stp>BDP|15714882321851146222</stp>
        <tr r="O1943" s="2"/>
      </tp>
      <tp t="s">
        <v>#N/A Requesting Data...1956601138</v>
        <stp/>
        <stp>BDP|14121444144298897041</stp>
        <tr r="O241" s="2"/>
      </tp>
      <tp t="s">
        <v>#N/A Requesting Data...3307902722</v>
        <stp/>
        <stp>BDP|16987048467955378942</stp>
        <tr r="F2485" s="2"/>
      </tp>
      <tp t="s">
        <v>#N/A Requesting Data...2871465166</v>
        <stp/>
        <stp>BDP|12315490452006089955</stp>
        <tr r="O804" s="2"/>
      </tp>
      <tp t="s">
        <v>#N/A Requesting Data...2196757680</v>
        <stp/>
        <stp>BDP|10550184515404028854</stp>
        <tr r="E2030" s="2"/>
      </tp>
      <tp t="s">
        <v>#N/A Requesting Data...3722844466</v>
        <stp/>
        <stp>BDP|11964997799285515811</stp>
        <tr r="C1909" s="2"/>
      </tp>
      <tp t="s">
        <v>#N/A Requesting Data...3314871698</v>
        <stp/>
        <stp>BDP|17307951740623907524</stp>
        <tr r="K1066" s="2"/>
      </tp>
      <tp t="s">
        <v>#N/A Requesting Data...3824696380</v>
        <stp/>
        <stp>BDP|14823021586867814799</stp>
        <tr r="C438" s="2"/>
      </tp>
      <tp t="s">
        <v>#N/A Requesting Data...2826171484</v>
        <stp/>
        <stp>BDP|10057973218707243306</stp>
        <tr r="T2091" s="2"/>
      </tp>
      <tp t="s">
        <v>#N/A Requesting Data...3448158831</v>
        <stp/>
        <stp>BDP|10858246460818487051</stp>
        <tr r="T2368" s="2"/>
      </tp>
      <tp t="s">
        <v>#N/A Requesting Data...3352170449</v>
        <stp/>
        <stp>BDP|14184658353642939937</stp>
        <tr r="M2468" s="2"/>
      </tp>
      <tp t="s">
        <v>#N/A Requesting Data...3549084237</v>
        <stp/>
        <stp>BDP|18393882705839482579</stp>
        <tr r="F425" s="2"/>
      </tp>
      <tp t="s">
        <v>#N/A Requesting Data...2485489600</v>
        <stp/>
        <stp>BDP|12854015609008524680</stp>
        <tr r="G2164" s="2"/>
      </tp>
      <tp t="s">
        <v>#N/A Requesting Data...2755574772</v>
        <stp/>
        <stp>BDP|10879502487885174438</stp>
        <tr r="H152" s="2"/>
      </tp>
      <tp t="s">
        <v>#N/A Requesting Data...3692997062</v>
        <stp/>
        <stp>BDP|12181941612996371096</stp>
        <tr r="K1630" s="2"/>
      </tp>
      <tp t="s">
        <v>#N/A Requesting Data...3209364233</v>
        <stp/>
        <stp>BDP|17540643539487643936</stp>
        <tr r="N755" s="2"/>
      </tp>
      <tp t="s">
        <v>#N/A Requesting Data...1947737031</v>
        <stp/>
        <stp>BDP|14875090732768841365</stp>
        <tr r="G2111" s="2"/>
      </tp>
      <tp t="s">
        <v>#N/A Requesting Data...1916042100</v>
        <stp/>
        <stp>BDP|12309957170635967527</stp>
        <tr r="O378" s="2"/>
      </tp>
      <tp t="b">
        <v>0</v>
        <stp/>
        <stp>BDS|13281160894060791791</stp>
        <tr r="I1326" s="2"/>
      </tp>
      <tp t="s">
        <v>#N/A Requesting Data...3809652534</v>
        <stp/>
        <stp>BDP|10457587263147418862</stp>
        <tr r="S1689" s="2"/>
      </tp>
      <tp t="s">
        <v>#N/A Requesting Data...2228027401</v>
        <stp/>
        <stp>BDP|12082965958886038436</stp>
        <tr r="J119" s="2"/>
      </tp>
      <tp t="s">
        <v>#N/A Requesting Data...4277885783</v>
        <stp/>
        <stp>BDP|14284899929260841277</stp>
        <tr r="M1098" s="2"/>
      </tp>
      <tp t="s">
        <v>#N/A Requesting Data...4009283055</v>
        <stp/>
        <stp>BDP|13164824173547964741</stp>
        <tr r="Q1926" s="2"/>
      </tp>
      <tp t="s">
        <v>#N/A Requesting Data...3519632162</v>
        <stp/>
        <stp>BDP|18361656245371752796</stp>
        <tr r="S1085" s="2"/>
      </tp>
      <tp t="b">
        <v>0</v>
        <stp/>
        <stp>BDS|11947763796375544620</stp>
        <tr r="I1156" s="2"/>
      </tp>
      <tp t="s">
        <v>#N/A Requesting Data...3585359149</v>
        <stp/>
        <stp>BDP|11059881735854186213</stp>
        <tr r="C382" s="2"/>
      </tp>
      <tp t="s">
        <v>#N/A Requesting Data...4270101084</v>
        <stp/>
        <stp>BDP|18071640068342738660</stp>
        <tr r="Q1967" s="2"/>
      </tp>
      <tp t="s">
        <v>#N/A Requesting Data...2679925271</v>
        <stp/>
        <stp>BDP|16354128908553664829</stp>
        <tr r="M1500" s="2"/>
      </tp>
      <tp t="s">
        <v>#N/A Requesting Data...4092160399</v>
        <stp/>
        <stp>BDP|16375074169129364533</stp>
        <tr r="G708" s="2"/>
      </tp>
      <tp t="s">
        <v>#N/A Requesting Data...3173194129</v>
        <stp/>
        <stp>BDP|17067963928437771740</stp>
        <tr r="J263" s="2"/>
      </tp>
      <tp t="s">
        <v>#N/A Requesting Data...3550281391</v>
        <stp/>
        <stp>BDP|17417090906109051263</stp>
        <tr r="J1104" s="2"/>
      </tp>
      <tp t="s">
        <v>#N/A Requesting Data...2154894436</v>
        <stp/>
        <stp>BDP|10867726658458651697</stp>
        <tr r="N1355" s="2"/>
      </tp>
      <tp t="s">
        <v>#N/A Requesting Data...2865248028</v>
        <stp/>
        <stp>BDP|11092622164224986927</stp>
        <tr r="P461" s="2"/>
      </tp>
      <tp t="s">
        <v>#N/A Requesting Data...2689100198</v>
        <stp/>
        <stp>BDP|15974265888456239583</stp>
        <tr r="A349" s="2"/>
      </tp>
      <tp t="s">
        <v>#N/A Requesting Data...3565823031</v>
        <stp/>
        <stp>BDP|18366191511915790111</stp>
        <tr r="S1432" s="2"/>
      </tp>
      <tp t="s">
        <v>#N/A Requesting Data...3940344150</v>
        <stp/>
        <stp>BDP|13029094694516933095</stp>
        <tr r="G75" s="2"/>
      </tp>
      <tp t="s">
        <v>#N/A Requesting Data...3160909388</v>
        <stp/>
        <stp>BDP|12058795111741244976</stp>
        <tr r="G2447" s="2"/>
      </tp>
      <tp t="s">
        <v>#N/A Requesting Data...3649219224</v>
        <stp/>
        <stp>BDP|12987376065033721819</stp>
        <tr r="Q1466" s="2"/>
      </tp>
      <tp t="s">
        <v>#N/A Requesting Data...1898165783</v>
        <stp/>
        <stp>BDP|17367787137117872892</stp>
        <tr r="D1523" s="2"/>
      </tp>
      <tp t="s">
        <v>#N/A Requesting Data...2003596696</v>
        <stp/>
        <stp>BDP|15564981227851227358</stp>
        <tr r="G1216" s="2"/>
      </tp>
      <tp t="s">
        <v>#N/A Requesting Data...2149119710</v>
        <stp/>
        <stp>BDP|13965063243052164906</stp>
        <tr r="E1041" s="2"/>
      </tp>
      <tp t="s">
        <v>#N/A Requesting Data...2195276125</v>
        <stp/>
        <stp>BDP|12036546584060464396</stp>
        <tr r="A151" s="2"/>
      </tp>
      <tp t="s">
        <v>#N/A Requesting Data...2569162511</v>
        <stp/>
        <stp>BDP|12146314846631961824</stp>
        <tr r="F1944" s="2"/>
      </tp>
      <tp t="s">
        <v>#N/A Requesting Data...3808706564</v>
        <stp/>
        <stp>BDP|11872295769028549102</stp>
        <tr r="O1603" s="2"/>
      </tp>
      <tp t="s">
        <v>#N/A Requesting Data...3634016795</v>
        <stp/>
        <stp>BDP|10485943090985804956</stp>
        <tr r="J292" s="2"/>
      </tp>
      <tp t="s">
        <v>#N/A Requesting Data...2996696349</v>
        <stp/>
        <stp>BDP|13332992165608354816</stp>
        <tr r="E1161" s="2"/>
      </tp>
      <tp t="s">
        <v>#N/A Requesting Data...3644256235</v>
        <stp/>
        <stp>BDP|13487913262325846528</stp>
        <tr r="D1942" s="2"/>
      </tp>
      <tp t="s">
        <v>#N/A Requesting Data...2916062583</v>
        <stp/>
        <stp>BDP|17286060048357862899</stp>
        <tr r="A811" s="2"/>
      </tp>
      <tp t="s">
        <v>#N/A Requesting Data...2570929447</v>
        <stp/>
        <stp>BDP|15770635417739617780</stp>
        <tr r="J2038" s="2"/>
      </tp>
      <tp t="s">
        <v>#N/A Requesting Data...2473606679</v>
        <stp/>
        <stp>BDP|17250132931940830946</stp>
        <tr r="H33" s="2"/>
      </tp>
      <tp t="s">
        <v>#N/A Requesting Data...2164710638</v>
        <stp/>
        <stp>BDP|10229881050357426629</stp>
        <tr r="T1104" s="2"/>
      </tp>
      <tp t="s">
        <v>#N/A Requesting Data...3399874502</v>
        <stp/>
        <stp>BDP|13898451481094121711</stp>
        <tr r="G2076" s="2"/>
      </tp>
      <tp t="s">
        <v>#N/A Requesting Data...3472429087</v>
        <stp/>
        <stp>BDP|13463989579560116180</stp>
        <tr r="D705" s="2"/>
      </tp>
      <tp t="s">
        <v>#N/A Requesting Data...3668885480</v>
        <stp/>
        <stp>BDP|10499993024031663636</stp>
        <tr r="C1822" s="2"/>
      </tp>
      <tp t="s">
        <v>#N/A Requesting Data...2130351826</v>
        <stp/>
        <stp>BDP|15457597853318395112</stp>
        <tr r="K2467" s="2"/>
      </tp>
      <tp t="b">
        <v>0</v>
        <stp/>
        <stp>BDS|16520517635844918876</stp>
        <tr r="I869" s="2"/>
      </tp>
      <tp t="s">
        <v>#N/A Requesting Data...2144916884</v>
        <stp/>
        <stp>BDP|16923037487203996184</stp>
        <tr r="R160" s="2"/>
      </tp>
      <tp t="s">
        <v>#N/A Requesting Data...2000873768</v>
        <stp/>
        <stp>BDP|17311187485950371212</stp>
        <tr r="K874" s="2"/>
      </tp>
      <tp t="s">
        <v>#N/A Requesting Data...3623394174</v>
        <stp/>
        <stp>BDP|11994970437223502401</stp>
        <tr r="J1026" s="2"/>
      </tp>
      <tp t="s">
        <v>#N/A Requesting Data...2672896198</v>
        <stp/>
        <stp>BDP|17715248391075701593</stp>
        <tr r="J2448" s="2"/>
      </tp>
      <tp t="s">
        <v>#N/A Requesting Data...1954323911</v>
        <stp/>
        <stp>BDP|15795476499811670539</stp>
        <tr r="S239" s="2"/>
      </tp>
      <tp t="s">
        <v>#N/A Requesting Data...3220469966</v>
        <stp/>
        <stp>BDP|11309919140539646980</stp>
        <tr r="R775" s="2"/>
      </tp>
      <tp t="s">
        <v>#N/A Requesting Data...3423529780</v>
        <stp/>
        <stp>BDP|12741557284784947738</stp>
        <tr r="C808" s="2"/>
      </tp>
      <tp t="s">
        <v>#N/A Requesting Data...2016119613</v>
        <stp/>
        <stp>BDP|12375763699968933896</stp>
        <tr r="S437" s="2"/>
      </tp>
      <tp t="s">
        <v>#N/A Requesting Data...3385720372</v>
        <stp/>
        <stp>BDP|14383932264363120494</stp>
        <tr r="R2125" s="2"/>
      </tp>
      <tp t="s">
        <v>#N/A Requesting Data...2234255779</v>
        <stp/>
        <stp>BDP|10644057735516892920</stp>
        <tr r="J728" s="2"/>
      </tp>
      <tp t="s">
        <v>#N/A Requesting Data...3510230003</v>
        <stp/>
        <stp>BDP|11481366649889194361</stp>
        <tr r="P751" s="2"/>
      </tp>
      <tp t="s">
        <v>#N/A Requesting Data...3127821783</v>
        <stp/>
        <stp>BDP|14042082982995271546</stp>
        <tr r="P2100" s="2"/>
      </tp>
      <tp t="s">
        <v>#N/A Requesting Data...2859641285</v>
        <stp/>
        <stp>BDP|15983226956467061911</stp>
        <tr r="R916" s="2"/>
      </tp>
      <tp t="s">
        <v>#N/A Requesting Data...2939609893</v>
        <stp/>
        <stp>BDP|16330860914151489297</stp>
        <tr r="K1836" s="2"/>
      </tp>
      <tp t="b">
        <v>0</v>
        <stp/>
        <stp>BDS|16193968049414885390</stp>
        <tr r="I397" s="2"/>
      </tp>
      <tp t="s">
        <v>#N/A Requesting Data...1969828694</v>
        <stp/>
        <stp>BDP|16313203841729788590</stp>
        <tr r="M1462" s="2"/>
      </tp>
      <tp t="s">
        <v>#N/A Requesting Data...3712713451</v>
        <stp/>
        <stp>BDP|12728176468631294867</stp>
        <tr r="C2204" s="2"/>
      </tp>
      <tp t="s">
        <v>#N/A Requesting Data...3065916377</v>
        <stp/>
        <stp>BDP|14635121512109870128</stp>
        <tr r="K2145" s="2"/>
      </tp>
      <tp t="s">
        <v>#N/A Requesting Data...3878406723</v>
        <stp/>
        <stp>BDP|15938823787091895885</stp>
        <tr r="C1809" s="2"/>
      </tp>
      <tp t="s">
        <v>#N/A Requesting Data...2661661634</v>
        <stp/>
        <stp>BDP|15447585527598167661</stp>
        <tr r="G1818" s="2"/>
      </tp>
      <tp t="s">
        <v>#N/A Requesting Data...2058642351</v>
        <stp/>
        <stp>BDP|16832876312033061010</stp>
        <tr r="P1855" s="2"/>
      </tp>
      <tp t="s">
        <v>#N/A Requesting Data...3571135096</v>
        <stp/>
        <stp>BDP|11635977213481803462</stp>
        <tr r="J154" s="2"/>
      </tp>
      <tp t="s">
        <v>#N/A Requesting Data...2750986926</v>
        <stp/>
        <stp>BDP|10661284791194616350</stp>
        <tr r="Q101" s="2"/>
      </tp>
      <tp t="b">
        <v>0</v>
        <stp/>
        <stp>BDS|10809454298159954832</stp>
        <tr r="I2514" s="2"/>
      </tp>
      <tp t="s">
        <v>#N/A Requesting Data...2547202427</v>
        <stp/>
        <stp>BDP|13797089700848321708</stp>
        <tr r="S404" s="2"/>
      </tp>
      <tp t="s">
        <v>#N/A Requesting Data...2589526730</v>
        <stp/>
        <stp>BDP|10817623757146300921</stp>
        <tr r="M1635" s="2"/>
      </tp>
      <tp t="s">
        <v>#N/A Requesting Data...4065518894</v>
        <stp/>
        <stp>BDP|17737500262650817816</stp>
        <tr r="H1947" s="2"/>
      </tp>
      <tp t="s">
        <v>#N/A Requesting Data...2806961176</v>
        <stp/>
        <stp>BDP|17081789880462331677</stp>
        <tr r="Q2208" s="2"/>
      </tp>
      <tp t="s">
        <v>#N/A Requesting Data...3270013307</v>
        <stp/>
        <stp>BDP|16310471897705732285</stp>
        <tr r="F2310" s="2"/>
      </tp>
      <tp t="s">
        <v>#N/A Requesting Data...3037908750</v>
        <stp/>
        <stp>BDP|11331793226700847882</stp>
        <tr r="H1477" s="2"/>
      </tp>
      <tp t="s">
        <v>#N/A Requesting Data...2451641859</v>
        <stp/>
        <stp>BDP|11674823596279771590</stp>
        <tr r="S1643" s="2"/>
      </tp>
      <tp t="s">
        <v>#N/A Requesting Data...3822248869</v>
        <stp/>
        <stp>BDP|17605268675967812911</stp>
        <tr r="P1467" s="2"/>
      </tp>
      <tp t="s">
        <v>#N/A Requesting Data...4242705291</v>
        <stp/>
        <stp>BDP|16705849308006317449</stp>
        <tr r="T273" s="2"/>
      </tp>
      <tp t="s">
        <v>#N/A Requesting Data...2718480131</v>
        <stp/>
        <stp>BDP|11782337081186069099</stp>
        <tr r="G563" s="2"/>
      </tp>
      <tp t="s">
        <v>#N/A Requesting Data...2481755200</v>
        <stp/>
        <stp>BDP|12574681771076246923</stp>
        <tr r="R246" s="2"/>
      </tp>
      <tp t="s">
        <v>#N/A Requesting Data...2679106393</v>
        <stp/>
        <stp>BDP|18420780116587516536</stp>
        <tr r="A298" s="2"/>
      </tp>
      <tp t="s">
        <v>#N/A Requesting Data...2066327601</v>
        <stp/>
        <stp>BDP|14462710465108848143</stp>
        <tr r="E431" s="2"/>
      </tp>
      <tp t="s">
        <v>#N/A Requesting Data...2248837120</v>
        <stp/>
        <stp>BDP|12920901264221635072</stp>
        <tr r="N2162" s="2"/>
      </tp>
      <tp t="s">
        <v>#N/A Requesting Data...3861031217</v>
        <stp/>
        <stp>BDP|11836890809713516612</stp>
        <tr r="M1133" s="2"/>
      </tp>
      <tp t="s">
        <v>#N/A Requesting Data...3663793457</v>
        <stp/>
        <stp>BDP|18131118368076783534</stp>
        <tr r="D1206" s="2"/>
      </tp>
      <tp t="s">
        <v>#N/A Requesting Data...3864704507</v>
        <stp/>
        <stp>BDP|12795093298532294581</stp>
        <tr r="E1679" s="2"/>
      </tp>
      <tp t="s">
        <v>#N/A Requesting Data...3233850176</v>
        <stp/>
        <stp>BDP|11365664893272906036</stp>
        <tr r="A951" s="2"/>
      </tp>
      <tp t="s">
        <v>#N/A Requesting Data...2028331282</v>
        <stp/>
        <stp>BDP|18439357305015927210</stp>
        <tr r="A2128" s="2"/>
      </tp>
      <tp t="s">
        <v>#N/A Requesting Data...2657201764</v>
        <stp/>
        <stp>BDP|10567786375458329470</stp>
        <tr r="J1669" s="2"/>
      </tp>
      <tp t="s">
        <v>#N/A Requesting Data...3533643266</v>
        <stp/>
        <stp>BDP|10835275375618141172</stp>
        <tr r="M229" s="2"/>
      </tp>
      <tp t="s">
        <v>#N/A Requesting Data...4103073177</v>
        <stp/>
        <stp>BDP|10275755852357179980</stp>
        <tr r="G2521" s="2"/>
      </tp>
      <tp t="s">
        <v>#N/A Requesting Data...3558663384</v>
        <stp/>
        <stp>BDP|14829977275612144472</stp>
        <tr r="Q1766" s="2"/>
      </tp>
      <tp t="s">
        <v>#N/A Requesting Data...3895464378</v>
        <stp/>
        <stp>BDP|10453414865736940857</stp>
        <tr r="M2463" s="2"/>
      </tp>
      <tp t="s">
        <v>#N/A Requesting Data...2444304057</v>
        <stp/>
        <stp>BDP|16340323209389202061</stp>
        <tr r="R1855" s="2"/>
      </tp>
      <tp t="s">
        <v>#N/A Requesting Data...3195854224</v>
        <stp/>
        <stp>BDP|18358172049453305226</stp>
        <tr r="J1387" s="2"/>
      </tp>
      <tp t="s">
        <v>#N/A Requesting Data...3560072463</v>
        <stp/>
        <stp>BDP|11805930344457087739</stp>
        <tr r="K1965" s="2"/>
      </tp>
      <tp t="s">
        <v>#N/A Requesting Data...4114060294</v>
        <stp/>
        <stp>BDP|13854602264159742677</stp>
        <tr r="O1480" s="2"/>
      </tp>
      <tp t="s">
        <v>#N/A Requesting Data...3461253139</v>
        <stp/>
        <stp>BDP|17450762383910888452</stp>
        <tr r="S1416" s="2"/>
      </tp>
      <tp t="s">
        <v>#N/A Requesting Data...2054208432</v>
        <stp/>
        <stp>BDP|15960644321654193919</stp>
        <tr r="A62" s="2"/>
      </tp>
      <tp t="s">
        <v>#N/A Requesting Data...3034123650</v>
        <stp/>
        <stp>BDP|18045739834340838006</stp>
        <tr r="P1148" s="2"/>
      </tp>
      <tp t="s">
        <v>#N/A Requesting Data...4245613641</v>
        <stp/>
        <stp>BDP|14979219318722655996</stp>
        <tr r="N980" s="2"/>
      </tp>
      <tp t="s">
        <v>#N/A Requesting Data...3931773032</v>
        <stp/>
        <stp>BDP|17951042666029088445</stp>
        <tr r="A1088" s="2"/>
      </tp>
      <tp t="s">
        <v>#N/A Requesting Data...3920960380</v>
        <stp/>
        <stp>BDP|16526293391882536370</stp>
        <tr r="R1351" s="2"/>
      </tp>
      <tp t="s">
        <v>#N/A Requesting Data...2076223626</v>
        <stp/>
        <stp>BDP|14291541681316001381</stp>
        <tr r="T1500" s="2"/>
      </tp>
      <tp t="s">
        <v>#N/A Requesting Data...4104734111</v>
        <stp/>
        <stp>BDP|15104769505177446996</stp>
        <tr r="F1943" s="2"/>
      </tp>
      <tp t="s">
        <v>#N/A Requesting Data...4185207924</v>
        <stp/>
        <stp>BDP|15785984949660959405</stp>
        <tr r="T1153" s="2"/>
      </tp>
      <tp t="b">
        <v>0</v>
        <stp/>
        <stp>BDS|13093532439220168976</stp>
        <tr r="I791" s="2"/>
      </tp>
      <tp t="s">
        <v>#N/A Requesting Data...4052928605</v>
        <stp/>
        <stp>BDP|16319735819994010865</stp>
        <tr r="P12" s="2"/>
      </tp>
      <tp t="s">
        <v>#N/A Requesting Data...3888933929</v>
        <stp/>
        <stp>BDP|12882717510270224846</stp>
        <tr r="P1696" s="2"/>
      </tp>
      <tp t="s">
        <v>#N/A Requesting Data...3596735823</v>
        <stp/>
        <stp>BDP|17219566083586838009</stp>
        <tr r="N750" s="2"/>
      </tp>
      <tp t="s">
        <v>#N/A Requesting Data...2575322298</v>
        <stp/>
        <stp>BDP|17849302032972745923</stp>
        <tr r="D1965" s="2"/>
      </tp>
      <tp t="s">
        <v>#N/A Requesting Data...3157450561</v>
        <stp/>
        <stp>BDP|13598990100776244012</stp>
        <tr r="A1032" s="2"/>
      </tp>
      <tp t="s">
        <v>#N/A Requesting Data...2829538804</v>
        <stp/>
        <stp>BDP|10643604928398035018</stp>
        <tr r="P1977" s="2"/>
      </tp>
      <tp t="s">
        <v>#N/A Requesting Data...2961721739</v>
        <stp/>
        <stp>BDP|16403205366847937946</stp>
        <tr r="D419" s="2"/>
      </tp>
      <tp t="s">
        <v>#N/A Requesting Data...2403415860</v>
        <stp/>
        <stp>BDP|17957925854981204621</stp>
        <tr r="C1728" s="2"/>
      </tp>
      <tp t="s">
        <v>#N/A Requesting Data...4202904372</v>
        <stp/>
        <stp>BDP|12455633887802752284</stp>
        <tr r="K2531" s="2"/>
      </tp>
      <tp t="s">
        <v>#N/A Requesting Data...2283716311</v>
        <stp/>
        <stp>BDP|14798880509122010296</stp>
        <tr r="S2145" s="2"/>
      </tp>
      <tp t="s">
        <v>#N/A Requesting Data...2426383542</v>
        <stp/>
        <stp>BDP|10358089250358019141</stp>
        <tr r="S2475" s="2"/>
      </tp>
      <tp t="s">
        <v>#N/A Requesting Data...4107498080</v>
        <stp/>
        <stp>BDP|16900442251919303204</stp>
        <tr r="J1624" s="2"/>
      </tp>
      <tp t="s">
        <v>#N/A Requesting Data...3601517704</v>
        <stp/>
        <stp>BDP|17674456644588138398</stp>
        <tr r="C1285" s="2"/>
      </tp>
      <tp t="s">
        <v>#N/A Requesting Data...3272109481</v>
        <stp/>
        <stp>BDP|16372171823071818809</stp>
        <tr r="A1779" s="2"/>
      </tp>
      <tp t="s">
        <v>#N/A Requesting Data...2423161951</v>
        <stp/>
        <stp>BDP|17353738482347954345</stp>
        <tr r="Q2146" s="2"/>
      </tp>
      <tp t="s">
        <v>#N/A Requesting Data...2277536922</v>
        <stp/>
        <stp>BDP|12706758720228422396</stp>
        <tr r="O2016" s="2"/>
      </tp>
      <tp t="s">
        <v>#N/A Requesting Data...3460074147</v>
        <stp/>
        <stp>BDP|16108947837633590386</stp>
        <tr r="E2167" s="2"/>
      </tp>
      <tp t="s">
        <v>#N/A Requesting Data...3876437157</v>
        <stp/>
        <stp>BDP|15243791443319194361</stp>
        <tr r="H2474" s="2"/>
      </tp>
      <tp t="s">
        <v>#N/A Requesting Data...3711674032</v>
        <stp/>
        <stp>BDP|12789035387597919154</stp>
        <tr r="E998" s="2"/>
      </tp>
      <tp t="s">
        <v>#N/A Requesting Data...4189781379</v>
        <stp/>
        <stp>BDP|10611707208503167808</stp>
        <tr r="O676" s="2"/>
      </tp>
      <tp t="s">
        <v>#N/A Requesting Data...2577204876</v>
        <stp/>
        <stp>BDP|14696318698802819084</stp>
        <tr r="A2051" s="2"/>
      </tp>
      <tp t="s">
        <v>#N/A Requesting Data...3539474060</v>
        <stp/>
        <stp>BDP|10853953275522397046</stp>
        <tr r="F1567" s="2"/>
      </tp>
      <tp t="s">
        <v>#N/A Requesting Data...2684871271</v>
        <stp/>
        <stp>BDP|12814955525091498431</stp>
        <tr r="O472" s="2"/>
      </tp>
      <tp t="s">
        <v>#N/A Requesting Data...2529478579</v>
        <stp/>
        <stp>BDP|11728161780007923372</stp>
        <tr r="S773" s="2"/>
      </tp>
      <tp t="s">
        <v>#N/A Requesting Data...3226616881</v>
        <stp/>
        <stp>BDP|16851101444678235712</stp>
        <tr r="H1459" s="2"/>
      </tp>
      <tp t="s">
        <v>#N/A Requesting Data...3220704381</v>
        <stp/>
        <stp>BDP|16968902846222740571</stp>
        <tr r="E326" s="2"/>
      </tp>
      <tp t="s">
        <v>#N/A Requesting Data...2357522091</v>
        <stp/>
        <stp>BDP|12993320294991501552</stp>
        <tr r="F2031" s="2"/>
      </tp>
      <tp t="s">
        <v>#N/A Requesting Data...2934508666</v>
        <stp/>
        <stp>BDP|13832737792952474328</stp>
        <tr r="J464" s="2"/>
      </tp>
      <tp t="s">
        <v>#N/A Requesting Data...3308156414</v>
        <stp/>
        <stp>BDP|16433970981398863354</stp>
        <tr r="E2363" s="2"/>
      </tp>
      <tp t="s">
        <v>#N/A Requesting Data...2522373338</v>
        <stp/>
        <stp>BDP|13731757144325961903</stp>
        <tr r="K68" s="2"/>
      </tp>
      <tp t="s">
        <v>#N/A Requesting Data...3081056731</v>
        <stp/>
        <stp>BDP|13471680697580453006</stp>
        <tr r="G171" s="2"/>
      </tp>
      <tp t="s">
        <v>#N/A Requesting Data...3583914011</v>
        <stp/>
        <stp>BDP|14464192783480564147</stp>
        <tr r="O1539" s="2"/>
      </tp>
      <tp t="s">
        <v>#N/A Requesting Data...3750149866</v>
        <stp/>
        <stp>BDP|15519376899584413702</stp>
        <tr r="O1831" s="2"/>
      </tp>
      <tp t="s">
        <v>#N/A Requesting Data...2492668285</v>
        <stp/>
        <stp>BDP|15927926054237373230</stp>
        <tr r="M1578" s="2"/>
      </tp>
      <tp t="s">
        <v>#N/A Requesting Data...2393047318</v>
        <stp/>
        <stp>BDP|16753990812053449170</stp>
        <tr r="F380" s="2"/>
      </tp>
      <tp t="b">
        <v>0</v>
        <stp/>
        <stp>BDS|14547096424678102255</stp>
        <tr r="I1812" s="2"/>
      </tp>
      <tp t="s">
        <v>#N/A Requesting Data...3413329114</v>
        <stp/>
        <stp>BDP|12906174620205151802</stp>
        <tr r="J2298" s="2"/>
      </tp>
      <tp t="s">
        <v>#N/A Requesting Data...3796053399</v>
        <stp/>
        <stp>BDP|10249203906037920924</stp>
        <tr r="A1848" s="2"/>
      </tp>
      <tp t="s">
        <v>#N/A Requesting Data...3583560119</v>
        <stp/>
        <stp>BDP|14311382680515702636</stp>
        <tr r="K276" s="2"/>
      </tp>
      <tp t="s">
        <v>#N/A Requesting Data...4210097516</v>
        <stp/>
        <stp>BDP|16997724620677220869</stp>
        <tr r="A784" s="2"/>
      </tp>
      <tp t="s">
        <v>#N/A Requesting Data...3000163219</v>
        <stp/>
        <stp>BDP|15441986159206972337</stp>
        <tr r="G356" s="2"/>
      </tp>
      <tp t="s">
        <v>#N/A Requesting Data...4106351611</v>
        <stp/>
        <stp>BDP|12520420138678022101</stp>
        <tr r="Q813" s="2"/>
      </tp>
      <tp t="s">
        <v>#N/A Requesting Data...3748533707</v>
        <stp/>
        <stp>BDP|10323671621509937132</stp>
        <tr r="G607" s="2"/>
      </tp>
      <tp t="s">
        <v>#N/A Requesting Data...4108384185</v>
        <stp/>
        <stp>BDP|14685079672287907855</stp>
        <tr r="D1790" s="2"/>
      </tp>
      <tp t="s">
        <v>#N/A Requesting Data...2831837362</v>
        <stp/>
        <stp>BDP|10127326723174768985</stp>
        <tr r="E1768" s="2"/>
      </tp>
      <tp t="s">
        <v>#N/A Requesting Data...3534834822</v>
        <stp/>
        <stp>BDP|12975301927536451950</stp>
        <tr r="O1155" s="2"/>
      </tp>
      <tp t="s">
        <v>#N/A Requesting Data...2680506998</v>
        <stp/>
        <stp>BDP|13375029754528288285</stp>
        <tr r="O2113" s="2"/>
      </tp>
      <tp t="s">
        <v>#N/A Requesting Data...3801631907</v>
        <stp/>
        <stp>BDP|14512975538762644031</stp>
        <tr r="E931" s="2"/>
      </tp>
      <tp t="s">
        <v>#N/A Requesting Data...3764786730</v>
        <stp/>
        <stp>BDP|15221525464112391889</stp>
        <tr r="Q234" s="2"/>
      </tp>
      <tp t="s">
        <v>#N/A Requesting Data...4013162338</v>
        <stp/>
        <stp>BDP|15949725632355568832</stp>
        <tr r="T1627" s="2"/>
      </tp>
      <tp t="s">
        <v>#N/A Requesting Data...2281421610</v>
        <stp/>
        <stp>BDP|14068302047019950614</stp>
        <tr r="A1658" s="2"/>
      </tp>
      <tp t="s">
        <v>#N/A Requesting Data...2844409141</v>
        <stp/>
        <stp>BDP|13505643688583043267</stp>
        <tr r="O1842" s="2"/>
      </tp>
      <tp t="s">
        <v>#N/A Requesting Data...3088336780</v>
        <stp/>
        <stp>BDP|16000850889643304903</stp>
        <tr r="D546" s="2"/>
      </tp>
      <tp t="s">
        <v>#N/A Requesting Data...2999709048</v>
        <stp/>
        <stp>BDP|11092186750099399043</stp>
        <tr r="A160" s="2"/>
      </tp>
      <tp t="s">
        <v>#N/A Requesting Data...3243518950</v>
        <stp/>
        <stp>BDP|16946928752872631402</stp>
        <tr r="K579" s="2"/>
      </tp>
      <tp t="s">
        <v>#N/A Requesting Data...3937505558</v>
        <stp/>
        <stp>BDP|12404505198303525161</stp>
        <tr r="C1637" s="2"/>
      </tp>
      <tp t="s">
        <v>#N/A Requesting Data...4150737725</v>
        <stp/>
        <stp>BDP|14792898804675570504</stp>
        <tr r="E844" s="2"/>
      </tp>
      <tp t="s">
        <v>#N/A Requesting Data...3884095160</v>
        <stp/>
        <stp>BDP|10370964244337608684</stp>
        <tr r="S102" s="2"/>
      </tp>
      <tp t="s">
        <v>#N/A Requesting Data...2583453529</v>
        <stp/>
        <stp>BDP|11897316477930445956</stp>
        <tr r="O1049" s="2"/>
      </tp>
      <tp t="s">
        <v>#N/A Requesting Data...3277134988</v>
        <stp/>
        <stp>BDP|12769304944240471983</stp>
        <tr r="O1876" s="2"/>
      </tp>
      <tp t="s">
        <v>#N/A Requesting Data...4176808025</v>
        <stp/>
        <stp>BDP|15427948189279055169</stp>
        <tr r="Q2273" s="2"/>
      </tp>
      <tp t="s">
        <v>#N/A Requesting Data...4110156740</v>
        <stp/>
        <stp>BDP|11797420422358161398</stp>
        <tr r="T917" s="2"/>
      </tp>
      <tp t="s">
        <v>#N/A Requesting Data...2476131173</v>
        <stp/>
        <stp>BDP|10438137875058434293</stp>
        <tr r="J675" s="2"/>
      </tp>
      <tp t="s">
        <v>#N/A Requesting Data...3062263840</v>
        <stp/>
        <stp>BDP|10467915269917086436</stp>
        <tr r="K827" s="2"/>
      </tp>
      <tp t="s">
        <v>#N/A Requesting Data...3050910479</v>
        <stp/>
        <stp>BDP|15721793333309220404</stp>
        <tr r="F1030" s="2"/>
      </tp>
      <tp t="s">
        <v>#N/A Requesting Data...3265485651</v>
        <stp/>
        <stp>BDP|10013679489574553653</stp>
        <tr r="K2458" s="2"/>
      </tp>
      <tp t="s">
        <v>#N/A Requesting Data...3320382357</v>
        <stp/>
        <stp>BDP|11529998077313044057</stp>
        <tr r="N2254" s="2"/>
      </tp>
      <tp t="s">
        <v>#N/A Requesting Data...3897705945</v>
        <stp/>
        <stp>BDP|15870558531676327911</stp>
        <tr r="G83" s="2"/>
      </tp>
      <tp t="s">
        <v>#N/A Requesting Data...3739962094</v>
        <stp/>
        <stp>BDP|11672231223854911915</stp>
        <tr r="E2134" s="2"/>
      </tp>
      <tp t="s">
        <v>#N/A Requesting Data...3218082866</v>
        <stp/>
        <stp>BDP|14189131085298007991</stp>
        <tr r="J320" s="2"/>
      </tp>
      <tp t="s">
        <v>#N/A Requesting Data...4141934536</v>
        <stp/>
        <stp>BDP|10532704066169994445</stp>
        <tr r="Q1879" s="2"/>
      </tp>
      <tp t="s">
        <v>#N/A Requesting Data...3688608153</v>
        <stp/>
        <stp>BDP|10430836248479027919</stp>
        <tr r="G2045" s="2"/>
      </tp>
      <tp t="s">
        <v>#N/A Requesting Data...3305085672</v>
        <stp/>
        <stp>BDP|13277326253828475194</stp>
        <tr r="E268" s="2"/>
      </tp>
      <tp t="s">
        <v>#N/A Requesting Data...2316545067</v>
        <stp/>
        <stp>BDP|18389975939516213813</stp>
        <tr r="Q1315" s="2"/>
      </tp>
      <tp t="s">
        <v>#N/A Requesting Data...3190065017</v>
        <stp/>
        <stp>BDP|12626260233666489995</stp>
        <tr r="M706" s="2"/>
      </tp>
      <tp t="s">
        <v>#N/A Requesting Data...4144734894</v>
        <stp/>
        <stp>BDP|11054175789072912698</stp>
        <tr r="H1852" s="2"/>
      </tp>
      <tp t="s">
        <v>#N/A Requesting Data...2779808442</v>
        <stp/>
        <stp>BDP|14519852622093897143</stp>
        <tr r="F1918" s="2"/>
      </tp>
      <tp t="s">
        <v>#N/A Requesting Data...3258455017</v>
        <stp/>
        <stp>BDP|13953829761273051242</stp>
        <tr r="S2428" s="2"/>
      </tp>
      <tp t="s">
        <v>#N/A Requesting Data...2951027957</v>
        <stp/>
        <stp>BDP|14576655981904951266</stp>
        <tr r="J1367" s="2"/>
      </tp>
      <tp t="s">
        <v>#N/A Requesting Data...3215710988</v>
        <stp/>
        <stp>BDP|15473485226616098945</stp>
        <tr r="T1855" s="2"/>
      </tp>
      <tp t="s">
        <v>#N/A Requesting Data...3184633555</v>
        <stp/>
        <stp>BDP|17584225280431000091</stp>
        <tr r="Q525" s="2"/>
      </tp>
      <tp t="s">
        <v>#N/A Requesting Data...4207689178</v>
        <stp/>
        <stp>BDP|14969611300986038862</stp>
        <tr r="C1415" s="2"/>
      </tp>
      <tp t="s">
        <v>#N/A Requesting Data...4126326998</v>
        <stp/>
        <stp>BDP|13647221618899349516</stp>
        <tr r="F916" s="2"/>
      </tp>
      <tp t="s">
        <v>#N/A Requesting Data...3584568772</v>
        <stp/>
        <stp>BDP|15259089454324844885</stp>
        <tr r="T1488" s="2"/>
      </tp>
      <tp t="b">
        <v>0</v>
        <stp/>
        <stp>BDS|11173547738998312335</stp>
        <tr r="I203" s="2"/>
      </tp>
      <tp t="s">
        <v>#N/A Requesting Data...2478603593</v>
        <stp/>
        <stp>BDP|16858331988727569688</stp>
        <tr r="H134" s="2"/>
      </tp>
      <tp t="b">
        <v>0</v>
        <stp/>
        <stp>BDS|12308178119349007707</stp>
        <tr r="I261" s="2"/>
      </tp>
      <tp t="s">
        <v>#N/A Requesting Data...3338764941</v>
        <stp/>
        <stp>BDP|15849617150722421835</stp>
        <tr r="O183" s="2"/>
      </tp>
      <tp t="s">
        <v>#N/A Requesting Data...3432238867</v>
        <stp/>
        <stp>BDP|12903684963467569995</stp>
        <tr r="C1055" s="2"/>
      </tp>
      <tp t="s">
        <v>#N/A Requesting Data...3674035593</v>
        <stp/>
        <stp>BDP|12911025690357503004</stp>
        <tr r="S161" s="2"/>
      </tp>
      <tp t="s">
        <v>#N/A Requesting Data...3244568475</v>
        <stp/>
        <stp>BDP|14562181246468795529</stp>
        <tr r="R2289" s="2"/>
      </tp>
      <tp t="s">
        <v>#N/A Requesting Data...2567429106</v>
        <stp/>
        <stp>BDP|10222705998953592115</stp>
        <tr r="O548" s="2"/>
      </tp>
      <tp t="s">
        <v>#N/A Requesting Data...2867543354</v>
        <stp/>
        <stp>BDP|10369681412548340344</stp>
        <tr r="O1182" s="2"/>
      </tp>
      <tp t="s">
        <v>#N/A Requesting Data...4199790588</v>
        <stp/>
        <stp>BDP|17347390547918069439</stp>
        <tr r="J2249" s="2"/>
      </tp>
      <tp t="s">
        <v>#N/A Requesting Data...4096386500</v>
        <stp/>
        <stp>BDP|18073763768404659164</stp>
        <tr r="M1531" s="2"/>
      </tp>
      <tp t="s">
        <v>#N/A Requesting Data...3016795047</v>
        <stp/>
        <stp>BDP|12202970308306465174</stp>
        <tr r="O1301" s="2"/>
      </tp>
      <tp t="s">
        <v>#N/A Requesting Data...3404336506</v>
        <stp/>
        <stp>BDP|16436977153923642588</stp>
        <tr r="N1857" s="2"/>
      </tp>
      <tp t="s">
        <v>#N/A Requesting Data...2931798683</v>
        <stp/>
        <stp>BDP|16742883323165100537</stp>
        <tr r="P1706" s="2"/>
      </tp>
      <tp t="s">
        <v>#N/A Requesting Data...3999815015</v>
        <stp/>
        <stp>BDP|15371538349870124864</stp>
        <tr r="H2062" s="2"/>
      </tp>
      <tp t="s">
        <v>#N/A Requesting Data...3190046905</v>
        <stp/>
        <stp>BDP|13604393616565706807</stp>
        <tr r="O1428" s="2"/>
      </tp>
      <tp t="s">
        <v>#N/A Requesting Data...3381874264</v>
        <stp/>
        <stp>BDP|12906336914729731572</stp>
        <tr r="E598" s="2"/>
      </tp>
      <tp t="s">
        <v>#N/A Requesting Data...3552230356</v>
        <stp/>
        <stp>BDP|12128815101107762180</stp>
        <tr r="K1480" s="2"/>
      </tp>
      <tp t="s">
        <v>#N/A Requesting Data...4204055932</v>
        <stp/>
        <stp>BDP|12236042451272800913</stp>
        <tr r="C2506" s="2"/>
      </tp>
      <tp t="s">
        <v>#N/A Requesting Data...4158504787</v>
        <stp/>
        <stp>BDP|17088222494932014285</stp>
        <tr r="D1328" s="2"/>
      </tp>
      <tp t="b">
        <v>0</v>
        <stp/>
        <stp>BDS|11588547688905095548</stp>
        <tr r="I1350" s="2"/>
      </tp>
      <tp t="s">
        <v>#N/A Requesting Data...3872150582</v>
        <stp/>
        <stp>BDP|15181971412792289381</stp>
        <tr r="R2529" s="2"/>
      </tp>
      <tp t="s">
        <v>#N/A Requesting Data...2504946005</v>
        <stp/>
        <stp>BDP|13818689489898572920</stp>
        <tr r="O1569" s="2"/>
      </tp>
      <tp t="s">
        <v>#N/A Requesting Data...4104587368</v>
        <stp/>
        <stp>BDP|13256386644518853084</stp>
        <tr r="G844" s="2"/>
      </tp>
      <tp t="s">
        <v>#N/A Requesting Data...2455527638</v>
        <stp/>
        <stp>BDP|11915119238789896660</stp>
        <tr r="G211" s="2"/>
      </tp>
      <tp t="s">
        <v>#N/A Requesting Data...3880306070</v>
        <stp/>
        <stp>BDP|16627514917116997878</stp>
        <tr r="E993" s="2"/>
      </tp>
      <tp t="s">
        <v>#N/A Requesting Data...3551741780</v>
        <stp/>
        <stp>BDP|18054381926164620161</stp>
        <tr r="P1885" s="2"/>
      </tp>
      <tp t="s">
        <v>#N/A Requesting Data...3888164608</v>
        <stp/>
        <stp>BDP|15207030996649859915</stp>
        <tr r="C928" s="2"/>
      </tp>
      <tp t="s">
        <v>#N/A Requesting Data...4252346637</v>
        <stp/>
        <stp>BDP|13943722796719419875</stp>
        <tr r="H2207" s="2"/>
      </tp>
      <tp t="s">
        <v>#N/A Requesting Data...3520375305</v>
        <stp/>
        <stp>BDP|13784390085396292277</stp>
        <tr r="F1748" s="2"/>
      </tp>
      <tp t="s">
        <v>#N/A Requesting Data...3881227546</v>
        <stp/>
        <stp>BDP|16638350514360135886</stp>
        <tr r="P304" s="2"/>
      </tp>
      <tp t="s">
        <v>#N/A Requesting Data...3821199440</v>
        <stp/>
        <stp>BDP|18326382174389036915</stp>
        <tr r="T945" s="2"/>
      </tp>
      <tp t="s">
        <v>#N/A Requesting Data...3624210115</v>
        <stp/>
        <stp>BDP|14649929555005908168</stp>
        <tr r="S1741" s="2"/>
      </tp>
      <tp t="s">
        <v>#N/A Requesting Data...2942665166</v>
        <stp/>
        <stp>BDP|14949886819043432224</stp>
        <tr r="O2370" s="2"/>
      </tp>
      <tp t="s">
        <v>#N/A Requesting Data...4029912290</v>
        <stp/>
        <stp>BDP|17872033992031418331</stp>
        <tr r="P2203" s="2"/>
      </tp>
      <tp t="s">
        <v>#N/A Requesting Data...3242206954</v>
        <stp/>
        <stp>BDP|11689832133134753205</stp>
        <tr r="P152" s="2"/>
      </tp>
      <tp t="s">
        <v>#N/A Requesting Data...2811095742</v>
        <stp/>
        <stp>BDP|12116605204439423109</stp>
        <tr r="E1098" s="2"/>
      </tp>
      <tp t="b">
        <v>0</v>
        <stp/>
        <stp>BDS|10821982517100436419</stp>
        <tr r="I1002" s="2"/>
      </tp>
      <tp t="s">
        <v>#N/A Requesting Data...3978419257</v>
        <stp/>
        <stp>BDP|10920569913321433991</stp>
        <tr r="G1461" s="2"/>
      </tp>
      <tp t="s">
        <v>#N/A Requesting Data...2744171007</v>
        <stp/>
        <stp>BDP|14348893407960551091</stp>
        <tr r="K816" s="2"/>
      </tp>
      <tp t="s">
        <v>#N/A Requesting Data...4078367129</v>
        <stp/>
        <stp>BDP|10794586181174857571</stp>
        <tr r="T2389" s="2"/>
      </tp>
      <tp t="s">
        <v>#N/A Requesting Data...3784199444</v>
        <stp/>
        <stp>BDP|14204666601858463602</stp>
        <tr r="D1167" s="2"/>
      </tp>
      <tp t="s">
        <v>#N/A Requesting Data...2570386428</v>
        <stp/>
        <stp>BDP|15127939216364105542</stp>
        <tr r="G1179" s="2"/>
      </tp>
      <tp t="s">
        <v>#N/A Requesting Data...3480932863</v>
        <stp/>
        <stp>BDP|13051033382453287420</stp>
        <tr r="S1668" s="2"/>
      </tp>
      <tp t="s">
        <v>#N/A Requesting Data...2975888316</v>
        <stp/>
        <stp>BDP|13978488920628100113</stp>
        <tr r="S1125" s="2"/>
      </tp>
      <tp t="s">
        <v>#N/A Requesting Data...3805154774</v>
        <stp/>
        <stp>BDP|16393201783398220830</stp>
        <tr r="R1980" s="2"/>
      </tp>
      <tp t="b">
        <v>0</v>
        <stp/>
        <stp>BDS|16483106486040528355</stp>
        <tr r="I1820" s="2"/>
      </tp>
      <tp t="s">
        <v>#N/A Requesting Data...2500829825</v>
        <stp/>
        <stp>BDP|17256117936189039048</stp>
        <tr r="A2430" s="2"/>
      </tp>
      <tp t="s">
        <v>#N/A Requesting Data...3533707977</v>
        <stp/>
        <stp>BDP|17566233907730027908</stp>
        <tr r="N2430" s="2"/>
      </tp>
      <tp t="s">
        <v>#N/A Requesting Data...4202148734</v>
        <stp/>
        <stp>BDP|15062877845912691759</stp>
        <tr r="J77" s="2"/>
      </tp>
      <tp t="s">
        <v>#N/A Requesting Data...3215722003</v>
        <stp/>
        <stp>BDP|11191273091967521139</stp>
        <tr r="E691" s="2"/>
      </tp>
      <tp t="s">
        <v>#N/A Requesting Data...3034745174</v>
        <stp/>
        <stp>BDP|11410915151266261778</stp>
        <tr r="M461" s="2"/>
      </tp>
      <tp t="s">
        <v>#N/A Requesting Data...3193729350</v>
        <stp/>
        <stp>BDP|17315989739532671352</stp>
        <tr r="S1362" s="2"/>
      </tp>
      <tp t="s">
        <v>#N/A Requesting Data...3796171212</v>
        <stp/>
        <stp>BDP|15464391012858618381</stp>
        <tr r="G1082" s="2"/>
      </tp>
      <tp t="s">
        <v>#N/A Requesting Data...3954095919</v>
        <stp/>
        <stp>BDP|14735327854317199911</stp>
        <tr r="Q1011" s="2"/>
      </tp>
      <tp t="s">
        <v>#N/A Requesting Data...4255186951</v>
        <stp/>
        <stp>BDP|16795266770226542956</stp>
        <tr r="H691" s="2"/>
      </tp>
      <tp t="s">
        <v>#N/A Requesting Data...3047910726</v>
        <stp/>
        <stp>BDP|10789705302752243960</stp>
        <tr r="Q2105" s="2"/>
      </tp>
      <tp t="s">
        <v>#N/A Requesting Data...4075181188</v>
        <stp/>
        <stp>BDP|15780668138884810807</stp>
        <tr r="F1653" s="2"/>
      </tp>
      <tp t="s">
        <v>#N/A Requesting Data...3216328540</v>
        <stp/>
        <stp>BDP|14963993414241384161</stp>
        <tr r="C959" s="2"/>
      </tp>
      <tp t="s">
        <v>#N/A Requesting Data...2776483307</v>
        <stp/>
        <stp>BDP|15508876188270989922</stp>
        <tr r="K181" s="2"/>
      </tp>
      <tp t="s">
        <v>#N/A Requesting Data...3273183729</v>
        <stp/>
        <stp>BDP|11984344189037406112</stp>
        <tr r="H1834" s="2"/>
      </tp>
      <tp t="s">
        <v>#N/A Requesting Data...3879400968</v>
        <stp/>
        <stp>BDP|15034438396731459504</stp>
        <tr r="S1000" s="2"/>
      </tp>
      <tp t="b">
        <v>0</v>
        <stp/>
        <stp>BDS|15789147363477422964</stp>
        <tr r="I1774" s="2"/>
      </tp>
      <tp t="s">
        <v>#N/A Requesting Data...4049614676</v>
        <stp/>
        <stp>BDP|18097432274291112675</stp>
        <tr r="M332" s="2"/>
      </tp>
      <tp t="s">
        <v>#N/A Requesting Data...3065425165</v>
        <stp/>
        <stp>BDP|16840091390233589052</stp>
        <tr r="F655" s="2"/>
      </tp>
      <tp t="s">
        <v>#N/A Requesting Data...3830228314</v>
        <stp/>
        <stp>BDP|14467783339279689522</stp>
        <tr r="D509" s="2"/>
      </tp>
      <tp t="s">
        <v>#N/A Requesting Data...3598326558</v>
        <stp/>
        <stp>BDP|16551929228599920876</stp>
        <tr r="N350" s="2"/>
      </tp>
      <tp t="s">
        <v>#N/A Requesting Data...3776953945</v>
        <stp/>
        <stp>BDP|10395827753215612450</stp>
        <tr r="A2006" s="2"/>
      </tp>
      <tp t="s">
        <v>#N/A Requesting Data...3782810834</v>
        <stp/>
        <stp>BDP|17950889945195610231</stp>
        <tr r="N1562" s="2"/>
      </tp>
      <tp t="s">
        <v>#N/A Requesting Data...4025789601</v>
        <stp/>
        <stp>BDP|13565863124202391752</stp>
        <tr r="K5" s="2"/>
      </tp>
      <tp t="s">
        <v>#N/A Requesting Data...3151724435</v>
        <stp/>
        <stp>BDP|10225339415516434811</stp>
        <tr r="F928" s="2"/>
      </tp>
      <tp t="s">
        <v>#N/A Requesting Data...3070846429</v>
        <stp/>
        <stp>BDP|16808710886967802265</stp>
        <tr r="S2306" s="2"/>
      </tp>
      <tp t="s">
        <v>#N/A Requesting Data...2603508467</v>
        <stp/>
        <stp>BDP|15834116744144801848</stp>
        <tr r="Q1794" s="2"/>
      </tp>
      <tp t="s">
        <v>#N/A Requesting Data...3117485653</v>
        <stp/>
        <stp>BDP|14535972912849328927</stp>
        <tr r="N795" s="2"/>
      </tp>
      <tp t="s">
        <v>#N/A Requesting Data...2655273520</v>
        <stp/>
        <stp>BDP|17937408698236752070</stp>
        <tr r="N2293" s="2"/>
      </tp>
      <tp t="s">
        <v>#N/A Requesting Data...2659169041</v>
        <stp/>
        <stp>BDP|10275437840478425445</stp>
        <tr r="N2074" s="2"/>
      </tp>
      <tp t="s">
        <v>#N/A Requesting Data...4293368717</v>
        <stp/>
        <stp>BDP|11814046829857441808</stp>
        <tr r="N1239" s="2"/>
      </tp>
      <tp t="s">
        <v>#N/A Requesting Data...3735768544</v>
        <stp/>
        <stp>BDP|11073440171109577712</stp>
        <tr r="Q2416" s="2"/>
      </tp>
      <tp t="s">
        <v>#N/A Requesting Data...2763634323</v>
        <stp/>
        <stp>BDP|10375362793324510225</stp>
        <tr r="T181" s="2"/>
      </tp>
      <tp t="s">
        <v>#N/A Requesting Data...4148517044</v>
        <stp/>
        <stp>BDP|14645102290122425237</stp>
        <tr r="O1114" s="2"/>
      </tp>
      <tp t="s">
        <v>#N/A Requesting Data...2699820050</v>
        <stp/>
        <stp>BDP|11561865424376710113</stp>
        <tr r="F1466" s="2"/>
      </tp>
      <tp t="s">
        <v>#N/A Requesting Data...4237569797</v>
        <stp/>
        <stp>BDP|16264078338629908059</stp>
        <tr r="A419" s="2"/>
      </tp>
      <tp t="s">
        <v>#N/A Requesting Data...4284165819</v>
        <stp/>
        <stp>BDP|11028519500128324039</stp>
        <tr r="A931" s="2"/>
      </tp>
      <tp t="s">
        <v>#N/A Requesting Data...3622516073</v>
        <stp/>
        <stp>BDP|12925477097375850602</stp>
        <tr r="E361" s="2"/>
      </tp>
      <tp t="s">
        <v>#N/A Requesting Data...2969299911</v>
        <stp/>
        <stp>BDP|14272582128297728844</stp>
        <tr r="M589" s="2"/>
      </tp>
      <tp t="s">
        <v>#N/A Requesting Data...3956948113</v>
        <stp/>
        <stp>BDP|18361452626135276733</stp>
        <tr r="S1670" s="2"/>
      </tp>
      <tp t="s">
        <v>#N/A Requesting Data...3374917018</v>
        <stp/>
        <stp>BDP|13959466799776054471</stp>
        <tr r="K517" s="2"/>
      </tp>
      <tp t="s">
        <v>#N/A Requesting Data...3543658117</v>
        <stp/>
        <stp>BDP|16065770240019521034</stp>
        <tr r="N2171" s="2"/>
      </tp>
      <tp t="s">
        <v>#N/A Requesting Data...3526371273</v>
        <stp/>
        <stp>BDP|18195066867681992380</stp>
        <tr r="G1120" s="2"/>
      </tp>
      <tp t="s">
        <v>#N/A Requesting Data...2930341139</v>
        <stp/>
        <stp>BDP|12079652735712323927</stp>
        <tr r="O2145" s="2"/>
      </tp>
      <tp t="s">
        <v>#N/A Requesting Data...2661060084</v>
        <stp/>
        <stp>BDP|12855586528689801012</stp>
        <tr r="P1374" s="2"/>
      </tp>
      <tp t="s">
        <v>#N/A Requesting Data...3788469762</v>
        <stp/>
        <stp>BDP|15579906288320452880</stp>
        <tr r="M1352" s="2"/>
      </tp>
      <tp t="s">
        <v>#N/A Requesting Data...3628565772</v>
        <stp/>
        <stp>BDP|17829464599054183279</stp>
        <tr r="T495" s="2"/>
      </tp>
      <tp t="s">
        <v>#N/A Requesting Data...4012502241</v>
        <stp/>
        <stp>BDP|12195429564779462526</stp>
        <tr r="K1642" s="2"/>
      </tp>
      <tp t="s">
        <v>#N/A Requesting Data...2899041090</v>
        <stp/>
        <stp>BDP|14988603681634098293</stp>
        <tr r="G2132" s="2"/>
      </tp>
      <tp t="s">
        <v>#N/A Requesting Data...3174414480</v>
        <stp/>
        <stp>BDP|12504192051622430880</stp>
        <tr r="R61" s="2"/>
      </tp>
      <tp t="s">
        <v>#N/A Requesting Data...3883440426</v>
        <stp/>
        <stp>BDP|10969401803229802132</stp>
        <tr r="R2006" s="2"/>
      </tp>
      <tp t="s">
        <v>#N/A Requesting Data...3562865758</v>
        <stp/>
        <stp>BDP|11404114298122957757</stp>
        <tr r="H1524" s="2"/>
      </tp>
      <tp t="s">
        <v>#N/A Requesting Data...3791447859</v>
        <stp/>
        <stp>BDP|11315049880737393250</stp>
        <tr r="K1588" s="2"/>
      </tp>
      <tp t="s">
        <v>#N/A Requesting Data...3090569682</v>
        <stp/>
        <stp>BDP|11456174221328743640</stp>
        <tr r="R2122" s="2"/>
      </tp>
      <tp t="s">
        <v>#N/A Requesting Data...4217968511</v>
        <stp/>
        <stp>BDP|14289013782802328237</stp>
        <tr r="Q400" s="2"/>
      </tp>
      <tp t="s">
        <v>#N/A Requesting Data...4200672866</v>
        <stp/>
        <stp>BDP|15552855505627375677</stp>
        <tr r="O1720" s="2"/>
      </tp>
      <tp t="s">
        <v>#N/A Requesting Data...3899964180</v>
        <stp/>
        <stp>BDP|11175808474871585319</stp>
        <tr r="R2321" s="2"/>
      </tp>
      <tp t="s">
        <v>#N/A Requesting Data...4185677107</v>
        <stp/>
        <stp>BDP|14285338511559836390</stp>
        <tr r="K1252" s="2"/>
      </tp>
      <tp t="s">
        <v>#N/A Requesting Data...4154112921</v>
        <stp/>
        <stp>BDP|13551137753703391879</stp>
        <tr r="R1324" s="2"/>
      </tp>
      <tp t="s">
        <v>#N/A Requesting Data...3538124801</v>
        <stp/>
        <stp>BDP|16486045883350028229</stp>
        <tr r="N549" s="2"/>
      </tp>
      <tp t="s">
        <v>#N/A Requesting Data...3761612514</v>
        <stp/>
        <stp>BDP|10581923369995607696</stp>
        <tr r="Q1785" s="2"/>
      </tp>
      <tp t="s">
        <v>#N/A Requesting Data...3626867685</v>
        <stp/>
        <stp>BDP|10848435880557939733</stp>
        <tr r="O1640" s="2"/>
      </tp>
      <tp t="s">
        <v>#N/A Requesting Data...3920193203</v>
        <stp/>
        <stp>BDP|12386350985894619145</stp>
        <tr r="D2289" s="2"/>
      </tp>
      <tp t="s">
        <v>#N/A Requesting Data...3084647228</v>
        <stp/>
        <stp>BDP|13528403030600041847</stp>
        <tr r="A856" s="2"/>
      </tp>
      <tp t="s">
        <v>#N/A Requesting Data...3556795780</v>
        <stp/>
        <stp>BDP|15059308649876918810</stp>
        <tr r="R342" s="2"/>
      </tp>
      <tp t="b">
        <v>0</v>
        <stp/>
        <stp>BDS|16641778825149269650</stp>
        <tr r="I2529" s="2"/>
      </tp>
      <tp t="s">
        <v>#N/A Requesting Data...2782868268</v>
        <stp/>
        <stp>BDP|13961936499348711749</stp>
        <tr r="H1247" s="2"/>
      </tp>
      <tp t="s">
        <v>#N/A Requesting Data...3619226157</v>
        <stp/>
        <stp>BDP|12265116975531290946</stp>
        <tr r="T677" s="2"/>
      </tp>
      <tp t="s">
        <v>#N/A Requesting Data...4270688537</v>
        <stp/>
        <stp>BDP|10181312802509641641</stp>
        <tr r="D1291" s="2"/>
      </tp>
      <tp t="s">
        <v>#N/A Requesting Data...2616935788</v>
        <stp/>
        <stp>BDP|14216845882989762131</stp>
        <tr r="D1691" s="2"/>
      </tp>
      <tp t="s">
        <v>#N/A Requesting Data...3223023180</v>
        <stp/>
        <stp>BDP|12155950141851160241</stp>
        <tr r="R2483" s="2"/>
      </tp>
      <tp t="s">
        <v>#N/A Requesting Data...3061908017</v>
        <stp/>
        <stp>BDP|10156629065588771417</stp>
        <tr r="T1995" s="2"/>
      </tp>
      <tp t="s">
        <v>#N/A Requesting Data...4192636078</v>
        <stp/>
        <stp>BDP|16491103409909937249</stp>
        <tr r="D137" s="2"/>
      </tp>
      <tp t="s">
        <v>#N/A Requesting Data...2712676289</v>
        <stp/>
        <stp>BDP|11932494899745109588</stp>
        <tr r="M1071" s="2"/>
      </tp>
      <tp t="s">
        <v>#N/A Requesting Data...2945905570</v>
        <stp/>
        <stp>BDP|16073101460245244828</stp>
        <tr r="A1115" s="2"/>
      </tp>
      <tp t="s">
        <v>#N/A Requesting Data...2680069630</v>
        <stp/>
        <stp>BDP|10027856256352080337</stp>
        <tr r="D1050" s="2"/>
      </tp>
      <tp t="s">
        <v>#N/A Requesting Data...2874223057</v>
        <stp/>
        <stp>BDP|12446563285242480135</stp>
        <tr r="R1645" s="2"/>
      </tp>
      <tp t="s">
        <v>#N/A Requesting Data...3593177176</v>
        <stp/>
        <stp>BDP|18298249866696799677</stp>
        <tr r="E1212" s="2"/>
      </tp>
      <tp t="b">
        <v>0</v>
        <stp/>
        <stp>BDS|12345902951840546245</stp>
        <tr r="I901" s="2"/>
      </tp>
      <tp t="s">
        <v>#N/A Requesting Data...2719124432</v>
        <stp/>
        <stp>BDP|13790165346612206855</stp>
        <tr r="C363" s="2"/>
      </tp>
      <tp t="s">
        <v>#N/A Requesting Data...3536573417</v>
        <stp/>
        <stp>BDP|14559658414836693922</stp>
        <tr r="M1915" s="2"/>
      </tp>
      <tp t="s">
        <v>#N/A Requesting Data...4183535467</v>
        <stp/>
        <stp>BDP|15227907017899312862</stp>
        <tr r="M1255" s="2"/>
      </tp>
      <tp t="s">
        <v>#N/A Requesting Data...2667223985</v>
        <stp/>
        <stp>BDP|14722528855541927993</stp>
        <tr r="J1734" s="2"/>
      </tp>
      <tp t="s">
        <v>#N/A Requesting Data...2984436049</v>
        <stp/>
        <stp>BDP|15230551984941024537</stp>
        <tr r="P941" s="2"/>
      </tp>
      <tp t="s">
        <v>#N/A Requesting Data...4214674024</v>
        <stp/>
        <stp>BDP|15760900104201627158</stp>
        <tr r="P167" s="2"/>
      </tp>
      <tp t="s">
        <v>#N/A Requesting Data...3706172997</v>
        <stp/>
        <stp>BDP|11102687151459846709</stp>
        <tr r="O762" s="2"/>
      </tp>
      <tp t="s">
        <v>#N/A Requesting Data...2792901388</v>
        <stp/>
        <stp>BDP|11682253404328277751</stp>
        <tr r="J2526" s="2"/>
      </tp>
      <tp t="b">
        <v>0</v>
        <stp/>
        <stp>BDS|16996498232818428556</stp>
        <tr r="I1375" s="2"/>
      </tp>
      <tp t="s">
        <v>#N/A Requesting Data...3898658957</v>
        <stp/>
        <stp>BDP|16768016107449882391</stp>
        <tr r="K97" s="2"/>
      </tp>
      <tp t="s">
        <v>#N/A Requesting Data...3157708929</v>
        <stp/>
        <stp>BDP|18436476012171717068</stp>
        <tr r="P2261" s="2"/>
      </tp>
      <tp t="s">
        <v>#N/A Requesting Data...3407826917</v>
        <stp/>
        <stp>BDP|10490874584534056870</stp>
        <tr r="T1448" s="2"/>
      </tp>
      <tp t="s">
        <v>#N/A Requesting Data...3753064734</v>
        <stp/>
        <stp>BDP|17343418319958807638</stp>
        <tr r="P1306" s="2"/>
      </tp>
      <tp t="s">
        <v>#N/A Requesting Data...3519491929</v>
        <stp/>
        <stp>BDP|10180326408317938822</stp>
        <tr r="G777" s="2"/>
      </tp>
      <tp t="s">
        <v>#N/A Requesting Data...2702996747</v>
        <stp/>
        <stp>BDP|15940827132842118086</stp>
        <tr r="G407" s="2"/>
      </tp>
      <tp t="s">
        <v>#N/A Requesting Data...3979637419</v>
        <stp/>
        <stp>BDP|17350373388179899942</stp>
        <tr r="H1880" s="2"/>
      </tp>
      <tp t="b">
        <v>0</v>
        <stp/>
        <stp>BDS|16772570729604943939</stp>
        <tr r="I1003" s="2"/>
      </tp>
      <tp t="s">
        <v>#N/A Requesting Data...3598659864</v>
        <stp/>
        <stp>BDP|10292457298279725882</stp>
        <tr r="S2386" s="2"/>
      </tp>
      <tp t="s">
        <v>#N/A Requesting Data...3727834228</v>
        <stp/>
        <stp>BDP|13141834192509346732</stp>
        <tr r="G170" s="2"/>
      </tp>
      <tp t="s">
        <v>#N/A Requesting Data...3979125324</v>
        <stp/>
        <stp>BDP|16503273586508235866</stp>
        <tr r="P1846" s="2"/>
      </tp>
      <tp t="s">
        <v>#N/A Requesting Data...3725703450</v>
        <stp/>
        <stp>BDP|10703900400537676211</stp>
        <tr r="K1380" s="2"/>
      </tp>
      <tp t="s">
        <v>#N/A Requesting Data...3218907243</v>
        <stp/>
        <stp>BDP|10059990109026851382</stp>
        <tr r="P450" s="2"/>
      </tp>
      <tp t="s">
        <v>#N/A Requesting Data...3146808040</v>
        <stp/>
        <stp>BDP|13675830715500457645</stp>
        <tr r="K1718" s="2"/>
      </tp>
      <tp t="s">
        <v>#N/A Requesting Data...4118064385</v>
        <stp/>
        <stp>BDP|15819570879268273346</stp>
        <tr r="K242" s="2"/>
      </tp>
      <tp t="s">
        <v>#N/A Requesting Data...4078411201</v>
        <stp/>
        <stp>BDP|14612286239319440032</stp>
        <tr r="T1180" s="2"/>
      </tp>
      <tp t="s">
        <v>#N/A Requesting Data...3579220596</v>
        <stp/>
        <stp>BDP|17906989585519571319</stp>
        <tr r="K456" s="2"/>
      </tp>
      <tp t="s">
        <v>#N/A Requesting Data...2748324978</v>
        <stp/>
        <stp>BDP|12269856495079161637</stp>
        <tr r="G2235" s="2"/>
      </tp>
      <tp t="s">
        <v>#N/A Requesting Data...3587318310</v>
        <stp/>
        <stp>BDP|17255848775203698757</stp>
        <tr r="C299" s="2"/>
      </tp>
      <tp t="s">
        <v>#N/A Requesting Data...3093023925</v>
        <stp/>
        <stp>BDP|16055400165988198044</stp>
        <tr r="F2439" s="2"/>
      </tp>
      <tp t="s">
        <v>#N/A Requesting Data...3385577188</v>
        <stp/>
        <stp>BDP|17850826567510940543</stp>
        <tr r="E524" s="2"/>
      </tp>
      <tp t="s">
        <v>#N/A Requesting Data...3140251018</v>
        <stp/>
        <stp>BDP|14536639715437065839</stp>
        <tr r="G1786" s="2"/>
      </tp>
      <tp t="s">
        <v>#N/A Requesting Data...3897124772</v>
        <stp/>
        <stp>BDP|18121162002464220177</stp>
        <tr r="E1748" s="2"/>
      </tp>
      <tp t="s">
        <v>#N/A Requesting Data...3479001382</v>
        <stp/>
        <stp>BDP|14479035095064779555</stp>
        <tr r="G1300" s="2"/>
      </tp>
      <tp t="s">
        <v>#N/A Requesting Data...3551285085</v>
        <stp/>
        <stp>BDP|10152247964171032917</stp>
        <tr r="G2288" s="2"/>
      </tp>
      <tp t="s">
        <v>#N/A Requesting Data...3284740386</v>
        <stp/>
        <stp>BDP|15827497573763043921</stp>
        <tr r="R203" s="2"/>
      </tp>
      <tp t="s">
        <v>#N/A Requesting Data...3990113330</v>
        <stp/>
        <stp>BDP|11621180795636323381</stp>
        <tr r="R201" s="2"/>
      </tp>
      <tp t="s">
        <v>#N/A Requesting Data...3923613051</v>
        <stp/>
        <stp>BDP|12397908087139106657</stp>
        <tr r="H1517" s="2"/>
      </tp>
      <tp t="s">
        <v>#N/A Requesting Data...3462897917</v>
        <stp/>
        <stp>BDP|11848290631118201423</stp>
        <tr r="F2050" s="2"/>
      </tp>
      <tp t="s">
        <v>#N/A Requesting Data...3895533283</v>
        <stp/>
        <stp>BDP|12138861625260203406</stp>
        <tr r="R2028" s="2"/>
      </tp>
      <tp t="s">
        <v>#N/A Requesting Data...3984745855</v>
        <stp/>
        <stp>BDP|18030626327753613335</stp>
        <tr r="R314" s="2"/>
      </tp>
      <tp t="s">
        <v>#N/A Requesting Data...4177985115</v>
        <stp/>
        <stp>BDP|16521671283535306120</stp>
        <tr r="S838" s="2"/>
      </tp>
      <tp t="s">
        <v>#N/A Requesting Data...2993843282</v>
        <stp/>
        <stp>BDP|13075096506417722881</stp>
        <tr r="M1773" s="2"/>
      </tp>
      <tp t="s">
        <v>#N/A Requesting Data...3313104071</v>
        <stp/>
        <stp>BDP|14304266598162844155</stp>
        <tr r="C1180" s="2"/>
      </tp>
      <tp t="s">
        <v>#N/A Requesting Data...3667047653</v>
        <stp/>
        <stp>BDP|15545965368591263797</stp>
        <tr r="S1153" s="2"/>
      </tp>
      <tp t="s">
        <v>#N/A Requesting Data...3547447390</v>
        <stp/>
        <stp>BDP|17368706028609324781</stp>
        <tr r="D1608" s="2"/>
      </tp>
      <tp t="s">
        <v>#N/A Requesting Data...3865226188</v>
        <stp/>
        <stp>BDP|12049502071539235535</stp>
        <tr r="H1303" s="2"/>
      </tp>
      <tp t="s">
        <v>#N/A Requesting Data...3236498447</v>
        <stp/>
        <stp>BDP|10684094788016011278</stp>
        <tr r="R1854" s="2"/>
      </tp>
      <tp t="s">
        <v>#N/A Requesting Data...2783928916</v>
        <stp/>
        <stp>BDP|16558431638655739894</stp>
        <tr r="H542" s="2"/>
      </tp>
      <tp t="s">
        <v>#N/A Requesting Data...4011722655</v>
        <stp/>
        <stp>BDP|11460056994821351569</stp>
        <tr r="A1992" s="2"/>
      </tp>
      <tp t="s">
        <v>#N/A Requesting Data...3490234404</v>
        <stp/>
        <stp>BDP|13277602402048532152</stp>
        <tr r="G632" s="2"/>
      </tp>
      <tp t="s">
        <v>#N/A Requesting Data...3198572249</v>
        <stp/>
        <stp>BDP|16894808629330677071</stp>
        <tr r="M1995" s="2"/>
      </tp>
      <tp t="b">
        <v>0</v>
        <stp/>
        <stp>BDS|13110816477164604422</stp>
        <tr r="I1210" s="2"/>
      </tp>
      <tp t="s">
        <v>#N/A Requesting Data...3502651085</v>
        <stp/>
        <stp>BDP|16566212392747402627</stp>
        <tr r="H2097" s="2"/>
      </tp>
      <tp t="s">
        <v>#N/A Requesting Data...3715900846</v>
        <stp/>
        <stp>BDP|14365680462399899127</stp>
        <tr r="E1540" s="2"/>
      </tp>
      <tp t="s">
        <v>#N/A Requesting Data...3222154231</v>
        <stp/>
        <stp>BDP|18102679185462877881</stp>
        <tr r="T1143" s="2"/>
      </tp>
      <tp t="s">
        <v>#N/A Requesting Data...3710805433</v>
        <stp/>
        <stp>BDP|15484523848370816853</stp>
        <tr r="E961" s="2"/>
      </tp>
      <tp t="s">
        <v>#N/A Requesting Data...3576837803</v>
        <stp/>
        <stp>BDP|14532301183974598708</stp>
        <tr r="E1439" s="2"/>
      </tp>
      <tp t="s">
        <v>#N/A Requesting Data...4280119864</v>
        <stp/>
        <stp>BDP|11277311353889525266</stp>
        <tr r="H40" s="2"/>
      </tp>
      <tp t="s">
        <v>#N/A Requesting Data...4142739958</v>
        <stp/>
        <stp>BDP|12185298220897866934</stp>
        <tr r="A696" s="2"/>
      </tp>
      <tp t="s">
        <v>#N/A Requesting Data...4177718468</v>
        <stp/>
        <stp>BDP|14754478420707162926</stp>
        <tr r="R1494" s="2"/>
      </tp>
      <tp t="b">
        <v>0</v>
        <stp/>
        <stp>BDS|15068092579249660769</stp>
        <tr r="I823" s="2"/>
      </tp>
      <tp t="s">
        <v>#N/A Requesting Data...3440481532</v>
        <stp/>
        <stp>BDP|12651871773221691076</stp>
        <tr r="A1677" s="2"/>
      </tp>
      <tp t="s">
        <v>#N/A Requesting Data...3000013162</v>
        <stp/>
        <stp>BDP|16031525673829020125</stp>
        <tr r="S335" s="2"/>
      </tp>
      <tp t="s">
        <v>#N/A Requesting Data...3470572874</v>
        <stp/>
        <stp>BDP|17159812802870753363</stp>
        <tr r="E287" s="2"/>
      </tp>
      <tp t="s">
        <v>#N/A Requesting Data...3902966669</v>
        <stp/>
        <stp>BDP|11633818774203853185</stp>
        <tr r="O1207" s="2"/>
      </tp>
      <tp t="s">
        <v>#N/A Requesting Data...3402819780</v>
        <stp/>
        <stp>BDP|13197752194276116721</stp>
        <tr r="S1795" s="2"/>
      </tp>
      <tp t="s">
        <v>#N/A Requesting Data...4185474173</v>
        <stp/>
        <stp>BDP|17163231568857814817</stp>
        <tr r="A1424" s="2"/>
      </tp>
      <tp t="s">
        <v>#N/A Requesting Data...4140233884</v>
        <stp/>
        <stp>BDP|16269135963818361524</stp>
        <tr r="F1523" s="2"/>
      </tp>
      <tp t="s">
        <v>#N/A Requesting Data...4253407523</v>
        <stp/>
        <stp>BDP|16948932919153698166</stp>
        <tr r="F2089" s="2"/>
      </tp>
      <tp t="s">
        <v>#N/A Requesting Data...4142014052</v>
        <stp/>
        <stp>BDP|10905692691847752457</stp>
        <tr r="C840" s="2"/>
      </tp>
      <tp t="s">
        <v>#N/A Requesting Data...3648018163</v>
        <stp/>
        <stp>BDP|13117702231898419372</stp>
        <tr r="H1260" s="2"/>
      </tp>
      <tp t="s">
        <v>#N/A Requesting Data...3045013296</v>
        <stp/>
        <stp>BDP|16250887366963660795</stp>
        <tr r="A1616" s="2"/>
      </tp>
      <tp t="s">
        <v>#N/A Requesting Data...3708624757</v>
        <stp/>
        <stp>BDP|17881267797716934633</stp>
        <tr r="E2467" s="2"/>
      </tp>
      <tp t="s">
        <v>#N/A Requesting Data...3305905976</v>
        <stp/>
        <stp>BDP|12348981145537484497</stp>
        <tr r="A2271" s="2"/>
      </tp>
      <tp t="s">
        <v>#N/A Requesting Data...3976195335</v>
        <stp/>
        <stp>BDP|15374873890578090077</stp>
        <tr r="P172" s="2"/>
      </tp>
      <tp t="s">
        <v>#N/A Requesting Data...2956876928</v>
        <stp/>
        <stp>BDP|13703118797925476269</stp>
        <tr r="O91" s="2"/>
      </tp>
      <tp t="s">
        <v>#N/A Requesting Data...3185964593</v>
        <stp/>
        <stp>BDP|13747916237647181233</stp>
        <tr r="A1033" s="2"/>
      </tp>
      <tp t="s">
        <v>#N/A Requesting Data...4148776420</v>
        <stp/>
        <stp>BDP|16532676698834967104</stp>
        <tr r="C1351" s="2"/>
      </tp>
      <tp t="s">
        <v>#N/A Requesting Data...3810514789</v>
        <stp/>
        <stp>BDP|12790473282241565341</stp>
        <tr r="N173" s="2"/>
      </tp>
      <tp t="b">
        <v>0</v>
        <stp/>
        <stp>BDS|10356962632704492236</stp>
        <tr r="I2093" s="2"/>
      </tp>
      <tp t="s">
        <v>#N/A Requesting Data...4217509023</v>
        <stp/>
        <stp>BDP|11246987477084646789</stp>
        <tr r="F946" s="2"/>
      </tp>
      <tp t="s">
        <v>#N/A Requesting Data...3346548358</v>
        <stp/>
        <stp>BDP|12151775715280892885</stp>
        <tr r="S1263" s="2"/>
      </tp>
      <tp t="s">
        <v>#N/A Requesting Data...3325375028</v>
        <stp/>
        <stp>BDP|10215871097365288835</stp>
        <tr r="O1318" s="2"/>
      </tp>
      <tp t="s">
        <v>#N/A Requesting Data...3725384858</v>
        <stp/>
        <stp>BDP|12561866524690686420</stp>
        <tr r="C598" s="2"/>
      </tp>
      <tp t="s">
        <v>#N/A Requesting Data...3545218695</v>
        <stp/>
        <stp>BDP|16037125919143881901</stp>
        <tr r="S1613" s="2"/>
      </tp>
      <tp t="s">
        <v>#N/A Requesting Data...3772991752</v>
        <stp/>
        <stp>BDP|12323164425474745948</stp>
        <tr r="H334" s="2"/>
      </tp>
      <tp t="s">
        <v>#N/A Requesting Data...3642566286</v>
        <stp/>
        <stp>BDP|12339312845608504119</stp>
        <tr r="Q1297" s="2"/>
      </tp>
      <tp t="s">
        <v>#N/A Requesting Data...4157057071</v>
        <stp/>
        <stp>BDP|15320148017011015835</stp>
        <tr r="E64" s="2"/>
      </tp>
      <tp t="s">
        <v>#N/A Requesting Data...4068452451</v>
        <stp/>
        <stp>BDP|10516399671619652185</stp>
        <tr r="R2503" s="2"/>
      </tp>
      <tp t="s">
        <v>#N/A Requesting Data...3745789370</v>
        <stp/>
        <stp>BDP|16496019313969060251</stp>
        <tr r="N1256" s="2"/>
      </tp>
      <tp t="s">
        <v>#N/A Requesting Data...4048230910</v>
        <stp/>
        <stp>BDP|17025831241147150009</stp>
        <tr r="E1986" s="2"/>
      </tp>
      <tp t="s">
        <v>#N/A Requesting Data...3354627889</v>
        <stp/>
        <stp>BDP|15061561285391128518</stp>
        <tr r="F1867" s="2"/>
      </tp>
      <tp t="s">
        <v>#N/A Requesting Data...4149696986</v>
        <stp/>
        <stp>BDP|11564541434503789817</stp>
        <tr r="T1562" s="2"/>
      </tp>
      <tp t="s">
        <v>#N/A Requesting Data...3015253988</v>
        <stp/>
        <stp>BDP|15281530934686545937</stp>
        <tr r="C522" s="2"/>
      </tp>
      <tp t="s">
        <v>#N/A Requesting Data...3366089783</v>
        <stp/>
        <stp>BDP|18140847626636190811</stp>
        <tr r="D960" s="2"/>
      </tp>
      <tp t="s">
        <v>#N/A Requesting Data...2976718128</v>
        <stp/>
        <stp>BDP|14050563538229509788</stp>
        <tr r="D1448" s="2"/>
      </tp>
      <tp t="s">
        <v>#N/A Requesting Data...3451242967</v>
        <stp/>
        <stp>BDP|10200418886128231846</stp>
        <tr r="P1743" s="2"/>
      </tp>
      <tp t="s">
        <v>#N/A Requesting Data...4048963747</v>
        <stp/>
        <stp>BDP|15385892569235349230</stp>
        <tr r="F1319" s="2"/>
      </tp>
      <tp t="s">
        <v>#N/A Requesting Data...3692339420</v>
        <stp/>
        <stp>BDP|18007682177547994252</stp>
        <tr r="D430" s="2"/>
      </tp>
      <tp t="s">
        <v>#N/A Requesting Data...3796570515</v>
        <stp/>
        <stp>BDP|10942477891651540092</stp>
        <tr r="K2411" s="2"/>
      </tp>
      <tp t="s">
        <v>#N/A Requesting Data...3908881772</v>
        <stp/>
        <stp>BDP|11638363050218220313</stp>
        <tr r="T2016" s="2"/>
      </tp>
      <tp t="s">
        <v>#N/A Requesting Data...4105119748</v>
        <stp/>
        <stp>BDP|11472551944249067561</stp>
        <tr r="F383" s="2"/>
      </tp>
      <tp t="s">
        <v>#N/A Requesting Data...4224615012</v>
        <stp/>
        <stp>BDP|14002586881510233583</stp>
        <tr r="G2326" s="2"/>
      </tp>
      <tp t="s">
        <v>#N/A Requesting Data...3817061932</v>
        <stp/>
        <stp>BDP|10383914856188487836</stp>
        <tr r="C2298" s="2"/>
      </tp>
      <tp t="s">
        <v>#N/A Requesting Data...3775592637</v>
        <stp/>
        <stp>BDP|14607435285791408571</stp>
        <tr r="T471" s="2"/>
      </tp>
      <tp t="s">
        <v>#N/A Requesting Data...2938497070</v>
        <stp/>
        <stp>BDP|13510657994950353048</stp>
        <tr r="C1343" s="2"/>
      </tp>
      <tp t="s">
        <v>#N/A Requesting Data...3049732213</v>
        <stp/>
        <stp>BDP|11401840041319505871</stp>
        <tr r="K578" s="2"/>
      </tp>
      <tp t="s">
        <v>#N/A Requesting Data...4012665298</v>
        <stp/>
        <stp>BDP|17702925656571315633</stp>
        <tr r="Q441" s="2"/>
      </tp>
      <tp t="s">
        <v>#N/A Requesting Data...4283517310</v>
        <stp/>
        <stp>BDP|11201672457876583840</stp>
        <tr r="G133" s="2"/>
      </tp>
      <tp t="s">
        <v>#N/A Requesting Data...3823003396</v>
        <stp/>
        <stp>BDP|11863945575021215280</stp>
        <tr r="F2142" s="2"/>
      </tp>
      <tp t="s">
        <v>#N/A Requesting Data...3634093297</v>
        <stp/>
        <stp>BDP|15695405948841979841</stp>
        <tr r="S953" s="2"/>
      </tp>
      <tp t="b">
        <v>0</v>
        <stp/>
        <stp>BDS|10164378030385641908</stp>
        <tr r="I1915" s="2"/>
      </tp>
      <tp t="s">
        <v>#N/A Requesting Data...3750931670</v>
        <stp/>
        <stp>BDP|14563440772588656367</stp>
        <tr r="C2074" s="2"/>
      </tp>
      <tp t="s">
        <v>#N/A Requesting Data...3250740968</v>
        <stp/>
        <stp>BDP|10912856855547832621</stp>
        <tr r="T565" s="2"/>
      </tp>
      <tp t="s">
        <v>#N/A Requesting Data...3376119687</v>
        <stp/>
        <stp>BDP|11032506131082442961</stp>
        <tr r="R39" s="2"/>
      </tp>
      <tp t="s">
        <v>#N/A Requesting Data...2979873390</v>
        <stp/>
        <stp>BDP|17772422811446065877</stp>
        <tr r="F351" s="2"/>
      </tp>
      <tp t="s">
        <v>#N/A Requesting Data...3291450963</v>
        <stp/>
        <stp>BDP|10011406352618732562</stp>
        <tr r="K229" s="2"/>
      </tp>
      <tp t="s">
        <v>#N/A Requesting Data...4013549823</v>
        <stp/>
        <stp>BDP|15116879203673162278</stp>
        <tr r="T1893" s="2"/>
      </tp>
      <tp t="s">
        <v>#N/A Requesting Data...4152146011</v>
        <stp/>
        <stp>BDP|12097842234391572468</stp>
        <tr r="G622" s="2"/>
      </tp>
      <tp t="s">
        <v>#N/A Requesting Data...3909246645</v>
        <stp/>
        <stp>BDP|10188864248208492880</stp>
        <tr r="J1569" s="2"/>
      </tp>
      <tp t="b">
        <v>0</v>
        <stp/>
        <stp>BDS|11493331855912170931</stp>
        <tr r="I546" s="2"/>
      </tp>
      <tp t="s">
        <v>#N/A Requesting Data...4214815215</v>
        <stp/>
        <stp>BDP|14127906734034574634</stp>
        <tr r="T269" s="2"/>
      </tp>
      <tp t="s">
        <v>#N/A Requesting Data...3016245838</v>
        <stp/>
        <stp>BDP|13077712086434219466</stp>
        <tr r="K1825" s="2"/>
      </tp>
      <tp t="s">
        <v>#N/A Requesting Data...3603365025</v>
        <stp/>
        <stp>BDP|17691110434010668969</stp>
        <tr r="J421" s="2"/>
      </tp>
      <tp t="s">
        <v>#N/A Requesting Data...3022894217</v>
        <stp/>
        <stp>BDP|17671366958648983529</stp>
        <tr r="O779" s="2"/>
      </tp>
      <tp t="s">
        <v>#N/A Requesting Data...3538241797</v>
        <stp/>
        <stp>BDP|12487072428434007888</stp>
        <tr r="P142" s="2"/>
      </tp>
      <tp t="s">
        <v>#N/A Requesting Data...3391240657</v>
        <stp/>
        <stp>BDP|16209570832545774934</stp>
        <tr r="D2491" s="2"/>
      </tp>
      <tp t="s">
        <v>#N/A Requesting Data...3998317638</v>
        <stp/>
        <stp>BDP|15854634530134801806</stp>
        <tr r="S2027" s="2"/>
      </tp>
      <tp t="s">
        <v>#N/A Requesting Data...3253584543</v>
        <stp/>
        <stp>BDP|12384319417599011560</stp>
        <tr r="M1832" s="2"/>
      </tp>
      <tp t="s">
        <v>#N/A Requesting Data...3203149077</v>
        <stp/>
        <stp>BDP|15106033680382559340</stp>
        <tr r="H2092" s="2"/>
      </tp>
      <tp t="b">
        <v>0</v>
        <stp/>
        <stp>BDS|13293795683841071186</stp>
        <tr r="I1218" s="2"/>
      </tp>
      <tp t="s">
        <v>#N/A Requesting Data...3157858141</v>
        <stp/>
        <stp>BDP|18416367137045030160</stp>
        <tr r="Q1763" s="2"/>
      </tp>
      <tp t="b">
        <v>0</v>
        <stp/>
        <stp>BDS|12453877955021011267</stp>
        <tr r="I1889" s="2"/>
      </tp>
      <tp t="s">
        <v>#N/A Requesting Data...3790372627</v>
        <stp/>
        <stp>BDP|16614246290654456550</stp>
        <tr r="C714" s="2"/>
      </tp>
      <tp t="s">
        <v>#N/A Requesting Data...3892806772</v>
        <stp/>
        <stp>BDP|17501054895292430021</stp>
        <tr r="G767" s="2"/>
      </tp>
      <tp t="s">
        <v>#N/A Requesting Data...3627468021</v>
        <stp/>
        <stp>BDP|18092035403664688049</stp>
        <tr r="A1597" s="2"/>
      </tp>
      <tp t="s">
        <v>#N/A Requesting Data...3802555784</v>
        <stp/>
        <stp>BDP|16623331206851611871</stp>
        <tr r="K50" s="2"/>
      </tp>
      <tp t="s">
        <v>#N/A Requesting Data...4211503847</v>
        <stp/>
        <stp>BDP|16743736433238121649</stp>
        <tr r="M2350" s="2"/>
      </tp>
      <tp t="s">
        <v>#N/A Requesting Data...3354367486</v>
        <stp/>
        <stp>BDP|10997657393015571682</stp>
        <tr r="F269" s="2"/>
      </tp>
      <tp t="s">
        <v>#N/A Requesting Data...3710617402</v>
        <stp/>
        <stp>BDP|14748022874876213914</stp>
        <tr r="J197" s="2"/>
      </tp>
      <tp t="s">
        <v>#N/A Requesting Data...3438762862</v>
        <stp/>
        <stp>BDP|12646848443316422476</stp>
        <tr r="F1450" s="2"/>
      </tp>
      <tp t="s">
        <v>#N/A Requesting Data...3885683998</v>
        <stp/>
        <stp>BDP|11586993123267541186</stp>
        <tr r="C2388" s="2"/>
      </tp>
      <tp t="s">
        <v>#N/A Requesting Data...3165887028</v>
        <stp/>
        <stp>BDP|14375037115800114962</stp>
        <tr r="P1851" s="2"/>
      </tp>
      <tp t="s">
        <v>#N/A Requesting Data...3818770987</v>
        <stp/>
        <stp>BDP|11558967546275290553</stp>
        <tr r="K57" s="2"/>
      </tp>
      <tp t="s">
        <v>#N/A Requesting Data...3721877692</v>
        <stp/>
        <stp>BDP|15705707693904009364</stp>
        <tr r="H1310" s="2"/>
      </tp>
      <tp t="s">
        <v>#N/A Requesting Data...3853250693</v>
        <stp/>
        <stp>BDP|17768674726907325873</stp>
        <tr r="S824" s="2"/>
      </tp>
      <tp t="s">
        <v>#N/A Requesting Data...3134902840</v>
        <stp/>
        <stp>BDP|17582270738253974917</stp>
        <tr r="R671" s="2"/>
      </tp>
      <tp t="s">
        <v>#N/A Requesting Data...3686583683</v>
        <stp/>
        <stp>BDP|12841558799292609004</stp>
        <tr r="M1618" s="2"/>
      </tp>
      <tp t="s">
        <v>#N/A Requesting Data...3157761651</v>
        <stp/>
        <stp>BDP|14838187570786097820</stp>
        <tr r="E41" s="2"/>
      </tp>
      <tp t="s">
        <v>#N/A Requesting Data...3267870289</v>
        <stp/>
        <stp>BDP|11709625303132455908</stp>
        <tr r="M1536" s="2"/>
      </tp>
      <tp t="s">
        <v>#N/A Requesting Data...3143207016</v>
        <stp/>
        <stp>BDP|17387860213583407104</stp>
        <tr r="P824" s="2"/>
      </tp>
      <tp t="s">
        <v>#N/A Requesting Data...3261816527</v>
        <stp/>
        <stp>BDP|18172786324890941165</stp>
        <tr r="R816" s="2"/>
      </tp>
      <tp t="s">
        <v>#N/A Requesting Data...3254260986</v>
        <stp/>
        <stp>BDP|13774217565042305928</stp>
        <tr r="N1259" s="2"/>
      </tp>
      <tp t="s">
        <v>#N/A Requesting Data...3621094907</v>
        <stp/>
        <stp>BDP|15718011797942407276</stp>
        <tr r="H2204" s="2"/>
      </tp>
      <tp t="s">
        <v>#N/A Requesting Data...3242713826</v>
        <stp/>
        <stp>BDP|14709595907365906829</stp>
        <tr r="N587" s="2"/>
      </tp>
      <tp t="s">
        <v>#N/A Requesting Data...3588641963</v>
        <stp/>
        <stp>BDP|12232469620109506134</stp>
        <tr r="Q728" s="2"/>
      </tp>
      <tp t="s">
        <v>#N/A Requesting Data...3909258561</v>
        <stp/>
        <stp>BDP|17550284791822808267</stp>
        <tr r="J506" s="2"/>
      </tp>
      <tp t="s">
        <v>#N/A Requesting Data...3851188420</v>
        <stp/>
        <stp>BDP|12714941140704211738</stp>
        <tr r="M1317" s="2"/>
      </tp>
      <tp t="s">
        <v>#N/A Requesting Data...4142888985</v>
        <stp/>
        <stp>BDP|16191187999076638443</stp>
        <tr r="A2409" s="2"/>
      </tp>
      <tp t="s">
        <v>#N/A Requesting Data...3480994256</v>
        <stp/>
        <stp>BDP|15082644792260275667</stp>
        <tr r="N1073" s="2"/>
      </tp>
      <tp t="s">
        <v>#N/A Requesting Data...3426925324</v>
        <stp/>
        <stp>BDP|13808872075812120295</stp>
        <tr r="E2404" s="2"/>
      </tp>
      <tp t="s">
        <v>#N/A Requesting Data...4274451736</v>
        <stp/>
        <stp>BDP|11247040960263620829</stp>
        <tr r="H2223" s="2"/>
      </tp>
      <tp t="s">
        <v>#N/A Requesting Data...3908869756</v>
        <stp/>
        <stp>BDP|13613150023828431467</stp>
        <tr r="D17" s="2"/>
      </tp>
      <tp t="s">
        <v>#N/A Requesting Data...3771690937</v>
        <stp/>
        <stp>BDP|15337737056602579919</stp>
        <tr r="T347" s="2"/>
      </tp>
      <tp t="s">
        <v>#N/A Requesting Data...4101894240</v>
        <stp/>
        <stp>BDP|16649939920810588121</stp>
        <tr r="M564" s="2"/>
      </tp>
      <tp t="s">
        <v>#N/A Requesting Data...3498873030</v>
        <stp/>
        <stp>BDP|15569208010259608310</stp>
        <tr r="E2261" s="2"/>
      </tp>
      <tp t="s">
        <v>#N/A Requesting Data...3611873708</v>
        <stp/>
        <stp>BDP|14969381551999722750</stp>
        <tr r="J19" s="2"/>
      </tp>
      <tp t="s">
        <v>#N/A Requesting Data...3112264848</v>
        <stp/>
        <stp>BDP|13261939754233614010</stp>
        <tr r="F810" s="2"/>
      </tp>
      <tp t="b">
        <v>0</v>
        <stp/>
        <stp>BDS|11383719662249371528</stp>
        <tr r="I1442" s="2"/>
      </tp>
      <tp t="s">
        <v>#N/A Requesting Data...3963727311</v>
        <stp/>
        <stp>BDP|13919697233189978383</stp>
        <tr r="R1972" s="2"/>
      </tp>
      <tp t="s">
        <v>#N/A Requesting Data...3114097523</v>
        <stp/>
        <stp>BDP|17636810821709775830</stp>
        <tr r="C1048" s="2"/>
      </tp>
      <tp t="s">
        <v>#N/A Requesting Data...4294631058</v>
        <stp/>
        <stp>BDP|14769063297690678127</stp>
        <tr r="M494" s="2"/>
      </tp>
      <tp t="s">
        <v>#N/A Requesting Data...4110414463</v>
        <stp/>
        <stp>BDP|17502877908161948211</stp>
        <tr r="H1126" s="2"/>
      </tp>
      <tp t="s">
        <v>#N/A Requesting Data...3128969399</v>
        <stp/>
        <stp>BDP|17770524221314127871</stp>
        <tr r="Q2513" s="2"/>
      </tp>
      <tp t="s">
        <v>#N/A Requesting Data...3929196765</v>
        <stp/>
        <stp>BDP|13706101789477500196</stp>
        <tr r="O549" s="2"/>
      </tp>
      <tp t="s">
        <v>#N/A Requesting Data...3126128084</v>
        <stp/>
        <stp>BDP|16430892501443857163</stp>
        <tr r="H1972" s="2"/>
      </tp>
      <tp t="s">
        <v>#N/A Requesting Data...3829350220</v>
        <stp/>
        <stp>BDP|13282472575668680447</stp>
        <tr r="G720" s="2"/>
      </tp>
      <tp t="s">
        <v>#N/A Requesting Data...3510259207</v>
        <stp/>
        <stp>BDP|16427433599461904656</stp>
        <tr r="K251" s="2"/>
      </tp>
      <tp t="s">
        <v>#N/A Requesting Data...3269578630</v>
        <stp/>
        <stp>BDP|11166800625756776115</stp>
        <tr r="R1817" s="2"/>
      </tp>
      <tp t="s">
        <v>#N/A Requesting Data...3873700905</v>
        <stp/>
        <stp>BDP|14412910322791075253</stp>
        <tr r="S461" s="2"/>
      </tp>
      <tp t="s">
        <v>#N/A Requesting Data...3422279498</v>
        <stp/>
        <stp>BDP|14075850223823454108</stp>
        <tr r="J2512" s="2"/>
      </tp>
      <tp t="s">
        <v>#N/A Requesting Data...3351689376</v>
        <stp/>
        <stp>BDP|12050034690522414557</stp>
        <tr r="S2307" s="2"/>
      </tp>
      <tp t="s">
        <v>#N/A Requesting Data...3995320557</v>
        <stp/>
        <stp>BDP|13325816526354158173</stp>
        <tr r="S319" s="2"/>
      </tp>
      <tp t="s">
        <v>#N/A Requesting Data...3772039275</v>
        <stp/>
        <stp>BDP|13267721136039459203</stp>
        <tr r="F1939" s="2"/>
      </tp>
      <tp t="s">
        <v>#N/A Requesting Data...3997355230</v>
        <stp/>
        <stp>BDP|11710909905352892683</stp>
        <tr r="J2009" s="2"/>
      </tp>
      <tp t="s">
        <v>#N/A Requesting Data...3713268535</v>
        <stp/>
        <stp>BDP|10170379080805359272</stp>
        <tr r="K1326" s="2"/>
      </tp>
      <tp t="s">
        <v>#N/A Requesting Data...3802662553</v>
        <stp/>
        <stp>BDP|16061859816891828294</stp>
        <tr r="G135" s="2"/>
      </tp>
      <tp t="s">
        <v>#N/A Requesting Data...4173970217</v>
        <stp/>
        <stp>BDP|11712625220539658015</stp>
        <tr r="S1650" s="2"/>
      </tp>
      <tp t="s">
        <v>#N/A Requesting Data...3946630631</v>
        <stp/>
        <stp>BDP|15096788877148520183</stp>
        <tr r="C193" s="2"/>
      </tp>
      <tp t="s">
        <v>#N/A Requesting Data...4089675437</v>
        <stp/>
        <stp>BDP|17860552898524340344</stp>
        <tr r="H419" s="2"/>
      </tp>
      <tp t="s">
        <v>#N/A Requesting Data...4154284056</v>
        <stp/>
        <stp>BDP|17657556254883328868</stp>
        <tr r="K2043" s="2"/>
      </tp>
      <tp t="s">
        <v>#N/A Requesting Data...3336521709</v>
        <stp/>
        <stp>BDP|14295983887468999166</stp>
        <tr r="T7" s="2"/>
      </tp>
      <tp t="s">
        <v>#N/A Requesting Data...3431841454</v>
        <stp/>
        <stp>BDP|18416471602844706449</stp>
        <tr r="P1804" s="2"/>
      </tp>
      <tp t="s">
        <v>#N/A Requesting Data...4289844337</v>
        <stp/>
        <stp>BDP|16858899620950747041</stp>
        <tr r="J1145" s="2"/>
      </tp>
      <tp t="s">
        <v>#N/A Requesting Data...3861604174</v>
        <stp/>
        <stp>BDP|13661489098835249763</stp>
        <tr r="O1385" s="2"/>
      </tp>
      <tp t="s">
        <v>#N/A Requesting Data...3464892329</v>
        <stp/>
        <stp>BDP|16316002171848484543</stp>
        <tr r="P2310" s="2"/>
      </tp>
      <tp t="s">
        <v>#N/A Requesting Data...3914070573</v>
        <stp/>
        <stp>BDP|16515512179820681893</stp>
        <tr r="C106" s="2"/>
      </tp>
      <tp t="s">
        <v>#N/A Requesting Data...3222545991</v>
        <stp/>
        <stp>BDP|12481228466313562975</stp>
        <tr r="Q951" s="2"/>
      </tp>
      <tp t="s">
        <v>#N/A Requesting Data...4131744725</v>
        <stp/>
        <stp>BDP|16678601754610928992</stp>
        <tr r="F1388" s="2"/>
      </tp>
      <tp t="s">
        <v>#N/A Requesting Data...3549496271</v>
        <stp/>
        <stp>BDP|18005990149698004121</stp>
        <tr r="G1304" s="2"/>
      </tp>
      <tp t="s">
        <v>#N/A Requesting Data...3562502799</v>
        <stp/>
        <stp>BDP|17505897663346903343</stp>
        <tr r="C1047" s="2"/>
      </tp>
      <tp t="s">
        <v>#N/A Requesting Data...3290007643</v>
        <stp/>
        <stp>BDP|14892448275322272992</stp>
        <tr r="R512" s="2"/>
      </tp>
      <tp t="s">
        <v>#N/A Requesting Data...3304310873</v>
        <stp/>
        <stp>BDP|10734067332518145702</stp>
        <tr r="O1533" s="2"/>
      </tp>
      <tp t="s">
        <v>#N/A Requesting Data...4040100550</v>
        <stp/>
        <stp>BDP|13561229665683183817</stp>
        <tr r="Q2375" s="2"/>
      </tp>
      <tp t="s">
        <v>#N/A Requesting Data...3635605907</v>
        <stp/>
        <stp>BDP|10651076233498562757</stp>
        <tr r="M636" s="2"/>
      </tp>
      <tp t="s">
        <v>#N/A Requesting Data...4244616479</v>
        <stp/>
        <stp>BDP|12626585360944489980</stp>
        <tr r="T1034" s="2"/>
      </tp>
      <tp t="s">
        <v>#N/A Requesting Data...3361564315</v>
        <stp/>
        <stp>BDP|12331987411601840700</stp>
        <tr r="P2227" s="2"/>
      </tp>
      <tp t="s">
        <v>#N/A Requesting Data...4015950599</v>
        <stp/>
        <stp>BDP|16331935705463347040</stp>
        <tr r="M740" s="2"/>
      </tp>
      <tp t="s">
        <v>#N/A Requesting Data...3319824010</v>
        <stp/>
        <stp>BDP|10393605453407374819</stp>
        <tr r="C2346" s="2"/>
      </tp>
      <tp t="s">
        <v>#N/A Requesting Data...3322408553</v>
        <stp/>
        <stp>BDP|10051874936423578464</stp>
        <tr r="N1513" s="2"/>
      </tp>
      <tp t="s">
        <v>#N/A Requesting Data...3985650268</v>
        <stp/>
        <stp>BDP|13458320908929504599</stp>
        <tr r="D1235" s="2"/>
      </tp>
      <tp t="b">
        <v>0</v>
        <stp/>
        <stp>BDS|16638014528830729898</stp>
        <tr r="I454" s="2"/>
      </tp>
      <tp t="s">
        <v>#N/A Requesting Data...3376384678</v>
        <stp/>
        <stp>BDP|15516138630809421206</stp>
        <tr r="M2409" s="2"/>
      </tp>
      <tp t="s">
        <v>#N/A Requesting Data...4095801864</v>
        <stp/>
        <stp>BDP|15298617783962044527</stp>
        <tr r="H2179" s="2"/>
      </tp>
      <tp t="s">
        <v>#N/A Requesting Data...4029959197</v>
        <stp/>
        <stp>BDP|14934228515298580395</stp>
        <tr r="R1722" s="2"/>
      </tp>
      <tp t="s">
        <v>#N/A Requesting Data...3603580399</v>
        <stp/>
        <stp>BDP|12482075997831682609</stp>
        <tr r="S593" s="2"/>
      </tp>
      <tp t="s">
        <v>#N/A Requesting Data...3746876097</v>
        <stp/>
        <stp>BDP|16663396728053444810</stp>
        <tr r="Q2077" s="2"/>
      </tp>
      <tp t="s">
        <v>#N/A Requesting Data...3722686714</v>
        <stp/>
        <stp>BDP|11061513301528144030</stp>
        <tr r="R1726" s="2"/>
      </tp>
      <tp t="s">
        <v>#N/A Requesting Data...3364683648</v>
        <stp/>
        <stp>BDP|15684735293117785030</stp>
        <tr r="H399" s="2"/>
      </tp>
      <tp t="s">
        <v>#N/A Requesting Data...4235104757</v>
        <stp/>
        <stp>BDP|10071407183875758516</stp>
        <tr r="A2287" s="2"/>
      </tp>
      <tp t="s">
        <v>#N/A Requesting Data...4284302259</v>
        <stp/>
        <stp>BDP|14023062795511660008</stp>
        <tr r="Q1562" s="2"/>
      </tp>
      <tp t="s">
        <v>#N/A Requesting Data...4162244963</v>
        <stp/>
        <stp>BDP|17766691120167887835</stp>
        <tr r="T1110" s="2"/>
      </tp>
      <tp t="s">
        <v>#N/A Requesting Data...3741796179</v>
        <stp/>
        <stp>BDP|15450771030899119476</stp>
        <tr r="D1512" s="2"/>
      </tp>
      <tp t="s">
        <v>#N/A Requesting Data...3712355123</v>
        <stp/>
        <stp>BDP|15590348232159537038</stp>
        <tr r="S2278" s="2"/>
      </tp>
      <tp t="s">
        <v>#N/A Requesting Data...3958267423</v>
        <stp/>
        <stp>BDP|12538149694097654164</stp>
        <tr r="O668" s="2"/>
      </tp>
      <tp t="s">
        <v>#N/A Requesting Data...4041472698</v>
        <stp/>
        <stp>BDP|16360429526139655540</stp>
        <tr r="P518" s="2"/>
      </tp>
      <tp t="s">
        <v>#N/A Requesting Data...4099962873</v>
        <stp/>
        <stp>BDP|15050231221749598020</stp>
        <tr r="K1110" s="2"/>
      </tp>
      <tp t="s">
        <v>#N/A Requesting Data...3580514262</v>
        <stp/>
        <stp>BDP|18121411540606481217</stp>
        <tr r="J1046" s="2"/>
      </tp>
      <tp t="s">
        <v>#N/A Requesting Data...3681766235</v>
        <stp/>
        <stp>BDP|15966749045739817353</stp>
        <tr r="H625" s="2"/>
      </tp>
      <tp t="s">
        <v>#N/A Requesting Data...3696297416</v>
        <stp/>
        <stp>BDP|14008251770924572956</stp>
        <tr r="G1738" s="2"/>
      </tp>
      <tp t="s">
        <v>#N/A Requesting Data...3558210513</v>
        <stp/>
        <stp>BDP|12629929956705369743</stp>
        <tr r="R313" s="2"/>
      </tp>
      <tp t="s">
        <v>#N/A Requesting Data...3450206886</v>
        <stp/>
        <stp>BDP|11865835145342908329</stp>
        <tr r="C984" s="2"/>
      </tp>
      <tp t="s">
        <v>#N/A Requesting Data...3771208025</v>
        <stp/>
        <stp>BDP|18009623245913651546</stp>
        <tr r="N1723" s="2"/>
      </tp>
      <tp t="b">
        <v>0</v>
        <stp/>
        <stp>BDS|14399521455528278003</stp>
        <tr r="I1213" s="2"/>
      </tp>
      <tp t="s">
        <v>#N/A Requesting Data...3927018693</v>
        <stp/>
        <stp>BDP|16345319784376736744</stp>
        <tr r="K1661" s="2"/>
      </tp>
      <tp t="s">
        <v>#N/A Requesting Data...3905459467</v>
        <stp/>
        <stp>BDP|16504958124125354425</stp>
        <tr r="Q13" s="2"/>
      </tp>
      <tp t="s">
        <v>#N/A Requesting Data...4097707138</v>
        <stp/>
        <stp>BDP|16932643829826855895</stp>
        <tr r="Q2244" s="2"/>
      </tp>
      <tp t="s">
        <v>#N/A Requesting Data...3319623068</v>
        <stp/>
        <stp>BDP|12765908174398452820</stp>
        <tr r="T301" s="2"/>
      </tp>
      <tp t="s">
        <v>#N/A Requesting Data...4246685330</v>
        <stp/>
        <stp>BDP|13651431395397291576</stp>
        <tr r="P522" s="2"/>
      </tp>
      <tp t="s">
        <v>#N/A Requesting Data...3621736633</v>
        <stp/>
        <stp>BDP|14946356390075897713</stp>
        <tr r="D1420" s="2"/>
      </tp>
      <tp t="s">
        <v>#N/A Requesting Data...3547029078</v>
        <stp/>
        <stp>BDP|11535197766232867878</stp>
        <tr r="P318" s="2"/>
      </tp>
      <tp t="s">
        <v>#N/A Requesting Data...4096828386</v>
        <stp/>
        <stp>BDP|11990854966283872070</stp>
        <tr r="G1129" s="2"/>
      </tp>
      <tp t="s">
        <v>#N/A Requesting Data...4147952197</v>
        <stp/>
        <stp>BDP|15500766586372290424</stp>
        <tr r="E2013" s="2"/>
      </tp>
      <tp t="s">
        <v>#N/A Requesting Data...3385513142</v>
        <stp/>
        <stp>BDP|13270464066848439537</stp>
        <tr r="A1421" s="2"/>
      </tp>
      <tp t="s">
        <v>#N/A Requesting Data...3956973405</v>
        <stp/>
        <stp>BDP|13525029180850489764</stp>
        <tr r="F1294" s="2"/>
      </tp>
      <tp t="s">
        <v>#N/A Requesting Data...3646157490</v>
        <stp/>
        <stp>BDP|13201038083555725200</stp>
        <tr r="Q1485" s="2"/>
      </tp>
      <tp t="s">
        <v>#N/A Requesting Data...3904047674</v>
        <stp/>
        <stp>BDP|17223472209128062798</stp>
        <tr r="T1781" s="2"/>
      </tp>
      <tp t="s">
        <v>#N/A Requesting Data...3567209879</v>
        <stp/>
        <stp>BDP|10154114657391355919</stp>
        <tr r="O993" s="2"/>
      </tp>
      <tp t="s">
        <v>#N/A Requesting Data...3417035386</v>
        <stp/>
        <stp>BDP|11239564126918582228</stp>
        <tr r="A1350" s="2"/>
      </tp>
      <tp t="s">
        <v>#N/A Requesting Data...3967255662</v>
        <stp/>
        <stp>BDP|12076613977268608758</stp>
        <tr r="P1529" s="2"/>
      </tp>
      <tp t="s">
        <v>#N/A Requesting Data...4263657856</v>
        <stp/>
        <stp>BDP|16174931618100811278</stp>
        <tr r="D852" s="2"/>
      </tp>
      <tp t="s">
        <v>#N/A Requesting Data...4196548575</v>
        <stp/>
        <stp>BDP|16229844402045381723</stp>
        <tr r="H355" s="2"/>
      </tp>
      <tp t="s">
        <v>#N/A Requesting Data...3456525123</v>
        <stp/>
        <stp>BDP|11285436594268689867</stp>
        <tr r="S1090" s="2"/>
      </tp>
      <tp t="s">
        <v>#N/A Requesting Data...4001415670</v>
        <stp/>
        <stp>BDP|16580327907539194040</stp>
        <tr r="E2232" s="2"/>
      </tp>
      <tp t="s">
        <v>#N/A Requesting Data...4101574146</v>
        <stp/>
        <stp>BDP|14383812426705082716</stp>
        <tr r="A2395" s="2"/>
      </tp>
      <tp t="s">
        <v>#N/A Requesting Data...3451998128</v>
        <stp/>
        <stp>BDP|17365105272308440507</stp>
        <tr r="Q73" s="2"/>
      </tp>
      <tp t="s">
        <v>#N/A Requesting Data...4206049665</v>
        <stp/>
        <stp>BDP|18047221773634755535</stp>
        <tr r="R1396" s="2"/>
      </tp>
      <tp t="s">
        <v>#N/A Requesting Data...4054268105</v>
        <stp/>
        <stp>BDP|15564797104056561884</stp>
        <tr r="F1803" s="2"/>
      </tp>
      <tp t="s">
        <v>#N/A Requesting Data...3676667160</v>
        <stp/>
        <stp>BDP|13776884129466323306</stp>
        <tr r="R1988" s="2"/>
      </tp>
      <tp t="s">
        <v>#N/A Requesting Data...4256415820</v>
        <stp/>
        <stp>BDP|12079056831385984888</stp>
        <tr r="Q2124" s="2"/>
      </tp>
      <tp t="s">
        <v>#N/A Requesting Data...3711853872</v>
        <stp/>
        <stp>BDP|18269954163633377821</stp>
        <tr r="H1350" s="2"/>
      </tp>
      <tp t="b">
        <v>0</v>
        <stp/>
        <stp>BDS|12101313020569329656</stp>
        <tr r="I2285" s="2"/>
      </tp>
      <tp t="s">
        <v>#N/A Requesting Data...3402739466</v>
        <stp/>
        <stp>BDP|16438901803482531177</stp>
        <tr r="P822" s="2"/>
      </tp>
      <tp t="s">
        <v>#N/A Requesting Data...3962901380</v>
        <stp/>
        <stp>BDP|10781513980819003831</stp>
        <tr r="S1804" s="2"/>
      </tp>
      <tp t="s">
        <v>#N/A Requesting Data...3486622260</v>
        <stp/>
        <stp>BDP|10634401540418115425</stp>
        <tr r="P667" s="2"/>
      </tp>
      <tp t="s">
        <v>#N/A Requesting Data...3554008686</v>
        <stp/>
        <stp>BDP|14078056093548238915</stp>
        <tr r="D1067" s="2"/>
      </tp>
      <tp t="s">
        <v>#N/A Requesting Data...4194791747</v>
        <stp/>
        <stp>BDP|15771344743017610930</stp>
        <tr r="S24" s="2"/>
      </tp>
      <tp t="s">
        <v>#N/A Requesting Data...4052909543</v>
        <stp/>
        <stp>BDP|15412061160179114662</stp>
        <tr r="D2182" s="2"/>
      </tp>
      <tp t="s">
        <v>#N/A Requesting Data...3551278208</v>
        <stp/>
        <stp>BDP|17633470940053039841</stp>
        <tr r="C905" s="2"/>
      </tp>
      <tp t="s">
        <v>#N/A Requesting Data...3782496739</v>
        <stp/>
        <stp>BDP|13435070876648554050</stp>
        <tr r="S367" s="2"/>
      </tp>
      <tp t="s">
        <v>#N/A Requesting Data...3802821979</v>
        <stp/>
        <stp>BDP|16878003047807357999</stp>
        <tr r="E1693" s="2"/>
      </tp>
      <tp t="s">
        <v>#N/A Requesting Data...3427571055</v>
        <stp/>
        <stp>BDP|18201666826739431932</stp>
        <tr r="G1383" s="2"/>
      </tp>
      <tp t="s">
        <v>#N/A Requesting Data...3729273853</v>
        <stp/>
        <stp>BDP|17511777894112222715</stp>
        <tr r="R2118" s="2"/>
      </tp>
      <tp t="s">
        <v>#N/A Requesting Data...3830447330</v>
        <stp/>
        <stp>BDP|10961218111667900858</stp>
        <tr r="P2265" s="2"/>
      </tp>
      <tp t="s">
        <v>#N/A Requesting Data...4162281521</v>
        <stp/>
        <stp>BDP|10978853329784762275</stp>
        <tr r="T1336" s="2"/>
      </tp>
      <tp t="s">
        <v>#N/A Requesting Data...3826081177</v>
        <stp/>
        <stp>BDP|11782827915832359662</stp>
        <tr r="Q1496" s="2"/>
      </tp>
      <tp t="s">
        <v>#N/A Requesting Data...3769206097</v>
        <stp/>
        <stp>BDP|13430234876412118852</stp>
        <tr r="R248" s="2"/>
      </tp>
      <tp t="b">
        <v>0</v>
        <stp/>
        <stp>BDS|15205509764652674868</stp>
        <tr r="I1762" s="2"/>
      </tp>
      <tp t="s">
        <v>#N/A Requesting Data...3831135335</v>
        <stp/>
        <stp>BDP|17755825791349004313</stp>
        <tr r="M1168" s="2"/>
      </tp>
      <tp t="s">
        <v>#N/A Requesting Data...4115544458</v>
        <stp/>
        <stp>BDP|11601272665899892094</stp>
        <tr r="C1967" s="2"/>
      </tp>
      <tp t="s">
        <v>#N/A Requesting Data...4037399965</v>
        <stp/>
        <stp>BDP|12038505211079575316</stp>
        <tr r="Q2360" s="2"/>
      </tp>
      <tp t="s">
        <v>#N/A Requesting Data...3830308888</v>
        <stp/>
        <stp>BDP|11620051730849496725</stp>
        <tr r="G2515" s="2"/>
      </tp>
      <tp t="s">
        <v>#N/A Requesting Data...3829954054</v>
        <stp/>
        <stp>BDP|11039864718656828234</stp>
        <tr r="P389" s="2"/>
      </tp>
      <tp t="s">
        <v>#N/A Requesting Data...3875221228</v>
        <stp/>
        <stp>BDP|12983961669574120529</stp>
        <tr r="N1338" s="2"/>
      </tp>
      <tp t="s">
        <v>#N/A Requesting Data...3522290400</v>
        <stp/>
        <stp>BDP|13090036985974052335</stp>
        <tr r="K1926" s="2"/>
      </tp>
      <tp t="s">
        <v>#N/A Requesting Data...3553524514</v>
        <stp/>
        <stp>BDP|18080054941635845598</stp>
        <tr r="N2515" s="2"/>
      </tp>
      <tp t="s">
        <v>#N/A Requesting Data...3501690266</v>
        <stp/>
        <stp>BDP|10188408240665064946</stp>
        <tr r="T2153" s="2"/>
      </tp>
      <tp t="s">
        <v>#N/A Requesting Data...4048706096</v>
        <stp/>
        <stp>BDP|15048155512789232003</stp>
        <tr r="K552" s="2"/>
      </tp>
      <tp t="s">
        <v>#N/A Requesting Data...4172869921</v>
        <stp/>
        <stp>BDP|15819985134282870197</stp>
        <tr r="O1935" s="2"/>
      </tp>
      <tp t="s">
        <v>#N/A Requesting Data...4131548063</v>
        <stp/>
        <stp>BDP|12664834167777570724</stp>
        <tr r="A1274" s="2"/>
      </tp>
      <tp t="s">
        <v>#N/A Requesting Data...3496500886</v>
        <stp/>
        <stp>BDP|14998138708631141866</stp>
        <tr r="G867" s="2"/>
      </tp>
      <tp t="s">
        <v>#N/A Requesting Data...4091055781</v>
        <stp/>
        <stp>BDP|14158477727276414804</stp>
        <tr r="D2056" s="2"/>
      </tp>
      <tp t="s">
        <v>#N/A Requesting Data...3761897563</v>
        <stp/>
        <stp>BDP|15318404482032070747</stp>
        <tr r="S710" s="2"/>
      </tp>
      <tp t="s">
        <v>#N/A Requesting Data...3505300828</v>
        <stp/>
        <stp>BDP|15345884607812897314</stp>
        <tr r="E526" s="2"/>
      </tp>
      <tp t="s">
        <v>#N/A Requesting Data...4017658072</v>
        <stp/>
        <stp>BDP|15719145474418715755</stp>
        <tr r="N254" s="2"/>
      </tp>
      <tp t="s">
        <v>#N/A Requesting Data...3997382934</v>
        <stp/>
        <stp>BDP|18421439323506824498</stp>
        <tr r="Q2354" s="2"/>
      </tp>
      <tp t="s">
        <v>#N/A Requesting Data...4267764449</v>
        <stp/>
        <stp>BDP|10100790792061660392</stp>
        <tr r="G485" s="2"/>
      </tp>
      <tp t="s">
        <v>#N/A Requesting Data...3835163901</v>
        <stp/>
        <stp>BDP|11733678895881050302</stp>
        <tr r="G778" s="2"/>
      </tp>
      <tp t="s">
        <v>#N/A Requesting Data...3754483293</v>
        <stp/>
        <stp>BDP|16879776725246909967</stp>
        <tr r="R2248" s="2"/>
      </tp>
      <tp t="s">
        <v>#N/A Requesting Data...3739219869</v>
        <stp/>
        <stp>BDP|12467586130531087999</stp>
        <tr r="D215" s="2"/>
      </tp>
      <tp t="s">
        <v>#N/A Requesting Data...3997796686</v>
        <stp/>
        <stp>BDP|14574848234615455648</stp>
        <tr r="O2514" s="2"/>
      </tp>
      <tp t="s">
        <v>#N/A Requesting Data...4067389363</v>
        <stp/>
        <stp>BDP|12682153907437375833</stp>
        <tr r="O334" s="2"/>
      </tp>
      <tp t="s">
        <v>#N/A Requesting Data...3836259774</v>
        <stp/>
        <stp>BDP|16116878913414742762</stp>
        <tr r="A1257" s="2"/>
      </tp>
      <tp t="s">
        <v>#N/A Requesting Data...4104472502</v>
        <stp/>
        <stp>BDP|10720561395442397235</stp>
        <tr r="S478" s="2"/>
      </tp>
      <tp t="s">
        <v>#N/A Requesting Data...3840677347</v>
        <stp/>
        <stp>BDP|18378936091893571705</stp>
        <tr r="A1541" s="2"/>
      </tp>
      <tp t="s">
        <v>#N/A Requesting Data...4275360430</v>
        <stp/>
        <stp>BDP|14005348494397063547</stp>
        <tr r="P2174" s="2"/>
      </tp>
      <tp t="s">
        <v>#N/A Requesting Data...4065172297</v>
        <stp/>
        <stp>BDP|16495383616179974176</stp>
        <tr r="R1837" s="2"/>
      </tp>
      <tp t="s">
        <v>#N/A Requesting Data...3915098941</v>
        <stp/>
        <stp>BDP|11739909494364505920</stp>
        <tr r="A1892" s="2"/>
      </tp>
      <tp t="s">
        <v>#N/A Requesting Data...4107120103</v>
        <stp/>
        <stp>BDP|14714737997052093476</stp>
        <tr r="S2240" s="2"/>
      </tp>
      <tp t="s">
        <v>#N/A Requesting Data...4216728829</v>
        <stp/>
        <stp>BDP|16190543425099247467</stp>
        <tr r="D2416" s="2"/>
      </tp>
      <tp t="s">
        <v>#N/A Requesting Data...4008346143</v>
        <stp/>
        <stp>BDP|17680962740714429207</stp>
        <tr r="T730" s="2"/>
      </tp>
      <tp t="s">
        <v>#N/A Requesting Data...3910379378</v>
        <stp/>
        <stp>BDP|11328229585253421443</stp>
        <tr r="E725" s="2"/>
      </tp>
      <tp t="s">
        <v>#N/A Requesting Data...3546903825</v>
        <stp/>
        <stp>BDP|11089230198114826274</stp>
        <tr r="N1738" s="2"/>
      </tp>
      <tp t="s">
        <v>#N/A Requesting Data...4261225230</v>
        <stp/>
        <stp>BDP|16072624747461308928</stp>
        <tr r="F1237" s="2"/>
      </tp>
      <tp t="s">
        <v>#N/A Requesting Data...4231794668</v>
        <stp/>
        <stp>BDP|17210017483974049744</stp>
        <tr r="C114" s="2"/>
      </tp>
      <tp t="s">
        <v>#N/A Requesting Data...3909817954</v>
        <stp/>
        <stp>BDP|14793971271875081357</stp>
        <tr r="R1832" s="2"/>
      </tp>
      <tp t="s">
        <v>#N/A Requesting Data...4109082311</v>
        <stp/>
        <stp>BDP|15691022481603812293</stp>
        <tr r="C1983" s="2"/>
      </tp>
      <tp t="s">
        <v>#N/A Requesting Data...3736272132</v>
        <stp/>
        <stp>BDP|14097889179066781127</stp>
        <tr r="G2029" s="2"/>
      </tp>
      <tp t="s">
        <v>#N/A Requesting Data...3663716430</v>
        <stp/>
        <stp>BDP|17487613799677954317</stp>
        <tr r="P1701" s="2"/>
      </tp>
      <tp t="s">
        <v>#N/A Requesting Data...3867296451</v>
        <stp/>
        <stp>BDP|10417625153987046817</stp>
        <tr r="J433" s="2"/>
      </tp>
      <tp t="s">
        <v>#N/A Requesting Data...4254044279</v>
        <stp/>
        <stp>BDP|13956963941955841725</stp>
        <tr r="J361" s="2"/>
      </tp>
      <tp t="s">
        <v>#N/A Requesting Data...4025294908</v>
        <stp/>
        <stp>BDP|10032581337032848838</stp>
        <tr r="F1322" s="2"/>
      </tp>
      <tp t="s">
        <v>#N/A Requesting Data...3822693931</v>
        <stp/>
        <stp>BDP|14249706317897649970</stp>
        <tr r="M1687" s="2"/>
      </tp>
      <tp t="s">
        <v>#N/A Requesting Data...3736321941</v>
        <stp/>
        <stp>BDP|12543608513160247907</stp>
        <tr r="Q115" s="2"/>
      </tp>
      <tp t="s">
        <v>#N/A Requesting Data...4025852236</v>
        <stp/>
        <stp>BDP|13488813770349800995</stp>
        <tr r="H917" s="2"/>
      </tp>
      <tp t="s">
        <v>#N/A Requesting Data...3568928570</v>
        <stp/>
        <stp>BDP|17483809522449089820</stp>
        <tr r="J874" s="2"/>
      </tp>
      <tp t="s">
        <v>#N/A Requesting Data...3952102030</v>
        <stp/>
        <stp>BDP|16192240340118144401</stp>
        <tr r="Q70" s="2"/>
      </tp>
      <tp t="s">
        <v>#N/A Requesting Data...3591374663</v>
        <stp/>
        <stp>BDP|15483813730453703162</stp>
        <tr r="F2102" s="2"/>
      </tp>
      <tp t="s">
        <v>#N/A Requesting Data...4282359965</v>
        <stp/>
        <stp>BDP|12724419448288206685</stp>
        <tr r="A338" s="2"/>
      </tp>
      <tp t="s">
        <v>#N/A Requesting Data...4251138433</v>
        <stp/>
        <stp>BDP|11920887430032387461</stp>
        <tr r="P1987" s="2"/>
      </tp>
      <tp t="b">
        <v>0</v>
        <stp/>
        <stp>BDS|18402623555503194453</stp>
        <tr r="I1647" s="2"/>
      </tp>
      <tp t="s">
        <v>#N/A Requesting Data...3633770405</v>
        <stp/>
        <stp>BDP|12075615143874011867</stp>
        <tr r="D678" s="2"/>
      </tp>
      <tp t="s">
        <v>#N/A Requesting Data...3707587022</v>
        <stp/>
        <stp>BDP|15408994566560815673</stp>
        <tr r="E699" s="2"/>
      </tp>
      <tp t="s">
        <v>#N/A Requesting Data...4220113935</v>
        <stp/>
        <stp>BDP|15118184581706434682</stp>
        <tr r="D1501" s="2"/>
      </tp>
      <tp t="s">
        <v>#N/A Requesting Data...4038968867</v>
        <stp/>
        <stp>BDP|14660699898777534068</stp>
        <tr r="E2157" s="2"/>
      </tp>
      <tp t="b">
        <v>0</v>
        <stp/>
        <stp>BDS|10489968745724627566</stp>
        <tr r="I2275" s="2"/>
      </tp>
      <tp t="s">
        <v>#N/A Requesting Data...4043057478</v>
        <stp/>
        <stp>BDP|11182806375191082304</stp>
        <tr r="K69" s="2"/>
      </tp>
      <tp t="s">
        <v>#N/A Requesting Data...4145456484</v>
        <stp/>
        <stp>BDP|15667421040218151113</stp>
        <tr r="R2388" s="2"/>
      </tp>
      <tp t="s">
        <v>#N/A Requesting Data...3667290149</v>
        <stp/>
        <stp>BDP|12034031518226955966</stp>
        <tr r="K1820" s="2"/>
      </tp>
      <tp t="s">
        <v>#N/A Requesting Data...4079549569</v>
        <stp/>
        <stp>BDP|10008452772697766841</stp>
        <tr r="P126" s="2"/>
      </tp>
      <tp t="s">
        <v>#N/A Requesting Data...4227524517</v>
        <stp/>
        <stp>BDP|11010019680923344666</stp>
        <tr r="H744" s="2"/>
      </tp>
      <tp t="s">
        <v>#N/A Requesting Data...3948991107</v>
        <stp/>
        <stp>BDP|18118639098832722990</stp>
        <tr r="E1477" s="2"/>
      </tp>
      <tp t="s">
        <v>#N/A Requesting Data...3973580401</v>
        <stp/>
        <stp>BDP|14972194485448038916</stp>
        <tr r="M1176" s="2"/>
      </tp>
      <tp t="s">
        <v>#N/A Requesting Data...4274523874</v>
        <stp/>
        <stp>BDP|15417951935127758476</stp>
        <tr r="G881" s="2"/>
      </tp>
      <tp t="s">
        <v>#N/A Requesting Data...3895528581</v>
        <stp/>
        <stp>BDP|14505213702292039820</stp>
        <tr r="K2023" s="2"/>
      </tp>
      <tp t="s">
        <v>#N/A Requesting Data...3709897385</v>
        <stp/>
        <stp>BDP|13204652877829633728</stp>
        <tr r="E428" s="2"/>
      </tp>
      <tp t="s">
        <v>#N/A Requesting Data...3691798603</v>
        <stp/>
        <stp>BDP|16091037955147690847</stp>
        <tr r="Q1833" s="2"/>
      </tp>
      <tp t="s">
        <v>#N/A Requesting Data...3674065083</v>
        <stp/>
        <stp>BDP|13344047054483774901</stp>
        <tr r="H418" s="2"/>
      </tp>
      <tp t="s">
        <v>#N/A Requesting Data...4221901665</v>
        <stp/>
        <stp>BDP|12266812483879581715</stp>
        <tr r="A105" s="2"/>
      </tp>
      <tp t="s">
        <v>#N/A Requesting Data...3875511247</v>
        <stp/>
        <stp>BDP|18264512442342643732</stp>
        <tr r="M2132" s="2"/>
      </tp>
      <tp t="s">
        <v>#N/A Requesting Data...4025694168</v>
        <stp/>
        <stp>BDP|15789149639378919372</stp>
        <tr r="R269" s="2"/>
      </tp>
      <tp t="s">
        <v>#N/A Requesting Data...4021221708</v>
        <stp/>
        <stp>BDP|15895130594934863537</stp>
        <tr r="O1421" s="2"/>
      </tp>
      <tp t="b">
        <v>0</v>
        <stp/>
        <stp>BDS|11588458246785442852</stp>
        <tr r="I306" s="2"/>
      </tp>
      <tp t="s">
        <v>#N/A Requesting Data...4050333269</v>
        <stp/>
        <stp>BDP|11222627331498536002</stp>
        <tr r="D1017" s="2"/>
      </tp>
      <tp t="s">
        <v>#N/A Requesting Data...4209095860</v>
        <stp/>
        <stp>BDP|17436623533476628871</stp>
        <tr r="S16" s="2"/>
      </tp>
      <tp t="s">
        <v>#N/A Requesting Data...3898117036</v>
        <stp/>
        <stp>BDP|14353314966258340530</stp>
        <tr r="J2060" s="2"/>
      </tp>
      <tp t="s">
        <v>#N/A Requesting Data...3940037564</v>
        <stp/>
        <stp>BDP|10169166222449361625</stp>
        <tr r="G1911" s="2"/>
      </tp>
      <tp t="s">
        <v>#N/A Requesting Data...3869218983</v>
        <stp/>
        <stp>BDP|11512465644625218814</stp>
        <tr r="E575" s="2"/>
      </tp>
      <tp t="s">
        <v>#N/A Requesting Data...4166978468</v>
        <stp/>
        <stp>BDP|11962039426696991917</stp>
        <tr r="H1823" s="2"/>
      </tp>
      <tp t="s">
        <v>#N/A Requesting Data...3674689844</v>
        <stp/>
        <stp>BDP|15063852729254074786</stp>
        <tr r="Q402" s="2"/>
      </tp>
      <tp t="s">
        <v>#N/A Requesting Data...4210571932</v>
        <stp/>
        <stp>BDP|13222707251948025579</stp>
        <tr r="S1653" s="2"/>
      </tp>
      <tp t="s">
        <v>#N/A Requesting Data...3716186782</v>
        <stp/>
        <stp>BDP|11075522692697302675</stp>
        <tr r="F2124" s="2"/>
      </tp>
      <tp t="s">
        <v>#N/A Requesting Data...4252557314</v>
        <stp/>
        <stp>BDP|14453784799407110102</stp>
        <tr r="D2531" s="2"/>
      </tp>
      <tp t="s">
        <v>#N/A Requesting Data...3919413272</v>
        <stp/>
        <stp>BDP|15522396923688857031</stp>
        <tr r="J397" s="2"/>
      </tp>
      <tp t="s">
        <v>#N/A Requesting Data...3762074572</v>
        <stp/>
        <stp>BDP|18248004621380205655</stp>
        <tr r="M158" s="2"/>
      </tp>
      <tp t="s">
        <v>#N/A Requesting Data...3745112557</v>
        <stp/>
        <stp>BDP|12628114592505172301</stp>
        <tr r="P2439" s="2"/>
      </tp>
      <tp t="s">
        <v>#N/A Requesting Data...3681346770</v>
        <stp/>
        <stp>BDP|10203093992162952742</stp>
        <tr r="F1702" s="2"/>
      </tp>
      <tp t="s">
        <v>#N/A Requesting Data...3990875771</v>
        <stp/>
        <stp>BDP|14040360936450444801</stp>
        <tr r="J1527" s="2"/>
      </tp>
      <tp t="s">
        <v>#N/A Requesting Data...4267718193</v>
        <stp/>
        <stp>BDP|18189497427121994322</stp>
        <tr r="G1876" s="2"/>
      </tp>
      <tp t="b">
        <v>0</v>
        <stp/>
        <stp>BDS|10862440425452678880</stp>
        <tr r="I1020" s="2"/>
      </tp>
      <tp t="s">
        <v>#N/A Requesting Data...3903995130</v>
        <stp/>
        <stp>BDP|16692544185677383006</stp>
        <tr r="M2249" s="2"/>
      </tp>
      <tp t="s">
        <v>#N/A Requesting Data...3749380422</v>
        <stp/>
        <stp>BDP|12022771597635722532</stp>
        <tr r="K1538" s="2"/>
      </tp>
      <tp t="s">
        <v>#N/A Requesting Data...3780416188</v>
        <stp/>
        <stp>BDP|10543819682909286509</stp>
        <tr r="F2168" s="2"/>
      </tp>
      <tp t="s">
        <v>#N/A Requesting Data...3898223666</v>
        <stp/>
        <stp>BDP|16806139119328786217</stp>
        <tr r="C2260" s="2"/>
      </tp>
      <tp t="s">
        <v>#N/A Requesting Data...3731822432</v>
        <stp/>
        <stp>BDP|10071436891698752917</stp>
        <tr r="Q1484" s="2"/>
      </tp>
      <tp t="s">
        <v>#N/A Requesting Data...3864968201</v>
        <stp/>
        <stp>BDP|17377988278527466238</stp>
        <tr r="C355" s="2"/>
      </tp>
      <tp t="s">
        <v>#N/A Requesting Data...4211201022</v>
        <stp/>
        <stp>BDP|13405113112446710942</stp>
        <tr r="E994" s="2"/>
      </tp>
      <tp t="s">
        <v>#N/A Requesting Data...3736769829</v>
        <stp/>
        <stp>BDP|11638301805498044649</stp>
        <tr r="M1572" s="2"/>
      </tp>
      <tp t="s">
        <v>#N/A Requesting Data...4057415885</v>
        <stp/>
        <stp>BDP|11983927912534916170</stp>
        <tr r="M696" s="2"/>
      </tp>
      <tp t="s">
        <v>#N/A Requesting Data...3862063600</v>
        <stp/>
        <stp>BDP|10798932110016260216</stp>
        <tr r="A492" s="2"/>
      </tp>
      <tp t="s">
        <v>#N/A Requesting Data...3755619061</v>
        <stp/>
        <stp>BDP|16909698646011976984</stp>
        <tr r="S813" s="2"/>
      </tp>
      <tp t="b">
        <v>0</v>
        <stp/>
        <stp>BDS|11446171721999520735</stp>
        <tr r="I713" s="2"/>
      </tp>
      <tp t="s">
        <v>#N/A Requesting Data...3984110300</v>
        <stp/>
        <stp>BDP|11501934771371253229</stp>
        <tr r="T1460" s="2"/>
      </tp>
      <tp t="s">
        <v>#N/A Requesting Data...4157477733</v>
        <stp/>
        <stp>BDP|18261978899334976020</stp>
        <tr r="D2111" s="2"/>
      </tp>
      <tp t="s">
        <v>#N/A Requesting Data...3916115397</v>
        <stp/>
        <stp>BDP|12197671771467416847</stp>
        <tr r="R2102" s="2"/>
      </tp>
      <tp t="s">
        <v>#N/A Requesting Data...4271641681</v>
        <stp/>
        <stp>BDP|10716856250512297371</stp>
        <tr r="P1390" s="2"/>
      </tp>
      <tp t="s">
        <v>#N/A Requesting Data...4276727436</v>
        <stp/>
        <stp>BDP|14560642983433791520</stp>
        <tr r="M2288" s="2"/>
      </tp>
      <tp t="s">
        <v>#N/A Requesting Data...3753658594</v>
        <stp/>
        <stp>BDP|11083492588393085268</stp>
        <tr r="D1736" s="2"/>
      </tp>
      <tp t="s">
        <v>#N/A Requesting Data...3944301434</v>
        <stp/>
        <stp>BDP|17545852647031379639</stp>
        <tr r="A1007" s="2"/>
      </tp>
      <tp t="s">
        <v>#N/A Requesting Data...4234841934</v>
        <stp/>
        <stp>BDP|10348141137326273859</stp>
        <tr r="Q2225" s="2"/>
      </tp>
      <tp t="s">
        <v>#N/A Requesting Data...3817725496</v>
        <stp/>
        <stp>BDP|14902217899880338354</stp>
        <tr r="E53" s="2"/>
      </tp>
      <tp t="s">
        <v>#N/A Requesting Data...3914041705</v>
        <stp/>
        <stp>BDP|15049029582514388548</stp>
        <tr r="O1328" s="2"/>
      </tp>
      <tp t="s">
        <v>#N/A Requesting Data...4236281943</v>
        <stp/>
        <stp>BDP|11008766276688392541</stp>
        <tr r="T200" s="2"/>
      </tp>
      <tp t="b">
        <v>0</v>
        <stp/>
        <stp>BDS|10638838510356125305</stp>
        <tr r="I2362" s="2"/>
      </tp>
      <tp t="s">
        <v>#N/A Requesting Data...4043494300</v>
        <stp/>
        <stp>BDP|14578899939123350015</stp>
        <tr r="F2511" s="2"/>
      </tp>
      <tp t="s">
        <v>#N/A Requesting Data...4289545356</v>
        <stp/>
        <stp>BDP|10850008349450017866</stp>
        <tr r="T413" s="2"/>
      </tp>
      <tp t="s">
        <v>#N/A Requesting Data...3805165957</v>
        <stp/>
        <stp>BDP|14176258005593600907</stp>
        <tr r="C1448" s="2"/>
      </tp>
      <tp t="s">
        <v>#N/A Requesting Data...4200510956</v>
        <stp/>
        <stp>BDP|12455777294397156719</stp>
        <tr r="J2096" s="2"/>
      </tp>
      <tp t="s">
        <v>#N/A Requesting Data...3899366362</v>
        <stp/>
        <stp>BDP|12037823452414709709</stp>
        <tr r="J1385" s="2"/>
      </tp>
      <tp t="s">
        <v>#N/A Requesting Data...4009075178</v>
        <stp/>
        <stp>BDP|14084936055271139502</stp>
        <tr r="R1881" s="2"/>
      </tp>
      <tp t="b">
        <v>0</v>
        <stp/>
        <stp>BDS|17034273897558383870</stp>
        <tr r="I2308" s="2"/>
      </tp>
      <tp t="s">
        <v>#N/A Requesting Data...4209309952</v>
        <stp/>
        <stp>BDP|12228425721928178074</stp>
        <tr r="O768" s="2"/>
      </tp>
      <tp t="s">
        <v>#N/A Requesting Data...4216982352</v>
        <stp/>
        <stp>BDP|13805539116382379990</stp>
        <tr r="D941" s="2"/>
      </tp>
      <tp t="s">
        <v>#N/A Requesting Data...3966712060</v>
        <stp/>
        <stp>BDP|18085524832302618013</stp>
        <tr r="C1109" s="2"/>
      </tp>
      <tp t="s">
        <v>#N/A Requesting Data...4043005565</v>
        <stp/>
        <stp>BDP|14490256962074743837</stp>
        <tr r="H1344" s="2"/>
      </tp>
      <tp t="s">
        <v>#N/A Requesting Data...4076570911</v>
        <stp/>
        <stp>BDP|16535443301189490734</stp>
        <tr r="H948" s="2"/>
      </tp>
      <tp t="s">
        <v>#N/A Requesting Data...3817255308</v>
        <stp/>
        <stp>BDP|16097469104246494817</stp>
        <tr r="J95" s="2"/>
      </tp>
      <tp t="s">
        <v>#N/A Requesting Data...4230612811</v>
        <stp/>
        <stp>BDP|14572909954812047661</stp>
        <tr r="T743" s="2"/>
      </tp>
      <tp t="s">
        <v>#N/A Requesting Data...4174992345</v>
        <stp/>
        <stp>BDP|17953756161128205281</stp>
        <tr r="C327" s="2"/>
      </tp>
      <tp t="s">
        <v>#N/A Requesting Data...3848178305</v>
        <stp/>
        <stp>BDP|14476051480108076863</stp>
        <tr r="E2452" s="2"/>
      </tp>
      <tp t="s">
        <v>#N/A Requesting Data...3972616202</v>
        <stp/>
        <stp>BDP|12061868617564406328</stp>
        <tr r="K526" s="2"/>
      </tp>
      <tp t="s">
        <v>#N/A Requesting Data...4277068490</v>
        <stp/>
        <stp>BDP|14014694725128216496</stp>
        <tr r="E190" s="2"/>
      </tp>
      <tp t="s">
        <v>#N/A Requesting Data...3881237943</v>
        <stp/>
        <stp>BDP|16374153661168613567</stp>
        <tr r="O2355" s="2"/>
      </tp>
      <tp t="s">
        <v>#N/A Requesting Data...3980792427</v>
        <stp/>
        <stp>BDP|12190520151868611633</stp>
        <tr r="M1539" s="2"/>
      </tp>
      <tp t="s">
        <v>#N/A Requesting Data...3811979329</v>
        <stp/>
        <stp>BDP|12314542725920491910</stp>
        <tr r="O1845" s="2"/>
      </tp>
      <tp t="s">
        <v>#N/A Requesting Data...3873289677</v>
        <stp/>
        <stp>BDP|17260632865563101823</stp>
        <tr r="C1745" s="2"/>
      </tp>
      <tp t="s">
        <v>#N/A Requesting Data...4038829434</v>
        <stp/>
        <stp>BDP|12513525303412139921</stp>
        <tr r="Q1707" s="2"/>
      </tp>
      <tp t="s">
        <v>#N/A Requesting Data...3920674462</v>
        <stp/>
        <stp>BDP|16056628585934505056</stp>
        <tr r="K1290" s="2"/>
      </tp>
      <tp t="s">
        <v>#N/A Requesting Data...4144267061</v>
        <stp/>
        <stp>BDP|17962642386625826042</stp>
        <tr r="R2234" s="2"/>
      </tp>
      <tp t="s">
        <v>#N/A Requesting Data...4120419689</v>
        <stp/>
        <stp>BDP|11466455458535811965</stp>
        <tr r="S659" s="2"/>
      </tp>
      <tp t="s">
        <v>#N/A Requesting Data...4115314202</v>
        <stp/>
        <stp>BDP|12108915021510609502</stp>
        <tr r="R411" s="2"/>
      </tp>
      <tp t="s">
        <v>#N/A Requesting Data...3943576994</v>
        <stp/>
        <stp>BDP|17022717264608083229</stp>
        <tr r="E2346" s="2"/>
      </tp>
      <tp t="s">
        <v>#N/A Requesting Data...4182985705</v>
        <stp/>
        <stp>BDP|17968152097227914456</stp>
        <tr r="H1225" s="2"/>
      </tp>
      <tp t="s">
        <v>#N/A Requesting Data...3988430262</v>
        <stp/>
        <stp>BDP|10943440915259714086</stp>
        <tr r="A1735" s="2"/>
      </tp>
      <tp t="s">
        <v>#N/A Requesting Data...4208090892</v>
        <stp/>
        <stp>BDP|16814823966313319781</stp>
        <tr r="G493" s="2"/>
      </tp>
      <tp t="s">
        <v>#N/A Requesting Data...4004326615</v>
        <stp/>
        <stp>BDP|10954125679722060850</stp>
        <tr r="O446" s="2"/>
      </tp>
      <tp t="s">
        <v>#N/A Requesting Data...4246181917</v>
        <stp/>
        <stp>BDP|14189962174271591711</stp>
        <tr r="G1871" s="2"/>
      </tp>
      <tp t="b">
        <v>0</v>
        <stp/>
        <stp>BDS|11659606542109232621</stp>
        <tr r="I1466" s="2"/>
      </tp>
      <tp t="s">
        <v>#N/A Requesting Data...4012998247</v>
        <stp/>
        <stp>BDP|18172456232112169106</stp>
        <tr r="Q2446" s="2"/>
      </tp>
      <tp t="s">
        <v>#N/A Requesting Data...4088095623</v>
        <stp/>
        <stp>BDP|12219255890795304034</stp>
        <tr r="M2379" s="2"/>
      </tp>
      <tp t="s">
        <v>#N/A Requesting Data...3936107185</v>
        <stp/>
        <stp>BDP|10326537188612829376</stp>
        <tr r="P1070" s="2"/>
      </tp>
      <tp t="s">
        <v>#N/A Requesting Data...4102359821</v>
        <stp/>
        <stp>BDP|17523262583399511825</stp>
        <tr r="G1253" s="2"/>
      </tp>
      <tp t="s">
        <v>#N/A Requesting Data...3994785445</v>
        <stp/>
        <stp>BDP|12492299880673305791</stp>
        <tr r="A71" s="2"/>
      </tp>
      <tp t="s">
        <v>#N/A Requesting Data...4116888290</v>
        <stp/>
        <stp>BDP|17066065864145221877</stp>
        <tr r="R1036" s="2"/>
      </tp>
      <tp t="s">
        <v>#N/A Requesting Data...3882234552</v>
        <stp/>
        <stp>BDP|17806694728239736692</stp>
        <tr r="J130" s="2"/>
      </tp>
      <tp t="s">
        <v>#N/A Requesting Data...4203497254</v>
        <stp/>
        <stp>BDP|12195841025437491332</stp>
        <tr r="P2373" s="2"/>
      </tp>
      <tp t="s">
        <v>#N/A Requesting Data...3951293493</v>
        <stp/>
        <stp>BDP|16360804243246331044</stp>
        <tr r="N2280" s="2"/>
      </tp>
      <tp t="s">
        <v>#N/A Requesting Data...3932897072</v>
        <stp/>
        <stp>BDP|18301267487248366664</stp>
        <tr r="K1495" s="2"/>
      </tp>
      <tp t="s">
        <v>#N/A Requesting Data...3946457747</v>
        <stp/>
        <stp>BDP|12917890127115961191</stp>
        <tr r="S973" s="2"/>
      </tp>
      <tp t="s">
        <v>#N/A Requesting Data...4280988949</v>
        <stp/>
        <stp>BDP|14739169784690587173</stp>
        <tr r="N2315" s="2"/>
      </tp>
      <tp t="s">
        <v>#N/A Requesting Data...3952396563</v>
        <stp/>
        <stp>BDP|14909583179449850374</stp>
        <tr r="J750" s="2"/>
      </tp>
      <tp t="s">
        <v>#N/A Requesting Data...3961780017</v>
        <stp/>
        <stp>BDP|11715521480592756256</stp>
        <tr r="O1954" s="2"/>
      </tp>
      <tp t="s">
        <v>#N/A Requesting Data...4071076747</v>
        <stp/>
        <stp>BDP|12607900171985270528</stp>
        <tr r="D1216" s="2"/>
      </tp>
      <tp t="s">
        <v>#N/A Requesting Data...3899130402</v>
        <stp/>
        <stp>BDP|16720907654705113355</stp>
        <tr r="J1304" s="2"/>
      </tp>
      <tp t="s">
        <v>#N/A Requesting Data...3920441332</v>
        <stp/>
        <stp>BDP|17524716795470445522</stp>
        <tr r="G1655" s="2"/>
      </tp>
      <tp t="s">
        <v>#N/A Requesting Data...4125194165</v>
        <stp/>
        <stp>BDP|12056525091705326773</stp>
        <tr r="Q434" s="2"/>
      </tp>
      <tp t="s">
        <v>#N/A Requesting Data...4169726683</v>
        <stp/>
        <stp>BDP|10628603654027403814</stp>
        <tr r="K618" s="2"/>
      </tp>
      <tp t="s">
        <v>#N/A Requesting Data...3997365009</v>
        <stp/>
        <stp>BDP|10921405088537078760</stp>
        <tr r="A2187" s="2"/>
      </tp>
      <tp t="s">
        <v>#N/A Requesting Data...4138381389</v>
        <stp/>
        <stp>BDP|10121412884390711047</stp>
        <tr r="E1855" s="2"/>
      </tp>
      <tp t="s">
        <v>#N/A Requesting Data...3974194096</v>
        <stp/>
        <stp>BDP|14366400537717433877</stp>
        <tr r="E1728" s="2"/>
      </tp>
      <tp t="s">
        <v>#N/A Requesting Data...4227306211</v>
        <stp/>
        <stp>BDP|14768916810565096519</stp>
        <tr r="J568" s="2"/>
      </tp>
      <tp t="s">
        <v>#N/A Requesting Data...3908557490</v>
        <stp/>
        <stp>BDP|12482506193214519659</stp>
        <tr r="R801" s="2"/>
      </tp>
      <tp t="s">
        <v>#N/A Requesting Data...4097557742</v>
        <stp/>
        <stp>BDP|10758529682535658468</stp>
        <tr r="K1446" s="2"/>
      </tp>
      <tp t="s">
        <v>#N/A Requesting Data...4205360068</v>
        <stp/>
        <stp>BDP|15107619197966764072</stp>
        <tr r="Q980" s="2"/>
      </tp>
      <tp t="s">
        <v>#N/A Requesting Data...4175905430</v>
        <stp/>
        <stp>BDP|12176800280208267647</stp>
        <tr r="O1776" s="2"/>
      </tp>
      <tp t="s">
        <v>#N/A Requesting Data...3932473142</v>
        <stp/>
        <stp>BDP|14070101976587072910</stp>
        <tr r="N159" s="2"/>
      </tp>
      <tp t="s">
        <v>#N/A Requesting Data...4278792885</v>
        <stp/>
        <stp>BDP|12289041820868625477</stp>
        <tr r="H1389" s="2"/>
      </tp>
      <tp t="s">
        <v>#N/A Requesting Data...4236767299</v>
        <stp/>
        <stp>BDP|17010990113901565295</stp>
        <tr r="M1867" s="2"/>
      </tp>
      <tp t="s">
        <v>#N/A Requesting Data...4093971414</v>
        <stp/>
        <stp>BDP|10250975000873430670</stp>
        <tr r="C2421" s="2"/>
      </tp>
      <tp t="s">
        <v>#N/A Requesting Data...4259592312</v>
        <stp/>
        <stp>BDP|10821553216929917142</stp>
        <tr r="N612" s="2"/>
      </tp>
      <tp t="s">
        <v>#N/A Requesting Data...4241045750</v>
        <stp/>
        <stp>BDP|14563603510077567868</stp>
        <tr r="E2159" s="2"/>
      </tp>
      <tp t="s">
        <v>#N/A Requesting Data...4269810045</v>
        <stp/>
        <stp>BDP|11996994066771229322</stp>
        <tr r="T37" s="2"/>
      </tp>
      <tp t="s">
        <v>#N/A Requesting Data...4073693088</v>
        <stp/>
        <stp>BDP|11696482784033839242</stp>
        <tr r="S2266" s="2"/>
      </tp>
      <tp t="s">
        <v>#N/A Requesting Data...4029495149</v>
        <stp/>
        <stp>BDP|15266874010242439279</stp>
        <tr r="R1132" s="2"/>
      </tp>
      <tp t="s">
        <v>#N/A Requesting Data...4294737220</v>
        <stp/>
        <stp>BDP|14141766968140996900</stp>
        <tr r="G1481" s="2"/>
      </tp>
      <tp t="s">
        <v>#N/A Requesting Data...4252206246</v>
        <stp/>
        <stp>BDP|15025885141273675698</stp>
        <tr r="O1557" s="2"/>
      </tp>
      <tp t="s">
        <v>#N/A Requesting Data...4207226447</v>
        <stp/>
        <stp>BDP|11761742762964133864</stp>
        <tr r="N1731" s="2"/>
      </tp>
      <tp t="b">
        <v>0</v>
        <stp/>
        <stp>BDS|10598050946638601055</stp>
        <tr r="I1093" s="2"/>
      </tp>
      <tp t="s">
        <v>#N/A Requesting Data...4085640749</v>
        <stp/>
        <stp>BDP|17514770737986510960</stp>
        <tr r="C2017" s="2"/>
      </tp>
      <tp t="s">
        <v>#N/A Requesting Data...4265991870</v>
        <stp/>
        <stp>BDP|16348716880882739730</stp>
        <tr r="R2097" s="2"/>
      </tp>
      <tp t="s">
        <v>#N/A Requesting Data...4239943265</v>
        <stp/>
        <stp>BDP|11732959571235437612</stp>
        <tr r="A502" s="2"/>
      </tp>
      <tp t="s">
        <v>#N/A Requesting Data...4233167727</v>
        <stp/>
        <stp>BDP|12646098979879692065</stp>
        <tr r="T530" s="2"/>
      </tp>
      <tp t="s">
        <v>#N/A Requesting Data...4058447606</v>
        <stp/>
        <stp>BDP|14039394346156865918</stp>
        <tr r="F2115" s="2"/>
      </tp>
      <tp t="s">
        <v>#N/A Requesting Data...4287743519</v>
        <stp/>
        <stp>BDP|17041368237679312243</stp>
        <tr r="C676" s="2"/>
      </tp>
      <tp t="s">
        <v>#N/A Requesting Data...4114961717</v>
        <stp/>
        <stp>BDP|10572897548065078528</stp>
        <tr r="P1099" s="2"/>
      </tp>
      <tp t="s">
        <v>#N/A Requesting Data...3997087581</v>
        <stp/>
        <stp>BDP|10475956961851002266</stp>
        <tr r="C1533" s="2"/>
      </tp>
      <tp t="s">
        <v>#N/A Requesting Data...4169487507</v>
        <stp/>
        <stp>BDP|17151918442796418004</stp>
        <tr r="J1726" s="2"/>
      </tp>
      <tp t="s">
        <v>#N/A Requesting Data...4034475750</v>
        <stp/>
        <stp>BDP|16250581759708796225</stp>
        <tr r="D1470" s="2"/>
      </tp>
      <tp t="s">
        <v>#N/A Requesting Data...4212253868</v>
        <stp/>
        <stp>BDP|13249307483923140760</stp>
        <tr r="C391" s="2"/>
      </tp>
      <tp t="s">
        <v>#N/A Requesting Data...4282863160</v>
        <stp/>
        <stp>BDP|15525838806905744419</stp>
        <tr r="O2007" s="2"/>
      </tp>
      <tp t="s">
        <v>#N/A Requesting Data...4134934496</v>
        <stp/>
        <stp>BDP|10193867441680678061</stp>
        <tr r="K1312" s="2"/>
      </tp>
      <tp t="s">
        <v>#N/A Requesting Data...4236460963</v>
        <stp/>
        <stp>BDP|15701230475415497933</stp>
        <tr r="M340" s="2"/>
      </tp>
      <tp t="b">
        <v>0</v>
        <stp/>
        <stp>BDS|15155481373932966865</stp>
        <tr r="I423" s="2"/>
      </tp>
      <tp t="s">
        <v>#N/A Requesting Data...4072020283</v>
        <stp/>
        <stp>BDP|13884672092693341385</stp>
        <tr r="A1212" s="2"/>
      </tp>
      <tp t="s">
        <v>#N/A Requesting Data...4109547276</v>
        <stp/>
        <stp>BDP|14174018091934439539</stp>
        <tr r="M1029" s="2"/>
      </tp>
      <tp t="s">
        <v>#N/A Requesting Data...4033760696</v>
        <stp/>
        <stp>BDP|16511353284283340218</stp>
        <tr r="T2180" s="2"/>
      </tp>
      <tp t="s">
        <v>#N/A Requesting Data...4043072926</v>
        <stp/>
        <stp>BDP|13652337748198286097</stp>
        <tr r="H2472" s="2"/>
      </tp>
      <tp t="s">
        <v>#N/A Requesting Data...4142099042</v>
        <stp/>
        <stp>BDP|18336054011941000412</stp>
        <tr r="O1400" s="2"/>
      </tp>
      <tp t="s">
        <v>#N/A Requesting Data...4215890777</v>
        <stp/>
        <stp>BDP|16590118461564172920</stp>
        <tr r="O2157" s="2"/>
      </tp>
      <tp t="s">
        <v>#N/A Requesting Data...4095567157</v>
        <stp/>
        <stp>BDP|14256365093253031112</stp>
        <tr r="S946" s="2"/>
      </tp>
      <tp t="s">
        <v>#N/A Requesting Data...4189090296</v>
        <stp/>
        <stp>BDP|16877180981667002473</stp>
        <tr r="C375" s="2"/>
      </tp>
      <tp t="s">
        <v>#N/A Requesting Data...4114070170</v>
        <stp/>
        <stp>BDP|18419452882560741820</stp>
        <tr r="S220" s="2"/>
      </tp>
      <tp t="s">
        <v>#N/A Requesting Data...4217863006</v>
        <stp/>
        <stp>BDP|15004931756356287318</stp>
        <tr r="C2521" s="2"/>
      </tp>
      <tp t="s">
        <v>#N/A Requesting Data...4141752349</v>
        <stp/>
        <stp>BDP|14665575181212125771</stp>
        <tr r="K1343" s="2"/>
      </tp>
      <tp t="s">
        <v>#N/A Requesting Data...4071270833</v>
        <stp/>
        <stp>BDP|18202721196963185912</stp>
        <tr r="D1953" s="2"/>
      </tp>
      <tp t="s">
        <v>#N/A Requesting Data...4030633190</v>
        <stp/>
        <stp>BDP|16636445081040241670</stp>
        <tr r="J1542" s="2"/>
      </tp>
      <tp t="b">
        <v>0</v>
        <stp/>
        <stp>BDS|12044951431856058219</stp>
        <tr r="I1597" s="2"/>
      </tp>
      <tp t="s">
        <v>#N/A Requesting Data...4099773529</v>
        <stp/>
        <stp>BDP|15787157795879233835</stp>
        <tr r="K1856" s="2"/>
      </tp>
      <tp t="s">
        <v>#N/A Requesting Data...4071694321</v>
        <stp/>
        <stp>BDP|17280668637596358861</stp>
        <tr r="S1120" s="2"/>
      </tp>
      <tp t="s">
        <v>#N/A Requesting Data...4141457862</v>
        <stp/>
        <stp>BDP|11312791998996693521</stp>
        <tr r="R1579" s="2"/>
      </tp>
      <tp t="s">
        <v>#N/A Requesting Data...4182661918</v>
        <stp/>
        <stp>BDP|17076337473149325652</stp>
        <tr r="T816" s="2"/>
      </tp>
      <tp t="s">
        <v>#N/A Requesting Data...4068131939</v>
        <stp/>
        <stp>BDP|17549532015499013652</stp>
        <tr r="K10" s="2"/>
      </tp>
      <tp t="s">
        <v>#N/A Requesting Data...4214918949</v>
        <stp/>
        <stp>BDP|16496900147175412218</stp>
        <tr r="N105" s="2"/>
      </tp>
      <tp t="s">
        <v>#N/A Requesting Data...4205963735</v>
        <stp/>
        <stp>BDP|15523144421572345857</stp>
        <tr r="D281" s="2"/>
      </tp>
      <tp t="s">
        <v>#N/A Requesting Data...4103388152</v>
        <stp/>
        <stp>BDP|17763441089037407087</stp>
        <tr r="A2208" s="2"/>
      </tp>
      <tp t="s">
        <v>#N/A Requesting Data...4150520869</v>
        <stp/>
        <stp>BDP|16512628473843152834</stp>
        <tr r="C1633" s="2"/>
      </tp>
      <tp t="s">
        <v>#N/A Requesting Data...4231912635</v>
        <stp/>
        <stp>BDP|10254954251363313333</stp>
        <tr r="R427" s="2"/>
      </tp>
      <tp t="s">
        <v>#N/A Requesting Data...4079645288</v>
        <stp/>
        <stp>BDP|13774075284227236003</stp>
        <tr r="N513" s="2"/>
      </tp>
      <tp t="s">
        <v>#N/A Requesting Data...4107928761</v>
        <stp/>
        <stp>BDP|12002252336186071953</stp>
        <tr r="A269" s="2"/>
      </tp>
      <tp t="s">
        <v>#N/A Requesting Data...4075420154</v>
        <stp/>
        <stp>BDP|13374056375449748126</stp>
        <tr r="G1238" s="2"/>
      </tp>
      <tp t="s">
        <v>#N/A Requesting Data...4112968279</v>
        <stp/>
        <stp>BDP|17478796426238544680</stp>
        <tr r="J379" s="2"/>
      </tp>
      <tp t="s">
        <v>#N/A Requesting Data...4212472480</v>
        <stp/>
        <stp>BDP|12267032056478512346</stp>
        <tr r="M2124" s="2"/>
      </tp>
      <tp t="s">
        <v>#N/A Requesting Data...4271831354</v>
        <stp/>
        <stp>BDP|11258799704818910203</stp>
        <tr r="C789" s="2"/>
      </tp>
      <tp t="s">
        <v>#N/A Requesting Data...4267698247</v>
        <stp/>
        <stp>BDP|13024891978533200350</stp>
        <tr r="R2145" s="2"/>
      </tp>
      <tp t="s">
        <v>#N/A Requesting Data...4288379276</v>
        <stp/>
        <stp>BDP|17478812009923294083</stp>
        <tr r="H175" s="2"/>
      </tp>
      <tp t="s">
        <v>#N/A Requesting Data...4270169125</v>
        <stp/>
        <stp>BDP|12125466306278618211</stp>
        <tr r="N2253" s="2"/>
      </tp>
      <tp t="s">
        <v>#N/A Requesting Data...4187883723</v>
        <stp/>
        <stp>BDP|12215416847169711751</stp>
        <tr r="C1221" s="2"/>
      </tp>
      <tp t="s">
        <v>#N/A Requesting Data...4196479172</v>
        <stp/>
        <stp>BDP|17639534491617156032</stp>
        <tr r="H1293" s="2"/>
      </tp>
      <tp t="b">
        <v>0</v>
        <stp/>
        <stp>BDS|14796179551479120550</stp>
        <tr r="I701" s="2"/>
      </tp>
      <tp t="s">
        <v>#N/A Requesting Data...4285903158</v>
        <stp/>
        <stp>BDP|14008042009401959925</stp>
        <tr r="T430" s="2"/>
      </tp>
      <tp t="s">
        <v>#N/A Requesting Data...4112172856</v>
        <stp/>
        <stp>BDP|10041135890291352560</stp>
        <tr r="K644" s="2"/>
      </tp>
      <tp t="s">
        <v>#N/A Requesting Data...4104785321</v>
        <stp/>
        <stp>BDP|13719459991982200074</stp>
        <tr r="D1841" s="2"/>
      </tp>
      <tp t="s">
        <v>#N/A Requesting Data...4167534137</v>
        <stp/>
        <stp>BDP|15394476150998079024</stp>
        <tr r="P82" s="2"/>
      </tp>
      <tp t="b">
        <v>0</v>
        <stp/>
        <stp>BDS|10378269834938347576</stp>
        <tr r="I2501" s="2"/>
      </tp>
      <tp t="s">
        <v>#N/A Requesting Data...4289477223</v>
        <stp/>
        <stp>BDP|13776950167568576860</stp>
        <tr r="Q741" s="2"/>
      </tp>
      <tp t="s">
        <v>#N/A Requesting Data...4135527777</v>
        <stp/>
        <stp>BDP|10201014024028663677</stp>
        <tr r="D986" s="2"/>
      </tp>
      <tp t="s">
        <v>#N/A Requesting Data...4193177827</v>
        <stp/>
        <stp>BDP|11719822834690504621</stp>
        <tr r="T1536" s="2"/>
      </tp>
      <tp t="s">
        <v>#N/A Requesting Data...4145631273</v>
        <stp/>
        <stp>BDP|12865691935513353813</stp>
        <tr r="C549" s="2"/>
      </tp>
      <tp t="s">
        <v>#N/A Requesting Data...4207782286</v>
        <stp/>
        <stp>BDP|18055861909014194889</stp>
        <tr r="S7" s="2"/>
      </tp>
      <tp t="s">
        <v>#N/A Requesting Data...4149988241</v>
        <stp/>
        <stp>BDP|18098538214410862097</stp>
        <tr r="Q617" s="2"/>
      </tp>
      <tp t="s">
        <v>#N/A Requesting Data...4203096391</v>
        <stp/>
        <stp>BDP|18245986998763208761</stp>
        <tr r="P498" s="2"/>
      </tp>
      <tp t="s">
        <v>#N/A Requesting Data...4275141869</v>
        <stp/>
        <stp>BDP|13383261014394176996</stp>
        <tr r="A2022" s="2"/>
      </tp>
      <tp t="s">
        <v>#N/A Requesting Data...4127205302</v>
        <stp/>
        <stp>BDP|14877784199881200620</stp>
        <tr r="R357" s="2"/>
      </tp>
      <tp t="s">
        <v>#N/A Requesting Data...4260420939</v>
        <stp/>
        <stp>BDP|15868738804687041867</stp>
        <tr r="R1796" s="2"/>
      </tp>
      <tp t="s">
        <v>#N/A Requesting Data...4290286242</v>
        <stp/>
        <stp>BDP|10957469907110169900</stp>
        <tr r="C736" s="2"/>
      </tp>
      <tp t="s">
        <v>#N/A Requesting Data...4216835326</v>
        <stp/>
        <stp>BDP|14498704236854967929</stp>
        <tr r="K1884" s="2"/>
      </tp>
      <tp t="s">
        <v>#N/A Requesting Data...4251385870</v>
        <stp/>
        <stp>BDP|16130918558361403652</stp>
        <tr r="J1748" s="2"/>
      </tp>
      <tp t="b">
        <v>0</v>
        <stp/>
        <stp>BDS|18048675408007785420</stp>
        <tr r="I1104" s="2"/>
      </tp>
      <tp t="s">
        <v>#N/A Requesting Data...4240496439</v>
        <stp/>
        <stp>BDP|10412633391983703182</stp>
        <tr r="F2317" s="2"/>
      </tp>
      <tp t="s">
        <v>#N/A Requesting Data...4291076980</v>
        <stp/>
        <stp>BDP|16446852199073871998</stp>
        <tr r="D248" s="2"/>
      </tp>
      <tp t="s">
        <v>#N/A Requesting Data...4246226627</v>
        <stp/>
        <stp>BDP|15356189973237517947</stp>
        <tr r="E1124" s="2"/>
      </tp>
      <tp t="s">
        <v>#N/A Requesting Data...4264829234</v>
        <stp/>
        <stp>BDP|14227546171413982870</stp>
        <tr r="D2398" s="2"/>
      </tp>
      <tp t="s">
        <v>#N/A Requesting Data...4267098297</v>
        <stp/>
        <stp>BDP|12004075560540901978</stp>
        <tr r="C2334" s="2"/>
      </tp>
      <tp t="s">
        <v>#N/A Requesting Data...4272194581</v>
        <stp/>
        <stp>BDP|16311026618813272920</stp>
        <tr r="O1023" s="2"/>
      </tp>
      <tp t="s">
        <v>#N/A Requesting Data...4212618949</v>
        <stp/>
        <stp>BDP|11143806795974533980</stp>
        <tr r="R1065" s="2"/>
      </tp>
      <tp t="s">
        <v>#N/A Requesting Data...4199184173</v>
        <stp/>
        <stp>BDP|12708791168126709888</stp>
        <tr r="K226" s="2"/>
      </tp>
      <tp t="s">
        <v>#N/A Requesting Data...4277703593</v>
        <stp/>
        <stp>BDP|11586504944369925412</stp>
        <tr r="G1963" s="2"/>
      </tp>
      <tp t="s">
        <v>#N/A Requesting Data...4236182368</v>
        <stp/>
        <stp>BDP|10553933920941685798</stp>
        <tr r="Q90" s="2"/>
      </tp>
      <tp t="s">
        <v>#N/A Requesting Data...4286556712</v>
        <stp/>
        <stp>BDP|12368225809494503948</stp>
        <tr r="T1602" s="2"/>
      </tp>
      <tp t="s">
        <v>#N/A Requesting Data...4185398760</v>
        <stp/>
        <stp>BDP|15940268084247202501</stp>
        <tr r="M2518" s="2"/>
      </tp>
      <tp t="s">
        <v>#N/A Requesting Data...4236014777</v>
        <stp/>
        <stp>BDP|10543238972828439098</stp>
        <tr r="Q1805" s="2"/>
      </tp>
      <tp t="s">
        <v>#N/A Requesting Data...4253535681</v>
        <stp/>
        <stp>BDP|15299543272349866351</stp>
        <tr r="A2016" s="2"/>
      </tp>
      <tp t="s">
        <v>#N/A Requesting Data...4291564545</v>
        <stp/>
        <stp>BDP|12830946676436581767</stp>
        <tr r="F1039" s="2"/>
      </tp>
      <tp t="s">
        <v>#N/A Requesting Data...4233555924</v>
        <stp/>
        <stp>BDP|14214119796006974751</stp>
        <tr r="C197" s="2"/>
      </tp>
      <tp t="s">
        <v>#N/A Requesting Data...4244474259</v>
        <stp/>
        <stp>BDP|12479940314482490594</stp>
        <tr r="P252" s="2"/>
      </tp>
      <tp t="s">
        <v>#N/A Requesting Data...4222011326</v>
        <stp/>
        <stp>BDP|11685427912241631893</stp>
        <tr r="A1111" s="2"/>
      </tp>
      <tp t="s">
        <v>#N/A Requesting Data...4257448226</v>
        <stp/>
        <stp>BDP|11977590399977406743</stp>
        <tr r="C1206" s="2"/>
      </tp>
      <tp t="s">
        <v>#N/A Requesting Data...4268033192</v>
        <stp/>
        <stp>BDP|10568841455382985241</stp>
        <tr r="C1461" s="2"/>
      </tp>
      <tp t="s">
        <v>#N/A Requesting Data...4244677544</v>
        <stp/>
        <stp>BDP|17437294753478160569</stp>
        <tr r="J1860" s="2"/>
      </tp>
      <tp t="s">
        <v>#N/A Requesting Data...4211083511</v>
        <stp/>
        <stp>BDP|14036510649508586042</stp>
        <tr r="A2001" s="2"/>
      </tp>
      <tp t="s">
        <v>#N/A Requesting Data...4266742670</v>
        <stp/>
        <stp>BDP|15422637295860364787</stp>
        <tr r="M2397" s="2"/>
      </tp>
      <tp t="s">
        <v>#N/A Requesting Data...4234924953</v>
        <stp/>
        <stp>BDP|17454602099595090048</stp>
        <tr r="T433" s="2"/>
      </tp>
      <tp t="s">
        <v>#N/A Requesting Data...4244690904</v>
        <stp/>
        <stp>BDP|12035082282900689753</stp>
        <tr r="M2110" s="2"/>
      </tp>
      <tp t="s">
        <v>#N/A Requesting Data...4270054241</v>
        <stp/>
        <stp>BDP|10453197376799263200</stp>
        <tr r="H883" s="2"/>
      </tp>
      <tp t="s">
        <v>#N/A Requesting Data...4278835768</v>
        <stp/>
        <stp>BDP|17919512590405739367</stp>
        <tr r="G757" s="2"/>
      </tp>
      <tp t="s">
        <v>#N/A Requesting Data...4226725725</v>
        <stp/>
        <stp>BDP|10235124587627610383</stp>
        <tr r="F1981" s="2"/>
      </tp>
      <tp t="s">
        <v>#N/A Requesting Data...4291992845</v>
        <stp/>
        <stp>BDP|12524910159347253467</stp>
        <tr r="O275" s="2"/>
      </tp>
      <tp t="s">
        <v>#N/A Requesting Data...4251204731</v>
        <stp/>
        <stp>BDP|13238075557418802330</stp>
        <tr r="P2067" s="2"/>
      </tp>
      <tp t="s">
        <v>#N/A Requesting Data...4250027807</v>
        <stp/>
        <stp>BDP|13688878709924797262</stp>
        <tr r="K74" s="2"/>
      </tp>
      <tp t="s">
        <v>#N/A Requesting Data...4229250328</v>
        <stp/>
        <stp>BDP|17277206305660837866</stp>
        <tr r="M1890" s="2"/>
      </tp>
      <tp t="s">
        <v>#N/A Requesting Data...4236527538</v>
        <stp/>
        <stp>BDP|14390231771889170596</stp>
        <tr r="O1598" s="2"/>
      </tp>
      <tp t="s">
        <v>#N/A Requesting Data...4283489954</v>
        <stp/>
        <stp>BDP|14242219131511899930</stp>
        <tr r="F1172" s="2"/>
      </tp>
      <tp t="s">
        <v>#N/A Requesting Data...4245049606</v>
        <stp/>
        <stp>BDP|13866403711412137913</stp>
        <tr r="H987" s="2"/>
      </tp>
      <tp t="s">
        <v>#N/A Requesting Data...4239839150</v>
        <stp/>
        <stp>BDP|16254723948458739060</stp>
        <tr r="E2394" s="2"/>
      </tp>
      <tp t="s">
        <v>#N/A Requesting Data...4266346869</v>
        <stp/>
        <stp>BDP|17655316072626839846</stp>
        <tr r="F2503" s="2"/>
      </tp>
      <tp t="s">
        <v>#N/A Requesting Data...4247415792</v>
        <stp/>
        <stp>BDP|13185232888650726449</stp>
        <tr r="F2000" s="2"/>
      </tp>
      <tp t="s">
        <v>#N/A Requesting Data...4271814225</v>
        <stp/>
        <stp>BDP|15601560319488661465</stp>
        <tr r="A1825" s="2"/>
      </tp>
      <tp t="s">
        <v>#N/A Requesting Data...4277296065</v>
        <stp/>
        <stp>BDP|13214677527119207390</stp>
        <tr r="R2076" s="2"/>
      </tp>
      <tp t="s">
        <v>#N/A Requesting Data...4260632013</v>
        <stp/>
        <stp>BDP|17159200451368169587</stp>
        <tr r="H1619" s="2"/>
      </tp>
      <tp t="s">
        <v>#N/A Requesting Data...4257292753</v>
        <stp/>
        <stp>BDP|17515407603186986869</stp>
        <tr r="C1096" s="2"/>
      </tp>
      <tp t="s">
        <v>#N/A Requesting Data...4258140695</v>
        <stp/>
        <stp>BDP|15141684987111552722</stp>
        <tr r="G409" s="2"/>
      </tp>
      <tp t="s">
        <v>#N/A Requesting Data...4285799567</v>
        <stp/>
        <stp>BDP|13803204436118322741</stp>
        <tr r="M860" s="2"/>
      </tp>
      <tp t="s">
        <v>#N/A Requesting Data...4266197711</v>
        <stp/>
        <stp>BDP|18316875640221456895</stp>
        <tr r="R2337" s="2"/>
      </tp>
      <tp t="s">
        <v>#N/A Requesting Data...4292639261</v>
        <stp/>
        <stp>BDP|18423564160637835135</stp>
        <tr r="D659" s="2"/>
      </tp>
      <tp t="b">
        <v>0</v>
        <stp/>
        <stp>BDS|12496305388874626000</stp>
        <tr r="I1340" s="2"/>
      </tp>
      <tp t="s">
        <v>#N/A Requesting Data...4279381871</v>
        <stp/>
        <stp>BDP|18428052997954676898</stp>
        <tr r="J2203" s="2"/>
      </tp>
      <tp t="s">
        <v>#N/A Requesting Data...4285164207</v>
        <stp/>
        <stp>BDP|16325311959605331813</stp>
        <tr r="N1168" s="2"/>
      </tp>
      <tp t="s">
        <v>#N/A Requesting Data...4289383127</v>
        <stp/>
        <stp>BDP|15531129649375798805</stp>
        <tr r="S2137" s="2"/>
      </tp>
      <tp t="s">
        <v>#N/A Requesting Data...4285632931</v>
        <stp/>
        <stp>BDP|16325972449491290768</stp>
        <tr r="J231" s="2"/>
      </tp>
      <tp t="s">
        <v>#N/A Requesting Data...4289922781</v>
        <stp/>
        <stp>BDP|13014862219053257443</stp>
        <tr r="S317" s="2"/>
      </tp>
      <tp t="s">
        <v>#N/A Requesting Data...4290730522</v>
        <stp/>
        <stp>BDP|17796924101906550584</stp>
        <tr r="N1728" s="2"/>
      </tp>
      <tp t="s">
        <v>#N/A Requesting Data...4292549294</v>
        <stp/>
        <stp>BDP|14606915309304503423</stp>
        <tr r="K1578" s="2"/>
      </tp>
      <tp t="b">
        <v>0</v>
        <stp/>
        <stp>BDS|14060837624364831754</stp>
        <tr r="I2493" s="2"/>
      </tp>
      <tp t="s">
        <v>#N/A Requesting Data...4293682995</v>
        <stp/>
        <stp>BDP|13358373186305999029</stp>
        <tr r="F2357" s="2"/>
      </tp>
      <tp t="s">
        <v>#N/A Requesting Data...4294351643</v>
        <stp/>
        <stp>BDP|17769196040589411631</stp>
        <tr r="F2152" s="2"/>
      </tp>
      <tp t="s">
        <v>#N/A Requesting Data...4214210120</v>
        <stp/>
        <stp>BDP|17629768899780696460</stp>
        <tr r="A1887" s="2"/>
      </tp>
      <tp t="s">
        <v>#N/A Requesting Data...3470805848</v>
        <stp/>
        <stp>BDP|18276260179408169851</stp>
        <tr r="H2486" s="2"/>
      </tp>
      <tp t="s">
        <v>#N/A Requesting Data...232049581</v>
        <stp/>
        <stp>BDP|15776854890209335086</stp>
        <tr r="P533" s="2"/>
      </tp>
      <tp t="b">
        <v>0</v>
        <stp/>
        <stp>BDS|10223534740288937423</stp>
        <tr r="I1113" s="2"/>
      </tp>
      <tp t="s">
        <v>#N/A Requesting Data...1273826126</v>
        <stp/>
        <stp>BDP|14458862402986132789</stp>
        <tr r="J900" s="2"/>
      </tp>
      <tp t="s">
        <v>#N/A Requesting Data...4056248743</v>
        <stp/>
        <stp>BDP|12222690792974980497</stp>
        <tr r="F1260" s="2"/>
      </tp>
      <tp t="s">
        <v>#N/A Requesting Data...311463833</v>
        <stp/>
        <stp>BDP|12406597840427690931</stp>
        <tr r="A1150" s="2"/>
      </tp>
      <tp t="s">
        <v>#N/A Requesting Data...267478201</v>
        <stp/>
        <stp>BDP|18084487871320434654</stp>
        <tr r="H1759" s="2"/>
      </tp>
      <tp t="s">
        <v>#N/A Requesting Data...1327430370</v>
        <stp/>
        <stp>BDP|16096050438249363166</stp>
        <tr r="H2355" s="2"/>
      </tp>
      <tp t="s">
        <v>#N/A Requesting Data...3011361336</v>
        <stp/>
        <stp>BDP|10955008799662160696</stp>
        <tr r="P123" s="2"/>
      </tp>
      <tp t="s">
        <v>#N/A Requesting Data...1746814353</v>
        <stp/>
        <stp>BDP|10237069084761011487</stp>
        <tr r="H1661" s="2"/>
      </tp>
      <tp t="s">
        <v>#N/A Requesting Data...2855707652</v>
        <stp/>
        <stp>BDP|18032609710855102799</stp>
        <tr r="P2257" s="2"/>
      </tp>
      <tp t="s">
        <v>#N/A Requesting Data...910195199</v>
        <stp/>
        <stp>BDP|16028213888546481756</stp>
        <tr r="P1431" s="2"/>
      </tp>
      <tp t="s">
        <v>#N/A Requesting Data...507853962</v>
        <stp/>
        <stp>BDP|17283421482660274682</stp>
        <tr r="D2228" s="2"/>
      </tp>
      <tp t="s">
        <v>#N/A Requesting Data...2995344445</v>
        <stp/>
        <stp>BDP|16061639956269478190</stp>
        <tr r="J2367" s="2"/>
      </tp>
      <tp t="s">
        <v>#N/A Requesting Data...4131728496</v>
        <stp/>
        <stp>BDP|12342469056449346787</stp>
        <tr r="F107" s="2"/>
      </tp>
      <tp t="s">
        <v>#N/A Requesting Data...1217532510</v>
        <stp/>
        <stp>BDP|17250402013839800615</stp>
        <tr r="P654" s="2"/>
      </tp>
      <tp t="s">
        <v>#N/A Requesting Data...140445472</v>
        <stp/>
        <stp>BDP|17078593335969662522</stp>
        <tr r="O1068" s="2"/>
      </tp>
      <tp t="s">
        <v>#N/A Requesting Data...1868677032</v>
        <stp/>
        <stp>BDP|13653849058010068323</stp>
        <tr r="M139" s="2"/>
      </tp>
      <tp t="s">
        <v>#N/A Requesting Data...2270342903</v>
        <stp/>
        <stp>BDP|12390453033110956847</stp>
        <tr r="D991" s="2"/>
      </tp>
      <tp t="s">
        <v>#N/A Requesting Data...1061660740</v>
        <stp/>
        <stp>BDP|14706103890893976265</stp>
        <tr r="K46" s="2"/>
      </tp>
      <tp t="s">
        <v>#N/A Requesting Data...2766906537</v>
        <stp/>
        <stp>BDP|17281284683156913685</stp>
        <tr r="M1633" s="2"/>
      </tp>
      <tp t="s">
        <v>#N/A Requesting Data...2296389550</v>
        <stp/>
        <stp>BDP|14692862464190813743</stp>
        <tr r="E2508" s="2"/>
      </tp>
      <tp t="s">
        <v>#N/A Requesting Data...1054661285</v>
        <stp/>
        <stp>BDP|14704921140930408490</stp>
        <tr r="R1742" s="2"/>
      </tp>
      <tp t="s">
        <v>#N/A Requesting Data...3575563220</v>
        <stp/>
        <stp>BDP|15083981036681322355</stp>
        <tr r="T219" s="2"/>
      </tp>
      <tp t="s">
        <v>#N/A Requesting Data...2302478017</v>
        <stp/>
        <stp>BDP|18323887886520598501</stp>
        <tr r="S720" s="2"/>
      </tp>
      <tp t="s">
        <v>#N/A Requesting Data...3729368334</v>
        <stp/>
        <stp>BDP|18426689273506216257</stp>
        <tr r="H193" s="2"/>
      </tp>
      <tp t="s">
        <v>#N/A Requesting Data...692872650</v>
        <stp/>
        <stp>BDP|11996876844605500576</stp>
        <tr r="K1347" s="2"/>
      </tp>
      <tp t="s">
        <v>#N/A Requesting Data...794184328</v>
        <stp/>
        <stp>BDP|13806980128604590150</stp>
        <tr r="S704" s="2"/>
      </tp>
      <tp t="s">
        <v>#N/A Requesting Data...3118738777</v>
        <stp/>
        <stp>BDP|16097542418339760631</stp>
        <tr r="T671" s="2"/>
      </tp>
      <tp t="s">
        <v>#N/A Requesting Data...3967334393</v>
        <stp/>
        <stp>BDP|18268753608040486233</stp>
        <tr r="T556" s="2"/>
      </tp>
      <tp t="s">
        <v>#N/A Requesting Data...2483481933</v>
        <stp/>
        <stp>BDP|13151385257848409026</stp>
        <tr r="H473" s="2"/>
      </tp>
      <tp t="s">
        <v>#N/A Requesting Data...1237944464</v>
        <stp/>
        <stp>BDP|13664657197776881740</stp>
        <tr r="N475" s="2"/>
      </tp>
      <tp t="s">
        <v>#N/A Requesting Data...815669875</v>
        <stp/>
        <stp>BDP|14828494135356801848</stp>
        <tr r="M1976" s="2"/>
      </tp>
      <tp t="s">
        <v>#N/A Requesting Data...3847758025</v>
        <stp/>
        <stp>BDP|15954827212842908387</stp>
        <tr r="Q1138" s="2"/>
      </tp>
      <tp t="s">
        <v>#N/A Requesting Data...710128338</v>
        <stp/>
        <stp>BDP|13650359704664940963</stp>
        <tr r="D1951" s="2"/>
      </tp>
      <tp t="s">
        <v>#N/A Requesting Data...4214174233</v>
        <stp/>
        <stp>BDP|12593242099253429747</stp>
        <tr r="H913" s="2"/>
      </tp>
      <tp t="s">
        <v>#N/A Requesting Data...1464223402</v>
        <stp/>
        <stp>BDP|13918142143998536335</stp>
        <tr r="F1488" s="2"/>
      </tp>
      <tp t="s">
        <v>#N/A Requesting Data...4025318977</v>
        <stp/>
        <stp>BDP|17936993242541896620</stp>
        <tr r="F1071" s="2"/>
      </tp>
      <tp t="s">
        <v>#N/A Requesting Data...2200578911</v>
        <stp/>
        <stp>BDP|16793888007175494645</stp>
        <tr r="F1224" s="2"/>
      </tp>
      <tp t="s">
        <v>#N/A Requesting Data...2205227093</v>
        <stp/>
        <stp>BDP|16047645242981633888</stp>
        <tr r="J1757" s="2"/>
      </tp>
      <tp t="s">
        <v>#N/A Requesting Data...2425994100</v>
        <stp/>
        <stp>BDP|11281410844764657899</stp>
        <tr r="A2035" s="2"/>
      </tp>
      <tp t="s">
        <v>#N/A Requesting Data...3418797610</v>
        <stp/>
        <stp>BDP|15299550578018687212</stp>
        <tr r="O318" s="2"/>
      </tp>
      <tp t="s">
        <v>#N/A Requesting Data...3744299662</v>
        <stp/>
        <stp>BDP|11433895225616617062</stp>
        <tr r="N1484" s="2"/>
      </tp>
      <tp t="s">
        <v>#N/A Requesting Data...3998995770</v>
        <stp/>
        <stp>BDP|12921008689844054384</stp>
        <tr r="E812" s="2"/>
      </tp>
      <tp t="s">
        <v>#N/A Requesting Data...750568377</v>
        <stp/>
        <stp>BDP|17377477064200876806</stp>
        <tr r="G1190" s="2"/>
      </tp>
      <tp t="s">
        <v>#N/A Requesting Data...1519450463</v>
        <stp/>
        <stp>BDP|10237370809557631927</stp>
        <tr r="F369" s="2"/>
      </tp>
      <tp t="b">
        <v>0</v>
        <stp/>
        <stp>BDS|17670950528926443748</stp>
        <tr r="I357" s="2"/>
      </tp>
      <tp t="s">
        <v>#N/A Requesting Data...1026532535</v>
        <stp/>
        <stp>BDP|14940964606833282332</stp>
        <tr r="Q1319" s="2"/>
      </tp>
      <tp t="s">
        <v>#N/A Requesting Data...4052577361</v>
        <stp/>
        <stp>BDP|10221988642467188717</stp>
        <tr r="P2421" s="2"/>
      </tp>
      <tp t="s">
        <v>#N/A Requesting Data...999727901</v>
        <stp/>
        <stp>BDP|12700813042592530194</stp>
        <tr r="Q1203" s="2"/>
      </tp>
      <tp t="s">
        <v>#N/A Requesting Data...375653365</v>
        <stp/>
        <stp>BDP|13895400730599482045</stp>
        <tr r="K93" s="2"/>
      </tp>
      <tp t="s">
        <v>#N/A Requesting Data...1295493567</v>
        <stp/>
        <stp>BDP|18314990995350203553</stp>
        <tr r="O2532" s="2"/>
      </tp>
      <tp t="s">
        <v>#N/A Requesting Data...2381924627</v>
        <stp/>
        <stp>BDP|14677275216043614992</stp>
        <tr r="P2418" s="2"/>
      </tp>
      <tp t="s">
        <v>#N/A Requesting Data...3524635181</v>
        <stp/>
        <stp>BDP|15050765487205140287</stp>
        <tr r="S1355" s="2"/>
      </tp>
      <tp t="s">
        <v>#N/A Requesting Data...1593770379</v>
        <stp/>
        <stp>BDP|16814055359527935953</stp>
        <tr r="D728" s="2"/>
      </tp>
      <tp t="s">
        <v>#N/A Requesting Data...2838977610</v>
        <stp/>
        <stp>BDP|17833831764274343045</stp>
        <tr r="Q1043" s="2"/>
      </tp>
      <tp t="s">
        <v>#N/A Requesting Data...778186044</v>
        <stp/>
        <stp>BDP|10230029701629984404</stp>
        <tr r="C1796" s="2"/>
      </tp>
      <tp t="s">
        <v>#N/A Requesting Data...2128707350</v>
        <stp/>
        <stp>BDP|15725254006702946855</stp>
        <tr r="Q608" s="2"/>
      </tp>
      <tp t="s">
        <v>#N/A Requesting Data...1659542059</v>
        <stp/>
        <stp>BDP|15933964447557651267</stp>
        <tr r="P169" s="2"/>
      </tp>
      <tp t="s">
        <v>#N/A Requesting Data...1769226109</v>
        <stp/>
        <stp>BDP|12362085450059251316</stp>
        <tr r="K998" s="2"/>
      </tp>
      <tp t="s">
        <v>#N/A Requesting Data...4172762639</v>
        <stp/>
        <stp>BDP|14060381677869405438</stp>
        <tr r="K1095" s="2"/>
      </tp>
      <tp t="s">
        <v>#N/A Requesting Data...2909111218</v>
        <stp/>
        <stp>BDP|16656777189760175415</stp>
        <tr r="K700" s="2"/>
      </tp>
      <tp t="s">
        <v>#N/A Requesting Data...2141919230</v>
        <stp/>
        <stp>BDP|13325094160138660046</stp>
        <tr r="M958" s="2"/>
      </tp>
      <tp t="s">
        <v>#N/A Requesting Data...3639784849</v>
        <stp/>
        <stp>BDP|16478876690393800935</stp>
        <tr r="R1629" s="2"/>
      </tp>
      <tp t="s">
        <v>#N/A Requesting Data...3156927720</v>
        <stp/>
        <stp>BDP|16660301109010416831</stp>
        <tr r="N2116" s="2"/>
      </tp>
      <tp t="s">
        <v>#N/A Requesting Data...1165436293</v>
        <stp/>
        <stp>BDP|12079260903628903546</stp>
        <tr r="P1921" s="2"/>
      </tp>
      <tp t="b">
        <v>0</v>
        <stp/>
        <stp>BDS|12134806061502907326</stp>
        <tr r="I812" s="2"/>
      </tp>
      <tp t="s">
        <v>#N/A Requesting Data...3954012502</v>
        <stp/>
        <stp>BDP|10910976462206220462</stp>
        <tr r="D1091" s="2"/>
      </tp>
      <tp t="s">
        <v>#N/A Requesting Data...1979664909</v>
        <stp/>
        <stp>BDP|11683089436688654766</stp>
        <tr r="R1052" s="2"/>
      </tp>
      <tp t="s">
        <v>#N/A Requesting Data...689932196</v>
        <stp/>
        <stp>BDP|11429376552952977831</stp>
        <tr r="M2185" s="2"/>
      </tp>
      <tp t="s">
        <v>#N/A Requesting Data...1275343987</v>
        <stp/>
        <stp>BDP|10290882715103232762</stp>
        <tr r="H2304" s="2"/>
      </tp>
      <tp t="s">
        <v>#N/A Requesting Data...1626760105</v>
        <stp/>
        <stp>BDP|16333407422409232488</stp>
        <tr r="K222" s="2"/>
      </tp>
      <tp t="s">
        <v>#N/A Requesting Data...2791050124</v>
        <stp/>
        <stp>BDP|16134846432025485586</stp>
        <tr r="S1736" s="2"/>
      </tp>
      <tp t="s">
        <v>#N/A Requesting Data...1320472822</v>
        <stp/>
        <stp>BDP|11296234463100073890</stp>
        <tr r="M1228" s="2"/>
      </tp>
      <tp t="s">
        <v>#N/A Requesting Data...1557145916</v>
        <stp/>
        <stp>BDP|17838316041189191426</stp>
        <tr r="F1057" s="2"/>
      </tp>
      <tp t="s">
        <v>#N/A Requesting Data...3682347292</v>
        <stp/>
        <stp>BDP|14917159493103630221</stp>
        <tr r="O516" s="2"/>
      </tp>
      <tp t="s">
        <v>#N/A Requesting Data...1451227304</v>
        <stp/>
        <stp>BDP|14669732089254481234</stp>
        <tr r="C1222" s="2"/>
      </tp>
      <tp t="s">
        <v>#N/A Requesting Data...921539616</v>
        <stp/>
        <stp>BDP|17435280106881482959</stp>
        <tr r="C2314" s="2"/>
      </tp>
      <tp t="s">
        <v>#N/A Requesting Data...3812968807</v>
        <stp/>
        <stp>BDP|17856449850502564925</stp>
        <tr r="N40" s="2"/>
      </tp>
      <tp t="s">
        <v>#N/A Requesting Data...1059886019</v>
        <stp/>
        <stp>BDP|14009598623428558643</stp>
        <tr r="R719" s="2"/>
      </tp>
      <tp t="s">
        <v>#N/A Requesting Data...3682386028</v>
        <stp/>
        <stp>BDP|12173525154776971958</stp>
        <tr r="J2102" s="2"/>
      </tp>
      <tp t="s">
        <v>#N/A Requesting Data...1433788013</v>
        <stp/>
        <stp>BDP|17604175199104084636</stp>
        <tr r="H1632" s="2"/>
      </tp>
      <tp t="s">
        <v>#N/A Requesting Data...947806937</v>
        <stp/>
        <stp>BDP|12000210041921211892</stp>
        <tr r="R581" s="2"/>
      </tp>
      <tp t="s">
        <v>#N/A Requesting Data...702142783</v>
        <stp/>
        <stp>BDP|11310688139200068994</stp>
        <tr r="Q1216" s="2"/>
      </tp>
      <tp t="s">
        <v>#N/A Requesting Data...2347917356</v>
        <stp/>
        <stp>BDP|10628206480402817558</stp>
        <tr r="F887" s="2"/>
      </tp>
      <tp t="s">
        <v>#N/A Requesting Data...4043219910</v>
        <stp/>
        <stp>BDP|12037898126663124656</stp>
        <tr r="N210" s="2"/>
      </tp>
      <tp t="s">
        <v>#N/A Requesting Data...944167140</v>
        <stp/>
        <stp>BDP|10275904743323397390</stp>
        <tr r="D827" s="2"/>
      </tp>
      <tp t="s">
        <v>#N/A Requesting Data...4279986871</v>
        <stp/>
        <stp>BDP|13572263468989668362</stp>
        <tr r="E1297" s="2"/>
      </tp>
      <tp t="s">
        <v>#N/A Requesting Data...378472099</v>
        <stp/>
        <stp>BDP|11850495718911137833</stp>
        <tr r="G1382" s="2"/>
      </tp>
      <tp t="s">
        <v>#N/A Requesting Data...3486519336</v>
        <stp/>
        <stp>BDP|11344205758618890387</stp>
        <tr r="N806" s="2"/>
      </tp>
      <tp t="s">
        <v>#N/A Requesting Data...2639855782</v>
        <stp/>
        <stp>BDP|15608358089577942481</stp>
        <tr r="F2413" s="2"/>
      </tp>
      <tp t="s">
        <v>#N/A Requesting Data...802239710</v>
        <stp/>
        <stp>BDP|17547202794945958432</stp>
        <tr r="M1014" s="2"/>
      </tp>
      <tp t="s">
        <v>#N/A Requesting Data...4069629234</v>
        <stp/>
        <stp>BDP|12376967500581854768</stp>
        <tr r="K1801" s="2"/>
      </tp>
      <tp t="s">
        <v>#N/A Requesting Data...3865087876</v>
        <stp/>
        <stp>BDP|13922426271888501544</stp>
        <tr r="D564" s="2"/>
      </tp>
      <tp t="s">
        <v>#N/A Requesting Data...3712446540</v>
        <stp/>
        <stp>BDP|12719639924113352883</stp>
        <tr r="P863" s="2"/>
      </tp>
      <tp t="s">
        <v>#N/A Requesting Data...3320904241</v>
        <stp/>
        <stp>BDP|11387786241227065815</stp>
        <tr r="A499" s="2"/>
      </tp>
      <tp t="s">
        <v>#N/A Requesting Data...4075785765</v>
        <stp/>
        <stp>BDP|14829313479625913828</stp>
        <tr r="J473" s="2"/>
      </tp>
      <tp t="s">
        <v>#N/A Requesting Data...808128011</v>
        <stp/>
        <stp>BDP|15685386804158642375</stp>
        <tr r="S346" s="2"/>
      </tp>
      <tp t="s">
        <v>#N/A Requesting Data...1686283177</v>
        <stp/>
        <stp>BDP|13923861270625187453</stp>
        <tr r="C35" s="2"/>
      </tp>
      <tp t="s">
        <v>#N/A Requesting Data...282699156</v>
        <stp/>
        <stp>BDP|18005083556128683834</stp>
        <tr r="R761" s="2"/>
      </tp>
      <tp t="s">
        <v>#N/A Requesting Data...1466731676</v>
        <stp/>
        <stp>BDP|12423998802962561418</stp>
        <tr r="K603" s="2"/>
      </tp>
      <tp t="s">
        <v>#N/A Requesting Data...1080533365</v>
        <stp/>
        <stp>BDP|13869877071701730028</stp>
        <tr r="Q238" s="2"/>
      </tp>
      <tp t="s">
        <v>#N/A Requesting Data...645645447</v>
        <stp/>
        <stp>BDP|12671737110838827167</stp>
        <tr r="N2134" s="2"/>
      </tp>
      <tp t="s">
        <v>#N/A Requesting Data...554397631</v>
        <stp/>
        <stp>BDP|15388091999302145393</stp>
        <tr r="P1946" s="2"/>
      </tp>
      <tp t="s">
        <v>#N/A Requesting Data...1312395902</v>
        <stp/>
        <stp>BDP|17992812753744115310</stp>
        <tr r="O2307" s="2"/>
      </tp>
      <tp t="s">
        <v>#N/A Requesting Data...2291885481</v>
        <stp/>
        <stp>BDP|11879790992712842009</stp>
        <tr r="G1088" s="2"/>
      </tp>
      <tp t="s">
        <v>#N/A Requesting Data...4185047614</v>
        <stp/>
        <stp>BDP|16867747699026687385</stp>
        <tr r="J997" s="2"/>
      </tp>
      <tp t="b">
        <v>0</v>
        <stp/>
        <stp>BDS|13489473150668983726</stp>
        <tr r="I811" s="2"/>
      </tp>
      <tp t="s">
        <v>#N/A Requesting Data...3881665920</v>
        <stp/>
        <stp>BDP|12376526002392800801</stp>
        <tr r="Q1530" s="2"/>
      </tp>
      <tp t="s">
        <v>#N/A Requesting Data...1640324027</v>
        <stp/>
        <stp>BDP|12220744785360107096</stp>
        <tr r="R295" s="2"/>
      </tp>
      <tp t="s">
        <v>#N/A Requesting Data...1224277812</v>
        <stp/>
        <stp>BDP|10208966021616858066</stp>
        <tr r="S1519" s="2"/>
      </tp>
      <tp t="s">
        <v>#N/A Requesting Data...2722288380</v>
        <stp/>
        <stp>BDP|16634353239553953883</stp>
        <tr r="J2275" s="2"/>
      </tp>
      <tp t="s">
        <v>#N/A Requesting Data...3357190062</v>
        <stp/>
        <stp>BDP|14085010950009393593</stp>
        <tr r="C1484" s="2"/>
      </tp>
      <tp t="s">
        <v>#N/A Requesting Data...2157231632</v>
        <stp/>
        <stp>BDP|10404014435376972822</stp>
        <tr r="D220" s="2"/>
      </tp>
      <tp t="s">
        <v>#N/A Requesting Data...1885614069</v>
        <stp/>
        <stp>BDP|14834824495539480108</stp>
        <tr r="D2162" s="2"/>
      </tp>
      <tp t="s">
        <v>#N/A Requesting Data...2378025392</v>
        <stp/>
        <stp>BDP|17212067711548633382</stp>
        <tr r="D225" s="2"/>
      </tp>
      <tp t="s">
        <v>#N/A Requesting Data...1066180883</v>
        <stp/>
        <stp>BDP|18358657661700955551</stp>
        <tr r="Q2226" s="2"/>
      </tp>
      <tp t="s">
        <v>#N/A Requesting Data...3229336745</v>
        <stp/>
        <stp>BDP|13279363561732635981</stp>
        <tr r="O2118" s="2"/>
      </tp>
      <tp t="s">
        <v>#N/A Requesting Data...352846566</v>
        <stp/>
        <stp>BDP|10625127008025242950</stp>
        <tr r="K1680" s="2"/>
      </tp>
      <tp t="s">
        <v>#N/A Requesting Data...1233402623</v>
        <stp/>
        <stp>BDP|18237194440649690969</stp>
        <tr r="K137" s="2"/>
      </tp>
      <tp t="s">
        <v>#N/A Requesting Data...3491229690</v>
        <stp/>
        <stp>BDP|14951512246611010951</stp>
        <tr r="M228" s="2"/>
      </tp>
      <tp t="s">
        <v>#N/A Requesting Data...3519809814</v>
        <stp/>
        <stp>BDP|15126937318963041319</stp>
        <tr r="J411" s="2"/>
      </tp>
      <tp t="s">
        <v>#N/A Requesting Data...374569548</v>
        <stp/>
        <stp>BDP|14182054959335767919</stp>
        <tr r="R2416" s="2"/>
      </tp>
      <tp t="s">
        <v>#N/A Requesting Data...3581476649</v>
        <stp/>
        <stp>BDP|13417423448789105745</stp>
        <tr r="T505" s="2"/>
      </tp>
      <tp t="s">
        <v>#N/A Requesting Data...4127413996</v>
        <stp/>
        <stp>BDP|14373147461267478995</stp>
        <tr r="E454" s="2"/>
      </tp>
      <tp t="s">
        <v>#N/A Requesting Data...3182682702</v>
        <stp/>
        <stp>BDP|10064564184876988602</stp>
        <tr r="S2322" s="2"/>
      </tp>
      <tp t="s">
        <v>#N/A Requesting Data...1100874704</v>
        <stp/>
        <stp>BDP|15985366083192289157</stp>
        <tr r="K2301" s="2"/>
      </tp>
      <tp t="s">
        <v>#N/A Requesting Data...805398297</v>
        <stp/>
        <stp>BDP|15240241606103201994</stp>
        <tr r="R531" s="2"/>
      </tp>
      <tp t="s">
        <v>#N/A Requesting Data...2883820178</v>
        <stp/>
        <stp>BDP|12970229641280288934</stp>
        <tr r="A1628" s="2"/>
      </tp>
      <tp t="s">
        <v>#N/A Requesting Data...4177249117</v>
        <stp/>
        <stp>BDP|16236890945025149240</stp>
        <tr r="Q2438" s="2"/>
      </tp>
      <tp t="s">
        <v>#N/A Requesting Data...393400201</v>
        <stp/>
        <stp>BDP|17710585692911292742</stp>
        <tr r="R1033" s="2"/>
      </tp>
      <tp t="b">
        <v>0</v>
        <stp/>
        <stp>BDS|14704988326660502248</stp>
        <tr r="I788" s="2"/>
      </tp>
      <tp t="s">
        <v>#N/A Requesting Data...2051899298</v>
        <stp/>
        <stp>BDP|14310626880231929631</stp>
        <tr r="A555" s="2"/>
      </tp>
      <tp t="s">
        <v>#N/A Requesting Data...1597877652</v>
        <stp/>
        <stp>BDP|17848557701999244658</stp>
        <tr r="A917" s="2"/>
      </tp>
      <tp t="s">
        <v>#N/A Requesting Data...1478476091</v>
        <stp/>
        <stp>BDP|18398574137950043385</stp>
        <tr r="K794" s="2"/>
      </tp>
      <tp t="s">
        <v>#N/A Requesting Data...2636722957</v>
        <stp/>
        <stp>BDP|12973153795592476563</stp>
        <tr r="R759" s="2"/>
      </tp>
      <tp t="s">
        <v>#N/A Requesting Data...1784669993</v>
        <stp/>
        <stp>BDP|16589263985692515388</stp>
        <tr r="T226" s="2"/>
      </tp>
      <tp t="s">
        <v>#N/A Requesting Data...1227810834</v>
        <stp/>
        <stp>BDP|18269350769169306963</stp>
        <tr r="E1824" s="2"/>
      </tp>
      <tp t="s">
        <v>#N/A Requesting Data...1747331348</v>
        <stp/>
        <stp>BDP|12961461256619217704</stp>
        <tr r="M2028" s="2"/>
      </tp>
      <tp t="s">
        <v>#N/A Requesting Data...1067162717</v>
        <stp/>
        <stp>BDP|10353631686051894259</stp>
        <tr r="O1444" s="2"/>
      </tp>
      <tp t="s">
        <v>#N/A Requesting Data...1312560228</v>
        <stp/>
        <stp>BDP|14731737568918512028</stp>
        <tr r="S363" s="2"/>
      </tp>
      <tp t="s">
        <v>#N/A Requesting Data...3693480666</v>
        <stp/>
        <stp>BDP|16984253380458125969</stp>
        <tr r="P1486" s="2"/>
      </tp>
      <tp t="s">
        <v>#N/A Requesting Data...3739216956</v>
        <stp/>
        <stp>BDP|13447922244750970302</stp>
        <tr r="K1763" s="2"/>
      </tp>
      <tp t="s">
        <v>#N/A Requesting Data...3087182442</v>
        <stp/>
        <stp>BDP|15122620224768574496</stp>
        <tr r="C1005" s="2"/>
      </tp>
      <tp t="s">
        <v>#N/A Requesting Data...1626979776</v>
        <stp/>
        <stp>BDP|12936306971022590976</stp>
        <tr r="H593" s="2"/>
      </tp>
      <tp t="s">
        <v>#N/A Requesting Data...3119726368</v>
        <stp/>
        <stp>BDP|17139989331672064220</stp>
        <tr r="D406" s="2"/>
      </tp>
      <tp t="s">
        <v>#N/A Requesting Data...1713016840</v>
        <stp/>
        <stp>BDP|11451360689371244638</stp>
        <tr r="R2199" s="2"/>
      </tp>
      <tp t="s">
        <v>#N/A Requesting Data...1345500067</v>
        <stp/>
        <stp>BDP|13162039537308940562</stp>
        <tr r="M1350" s="2"/>
      </tp>
      <tp t="s">
        <v>#N/A Requesting Data...1213902440</v>
        <stp/>
        <stp>BDP|14791069481508362999</stp>
        <tr r="C913" s="2"/>
      </tp>
      <tp t="s">
        <v>#N/A Requesting Data...4204751174</v>
        <stp/>
        <stp>BDP|14656487804095106818</stp>
        <tr r="Q2101" s="2"/>
      </tp>
      <tp t="s">
        <v>#N/A Requesting Data...1102735780</v>
        <stp/>
        <stp>BDP|10257860833402981440</stp>
        <tr r="R2381" s="2"/>
      </tp>
      <tp t="b">
        <v>0</v>
        <stp/>
        <stp>BDS|14495393984355897789</stp>
        <tr r="I685" s="2"/>
      </tp>
      <tp t="s">
        <v>#N/A Requesting Data...2424633717</v>
        <stp/>
        <stp>BDP|13936988558327654555</stp>
        <tr r="H896" s="2"/>
      </tp>
      <tp t="s">
        <v>#N/A Requesting Data...2898035969</v>
        <stp/>
        <stp>BDP|14932869220350054354</stp>
        <tr r="G1865" s="2"/>
      </tp>
      <tp t="s">
        <v>#N/A Requesting Data...3750826601</v>
        <stp/>
        <stp>BDP|12166498832398004005</stp>
        <tr r="F1176" s="2"/>
      </tp>
      <tp t="s">
        <v>#N/A Requesting Data...3386771265</v>
        <stp/>
        <stp>BDP|12426815629981436422</stp>
        <tr r="F870" s="2"/>
      </tp>
      <tp t="s">
        <v>#N/A Requesting Data...1307490682</v>
        <stp/>
        <stp>BDP|13431955624566758389</stp>
        <tr r="K1106" s="2"/>
      </tp>
      <tp t="s">
        <v>#N/A Requesting Data...2062439784</v>
        <stp/>
        <stp>BDP|16822389906221800946</stp>
        <tr r="P2101" s="2"/>
      </tp>
      <tp t="s">
        <v>#N/A Requesting Data...1051429391</v>
        <stp/>
        <stp>BDP|13087881554604194779</stp>
        <tr r="O1809" s="2"/>
      </tp>
      <tp t="s">
        <v>#N/A Requesting Data...1715586659</v>
        <stp/>
        <stp>BDP|15259780740842379935</stp>
        <tr r="Q1259" s="2"/>
      </tp>
      <tp t="s">
        <v>#N/A Requesting Data...1673722348</v>
        <stp/>
        <stp>BDP|15034048671938983765</stp>
        <tr r="T1026" s="2"/>
      </tp>
      <tp t="b">
        <v>0</v>
        <stp/>
        <stp>BDS|15082376109252774904</stp>
        <tr r="I1537" s="2"/>
      </tp>
      <tp t="s">
        <v>#N/A Requesting Data...617903944</v>
        <stp/>
        <stp>BDP|12021346595746384385</stp>
        <tr r="P155" s="2"/>
      </tp>
      <tp t="s">
        <v>#N/A Requesting Data...1986552537</v>
        <stp/>
        <stp>BDP|17026756016239811519</stp>
        <tr r="O898" s="2"/>
      </tp>
      <tp t="s">
        <v>#N/A Requesting Data...2712537980</v>
        <stp/>
        <stp>BDP|18335714663804892038</stp>
        <tr r="F768" s="2"/>
      </tp>
      <tp t="s">
        <v>#N/A Requesting Data...2315598150</v>
        <stp/>
        <stp>BDP|15922091092296054789</stp>
        <tr r="H1667" s="2"/>
      </tp>
      <tp t="b">
        <v>0</v>
        <stp/>
        <stp>BDS|15895224523858090001</stp>
        <tr r="I2135" s="2"/>
      </tp>
      <tp t="s">
        <v>#N/A Requesting Data...3878767292</v>
        <stp/>
        <stp>BDP|10941149434759256612</stp>
        <tr r="Q2523" s="2"/>
      </tp>
      <tp t="s">
        <v>#N/A Requesting Data...2605350004</v>
        <stp/>
        <stp>BDP|11684580645855096814</stp>
        <tr r="S1140" s="2"/>
      </tp>
      <tp t="s">
        <v>#N/A Requesting Data...4184919857</v>
        <stp/>
        <stp>BDP|11582886628336659094</stp>
        <tr r="N1436" s="2"/>
      </tp>
      <tp t="s">
        <v>#N/A Requesting Data...3959708012</v>
        <stp/>
        <stp>BDP|15627570288521429479</stp>
        <tr r="J173" s="2"/>
      </tp>
      <tp t="b">
        <v>0</v>
        <stp/>
        <stp>BDS|14662378948848631669</stp>
        <tr r="I1731" s="2"/>
      </tp>
      <tp t="s">
        <v>#N/A Requesting Data...2573007906</v>
        <stp/>
        <stp>BDP|10996021292602213613</stp>
        <tr r="F193" s="2"/>
      </tp>
      <tp t="s">
        <v>#N/A Requesting Data...3811146240</v>
        <stp/>
        <stp>BDP|15012951509526093760</stp>
        <tr r="H1212" s="2"/>
      </tp>
      <tp t="s">
        <v>#N/A Requesting Data...1537065613</v>
        <stp/>
        <stp>BDP|14786431188160673503</stp>
        <tr r="R195" s="2"/>
      </tp>
      <tp t="s">
        <v>#N/A Requesting Data...1149537158</v>
        <stp/>
        <stp>BDP|13447888525374589064</stp>
        <tr r="T2350" s="2"/>
      </tp>
      <tp t="s">
        <v>#N/A Requesting Data...936773510</v>
        <stp/>
        <stp>BDP|16935304837169115254</stp>
        <tr r="A719" s="2"/>
      </tp>
      <tp t="s">
        <v>#N/A Requesting Data...1214389682</v>
        <stp/>
        <stp>BDP|14973641812649436710</stp>
        <tr r="F1992" s="2"/>
      </tp>
      <tp t="s">
        <v>#N/A Requesting Data...3359228423</v>
        <stp/>
        <stp>BDP|18270083426066667101</stp>
        <tr r="R1113" s="2"/>
      </tp>
      <tp t="s">
        <v>#N/A Requesting Data...2895716312</v>
        <stp/>
        <stp>BDP|17984949222983739228</stp>
        <tr r="E111" s="2"/>
      </tp>
      <tp t="s">
        <v>#N/A Requesting Data...2071462675</v>
        <stp/>
        <stp>BDP|12078488227121258878</stp>
        <tr r="P2233" s="2"/>
      </tp>
      <tp t="s">
        <v>#N/A Requesting Data...2823707305</v>
        <stp/>
        <stp>BDP|13735027594877998027</stp>
        <tr r="H2000" s="2"/>
      </tp>
      <tp t="s">
        <v>#N/A Requesting Data...1276675157</v>
        <stp/>
        <stp>BDP|13291434568844059832</stp>
        <tr r="D2522" s="2"/>
      </tp>
      <tp t="s">
        <v>#N/A Requesting Data...1668051989</v>
        <stp/>
        <stp>BDP|15447280146766538852</stp>
        <tr r="J47" s="2"/>
      </tp>
      <tp t="s">
        <v>#N/A Requesting Data...803554158</v>
        <stp/>
        <stp>BDP|15410603398284629300</stp>
        <tr r="R2183" s="2"/>
      </tp>
      <tp t="s">
        <v>#N/A Requesting Data...3565410690</v>
        <stp/>
        <stp>BDP|13893337483095075028</stp>
        <tr r="J306" s="2"/>
      </tp>
      <tp t="s">
        <v>#N/A Requesting Data...1613219004</v>
        <stp/>
        <stp>BDP|11022793929379956037</stp>
        <tr r="H1729" s="2"/>
      </tp>
      <tp t="s">
        <v>#N/A Requesting Data...3692140830</v>
        <stp/>
        <stp>BDP|14602216553748797698</stp>
        <tr r="S599" s="2"/>
      </tp>
      <tp t="s">
        <v>#N/A Requesting Data...1809084673</v>
        <stp/>
        <stp>BDP|15753901400450960146</stp>
        <tr r="M465" s="2"/>
      </tp>
      <tp t="s">
        <v>#N/A Requesting Data...874865741</v>
        <stp/>
        <stp>BDP|17979063184331519346</stp>
        <tr r="Q2013" s="2"/>
      </tp>
      <tp t="s">
        <v>#N/A Requesting Data...1790295534</v>
        <stp/>
        <stp>BDP|18307905208728152400</stp>
        <tr r="R871" s="2"/>
      </tp>
      <tp t="s">
        <v>#N/A Requesting Data...2048520635</v>
        <stp/>
        <stp>BDP|18405592760566707000</stp>
        <tr r="H144" s="2"/>
      </tp>
      <tp t="s">
        <v>#N/A Requesting Data...3082672799</v>
        <stp/>
        <stp>BDP|17153890969735927126</stp>
        <tr r="K295" s="2"/>
      </tp>
      <tp t="s">
        <v>#N/A Requesting Data...4251087242</v>
        <stp/>
        <stp>BDP|17313342484094804515</stp>
        <tr r="D1151" s="2"/>
      </tp>
      <tp t="s">
        <v>#N/A Requesting Data...569195468</v>
        <stp/>
        <stp>BDP|15854146637848052218</stp>
        <tr r="Q1498" s="2"/>
      </tp>
      <tp t="s">
        <v>#N/A Requesting Data...3847657131</v>
        <stp/>
        <stp>BDP|12896237282630098534</stp>
        <tr r="H697" s="2"/>
      </tp>
      <tp t="s">
        <v>#N/A Requesting Data...1876890202</v>
        <stp/>
        <stp>BDP|13187851360130948079</stp>
        <tr r="O1755" s="2"/>
      </tp>
      <tp t="s">
        <v>#N/A Requesting Data...2858116004</v>
        <stp/>
        <stp>BDP|11046425429723601973</stp>
        <tr r="G1935" s="2"/>
      </tp>
      <tp t="s">
        <v>#N/A Requesting Data...2990946435</v>
        <stp/>
        <stp>BDP|10836845661862124169</stp>
        <tr r="P2353" s="2"/>
      </tp>
      <tp t="s">
        <v>#N/A Requesting Data...1867884305</v>
        <stp/>
        <stp>BDP|14665482091873780720</stp>
        <tr r="F376" s="2"/>
      </tp>
      <tp t="s">
        <v>#N/A Requesting Data...3317356974</v>
        <stp/>
        <stp>BDP|17409415692033987436</stp>
        <tr r="Q1569" s="2"/>
      </tp>
      <tp t="s">
        <v>#N/A Requesting Data...1856215338</v>
        <stp/>
        <stp>BDP|14044583227569707759</stp>
        <tr r="R250" s="2"/>
      </tp>
      <tp t="s">
        <v>#N/A Requesting Data...2445320088</v>
        <stp/>
        <stp>BDP|17947515772568167069</stp>
        <tr r="N2439" s="2"/>
      </tp>
      <tp t="s">
        <v>#N/A Requesting Data...3776817288</v>
        <stp/>
        <stp>BDP|15279491135487703849</stp>
        <tr r="N2466" s="2"/>
      </tp>
      <tp t="s">
        <v>#N/A Requesting Data...2326443167</v>
        <stp/>
        <stp>BDP|15467405208908846495</stp>
        <tr r="K258" s="2"/>
      </tp>
      <tp t="s">
        <v>#N/A Requesting Data...2887298627</v>
        <stp/>
        <stp>BDP|15343103909929755001</stp>
        <tr r="H2494" s="2"/>
      </tp>
      <tp t="s">
        <v>#N/A Requesting Data...1206205939</v>
        <stp/>
        <stp>BDP|14868812944156480347</stp>
        <tr r="E296" s="2"/>
      </tp>
      <tp t="s">
        <v>#N/A Requesting Data...1915653287</v>
        <stp/>
        <stp>BDP|10064153894921848442</stp>
        <tr r="D1090" s="2"/>
      </tp>
      <tp t="s">
        <v>#N/A Requesting Data...1744030968</v>
        <stp/>
        <stp>BDP|12812102443953305950</stp>
        <tr r="R1376" s="2"/>
      </tp>
      <tp t="s">
        <v>#N/A Requesting Data...1220516877</v>
        <stp/>
        <stp>BDP|13380622332002825962</stp>
        <tr r="M1091" s="2"/>
      </tp>
      <tp t="s">
        <v>#N/A Requesting Data...1911118690</v>
        <stp/>
        <stp>BDP|11994243037479172463</stp>
        <tr r="Q2212" s="2"/>
      </tp>
      <tp t="s">
        <v>#N/A Requesting Data...2340442257</v>
        <stp/>
        <stp>BDP|11863314787750582767</stp>
        <tr r="E1002" s="2"/>
      </tp>
      <tp t="b">
        <v>0</v>
        <stp/>
        <stp>BDS|17043727897067392383</stp>
        <tr r="I770" s="2"/>
      </tp>
      <tp t="s">
        <v>#N/A Requesting Data...1595499685</v>
        <stp/>
        <stp>BDP|18225486706186850799</stp>
        <tr r="A2054" s="2"/>
      </tp>
      <tp t="s">
        <v>#N/A Requesting Data...2430194973</v>
        <stp/>
        <stp>BDP|16350185550247027869</stp>
        <tr r="H87" s="2"/>
      </tp>
      <tp t="s">
        <v>#N/A Requesting Data...2364149273</v>
        <stp/>
        <stp>BDP|15542819109508780879</stp>
        <tr r="N1648" s="2"/>
      </tp>
      <tp t="s">
        <v>#N/A Requesting Data...3128116514</v>
        <stp/>
        <stp>BDP|18031319197357212890</stp>
        <tr r="Q1819" s="2"/>
      </tp>
      <tp t="s">
        <v>#N/A Requesting Data...4107066445</v>
        <stp/>
        <stp>BDP|11183120485012319786</stp>
        <tr r="J547" s="2"/>
      </tp>
      <tp t="s">
        <v>#N/A Requesting Data...4260203013</v>
        <stp/>
        <stp>BDP|10258852366776885547</stp>
        <tr r="F811" s="2"/>
      </tp>
      <tp t="s">
        <v>#N/A Requesting Data...2485736014</v>
        <stp/>
        <stp>BDP|11900187199813279777</stp>
        <tr r="O1869" s="2"/>
      </tp>
      <tp t="s">
        <v>#N/A Requesting Data...2287384512</v>
        <stp/>
        <stp>BDP|14126100349874261873</stp>
        <tr r="M633" s="2"/>
      </tp>
      <tp t="s">
        <v>#N/A Requesting Data...3362855884</v>
        <stp/>
        <stp>BDP|13166926435897805336</stp>
        <tr r="O1262" s="2"/>
      </tp>
      <tp t="s">
        <v>#N/A Requesting Data...2430994792</v>
        <stp/>
        <stp>BDP|14196672651663918932</stp>
        <tr r="C619" s="2"/>
      </tp>
      <tp t="s">
        <v>#N/A Requesting Data...3374817889</v>
        <stp/>
        <stp>BDP|15665389429679338094</stp>
        <tr r="Q2348" s="2"/>
      </tp>
      <tp t="s">
        <v>#N/A Requesting Data...2626247214</v>
        <stp/>
        <stp>BDP|17059639018209381458</stp>
        <tr r="S46" s="2"/>
      </tp>
      <tp t="s">
        <v>#N/A Requesting Data...1428002452</v>
        <stp/>
        <stp>BDP|12592081990291324736</stp>
        <tr r="J741" s="2"/>
      </tp>
      <tp t="s">
        <v>#N/A Requesting Data...4208315942</v>
        <stp/>
        <stp>BDP|14122746199937220031</stp>
        <tr r="A1048" s="2"/>
      </tp>
      <tp t="s">
        <v>#N/A Requesting Data...1462147582</v>
        <stp/>
        <stp>BDP|12326904644857817521</stp>
        <tr r="F285" s="2"/>
      </tp>
      <tp t="s">
        <v>#N/A Requesting Data...1818032227</v>
        <stp/>
        <stp>BDP|13691380234706361846</stp>
        <tr r="A276" s="2"/>
      </tp>
      <tp t="s">
        <v>#N/A Requesting Data...3531581986</v>
        <stp/>
        <stp>BDP|16566607841788128189</stp>
        <tr r="T82" s="2"/>
      </tp>
      <tp t="b">
        <v>0</v>
        <stp/>
        <stp>BDS|10162935775352183185</stp>
        <tr r="I1034" s="2"/>
      </tp>
      <tp t="s">
        <v>#N/A Requesting Data...2157625695</v>
        <stp/>
        <stp>BDP|10869037229916867972</stp>
        <tr r="D1112" s="2"/>
      </tp>
      <tp t="s">
        <v>#N/A Requesting Data...1213734922</v>
        <stp/>
        <stp>BDP|11763852707896831203</stp>
        <tr r="M269" s="2"/>
      </tp>
      <tp t="s">
        <v>#N/A Requesting Data...843679378</v>
        <stp/>
        <stp>BDP|17927643462193685944</stp>
        <tr r="P939" s="2"/>
      </tp>
      <tp t="s">
        <v>#N/A Requesting Data...3424098517</v>
        <stp/>
        <stp>BDP|10838251040842768970</stp>
        <tr r="M685" s="2"/>
      </tp>
      <tp t="s">
        <v>#N/A Requesting Data...2075968186</v>
        <stp/>
        <stp>BDP|12297738028832173852</stp>
        <tr r="A997" s="2"/>
      </tp>
      <tp t="s">
        <v>#N/A Requesting Data...1014371249</v>
        <stp/>
        <stp>BDP|18155509026624334695</stp>
        <tr r="R1337" s="2"/>
      </tp>
      <tp t="s">
        <v>#N/A Requesting Data...684698103</v>
        <stp/>
        <stp>BDP|17392110898610596225</stp>
        <tr r="M1346" s="2"/>
      </tp>
      <tp t="s">
        <v>#N/A Requesting Data...1181760508</v>
        <stp/>
        <stp>BDP|18432041175690163291</stp>
        <tr r="S469" s="2"/>
      </tp>
      <tp t="s">
        <v>#N/A Requesting Data...2364398399</v>
        <stp/>
        <stp>BDP|11578892720351630776</stp>
        <tr r="H717" s="2"/>
      </tp>
      <tp t="s">
        <v>#N/A Requesting Data...2208693076</v>
        <stp/>
        <stp>BDP|12903442381177512440</stp>
        <tr r="H1294" s="2"/>
      </tp>
      <tp t="s">
        <v>#N/A Requesting Data...1789398452</v>
        <stp/>
        <stp>BDP|12107334775202817925</stp>
        <tr r="D1635" s="2"/>
      </tp>
      <tp t="s">
        <v>#N/A Requesting Data...686756120</v>
        <stp/>
        <stp>BDP|11600185281624023123</stp>
        <tr r="G1696" s="2"/>
      </tp>
      <tp t="s">
        <v>#N/A Requesting Data...2210102134</v>
        <stp/>
        <stp>BDP|14434138798997338613</stp>
        <tr r="K891" s="2"/>
      </tp>
      <tp t="s">
        <v>#N/A Requesting Data...766788152</v>
        <stp/>
        <stp>BDP|16748367654634824906</stp>
        <tr r="K1919" s="2"/>
      </tp>
      <tp t="s">
        <v>#N/A Requesting Data...3128059650</v>
        <stp/>
        <stp>BDP|18332775550072928505</stp>
        <tr r="E1850" s="2"/>
      </tp>
      <tp t="s">
        <v>#N/A Requesting Data...3261845496</v>
        <stp/>
        <stp>BDP|12335895615663531572</stp>
        <tr r="C2255" s="2"/>
      </tp>
      <tp t="s">
        <v>#N/A Requesting Data...3914165346</v>
        <stp/>
        <stp>BDP|15433724169268053121</stp>
        <tr r="E1367" s="2"/>
      </tp>
      <tp t="s">
        <v>#N/A Requesting Data...1775427323</v>
        <stp/>
        <stp>BDP|14895891151824933043</stp>
        <tr r="J2042" s="2"/>
      </tp>
      <tp t="s">
        <v>#N/A Requesting Data...1772016000</v>
        <stp/>
        <stp>BDP|14962005404141932891</stp>
        <tr r="A1462" s="2"/>
      </tp>
      <tp t="s">
        <v>#N/A Requesting Data...2001884810</v>
        <stp/>
        <stp>BDP|15857797772208730093</stp>
        <tr r="K1519" s="2"/>
      </tp>
      <tp t="s">
        <v>#N/A Requesting Data...1310880422</v>
        <stp/>
        <stp>BDP|10525232279170393818</stp>
        <tr r="P1069" s="2"/>
      </tp>
      <tp t="s">
        <v>#N/A Requesting Data...3373718856</v>
        <stp/>
        <stp>BDP|17622062079585031841</stp>
        <tr r="G680" s="2"/>
      </tp>
      <tp t="s">
        <v>#N/A Requesting Data...1850915866</v>
        <stp/>
        <stp>BDP|13443264934277957820</stp>
        <tr r="F1744" s="2"/>
      </tp>
      <tp t="s">
        <v>#N/A Requesting Data...1649791462</v>
        <stp/>
        <stp>BDP|17763525249538128303</stp>
        <tr r="Q1615" s="2"/>
      </tp>
      <tp t="s">
        <v>#N/A Requesting Data...1942715927</v>
        <stp/>
        <stp>BDP|13175485013273164861</stp>
        <tr r="T2334" s="2"/>
      </tp>
      <tp t="s">
        <v>#N/A Requesting Data...3431227611</v>
        <stp/>
        <stp>BDP|14213991025863761148</stp>
        <tr r="P569" s="2"/>
      </tp>
      <tp t="s">
        <v>#N/A Requesting Data...1892358752</v>
        <stp/>
        <stp>BDP|15833698326709899520</stp>
        <tr r="A1262" s="2"/>
      </tp>
      <tp t="s">
        <v>#N/A Requesting Data...1205435436</v>
        <stp/>
        <stp>BDP|14704874860017848055</stp>
        <tr r="C2474" s="2"/>
      </tp>
      <tp t="s">
        <v>#N/A Requesting Data...797362002</v>
        <stp/>
        <stp>BDP|12972513206522225816</stp>
        <tr r="D279" s="2"/>
      </tp>
      <tp t="s">
        <v>#N/A Requesting Data...1053216768</v>
        <stp/>
        <stp>BDP|12590220123737996803</stp>
        <tr r="N675" s="2"/>
      </tp>
      <tp t="s">
        <v>#N/A Requesting Data...3135510652</v>
        <stp/>
        <stp>BDP|14484048648849490415</stp>
        <tr r="T1668" s="2"/>
      </tp>
      <tp t="s">
        <v>#N/A Requesting Data...3950037595</v>
        <stp/>
        <stp>BDP|17314256507250462887</stp>
        <tr r="R1090" s="2"/>
      </tp>
      <tp t="s">
        <v>#N/A Requesting Data...2084494220</v>
        <stp/>
        <stp>BDP|12825724549989641590</stp>
        <tr r="M1511" s="2"/>
      </tp>
      <tp t="b">
        <v>0</v>
        <stp/>
        <stp>BDS|16094995887272252830</stp>
        <tr r="I1693" s="2"/>
      </tp>
      <tp t="s">
        <v>#N/A Requesting Data...3368107627</v>
        <stp/>
        <stp>BDP|13821133785264615349</stp>
        <tr r="H2300" s="2"/>
      </tp>
      <tp t="b">
        <v>0</v>
        <stp/>
        <stp>BDS|17357334457735847909</stp>
        <tr r="I1481" s="2"/>
      </tp>
      <tp t="s">
        <v>#N/A Requesting Data...2284049160</v>
        <stp/>
        <stp>BDP|16964169425478095069</stp>
        <tr r="P1215" s="2"/>
      </tp>
      <tp t="s">
        <v>#N/A Requesting Data...3491030286</v>
        <stp/>
        <stp>BDP|18329384145905431766</stp>
        <tr r="K609" s="2"/>
      </tp>
      <tp t="s">
        <v>#N/A Requesting Data...2616657425</v>
        <stp/>
        <stp>BDP|18299255015343837566</stp>
        <tr r="A817" s="2"/>
      </tp>
      <tp t="s">
        <v>#N/A Requesting Data...771344093</v>
        <stp/>
        <stp>BDP|12922739792423434206</stp>
        <tr r="J1742" s="2"/>
      </tp>
      <tp t="b">
        <v>0</v>
        <stp/>
        <stp>BDS|11327256053193952839</stp>
        <tr r="I2284" s="2"/>
      </tp>
      <tp t="s">
        <v>#N/A Requesting Data...4118889529</v>
        <stp/>
        <stp>BDP|13338204878492381942</stp>
        <tr r="Q2415" s="2"/>
      </tp>
      <tp t="s">
        <v>#N/A Requesting Data...2071833300</v>
        <stp/>
        <stp>BDP|12983241773979609349</stp>
        <tr r="G714" s="2"/>
      </tp>
      <tp t="s">
        <v>#N/A Requesting Data...2975288455</v>
        <stp/>
        <stp>BDP|16315059587147530483</stp>
        <tr r="Q2470" s="2"/>
      </tp>
      <tp t="b">
        <v>0</v>
        <stp/>
        <stp>BDS|17936226634609936299</stp>
        <tr r="I374" s="2"/>
      </tp>
      <tp t="s">
        <v>#N/A Requesting Data...1295256692</v>
        <stp/>
        <stp>BDP|18167172707901953541</stp>
        <tr r="T1861" s="2"/>
      </tp>
      <tp t="s">
        <v>#N/A Requesting Data...3533587010</v>
        <stp/>
        <stp>BDP|12487682575766138846</stp>
        <tr r="A146" s="2"/>
      </tp>
      <tp t="s">
        <v>#N/A Requesting Data...1536327904</v>
        <stp/>
        <stp>BDP|17719592687234410318</stp>
        <tr r="O2308" s="2"/>
      </tp>
      <tp t="s">
        <v>#N/A Requesting Data...3405424098</v>
        <stp/>
        <stp>BDP|12199680610319127140</stp>
        <tr r="Q1240" s="2"/>
      </tp>
      <tp t="s">
        <v>#N/A Requesting Data...2842986167</v>
        <stp/>
        <stp>BDP|13593224018424110920</stp>
        <tr r="C67" s="2"/>
      </tp>
      <tp t="s">
        <v>#N/A Requesting Data...1408454888</v>
        <stp/>
        <stp>BDP|11156920157410904019</stp>
        <tr r="S2305" s="2"/>
      </tp>
      <tp t="s">
        <v>#N/A Requesting Data...4194615312</v>
        <stp/>
        <stp>BDP|10673581182356798673</stp>
        <tr r="E2245" s="2"/>
      </tp>
      <tp t="s">
        <v>#N/A Requesting Data...2508727256</v>
        <stp/>
        <stp>BDP|11250979100986020398</stp>
        <tr r="E388" s="2"/>
      </tp>
      <tp t="s">
        <v>#N/A Requesting Data...1742661920</v>
        <stp/>
        <stp>BDP|11178020478108394340</stp>
        <tr r="K1006" s="2"/>
      </tp>
      <tp t="s">
        <v>#N/A Requesting Data...3178032318</v>
        <stp/>
        <stp>BDP|12331481963889637426</stp>
        <tr r="P1609" s="2"/>
      </tp>
      <tp t="s">
        <v>#N/A Requesting Data...3960459260</v>
        <stp/>
        <stp>BDP|15841229396477334435</stp>
        <tr r="C423" s="2"/>
      </tp>
      <tp t="s">
        <v>#N/A Requesting Data...966789103</v>
        <stp/>
        <stp>BDP|11233986124727492064</stp>
        <tr r="O1816" s="2"/>
      </tp>
      <tp t="s">
        <v>#N/A Requesting Data...833706547</v>
        <stp/>
        <stp>BDP|15248887035273583067</stp>
        <tr r="O530" s="2"/>
      </tp>
      <tp t="s">
        <v>#N/A Requesting Data...1996863920</v>
        <stp/>
        <stp>BDP|15943767586960047750</stp>
        <tr r="H2464" s="2"/>
      </tp>
      <tp t="s">
        <v>#N/A Requesting Data...3534313407</v>
        <stp/>
        <stp>BDP|15287316042428513785</stp>
        <tr r="F1422" s="2"/>
      </tp>
      <tp t="s">
        <v>#N/A Requesting Data...2663257700</v>
        <stp/>
        <stp>BDP|11485988351158292836</stp>
        <tr r="P1471" s="2"/>
      </tp>
      <tp t="s">
        <v>#N/A Requesting Data...2284419587</v>
        <stp/>
        <stp>BDP|15723488592574260137</stp>
        <tr r="G2023" s="2"/>
      </tp>
      <tp t="s">
        <v>#N/A Requesting Data...3006602125</v>
        <stp/>
        <stp>BDP|14138934772932934550</stp>
        <tr r="S1869" s="2"/>
      </tp>
      <tp t="s">
        <v>#N/A Requesting Data...1639386873</v>
        <stp/>
        <stp>BDP|13696403128950678849</stp>
        <tr r="K2271" s="2"/>
      </tp>
      <tp t="s">
        <v>#N/A Requesting Data...3624828985</v>
        <stp/>
        <stp>BDP|11313787668375907868</stp>
        <tr r="M125" s="2"/>
      </tp>
      <tp t="s">
        <v>#N/A Requesting Data...3746965851</v>
        <stp/>
        <stp>BDP|13132192583551016678</stp>
        <tr r="Q2355" s="2"/>
      </tp>
      <tp t="s">
        <v>#N/A Requesting Data...3294002126</v>
        <stp/>
        <stp>BDP|18345949824016638893</stp>
        <tr r="E1442" s="2"/>
      </tp>
      <tp t="s">
        <v>#N/A Requesting Data...3102198414</v>
        <stp/>
        <stp>BDP|14122535698070035569</stp>
        <tr r="P812" s="2"/>
      </tp>
      <tp t="s">
        <v>#N/A Requesting Data...1283508252</v>
        <stp/>
        <stp>BDP|18046408804711813006</stp>
        <tr r="D658" s="2"/>
      </tp>
      <tp t="s">
        <v>#N/A Requesting Data...2410856308</v>
        <stp/>
        <stp>BDP|15016066471028924729</stp>
        <tr r="O851" s="2"/>
      </tp>
      <tp t="s">
        <v>#N/A Requesting Data...1903958261</v>
        <stp/>
        <stp>BDP|13055581813823178967</stp>
        <tr r="Q1318" s="2"/>
      </tp>
      <tp t="s">
        <v>#N/A Requesting Data...1652287245</v>
        <stp/>
        <stp>BDP|18284576072054940326</stp>
        <tr r="N2362" s="2"/>
      </tp>
      <tp t="s">
        <v>#N/A Requesting Data...3689242054</v>
        <stp/>
        <stp>BDP|12198078726665509894</stp>
        <tr r="T1271" s="2"/>
      </tp>
      <tp t="s">
        <v>#N/A Requesting Data...903734757</v>
        <stp/>
        <stp>BDP|10529310701249902702</stp>
        <tr r="O1691" s="2"/>
      </tp>
      <tp t="s">
        <v>#N/A Requesting Data...2904730863</v>
        <stp/>
        <stp>BDP|12900978102540983697</stp>
        <tr r="J625" s="2"/>
      </tp>
      <tp t="s">
        <v>#N/A Requesting Data...1455969249</v>
        <stp/>
        <stp>BDP|13189407974865120887</stp>
        <tr r="R1162" s="2"/>
      </tp>
      <tp t="s">
        <v>#N/A Requesting Data...2879477288</v>
        <stp/>
        <stp>BDP|10242976125137900151</stp>
        <tr r="O1866" s="2"/>
      </tp>
      <tp t="s">
        <v>#N/A Requesting Data...1895283816</v>
        <stp/>
        <stp>BDP|13030952252270925223</stp>
        <tr r="N1320" s="2"/>
      </tp>
      <tp t="s">
        <v>#N/A Requesting Data...2326430176</v>
        <stp/>
        <stp>BDP|15023307781052803157</stp>
        <tr r="M15" s="2"/>
      </tp>
      <tp t="s">
        <v>#N/A Requesting Data...1303214528</v>
        <stp/>
        <stp>BDP|16405382946745662902</stp>
        <tr r="R2203" s="2"/>
      </tp>
      <tp t="s">
        <v>#N/A Requesting Data...1462659508</v>
        <stp/>
        <stp>BDP|10957476895616118665</stp>
        <tr r="T972" s="2"/>
      </tp>
      <tp t="s">
        <v>#N/A Requesting Data...2512271076</v>
        <stp/>
        <stp>BDP|16927227791313527335</stp>
        <tr r="F2448" s="2"/>
      </tp>
      <tp t="s">
        <v>#N/A Requesting Data...1882020355</v>
        <stp/>
        <stp>BDP|11858695708368548206</stp>
        <tr r="J2252" s="2"/>
      </tp>
      <tp t="s">
        <v>#N/A Requesting Data...2124728187</v>
        <stp/>
        <stp>BDP|10235219381620944779</stp>
        <tr r="H2499" s="2"/>
      </tp>
      <tp t="s">
        <v>#N/A Requesting Data...1092682915</v>
        <stp/>
        <stp>BDP|12291788214080589978</stp>
        <tr r="Q38" s="2"/>
      </tp>
      <tp t="s">
        <v>#N/A Requesting Data...3752871646</v>
        <stp/>
        <stp>BDP|12845454965988106558</stp>
        <tr r="T2219" s="2"/>
      </tp>
      <tp t="s">
        <v>#N/A Requesting Data...3923964598</v>
        <stp/>
        <stp>BDP|12558851719403592509</stp>
        <tr r="C1612" s="2"/>
      </tp>
      <tp t="s">
        <v>#N/A Requesting Data...3915089839</v>
        <stp/>
        <stp>BDP|11647555967337163894</stp>
        <tr r="G762" s="2"/>
      </tp>
      <tp t="b">
        <v>0</v>
        <stp/>
        <stp>BDS|18381225029927529226</stp>
        <tr r="I415" s="2"/>
      </tp>
      <tp t="s">
        <v>#N/A Requesting Data...1985086516</v>
        <stp/>
        <stp>BDP|15283631684956845014</stp>
        <tr r="P1491" s="2"/>
      </tp>
      <tp t="s">
        <v>#N/A Requesting Data...2333535206</v>
        <stp/>
        <stp>BDP|18412895962282757943</stp>
        <tr r="F741" s="2"/>
      </tp>
      <tp t="s">
        <v>#N/A Requesting Data...2061614252</v>
        <stp/>
        <stp>BDP|12015155195377955052</stp>
        <tr r="T1921" s="2"/>
      </tp>
      <tp t="s">
        <v>#N/A Requesting Data...1932192928</v>
        <stp/>
        <stp>BDP|11095079223617957913</stp>
        <tr r="M1055" s="2"/>
      </tp>
      <tp t="s">
        <v>#N/A Requesting Data...1069982634</v>
        <stp/>
        <stp>BDP|11974405322998143268</stp>
        <tr r="Q307" s="2"/>
      </tp>
      <tp t="s">
        <v>#N/A Requesting Data...4050410961</v>
        <stp/>
        <stp>BDP|11664957698749673516</stp>
        <tr r="F688" s="2"/>
      </tp>
      <tp t="s">
        <v>#N/A Requesting Data...1012539045</v>
        <stp/>
        <stp>BDP|13113834970874928578</stp>
        <tr r="J1660" s="2"/>
      </tp>
      <tp t="s">
        <v>#N/A Requesting Data...1220584930</v>
        <stp/>
        <stp>BDP|13320085099022697589</stp>
        <tr r="N2294" s="2"/>
      </tp>
      <tp t="s">
        <v>#N/A Requesting Data...3463812349</v>
        <stp/>
        <stp>BDP|13434832219145255202</stp>
        <tr r="P183" s="2"/>
      </tp>
      <tp t="s">
        <v>#N/A Requesting Data...3851407547</v>
        <stp/>
        <stp>BDP|11149844228281264732</stp>
        <tr r="S1890" s="2"/>
      </tp>
      <tp t="s">
        <v>#N/A Requesting Data...2802673690</v>
        <stp/>
        <stp>BDP|10865827132676006042</stp>
        <tr r="E154" s="2"/>
      </tp>
      <tp t="s">
        <v>#N/A Requesting Data...1369854009</v>
        <stp/>
        <stp>BDP|12434653039253245963</stp>
        <tr r="Q2097" s="2"/>
      </tp>
      <tp t="s">
        <v>#N/A Requesting Data...3176044595</v>
        <stp/>
        <stp>BDP|16002023888706536533</stp>
        <tr r="M1417" s="2"/>
      </tp>
      <tp t="s">
        <v>#N/A Requesting Data...2578585308</v>
        <stp/>
        <stp>BDP|10779255388726527133</stp>
        <tr r="O1417" s="2"/>
      </tp>
      <tp t="s">
        <v>#N/A Requesting Data...4030643773</v>
        <stp/>
        <stp>BDP|10939265557612762832</stp>
        <tr r="M1736" s="2"/>
      </tp>
      <tp t="s">
        <v>#N/A Requesting Data...1416020928</v>
        <stp/>
        <stp>BDP|16815367677438079751</stp>
        <tr r="S583" s="2"/>
      </tp>
      <tp t="s">
        <v>#N/A Requesting Data...4065735883</v>
        <stp/>
        <stp>BDP|12079239221188695782</stp>
        <tr r="A1923" s="2"/>
      </tp>
      <tp t="s">
        <v>#N/A Requesting Data...965227724</v>
        <stp/>
        <stp>BDP|16428721428028028625</stp>
        <tr r="G43" s="2"/>
      </tp>
      <tp t="s">
        <v>#N/A Requesting Data...3948191849</v>
        <stp/>
        <stp>BDP|10269430522499665290</stp>
        <tr r="E315" s="2"/>
      </tp>
      <tp t="s">
        <v>#N/A Requesting Data...2161850413</v>
        <stp/>
        <stp>BDP|10921521312518123140</stp>
        <tr r="P1677" s="2"/>
      </tp>
      <tp t="s">
        <v>#N/A Requesting Data...2538985645</v>
        <stp/>
        <stp>BDP|13985308560063620809</stp>
        <tr r="H950" s="2"/>
      </tp>
      <tp t="s">
        <v>#N/A Requesting Data...1142827411</v>
        <stp/>
        <stp>BDP|17150281256569987492</stp>
        <tr r="D2309" s="2"/>
      </tp>
      <tp t="s">
        <v>#N/A Requesting Data...2885841691</v>
        <stp/>
        <stp>BDP|11103605140738697681</stp>
        <tr r="M2503" s="2"/>
      </tp>
      <tp t="s">
        <v>#N/A Requesting Data...3519686164</v>
        <stp/>
        <stp>BDP|10924890492628462498</stp>
        <tr r="K663" s="2"/>
      </tp>
      <tp t="s">
        <v>#N/A Requesting Data...1361710138</v>
        <stp/>
        <stp>BDP|14103798373581548813</stp>
        <tr r="J1677" s="2"/>
      </tp>
      <tp t="s">
        <v>#N/A Requesting Data...1496751279</v>
        <stp/>
        <stp>BDP|18025008019716314256</stp>
        <tr r="K1547" s="2"/>
      </tp>
      <tp t="s">
        <v>#N/A Requesting Data...1981155180</v>
        <stp/>
        <stp>BDP|10772476038548495237</stp>
        <tr r="G1987" s="2"/>
      </tp>
      <tp t="b">
        <v>0</v>
        <stp/>
        <stp>BDS|18375282274699393903</stp>
        <tr r="I337" s="2"/>
      </tp>
      <tp t="s">
        <v>#N/A Requesting Data...1168346680</v>
        <stp/>
        <stp>BDP|12083495104123245801</stp>
        <tr r="N671" s="2"/>
      </tp>
      <tp t="s">
        <v>#N/A Requesting Data...3255658001</v>
        <stp/>
        <stp>BDP|10630313907896846875</stp>
        <tr r="F1421" s="2"/>
      </tp>
      <tp t="s">
        <v>#N/A Requesting Data...2516742602</v>
        <stp/>
        <stp>BDP|17413587213587999993</stp>
        <tr r="O1493" s="2"/>
      </tp>
      <tp t="s">
        <v>#N/A Requesting Data...2925207125</v>
        <stp/>
        <stp>BDP|11737783698944847604</stp>
        <tr r="T1743" s="2"/>
      </tp>
      <tp t="s">
        <v>#N/A Requesting Data...2892278034</v>
        <stp/>
        <stp>BDP|16656841959916725037</stp>
        <tr r="R837" s="2"/>
      </tp>
      <tp t="s">
        <v>#N/A Requesting Data...2477696120</v>
        <stp/>
        <stp>BDP|15857864082168487070</stp>
        <tr r="G1501" s="2"/>
      </tp>
      <tp t="s">
        <v>#N/A Requesting Data...2684286517</v>
        <stp/>
        <stp>BDP|17593950115226332490</stp>
        <tr r="Q1217" s="2"/>
      </tp>
      <tp t="s">
        <v>#N/A Requesting Data...1774621722</v>
        <stp/>
        <stp>BDP|18211022914293393780</stp>
        <tr r="H1726" s="2"/>
      </tp>
      <tp t="b">
        <v>0</v>
        <stp/>
        <stp>BDS|11888746225649217076</stp>
        <tr r="I2431" s="2"/>
      </tp>
      <tp t="s">
        <v>#N/A Requesting Data...2394371972</v>
        <stp/>
        <stp>BDP|12194166291793807417</stp>
        <tr r="O2040" s="2"/>
      </tp>
      <tp t="s">
        <v>#N/A Requesting Data...4182759611</v>
        <stp/>
        <stp>BDP|11627629848496162826</stp>
        <tr r="T1913" s="2"/>
      </tp>
      <tp t="s">
        <v>#N/A Requesting Data...1961833857</v>
        <stp/>
        <stp>BDP|11859072790313489643</stp>
        <tr r="J2449" s="2"/>
      </tp>
      <tp t="s">
        <v>#N/A Requesting Data...1797769941</v>
        <stp/>
        <stp>BDP|11960268721119766566</stp>
        <tr r="S2272" s="2"/>
      </tp>
      <tp t="s">
        <v>#N/A Requesting Data...3717623942</v>
        <stp/>
        <stp>BDP|16325382500739193151</stp>
        <tr r="R344" s="2"/>
      </tp>
      <tp t="s">
        <v>#N/A Requesting Data...2343787426</v>
        <stp/>
        <stp>BDP|13905263284342360679</stp>
        <tr r="R2262" s="2"/>
      </tp>
      <tp t="s">
        <v>#N/A Requesting Data...2955860256</v>
        <stp/>
        <stp>BDP|11009847802803869717</stp>
        <tr r="G10" s="2"/>
      </tp>
      <tp t="b">
        <v>0</v>
        <stp/>
        <stp>BDS|18356699072105152156</stp>
        <tr r="I381" s="2"/>
      </tp>
      <tp t="s">
        <v>#N/A Requesting Data...2446131654</v>
        <stp/>
        <stp>BDP|14436103164039786786</stp>
        <tr r="K2505" s="2"/>
      </tp>
      <tp t="s">
        <v>#N/A Requesting Data...3997862243</v>
        <stp/>
        <stp>BDP|10866436514481317938</stp>
        <tr r="J151" s="2"/>
      </tp>
      <tp t="s">
        <v>#N/A Requesting Data...1135074335</v>
        <stp/>
        <stp>BDP|10585434849634204927</stp>
        <tr r="H1779" s="2"/>
      </tp>
      <tp t="s">
        <v>#N/A Requesting Data...3332567379</v>
        <stp/>
        <stp>BDP|15789963036527968515</stp>
        <tr r="C1296" s="2"/>
      </tp>
      <tp t="s">
        <v>#N/A Requesting Data...3774193573</v>
        <stp/>
        <stp>BDP|17905579822578266516</stp>
        <tr r="P550" s="2"/>
      </tp>
      <tp t="s">
        <v>#N/A Requesting Data...1825717702</v>
        <stp/>
        <stp>BDP|15799489394720522519</stp>
        <tr r="E1688" s="2"/>
      </tp>
      <tp t="s">
        <v>#N/A Requesting Data...2809249414</v>
        <stp/>
        <stp>BDP|17002664189474550059</stp>
        <tr r="M929" s="2"/>
      </tp>
      <tp t="s">
        <v>#N/A Requesting Data...1046257124</v>
        <stp/>
        <stp>BDP|13481904139506553270</stp>
        <tr r="K2006" s="2"/>
      </tp>
      <tp t="s">
        <v>#N/A Requesting Data...3379014239</v>
        <stp/>
        <stp>BDP|16608846680892948949</stp>
        <tr r="R1724" s="2"/>
      </tp>
      <tp t="s">
        <v>#N/A Requesting Data...2486816256</v>
        <stp/>
        <stp>BDP|12668081431808484444</stp>
        <tr r="H1342" s="2"/>
      </tp>
      <tp t="s">
        <v>#N/A Requesting Data...2147842256</v>
        <stp/>
        <stp>BDP|16616430467831929848</stp>
        <tr r="M434" s="2"/>
      </tp>
      <tp t="s">
        <v>#N/A Requesting Data...4186200765</v>
        <stp/>
        <stp>BDP|14004977352205313097</stp>
        <tr r="O1035" s="2"/>
      </tp>
      <tp t="s">
        <v>#N/A Requesting Data...2031051162</v>
        <stp/>
        <stp>BDP|13752483505293729925</stp>
        <tr r="S1846" s="2"/>
      </tp>
      <tp t="s">
        <v>#N/A Requesting Data...2843203428</v>
        <stp/>
        <stp>BDP|12060902885076813827</stp>
        <tr r="J143" s="2"/>
      </tp>
      <tp t="s">
        <v>#N/A Requesting Data...3028560170</v>
        <stp/>
        <stp>BDP|10518246420749607482</stp>
        <tr r="G1398" s="2"/>
      </tp>
      <tp t="s">
        <v>#N/A Requesting Data...2253497595</v>
        <stp/>
        <stp>BDP|10283096862003191875</stp>
        <tr r="E754" s="2"/>
      </tp>
      <tp t="s">
        <v>#N/A Requesting Data...4231231428</v>
        <stp/>
        <stp>BDP|13491919759211453375</stp>
        <tr r="O495" s="2"/>
      </tp>
      <tp t="b">
        <v>0</v>
        <stp/>
        <stp>BDS|18111411854435838105</stp>
        <tr r="I2511" s="2"/>
      </tp>
      <tp t="s">
        <v>#N/A Requesting Data...4190582696</v>
        <stp/>
        <stp>BDP|10433016383397932204</stp>
        <tr r="O958" s="2"/>
      </tp>
      <tp t="s">
        <v>#N/A Requesting Data...3166267749</v>
        <stp/>
        <stp>BDP|16216120585040992239</stp>
        <tr r="F798" s="2"/>
      </tp>
      <tp t="s">
        <v>#N/A Requesting Data...3790701381</v>
        <stp/>
        <stp>BDP|17624557396165330396</stp>
        <tr r="A838" s="2"/>
      </tp>
      <tp t="s">
        <v>#N/A Requesting Data...1877532104</v>
        <stp/>
        <stp>BDP|17967822203016037476</stp>
        <tr r="Q442" s="2"/>
      </tp>
      <tp t="s">
        <v>#N/A Requesting Data...1957650074</v>
        <stp/>
        <stp>BDP|14501634648653038816</stp>
        <tr r="C1515" s="2"/>
      </tp>
      <tp t="s">
        <v>#N/A Requesting Data...1166247491</v>
        <stp/>
        <stp>BDP|13856069561831565955</stp>
        <tr r="Q1178" s="2"/>
      </tp>
      <tp t="s">
        <v>#N/A Requesting Data...3072726310</v>
        <stp/>
        <stp>BDP|14897008434042044832</stp>
        <tr r="D1998" s="2"/>
      </tp>
      <tp t="s">
        <v>#N/A Requesting Data...3359382136</v>
        <stp/>
        <stp>BDP|13831131394096236027</stp>
        <tr r="J2443" s="2"/>
      </tp>
      <tp t="s">
        <v>#N/A Requesting Data...3947435328</v>
        <stp/>
        <stp>BDP|17527629899915916085</stp>
        <tr r="C1127" s="2"/>
      </tp>
      <tp t="s">
        <v>#N/A Requesting Data...1731834557</v>
        <stp/>
        <stp>BDP|11269998460936312573</stp>
        <tr r="G661" s="2"/>
      </tp>
      <tp t="s">
        <v>#N/A Requesting Data...1548896003</v>
        <stp/>
        <stp>BDP|13323180831034729825</stp>
        <tr r="M36" s="2"/>
      </tp>
      <tp t="s">
        <v>#N/A Requesting Data...2861973117</v>
        <stp/>
        <stp>BDP|15392021368979216745</stp>
        <tr r="T2051" s="2"/>
      </tp>
      <tp t="s">
        <v>#N/A Requesting Data...2148752947</v>
        <stp/>
        <stp>BDP|17682961606686130588</stp>
        <tr r="R7" s="2"/>
      </tp>
      <tp t="s">
        <v>#N/A Requesting Data...2945820923</v>
        <stp/>
        <stp>BDP|10048820302141601491</stp>
        <tr r="R2507" s="2"/>
      </tp>
      <tp t="s">
        <v>#N/A Requesting Data...2072909067</v>
        <stp/>
        <stp>BDP|15333949553354249099</stp>
        <tr r="R146" s="2"/>
      </tp>
      <tp t="s">
        <v>#N/A Requesting Data...3607385213</v>
        <stp/>
        <stp>BDP|11734348589877456012</stp>
        <tr r="M2037" s="2"/>
      </tp>
      <tp t="s">
        <v>#N/A Requesting Data...3742300942</v>
        <stp/>
        <stp>BDP|12355308082136686280</stp>
        <tr r="H2307" s="2"/>
      </tp>
      <tp t="s">
        <v>#N/A Requesting Data...1374014415</v>
        <stp/>
        <stp>BDP|11859744990073514164</stp>
        <tr r="M189" s="2"/>
      </tp>
      <tp t="s">
        <v>#N/A Requesting Data...2343350708</v>
        <stp/>
        <stp>BDP|12971535495507227421</stp>
        <tr r="D2379" s="2"/>
      </tp>
      <tp t="s">
        <v>#N/A Requesting Data...4024488001</v>
        <stp/>
        <stp>BDP|17144578389906925193</stp>
        <tr r="H990" s="2"/>
      </tp>
      <tp t="s">
        <v>#N/A Requesting Data...3658100804</v>
        <stp/>
        <stp>BDP|12982200132797036957</stp>
        <tr r="N455" s="2"/>
      </tp>
      <tp t="s">
        <v>#N/A Requesting Data...4149323382</v>
        <stp/>
        <stp>BDP|12994214855451671955</stp>
        <tr r="R2361" s="2"/>
      </tp>
      <tp t="s">
        <v>#N/A Requesting Data...3086298810</v>
        <stp/>
        <stp>BDP|16644842819217475518</stp>
        <tr r="C1106" s="2"/>
      </tp>
      <tp t="s">
        <v>#N/A Requesting Data...2137533119</v>
        <stp/>
        <stp>BDP|15381765201318377792</stp>
        <tr r="T828" s="2"/>
      </tp>
      <tp t="s">
        <v>#N/A Requesting Data...2516304777</v>
        <stp/>
        <stp>BDP|11818148258548939034</stp>
        <tr r="K1248" s="2"/>
      </tp>
      <tp t="s">
        <v>#N/A Requesting Data...1335247855</v>
        <stp/>
        <stp>BDP|17844914526020233138</stp>
        <tr r="T68" s="2"/>
      </tp>
      <tp t="s">
        <v>#N/A Requesting Data...2629044977</v>
        <stp/>
        <stp>BDP|16509024014639419398</stp>
        <tr r="A217" s="2"/>
      </tp>
      <tp t="s">
        <v>#N/A Requesting Data...1405921765</v>
        <stp/>
        <stp>BDP|11828327280861010646</stp>
        <tr r="T610" s="2"/>
      </tp>
      <tp t="s">
        <v>#N/A Requesting Data...3338656947</v>
        <stp/>
        <stp>BDP|17073647158378729158</stp>
        <tr r="Q1618" s="2"/>
      </tp>
      <tp t="s">
        <v>#N/A Requesting Data...2680639576</v>
        <stp/>
        <stp>BDP|17866261383238749848</stp>
        <tr r="M367" s="2"/>
      </tp>
      <tp t="s">
        <v>#N/A Requesting Data...4145529441</v>
        <stp/>
        <stp>BDP|13179656710238889122</stp>
        <tr r="O1949" s="2"/>
      </tp>
      <tp t="b">
        <v>0</v>
        <stp/>
        <stp>BDS|15371079271047011886</stp>
        <tr r="I553" s="2"/>
      </tp>
      <tp t="b">
        <v>0</v>
        <stp/>
        <stp>BDS|12122896444885503644</stp>
        <tr r="I240" s="2"/>
      </tp>
      <tp t="s">
        <v>#N/A Requesting Data...1733688172</v>
        <stp/>
        <stp>BDP|17951639558929899044</stp>
        <tr r="D1960" s="2"/>
      </tp>
      <tp t="s">
        <v>#N/A Requesting Data...3574974139</v>
        <stp/>
        <stp>BDP|15808416012814437915</stp>
        <tr r="D1417" s="2"/>
      </tp>
      <tp t="s">
        <v>#N/A Requesting Data...3431672194</v>
        <stp/>
        <stp>BDP|17940818446114761273</stp>
        <tr r="S1580" s="2"/>
      </tp>
      <tp t="s">
        <v>#N/A Requesting Data...4037280915</v>
        <stp/>
        <stp>BDP|14759326799834340710</stp>
        <tr r="T1965" s="2"/>
      </tp>
      <tp t="s">
        <v>#N/A Requesting Data...2310328000</v>
        <stp/>
        <stp>BDP|17174896459191684697</stp>
        <tr r="N1514" s="2"/>
      </tp>
      <tp t="b">
        <v>0</v>
        <stp/>
        <stp>BDS|15358234852969659692</stp>
        <tr r="I979" s="2"/>
      </tp>
      <tp t="s">
        <v>#N/A Requesting Data...2942696158</v>
        <stp/>
        <stp>BDP|10305527802750586887</stp>
        <tr r="S1308" s="2"/>
      </tp>
      <tp t="s">
        <v>#N/A Requesting Data...2259442806</v>
        <stp/>
        <stp>BDP|17333488984014668272</stp>
        <tr r="R666" s="2"/>
      </tp>
      <tp t="s">
        <v>#N/A Requesting Data...4016688755</v>
        <stp/>
        <stp>BDP|11727057306028381493</stp>
        <tr r="T1231" s="2"/>
      </tp>
      <tp t="s">
        <v>#N/A Requesting Data...3697504734</v>
        <stp/>
        <stp>BDP|14437097096654384464</stp>
        <tr r="O921" s="2"/>
      </tp>
      <tp t="s">
        <v>#N/A Requesting Data...3032840444</v>
        <stp/>
        <stp>BDP|11053293230935243855</stp>
        <tr r="G1329" s="2"/>
      </tp>
      <tp t="s">
        <v>#N/A Requesting Data...1744582910</v>
        <stp/>
        <stp>BDP|15492930778340460652</stp>
        <tr r="C1880" s="2"/>
      </tp>
      <tp t="s">
        <v>#N/A Requesting Data...3456171449</v>
        <stp/>
        <stp>BDP|18006745843923070596</stp>
        <tr r="C869" s="2"/>
      </tp>
      <tp t="s">
        <v>#N/A Requesting Data...2124948924</v>
        <stp/>
        <stp>BDP|14604413293900978430</stp>
        <tr r="O2526" s="2"/>
      </tp>
      <tp t="s">
        <v>#N/A Requesting Data...3704989030</v>
        <stp/>
        <stp>BDP|15461854979853479420</stp>
        <tr r="Q2445" s="2"/>
      </tp>
      <tp t="s">
        <v>#N/A Requesting Data...3403684274</v>
        <stp/>
        <stp>BDP|13060090380142420438</stp>
        <tr r="T2193" s="2"/>
      </tp>
      <tp t="s">
        <v>#N/A Requesting Data...3624599225</v>
        <stp/>
        <stp>BDP|11394584474287268934</stp>
        <tr r="E2460" s="2"/>
      </tp>
      <tp t="s">
        <v>#N/A Requesting Data...2307902976</v>
        <stp/>
        <stp>BDP|11638389102818788757</stp>
        <tr r="N162" s="2"/>
      </tp>
      <tp t="s">
        <v>#N/A Requesting Data...1846861596</v>
        <stp/>
        <stp>BDP|10436098453120432844</stp>
        <tr r="D578" s="2"/>
      </tp>
      <tp t="s">
        <v>#N/A Requesting Data...4045421112</v>
        <stp/>
        <stp>BDP|11031951963892125194</stp>
        <tr r="O1083" s="2"/>
      </tp>
      <tp t="s">
        <v>#N/A Requesting Data...1600349450</v>
        <stp/>
        <stp>BDP|18128275878110296023</stp>
        <tr r="K322" s="2"/>
      </tp>
      <tp t="s">
        <v>#N/A Requesting Data...2250003085</v>
        <stp/>
        <stp>BDP|12022831211122982456</stp>
        <tr r="G2034" s="2"/>
      </tp>
      <tp t="s">
        <v>#N/A Requesting Data...2412956470</v>
        <stp/>
        <stp>BDP|15727996707035110469</stp>
        <tr r="A371" s="2"/>
      </tp>
      <tp t="s">
        <v>#N/A Requesting Data...4022393687</v>
        <stp/>
        <stp>BDP|13289982514424655268</stp>
        <tr r="G2362" s="2"/>
      </tp>
      <tp t="s">
        <v>#N/A Requesting Data...2236349618</v>
        <stp/>
        <stp>BDP|14144897621303405033</stp>
        <tr r="R1444" s="2"/>
      </tp>
      <tp t="s">
        <v>#N/A Requesting Data...4258443560</v>
        <stp/>
        <stp>BDP|11525902976237582588</stp>
        <tr r="H1266" s="2"/>
      </tp>
      <tp t="s">
        <v>#N/A Requesting Data...4136271549</v>
        <stp/>
        <stp>BDP|11791038816235426883</stp>
        <tr r="Q630" s="2"/>
      </tp>
      <tp t="s">
        <v>#N/A Requesting Data...2122838192</v>
        <stp/>
        <stp>BDP|16599676196944353091</stp>
        <tr r="H656" s="2"/>
      </tp>
      <tp t="s">
        <v>#N/A Requesting Data...3590352830</v>
        <stp/>
        <stp>BDP|10554617870639258583</stp>
        <tr r="O1742" s="2"/>
      </tp>
      <tp t="s">
        <v>#N/A Requesting Data...3721146410</v>
        <stp/>
        <stp>BDP|10832646175269035576</stp>
        <tr r="C2138" s="2"/>
      </tp>
      <tp t="s">
        <v>#N/A Requesting Data...3168723817</v>
        <stp/>
        <stp>BDP|10778985204214253074</stp>
        <tr r="K2234" s="2"/>
      </tp>
      <tp t="s">
        <v>#N/A Requesting Data...2536596562</v>
        <stp/>
        <stp>BDP|16231087541448004751</stp>
        <tr r="S1961" s="2"/>
      </tp>
      <tp t="s">
        <v>#N/A Requesting Data...4059726806</v>
        <stp/>
        <stp>BDP|17892019223838607029</stp>
        <tr r="H2407" s="2"/>
      </tp>
      <tp t="b">
        <v>0</v>
        <stp/>
        <stp>BDS|15913408360849718330</stp>
        <tr r="I296" s="2"/>
      </tp>
      <tp t="s">
        <v>#N/A Requesting Data...3797543726</v>
        <stp/>
        <stp>BDP|16497835635945820547</stp>
        <tr r="G476" s="2"/>
      </tp>
      <tp t="s">
        <v>#N/A Requesting Data...3292706376</v>
        <stp/>
        <stp>BDP|14733166384767222790</stp>
        <tr r="T1865" s="2"/>
      </tp>
      <tp t="s">
        <v>#N/A Requesting Data...1369243531</v>
        <stp/>
        <stp>BDP|12705276390111974570</stp>
        <tr r="P1825" s="2"/>
      </tp>
      <tp t="s">
        <v>#N/A Requesting Data...1633067130</v>
        <stp/>
        <stp>BDP|14821824104602272327</stp>
        <tr r="H1457" s="2"/>
      </tp>
      <tp t="s">
        <v>#N/A Requesting Data...4057092053</v>
        <stp/>
        <stp>BDP|18372436836402116093</stp>
        <tr r="F1701" s="2"/>
      </tp>
      <tp t="s">
        <v>#N/A Requesting Data...2808033864</v>
        <stp/>
        <stp>BDP|12946962406283174564</stp>
        <tr r="E1721" s="2"/>
      </tp>
      <tp t="s">
        <v>#N/A Requesting Data...3807586894</v>
        <stp/>
        <stp>BDP|17674884406484581638</stp>
        <tr r="A385" s="2"/>
      </tp>
      <tp t="s">
        <v>#N/A Requesting Data...3404017905</v>
        <stp/>
        <stp>BDP|16816731165798514251</stp>
        <tr r="D674" s="2"/>
      </tp>
      <tp t="s">
        <v>#N/A Requesting Data...1987666517</v>
        <stp/>
        <stp>BDP|18406300602634180299</stp>
        <tr r="Q1584" s="2"/>
      </tp>
      <tp t="s">
        <v>#N/A Requesting Data...2124558027</v>
        <stp/>
        <stp>BDP|12968545439299307096</stp>
        <tr r="R901" s="2"/>
      </tp>
      <tp t="s">
        <v>#N/A Requesting Data...2518807191</v>
        <stp/>
        <stp>BDP|11318120535529342796</stp>
        <tr r="E1644" s="2"/>
      </tp>
      <tp t="s">
        <v>#N/A Requesting Data...1423749023</v>
        <stp/>
        <stp>BDP|13525796489763803235</stp>
        <tr r="G1439" s="2"/>
      </tp>
      <tp t="s">
        <v>#N/A Requesting Data...2258114299</v>
        <stp/>
        <stp>BDP|14299649874788558094</stp>
        <tr r="S682" s="2"/>
      </tp>
      <tp t="s">
        <v>#N/A Requesting Data...2260382020</v>
        <stp/>
        <stp>BDP|11204510941515591899</stp>
        <tr r="P1303" s="2"/>
      </tp>
      <tp t="s">
        <v>#N/A Requesting Data...3633913106</v>
        <stp/>
        <stp>BDP|13574680898740224197</stp>
        <tr r="E351" s="2"/>
      </tp>
      <tp t="s">
        <v>#N/A Requesting Data...2825986033</v>
        <stp/>
        <stp>BDP|13072033836064313980</stp>
        <tr r="R2484" s="2"/>
      </tp>
      <tp t="s">
        <v>#N/A Requesting Data...2610289812</v>
        <stp/>
        <stp>BDP|11563813073487007495</stp>
        <tr r="R2202" s="2"/>
      </tp>
      <tp t="s">
        <v>#N/A Requesting Data...1526674600</v>
        <stp/>
        <stp>BDP|18055191157026098709</stp>
        <tr r="C599" s="2"/>
      </tp>
      <tp t="s">
        <v>#N/A Requesting Data...3060675971</v>
        <stp/>
        <stp>BDP|11321281054708114301</stp>
        <tr r="O1368" s="2"/>
      </tp>
      <tp t="s">
        <v>#N/A Requesting Data...1511422650</v>
        <stp/>
        <stp>BDP|11800716360708264553</stp>
        <tr r="H781" s="2"/>
      </tp>
      <tp t="s">
        <v>#N/A Requesting Data...1453781333</v>
        <stp/>
        <stp>BDP|15248789176879308111</stp>
        <tr r="J778" s="2"/>
      </tp>
      <tp t="s">
        <v>#N/A Requesting Data...2481035505</v>
        <stp/>
        <stp>BDP|10142408239878062299</stp>
        <tr r="T240" s="2"/>
      </tp>
      <tp t="s">
        <v>#N/A Requesting Data...2284961051</v>
        <stp/>
        <stp>BDP|13451785929708093344</stp>
        <tr r="D1837" s="2"/>
      </tp>
      <tp t="s">
        <v>#N/A Requesting Data...3622436788</v>
        <stp/>
        <stp>BDP|18425950347159716108</stp>
        <tr r="K1624" s="2"/>
      </tp>
      <tp t="s">
        <v>#N/A Requesting Data...2930924519</v>
        <stp/>
        <stp>BDP|11196106191160575443</stp>
        <tr r="G147" s="2"/>
      </tp>
      <tp t="s">
        <v>#N/A Requesting Data...2918790802</v>
        <stp/>
        <stp>BDP|13561198874261138985</stp>
        <tr r="E63" s="2"/>
      </tp>
      <tp t="s">
        <v>#N/A Requesting Data...3419134611</v>
        <stp/>
        <stp>BDP|13606019962780554811</stp>
        <tr r="N1326" s="2"/>
      </tp>
      <tp t="s">
        <v>#N/A Requesting Data...3681211640</v>
        <stp/>
        <stp>BDP|14947066180286715798</stp>
        <tr r="D1229" s="2"/>
      </tp>
      <tp t="s">
        <v>#N/A Requesting Data...3704533826</v>
        <stp/>
        <stp>BDP|12558469669635368885</stp>
        <tr r="T1832" s="2"/>
      </tp>
      <tp t="s">
        <v>#N/A Requesting Data...3175666328</v>
        <stp/>
        <stp>BDP|13646937617856170025</stp>
        <tr r="O2298" s="2"/>
      </tp>
      <tp t="s">
        <v>#N/A Requesting Data...3694898212</v>
        <stp/>
        <stp>BDP|13919992911034997293</stp>
        <tr r="Q157" s="2"/>
      </tp>
      <tp t="s">
        <v>#N/A Requesting Data...3950235492</v>
        <stp/>
        <stp>BDP|10962607088875604660</stp>
        <tr r="E1998" s="2"/>
      </tp>
      <tp t="s">
        <v>#N/A Requesting Data...2602722600</v>
        <stp/>
        <stp>BDP|12109808360626918796</stp>
        <tr r="A1801" s="2"/>
      </tp>
      <tp t="s">
        <v>#N/A Requesting Data...3933893804</v>
        <stp/>
        <stp>BDP|12219549435021413861</stp>
        <tr r="M1841" s="2"/>
      </tp>
      <tp t="s">
        <v>#N/A Requesting Data...1757414409</v>
        <stp/>
        <stp>BDP|11450829457696366734</stp>
        <tr r="H1069" s="2"/>
      </tp>
      <tp t="s">
        <v>#N/A Requesting Data...2591936646</v>
        <stp/>
        <stp>BDP|13370976625845487049</stp>
        <tr r="H2045" s="2"/>
      </tp>
      <tp t="s">
        <v>#N/A Requesting Data...3548059182</v>
        <stp/>
        <stp>BDP|13432874356112067148</stp>
        <tr r="E1896" s="2"/>
      </tp>
      <tp t="s">
        <v>#N/A Requesting Data...3936281354</v>
        <stp/>
        <stp>BDP|14719750873428395134</stp>
        <tr r="C627" s="2"/>
      </tp>
      <tp t="s">
        <v>#N/A Requesting Data...3456200213</v>
        <stp/>
        <stp>BDP|15335100594765656509</stp>
        <tr r="S37" s="2"/>
      </tp>
      <tp t="s">
        <v>#N/A Requesting Data...1545969215</v>
        <stp/>
        <stp>BDP|11684897728142139472</stp>
        <tr r="F139" s="2"/>
      </tp>
      <tp t="b">
        <v>0</v>
        <stp/>
        <stp>BDS|16611248981334522547</stp>
        <tr r="I687" s="2"/>
      </tp>
      <tp t="s">
        <v>#N/A Requesting Data...2088327441</v>
        <stp/>
        <stp>BDP|14311476539457449988</stp>
        <tr r="S385" s="2"/>
      </tp>
      <tp t="s">
        <v>#N/A Requesting Data...1595169707</v>
        <stp/>
        <stp>BDP|14613384689940076264</stp>
        <tr r="C53" s="2"/>
      </tp>
      <tp t="s">
        <v>#N/A Requesting Data...2429634254</v>
        <stp/>
        <stp>BDP|12227373741420538808</stp>
        <tr r="Q2073" s="2"/>
      </tp>
      <tp t="s">
        <v>#N/A Requesting Data...3872936194</v>
        <stp/>
        <stp>BDP|15451948683128608141</stp>
        <tr r="N384" s="2"/>
      </tp>
      <tp t="s">
        <v>#N/A Requesting Data...1473776319</v>
        <stp/>
        <stp>BDP|10359478787423240200</stp>
        <tr r="Q227" s="2"/>
      </tp>
      <tp t="s">
        <v>#N/A Requesting Data...4016318260</v>
        <stp/>
        <stp>BDP|16118687066622794994</stp>
        <tr r="C409" s="2"/>
      </tp>
      <tp t="s">
        <v>#N/A Requesting Data...2632528297</v>
        <stp/>
        <stp>BDP|15792235304213146907</stp>
        <tr r="A240" s="2"/>
      </tp>
      <tp t="s">
        <v>#N/A Requesting Data...1470232354</v>
        <stp/>
        <stp>BDP|11152006176403183872</stp>
        <tr r="Q828" s="2"/>
      </tp>
      <tp t="s">
        <v>#N/A Requesting Data...2109368573</v>
        <stp/>
        <stp>BDP|14668849863451976691</stp>
        <tr r="H2108" s="2"/>
      </tp>
      <tp t="s">
        <v>#N/A Requesting Data...2406209524</v>
        <stp/>
        <stp>BDP|13375171865068739178</stp>
        <tr r="G1217" s="2"/>
      </tp>
      <tp t="s">
        <v>#N/A Requesting Data...3013357892</v>
        <stp/>
        <stp>BDP|16944877656883135584</stp>
        <tr r="J1134" s="2"/>
      </tp>
      <tp t="s">
        <v>#N/A Requesting Data...2686963131</v>
        <stp/>
        <stp>BDP|13848884807512489421</stp>
        <tr r="D1684" s="2"/>
      </tp>
      <tp t="s">
        <v>#N/A Requesting Data...1515871858</v>
        <stp/>
        <stp>BDP|16247789170488814334</stp>
        <tr r="N839" s="2"/>
      </tp>
      <tp t="s">
        <v>#N/A Requesting Data...3540362859</v>
        <stp/>
        <stp>BDP|13702625084442093204</stp>
        <tr r="R628" s="2"/>
      </tp>
      <tp t="s">
        <v>#N/A Requesting Data...3747645427</v>
        <stp/>
        <stp>BDP|11873365765550220989</stp>
        <tr r="K991" s="2"/>
      </tp>
      <tp t="s">
        <v>#N/A Requesting Data...1775432645</v>
        <stp/>
        <stp>BDP|13426758191634437453</stp>
        <tr r="T706" s="2"/>
      </tp>
      <tp t="s">
        <v>#N/A Requesting Data...1820850371</v>
        <stp/>
        <stp>BDP|11111751650399047754</stp>
        <tr r="K21" s="2"/>
      </tp>
      <tp t="s">
        <v>#N/A Requesting Data...4190360616</v>
        <stp/>
        <stp>BDP|13993071048713097975</stp>
        <tr r="N2270" s="2"/>
      </tp>
      <tp t="s">
        <v>#N/A Requesting Data...2908692921</v>
        <stp/>
        <stp>BDP|14035349522478340049</stp>
        <tr r="A2300" s="2"/>
      </tp>
      <tp t="s">
        <v>#N/A Requesting Data...2307339318</v>
        <stp/>
        <stp>BDP|14511691740642435996</stp>
        <tr r="N120" s="2"/>
      </tp>
      <tp t="s">
        <v>#N/A Requesting Data...2392383783</v>
        <stp/>
        <stp>BDP|14125634354859685315</stp>
        <tr r="F1046" s="2"/>
      </tp>
      <tp t="s">
        <v>#N/A Requesting Data...3820604477</v>
        <stp/>
        <stp>BDP|12116577843459502710</stp>
        <tr r="M1796" s="2"/>
      </tp>
      <tp t="s">
        <v>#N/A Requesting Data...3890056539</v>
        <stp/>
        <stp>BDP|16618637516819448568</stp>
        <tr r="P2480" s="2"/>
      </tp>
      <tp t="s">
        <v>#N/A Requesting Data...2015958610</v>
        <stp/>
        <stp>BDP|13267584787010547394</stp>
        <tr r="M582" s="2"/>
      </tp>
      <tp t="s">
        <v>#N/A Requesting Data...4113047188</v>
        <stp/>
        <stp>BDP|13890520189437243408</stp>
        <tr r="O2089" s="2"/>
      </tp>
      <tp t="s">
        <v>#N/A Requesting Data...2905274751</v>
        <stp/>
        <stp>BDP|12941987720030107412</stp>
        <tr r="N1330" s="2"/>
      </tp>
      <tp t="s">
        <v>#N/A Requesting Data...2630869462</v>
        <stp/>
        <stp>BDP|13799254352111742868</stp>
        <tr r="M1802" s="2"/>
      </tp>
      <tp t="b">
        <v>0</v>
        <stp/>
        <stp>BDS|15650999400668893953</stp>
        <tr r="I331" s="2"/>
      </tp>
      <tp t="s">
        <v>#N/A Requesting Data...4187314877</v>
        <stp/>
        <stp>BDP|16777917285843512979</stp>
        <tr r="O1488" s="2"/>
      </tp>
      <tp t="s">
        <v>#N/A Requesting Data...2993945611</v>
        <stp/>
        <stp>BDP|18111177603027656323</stp>
        <tr r="S822" s="2"/>
      </tp>
      <tp t="s">
        <v>#N/A Requesting Data...3960817187</v>
        <stp/>
        <stp>BDP|12402922940350433235</stp>
        <tr r="P1505" s="2"/>
      </tp>
      <tp t="s">
        <v>#N/A Requesting Data...3511369846</v>
        <stp/>
        <stp>BDP|18342940955078622151</stp>
        <tr r="K2073" s="2"/>
      </tp>
      <tp t="s">
        <v>#N/A Requesting Data...3558194432</v>
        <stp/>
        <stp>BDP|12969475286364955702</stp>
        <tr r="P1601" s="2"/>
      </tp>
      <tp t="s">
        <v>#N/A Requesting Data...1949920545</v>
        <stp/>
        <stp>BDP|17599199874195103986</stp>
        <tr r="H2240" s="2"/>
      </tp>
      <tp t="s">
        <v>#N/A Requesting Data...2497598227</v>
        <stp/>
        <stp>BDP|15536158132392164829</stp>
        <tr r="J775" s="2"/>
      </tp>
      <tp t="s">
        <v>#N/A Requesting Data...1649709752</v>
        <stp/>
        <stp>BDP|17465107617162250802</stp>
        <tr r="C2123" s="2"/>
      </tp>
      <tp t="s">
        <v>#N/A Requesting Data...2874840340</v>
        <stp/>
        <stp>BDP|12040622880082727343</stp>
        <tr r="N519" s="2"/>
      </tp>
      <tp t="s">
        <v>#N/A Requesting Data...3710660303</v>
        <stp/>
        <stp>BDP|11239433684540369074</stp>
        <tr r="G912" s="2"/>
      </tp>
      <tp t="s">
        <v>#N/A Requesting Data...2708348312</v>
        <stp/>
        <stp>BDP|14977539469389036328</stp>
        <tr r="E1565" s="2"/>
      </tp>
      <tp t="s">
        <v>#N/A Requesting Data...3054578555</v>
        <stp/>
        <stp>BDP|12775339083166708219</stp>
        <tr r="D1290" s="2"/>
      </tp>
      <tp t="s">
        <v>#N/A Requesting Data...2262893958</v>
        <stp/>
        <stp>BDP|12016660175758077627</stp>
        <tr r="R494" s="2"/>
      </tp>
      <tp t="s">
        <v>#N/A Requesting Data...1514738825</v>
        <stp/>
        <stp>BDP|17891395134008234269</stp>
        <tr r="P2163" s="2"/>
      </tp>
      <tp t="s">
        <v>#N/A Requesting Data...3665295645</v>
        <stp/>
        <stp>BDP|15735496570468924365</stp>
        <tr r="O1984" s="2"/>
      </tp>
      <tp t="s">
        <v>#N/A Requesting Data...3039471885</v>
        <stp/>
        <stp>BDP|11156551498708509887</stp>
        <tr r="K2014" s="2"/>
      </tp>
      <tp t="s">
        <v>#N/A Requesting Data...3510108952</v>
        <stp/>
        <stp>BDP|16126021595277713504</stp>
        <tr r="S2205" s="2"/>
      </tp>
      <tp t="s">
        <v>#N/A Requesting Data...2134544227</v>
        <stp/>
        <stp>BDP|18392014550299328909</stp>
        <tr r="O1338" s="2"/>
      </tp>
      <tp t="s">
        <v>#N/A Requesting Data...3960332575</v>
        <stp/>
        <stp>BDP|10291926711236507359</stp>
        <tr r="C720" s="2"/>
      </tp>
      <tp t="s">
        <v>#N/A Requesting Data...2292625691</v>
        <stp/>
        <stp>BDP|10554828882338033556</stp>
        <tr r="D1114" s="2"/>
      </tp>
      <tp t="s">
        <v>#N/A Requesting Data...2748678887</v>
        <stp/>
        <stp>BDP|11007404343395482974</stp>
        <tr r="K1449" s="2"/>
      </tp>
      <tp t="s">
        <v>#N/A Requesting Data...4212279029</v>
        <stp/>
        <stp>BDP|12138447894970648272</stp>
        <tr r="M1533" s="2"/>
      </tp>
      <tp t="s">
        <v>#N/A Requesting Data...1736832870</v>
        <stp/>
        <stp>BDP|12188781106278777087</stp>
        <tr r="Q2064" s="2"/>
      </tp>
      <tp t="s">
        <v>#N/A Requesting Data...3966494920</v>
        <stp/>
        <stp>BDP|12154682559595583951</stp>
        <tr r="S285" s="2"/>
      </tp>
      <tp t="s">
        <v>#N/A Requesting Data...1596925543</v>
        <stp/>
        <stp>BDP|16657332287964345411</stp>
        <tr r="T2141" s="2"/>
      </tp>
      <tp t="s">
        <v>#N/A Requesting Data...2097243370</v>
        <stp/>
        <stp>BDP|13928198613757469970</stp>
        <tr r="Q1284" s="2"/>
      </tp>
      <tp t="s">
        <v>#N/A Requesting Data...4187426706</v>
        <stp/>
        <stp>BDP|17659778590580066415</stp>
        <tr r="J1850" s="2"/>
      </tp>
      <tp t="b">
        <v>0</v>
        <stp/>
        <stp>BDS|14358884250222810608</stp>
        <tr r="I2223" s="2"/>
      </tp>
      <tp t="s">
        <v>#N/A Requesting Data...3243486013</v>
        <stp/>
        <stp>BDP|11382153613778246472</stp>
        <tr r="N713" s="2"/>
      </tp>
      <tp t="s">
        <v>#N/A Requesting Data...2940583433</v>
        <stp/>
        <stp>BDP|11077228141808780245</stp>
        <tr r="H1098" s="2"/>
      </tp>
      <tp t="s">
        <v>#N/A Requesting Data...1779689288</v>
        <stp/>
        <stp>BDP|12613077190250164608</stp>
        <tr r="G1421" s="2"/>
      </tp>
      <tp t="s">
        <v>#N/A Requesting Data...3531536579</v>
        <stp/>
        <stp>BDP|14020309696612158171</stp>
        <tr r="C611" s="2"/>
      </tp>
      <tp t="s">
        <v>#N/A Requesting Data...3711901088</v>
        <stp/>
        <stp>BDP|17227665307889538565</stp>
        <tr r="H1138" s="2"/>
      </tp>
      <tp t="s">
        <v>#N/A Requesting Data...4110158019</v>
        <stp/>
        <stp>BDP|14045959935231738275</stp>
        <tr r="F1463" s="2"/>
      </tp>
      <tp t="s">
        <v>#N/A Requesting Data...3690439490</v>
        <stp/>
        <stp>BDP|11459412195751000008</stp>
        <tr r="T1312" s="2"/>
      </tp>
      <tp t="s">
        <v>#N/A Requesting Data...2862807898</v>
        <stp/>
        <stp>BDP|17369228364197274970</stp>
        <tr r="M361" s="2"/>
      </tp>
      <tp t="s">
        <v>#N/A Requesting Data...1743251604</v>
        <stp/>
        <stp>BDP|12064372657549189016</stp>
        <tr r="P975" s="2"/>
      </tp>
      <tp t="s">
        <v>#N/A Requesting Data...2719840202</v>
        <stp/>
        <stp>BDP|13745975925873464610</stp>
        <tr r="R681" s="2"/>
      </tp>
      <tp t="s">
        <v>#N/A Requesting Data...2494544541</v>
        <stp/>
        <stp>BDP|15646674150413597842</stp>
        <tr r="S1659" s="2"/>
      </tp>
      <tp t="s">
        <v>#N/A Requesting Data...2828441690</v>
        <stp/>
        <stp>BDP|17216229287761702100</stp>
        <tr r="J1925" s="2"/>
      </tp>
      <tp t="s">
        <v>#N/A Requesting Data...2129966093</v>
        <stp/>
        <stp>BDP|10045323285666363048</stp>
        <tr r="M198" s="2"/>
      </tp>
      <tp t="s">
        <v>#N/A Requesting Data...3600860421</v>
        <stp/>
        <stp>BDP|12696052930238366401</stp>
        <tr r="A810" s="2"/>
      </tp>
      <tp t="s">
        <v>#N/A Requesting Data...3978843614</v>
        <stp/>
        <stp>BDP|16585980771665932053</stp>
        <tr r="A1589" s="2"/>
      </tp>
      <tp t="s">
        <v>#N/A Requesting Data...3507217962</v>
        <stp/>
        <stp>BDP|15160311591854102601</stp>
        <tr r="G1486" s="2"/>
      </tp>
      <tp t="s">
        <v>#N/A Requesting Data...2032771063</v>
        <stp/>
        <stp>BDP|13658053648559982326</stp>
        <tr r="G1057" s="2"/>
      </tp>
      <tp t="s">
        <v>#N/A Requesting Data...3381981230</v>
        <stp/>
        <stp>BDP|11387401699320968131</stp>
        <tr r="M625" s="2"/>
      </tp>
      <tp t="s">
        <v>#N/A Requesting Data...2555529249</v>
        <stp/>
        <stp>BDP|11875328093347952104</stp>
        <tr r="K424" s="2"/>
      </tp>
      <tp t="s">
        <v>#N/A Requesting Data...3023876410</v>
        <stp/>
        <stp>BDP|15661553986754180146</stp>
        <tr r="G1142" s="2"/>
      </tp>
      <tp t="s">
        <v>#N/A Requesting Data...1736668631</v>
        <stp/>
        <stp>BDP|11279270191341100658</stp>
        <tr r="C820" s="2"/>
      </tp>
      <tp t="s">
        <v>#N/A Requesting Data...2884490041</v>
        <stp/>
        <stp>BDP|16033905956647046068</stp>
        <tr r="G1598" s="2"/>
      </tp>
      <tp t="s">
        <v>#N/A Requesting Data...3041255157</v>
        <stp/>
        <stp>BDP|10434940310440098502</stp>
        <tr r="G1032" s="2"/>
      </tp>
      <tp t="s">
        <v>#N/A Requesting Data...3598514465</v>
        <stp/>
        <stp>BDP|13114050651259592206</stp>
        <tr r="C200" s="2"/>
      </tp>
      <tp t="s">
        <v>#N/A Requesting Data...4274054005</v>
        <stp/>
        <stp>BDP|15639578101148759573</stp>
        <tr r="A1339" s="2"/>
      </tp>
      <tp t="s">
        <v>#N/A Requesting Data...3043568986</v>
        <stp/>
        <stp>BDP|10186953802297167373</stp>
        <tr r="J79" s="2"/>
      </tp>
      <tp t="s">
        <v>#N/A Requesting Data...2126935886</v>
        <stp/>
        <stp>BDP|17358958012737149552</stp>
        <tr r="O57" s="2"/>
      </tp>
      <tp t="s">
        <v>#N/A Requesting Data...2312110947</v>
        <stp/>
        <stp>BDP|14426037621592344957</stp>
        <tr r="K1321" s="2"/>
      </tp>
      <tp t="s">
        <v>#N/A Requesting Data...1792565804</v>
        <stp/>
        <stp>BDP|13073336987420434505</stp>
        <tr r="Q1592" s="2"/>
      </tp>
      <tp t="s">
        <v>#N/A Requesting Data...3893002963</v>
        <stp/>
        <stp>BDP|13362176095354658275</stp>
        <tr r="T1532" s="2"/>
      </tp>
      <tp t="s">
        <v>#N/A Requesting Data...3782189444</v>
        <stp/>
        <stp>BDP|14527716481014559202</stp>
        <tr r="M2352" s="2"/>
      </tp>
      <tp t="s">
        <v>#N/A Requesting Data...1692877764</v>
        <stp/>
        <stp>BDP|11954857944756072681</stp>
        <tr r="A2189" s="2"/>
      </tp>
      <tp t="s">
        <v>#N/A Requesting Data...4194185659</v>
        <stp/>
        <stp>BDP|15529686890062520585</stp>
        <tr r="S1209" s="2"/>
      </tp>
      <tp t="s">
        <v>#N/A Requesting Data...2818730704</v>
        <stp/>
        <stp>BDP|12852026183500830716</stp>
        <tr r="S2104" s="2"/>
      </tp>
      <tp t="s">
        <v>#N/A Requesting Data...2784256699</v>
        <stp/>
        <stp>BDP|16985763073913469886</stp>
        <tr r="C413" s="2"/>
      </tp>
      <tp t="s">
        <v>#N/A Requesting Data...2540097358</v>
        <stp/>
        <stp>BDP|17031508087841298658</stp>
        <tr r="E1783" s="2"/>
      </tp>
      <tp t="s">
        <v>#N/A Requesting Data...2852209271</v>
        <stp/>
        <stp>BDP|15725661236688273550</stp>
        <tr r="S2436" s="2"/>
      </tp>
      <tp t="s">
        <v>#N/A Requesting Data...3515008452</v>
        <stp/>
        <stp>BDP|16459050203159771251</stp>
        <tr r="F1872" s="2"/>
      </tp>
      <tp t="s">
        <v>#N/A Requesting Data...3124602016</v>
        <stp/>
        <stp>BDP|16309894532221175193</stp>
        <tr r="M1079" s="2"/>
      </tp>
      <tp t="s">
        <v>#N/A Requesting Data...3018891805</v>
        <stp/>
        <stp>BDP|12851931208122604457</stp>
        <tr r="O1534" s="2"/>
      </tp>
      <tp t="s">
        <v>#N/A Requesting Data...1675964544</v>
        <stp/>
        <stp>BDP|16706855745832795506</stp>
        <tr r="G637" s="2"/>
      </tp>
      <tp t="s">
        <v>#N/A Requesting Data...1811245539</v>
        <stp/>
        <stp>BDP|13266074490584507306</stp>
        <tr r="H2461" s="2"/>
      </tp>
      <tp t="s">
        <v>#N/A Requesting Data...2890609552</v>
        <stp/>
        <stp>BDP|10373207945029760217</stp>
        <tr r="D1808" s="2"/>
      </tp>
      <tp t="s">
        <v>#N/A Requesting Data...1847701919</v>
        <stp/>
        <stp>BDP|10235377599533468486</stp>
        <tr r="N1872" s="2"/>
      </tp>
      <tp t="s">
        <v>#N/A Requesting Data...3883487789</v>
        <stp/>
        <stp>BDP|18045762779794783189</stp>
        <tr r="J370" s="2"/>
      </tp>
      <tp t="s">
        <v>#N/A Requesting Data...2196372649</v>
        <stp/>
        <stp>BDP|12875772729152622806</stp>
        <tr r="G2083" s="2"/>
      </tp>
      <tp t="s">
        <v>#N/A Requesting Data...1733425587</v>
        <stp/>
        <stp>BDP|15164817140921795571</stp>
        <tr r="N1953" s="2"/>
      </tp>
      <tp t="b">
        <v>0</v>
        <stp/>
        <stp>BDS|16939897784832535928</stp>
        <tr r="I235" s="2"/>
      </tp>
      <tp t="s">
        <v>#N/A Requesting Data...2686626291</v>
        <stp/>
        <stp>BDP|16355673487430539566</stp>
        <tr r="R1644" s="2"/>
      </tp>
      <tp t="s">
        <v>#N/A Requesting Data...3339651678</v>
        <stp/>
        <stp>BDP|18137982181152136694</stp>
        <tr r="H2203" s="2"/>
      </tp>
      <tp t="s">
        <v>#N/A Requesting Data...2951928120</v>
        <stp/>
        <stp>BDP|15375376685995679678</stp>
        <tr r="H1865" s="2"/>
      </tp>
      <tp t="s">
        <v>#N/A Requesting Data...3345568684</v>
        <stp/>
        <stp>BDP|10431761792074033706</stp>
        <tr r="D1954" s="2"/>
      </tp>
      <tp t="s">
        <v>#N/A Requesting Data...3754000998</v>
        <stp/>
        <stp>BDP|15218713603757837880</stp>
        <tr r="J1064" s="2"/>
      </tp>
      <tp t="s">
        <v>#N/A Requesting Data...2448204432</v>
        <stp/>
        <stp>BDP|14750789846032885812</stp>
        <tr r="O1398" s="2"/>
      </tp>
      <tp t="s">
        <v>#N/A Requesting Data...3576221492</v>
        <stp/>
        <stp>BDP|16758606466413918880</stp>
        <tr r="G298" s="2"/>
      </tp>
      <tp t="s">
        <v>#N/A Requesting Data...2309486605</v>
        <stp/>
        <stp>BDP|18170156666251211304</stp>
        <tr r="N1951" s="2"/>
      </tp>
      <tp t="s">
        <v>#N/A Requesting Data...3439943049</v>
        <stp/>
        <stp>BDP|16747314725488325203</stp>
        <tr r="H2255" s="2"/>
      </tp>
      <tp t="s">
        <v>#N/A Requesting Data...2165011015</v>
        <stp/>
        <stp>BDP|14716677861619033016</stp>
        <tr r="M2523" s="2"/>
      </tp>
      <tp t="s">
        <v>#N/A Requesting Data...3932151952</v>
        <stp/>
        <stp>BDP|18361549509893945376</stp>
        <tr r="S2239" s="2"/>
      </tp>
      <tp t="s">
        <v>#N/A Requesting Data...2876823124</v>
        <stp/>
        <stp>BDP|17020075822790006855</stp>
        <tr r="A1227" s="2"/>
      </tp>
      <tp t="s">
        <v>#N/A Requesting Data...1769942463</v>
        <stp/>
        <stp>BDP|12695341297965077053</stp>
        <tr r="H403" s="2"/>
      </tp>
      <tp t="s">
        <v>#N/A Requesting Data...3517931629</v>
        <stp/>
        <stp>BDP|16441871862184172106</stp>
        <tr r="J1615" s="2"/>
      </tp>
      <tp t="s">
        <v>#N/A Requesting Data...4009341242</v>
        <stp/>
        <stp>BDP|16735959672396846389</stp>
        <tr r="K783" s="2"/>
      </tp>
      <tp t="s">
        <v>#N/A Requesting Data...2024636013</v>
        <stp/>
        <stp>BDP|12112566163285178956</stp>
        <tr r="P2213" s="2"/>
      </tp>
      <tp t="s">
        <v>#N/A Requesting Data...2635604749</v>
        <stp/>
        <stp>BDP|14715338726598618049</stp>
        <tr r="Q1960" s="2"/>
      </tp>
      <tp t="s">
        <v>#N/A Requesting Data...3782398426</v>
        <stp/>
        <stp>BDP|17544177196640172256</stp>
        <tr r="G2099" s="2"/>
      </tp>
      <tp t="b">
        <v>0</v>
        <stp/>
        <stp>BDS|12037970936923241635</stp>
        <tr r="I113" s="2"/>
      </tp>
      <tp t="s">
        <v>#N/A Requesting Data...1856977005</v>
        <stp/>
        <stp>BDP|10572202436899227524</stp>
        <tr r="Q1184" s="2"/>
      </tp>
      <tp t="s">
        <v>#N/A Requesting Data...2267087473</v>
        <stp/>
        <stp>BDP|16403809364872221718</stp>
        <tr r="S2330" s="2"/>
      </tp>
      <tp t="s">
        <v>#N/A Requesting Data...3592984296</v>
        <stp/>
        <stp>BDP|14220533180564564079</stp>
        <tr r="O645" s="2"/>
      </tp>
      <tp t="s">
        <v>#N/A Requesting Data...1848526861</v>
        <stp/>
        <stp>BDP|14030476856558624048</stp>
        <tr r="K1408" s="2"/>
      </tp>
      <tp t="s">
        <v>#N/A Requesting Data...3421170176</v>
        <stp/>
        <stp>BDP|16171809892002550851</stp>
        <tr r="O755" s="2"/>
      </tp>
      <tp t="s">
        <v>#N/A Requesting Data...3447863719</v>
        <stp/>
        <stp>BDP|10641224102829268674</stp>
        <tr r="G745" s="2"/>
      </tp>
      <tp t="s">
        <v>#N/A Requesting Data...4181105011</v>
        <stp/>
        <stp>BDP|15676339759047611995</stp>
        <tr r="H1899" s="2"/>
      </tp>
      <tp t="s">
        <v>#N/A Requesting Data...2043932574</v>
        <stp/>
        <stp>BDP|13514909266264056505</stp>
        <tr r="H1372" s="2"/>
      </tp>
      <tp t="s">
        <v>#N/A Requesting Data...4147297069</v>
        <stp/>
        <stp>BDP|12922442712049581392</stp>
        <tr r="P1087" s="2"/>
      </tp>
      <tp t="s">
        <v>#N/A Requesting Data...1889845100</v>
        <stp/>
        <stp>BDP|12004495146626994950</stp>
        <tr r="A395" s="2"/>
      </tp>
      <tp t="s">
        <v>#N/A Requesting Data...1780883758</v>
        <stp/>
        <stp>BDP|15725318248928496790</stp>
        <tr r="D877" s="2"/>
      </tp>
      <tp t="s">
        <v>#N/A Requesting Data...2966981502</v>
        <stp/>
        <stp>BDP|15183871981140401801</stp>
        <tr r="H872" s="2"/>
      </tp>
      <tp t="b">
        <v>0</v>
        <stp/>
        <stp>BDS|13481454753967088824</stp>
        <tr r="I1879" s="2"/>
      </tp>
      <tp t="s">
        <v>#N/A Requesting Data...1834272948</v>
        <stp/>
        <stp>BDP|16620678903104643976</stp>
        <tr r="O2268" s="2"/>
      </tp>
      <tp t="s">
        <v>#N/A Requesting Data...3100658059</v>
        <stp/>
        <stp>BDP|13921992574265725509</stp>
        <tr r="D2473" s="2"/>
      </tp>
      <tp t="s">
        <v>#N/A Requesting Data...2066544634</v>
        <stp/>
        <stp>BDP|13531336987822147731</stp>
        <tr r="N1057" s="2"/>
      </tp>
      <tp t="s">
        <v>#N/A Requesting Data...1969041823</v>
        <stp/>
        <stp>BDP|10300213846812215952</stp>
        <tr r="E848" s="2"/>
      </tp>
      <tp t="s">
        <v>#N/A Requesting Data...1854029863</v>
        <stp/>
        <stp>BDP|12828385935677509839</stp>
        <tr r="M2242" s="2"/>
      </tp>
      <tp t="s">
        <v>#N/A Requesting Data...2287214578</v>
        <stp/>
        <stp>BDP|10367369988485603383</stp>
        <tr r="T1211" s="2"/>
      </tp>
      <tp t="s">
        <v>#N/A Requesting Data...1962867206</v>
        <stp/>
        <stp>BDP|10988735131010156997</stp>
        <tr r="S2158" s="2"/>
      </tp>
      <tp t="s">
        <v>#N/A Requesting Data...2064406939</v>
        <stp/>
        <stp>BDP|15348394631601997910</stp>
        <tr r="S1092" s="2"/>
      </tp>
      <tp t="s">
        <v>#N/A Requesting Data...2284375064</v>
        <stp/>
        <stp>BDP|15850226354068555789</stp>
        <tr r="T1024" s="2"/>
      </tp>
      <tp t="s">
        <v>#N/A Requesting Data...4095558005</v>
        <stp/>
        <stp>BDP|12523561909129145388</stp>
        <tr r="S709" s="2"/>
      </tp>
      <tp t="b">
        <v>0</v>
        <stp/>
        <stp>BDS|14363529977168763316</stp>
        <tr r="I23" s="2"/>
      </tp>
      <tp t="s">
        <v>#N/A Requesting Data...3704575959</v>
        <stp/>
        <stp>BDP|13889856203453410595</stp>
        <tr r="R2150" s="2"/>
      </tp>
      <tp t="s">
        <v>#N/A Requesting Data...3059242244</v>
        <stp/>
        <stp>BDP|10593905567303045115</stp>
        <tr r="O1576" s="2"/>
      </tp>
      <tp t="s">
        <v>#N/A Requesting Data...4096368569</v>
        <stp/>
        <stp>BDP|15533766503888352705</stp>
        <tr r="N2428" s="2"/>
      </tp>
      <tp t="s">
        <v>#N/A Requesting Data...2999406882</v>
        <stp/>
        <stp>BDP|15159416239168962739</stp>
        <tr r="A1218" s="2"/>
      </tp>
      <tp t="s">
        <v>#N/A Requesting Data...4199233759</v>
        <stp/>
        <stp>BDP|15119769420644337970</stp>
        <tr r="R1749" s="2"/>
      </tp>
      <tp t="s">
        <v>#N/A Requesting Data...2716164642</v>
        <stp/>
        <stp>BDP|13075412593396620579</stp>
        <tr r="D2170" s="2"/>
      </tp>
      <tp t="s">
        <v>#N/A Requesting Data...3745302771</v>
        <stp/>
        <stp>BDP|14262839709827935629</stp>
        <tr r="S1368" s="2"/>
      </tp>
      <tp t="s">
        <v>#N/A Requesting Data...3345184087</v>
        <stp/>
        <stp>BDP|16549518091784663300</stp>
        <tr r="H437" s="2"/>
      </tp>
      <tp t="s">
        <v>#N/A Requesting Data...3271446624</v>
        <stp/>
        <stp>BDP|15018576018494968859</stp>
        <tr r="N2245" s="2"/>
      </tp>
      <tp t="s">
        <v>#N/A Requesting Data...2485719963</v>
        <stp/>
        <stp>BDP|16385717585746353271</stp>
        <tr r="K872" s="2"/>
      </tp>
      <tp t="b">
        <v>0</v>
        <stp/>
        <stp>BDS|16016846163117128267</stp>
        <tr r="I2225" s="2"/>
      </tp>
      <tp t="s">
        <v>#N/A Requesting Data...2561507811</v>
        <stp/>
        <stp>BDP|14904755899657252045</stp>
        <tr r="D455" s="2"/>
      </tp>
      <tp t="s">
        <v>#N/A Requesting Data...3535719370</v>
        <stp/>
        <stp>BDP|13235114587401606610</stp>
        <tr r="R2109" s="2"/>
      </tp>
      <tp t="s">
        <v>#N/A Requesting Data...2477912041</v>
        <stp/>
        <stp>BDP|12796089998594247262</stp>
        <tr r="D2128" s="2"/>
      </tp>
      <tp t="s">
        <v>#N/A Requesting Data...2740159560</v>
        <stp/>
        <stp>BDP|15573126816020013822</stp>
        <tr r="S1549" s="2"/>
      </tp>
      <tp t="s">
        <v>#N/A Requesting Data...3178668671</v>
        <stp/>
        <stp>BDP|12650447137768112076</stp>
        <tr r="E2491" s="2"/>
      </tp>
      <tp t="s">
        <v>#N/A Requesting Data...3702013824</v>
        <stp/>
        <stp>BDP|16562312585722600241</stp>
        <tr r="D288" s="2"/>
      </tp>
      <tp t="b">
        <v>0</v>
        <stp/>
        <stp>BDS|16949865979033322751</stp>
        <tr r="I246" s="2"/>
      </tp>
      <tp t="s">
        <v>#N/A Requesting Data...3158399962</v>
        <stp/>
        <stp>BDP|15639698480446565098</stp>
        <tr r="F379" s="2"/>
      </tp>
      <tp t="s">
        <v>#N/A Requesting Data...3592539770</v>
        <stp/>
        <stp>BDP|16486803927593462249</stp>
        <tr r="S931" s="2"/>
      </tp>
      <tp t="s">
        <v>#N/A Requesting Data...2303821709</v>
        <stp/>
        <stp>BDP|13298991929895317021</stp>
        <tr r="H450" s="2"/>
      </tp>
      <tp t="s">
        <v>#N/A Requesting Data...2291343351</v>
        <stp/>
        <stp>BDP|11164646727621659973</stp>
        <tr r="H1625" s="2"/>
      </tp>
      <tp t="s">
        <v>#N/A Requesting Data...2197803411</v>
        <stp/>
        <stp>BDP|12755972676420739120</stp>
        <tr r="M1490" s="2"/>
      </tp>
      <tp t="s">
        <v>#N/A Requesting Data...4161194286</v>
        <stp/>
        <stp>BDP|10527715260654295858</stp>
        <tr r="T1358" s="2"/>
      </tp>
      <tp t="s">
        <v>#N/A Requesting Data...3838448904</v>
        <stp/>
        <stp>BDP|13673526145359323610</stp>
        <tr r="G1788" s="2"/>
      </tp>
      <tp t="s">
        <v>#N/A Requesting Data...2969026036</v>
        <stp/>
        <stp>BDP|17957492652638596348</stp>
        <tr r="H455" s="2"/>
      </tp>
      <tp t="s">
        <v>#N/A Requesting Data...3381042476</v>
        <stp/>
        <stp>BDP|11680652175868006552</stp>
        <tr r="A773" s="2"/>
      </tp>
      <tp t="s">
        <v>#N/A Requesting Data...2480696435</v>
        <stp/>
        <stp>BDP|13250044565620076800</stp>
        <tr r="O1025" s="2"/>
      </tp>
      <tp t="s">
        <v>#N/A Requesting Data...2732357075</v>
        <stp/>
        <stp>BDP|11756262626044524815</stp>
        <tr r="P1283" s="2"/>
      </tp>
      <tp t="s">
        <v>#N/A Requesting Data...2927574598</v>
        <stp/>
        <stp>BDP|13482954407410087750</stp>
        <tr r="J1493" s="2"/>
      </tp>
      <tp t="s">
        <v>#N/A Requesting Data...2519606026</v>
        <stp/>
        <stp>BDP|18201442065012733571</stp>
        <tr r="N2144" s="2"/>
      </tp>
      <tp t="s">
        <v>#N/A Requesting Data...2689313689</v>
        <stp/>
        <stp>BDP|14659844627425010663</stp>
        <tr r="T1054" s="2"/>
      </tp>
      <tp t="s">
        <v>#N/A Requesting Data...3329475970</v>
        <stp/>
        <stp>BDP|13462574262494500971</stp>
        <tr r="K1972" s="2"/>
      </tp>
      <tp t="s">
        <v>#N/A Requesting Data...2661162811</v>
        <stp/>
        <stp>BDP|10029480610589979126</stp>
        <tr r="P1314" s="2"/>
      </tp>
      <tp t="s">
        <v>#N/A Requesting Data...1985771322</v>
        <stp/>
        <stp>BDP|11744291154288814310</stp>
        <tr r="E2172" s="2"/>
      </tp>
      <tp t="s">
        <v>#N/A Requesting Data...1956109781</v>
        <stp/>
        <stp>BDP|12882181892554525348</stp>
        <tr r="A2122" s="2"/>
      </tp>
      <tp t="s">
        <v>#N/A Requesting Data...3187180205</v>
        <stp/>
        <stp>BDP|15707272354217517827</stp>
        <tr r="F2359" s="2"/>
      </tp>
      <tp t="s">
        <v>#N/A Requesting Data...3496385858</v>
        <stp/>
        <stp>BDP|17581631968038592285</stp>
        <tr r="F402" s="2"/>
      </tp>
      <tp t="s">
        <v>#N/A Requesting Data...3684177670</v>
        <stp/>
        <stp>BDP|11238952949197450690</stp>
        <tr r="T2440" s="2"/>
      </tp>
      <tp t="s">
        <v>#N/A Requesting Data...2679721214</v>
        <stp/>
        <stp>BDP|17113272784274706464</stp>
        <tr r="Q1727" s="2"/>
      </tp>
      <tp t="s">
        <v>#N/A Requesting Data...2973771071</v>
        <stp/>
        <stp>BDP|14758607485424838390</stp>
        <tr r="P1458" s="2"/>
      </tp>
      <tp t="s">
        <v>#N/A Requesting Data...3705092994</v>
        <stp/>
        <stp>BDP|10071239699324014299</stp>
        <tr r="P833" s="2"/>
      </tp>
      <tp t="s">
        <v>#N/A Requesting Data...3456310630</v>
        <stp/>
        <stp>BDP|10018165052911281851</stp>
        <tr r="R2264" s="2"/>
      </tp>
      <tp t="s">
        <v>#N/A Requesting Data...3077459842</v>
        <stp/>
        <stp>BDP|13638517811299001352</stp>
        <tr r="Q136" s="2"/>
      </tp>
      <tp t="s">
        <v>#N/A Requesting Data...2535411198</v>
        <stp/>
        <stp>BDP|17548360111179206131</stp>
        <tr r="E2349" s="2"/>
      </tp>
      <tp t="s">
        <v>#N/A Requesting Data...4176124107</v>
        <stp/>
        <stp>BDP|11619942253012221205</stp>
        <tr r="D2234" s="2"/>
      </tp>
      <tp t="s">
        <v>#N/A Requesting Data...2886001939</v>
        <stp/>
        <stp>BDP|15820766465381056886</stp>
        <tr r="Q1148" s="2"/>
      </tp>
      <tp t="s">
        <v>#N/A Requesting Data...2538094635</v>
        <stp/>
        <stp>BDP|10922142733838956749</stp>
        <tr r="T243" s="2"/>
      </tp>
      <tp t="s">
        <v>#N/A Requesting Data...2214330947</v>
        <stp/>
        <stp>BDP|12153841911032561439</stp>
        <tr r="S1492" s="2"/>
      </tp>
      <tp t="s">
        <v>#N/A Requesting Data...3168425155</v>
        <stp/>
        <stp>BDP|13362512083674195720</stp>
        <tr r="O1357" s="2"/>
      </tp>
      <tp t="s">
        <v>#N/A Requesting Data...3179964813</v>
        <stp/>
        <stp>BDP|10838915287529980551</stp>
        <tr r="R1884" s="2"/>
      </tp>
      <tp t="s">
        <v>#N/A Requesting Data...2618198573</v>
        <stp/>
        <stp>BDP|14534309098746618596</stp>
        <tr r="J2126" s="2"/>
      </tp>
      <tp t="s">
        <v>#N/A Requesting Data...2795223200</v>
        <stp/>
        <stp>BDP|14599812361500044773</stp>
        <tr r="K1215" s="2"/>
      </tp>
      <tp t="s">
        <v>#N/A Requesting Data...1949285919</v>
        <stp/>
        <stp>BDP|16008522695520082756</stp>
        <tr r="P1759" s="2"/>
      </tp>
      <tp t="s">
        <v>#N/A Requesting Data...3185683263</v>
        <stp/>
        <stp>BDP|13704949852557619554</stp>
        <tr r="O927" s="2"/>
      </tp>
      <tp t="s">
        <v>#N/A Requesting Data...2810068616</v>
        <stp/>
        <stp>BDP|14080242673158157446</stp>
        <tr r="F2433" s="2"/>
      </tp>
      <tp t="s">
        <v>#N/A Requesting Data...3348100187</v>
        <stp/>
        <stp>BDP|12791917115714864390</stp>
        <tr r="O558" s="2"/>
      </tp>
      <tp t="s">
        <v>#N/A Requesting Data...2503275909</v>
        <stp/>
        <stp>BDP|12255268378983839968</stp>
        <tr r="R129" s="2"/>
      </tp>
      <tp t="s">
        <v>#N/A Requesting Data...4155689353</v>
        <stp/>
        <stp>BDP|14744610351808511202</stp>
        <tr r="G1862" s="2"/>
      </tp>
      <tp t="b">
        <v>0</v>
        <stp/>
        <stp>BDS|11016479605370275813</stp>
        <tr r="I157" s="2"/>
      </tp>
      <tp t="s">
        <v>#N/A Requesting Data...3858945580</v>
        <stp/>
        <stp>BDP|13774806623071068569</stp>
        <tr r="N667" s="2"/>
      </tp>
      <tp t="s">
        <v>#N/A Requesting Data...2935180878</v>
        <stp/>
        <stp>BDP|11943328886314730382</stp>
        <tr r="A378" s="2"/>
      </tp>
      <tp t="s">
        <v>#N/A Requesting Data...2231586844</v>
        <stp/>
        <stp>BDP|10744353570270793972</stp>
        <tr r="Q69" s="2"/>
      </tp>
      <tp t="s">
        <v>#N/A Requesting Data...2727127527</v>
        <stp/>
        <stp>BDP|12749918347184206613</stp>
        <tr r="P90" s="2"/>
      </tp>
      <tp t="s">
        <v>#N/A Requesting Data...3524450195</v>
        <stp/>
        <stp>BDP|11602156992230289412</stp>
        <tr r="E2256" s="2"/>
      </tp>
      <tp t="s">
        <v>#N/A Requesting Data...3706358166</v>
        <stp/>
        <stp>BDP|15887018899797484661</stp>
        <tr r="P2526" s="2"/>
      </tp>
      <tp t="s">
        <v>#N/A Requesting Data...4047282127</v>
        <stp/>
        <stp>BDP|12383016380825099202</stp>
        <tr r="J1856" s="2"/>
      </tp>
      <tp t="s">
        <v>#N/A Requesting Data...4090198769</v>
        <stp/>
        <stp>BDP|14771178785893534329</stp>
        <tr r="M583" s="2"/>
      </tp>
      <tp t="s">
        <v>#N/A Requesting Data...3914679694</v>
        <stp/>
        <stp>BDP|13185307941098361114</stp>
        <tr r="D1889" s="2"/>
      </tp>
      <tp t="s">
        <v>#N/A Requesting Data...2941635111</v>
        <stp/>
        <stp>BDP|13557409005563435967</stp>
        <tr r="F1364" s="2"/>
      </tp>
      <tp t="s">
        <v>#N/A Requesting Data...3007838738</v>
        <stp/>
        <stp>BDP|17973985781848719357</stp>
        <tr r="A1873" s="2"/>
      </tp>
      <tp t="s">
        <v>#N/A Requesting Data...3404460086</v>
        <stp/>
        <stp>BDP|14472479276132578824</stp>
        <tr r="H1159" s="2"/>
      </tp>
      <tp t="s">
        <v>#N/A Requesting Data...2864648175</v>
        <stp/>
        <stp>BDP|16393688523229381697</stp>
        <tr r="P1809" s="2"/>
      </tp>
      <tp t="s">
        <v>#N/A Requesting Data...3922630853</v>
        <stp/>
        <stp>BDP|17823643199957160262</stp>
        <tr r="C1526" s="2"/>
      </tp>
      <tp t="s">
        <v>#N/A Requesting Data...2204354638</v>
        <stp/>
        <stp>BDP|15682262233028374121</stp>
        <tr r="H1280" s="2"/>
      </tp>
      <tp t="s">
        <v>#N/A Requesting Data...3240037509</v>
        <stp/>
        <stp>BDP|11356250497263727449</stp>
        <tr r="H652" s="2"/>
      </tp>
      <tp t="s">
        <v>#N/A Requesting Data...2860034002</v>
        <stp/>
        <stp>BDP|18095170642170267052</stp>
        <tr r="Q674" s="2"/>
      </tp>
      <tp t="s">
        <v>#N/A Requesting Data...3714460347</v>
        <stp/>
        <stp>BDP|10492410146898114503</stp>
        <tr r="Q1486" s="2"/>
      </tp>
      <tp t="s">
        <v>#N/A Requesting Data...2884112585</v>
        <stp/>
        <stp>BDP|15389829650411400476</stp>
        <tr r="N2369" s="2"/>
      </tp>
      <tp t="s">
        <v>#N/A Requesting Data...3150478622</v>
        <stp/>
        <stp>BDP|11268783893311208395</stp>
        <tr r="S1630" s="2"/>
      </tp>
      <tp t="s">
        <v>#N/A Requesting Data...3256352525</v>
        <stp/>
        <stp>BDP|17796970173951408553</stp>
        <tr r="H1413" s="2"/>
      </tp>
      <tp t="s">
        <v>#N/A Requesting Data...3155641351</v>
        <stp/>
        <stp>BDP|17231907977733178767</stp>
        <tr r="J2175" s="2"/>
      </tp>
      <tp t="s">
        <v>#N/A Requesting Data...2777854708</v>
        <stp/>
        <stp>BDP|10469488019908175062</stp>
        <tr r="A1659" s="2"/>
      </tp>
      <tp t="s">
        <v>#N/A Requesting Data...4218217004</v>
        <stp/>
        <stp>BDP|12586409982025245677</stp>
        <tr r="R895" s="2"/>
      </tp>
      <tp t="s">
        <v>#N/A Requesting Data...4145276231</v>
        <stp/>
        <stp>BDP|13848878217513923439</stp>
        <tr r="D1979" s="2"/>
      </tp>
      <tp t="s">
        <v>#N/A Requesting Data...3997841854</v>
        <stp/>
        <stp>BDP|15176916660114224300</stp>
        <tr r="M66" s="2"/>
      </tp>
      <tp t="s">
        <v>#N/A Requesting Data...3760552755</v>
        <stp/>
        <stp>BDP|10587022286407353209</stp>
        <tr r="A1276" s="2"/>
      </tp>
      <tp t="s">
        <v>#N/A Requesting Data...3626470295</v>
        <stp/>
        <stp>BDP|13568919870515180570</stp>
        <tr r="S688" s="2"/>
      </tp>
      <tp t="s">
        <v>#N/A Requesting Data...2760573254</v>
        <stp/>
        <stp>BDP|17060502673108576040</stp>
        <tr r="R2455" s="2"/>
      </tp>
      <tp t="b">
        <v>0</v>
        <stp/>
        <stp>BDS|10107500715588238174</stp>
        <tr r="I106" s="2"/>
      </tp>
      <tp t="s">
        <v>#N/A Requesting Data...3462271452</v>
        <stp/>
        <stp>BDP|12590957779821222095</stp>
        <tr r="J215" s="2"/>
      </tp>
      <tp t="s">
        <v>#N/A Requesting Data...3830687413</v>
        <stp/>
        <stp>BDP|17206941345732911586</stp>
        <tr r="K1850" s="2"/>
      </tp>
      <tp t="s">
        <v>#N/A Requesting Data...3720701675</v>
        <stp/>
        <stp>BDP|11504917422552414502</stp>
        <tr r="C1491" s="2"/>
      </tp>
      <tp t="s">
        <v>#N/A Requesting Data...3284390692</v>
        <stp/>
        <stp>BDP|11608968191025018938</stp>
        <tr r="P1254" s="2"/>
      </tp>
      <tp t="s">
        <v>#N/A Requesting Data...2501965406</v>
        <stp/>
        <stp>BDP|18323265957711698368</stp>
        <tr r="Q1405" s="2"/>
      </tp>
      <tp t="s">
        <v>#N/A Requesting Data...3080564962</v>
        <stp/>
        <stp>BDP|14532464967369351251</stp>
        <tr r="M954" s="2"/>
      </tp>
      <tp t="s">
        <v>#N/A Requesting Data...2793999853</v>
        <stp/>
        <stp>BDP|12817856382639589689</stp>
        <tr r="M776" s="2"/>
      </tp>
      <tp t="s">
        <v>#N/A Requesting Data...3790029679</v>
        <stp/>
        <stp>BDP|12788654731902466853</stp>
        <tr r="D1784" s="2"/>
      </tp>
      <tp t="s">
        <v>#N/A Requesting Data...2255226057</v>
        <stp/>
        <stp>BDP|14524435320189566610</stp>
        <tr r="D1462" s="2"/>
      </tp>
      <tp t="s">
        <v>#N/A Requesting Data...4255810454</v>
        <stp/>
        <stp>BDP|11357776301149524220</stp>
        <tr r="M364" s="2"/>
      </tp>
      <tp t="s">
        <v>#N/A Requesting Data...2795807427</v>
        <stp/>
        <stp>BDP|15492165626112493924</stp>
        <tr r="K1858" s="2"/>
      </tp>
      <tp t="b">
        <v>0</v>
        <stp/>
        <stp>BDS|17376241174938318719</stp>
        <tr r="I943" s="2"/>
      </tp>
      <tp t="s">
        <v>#N/A Requesting Data...3964327436</v>
        <stp/>
        <stp>BDP|10566467016079418137</stp>
        <tr r="J1634" s="2"/>
      </tp>
      <tp t="s">
        <v>#N/A Requesting Data...2393369441</v>
        <stp/>
        <stp>BDP|10148842401856092360</stp>
        <tr r="F61" s="2"/>
      </tp>
      <tp t="s">
        <v>#N/A Requesting Data...2651079132</v>
        <stp/>
        <stp>BDP|15688883698630687922</stp>
        <tr r="C120" s="2"/>
      </tp>
      <tp t="s">
        <v>#N/A Requesting Data...3062391706</v>
        <stp/>
        <stp>BDP|17320195750028822602</stp>
        <tr r="T951" s="2"/>
      </tp>
      <tp t="s">
        <v>#N/A Requesting Data...2373397633</v>
        <stp/>
        <stp>BDP|13276518631849452145</stp>
        <tr r="M1793" s="2"/>
      </tp>
      <tp t="s">
        <v>#N/A Requesting Data...2173294126</v>
        <stp/>
        <stp>BDP|12470844710775731350</stp>
        <tr r="P2017" s="2"/>
      </tp>
      <tp t="s">
        <v>#N/A Requesting Data...3901953813</v>
        <stp/>
        <stp>BDP|11847891819280214581</stp>
        <tr r="M612" s="2"/>
      </tp>
      <tp t="s">
        <v>#N/A Requesting Data...3921188345</v>
        <stp/>
        <stp>BDP|15286408425299766722</stp>
        <tr r="S1550" s="2"/>
      </tp>
      <tp t="s">
        <v>#N/A Requesting Data...2639403852</v>
        <stp/>
        <stp>BDP|18379333666001311170</stp>
        <tr r="K1351" s="2"/>
      </tp>
      <tp t="s">
        <v>#N/A Requesting Data...4269645055</v>
        <stp/>
        <stp>BDP|10728601081712481109</stp>
        <tr r="N617" s="2"/>
      </tp>
      <tp t="s">
        <v>#N/A Requesting Data...3151766913</v>
        <stp/>
        <stp>BDP|15387484656868703181</stp>
        <tr r="M2137" s="2"/>
      </tp>
      <tp t="s">
        <v>#N/A Requesting Data...3389804027</v>
        <stp/>
        <stp>BDP|18043748423866215670</stp>
        <tr r="C543" s="2"/>
      </tp>
      <tp t="s">
        <v>#N/A Requesting Data...3730440425</v>
        <stp/>
        <stp>BDP|13604741945599125443</stp>
        <tr r="Q509" s="2"/>
      </tp>
      <tp t="s">
        <v>#N/A Requesting Data...3340530034</v>
        <stp/>
        <stp>BDP|11066416391207415666</stp>
        <tr r="A999" s="2"/>
      </tp>
      <tp t="s">
        <v>#N/A Requesting Data...2433486385</v>
        <stp/>
        <stp>BDP|15394030775348267759</stp>
        <tr r="P1837" s="2"/>
      </tp>
      <tp t="s">
        <v>#N/A Requesting Data...2373086568</v>
        <stp/>
        <stp>BDP|13632122295753608552</stp>
        <tr r="H43" s="2"/>
      </tp>
      <tp t="s">
        <v>#N/A Requesting Data...2525448830</v>
        <stp/>
        <stp>BDP|10637564743044868895</stp>
        <tr r="C1725" s="2"/>
      </tp>
      <tp t="s">
        <v>#N/A Requesting Data...2789248219</v>
        <stp/>
        <stp>BDP|15734537955711217916</stp>
        <tr r="M204" s="2"/>
      </tp>
      <tp t="s">
        <v>#N/A Requesting Data...4048966275</v>
        <stp/>
        <stp>BDP|14958170731499933246</stp>
        <tr r="H864" s="2"/>
      </tp>
      <tp t="s">
        <v>#N/A Requesting Data...2823202381</v>
        <stp/>
        <stp>BDP|17290747586686263375</stp>
        <tr r="K1766" s="2"/>
      </tp>
      <tp t="s">
        <v>#N/A Requesting Data...2786831073</v>
        <stp/>
        <stp>BDP|17555864651584295356</stp>
        <tr r="M154" s="2"/>
      </tp>
      <tp t="s">
        <v>#N/A Requesting Data...3698787363</v>
        <stp/>
        <stp>BDP|13711803109176302088</stp>
        <tr r="G1959" s="2"/>
      </tp>
      <tp t="s">
        <v>#N/A Requesting Data...3771083804</v>
        <stp/>
        <stp>BDP|15388666789587107180</stp>
        <tr r="F814" s="2"/>
      </tp>
      <tp t="s">
        <v>#N/A Requesting Data...3770904579</v>
        <stp/>
        <stp>BDP|11032680614512857918</stp>
        <tr r="T1433" s="2"/>
      </tp>
      <tp t="s">
        <v>#N/A Requesting Data...3687458441</v>
        <stp/>
        <stp>BDP|17466929762162839797</stp>
        <tr r="P283" s="2"/>
      </tp>
      <tp t="s">
        <v>#N/A Requesting Data...3323903373</v>
        <stp/>
        <stp>BDP|15395816101169658901</stp>
        <tr r="G1435" s="2"/>
      </tp>
      <tp t="s">
        <v>#N/A Requesting Data...2329861840</v>
        <stp/>
        <stp>BDP|18214288645775940630</stp>
        <tr r="P982" s="2"/>
      </tp>
      <tp t="s">
        <v>#N/A Requesting Data...2874941459</v>
        <stp/>
        <stp>BDP|18070921186623181702</stp>
        <tr r="F208" s="2"/>
      </tp>
      <tp t="s">
        <v>#N/A Requesting Data...3566528571</v>
        <stp/>
        <stp>BDP|12599547960688752434</stp>
        <tr r="S2528" s="2"/>
      </tp>
      <tp t="s">
        <v>#N/A Requesting Data...2396115185</v>
        <stp/>
        <stp>BDP|17083018561958469416</stp>
        <tr r="D953" s="2"/>
      </tp>
      <tp t="s">
        <v>#N/A Requesting Data...2680408721</v>
        <stp/>
        <stp>BDP|13565901350496998493</stp>
        <tr r="H2344" s="2"/>
      </tp>
      <tp t="s">
        <v>#N/A Requesting Data...2626675758</v>
        <stp/>
        <stp>BDP|13470437984235186772</stp>
        <tr r="H2155" s="2"/>
      </tp>
      <tp t="s">
        <v>#N/A Requesting Data...2716857603</v>
        <stp/>
        <stp>BDP|12015528293546008544</stp>
        <tr r="A1171" s="2"/>
      </tp>
      <tp t="b">
        <v>0</v>
        <stp/>
        <stp>BDS|15736923830872302000</stp>
        <tr r="I1561" s="2"/>
      </tp>
      <tp t="s">
        <v>#N/A Requesting Data...3502201954</v>
        <stp/>
        <stp>BDP|13790017083300617664</stp>
        <tr r="J2245" s="2"/>
      </tp>
      <tp t="s">
        <v>#N/A Requesting Data...3011624825</v>
        <stp/>
        <stp>BDP|18234940828296803839</stp>
        <tr r="C884" s="2"/>
      </tp>
      <tp t="s">
        <v>#N/A Requesting Data...3484169967</v>
        <stp/>
        <stp>BDP|11522456960938061654</stp>
        <tr r="J1297" s="2"/>
      </tp>
      <tp t="s">
        <v>#N/A Requesting Data...3941358427</v>
        <stp/>
        <stp>BDP|12038065873728568058</stp>
        <tr r="F1734" s="2"/>
      </tp>
      <tp t="s">
        <v>#N/A Requesting Data...3780921307</v>
        <stp/>
        <stp>BDP|12122428676699248527</stp>
        <tr r="J801" s="2"/>
      </tp>
      <tp t="s">
        <v>#N/A Requesting Data...3791505596</v>
        <stp/>
        <stp>BDP|10953935208952672611</stp>
        <tr r="M1769" s="2"/>
      </tp>
      <tp t="s">
        <v>#N/A Requesting Data...3198840165</v>
        <stp/>
        <stp>BDP|16542614292102066638</stp>
        <tr r="O1787" s="2"/>
      </tp>
      <tp t="s">
        <v>#N/A Requesting Data...3451209784</v>
        <stp/>
        <stp>BDP|15997773585675837260</stp>
        <tr r="P2044" s="2"/>
      </tp>
      <tp t="s">
        <v>#N/A Requesting Data...2760507913</v>
        <stp/>
        <stp>BDP|16531552176801546863</stp>
        <tr r="P1842" s="2"/>
      </tp>
      <tp t="s">
        <v>#N/A Requesting Data...4248218387</v>
        <stp/>
        <stp>BDP|11961374779018157039</stp>
        <tr r="D1653" s="2"/>
      </tp>
      <tp t="s">
        <v>#N/A Requesting Data...2556316600</v>
        <stp/>
        <stp>BDP|13548003808827122993</stp>
        <tr r="T1658" s="2"/>
      </tp>
      <tp t="b">
        <v>0</v>
        <stp/>
        <stp>BDS|15349865906862274270</stp>
        <tr r="I2074" s="2"/>
      </tp>
      <tp t="s">
        <v>#N/A Requesting Data...3734626677</v>
        <stp/>
        <stp>BDP|11904198533388532635</stp>
        <tr r="G2265" s="2"/>
      </tp>
      <tp t="s">
        <v>#N/A Requesting Data...2551212953</v>
        <stp/>
        <stp>BDP|14577243543658570728</stp>
        <tr r="J1043" s="2"/>
      </tp>
      <tp t="s">
        <v>#N/A Requesting Data...3790980349</v>
        <stp/>
        <stp>BDP|18330793215064992734</stp>
        <tr r="H328" s="2"/>
      </tp>
      <tp t="s">
        <v>#N/A Requesting Data...4148672101</v>
        <stp/>
        <stp>BDP|13189917443284629703</stp>
        <tr r="G559" s="2"/>
      </tp>
      <tp t="s">
        <v>#N/A Requesting Data...3732318164</v>
        <stp/>
        <stp>BDP|15817984931206331478</stp>
        <tr r="D44" s="2"/>
      </tp>
      <tp t="s">
        <v>#N/A Requesting Data...2473919287</v>
        <stp/>
        <stp>BDP|13456987972696308688</stp>
        <tr r="C78" s="2"/>
      </tp>
      <tp t="s">
        <v>#N/A Requesting Data...4201873771</v>
        <stp/>
        <stp>BDP|13338753142959015414</stp>
        <tr r="O2014" s="2"/>
      </tp>
      <tp t="s">
        <v>#N/A Requesting Data...3279091282</v>
        <stp/>
        <stp>BDP|16994461152378915216</stp>
        <tr r="D2499" s="2"/>
      </tp>
      <tp t="s">
        <v>#N/A Requesting Data...3751866505</v>
        <stp/>
        <stp>BDP|15004278174925141879</stp>
        <tr r="H1110" s="2"/>
      </tp>
      <tp t="s">
        <v>#N/A Requesting Data...4081718107</v>
        <stp/>
        <stp>BDP|11494503690156275630</stp>
        <tr r="D2364" s="2"/>
      </tp>
      <tp t="s">
        <v>#N/A Requesting Data...3760113469</v>
        <stp/>
        <stp>BDP|15724236570419669475</stp>
        <tr r="E1057" s="2"/>
      </tp>
      <tp t="s">
        <v>#N/A Requesting Data...2945188929</v>
        <stp/>
        <stp>BDP|16087724422288390664</stp>
        <tr r="H2145" s="2"/>
      </tp>
      <tp t="s">
        <v>#N/A Requesting Data...3437887869</v>
        <stp/>
        <stp>BDP|10350610845957378818</stp>
        <tr r="O1517" s="2"/>
      </tp>
      <tp t="s">
        <v>#N/A Requesting Data...2346351663</v>
        <stp/>
        <stp>BDP|17085076097043795024</stp>
        <tr r="Q709" s="2"/>
      </tp>
      <tp t="s">
        <v>#N/A Requesting Data...3537324150</v>
        <stp/>
        <stp>BDP|13294049426215690938</stp>
        <tr r="D1397" s="2"/>
      </tp>
      <tp t="s">
        <v>#N/A Requesting Data...3679238782</v>
        <stp/>
        <stp>BDP|16455599289371291735</stp>
        <tr r="S801" s="2"/>
      </tp>
      <tp t="s">
        <v>#N/A Requesting Data...2447250436</v>
        <stp/>
        <stp>BDP|13702079524025025918</stp>
        <tr r="D1056" s="2"/>
      </tp>
      <tp t="s">
        <v>#N/A Requesting Data...3019209595</v>
        <stp/>
        <stp>BDP|11275910370336746413</stp>
        <tr r="Q1568" s="2"/>
      </tp>
      <tp t="s">
        <v>#N/A Requesting Data...3091636764</v>
        <stp/>
        <stp>BDP|17105231212321166847</stp>
        <tr r="H1409" s="2"/>
      </tp>
      <tp t="s">
        <v>#N/A Requesting Data...3341497985</v>
        <stp/>
        <stp>BDP|14884878511187944727</stp>
        <tr r="N1849" s="2"/>
      </tp>
      <tp t="s">
        <v>#N/A Requesting Data...3997759134</v>
        <stp/>
        <stp>BDP|15789860295970227931</stp>
        <tr r="C1389" s="2"/>
      </tp>
      <tp t="s">
        <v>#N/A Requesting Data...3746920150</v>
        <stp/>
        <stp>BDP|14077009382593119268</stp>
        <tr r="J1566" s="2"/>
      </tp>
      <tp t="s">
        <v>#N/A Requesting Data...3518000950</v>
        <stp/>
        <stp>BDP|13030720765776762950</stp>
        <tr r="S489" s="2"/>
      </tp>
      <tp t="s">
        <v>#N/A Requesting Data...2761177347</v>
        <stp/>
        <stp>BDP|14108156961789526752</stp>
        <tr r="P717" s="2"/>
      </tp>
      <tp t="s">
        <v>#N/A Requesting Data...3704787266</v>
        <stp/>
        <stp>BDP|12239565478148147582</stp>
        <tr r="H624" s="2"/>
      </tp>
      <tp t="s">
        <v>#N/A Requesting Data...3056028557</v>
        <stp/>
        <stp>BDP|16289159025231614913</stp>
        <tr r="K1307" s="2"/>
      </tp>
      <tp t="s">
        <v>#N/A Requesting Data...4189819138</v>
        <stp/>
        <stp>BDP|12359954470797150622</stp>
        <tr r="M1784" s="2"/>
      </tp>
      <tp t="s">
        <v>#N/A Requesting Data...4103585529</v>
        <stp/>
        <stp>BDP|10374724765574313826</stp>
        <tr r="G1961" s="2"/>
      </tp>
      <tp t="s">
        <v>#N/A Requesting Data...2920605604</v>
        <stp/>
        <stp>BDP|11510264798411894669</stp>
        <tr r="H954" s="2"/>
      </tp>
      <tp t="s">
        <v>#N/A Requesting Data...3472316267</v>
        <stp/>
        <stp>BDP|10406910567383623111</stp>
        <tr r="Q2257" s="2"/>
      </tp>
      <tp t="s">
        <v>#N/A Requesting Data...3427427403</v>
        <stp/>
        <stp>BDP|17494384281875949411</stp>
        <tr r="R1103" s="2"/>
      </tp>
      <tp t="s">
        <v>#N/A Requesting Data...3286044893</v>
        <stp/>
        <stp>BDP|18127221985718710742</stp>
        <tr r="J928" s="2"/>
      </tp>
      <tp t="s">
        <v>#N/A Requesting Data...3405600089</v>
        <stp/>
        <stp>BDP|13689867154703061019</stp>
        <tr r="R1436" s="2"/>
      </tp>
      <tp t="s">
        <v>#N/A Requesting Data...3125003778</v>
        <stp/>
        <stp>BDP|18251552864301170774</stp>
        <tr r="J1083" s="2"/>
      </tp>
      <tp t="s">
        <v>#N/A Requesting Data...3886860550</v>
        <stp/>
        <stp>BDP|15264960481480222927</stp>
        <tr r="Q1581" s="2"/>
      </tp>
      <tp t="s">
        <v>#N/A Requesting Data...2527800417</v>
        <stp/>
        <stp>BDP|15361236020230108845</stp>
        <tr r="O638" s="2"/>
      </tp>
      <tp t="s">
        <v>#N/A Requesting Data...3919065115</v>
        <stp/>
        <stp>BDP|15346446213605400853</stp>
        <tr r="D1184" s="2"/>
      </tp>
      <tp t="s">
        <v>#N/A Requesting Data...3516480218</v>
        <stp/>
        <stp>BDP|12215899636562833609</stp>
        <tr r="S594" s="2"/>
      </tp>
      <tp t="s">
        <v>#N/A Requesting Data...3397088675</v>
        <stp/>
        <stp>BDP|17692301296378381864</stp>
        <tr r="M895" s="2"/>
      </tp>
      <tp t="s">
        <v>#N/A Requesting Data...4270537757</v>
        <stp/>
        <stp>BDP|11541084370509903212</stp>
        <tr r="D2071" s="2"/>
      </tp>
      <tp t="s">
        <v>#N/A Requesting Data...2770142654</v>
        <stp/>
        <stp>BDP|17226088865974979833</stp>
        <tr r="J964" s="2"/>
      </tp>
      <tp t="s">
        <v>#N/A Requesting Data...2305349072</v>
        <stp/>
        <stp>BDP|13379911574614215417</stp>
        <tr r="E43" s="2"/>
      </tp>
      <tp t="s">
        <v>#N/A Requesting Data...2519761813</v>
        <stp/>
        <stp>BDP|18183944266268602208</stp>
        <tr r="K358" s="2"/>
      </tp>
      <tp t="s">
        <v>#N/A Requesting Data...2451847131</v>
        <stp/>
        <stp>BDP|11759787474098637487</stp>
        <tr r="A1845" s="2"/>
      </tp>
      <tp t="s">
        <v>#N/A Requesting Data...2709254883</v>
        <stp/>
        <stp>BDP|14010821751973472728</stp>
        <tr r="E2464" s="2"/>
      </tp>
      <tp t="s">
        <v>#N/A Requesting Data...2431313709</v>
        <stp/>
        <stp>BDP|12099665562988389728</stp>
        <tr r="R907" s="2"/>
      </tp>
      <tp t="s">
        <v>#N/A Requesting Data...2595646602</v>
        <stp/>
        <stp>BDP|16686810966951177453</stp>
        <tr r="P380" s="2"/>
      </tp>
      <tp t="s">
        <v>#N/A Requesting Data...4019313012</v>
        <stp/>
        <stp>BDP|18386822732278649609</stp>
        <tr r="K712" s="2"/>
      </tp>
      <tp t="s">
        <v>#N/A Requesting Data...2647290534</v>
        <stp/>
        <stp>BDP|13335691598199237855</stp>
        <tr r="C2353" s="2"/>
      </tp>
      <tp t="s">
        <v>#N/A Requesting Data...2784374790</v>
        <stp/>
        <stp>BDP|12734529589897131584</stp>
        <tr r="P1269" s="2"/>
      </tp>
      <tp t="s">
        <v>#N/A Requesting Data...3874594838</v>
        <stp/>
        <stp>BDP|14149920636146600560</stp>
        <tr r="P753" s="2"/>
      </tp>
      <tp t="s">
        <v>#N/A Requesting Data...4248323278</v>
        <stp/>
        <stp>BDP|12684654660408388755</stp>
        <tr r="R928" s="2"/>
      </tp>
      <tp t="s">
        <v>#N/A Requesting Data...3400207549</v>
        <stp/>
        <stp>BDP|13525662180644614402</stp>
        <tr r="H1209" s="2"/>
      </tp>
      <tp t="s">
        <v>#N/A Requesting Data...3694975754</v>
        <stp/>
        <stp>BDP|11421603480026177403</stp>
        <tr r="C1059" s="2"/>
      </tp>
      <tp t="s">
        <v>#N/A Requesting Data...4131339458</v>
        <stp/>
        <stp>BDP|13772270194074239130</stp>
        <tr r="H1056" s="2"/>
      </tp>
      <tp t="s">
        <v>#N/A Requesting Data...3117846836</v>
        <stp/>
        <stp>BDP|18077445275065248362</stp>
        <tr r="T1011" s="2"/>
      </tp>
      <tp t="s">
        <v>#N/A Requesting Data...2674649247</v>
        <stp/>
        <stp>BDP|17302801536142619365</stp>
        <tr r="K225" s="2"/>
      </tp>
      <tp t="s">
        <v>#N/A Requesting Data...2772887467</v>
        <stp/>
        <stp>BDP|11254741793476210425</stp>
        <tr r="C1920" s="2"/>
      </tp>
      <tp t="s">
        <v>#N/A Requesting Data...3387413593</v>
        <stp/>
        <stp>BDP|16192988679726712323</stp>
        <tr r="S684" s="2"/>
      </tp>
      <tp t="s">
        <v>#N/A Requesting Data...2858974951</v>
        <stp/>
        <stp>BDP|12152827897787273936</stp>
        <tr r="T2255" s="2"/>
      </tp>
      <tp t="s">
        <v>#N/A Requesting Data...2574853212</v>
        <stp/>
        <stp>BDP|18202282332806491297</stp>
        <tr r="E1076" s="2"/>
      </tp>
      <tp t="s">
        <v>#N/A Requesting Data...3757299796</v>
        <stp/>
        <stp>BDP|13570702350438853480</stp>
        <tr r="C542" s="2"/>
      </tp>
      <tp t="s">
        <v>#N/A Requesting Data...4257184120</v>
        <stp/>
        <stp>BDP|18399614686959448254</stp>
        <tr r="P1239" s="2"/>
      </tp>
      <tp t="s">
        <v>#N/A Requesting Data...3004377346</v>
        <stp/>
        <stp>BDP|12729227069023062888</stp>
        <tr r="J1967" s="2"/>
      </tp>
      <tp t="s">
        <v>#N/A Requesting Data...2922187006</v>
        <stp/>
        <stp>BDP|14715212298360295282</stp>
        <tr r="T1557" s="2"/>
      </tp>
      <tp t="s">
        <v>#N/A Requesting Data...2453024941</v>
        <stp/>
        <stp>BDP|15790752481662726504</stp>
        <tr r="E202" s="2"/>
      </tp>
      <tp t="s">
        <v>#N/A Requesting Data...3512315842</v>
        <stp/>
        <stp>BDP|13297917777019826987</stp>
        <tr r="F1616" s="2"/>
      </tp>
      <tp t="s">
        <v>#N/A Requesting Data...3097906405</v>
        <stp/>
        <stp>BDP|12932014298934563213</stp>
        <tr r="D1677" s="2"/>
      </tp>
      <tp t="s">
        <v>#N/A Requesting Data...4081211058</v>
        <stp/>
        <stp>BDP|13882839248221100368</stp>
        <tr r="N2279" s="2"/>
      </tp>
      <tp t="s">
        <v>#N/A Requesting Data...2419291766</v>
        <stp/>
        <stp>BDP|16460887018930951296</stp>
        <tr r="S1068" s="2"/>
      </tp>
      <tp t="s">
        <v>#N/A Requesting Data...4112713167</v>
        <stp/>
        <stp>BDP|13274361987316260359</stp>
        <tr r="T2197" s="2"/>
      </tp>
      <tp t="s">
        <v>#N/A Requesting Data...3169620638</v>
        <stp/>
        <stp>BDP|15504561992310782420</stp>
        <tr r="R2273" s="2"/>
      </tp>
      <tp t="s">
        <v>#N/A Requesting Data...2428279607</v>
        <stp/>
        <stp>BDP|18306473896769096167</stp>
        <tr r="N1216" s="2"/>
      </tp>
      <tp t="s">
        <v>#N/A Requesting Data...4272289214</v>
        <stp/>
        <stp>BDP|10096668202369806288</stp>
        <tr r="N237" s="2"/>
      </tp>
      <tp t="s">
        <v>#N/A Requesting Data...4135673270</v>
        <stp/>
        <stp>BDP|17033968761145001030</stp>
        <tr r="C816" s="2"/>
      </tp>
      <tp t="s">
        <v>#N/A Requesting Data...3796332994</v>
        <stp/>
        <stp>BDP|16183947413122217105</stp>
        <tr r="T2257" s="2"/>
      </tp>
      <tp t="s">
        <v>#N/A Requesting Data...3208694579</v>
        <stp/>
        <stp>BDP|16569430355862549823</stp>
        <tr r="S694" s="2"/>
      </tp>
      <tp t="s">
        <v>#N/A Requesting Data...3020543567</v>
        <stp/>
        <stp>BDP|15069360485836069571</stp>
        <tr r="C2477" s="2"/>
      </tp>
      <tp t="s">
        <v>#N/A Requesting Data...3974811603</v>
        <stp/>
        <stp>BDP|12067129784403070525</stp>
        <tr r="P2198" s="2"/>
      </tp>
      <tp t="s">
        <v>#N/A Requesting Data...3361064827</v>
        <stp/>
        <stp>BDP|16231247562536794971</stp>
        <tr r="A1633" s="2"/>
      </tp>
      <tp t="s">
        <v>#N/A Requesting Data...3363935811</v>
        <stp/>
        <stp>BDP|15447987747264704188</stp>
        <tr r="T987" s="2"/>
      </tp>
      <tp t="s">
        <v>#N/A Requesting Data...3517039191</v>
        <stp/>
        <stp>BDP|16758876026346316719</stp>
        <tr r="G832" s="2"/>
      </tp>
      <tp t="s">
        <v>#N/A Requesting Data...2812743918</v>
        <stp/>
        <stp>BDP|17315249240738321405</stp>
        <tr r="T550" s="2"/>
      </tp>
      <tp t="s">
        <v>#N/A Requesting Data...2493349466</v>
        <stp/>
        <stp>BDP|16016130085351397313</stp>
        <tr r="H768" s="2"/>
      </tp>
      <tp t="s">
        <v>#N/A Requesting Data...3038710799</v>
        <stp/>
        <stp>BDP|14810592875779122219</stp>
        <tr r="D2528" s="2"/>
      </tp>
      <tp t="s">
        <v>#N/A Requesting Data...4062416280</v>
        <stp/>
        <stp>BDP|13918276592897828202</stp>
        <tr r="R1417" s="2"/>
      </tp>
      <tp t="s">
        <v>#N/A Requesting Data...3817918492</v>
        <stp/>
        <stp>BDP|13108137454918555274</stp>
        <tr r="H565" s="2"/>
      </tp>
      <tp t="s">
        <v>#N/A Requesting Data...4012355029</v>
        <stp/>
        <stp>BDP|10940229382702849551</stp>
        <tr r="E502" s="2"/>
      </tp>
      <tp t="s">
        <v>#N/A Requesting Data...3978347058</v>
        <stp/>
        <stp>BDP|17497932662135838096</stp>
        <tr r="T112" s="2"/>
      </tp>
      <tp t="s">
        <v>#N/A Requesting Data...2605589065</v>
        <stp/>
        <stp>BDP|17993141291117954513</stp>
        <tr r="A1099" s="2"/>
      </tp>
      <tp t="s">
        <v>#N/A Requesting Data...3520316476</v>
        <stp/>
        <stp>BDP|11836714660879937443</stp>
        <tr r="S1329" s="2"/>
      </tp>
      <tp t="s">
        <v>#N/A Requesting Data...3433833255</v>
        <stp/>
        <stp>BDP|15588705556798227257</stp>
        <tr r="E372" s="2"/>
      </tp>
      <tp t="s">
        <v>#N/A Requesting Data...3791598489</v>
        <stp/>
        <stp>BDP|17481514254309240374</stp>
        <tr r="K395" s="2"/>
      </tp>
      <tp t="s">
        <v>#N/A Requesting Data...3134628756</v>
        <stp/>
        <stp>BDP|14192571820006577871</stp>
        <tr r="S410" s="2"/>
      </tp>
      <tp t="s">
        <v>#N/A Requesting Data...3129711610</v>
        <stp/>
        <stp>BDP|18360089678095274756</stp>
        <tr r="H470" s="2"/>
      </tp>
      <tp t="s">
        <v>#N/A Requesting Data...2520595896</v>
        <stp/>
        <stp>BDP|15192441700359205535</stp>
        <tr r="E1318" s="2"/>
      </tp>
      <tp t="b">
        <v>0</v>
        <stp/>
        <stp>BDS|10491633771658846496</stp>
        <tr r="I2020" s="2"/>
      </tp>
      <tp t="s">
        <v>#N/A Requesting Data...2905049113</v>
        <stp/>
        <stp>BDP|15335311793504794620</stp>
        <tr r="C618" s="2"/>
      </tp>
      <tp t="s">
        <v>#N/A Requesting Data...2915923682</v>
        <stp/>
        <stp>BDP|11243450193179197812</stp>
        <tr r="A1293" s="2"/>
      </tp>
      <tp t="s">
        <v>#N/A Requesting Data...2563124119</v>
        <stp/>
        <stp>BDP|17792886929550723055</stp>
        <tr r="A727" s="2"/>
      </tp>
      <tp t="s">
        <v>#N/A Requesting Data...3216440653</v>
        <stp/>
        <stp>BDP|16580067372295695939</stp>
        <tr r="M717" s="2"/>
      </tp>
      <tp t="s">
        <v>#N/A Requesting Data...4229485653</v>
        <stp/>
        <stp>BDP|18027637775995386119</stp>
        <tr r="P289" s="2"/>
      </tp>
      <tp t="s">
        <v>#N/A Requesting Data...3079194524</v>
        <stp/>
        <stp>BDP|18120715261990174444</stp>
        <tr r="F372" s="2"/>
      </tp>
      <tp t="b">
        <v>0</v>
        <stp/>
        <stp>BDS|13190779191994911495</stp>
        <tr r="I1801" s="2"/>
      </tp>
      <tp t="s">
        <v>#N/A Requesting Data...2728720213</v>
        <stp/>
        <stp>BDP|10771043758041783981</stp>
        <tr r="T143" s="2"/>
      </tp>
      <tp t="s">
        <v>#N/A Requesting Data...3049691700</v>
        <stp/>
        <stp>BDP|14949823977996072085</stp>
        <tr r="J1644" s="2"/>
      </tp>
      <tp t="s">
        <v>#N/A Requesting Data...3742119581</v>
        <stp/>
        <stp>BDP|10540021453498487045</stp>
        <tr r="E652" s="2"/>
      </tp>
      <tp t="s">
        <v>#N/A Requesting Data...3103939900</v>
        <stp/>
        <stp>BDP|12915891110282010440</stp>
        <tr r="K2240" s="2"/>
      </tp>
      <tp t="s">
        <v>#N/A Requesting Data...2526703995</v>
        <stp/>
        <stp>BDP|11749005382720051410</stp>
        <tr r="O1163" s="2"/>
      </tp>
      <tp t="b">
        <v>0</v>
        <stp/>
        <stp>BDS|10331006454461009902</stp>
        <tr r="I1803" s="2"/>
      </tp>
      <tp t="s">
        <v>#N/A Requesting Data...3496948672</v>
        <stp/>
        <stp>BDP|14792825550155766168</stp>
        <tr r="Q1693" s="2"/>
      </tp>
      <tp t="s">
        <v>#N/A Requesting Data...2619649820</v>
        <stp/>
        <stp>BDP|16734517793121052613</stp>
        <tr r="T165" s="2"/>
      </tp>
      <tp t="b">
        <v>0</v>
        <stp/>
        <stp>BDS|10440240946812374929</stp>
        <tr r="I128" s="2"/>
      </tp>
      <tp t="s">
        <v>#N/A Requesting Data...2988344347</v>
        <stp/>
        <stp>BDP|12781345271459489223</stp>
        <tr r="F526" s="2"/>
      </tp>
      <tp t="s">
        <v>#N/A Requesting Data...3637092229</v>
        <stp/>
        <stp>BDP|12921953068072228221</stp>
        <tr r="Q548" s="2"/>
      </tp>
      <tp t="s">
        <v>#N/A Requesting Data...2941564608</v>
        <stp/>
        <stp>BDP|14666841836344873681</stp>
        <tr r="S955" s="2"/>
      </tp>
      <tp t="s">
        <v>#N/A Requesting Data...3383867415</v>
        <stp/>
        <stp>BDP|12048993419171440600</stp>
        <tr r="J782" s="2"/>
      </tp>
      <tp t="s">
        <v>#N/A Requesting Data...2664317250</v>
        <stp/>
        <stp>BDP|17323036755519071614</stp>
        <tr r="P2212" s="2"/>
      </tp>
      <tp t="b">
        <v>0</v>
        <stp/>
        <stp>BDS|11521938303240222508</stp>
        <tr r="I747" s="2"/>
      </tp>
      <tp t="s">
        <v>#N/A Requesting Data...2523786499</v>
        <stp/>
        <stp>BDP|18397537936913628047</stp>
        <tr r="M1748" s="2"/>
      </tp>
      <tp t="b">
        <v>0</v>
        <stp/>
        <stp>BDS|18386827712568315479</stp>
        <tr r="I82" s="2"/>
      </tp>
      <tp t="b">
        <v>0</v>
        <stp/>
        <stp>BDS|17796807801983740162</stp>
        <tr r="I961" s="2"/>
      </tp>
      <tp t="s">
        <v>#N/A Requesting Data...3083079814</v>
        <stp/>
        <stp>BDP|18191400244665984086</stp>
        <tr r="E2184" s="2"/>
      </tp>
      <tp t="s">
        <v>#N/A Requesting Data...3078941815</v>
        <stp/>
        <stp>BDP|14116940810102311321</stp>
        <tr r="F2074" s="2"/>
      </tp>
      <tp t="s">
        <v>#N/A Requesting Data...4080323129</v>
        <stp/>
        <stp>BDP|17126454107987299956</stp>
        <tr r="Q1856" s="2"/>
      </tp>
      <tp t="s">
        <v>#N/A Requesting Data...3969595134</v>
        <stp/>
        <stp>BDP|10185654567734192962</stp>
        <tr r="J1699" s="2"/>
      </tp>
      <tp t="s">
        <v>#N/A Requesting Data...3087067480</v>
        <stp/>
        <stp>BDP|16376289919471629908</stp>
        <tr r="C1292" s="2"/>
      </tp>
      <tp t="s">
        <v>#N/A Requesting Data...4153201005</v>
        <stp/>
        <stp>BDP|12575917156934284741</stp>
        <tr r="F81" s="2"/>
      </tp>
      <tp t="s">
        <v>#N/A Requesting Data...2635625977</v>
        <stp/>
        <stp>BDP|11699459498480708183</stp>
        <tr r="J475" s="2"/>
      </tp>
      <tp t="s">
        <v>#N/A Requesting Data...3005769724</v>
        <stp/>
        <stp>BDP|11713862610904048159</stp>
        <tr r="C1519" s="2"/>
      </tp>
      <tp t="s">
        <v>#N/A Requesting Data...3668179659</v>
        <stp/>
        <stp>BDP|11941572986879514898</stp>
        <tr r="D840" s="2"/>
      </tp>
      <tp t="s">
        <v>#N/A Requesting Data...2869516376</v>
        <stp/>
        <stp>BDP|17178316796000018027</stp>
        <tr r="J97" s="2"/>
      </tp>
      <tp t="s">
        <v>#N/A Requesting Data...3692236655</v>
        <stp/>
        <stp>BDP|14169050270588600664</stp>
        <tr r="G1373" s="2"/>
      </tp>
      <tp t="s">
        <v>#N/A Requesting Data...4113673794</v>
        <stp/>
        <stp>BDP|12494704291838778964</stp>
        <tr r="H502" s="2"/>
      </tp>
      <tp t="s">
        <v>#N/A Requesting Data...4048857218</v>
        <stp/>
        <stp>BDP|11532653992480552337</stp>
        <tr r="T465" s="2"/>
      </tp>
      <tp t="s">
        <v>#N/A Requesting Data...4278558165</v>
        <stp/>
        <stp>BDP|12530020439005914934</stp>
        <tr r="D244" s="2"/>
      </tp>
      <tp t="s">
        <v>#N/A Requesting Data...3025947668</v>
        <stp/>
        <stp>BDP|14705470883477553224</stp>
        <tr r="D890" s="2"/>
      </tp>
      <tp t="s">
        <v>#N/A Requesting Data...2823057919</v>
        <stp/>
        <stp>BDP|10967617779109106545</stp>
        <tr r="Q1208" s="2"/>
      </tp>
      <tp t="s">
        <v>#N/A Requesting Data...3460490081</v>
        <stp/>
        <stp>BDP|11611533321413542857</stp>
        <tr r="E276" s="2"/>
      </tp>
      <tp t="s">
        <v>#N/A Requesting Data...3606801694</v>
        <stp/>
        <stp>BDP|10457355685914453249</stp>
        <tr r="D1257" s="2"/>
      </tp>
      <tp t="s">
        <v>#N/A Requesting Data...2906001355</v>
        <stp/>
        <stp>BDP|16137667299966306299</stp>
        <tr r="T253" s="2"/>
      </tp>
      <tp t="s">
        <v>#N/A Requesting Data...3004565730</v>
        <stp/>
        <stp>BDP|10360870347227355645</stp>
        <tr r="R1623" s="2"/>
      </tp>
      <tp t="s">
        <v>#N/A Requesting Data...3604318421</v>
        <stp/>
        <stp>BDP|11667567362656000963</stp>
        <tr r="M2081" s="2"/>
      </tp>
      <tp t="s">
        <v>#N/A Requesting Data...2647283831</v>
        <stp/>
        <stp>BDP|18348878603574117913</stp>
        <tr r="K2310" s="2"/>
      </tp>
      <tp t="s">
        <v>#N/A Requesting Data...3366446031</v>
        <stp/>
        <stp>BDP|11585167104768118512</stp>
        <tr r="S1963" s="2"/>
      </tp>
      <tp t="s">
        <v>#N/A Requesting Data...2723011635</v>
        <stp/>
        <stp>BDP|15131806152046493307</stp>
        <tr r="S2279" s="2"/>
      </tp>
      <tp t="s">
        <v>#N/A Requesting Data...2808277098</v>
        <stp/>
        <stp>BDP|18001818274008002223</stp>
        <tr r="S2181" s="2"/>
      </tp>
      <tp t="s">
        <v>#N/A Requesting Data...3811250387</v>
        <stp/>
        <stp>BDP|16774052418873967940</stp>
        <tr r="G1112" s="2"/>
      </tp>
      <tp t="s">
        <v>#N/A Requesting Data...3676651852</v>
        <stp/>
        <stp>BDP|17502138146119502622</stp>
        <tr r="N2394" s="2"/>
      </tp>
      <tp t="s">
        <v>#N/A Requesting Data...3765637144</v>
        <stp/>
        <stp>BDP|11798927933096825096</stp>
        <tr r="F834" s="2"/>
      </tp>
      <tp t="s">
        <v>#N/A Requesting Data...3067918317</v>
        <stp/>
        <stp>BDP|13471788516431599988</stp>
        <tr r="S92" s="2"/>
      </tp>
      <tp t="s">
        <v>#N/A Requesting Data...3495861146</v>
        <stp/>
        <stp>BDP|16762936821975454566</stp>
        <tr r="R65" s="2"/>
      </tp>
      <tp t="b">
        <v>0</v>
        <stp/>
        <stp>BDS|16619190382172135089</stp>
        <tr r="I2370" s="2"/>
      </tp>
      <tp t="s">
        <v>#N/A Requesting Data...3065123658</v>
        <stp/>
        <stp>BDP|12171176556998436331</stp>
        <tr r="D2063" s="2"/>
      </tp>
      <tp t="s">
        <v>#N/A Requesting Data...3125464808</v>
        <stp/>
        <stp>BDP|14196396857977052889</stp>
        <tr r="S283" s="2"/>
      </tp>
      <tp t="s">
        <v>#N/A Requesting Data...3054233191</v>
        <stp/>
        <stp>BDP|13783857525865584155</stp>
        <tr r="M1387" s="2"/>
      </tp>
      <tp t="s">
        <v>#N/A Requesting Data...3744492631</v>
        <stp/>
        <stp>BDP|16578863852611416729</stp>
        <tr r="D1329" s="2"/>
      </tp>
      <tp t="s">
        <v>#N/A Requesting Data...3036593653</v>
        <stp/>
        <stp>BDP|11441149915639677545</stp>
        <tr r="K864" s="2"/>
      </tp>
      <tp t="s">
        <v>#N/A Requesting Data...3028675127</v>
        <stp/>
        <stp>BDP|16579952612331260278</stp>
        <tr r="E553" s="2"/>
      </tp>
      <tp t="s">
        <v>#N/A Requesting Data...3855004273</v>
        <stp/>
        <stp>BDP|18339777557860213765</stp>
        <tr r="E1758" s="2"/>
      </tp>
      <tp t="b">
        <v>0</v>
        <stp/>
        <stp>BDS|10794845340085526426</stp>
        <tr r="I2226" s="2"/>
      </tp>
      <tp t="s">
        <v>#N/A Requesting Data...4087733692</v>
        <stp/>
        <stp>BDP|13345639312598078157</stp>
        <tr r="D904" s="2"/>
      </tp>
      <tp t="s">
        <v>#N/A Requesting Data...4007921564</v>
        <stp/>
        <stp>BDP|11031686569954501834</stp>
        <tr r="K2480" s="2"/>
      </tp>
      <tp t="s">
        <v>#N/A Requesting Data...3017884775</v>
        <stp/>
        <stp>BDP|13420498118622173933</stp>
        <tr r="O1617" s="2"/>
      </tp>
      <tp t="s">
        <v>#N/A Requesting Data...3156691145</v>
        <stp/>
        <stp>BDP|13926887438615787094</stp>
        <tr r="E1315" s="2"/>
      </tp>
      <tp t="s">
        <v>#N/A Requesting Data...3739032017</v>
        <stp/>
        <stp>BDP|13974740594958954874</stp>
        <tr r="S2414" s="2"/>
      </tp>
      <tp t="s">
        <v>#N/A Requesting Data...3535648917</v>
        <stp/>
        <stp>BDP|13317533353619637728</stp>
        <tr r="D1154" s="2"/>
      </tp>
      <tp t="s">
        <v>#N/A Requesting Data...3181288744</v>
        <stp/>
        <stp>BDP|12033655226782794936</stp>
        <tr r="O1780" s="2"/>
      </tp>
      <tp t="s">
        <v>#N/A Requesting Data...2793784194</v>
        <stp/>
        <stp>BDP|12715798702589217193</stp>
        <tr r="K1260" s="2"/>
      </tp>
      <tp t="s">
        <v>#N/A Requesting Data...2699058957</v>
        <stp/>
        <stp>BDP|11048656514689499223</stp>
        <tr r="R388" s="2"/>
      </tp>
      <tp t="s">
        <v>#N/A Requesting Data...3482027567</v>
        <stp/>
        <stp>BDP|14646378650648338757</stp>
        <tr r="C395" s="2"/>
      </tp>
      <tp t="s">
        <v>#N/A Requesting Data...3183191260</v>
        <stp/>
        <stp>BDP|13093270097361170463</stp>
        <tr r="A1740" s="2"/>
      </tp>
      <tp t="s">
        <v>#N/A Requesting Data...3845443984</v>
        <stp/>
        <stp>BDP|13798273739018979773</stp>
        <tr r="C557" s="2"/>
      </tp>
      <tp t="s">
        <v>#N/A Requesting Data...3318931623</v>
        <stp/>
        <stp>BDP|15205906591250083842</stp>
        <tr r="K2284" s="2"/>
      </tp>
      <tp t="s">
        <v>#N/A Requesting Data...2987643138</v>
        <stp/>
        <stp>BDP|10067666052869223714</stp>
        <tr r="R2017" s="2"/>
      </tp>
      <tp t="s">
        <v>#N/A Requesting Data...3427294235</v>
        <stp/>
        <stp>BDP|16476119103989082312</stp>
        <tr r="C421" s="2"/>
      </tp>
      <tp t="s">
        <v>#N/A Requesting Data...2900221358</v>
        <stp/>
        <stp>BDP|18008457816942019242</stp>
        <tr r="E2176" s="2"/>
      </tp>
      <tp t="s">
        <v>#N/A Requesting Data...4047794485</v>
        <stp/>
        <stp>BDP|10088679011058493255</stp>
        <tr r="A785" s="2"/>
      </tp>
      <tp t="s">
        <v>#N/A Requesting Data...4281965680</v>
        <stp/>
        <stp>BDP|14851919349565511125</stp>
        <tr r="E713" s="2"/>
      </tp>
      <tp t="s">
        <v>#N/A Requesting Data...3074075608</v>
        <stp/>
        <stp>BDP|15737629180175755353</stp>
        <tr r="D2374" s="2"/>
      </tp>
      <tp t="s">
        <v>#N/A Requesting Data...2871400281</v>
        <stp/>
        <stp>BDP|18224637276874075007</stp>
        <tr r="E1981" s="2"/>
      </tp>
      <tp t="s">
        <v>#N/A Requesting Data...3647544216</v>
        <stp/>
        <stp>BDP|16493615611609452572</stp>
        <tr r="S459" s="2"/>
      </tp>
      <tp t="s">
        <v>#N/A Requesting Data...3886533051</v>
        <stp/>
        <stp>BDP|17899249049868529477</stp>
        <tr r="N1823" s="2"/>
      </tp>
      <tp t="s">
        <v>#N/A Requesting Data...2842140542</v>
        <stp/>
        <stp>BDP|12855787647488729479</stp>
        <tr r="R1593" s="2"/>
      </tp>
      <tp t="s">
        <v>#N/A Requesting Data...4248746528</v>
        <stp/>
        <stp>BDP|11979070002939851537</stp>
        <tr r="J1234" s="2"/>
      </tp>
      <tp t="s">
        <v>#N/A Requesting Data...3122951861</v>
        <stp/>
        <stp>BDP|15298860281628643047</stp>
        <tr r="J409" s="2"/>
      </tp>
      <tp t="s">
        <v>#N/A Requesting Data...3401119856</v>
        <stp/>
        <stp>BDP|17408975622894262547</stp>
        <tr r="O1091" s="2"/>
      </tp>
      <tp t="s">
        <v>#N/A Requesting Data...3865325422</v>
        <stp/>
        <stp>BDP|12184072002058753743</stp>
        <tr r="G1857" s="2"/>
      </tp>
      <tp t="s">
        <v>#N/A Requesting Data...3273771985</v>
        <stp/>
        <stp>BDP|17629966092758519201</stp>
        <tr r="N2398" s="2"/>
      </tp>
      <tp t="s">
        <v>#N/A Requesting Data...3485591939</v>
        <stp/>
        <stp>BDP|18277131005553126722</stp>
        <tr r="J1413" s="2"/>
      </tp>
      <tp t="s">
        <v>#N/A Requesting Data...3855250299</v>
        <stp/>
        <stp>BDP|13526633797793029267</stp>
        <tr r="O209" s="2"/>
      </tp>
      <tp t="s">
        <v>#N/A Requesting Data...3612076055</v>
        <stp/>
        <stp>BDP|17134407093111345662</stp>
        <tr r="A685" s="2"/>
      </tp>
      <tp t="s">
        <v>#N/A Requesting Data...3605875353</v>
        <stp/>
        <stp>BDP|14239321071268270545</stp>
        <tr r="F2393" s="2"/>
      </tp>
      <tp t="s">
        <v>#N/A Requesting Data...4101103745</v>
        <stp/>
        <stp>BDP|15190803352684485106</stp>
        <tr r="D441" s="2"/>
      </tp>
      <tp t="s">
        <v>#N/A Requesting Data...4093955302</v>
        <stp/>
        <stp>BDP|11777410620988991285</stp>
        <tr r="D101" s="2"/>
      </tp>
      <tp t="s">
        <v>#N/A Requesting Data...2771530961</v>
        <stp/>
        <stp>BDP|15677511364373058842</stp>
        <tr r="K2348" s="2"/>
      </tp>
      <tp t="s">
        <v>#N/A Requesting Data...3181058344</v>
        <stp/>
        <stp>BDP|13241612361928796624</stp>
        <tr r="J1549" s="2"/>
      </tp>
      <tp t="s">
        <v>#N/A Requesting Data...2754159750</v>
        <stp/>
        <stp>BDP|14510232830661248933</stp>
        <tr r="C1324" s="2"/>
      </tp>
      <tp t="s">
        <v>#N/A Requesting Data...3940529135</v>
        <stp/>
        <stp>BDP|12484202470962795848</stp>
        <tr r="J1106" s="2"/>
      </tp>
      <tp t="s">
        <v>#N/A Requesting Data...2890706347</v>
        <stp/>
        <stp>BDP|17665742351138416006</stp>
        <tr r="O554" s="2"/>
      </tp>
      <tp t="s">
        <v>#N/A Requesting Data...3777774552</v>
        <stp/>
        <stp>BDP|10006074162383511877</stp>
        <tr r="A207" s="2"/>
      </tp>
      <tp t="s">
        <v>#N/A Requesting Data...3331703307</v>
        <stp/>
        <stp>BDP|14662285885911535298</stp>
        <tr r="E429" s="2"/>
      </tp>
      <tp t="b">
        <v>0</v>
        <stp/>
        <stp>BDS|12374720492593007273</stp>
        <tr r="I1255" s="2"/>
      </tp>
      <tp t="s">
        <v>#N/A Requesting Data...2809660374</v>
        <stp/>
        <stp>BDP|12582736747984134875</stp>
        <tr r="E316" s="2"/>
      </tp>
      <tp t="s">
        <v>#N/A Requesting Data...4070362755</v>
        <stp/>
        <stp>BDP|13338516700979553208</stp>
        <tr r="F968" s="2"/>
      </tp>
      <tp t="s">
        <v>#N/A Requesting Data...2938080730</v>
        <stp/>
        <stp>BDP|16459822220437933681</stp>
        <tr r="K585" s="2"/>
      </tp>
      <tp t="s">
        <v>#N/A Requesting Data...3439500620</v>
        <stp/>
        <stp>BDP|14376537885016749255</stp>
        <tr r="O452" s="2"/>
      </tp>
      <tp t="s">
        <v>#N/A Requesting Data...2992357289</v>
        <stp/>
        <stp>BDP|12140300398410932572</stp>
        <tr r="S1353" s="2"/>
      </tp>
      <tp t="s">
        <v>#N/A Requesting Data...4234857945</v>
        <stp/>
        <stp>BDP|15177975426022302143</stp>
        <tr r="S2413" s="2"/>
      </tp>
      <tp t="s">
        <v>#N/A Requesting Data...2884464593</v>
        <stp/>
        <stp>BDP|13137842302400836687</stp>
        <tr r="O2500" s="2"/>
      </tp>
      <tp t="s">
        <v>#N/A Requesting Data...3371798407</v>
        <stp/>
        <stp>BDP|14689913635332490111</stp>
        <tr r="J1024" s="2"/>
      </tp>
      <tp t="s">
        <v>#N/A Requesting Data...3667746026</v>
        <stp/>
        <stp>BDP|17047306296128203833</stp>
        <tr r="S2298" s="2"/>
      </tp>
      <tp t="s">
        <v>#N/A Requesting Data...3860454430</v>
        <stp/>
        <stp>BDP|12823976179334236534</stp>
        <tr r="P378" s="2"/>
      </tp>
      <tp t="s">
        <v>#N/A Requesting Data...3442173559</v>
        <stp/>
        <stp>BDP|14106912753787132251</stp>
        <tr r="N880" s="2"/>
      </tp>
      <tp t="s">
        <v>#N/A Requesting Data...4206599791</v>
        <stp/>
        <stp>BDP|14007604585605147231</stp>
        <tr r="T1109" s="2"/>
      </tp>
      <tp t="s">
        <v>#N/A Requesting Data...2996897500</v>
        <stp/>
        <stp>BDP|14552921792180458967</stp>
        <tr r="E2458" s="2"/>
      </tp>
      <tp t="s">
        <v>#N/A Requesting Data...2822658057</v>
        <stp/>
        <stp>BDP|13263789919510188855</stp>
        <tr r="A2213" s="2"/>
      </tp>
      <tp t="b">
        <v>0</v>
        <stp/>
        <stp>BDS|17925245453564315994</stp>
        <tr r="I2206" s="2"/>
      </tp>
      <tp t="s">
        <v>#N/A Requesting Data...3793140520</v>
        <stp/>
        <stp>BDP|14269930783469663132</stp>
        <tr r="T2075" s="2"/>
      </tp>
      <tp t="s">
        <v>#N/A Requesting Data...3373055938</v>
        <stp/>
        <stp>BDP|18339005580359623421</stp>
        <tr r="T205" s="2"/>
      </tp>
      <tp t="s">
        <v>#N/A Requesting Data...3464784213</v>
        <stp/>
        <stp>BDP|11221466977179362676</stp>
        <tr r="A692" s="2"/>
      </tp>
      <tp t="s">
        <v>#N/A Requesting Data...3811439276</v>
        <stp/>
        <stp>BDP|12693732986171182157</stp>
        <tr r="J1453" s="2"/>
      </tp>
      <tp t="s">
        <v>#N/A Requesting Data...3549586573</v>
        <stp/>
        <stp>BDP|17134169780034574758</stp>
        <tr r="Q2514" s="2"/>
      </tp>
      <tp t="s">
        <v>#N/A Requesting Data...4226827625</v>
        <stp/>
        <stp>BDP|10620360598240636796</stp>
        <tr r="H2222" s="2"/>
      </tp>
      <tp t="s">
        <v>#N/A Requesting Data...3482563495</v>
        <stp/>
        <stp>BDP|11306557596377583729</stp>
        <tr r="G966" s="2"/>
      </tp>
      <tp t="s">
        <v>#N/A Requesting Data...3611319708</v>
        <stp/>
        <stp>BDP|12224025445349513270</stp>
        <tr r="K76" s="2"/>
      </tp>
      <tp t="s">
        <v>#N/A Requesting Data...3969792005</v>
        <stp/>
        <stp>BDP|16742671495091678547</stp>
        <tr r="S531" s="2"/>
      </tp>
      <tp t="s">
        <v>#N/A Requesting Data...3887366022</v>
        <stp/>
        <stp>BDP|11782163507705011818</stp>
        <tr r="R1991" s="2"/>
      </tp>
      <tp t="s">
        <v>#N/A Requesting Data...2986803018</v>
        <stp/>
        <stp>BDP|14120567017115677816</stp>
        <tr r="A1749" s="2"/>
      </tp>
      <tp t="s">
        <v>#N/A Requesting Data...3125807082</v>
        <stp/>
        <stp>BDP|14226618052962746812</stp>
        <tr r="K2156" s="2"/>
      </tp>
      <tp t="s">
        <v>#N/A Requesting Data...3630014761</v>
        <stp/>
        <stp>BDP|15416395928170431962</stp>
        <tr r="E1950" s="2"/>
      </tp>
      <tp t="s">
        <v>#N/A Requesting Data...3112094832</v>
        <stp/>
        <stp>BDP|15781759984753965484</stp>
        <tr r="P591" s="2"/>
      </tp>
      <tp t="s">
        <v>#N/A Requesting Data...4114835751</v>
        <stp/>
        <stp>BDP|15654819030575888685</stp>
        <tr r="T1682" s="2"/>
      </tp>
      <tp t="b">
        <v>0</v>
        <stp/>
        <stp>BDS|14066731866190932881</stp>
        <tr r="I934" s="2"/>
      </tp>
      <tp t="s">
        <v>#N/A Requesting Data...4294894998</v>
        <stp/>
        <stp>BDP|14240488665343936818</stp>
        <tr r="D1469" s="2"/>
      </tp>
      <tp t="s">
        <v>#N/A Requesting Data...2839522154</v>
        <stp/>
        <stp>BDP|17848252294777839666</stp>
        <tr r="S975" s="2"/>
      </tp>
      <tp t="s">
        <v>#N/A Requesting Data...3234738058</v>
        <stp/>
        <stp>BDP|11764969547846842797</stp>
        <tr r="A172" s="2"/>
      </tp>
      <tp t="s">
        <v>#N/A Requesting Data...3379780434</v>
        <stp/>
        <stp>BDP|15624853205059274932</stp>
        <tr r="J881" s="2"/>
      </tp>
      <tp t="s">
        <v>#N/A Requesting Data...3489207097</v>
        <stp/>
        <stp>BDP|11808126876158937220</stp>
        <tr r="F359" s="2"/>
      </tp>
      <tp t="s">
        <v>#N/A Requesting Data...3739490316</v>
        <stp/>
        <stp>BDP|15192921271184664224</stp>
        <tr r="R1683" s="2"/>
      </tp>
      <tp t="s">
        <v>#N/A Requesting Data...3084877342</v>
        <stp/>
        <stp>BDP|17277239845354046822</stp>
        <tr r="K539" s="2"/>
      </tp>
      <tp t="s">
        <v>#N/A Requesting Data...3601824630</v>
        <stp/>
        <stp>BDP|12698744581972161249</stp>
        <tr r="G615" s="2"/>
      </tp>
      <tp t="s">
        <v>#N/A Requesting Data...3642643921</v>
        <stp/>
        <stp>BDP|17529667530926354962</stp>
        <tr r="R2359" s="2"/>
      </tp>
      <tp t="s">
        <v>#N/A Requesting Data...3059215213</v>
        <stp/>
        <stp>BDP|12833928264775913516</stp>
        <tr r="G2441" s="2"/>
      </tp>
      <tp t="s">
        <v>#N/A Requesting Data...3681710581</v>
        <stp/>
        <stp>BDP|11061617294070720348</stp>
        <tr r="S2116" s="2"/>
      </tp>
      <tp t="b">
        <v>0</v>
        <stp/>
        <stp>BDS|18267009206033165602</stp>
        <tr r="I752" s="2"/>
      </tp>
      <tp t="s">
        <v>#N/A Requesting Data...3222140057</v>
        <stp/>
        <stp>BDP|13976230493755785083</stp>
        <tr r="Q1331" s="2"/>
      </tp>
      <tp t="s">
        <v>#N/A Requesting Data...3883474069</v>
        <stp/>
        <stp>BDP|11064248391226458173</stp>
        <tr r="D1745" s="2"/>
      </tp>
      <tp t="s">
        <v>#N/A Requesting Data...3056691860</v>
        <stp/>
        <stp>BDP|10049471660729111609</stp>
        <tr r="P2327" s="2"/>
      </tp>
      <tp t="s">
        <v>#N/A Requesting Data...2953257606</v>
        <stp/>
        <stp>BDP|17093074071925078809</stp>
        <tr r="M150" s="2"/>
      </tp>
      <tp t="s">
        <v>#N/A Requesting Data...3266125896</v>
        <stp/>
        <stp>BDP|15425438303259316513</stp>
        <tr r="J1777" s="2"/>
      </tp>
      <tp t="s">
        <v>#N/A Requesting Data...3269486491</v>
        <stp/>
        <stp>BDP|10652836727824086349</stp>
        <tr r="R1145" s="2"/>
      </tp>
      <tp t="s">
        <v>#N/A Requesting Data...2973012144</v>
        <stp/>
        <stp>BDP|13915897337820667572</stp>
        <tr r="S1435" s="2"/>
      </tp>
      <tp t="s">
        <v>#N/A Requesting Data...3929362264</v>
        <stp/>
        <stp>BDP|14090114163057750931</stp>
        <tr r="M1925" s="2"/>
      </tp>
      <tp t="b">
        <v>0</v>
        <stp/>
        <stp>BDS|14097825620134714705</stp>
        <tr r="I1710" s="2"/>
      </tp>
      <tp t="s">
        <v>#N/A Requesting Data...4106445452</v>
        <stp/>
        <stp>BDP|11973964021802112593</stp>
        <tr r="G1081" s="2"/>
      </tp>
      <tp t="s">
        <v>#N/A Requesting Data...3093124276</v>
        <stp/>
        <stp>BDP|10087136882074548023</stp>
        <tr r="Q478" s="2"/>
      </tp>
      <tp t="s">
        <v>#N/A Requesting Data...3559930075</v>
        <stp/>
        <stp>BDP|12179034185837055016</stp>
        <tr r="R2061" s="2"/>
      </tp>
      <tp t="s">
        <v>#N/A Requesting Data...3039785505</v>
        <stp/>
        <stp>BDP|13393175404559040665</stp>
        <tr r="R1209" s="2"/>
      </tp>
      <tp t="s">
        <v>#N/A Requesting Data...3132022889</v>
        <stp/>
        <stp>BDP|15853890507976223626</stp>
        <tr r="A1503" s="2"/>
      </tp>
      <tp t="s">
        <v>#N/A Requesting Data...3731369206</v>
        <stp/>
        <stp>BDP|17400829657512173564</stp>
        <tr r="C887" s="2"/>
      </tp>
      <tp t="s">
        <v>#N/A Requesting Data...4149591220</v>
        <stp/>
        <stp>BDP|10913739530119551093</stp>
        <tr r="T2481" s="2"/>
      </tp>
      <tp t="s">
        <v>#N/A Requesting Data...2925607946</v>
        <stp/>
        <stp>BDP|10413917435964320352</stp>
        <tr r="D1334" s="2"/>
      </tp>
      <tp t="s">
        <v>#N/A Requesting Data...3170710302</v>
        <stp/>
        <stp>BDP|17668624106054593815</stp>
        <tr r="M1358" s="2"/>
      </tp>
      <tp t="s">
        <v>#N/A Requesting Data...3997728708</v>
        <stp/>
        <stp>BDP|16372984438159457819</stp>
        <tr r="G567" s="2"/>
      </tp>
      <tp t="s">
        <v>#N/A Requesting Data...4147333259</v>
        <stp/>
        <stp>BDP|11169659756597506814</stp>
        <tr r="A495" s="2"/>
      </tp>
      <tp t="s">
        <v>#N/A Requesting Data...4066984485</v>
        <stp/>
        <stp>BDP|10296361967371758920</stp>
        <tr r="H2059" s="2"/>
      </tp>
      <tp t="s">
        <v>#N/A Requesting Data...3092187361</v>
        <stp/>
        <stp>BDP|13280704880891682022</stp>
        <tr r="F1320" s="2"/>
      </tp>
      <tp t="s">
        <v>#N/A Requesting Data...3597182835</v>
        <stp/>
        <stp>BDP|10077586599218241959</stp>
        <tr r="Q2328" s="2"/>
      </tp>
      <tp t="s">
        <v>#N/A Requesting Data...3386624617</v>
        <stp/>
        <stp>BDP|14290257143479354611</stp>
        <tr r="E2475" s="2"/>
      </tp>
      <tp t="s">
        <v>#N/A Requesting Data...3971827326</v>
        <stp/>
        <stp>BDP|12448744195313183226</stp>
        <tr r="G888" s="2"/>
      </tp>
      <tp t="s">
        <v>#N/A Requesting Data...3881288455</v>
        <stp/>
        <stp>BDP|11817163689784083110</stp>
        <tr r="T1718" s="2"/>
      </tp>
      <tp t="s">
        <v>#N/A Requesting Data...3699543328</v>
        <stp/>
        <stp>BDP|11952939888448324577</stp>
        <tr r="H1727" s="2"/>
      </tp>
      <tp t="s">
        <v>#N/A Requesting Data...3003858951</v>
        <stp/>
        <stp>BDP|14266701678911940857</stp>
        <tr r="H2317" s="2"/>
      </tp>
      <tp t="b">
        <v>0</v>
        <stp/>
        <stp>BDS|16055318923979389341</stp>
        <tr r="I524" s="2"/>
      </tp>
      <tp t="s">
        <v>#N/A Requesting Data...4177728568</v>
        <stp/>
        <stp>BDP|14857397997261781274</stp>
        <tr r="C2465" s="2"/>
      </tp>
      <tp t="s">
        <v>#N/A Requesting Data...3677333224</v>
        <stp/>
        <stp>BDP|17678940214350487240</stp>
        <tr r="A1493" s="2"/>
      </tp>
      <tp t="s">
        <v>#N/A Requesting Data...4286272156</v>
        <stp/>
        <stp>BDP|18390426213242213260</stp>
        <tr r="H1548" s="2"/>
      </tp>
      <tp t="b">
        <v>0</v>
        <stp/>
        <stp>BDS|10343141304905704910</stp>
        <tr r="I69" s="2"/>
      </tp>
      <tp t="s">
        <v>#N/A Requesting Data...3053090946</v>
        <stp/>
        <stp>BDP|10087026151751439919</stp>
        <tr r="Q1962" s="2"/>
      </tp>
      <tp t="s">
        <v>#N/A Requesting Data...3051292985</v>
        <stp/>
        <stp>BDP|14596646280856743100</stp>
        <tr r="F246" s="2"/>
      </tp>
      <tp t="s">
        <v>#N/A Requesting Data...3417340211</v>
        <stp/>
        <stp>BDP|17806729285097925209</stp>
        <tr r="M1849" s="2"/>
      </tp>
      <tp t="s">
        <v>#N/A Requesting Data...3950765353</v>
        <stp/>
        <stp>BDP|12106458835938766005</stp>
        <tr r="R1091" s="2"/>
      </tp>
      <tp t="s">
        <v>#N/A Requesting Data...3698576938</v>
        <stp/>
        <stp>BDP|16225677888243373682</stp>
        <tr r="D170" s="2"/>
      </tp>
      <tp t="s">
        <v>#N/A Requesting Data...3507359165</v>
        <stp/>
        <stp>BDP|15986314398912752012</stp>
        <tr r="E1044" s="2"/>
      </tp>
      <tp t="s">
        <v>#N/A Requesting Data...4062542838</v>
        <stp/>
        <stp>BDP|13317596590480844246</stp>
        <tr r="N2206" s="2"/>
      </tp>
      <tp t="s">
        <v>#N/A Requesting Data...4192570959</v>
        <stp/>
        <stp>BDP|17043041498755308693</stp>
        <tr r="R2442" s="2"/>
      </tp>
      <tp t="s">
        <v>#N/A Requesting Data...3673943950</v>
        <stp/>
        <stp>BDP|16807445389535123223</stp>
        <tr r="A123" s="2"/>
      </tp>
      <tp t="s">
        <v>#N/A Requesting Data...3964802911</v>
        <stp/>
        <stp>BDP|12951646851585876920</stp>
        <tr r="G2507" s="2"/>
      </tp>
      <tp t="s">
        <v>#N/A Requesting Data...3545573764</v>
        <stp/>
        <stp>BDP|11001613119919687283</stp>
        <tr r="P1377" s="2"/>
      </tp>
      <tp t="s">
        <v>#N/A Requesting Data...3095422971</v>
        <stp/>
        <stp>BDP|16604989568893149714</stp>
        <tr r="M1210" s="2"/>
      </tp>
      <tp t="s">
        <v>#N/A Requesting Data...3367787340</v>
        <stp/>
        <stp>BDP|10926581475179055627</stp>
        <tr r="J1775" s="2"/>
      </tp>
      <tp t="s">
        <v>#N/A Requesting Data...4248328581</v>
        <stp/>
        <stp>BDP|16502847423773562216</stp>
        <tr r="N1403" s="2"/>
      </tp>
      <tp t="s">
        <v>#N/A Requesting Data...4154342623</v>
        <stp/>
        <stp>BDP|12756450893806033479</stp>
        <tr r="Q796" s="2"/>
      </tp>
      <tp t="s">
        <v>#N/A Requesting Data...3759923563</v>
        <stp/>
        <stp>BDP|17309332566099569653</stp>
        <tr r="P542" s="2"/>
      </tp>
      <tp t="s">
        <v>#N/A Requesting Data...3556317585</v>
        <stp/>
        <stp>BDP|16724217824532456902</stp>
        <tr r="C631" s="2"/>
      </tp>
      <tp t="s">
        <v>#N/A Requesting Data...3858305408</v>
        <stp/>
        <stp>BDP|10613290235645912951</stp>
        <tr r="E165" s="2"/>
      </tp>
      <tp t="s">
        <v>#N/A Requesting Data...3388337768</v>
        <stp/>
        <stp>BDP|11871166566673723892</stp>
        <tr r="J783" s="2"/>
      </tp>
      <tp t="s">
        <v>#N/A Requesting Data...3832986232</v>
        <stp/>
        <stp>BDP|16976616558608613001</stp>
        <tr r="F1663" s="2"/>
      </tp>
      <tp t="s">
        <v>#N/A Requesting Data...3410580690</v>
        <stp/>
        <stp>BDP|11901815960534744692</stp>
        <tr r="K1112" s="2"/>
      </tp>
      <tp t="s">
        <v>#N/A Requesting Data...3785543463</v>
        <stp/>
        <stp>BDP|18407676912391418332</stp>
        <tr r="N1439" s="2"/>
      </tp>
      <tp t="s">
        <v>#N/A Requesting Data...3402138824</v>
        <stp/>
        <stp>BDP|10780763210543708808</stp>
        <tr r="G473" s="2"/>
      </tp>
      <tp t="b">
        <v>0</v>
        <stp/>
        <stp>BDS|13578451456097602850</stp>
        <tr r="I125" s="2"/>
      </tp>
      <tp t="s">
        <v>#N/A Requesting Data...4044483261</v>
        <stp/>
        <stp>BDP|14552229627469673009</stp>
        <tr r="A233" s="2"/>
      </tp>
      <tp t="s">
        <v>#N/A Requesting Data...4148507441</v>
        <stp/>
        <stp>BDP|13893768338449624361</stp>
        <tr r="N246" s="2"/>
      </tp>
      <tp t="b">
        <v>0</v>
        <stp/>
        <stp>BDS|17405764793275797139</stp>
        <tr r="I2391" s="2"/>
      </tp>
      <tp t="s">
        <v>#N/A Requesting Data...4038987460</v>
        <stp/>
        <stp>BDP|11796988419036238227</stp>
        <tr r="M270" s="2"/>
      </tp>
      <tp t="s">
        <v>#N/A Requesting Data...3109298090</v>
        <stp/>
        <stp>BDP|11597474786929188939</stp>
        <tr r="T2245" s="2"/>
      </tp>
      <tp t="s">
        <v>#N/A Requesting Data...3275169731</v>
        <stp/>
        <stp>BDP|17980540824604792982</stp>
        <tr r="O2055" s="2"/>
      </tp>
      <tp t="s">
        <v>#N/A Requesting Data...3806098151</v>
        <stp/>
        <stp>BDP|12206486581183478095</stp>
        <tr r="T270" s="2"/>
      </tp>
      <tp t="s">
        <v>#N/A Requesting Data...3471092600</v>
        <stp/>
        <stp>BDP|14429232856277375940</stp>
        <tr r="R1234" s="2"/>
      </tp>
      <tp t="s">
        <v>#N/A Requesting Data...3557564237</v>
        <stp/>
        <stp>BDP|12939787873399215662</stp>
        <tr r="H2480" s="2"/>
      </tp>
      <tp t="s">
        <v>#N/A Requesting Data...3414409860</v>
        <stp/>
        <stp>BDP|11164007050311759803</stp>
        <tr r="P1880" s="2"/>
      </tp>
      <tp t="s">
        <v>#N/A Requesting Data...3333779294</v>
        <stp/>
        <stp>BDP|10736312899020975702</stp>
        <tr r="M143" s="2"/>
      </tp>
      <tp t="s">
        <v>#N/A Requesting Data...3937600438</v>
        <stp/>
        <stp>BDP|15115950931273310106</stp>
        <tr r="D227" s="2"/>
      </tp>
      <tp t="s">
        <v>#N/A Requesting Data...3128023919</v>
        <stp/>
        <stp>BDP|12190969561239460940</stp>
        <tr r="Q2319" s="2"/>
      </tp>
      <tp t="s">
        <v>#N/A Requesting Data...3156188888</v>
        <stp/>
        <stp>BDP|12515290014622793165</stp>
        <tr r="C2484" s="2"/>
      </tp>
      <tp t="s">
        <v>#N/A Requesting Data...4258116807</v>
        <stp/>
        <stp>BDP|14185589873896640256</stp>
        <tr r="Q403" s="2"/>
      </tp>
      <tp t="s">
        <v>#N/A Requesting Data...3234486010</v>
        <stp/>
        <stp>BDP|12865769004902384505</stp>
        <tr r="R815" s="2"/>
      </tp>
      <tp t="s">
        <v>#N/A Requesting Data...4002045964</v>
        <stp/>
        <stp>BDP|16015013255795883457</stp>
        <tr r="D2455" s="2"/>
      </tp>
      <tp t="s">
        <v>#N/A Requesting Data...3170835107</v>
        <stp/>
        <stp>BDP|16788583081868413138</stp>
        <tr r="D2284" s="2"/>
      </tp>
      <tp t="s">
        <v>#N/A Requesting Data...4103350228</v>
        <stp/>
        <stp>BDP|13824120210899740844</stp>
        <tr r="R1983" s="2"/>
      </tp>
      <tp t="s">
        <v>#N/A Requesting Data...3305254340</v>
        <stp/>
        <stp>BDP|13547365282973949916</stp>
        <tr r="O1881" s="2"/>
      </tp>
      <tp t="s">
        <v>#N/A Requesting Data...3220980931</v>
        <stp/>
        <stp>BDP|11421171582802174896</stp>
        <tr r="E1455" s="2"/>
      </tp>
      <tp t="s">
        <v>#N/A Requesting Data...3664817293</v>
        <stp/>
        <stp>BDP|17388130347609976970</stp>
        <tr r="J396" s="2"/>
      </tp>
      <tp t="s">
        <v>#N/A Requesting Data...3195416200</v>
        <stp/>
        <stp>BDP|12361423204815544190</stp>
        <tr r="P2243" s="2"/>
      </tp>
      <tp t="s">
        <v>#N/A Requesting Data...3408892390</v>
        <stp/>
        <stp>BDP|16613670460552953618</stp>
        <tr r="M2482" s="2"/>
      </tp>
      <tp t="s">
        <v>#N/A Requesting Data...3762792306</v>
        <stp/>
        <stp>BDP|11314524209030256639</stp>
        <tr r="Q1906" s="2"/>
      </tp>
      <tp t="s">
        <v>#N/A Requesting Data...3359125661</v>
        <stp/>
        <stp>BDP|16234893233978553745</stp>
        <tr r="O1870" s="2"/>
      </tp>
      <tp t="s">
        <v>#N/A Requesting Data...3492384940</v>
        <stp/>
        <stp>BDP|12227959898045006563</stp>
        <tr r="J1324" s="2"/>
      </tp>
      <tp t="s">
        <v>#N/A Requesting Data...3757025428</v>
        <stp/>
        <stp>BDP|10986412871479766870</stp>
        <tr r="E222" s="2"/>
      </tp>
      <tp t="s">
        <v>#N/A Requesting Data...4144162347</v>
        <stp/>
        <stp>BDP|13766475677764942678</stp>
        <tr r="K1008" s="2"/>
      </tp>
      <tp t="s">
        <v>#N/A Requesting Data...3462016468</v>
        <stp/>
        <stp>BDP|17190095151722351236</stp>
        <tr r="M2270" s="2"/>
      </tp>
      <tp t="s">
        <v>#N/A Requesting Data...3238461996</v>
        <stp/>
        <stp>BDP|16773771337509658989</stp>
        <tr r="C970" s="2"/>
      </tp>
      <tp t="s">
        <v>#N/A Requesting Data...3466596724</v>
        <stp/>
        <stp>BDP|17079851687514994125</stp>
        <tr r="G2373" s="2"/>
      </tp>
      <tp t="s">
        <v>#N/A Requesting Data...3605916573</v>
        <stp/>
        <stp>BDP|13355133118124781560</stp>
        <tr r="H2194" s="2"/>
      </tp>
      <tp t="s">
        <v>#N/A Requesting Data...3393044992</v>
        <stp/>
        <stp>BDP|15401091367763005239</stp>
        <tr r="R1665" s="2"/>
      </tp>
      <tp t="s">
        <v>#N/A Requesting Data...3177097877</v>
        <stp/>
        <stp>BDP|16841802979129107299</stp>
        <tr r="T118" s="2"/>
      </tp>
      <tp t="s">
        <v>#N/A Requesting Data...3353865184</v>
        <stp/>
        <stp>BDP|16939768454671155736</stp>
        <tr r="C1926" s="2"/>
      </tp>
      <tp t="s">
        <v>#N/A Requesting Data...4061293608</v>
        <stp/>
        <stp>BDP|11909393201241164199</stp>
        <tr r="N81" s="2"/>
      </tp>
      <tp t="s">
        <v>#N/A Requesting Data...4193173023</v>
        <stp/>
        <stp>BDP|15323783533071264239</stp>
        <tr r="F338" s="2"/>
      </tp>
      <tp t="s">
        <v>#N/A Requesting Data...4122546039</v>
        <stp/>
        <stp>BDP|13946134943485281122</stp>
        <tr r="H1135" s="2"/>
      </tp>
      <tp t="s">
        <v>#N/A Requesting Data...4230371585</v>
        <stp/>
        <stp>BDP|15604896230188498420</stp>
        <tr r="O2217" s="2"/>
      </tp>
      <tp t="s">
        <v>#N/A Requesting Data...3545853101</v>
        <stp/>
        <stp>BDP|15089158994917021885</stp>
        <tr r="F1519" s="2"/>
      </tp>
      <tp t="s">
        <v>#N/A Requesting Data...4001139616</v>
        <stp/>
        <stp>BDP|12701166271780969609</stp>
        <tr r="T1972" s="2"/>
      </tp>
      <tp t="s">
        <v>#N/A Requesting Data...3421550352</v>
        <stp/>
        <stp>BDP|10391477970141873055</stp>
        <tr r="R1905" s="2"/>
      </tp>
      <tp t="s">
        <v>#N/A Requesting Data...3413138015</v>
        <stp/>
        <stp>BDP|10903786729635149209</stp>
        <tr r="F1145" s="2"/>
      </tp>
      <tp t="s">
        <v>#N/A Requesting Data...3594599090</v>
        <stp/>
        <stp>BDP|14526272131830970732</stp>
        <tr r="H146" s="2"/>
      </tp>
      <tp t="s">
        <v>#N/A Requesting Data...4184757460</v>
        <stp/>
        <stp>BDP|14752181474862254204</stp>
        <tr r="A636" s="2"/>
      </tp>
      <tp t="s">
        <v>#N/A Requesting Data...4259139967</v>
        <stp/>
        <stp>BDP|10600292227541526348</stp>
        <tr r="S2277" s="2"/>
      </tp>
      <tp t="s">
        <v>#N/A Requesting Data...3719068893</v>
        <stp/>
        <stp>BDP|15606838179210725825</stp>
        <tr r="F1483" s="2"/>
      </tp>
      <tp t="s">
        <v>#N/A Requesting Data...4211780775</v>
        <stp/>
        <stp>BDP|12109256536872207392</stp>
        <tr r="K1808" s="2"/>
      </tp>
      <tp t="s">
        <v>#N/A Requesting Data...3634630285</v>
        <stp/>
        <stp>BDP|12355903948759195434</stp>
        <tr r="F1119" s="2"/>
      </tp>
      <tp t="s">
        <v>#N/A Requesting Data...3959876515</v>
        <stp/>
        <stp>BDP|18098968403242464189</stp>
        <tr r="Q1612" s="2"/>
      </tp>
      <tp t="s">
        <v>#N/A Requesting Data...3898583787</v>
        <stp/>
        <stp>BDP|12363490418657897235</stp>
        <tr r="O2306" s="2"/>
      </tp>
      <tp t="s">
        <v>#N/A Requesting Data...3338929958</v>
        <stp/>
        <stp>BDP|17447867353168874009</stp>
        <tr r="G1565" s="2"/>
      </tp>
      <tp t="s">
        <v>#N/A Requesting Data...3417575724</v>
        <stp/>
        <stp>BDP|11563055905643832045</stp>
        <tr r="O1729" s="2"/>
      </tp>
      <tp t="b">
        <v>0</v>
        <stp/>
        <stp>BDS|14351552511210543282</stp>
        <tr r="I86" s="2"/>
      </tp>
      <tp t="s">
        <v>#N/A Requesting Data...3544186948</v>
        <stp/>
        <stp>BDP|13082991290023393233</stp>
        <tr r="J1536" s="2"/>
      </tp>
      <tp t="s">
        <v>#N/A Requesting Data...4288005085</v>
        <stp/>
        <stp>BDP|11730315441702657687</stp>
        <tr r="C1837" s="2"/>
      </tp>
      <tp t="s">
        <v>#N/A Requesting Data...4189886587</v>
        <stp/>
        <stp>BDP|13105992786391472134</stp>
        <tr r="H1495" s="2"/>
      </tp>
      <tp t="s">
        <v>#N/A Requesting Data...4206185481</v>
        <stp/>
        <stp>BDP|11130582975624210574</stp>
        <tr r="P814" s="2"/>
      </tp>
      <tp t="s">
        <v>#N/A Requesting Data...4049750095</v>
        <stp/>
        <stp>BDP|12788114810394843479</stp>
        <tr r="R1155" s="2"/>
      </tp>
      <tp t="s">
        <v>#N/A Requesting Data...3901462501</v>
        <stp/>
        <stp>BDP|15302262721180468797</stp>
        <tr r="T1587" s="2"/>
      </tp>
      <tp t="s">
        <v>#N/A Requesting Data...3485097741</v>
        <stp/>
        <stp>BDP|14681599774262707651</stp>
        <tr r="S980" s="2"/>
      </tp>
      <tp t="s">
        <v>#N/A Requesting Data...3291005667</v>
        <stp/>
        <stp>BDP|15771373020370171682</stp>
        <tr r="R2516" s="2"/>
      </tp>
      <tp t="s">
        <v>#N/A Requesting Data...4135105654</v>
        <stp/>
        <stp>BDP|14561973809777368816</stp>
        <tr r="H1365" s="2"/>
      </tp>
      <tp t="s">
        <v>#N/A Requesting Data...3415091208</v>
        <stp/>
        <stp>BDP|17932010934497553100</stp>
        <tr r="N2216" s="2"/>
      </tp>
      <tp t="s">
        <v>#N/A Requesting Data...3921191181</v>
        <stp/>
        <stp>BDP|13462506969914639628</stp>
        <tr r="A1530" s="2"/>
      </tp>
      <tp t="s">
        <v>#N/A Requesting Data...4120855583</v>
        <stp/>
        <stp>BDP|15914500652451718655</stp>
        <tr r="R1292" s="2"/>
      </tp>
      <tp t="s">
        <v>#N/A Requesting Data...4117217632</v>
        <stp/>
        <stp>BDP|11465585902060463634</stp>
        <tr r="K2198" s="2"/>
      </tp>
      <tp t="b">
        <v>0</v>
        <stp/>
        <stp>BDS|14372071466750969016</stp>
        <tr r="I810" s="2"/>
      </tp>
      <tp t="s">
        <v>#N/A Requesting Data...3939586589</v>
        <stp/>
        <stp>BDP|14172316688219174405</stp>
        <tr r="K1289" s="2"/>
      </tp>
      <tp t="s">
        <v>#N/A Requesting Data...4285745566</v>
        <stp/>
        <stp>BDP|17144287846982425129</stp>
        <tr r="A2196" s="2"/>
      </tp>
      <tp t="s">
        <v>#N/A Requesting Data...3397008765</v>
        <stp/>
        <stp>BDP|12445935130033694989</stp>
        <tr r="J1000" s="2"/>
      </tp>
      <tp t="s">
        <v>#N/A Requesting Data...3568843215</v>
        <stp/>
        <stp>BDP|13133001101974899512</stp>
        <tr r="A434" s="2"/>
      </tp>
      <tp t="s">
        <v>#N/A Requesting Data...3341455216</v>
        <stp/>
        <stp>BDP|16280619539780216117</stp>
        <tr r="N940" s="2"/>
      </tp>
      <tp t="s">
        <v>#N/A Requesting Data...3657088085</v>
        <stp/>
        <stp>BDP|10159685107207132361</stp>
        <tr r="R1516" s="2"/>
      </tp>
      <tp t="s">
        <v>#N/A Requesting Data...3551292870</v>
        <stp/>
        <stp>BDP|15939166556394842782</stp>
        <tr r="Q2477" s="2"/>
      </tp>
      <tp t="s">
        <v>#N/A Requesting Data...3411297135</v>
        <stp/>
        <stp>BDP|14129169258252298040</stp>
        <tr r="O2252" s="2"/>
      </tp>
      <tp t="b">
        <v>0</v>
        <stp/>
        <stp>BDS|10331180711176810483</stp>
        <tr r="I933" s="2"/>
      </tp>
      <tp t="s">
        <v>#N/A Requesting Data...3468388423</v>
        <stp/>
        <stp>BDP|10400596471576510602</stp>
        <tr r="J1683" s="2"/>
      </tp>
      <tp t="s">
        <v>#N/A Requesting Data...4113006589</v>
        <stp/>
        <stp>BDP|16617916188325126076</stp>
        <tr r="M872" s="2"/>
      </tp>
      <tp t="s">
        <v>#N/A Requesting Data...4168526937</v>
        <stp/>
        <stp>BDP|11130252719392431206</stp>
        <tr r="T212" s="2"/>
      </tp>
      <tp t="s">
        <v>#N/A Requesting Data...4290116918</v>
        <stp/>
        <stp>BDP|13953356874270278531</stp>
        <tr r="C2307" s="2"/>
      </tp>
      <tp t="s">
        <v>#N/A Requesting Data...3426324770</v>
        <stp/>
        <stp>BDP|13258468784299005498</stp>
        <tr r="F1252" s="2"/>
      </tp>
      <tp t="s">
        <v>#N/A Requesting Data...4172847055</v>
        <stp/>
        <stp>BDP|15264661524663044092</stp>
        <tr r="K430" s="2"/>
      </tp>
      <tp t="s">
        <v>#N/A Requesting Data...3949317924</v>
        <stp/>
        <stp>BDP|16515021224614345295</stp>
        <tr r="P860" s="2"/>
      </tp>
      <tp t="s">
        <v>#N/A Requesting Data...3654219111</v>
        <stp/>
        <stp>BDP|15919028269926804736</stp>
        <tr r="Q1742" s="2"/>
      </tp>
      <tp t="s">
        <v>#N/A Requesting Data...3844508492</v>
        <stp/>
        <stp>BDP|14249001505772935477</stp>
        <tr r="J1403" s="2"/>
      </tp>
      <tp t="s">
        <v>#N/A Requesting Data...3867725339</v>
        <stp/>
        <stp>BDP|14730754027734404786</stp>
        <tr r="F797" s="2"/>
      </tp>
      <tp t="b">
        <v>0</v>
        <stp/>
        <stp>BDS|14753204428533113543</stp>
        <tr r="I345" s="2"/>
      </tp>
      <tp t="b">
        <v>0</v>
        <stp/>
        <stp>BDS|10466452843753876101</stp>
        <tr r="I918" s="2"/>
      </tp>
      <tp t="b">
        <v>0</v>
        <stp/>
        <stp>BDS|16430283275998346908</stp>
        <tr r="I149" s="2"/>
      </tp>
      <tp t="s">
        <v>#N/A Requesting Data...3791123607</v>
        <stp/>
        <stp>BDP|15438037525730227594</stp>
        <tr r="H832" s="2"/>
      </tp>
      <tp t="s">
        <v>#N/A Requesting Data...3450639475</v>
        <stp/>
        <stp>BDP|16721012870123712085</stp>
        <tr r="T1441" s="2"/>
      </tp>
      <tp t="s">
        <v>#N/A Requesting Data...4178428105</v>
        <stp/>
        <stp>BDP|15842387078605107600</stp>
        <tr r="R1588" s="2"/>
      </tp>
      <tp t="s">
        <v>#N/A Requesting Data...4119106930</v>
        <stp/>
        <stp>BDP|11131455343330785398</stp>
        <tr r="K2115" s="2"/>
      </tp>
      <tp t="s">
        <v>#N/A Requesting Data...3982006964</v>
        <stp/>
        <stp>BDP|12968893091840888100</stp>
        <tr r="H2232" s="2"/>
      </tp>
      <tp t="s">
        <v>#N/A Requesting Data...4020008703</v>
        <stp/>
        <stp>BDP|14205308473415013788</stp>
        <tr r="Q2258" s="2"/>
      </tp>
      <tp t="b">
        <v>0</v>
        <stp/>
        <stp>BDS|14545293255668532967</stp>
        <tr r="I2046" s="2"/>
      </tp>
      <tp t="s">
        <v>#N/A Requesting Data...3860278356</v>
        <stp/>
        <stp>BDP|15288088363726911792</stp>
        <tr r="D1825" s="2"/>
      </tp>
      <tp t="s">
        <v>#N/A Requesting Data...3778516330</v>
        <stp/>
        <stp>BDP|10777425453454943766</stp>
        <tr r="M1956" s="2"/>
      </tp>
      <tp t="s">
        <v>#N/A Requesting Data...3654894466</v>
        <stp/>
        <stp>BDP|12296283356434230379</stp>
        <tr r="N1936" s="2"/>
      </tp>
      <tp t="s">
        <v>#N/A Requesting Data...3887828022</v>
        <stp/>
        <stp>BDP|17918962584782664646</stp>
        <tr r="C100" s="2"/>
      </tp>
      <tp t="s">
        <v>#N/A Requesting Data...4186248644</v>
        <stp/>
        <stp>BDP|15603091113576435013</stp>
        <tr r="Q578" s="2"/>
      </tp>
      <tp t="s">
        <v>#N/A Requesting Data...3723514511</v>
        <stp/>
        <stp>BDP|14370389144144136578</stp>
        <tr r="J2216" s="2"/>
      </tp>
      <tp t="s">
        <v>#N/A Requesting Data...3898087027</v>
        <stp/>
        <stp>BDP|16531381076188184820</stp>
        <tr r="C309" s="2"/>
      </tp>
      <tp t="s">
        <v>#N/A Requesting Data...3369051034</v>
        <stp/>
        <stp>BDP|17320477482280649988</stp>
        <tr r="H991" s="2"/>
      </tp>
      <tp t="s">
        <v>#N/A Requesting Data...3944099533</v>
        <stp/>
        <stp>BDP|12182230562847887303</stp>
        <tr r="P1564" s="2"/>
      </tp>
      <tp t="s">
        <v>#N/A Requesting Data...3399871023</v>
        <stp/>
        <stp>BDP|16725924473478701299</stp>
        <tr r="G2439" s="2"/>
      </tp>
      <tp t="s">
        <v>#N/A Requesting Data...3704691269</v>
        <stp/>
        <stp>BDP|13307657322175445089</stp>
        <tr r="E2269" s="2"/>
      </tp>
      <tp t="s">
        <v>#N/A Requesting Data...3700985970</v>
        <stp/>
        <stp>BDP|10820355254192489655</stp>
        <tr r="H135" s="2"/>
      </tp>
      <tp t="s">
        <v>#N/A Requesting Data...4239159671</v>
        <stp/>
        <stp>BDP|16598976684622835760</stp>
        <tr r="N2045" s="2"/>
      </tp>
      <tp t="s">
        <v>#N/A Requesting Data...3920845067</v>
        <stp/>
        <stp>BDP|10045347678236388073</stp>
        <tr r="F1204" s="2"/>
      </tp>
      <tp t="s">
        <v>#N/A Requesting Data...4027372563</v>
        <stp/>
        <stp>BDP|10472988240596401900</stp>
        <tr r="C1800" s="2"/>
      </tp>
      <tp t="s">
        <v>#N/A Requesting Data...3833792642</v>
        <stp/>
        <stp>BDP|18247230728238146208</stp>
        <tr r="H336" s="2"/>
      </tp>
      <tp t="s">
        <v>#N/A Requesting Data...3529717743</v>
        <stp/>
        <stp>BDP|10672143413130171288</stp>
        <tr r="D1757" s="2"/>
      </tp>
      <tp t="s">
        <v>#N/A Requesting Data...3596644390</v>
        <stp/>
        <stp>BDP|12941791363131266098</stp>
        <tr r="J813" s="2"/>
      </tp>
      <tp t="s">
        <v>#N/A Requesting Data...4050798230</v>
        <stp/>
        <stp>BDP|16908119367416038574</stp>
        <tr r="P337" s="2"/>
      </tp>
      <tp t="s">
        <v>#N/A Requesting Data...3878271076</v>
        <stp/>
        <stp>BDP|18276612368692493873</stp>
        <tr r="M1494" s="2"/>
      </tp>
      <tp t="s">
        <v>#N/A Requesting Data...3751529279</v>
        <stp/>
        <stp>BDP|11198808199394534658</stp>
        <tr r="S2488" s="2"/>
      </tp>
      <tp t="s">
        <v>#N/A Requesting Data...3444089929</v>
        <stp/>
        <stp>BDP|15046891115217172959</stp>
        <tr r="K632" s="2"/>
      </tp>
      <tp t="s">
        <v>#N/A Requesting Data...3836255247</v>
        <stp/>
        <stp>BDP|17201060204807820203</stp>
        <tr r="S2460" s="2"/>
      </tp>
      <tp t="b">
        <v>0</v>
        <stp/>
        <stp>BDS|10323100836926835660</stp>
        <tr r="I197" s="2"/>
      </tp>
      <tp t="s">
        <v>#N/A Requesting Data...4078663392</v>
        <stp/>
        <stp>BDP|10799731304256930311</stp>
        <tr r="G159" s="2"/>
      </tp>
      <tp t="s">
        <v>#N/A Requesting Data...4084687242</v>
        <stp/>
        <stp>BDP|12460488817020622554</stp>
        <tr r="T2509" s="2"/>
      </tp>
      <tp t="s">
        <v>#N/A Requesting Data...3510477350</v>
        <stp/>
        <stp>BDP|13450499237436135033</stp>
        <tr r="D1646" s="2"/>
      </tp>
      <tp t="s">
        <v>#N/A Requesting Data...3782496677</v>
        <stp/>
        <stp>BDP|14968082329436599251</stp>
        <tr r="G1692" s="2"/>
      </tp>
      <tp t="s">
        <v>#N/A Requesting Data...3557605093</v>
        <stp/>
        <stp>BDP|17786933385304147084</stp>
        <tr r="D1201" s="2"/>
      </tp>
      <tp t="s">
        <v>#N/A Requesting Data...3968408542</v>
        <stp/>
        <stp>BDP|15022452938129464918</stp>
        <tr r="R151" s="2"/>
      </tp>
      <tp t="s">
        <v>#N/A Requesting Data...4290554037</v>
        <stp/>
        <stp>BDP|11188085070944630078</stp>
        <tr r="J733" s="2"/>
      </tp>
      <tp t="s">
        <v>#N/A Requesting Data...4033857321</v>
        <stp/>
        <stp>BDP|11360791963774587647</stp>
        <tr r="P603" s="2"/>
      </tp>
      <tp t="b">
        <v>0</v>
        <stp/>
        <stp>BDS|11470552558742188135</stp>
        <tr r="I196" s="2"/>
      </tp>
      <tp t="s">
        <v>#N/A Requesting Data...4010400003</v>
        <stp/>
        <stp>BDP|17679236129247496205</stp>
        <tr r="K1344" s="2"/>
      </tp>
      <tp t="s">
        <v>#N/A Requesting Data...3458142896</v>
        <stp/>
        <stp>BDP|12437709565075141481</stp>
        <tr r="H1621" s="2"/>
      </tp>
      <tp t="s">
        <v>#N/A Requesting Data...3676071787</v>
        <stp/>
        <stp>BDP|10042552346171890231</stp>
        <tr r="A1138" s="2"/>
      </tp>
      <tp t="s">
        <v>#N/A Requesting Data...3832107022</v>
        <stp/>
        <stp>BDP|12307211317302982145</stp>
        <tr r="N2291" s="2"/>
      </tp>
      <tp t="s">
        <v>#N/A Requesting Data...3883987068</v>
        <stp/>
        <stp>BDP|13110579761306801474</stp>
        <tr r="P2296" s="2"/>
      </tp>
      <tp t="s">
        <v>#N/A Requesting Data...4021950129</v>
        <stp/>
        <stp>BDP|15425592938387858658</stp>
        <tr r="R941" s="2"/>
      </tp>
      <tp t="s">
        <v>#N/A Requesting Data...3889594356</v>
        <stp/>
        <stp>BDP|16109661103284857648</stp>
        <tr r="K1086" s="2"/>
      </tp>
      <tp t="s">
        <v>#N/A Requesting Data...4057428416</v>
        <stp/>
        <stp>BDP|17757219220360683589</stp>
        <tr r="P2047" s="2"/>
      </tp>
      <tp t="s">
        <v>#N/A Requesting Data...3984240584</v>
        <stp/>
        <stp>BDP|12526280418925953640</stp>
        <tr r="S1698" s="2"/>
      </tp>
      <tp t="b">
        <v>0</v>
        <stp/>
        <stp>BDS|17707784566746795254</stp>
        <tr r="I414" s="2"/>
      </tp>
      <tp t="s">
        <v>#N/A Requesting Data...3656816385</v>
        <stp/>
        <stp>BDP|10611137156797884134</stp>
        <tr r="T1839" s="2"/>
      </tp>
      <tp t="s">
        <v>#N/A Requesting Data...4090690818</v>
        <stp/>
        <stp>BDP|13717284755855578377</stp>
        <tr r="R80" s="2"/>
      </tp>
      <tp t="b">
        <v>0</v>
        <stp/>
        <stp>BDS|16067782512837199508</stp>
        <tr r="I549" s="2"/>
      </tp>
      <tp t="s">
        <v>#N/A Requesting Data...4208194133</v>
        <stp/>
        <stp>BDP|14006489832558530972</stp>
        <tr r="P1031" s="2"/>
      </tp>
      <tp t="s">
        <v>#N/A Requesting Data...3726935813</v>
        <stp/>
        <stp>BDP|13661444556147985756</stp>
        <tr r="P443" s="2"/>
      </tp>
      <tp t="s">
        <v>#N/A Requesting Data...3850797790</v>
        <stp/>
        <stp>BDP|14071299316575401036</stp>
        <tr r="P2416" s="2"/>
      </tp>
      <tp t="s">
        <v>#N/A Requesting Data...3896396711</v>
        <stp/>
        <stp>BDP|11332270299879440112</stp>
        <tr r="F1751" s="2"/>
      </tp>
      <tp t="s">
        <v>#N/A Requesting Data...4243175706</v>
        <stp/>
        <stp>BDP|10387270662082678482</stp>
        <tr r="E1828" s="2"/>
      </tp>
      <tp t="s">
        <v>#N/A Requesting Data...4056723503</v>
        <stp/>
        <stp>BDP|17957420037730274268</stp>
        <tr r="K192" s="2"/>
      </tp>
      <tp t="s">
        <v>#N/A Requesting Data...4188968445</v>
        <stp/>
        <stp>BDP|13853219140450915784</stp>
        <tr r="J1904" s="2"/>
      </tp>
      <tp t="s">
        <v>#N/A Requesting Data...4041854280</v>
        <stp/>
        <stp>BDP|14779027539836151351</stp>
        <tr r="N2322" s="2"/>
      </tp>
      <tp t="s">
        <v>#N/A Requesting Data...4095834898</v>
        <stp/>
        <stp>BDP|10801178926040517145</stp>
        <tr r="O2043" s="2"/>
      </tp>
      <tp t="s">
        <v>#N/A Requesting Data...4171122689</v>
        <stp/>
        <stp>BDP|16385690442532780479</stp>
        <tr r="M1859" s="2"/>
      </tp>
      <tp t="b">
        <v>0</v>
        <stp/>
        <stp>BDS|15039971347633262991</stp>
        <tr r="I2444" s="2"/>
      </tp>
      <tp t="s">
        <v>#N/A Requesting Data...3835471993</v>
        <stp/>
        <stp>BDP|11043908779479389423</stp>
        <tr r="H2296" s="2"/>
      </tp>
      <tp t="s">
        <v>#N/A Requesting Data...3607746322</v>
        <stp/>
        <stp>BDP|17633309321730699497</stp>
        <tr r="A215" s="2"/>
      </tp>
      <tp t="b">
        <v>0</v>
        <stp/>
        <stp>BDS|11036866447948992736</stp>
        <tr r="I1599" s="2"/>
      </tp>
      <tp t="s">
        <v>#N/A Requesting Data...4284311493</v>
        <stp/>
        <stp>BDP|17586372757015806659</stp>
        <tr r="P332" s="2"/>
      </tp>
      <tp t="s">
        <v>#N/A Requesting Data...3607539471</v>
        <stp/>
        <stp>BDP|10144406008554432257</stp>
        <tr r="G1124" s="2"/>
      </tp>
      <tp t="s">
        <v>#N/A Requesting Data...4184481413</v>
        <stp/>
        <stp>BDP|10319085947406533010</stp>
        <tr r="D1254" s="2"/>
      </tp>
      <tp t="s">
        <v>#N/A Requesting Data...4119882667</v>
        <stp/>
        <stp>BDP|11570153142334921236</stp>
        <tr r="K174" s="2"/>
      </tp>
      <tp t="s">
        <v>#N/A Requesting Data...3914708253</v>
        <stp/>
        <stp>BDP|11998219648371140495</stp>
        <tr r="O2081" s="2"/>
      </tp>
      <tp t="s">
        <v>#N/A Requesting Data...4210502079</v>
        <stp/>
        <stp>BDP|17063069559220793006</stp>
        <tr r="R398" s="2"/>
      </tp>
      <tp t="s">
        <v>#N/A Requesting Data...3641714864</v>
        <stp/>
        <stp>BDP|12761292206197608567</stp>
        <tr r="O1694" s="2"/>
      </tp>
      <tp t="s">
        <v>#N/A Requesting Data...3708739655</v>
        <stp/>
        <stp>BDP|10251677554570804116</stp>
        <tr r="O2375" s="2"/>
      </tp>
      <tp t="s">
        <v>#N/A Requesting Data...4107299918</v>
        <stp/>
        <stp>BDP|13692626748822126154</stp>
        <tr r="H619" s="2"/>
      </tp>
      <tp t="s">
        <v>#N/A Requesting Data...4203400454</v>
        <stp/>
        <stp>BDP|13948856871018651636</stp>
        <tr r="T2111" s="2"/>
      </tp>
      <tp t="s">
        <v>#N/A Requesting Data...3621274260</v>
        <stp/>
        <stp>BDP|10458005042636816067</stp>
        <tr r="H1955" s="2"/>
      </tp>
      <tp t="s">
        <v>#N/A Requesting Data...3604596815</v>
        <stp/>
        <stp>BDP|13761925926229823333</stp>
        <tr r="K943" s="2"/>
      </tp>
      <tp t="s">
        <v>#N/A Requesting Data...4070941940</v>
        <stp/>
        <stp>BDP|10703614076092810105</stp>
        <tr r="P516" s="2"/>
      </tp>
      <tp t="s">
        <v>#N/A Requesting Data...4129224744</v>
        <stp/>
        <stp>BDP|11821841023718171163</stp>
        <tr r="G452" s="2"/>
      </tp>
      <tp t="s">
        <v>#N/A Requesting Data...3580325096</v>
        <stp/>
        <stp>BDP|12747045268500317605</stp>
        <tr r="J187" s="2"/>
      </tp>
      <tp t="s">
        <v>#N/A Requesting Data...4215166540</v>
        <stp/>
        <stp>BDP|14960409807190283246</stp>
        <tr r="C1946" s="2"/>
      </tp>
      <tp t="b">
        <v>0</v>
        <stp/>
        <stp>BDS|14660929495083896521</stp>
        <tr r="I1651" s="2"/>
      </tp>
      <tp t="s">
        <v>#N/A Requesting Data...4227303792</v>
        <stp/>
        <stp>BDP|14203887184550067663</stp>
        <tr r="O1634" s="2"/>
      </tp>
      <tp t="b">
        <v>0</v>
        <stp/>
        <stp>BDS|10487656132644070388</stp>
        <tr r="I2215" s="2"/>
      </tp>
      <tp t="s">
        <v>#N/A Requesting Data...3967114988</v>
        <stp/>
        <stp>BDP|10896998398510278235</stp>
        <tr r="T2247" s="2"/>
      </tp>
      <tp t="s">
        <v>#N/A Requesting Data...3861286282</v>
        <stp/>
        <stp>BDP|15128587576005742007</stp>
        <tr r="D760" s="2"/>
      </tp>
      <tp t="s">
        <v>#N/A Requesting Data...3839035386</v>
        <stp/>
        <stp>BDP|12990794873940248096</stp>
        <tr r="H2491" s="2"/>
      </tp>
      <tp t="s">
        <v>#N/A Requesting Data...4077314511</v>
        <stp/>
        <stp>BDP|15500408032972706287</stp>
        <tr r="J754" s="2"/>
      </tp>
      <tp t="b">
        <v>0</v>
        <stp/>
        <stp>BDS|10154786572755814783</stp>
        <tr r="I1021" s="2"/>
      </tp>
      <tp t="s">
        <v>#N/A Requesting Data...4219182513</v>
        <stp/>
        <stp>BDP|17061762743551941743</stp>
        <tr r="D293" s="2"/>
      </tp>
      <tp t="s">
        <v>#N/A Requesting Data...3686894920</v>
        <stp/>
        <stp>BDP|15727102165490897028</stp>
        <tr r="F748" s="2"/>
      </tp>
      <tp t="s">
        <v>#N/A Requesting Data...4135412720</v>
        <stp/>
        <stp>BDP|15541780625087418540</stp>
        <tr r="Q1111" s="2"/>
      </tp>
      <tp t="b">
        <v>0</v>
        <stp/>
        <stp>BDS|13555286821552349347</stp>
        <tr r="I142" s="2"/>
      </tp>
      <tp t="s">
        <v>#N/A Requesting Data...4183184009</v>
        <stp/>
        <stp>BDP|10433451625915476189</stp>
        <tr r="D1456" s="2"/>
      </tp>
      <tp t="s">
        <v>#N/A Requesting Data...4222827454</v>
        <stp/>
        <stp>BDP|15421871989926365118</stp>
        <tr r="M351" s="2"/>
      </tp>
      <tp t="s">
        <v>#N/A Requesting Data...4024058117</v>
        <stp/>
        <stp>BDP|10817322453942969688</stp>
        <tr r="D1921" s="2"/>
      </tp>
      <tp t="s">
        <v>#N/A Requesting Data...3829938880</v>
        <stp/>
        <stp>BDP|18326918965710690590</stp>
        <tr r="C2091" s="2"/>
      </tp>
      <tp t="s">
        <v>#N/A Requesting Data...4282911856</v>
        <stp/>
        <stp>BDP|14924757226674469761</stp>
        <tr r="A2445" s="2"/>
      </tp>
      <tp t="s">
        <v>#N/A Requesting Data...3819005984</v>
        <stp/>
        <stp>BDP|16914131820683059418</stp>
        <tr r="E840" s="2"/>
      </tp>
      <tp t="s">
        <v>#N/A Requesting Data...4102520086</v>
        <stp/>
        <stp>BDP|11948623146830220146</stp>
        <tr r="H2515" s="2"/>
      </tp>
      <tp t="s">
        <v>#N/A Requesting Data...3741580435</v>
        <stp/>
        <stp>BDP|14344696574132202578</stp>
        <tr r="S527" s="2"/>
      </tp>
      <tp t="s">
        <v>#N/A Requesting Data...3688087232</v>
        <stp/>
        <stp>BDP|14988371906246679356</stp>
        <tr r="Q387" s="2"/>
      </tp>
      <tp t="s">
        <v>#N/A Requesting Data...4140236775</v>
        <stp/>
        <stp>BDP|10663876568078698443</stp>
        <tr r="N853" s="2"/>
      </tp>
      <tp t="s">
        <v>#N/A Requesting Data...4242102775</v>
        <stp/>
        <stp>BDP|11914427947754493732</stp>
        <tr r="O556" s="2"/>
      </tp>
      <tp t="s">
        <v>#N/A Requesting Data...4155988024</v>
        <stp/>
        <stp>BDP|12210563654497994725</stp>
        <tr r="R2133" s="2"/>
      </tp>
      <tp t="s">
        <v>#N/A Requesting Data...4167445070</v>
        <stp/>
        <stp>BDP|12790129235142883033</stp>
        <tr r="A444" s="2"/>
      </tp>
      <tp t="s">
        <v>#N/A Requesting Data...3916255141</v>
        <stp/>
        <stp>BDP|17876616778204914038</stp>
        <tr r="N454" s="2"/>
      </tp>
      <tp t="s">
        <v>#N/A Requesting Data...4000367114</v>
        <stp/>
        <stp>BDP|13866474880498383574</stp>
        <tr r="G348" s="2"/>
      </tp>
      <tp t="b">
        <v>0</v>
        <stp/>
        <stp>BDS|18191773980392941777</stp>
        <tr r="I1650" s="2"/>
      </tp>
      <tp t="s">
        <v>#N/A Requesting Data...3707711262</v>
        <stp/>
        <stp>BDP|14095882973198079104</stp>
        <tr r="R1413" s="2"/>
      </tp>
      <tp t="s">
        <v>#N/A Requesting Data...4064460279</v>
        <stp/>
        <stp>BDP|15853760964925346321</stp>
        <tr r="E44" s="2"/>
      </tp>
      <tp t="s">
        <v>#N/A Requesting Data...3887136236</v>
        <stp/>
        <stp>BDP|10879228021916581457</stp>
        <tr r="E1329" s="2"/>
      </tp>
      <tp t="s">
        <v>#N/A Requesting Data...3883968061</v>
        <stp/>
        <stp>BDP|14207721254847659395</stp>
        <tr r="D1899" s="2"/>
      </tp>
      <tp t="s">
        <v>#N/A Requesting Data...3742494321</v>
        <stp/>
        <stp>BDP|11721094963987317257</stp>
        <tr r="C1199" s="2"/>
      </tp>
      <tp t="s">
        <v>#N/A Requesting Data...3841642615</v>
        <stp/>
        <stp>BDP|12082556501372607794</stp>
        <tr r="P2048" s="2"/>
      </tp>
      <tp t="s">
        <v>#N/A Requesting Data...4058828134</v>
        <stp/>
        <stp>BDP|16051643250137971069</stp>
        <tr r="T246" s="2"/>
      </tp>
      <tp t="s">
        <v>#N/A Requesting Data...4223745837</v>
        <stp/>
        <stp>BDP|15979354326601397724</stp>
        <tr r="G2395" s="2"/>
      </tp>
      <tp t="s">
        <v>#N/A Requesting Data...3798407073</v>
        <stp/>
        <stp>BDP|13209209731191838103</stp>
        <tr r="E2388" s="2"/>
      </tp>
      <tp t="s">
        <v>#N/A Requesting Data...3708680868</v>
        <stp/>
        <stp>BDP|16129087638467980031</stp>
        <tr r="G1342" s="2"/>
      </tp>
      <tp t="s">
        <v>#N/A Requesting Data...3826493304</v>
        <stp/>
        <stp>BDP|15237673543523491694</stp>
        <tr r="D1360" s="2"/>
      </tp>
      <tp t="b">
        <v>0</v>
        <stp/>
        <stp>BDS|11801508256344735710</stp>
        <tr r="I948" s="2"/>
      </tp>
      <tp t="s">
        <v>#N/A Requesting Data...3870467209</v>
        <stp/>
        <stp>BDP|14563515012072998045</stp>
        <tr r="M1378" s="2"/>
      </tp>
      <tp t="s">
        <v>#N/A Requesting Data...3866299786</v>
        <stp/>
        <stp>BDP|15847445621885031465</stp>
        <tr r="T1533" s="2"/>
      </tp>
      <tp t="s">
        <v>#N/A Requesting Data...3850198369</v>
        <stp/>
        <stp>BDP|10276339167060955744</stp>
        <tr r="G1926" s="2"/>
      </tp>
      <tp t="s">
        <v>#N/A Requesting Data...4231117530</v>
        <stp/>
        <stp>BDP|11022837988027389432</stp>
        <tr r="E158" s="2"/>
      </tp>
      <tp t="s">
        <v>#N/A Requesting Data...4186115559</v>
        <stp/>
        <stp>BDP|17150096844879378842</stp>
        <tr r="A1803" s="2"/>
      </tp>
      <tp t="s">
        <v>#N/A Requesting Data...3867193313</v>
        <stp/>
        <stp>BDP|17901451881878529135</stp>
        <tr r="Q922" s="2"/>
      </tp>
      <tp t="s">
        <v>#N/A Requesting Data...3955684693</v>
        <stp/>
        <stp>BDP|11932440303675790222</stp>
        <tr r="F215" s="2"/>
      </tp>
      <tp t="s">
        <v>#N/A Requesting Data...3873211366</v>
        <stp/>
        <stp>BDP|11897553449122637095</stp>
        <tr r="F58" s="2"/>
      </tp>
      <tp t="s">
        <v>#N/A Requesting Data...3733695205</v>
        <stp/>
        <stp>BDP|15854542918696642598</stp>
        <tr r="Q2236" s="2"/>
      </tp>
      <tp t="s">
        <v>#N/A Requesting Data...4098555531</v>
        <stp/>
        <stp>BDP|10414538948670374374</stp>
        <tr r="M1499" s="2"/>
      </tp>
      <tp t="s">
        <v>#N/A Requesting Data...3729570630</v>
        <stp/>
        <stp>BDP|15067344023881521794</stp>
        <tr r="P1591" s="2"/>
      </tp>
      <tp t="s">
        <v>#N/A Requesting Data...4169403205</v>
        <stp/>
        <stp>BDP|13976733917002387550</stp>
        <tr r="R2204" s="2"/>
      </tp>
      <tp t="s">
        <v>#N/A Requesting Data...4113912329</v>
        <stp/>
        <stp>BDP|15042789005711165170</stp>
        <tr r="M1234" s="2"/>
      </tp>
      <tp t="s">
        <v>#N/A Requesting Data...4205764577</v>
        <stp/>
        <stp>BDP|14447776023413996023</stp>
        <tr r="E402" s="2"/>
      </tp>
      <tp t="s">
        <v>#N/A Requesting Data...4249660267</v>
        <stp/>
        <stp>BDP|12975683439951626453</stp>
        <tr r="F1218" s="2"/>
      </tp>
      <tp t="s">
        <v>#N/A Requesting Data...4285061007</v>
        <stp/>
        <stp>BDP|16659878217019876459</stp>
        <tr r="M1685" s="2"/>
      </tp>
      <tp t="s">
        <v>#N/A Requesting Data...3871152955</v>
        <stp/>
        <stp>BDP|15495190190359408629</stp>
        <tr r="D1480" s="2"/>
      </tp>
      <tp t="s">
        <v>#N/A Requesting Data...4228474649</v>
        <stp/>
        <stp>BDP|11210192337350503123</stp>
        <tr r="M93" s="2"/>
      </tp>
      <tp t="s">
        <v>#N/A Requesting Data...3764106501</v>
        <stp/>
        <stp>BDP|11921544414917182034</stp>
        <tr r="E1141" s="2"/>
      </tp>
      <tp t="b">
        <v>0</v>
        <stp/>
        <stp>BDS|12642061586240802864</stp>
        <tr r="I22" s="2"/>
      </tp>
      <tp t="s">
        <v>#N/A Requesting Data...4236835727</v>
        <stp/>
        <stp>BDP|10061056724330826022</stp>
        <tr r="E2267" s="2"/>
      </tp>
      <tp t="s">
        <v>#N/A Requesting Data...4004075384</v>
        <stp/>
        <stp>BDP|13059511715715902061</stp>
        <tr r="O1036" s="2"/>
      </tp>
      <tp t="s">
        <v>#N/A Requesting Data...4155208335</v>
        <stp/>
        <stp>BDP|16651194011077039350</stp>
        <tr r="C2194" s="2"/>
      </tp>
      <tp t="s">
        <v>#N/A Requesting Data...4286878961</v>
        <stp/>
        <stp>BDP|15725280884609573451</stp>
        <tr r="R1574" s="2"/>
      </tp>
      <tp t="s">
        <v>#N/A Requesting Data...4074067592</v>
        <stp/>
        <stp>BDP|16596693397353099802</stp>
        <tr r="J261" s="2"/>
      </tp>
      <tp t="s">
        <v>#N/A Requesting Data...3746353119</v>
        <stp/>
        <stp>BDP|16765494721295532711</stp>
        <tr r="K2075" s="2"/>
      </tp>
      <tp t="s">
        <v>#N/A Requesting Data...3760363215</v>
        <stp/>
        <stp>BDP|13028381075192119771</stp>
        <tr r="A147" s="2"/>
      </tp>
      <tp t="s">
        <v>#N/A Requesting Data...3878688728</v>
        <stp/>
        <stp>BDP|16244783121047009605</stp>
        <tr r="M1235" s="2"/>
      </tp>
      <tp t="s">
        <v>#N/A Requesting Data...4233500208</v>
        <stp/>
        <stp>BDP|17473682342307508004</stp>
        <tr r="E2067" s="2"/>
      </tp>
      <tp t="s">
        <v>#N/A Requesting Data...4273494031</v>
        <stp/>
        <stp>BDP|16303805439059909687</stp>
        <tr r="H2365" s="2"/>
      </tp>
      <tp t="s">
        <v>#N/A Requesting Data...3960107837</v>
        <stp/>
        <stp>BDP|12551134525587026484</stp>
        <tr r="E472" s="2"/>
      </tp>
      <tp t="s">
        <v>#N/A Requesting Data...3850454072</v>
        <stp/>
        <stp>BDP|10107227708031462143</stp>
        <tr r="G440" s="2"/>
      </tp>
      <tp t="s">
        <v>#N/A Requesting Data...3983068310</v>
        <stp/>
        <stp>BDP|13204382240277000112</stp>
        <tr r="D1627" s="2"/>
      </tp>
      <tp t="s">
        <v>#N/A Requesting Data...3945575575</v>
        <stp/>
        <stp>BDP|12222272101632963062</stp>
        <tr r="C205" s="2"/>
      </tp>
      <tp t="s">
        <v>#N/A Requesting Data...3797634917</v>
        <stp/>
        <stp>BDP|12827833476368696709</stp>
        <tr r="T500" s="2"/>
      </tp>
      <tp t="s">
        <v>#N/A Requesting Data...3785554743</v>
        <stp/>
        <stp>BDP|16705731489748446320</stp>
        <tr r="C1409" s="2"/>
      </tp>
      <tp t="b">
        <v>0</v>
        <stp/>
        <stp>BDS|18367173474205835905</stp>
        <tr r="I2331" s="2"/>
      </tp>
      <tp t="s">
        <v>#N/A Requesting Data...4169637131</v>
        <stp/>
        <stp>BDP|17349022308336139337</stp>
        <tr r="J2460" s="2"/>
      </tp>
      <tp t="s">
        <v>#N/A Requesting Data...3926856151</v>
        <stp/>
        <stp>BDP|18409986459286709094</stp>
        <tr r="Q1032" s="2"/>
      </tp>
      <tp t="s">
        <v>#N/A Requesting Data...4246808585</v>
        <stp/>
        <stp>BDP|17424551648586731255</stp>
        <tr r="E1242" s="2"/>
      </tp>
      <tp t="s">
        <v>#N/A Requesting Data...4092647249</v>
        <stp/>
        <stp>BDP|17964120051628893999</stp>
        <tr r="F1930" s="2"/>
      </tp>
      <tp t="s">
        <v>#N/A Requesting Data...3811769750</v>
        <stp/>
        <stp>BDP|12741064115556951760</stp>
        <tr r="D672" s="2"/>
      </tp>
      <tp t="b">
        <v>0</v>
        <stp/>
        <stp>BDS|16801613393942192933</stp>
        <tr r="I1640" s="2"/>
      </tp>
      <tp t="s">
        <v>#N/A Requesting Data...3838761047</v>
        <stp/>
        <stp>BDP|18392549291611967740</stp>
        <tr r="R1055" s="2"/>
      </tp>
      <tp t="s">
        <v>#N/A Requesting Data...4165918944</v>
        <stp/>
        <stp>BDP|11345993594200649336</stp>
        <tr r="F1295" s="2"/>
      </tp>
      <tp t="s">
        <v>#N/A Requesting Data...4003572935</v>
        <stp/>
        <stp>BDP|13225192838172922114</stp>
        <tr r="K31" s="2"/>
      </tp>
      <tp t="s">
        <v>#N/A Requesting Data...3963337764</v>
        <stp/>
        <stp>BDP|11050478167901821031</stp>
        <tr r="H783" s="2"/>
      </tp>
      <tp t="s">
        <v>#N/A Requesting Data...4067487000</v>
        <stp/>
        <stp>BDP|18024149801159691285</stp>
        <tr r="M153" s="2"/>
      </tp>
      <tp t="s">
        <v>#N/A Requesting Data...4051445713</v>
        <stp/>
        <stp>BDP|12140051964766344080</stp>
        <tr r="A1930" s="2"/>
      </tp>
      <tp t="s">
        <v>#N/A Requesting Data...3915450777</v>
        <stp/>
        <stp>BDP|16599677626348991862</stp>
        <tr r="D1842" s="2"/>
      </tp>
      <tp t="s">
        <v>#N/A Requesting Data...4153846659</v>
        <stp/>
        <stp>BDP|10976343175360737642</stp>
        <tr r="G1805" s="2"/>
      </tp>
      <tp t="s">
        <v>#N/A Requesting Data...4181355883</v>
        <stp/>
        <stp>BDP|10022585857711638325</stp>
        <tr r="A1987" s="2"/>
      </tp>
      <tp t="s">
        <v>#N/A Requesting Data...4002796639</v>
        <stp/>
        <stp>BDP|15646162532726065392</stp>
        <tr r="S1393" s="2"/>
      </tp>
      <tp t="s">
        <v>#N/A Requesting Data...4182086280</v>
        <stp/>
        <stp>BDP|11301545679280668134</stp>
        <tr r="N95" s="2"/>
      </tp>
      <tp t="s">
        <v>#N/A Requesting Data...3916639196</v>
        <stp/>
        <stp>BDP|12773897413679231040</stp>
        <tr r="E355" s="2"/>
      </tp>
      <tp t="s">
        <v>#N/A Requesting Data...4060275008</v>
        <stp/>
        <stp>BDP|12834924592754648450</stp>
        <tr r="Q401" s="2"/>
      </tp>
      <tp t="s">
        <v>#N/A Requesting Data...3833103787</v>
        <stp/>
        <stp>BDP|15812353438527778094</stp>
        <tr r="S1448" s="2"/>
      </tp>
      <tp t="s">
        <v>#N/A Requesting Data...4149585737</v>
        <stp/>
        <stp>BDP|17588159664000604295</stp>
        <tr r="R652" s="2"/>
      </tp>
      <tp t="s">
        <v>#N/A Requesting Data...4124027622</v>
        <stp/>
        <stp>BDP|17614714125023911300</stp>
        <tr r="F631" s="2"/>
      </tp>
      <tp t="s">
        <v>#N/A Requesting Data...3832988453</v>
        <stp/>
        <stp>BDP|12081910288225270416</stp>
        <tr r="E47" s="2"/>
      </tp>
      <tp t="s">
        <v>#N/A Requesting Data...4198932099</v>
        <stp/>
        <stp>BDP|13551693840865540630</stp>
        <tr r="P1135" s="2"/>
      </tp>
      <tp t="s">
        <v>#N/A Requesting Data...4249334999</v>
        <stp/>
        <stp>BDP|11788459279735797565</stp>
        <tr r="N2360" s="2"/>
      </tp>
      <tp t="s">
        <v>#N/A Requesting Data...4109897996</v>
        <stp/>
        <stp>BDP|14866889219158253711</stp>
        <tr r="P2473" s="2"/>
      </tp>
      <tp t="s">
        <v>#N/A Requesting Data...4086031155</v>
        <stp/>
        <stp>BDP|17363498403178407976</stp>
        <tr r="H1829" s="2"/>
      </tp>
      <tp t="s">
        <v>#N/A Requesting Data...4278775128</v>
        <stp/>
        <stp>BDP|12157822881688117899</stp>
        <tr r="E1960" s="2"/>
      </tp>
      <tp t="s">
        <v>#N/A Requesting Data...4019749174</v>
        <stp/>
        <stp>BDP|13052089739203805137</stp>
        <tr r="K962" s="2"/>
      </tp>
      <tp t="s">
        <v>#N/A Requesting Data...4168099443</v>
        <stp/>
        <stp>BDP|10140122136134990467</stp>
        <tr r="S82" s="2"/>
      </tp>
      <tp t="s">
        <v>#N/A Requesting Data...3946181708</v>
        <stp/>
        <stp>BDP|12599488076453287035</stp>
        <tr r="N841" s="2"/>
      </tp>
      <tp t="s">
        <v>#N/A Requesting Data...4049604422</v>
        <stp/>
        <stp>BDP|13784725719467626003</stp>
        <tr r="M2418" s="2"/>
      </tp>
      <tp t="s">
        <v>#N/A Requesting Data...4246261690</v>
        <stp/>
        <stp>BDP|16790563143357831205</stp>
        <tr r="F785" s="2"/>
      </tp>
      <tp t="s">
        <v>#N/A Requesting Data...4223536244</v>
        <stp/>
        <stp>BDP|12872033038223117088</stp>
        <tr r="C686" s="2"/>
      </tp>
      <tp t="s">
        <v>#N/A Requesting Data...4248257470</v>
        <stp/>
        <stp>BDP|17940710131215001439</stp>
        <tr r="K204" s="2"/>
      </tp>
      <tp t="s">
        <v>#N/A Requesting Data...4191271900</v>
        <stp/>
        <stp>BDP|15681887140509523217</stp>
        <tr r="P1144" s="2"/>
      </tp>
      <tp t="s">
        <v>#N/A Requesting Data...3880635055</v>
        <stp/>
        <stp>BDP|17010468948620593518</stp>
        <tr r="A262" s="2"/>
      </tp>
      <tp t="s">
        <v>#N/A Requesting Data...4245328736</v>
        <stp/>
        <stp>BDP|13197157306588127897</stp>
        <tr r="S856" s="2"/>
      </tp>
      <tp t="s">
        <v>#N/A Requesting Data...3907369311</v>
        <stp/>
        <stp>BDP|14984395509325168026</stp>
        <tr r="R207" s="2"/>
      </tp>
      <tp t="s">
        <v>#N/A Requesting Data...3977726641</v>
        <stp/>
        <stp>BDP|10501997683247596402</stp>
        <tr r="F253" s="2"/>
      </tp>
      <tp t="s">
        <v>#N/A Requesting Data...3909681507</v>
        <stp/>
        <stp>BDP|10303277928283323159</stp>
        <tr r="P1438" s="2"/>
      </tp>
      <tp t="s">
        <v>#N/A Requesting Data...3986137738</v>
        <stp/>
        <stp>BDP|14499139464859119887</stp>
        <tr r="C1715" s="2"/>
      </tp>
      <tp t="s">
        <v>#N/A Requesting Data...4266614572</v>
        <stp/>
        <stp>BDP|12225844294836084788</stp>
        <tr r="E2285" s="2"/>
      </tp>
      <tp t="s">
        <v>#N/A Requesting Data...4185406687</v>
        <stp/>
        <stp>BDP|14085853967238920016</stp>
        <tr r="M1244" s="2"/>
      </tp>
      <tp t="s">
        <v>#N/A Requesting Data...4252825093</v>
        <stp/>
        <stp>BDP|15174445474365853139</stp>
        <tr r="G1707" s="2"/>
      </tp>
      <tp t="s">
        <v>#N/A Requesting Data...3932809906</v>
        <stp/>
        <stp>BDP|17698614824407805614</stp>
        <tr r="T1212" s="2"/>
      </tp>
      <tp t="s">
        <v>#N/A Requesting Data...3958206618</v>
        <stp/>
        <stp>BDP|11570022589872454905</stp>
        <tr r="O1847" s="2"/>
      </tp>
      <tp t="s">
        <v>#N/A Requesting Data...4287348803</v>
        <stp/>
        <stp>BDP|17490611302371964240</stp>
        <tr r="K305" s="2"/>
      </tp>
      <tp t="s">
        <v>#N/A Requesting Data...4009137340</v>
        <stp/>
        <stp>BDP|15948419952516944090</stp>
        <tr r="T378" s="2"/>
      </tp>
      <tp t="s">
        <v>#N/A Requesting Data...4006754130</v>
        <stp/>
        <stp>BDP|16873760594432008800</stp>
        <tr r="M2394" s="2"/>
      </tp>
      <tp t="s">
        <v>#N/A Requesting Data...3940105570</v>
        <stp/>
        <stp>BDP|12930735503520339703</stp>
        <tr r="T408" s="2"/>
      </tp>
      <tp t="s">
        <v>#N/A Requesting Data...3962401310</v>
        <stp/>
        <stp>BDP|11193791947748447818</stp>
        <tr r="J2518" s="2"/>
      </tp>
      <tp t="s">
        <v>#N/A Requesting Data...4069351720</v>
        <stp/>
        <stp>BDP|12777085151667619226</stp>
        <tr r="K2137" s="2"/>
      </tp>
      <tp t="s">
        <v>#N/A Requesting Data...3971679221</v>
        <stp/>
        <stp>BDP|13766468533525899301</stp>
        <tr r="S882" s="2"/>
      </tp>
      <tp t="s">
        <v>#N/A Requesting Data...3946752963</v>
        <stp/>
        <stp>BDP|14258785590709315135</stp>
        <tr r="O27" s="2"/>
      </tp>
      <tp t="s">
        <v>#N/A Requesting Data...4211875934</v>
        <stp/>
        <stp>BDP|11598582236930633572</stp>
        <tr r="J1361" s="2"/>
      </tp>
      <tp t="s">
        <v>#N/A Requesting Data...4138037499</v>
        <stp/>
        <stp>BDP|11842364686541714957</stp>
        <tr r="P193" s="2"/>
      </tp>
      <tp t="s">
        <v>#N/A Requesting Data...3958063665</v>
        <stp/>
        <stp>BDP|13774647258715101704</stp>
        <tr r="K2420" s="2"/>
      </tp>
      <tp t="s">
        <v>#N/A Requesting Data...4182393071</v>
        <stp/>
        <stp>BDP|18330129509443357818</stp>
        <tr r="H2392" s="2"/>
      </tp>
      <tp t="s">
        <v>#N/A Requesting Data...4017790076</v>
        <stp/>
        <stp>BDP|13522685112077339166</stp>
        <tr r="J1730" s="2"/>
      </tp>
      <tp t="s">
        <v>#N/A Requesting Data...3996039774</v>
        <stp/>
        <stp>BDP|11373507932255213091</stp>
        <tr r="A13" s="2"/>
      </tp>
      <tp t="s">
        <v>#N/A Requesting Data...4196261620</v>
        <stp/>
        <stp>BDP|16309207336930697595</stp>
        <tr r="H229" s="2"/>
      </tp>
      <tp t="s">
        <v>#N/A Requesting Data...4207671294</v>
        <stp/>
        <stp>BDP|13125170566466257081</stp>
        <tr r="N710" s="2"/>
      </tp>
      <tp t="b">
        <v>0</v>
        <stp/>
        <stp>BDS|11354830881751958215</stp>
        <tr r="I1789" s="2"/>
      </tp>
      <tp t="s">
        <v>#N/A Requesting Data...4062626154</v>
        <stp/>
        <stp>BDP|13891557279312791196</stp>
        <tr r="S1913" s="2"/>
      </tp>
      <tp t="s">
        <v>#N/A Requesting Data...4021366850</v>
        <stp/>
        <stp>BDP|11823843923000487918</stp>
        <tr r="T379" s="2"/>
      </tp>
      <tp t="s">
        <v>#N/A Requesting Data...4204824557</v>
        <stp/>
        <stp>BDP|11911804793132768073</stp>
        <tr r="J701" s="2"/>
      </tp>
      <tp t="s">
        <v>#N/A Requesting Data...4160689352</v>
        <stp/>
        <stp>BDP|15876391829061274700</stp>
        <tr r="A2275" s="2"/>
      </tp>
      <tp t="s">
        <v>#N/A Requesting Data...4056693047</v>
        <stp/>
        <stp>BDP|15401579941961061787</stp>
        <tr r="H1073" s="2"/>
      </tp>
      <tp t="s">
        <v>#N/A Requesting Data...4286960371</v>
        <stp/>
        <stp>BDP|13682669448286670545</stp>
        <tr r="C2423" s="2"/>
      </tp>
      <tp t="b">
        <v>0</v>
        <stp/>
        <stp>BDS|12938049625346994481</stp>
        <tr r="I450" s="2"/>
      </tp>
      <tp t="s">
        <v>#N/A Requesting Data...4224714851</v>
        <stp/>
        <stp>BDP|16882032672653194024</stp>
        <tr r="E1594" s="2"/>
      </tp>
      <tp t="s">
        <v>#N/A Requesting Data...4122663268</v>
        <stp/>
        <stp>BDP|17051485773276404053</stp>
        <tr r="S2467" s="2"/>
      </tp>
      <tp t="s">
        <v>#N/A Requesting Data...4204381008</v>
        <stp/>
        <stp>BDP|11897729116517503234</stp>
        <tr r="F1731" s="2"/>
      </tp>
      <tp t="s">
        <v>#N/A Requesting Data...4043525292</v>
        <stp/>
        <stp>BDP|14441183807654258335</stp>
        <tr r="J1907" s="2"/>
      </tp>
      <tp t="s">
        <v>#N/A Requesting Data...4264442688</v>
        <stp/>
        <stp>BDP|14537038926967238380</stp>
        <tr r="F2364" s="2"/>
      </tp>
      <tp t="s">
        <v>#N/A Requesting Data...4035331015</v>
        <stp/>
        <stp>BDP|14955963429768974557</stp>
        <tr r="M619" s="2"/>
      </tp>
      <tp t="s">
        <v>#N/A Requesting Data...4232554062</v>
        <stp/>
        <stp>BDP|15345486962243317601</stp>
        <tr r="K1117" s="2"/>
      </tp>
      <tp t="s">
        <v>#N/A Requesting Data...4008591442</v>
        <stp/>
        <stp>BDP|11094191662034894091</stp>
        <tr r="Q374" s="2"/>
      </tp>
      <tp t="s">
        <v>#N/A Requesting Data...4174883631</v>
        <stp/>
        <stp>BDP|15850113265528511832</stp>
        <tr r="K2390" s="2"/>
      </tp>
      <tp t="s">
        <v>#N/A Requesting Data...4292662190</v>
        <stp/>
        <stp>BDP|12215485306443072767</stp>
        <tr r="K1459" s="2"/>
      </tp>
      <tp t="s">
        <v>#N/A Requesting Data...4003393293</v>
        <stp/>
        <stp>BDP|15906361781235120951</stp>
        <tr r="D1388" s="2"/>
      </tp>
      <tp t="s">
        <v>#N/A Requesting Data...4112895261</v>
        <stp/>
        <stp>BDP|11989117973057499251</stp>
        <tr r="D640" s="2"/>
      </tp>
      <tp t="s">
        <v>#N/A Requesting Data...4245289071</v>
        <stp/>
        <stp>BDP|14313626848626565260</stp>
        <tr r="J1176" s="2"/>
      </tp>
      <tp t="s">
        <v>#N/A Requesting Data...4280656321</v>
        <stp/>
        <stp>BDP|15043369308404578019</stp>
        <tr r="F2183" s="2"/>
      </tp>
      <tp t="s">
        <v>#N/A Requesting Data...4084210127</v>
        <stp/>
        <stp>BDP|13405325892109866265</stp>
        <tr r="M1482" s="2"/>
      </tp>
      <tp t="s">
        <v>#N/A Requesting Data...4287798147</v>
        <stp/>
        <stp>BDP|13318505156313852275</stp>
        <tr r="N1423" s="2"/>
      </tp>
      <tp t="s">
        <v>#N/A Requesting Data...4142166171</v>
        <stp/>
        <stp>BDP|10514086023678226864</stp>
        <tr r="J2293" s="2"/>
      </tp>
      <tp t="s">
        <v>#N/A Requesting Data...4252112857</v>
        <stp/>
        <stp>BDP|15039701903524176487</stp>
        <tr r="A1545" s="2"/>
      </tp>
      <tp t="s">
        <v>#N/A Requesting Data...4240026277</v>
        <stp/>
        <stp>BDP|13851527504625217162</stp>
        <tr r="P422" s="2"/>
      </tp>
      <tp t="s">
        <v>#N/A Requesting Data...4224015833</v>
        <stp/>
        <stp>BDP|12071081906086492608</stp>
        <tr r="T1163" s="2"/>
      </tp>
      <tp t="b">
        <v>0</v>
        <stp/>
        <stp>BDS|14930475568520828477</stp>
        <tr r="I1399" s="2"/>
      </tp>
      <tp t="s">
        <v>#N/A Requesting Data...4159437056</v>
        <stp/>
        <stp>BDP|12958391748252003520</stp>
        <tr r="T2324" s="2"/>
      </tp>
      <tp t="s">
        <v>#N/A Requesting Data...4278105489</v>
        <stp/>
        <stp>BDP|12991168801425632420</stp>
        <tr r="T1284" s="2"/>
      </tp>
      <tp t="s">
        <v>#N/A Requesting Data...4180852653</v>
        <stp/>
        <stp>BDP|16693587930612070049</stp>
        <tr r="A1710" s="2"/>
      </tp>
      <tp t="s">
        <v>#N/A Requesting Data...4192227234</v>
        <stp/>
        <stp>BDP|16877026175754428712</stp>
        <tr r="A957" s="2"/>
      </tp>
      <tp t="s">
        <v>#N/A Requesting Data...4062479624</v>
        <stp/>
        <stp>BDP|18062575123138657581</stp>
        <tr r="G2016" s="2"/>
      </tp>
      <tp t="b">
        <v>0</v>
        <stp/>
        <stp>BDS|12436087174655233237</stp>
        <tr r="I1752" s="2"/>
      </tp>
      <tp t="s">
        <v>#N/A Requesting Data...4125353163</v>
        <stp/>
        <stp>BDP|15926404121726066721</stp>
        <tr r="R1210" s="2"/>
      </tp>
      <tp t="s">
        <v>#N/A Requesting Data...4246537507</v>
        <stp/>
        <stp>BDP|17123821973559913332</stp>
        <tr r="P584" s="2"/>
      </tp>
      <tp t="s">
        <v>#N/A Requesting Data...4257301418</v>
        <stp/>
        <stp>BDP|11222017117634909676</stp>
        <tr r="D1811" s="2"/>
      </tp>
      <tp t="s">
        <v>#N/A Requesting Data...4239537295</v>
        <stp/>
        <stp>BDP|12849728343280589363</stp>
        <tr r="N258" s="2"/>
      </tp>
      <tp t="s">
        <v>#N/A Requesting Data...4220921231</v>
        <stp/>
        <stp>BDP|13798316839924465515</stp>
        <tr r="Q786" s="2"/>
      </tp>
      <tp t="s">
        <v>#N/A Requesting Data...4128691052</v>
        <stp/>
        <stp>BDP|10566693451059351845</stp>
        <tr r="A1920" s="2"/>
      </tp>
      <tp t="s">
        <v>#N/A Requesting Data...4078833204</v>
        <stp/>
        <stp>BDP|11057324168220905696</stp>
        <tr r="T560" s="2"/>
      </tp>
      <tp t="s">
        <v>#N/A Requesting Data...4231940623</v>
        <stp/>
        <stp>BDP|11532460639563803783</stp>
        <tr r="P927" s="2"/>
      </tp>
      <tp t="s">
        <v>#N/A Requesting Data...4104212377</v>
        <stp/>
        <stp>BDP|16988905732268739669</stp>
        <tr r="N102" s="2"/>
      </tp>
      <tp t="s">
        <v>#N/A Requesting Data...4245005667</v>
        <stp/>
        <stp>BDP|17013547205141862135</stp>
        <tr r="E2313" s="2"/>
      </tp>
      <tp t="s">
        <v>#N/A Requesting Data...4266731411</v>
        <stp/>
        <stp>BDP|13084570840465805527</stp>
        <tr r="D1396" s="2"/>
      </tp>
      <tp t="s">
        <v>#N/A Requesting Data...4253463514</v>
        <stp/>
        <stp>BDP|17217930758929515012</stp>
        <tr r="K2125" s="2"/>
      </tp>
      <tp t="b">
        <v>0</v>
        <stp/>
        <stp>BDS|14363493662140397456</stp>
        <tr r="I1848" s="2"/>
      </tp>
      <tp t="s">
        <v>#N/A Requesting Data...4276994783</v>
        <stp/>
        <stp>BDP|13294513095624336984</stp>
        <tr r="O1917" s="2"/>
      </tp>
      <tp t="s">
        <v>#N/A Requesting Data...4137943619</v>
        <stp/>
        <stp>BDP|12404108549906731378</stp>
        <tr r="F104" s="2"/>
      </tp>
      <tp t="s">
        <v>#N/A Requesting Data...4121796730</v>
        <stp/>
        <stp>BDP|13885405116955472179</stp>
        <tr r="S2372" s="2"/>
      </tp>
      <tp t="s">
        <v>#N/A Requesting Data...4255678708</v>
        <stp/>
        <stp>BDP|12881131641680107566</stp>
        <tr r="D1945" s="2"/>
      </tp>
      <tp t="b">
        <v>0</v>
        <stp/>
        <stp>BDS|16691022315310747585</stp>
        <tr r="I2424" s="2"/>
      </tp>
      <tp t="s">
        <v>#N/A Requesting Data...4103996901</v>
        <stp/>
        <stp>BDP|12687223125470541092</stp>
        <tr r="A1054" s="2"/>
      </tp>
      <tp t="s">
        <v>#N/A Requesting Data...4206892244</v>
        <stp/>
        <stp>BDP|16803243662622287214</stp>
        <tr r="Q1822" s="2"/>
      </tp>
      <tp t="s">
        <v>#N/A Requesting Data...4253578589</v>
        <stp/>
        <stp>BDP|18194284445275807996</stp>
        <tr r="J222" s="2"/>
      </tp>
      <tp t="s">
        <v>#N/A Requesting Data...4207369500</v>
        <stp/>
        <stp>BDP|17186684564464816180</stp>
        <tr r="J131" s="2"/>
      </tp>
      <tp t="s">
        <v>#N/A Requesting Data...4247353890</v>
        <stp/>
        <stp>BDP|12223796710806626007</stp>
        <tr r="R2385" s="2"/>
      </tp>
      <tp t="s">
        <v>#N/A Requesting Data...4245995686</v>
        <stp/>
        <stp>BDP|17566697563854309111</stp>
        <tr r="G1390" s="2"/>
      </tp>
      <tp t="s">
        <v>#N/A Requesting Data...4168981351</v>
        <stp/>
        <stp>BDP|15344298336900849699</stp>
        <tr r="G1035" s="2"/>
      </tp>
      <tp t="s">
        <v>#N/A Requesting Data...4126719343</v>
        <stp/>
        <stp>BDP|14205613005179888932</stp>
        <tr r="T1942" s="2"/>
      </tp>
      <tp t="s">
        <v>#N/A Requesting Data...4181611495</v>
        <stp/>
        <stp>BDP|16722321414150822648</stp>
        <tr r="H186" s="2"/>
      </tp>
      <tp t="s">
        <v>#N/A Requesting Data...4126950004</v>
        <stp/>
        <stp>BDP|14768947328594782914</stp>
        <tr r="O118" s="2"/>
      </tp>
      <tp t="s">
        <v>#N/A Requesting Data...4124636183</v>
        <stp/>
        <stp>BDP|15587080985167471811</stp>
        <tr r="R1990" s="2"/>
      </tp>
      <tp t="s">
        <v>#N/A Requesting Data...4185854729</v>
        <stp/>
        <stp>BDP|13694918381277986724</stp>
        <tr r="G978" s="2"/>
      </tp>
      <tp t="s">
        <v>#N/A Requesting Data...4169535989</v>
        <stp/>
        <stp>BDP|12109401739595684233</stp>
        <tr r="D2098" s="2"/>
      </tp>
      <tp t="b">
        <v>0</v>
        <stp/>
        <stp>BDS|12890140906013075240</stp>
        <tr r="I358" s="2"/>
      </tp>
      <tp t="s">
        <v>#N/A Requesting Data...4268621960</v>
        <stp/>
        <stp>BDP|13042517017490395580</stp>
        <tr r="K1795" s="2"/>
      </tp>
      <tp t="s">
        <v>#N/A Requesting Data...4225982475</v>
        <stp/>
        <stp>BDP|11680686733892588450</stp>
        <tr r="T285" s="2"/>
      </tp>
      <tp t="s">
        <v>#N/A Requesting Data...4138017109</v>
        <stp/>
        <stp>BDP|17033408963597922072</stp>
        <tr r="D88" s="2"/>
      </tp>
      <tp t="s">
        <v>#N/A Requesting Data...4142228225</v>
        <stp/>
        <stp>BDP|13943054320554718769</stp>
        <tr r="S1148" s="2"/>
      </tp>
      <tp t="s">
        <v>#N/A Requesting Data...4177527553</v>
        <stp/>
        <stp>BDP|12323747700290926738</stp>
        <tr r="T1524" s="2"/>
      </tp>
      <tp t="s">
        <v>#N/A Requesting Data...4294834051</v>
        <stp/>
        <stp>BDP|16058999020706743932</stp>
        <tr r="G1061" s="2"/>
      </tp>
      <tp t="s">
        <v>#N/A Requesting Data...4143447180</v>
        <stp/>
        <stp>BDP|10663413758444394715</stp>
        <tr r="Q2134" s="2"/>
      </tp>
      <tp t="s">
        <v>#N/A Requesting Data...4190131788</v>
        <stp/>
        <stp>BDP|12446999515058122042</stp>
        <tr r="P1570" s="2"/>
      </tp>
      <tp t="s">
        <v>#N/A Requesting Data...4203939156</v>
        <stp/>
        <stp>BDP|10204186910300714208</stp>
        <tr r="O2162" s="2"/>
      </tp>
      <tp t="b">
        <v>0</v>
        <stp/>
        <stp>BDS|14590063691768859744</stp>
        <tr r="I1678" s="2"/>
      </tp>
      <tp t="s">
        <v>#N/A Requesting Data...4288231856</v>
        <stp/>
        <stp>BDP|18393917640362878576</stp>
        <tr r="J2502" s="2"/>
      </tp>
      <tp t="s">
        <v>#N/A Requesting Data...4286165433</v>
        <stp/>
        <stp>BDP|14745949970420759890</stp>
        <tr r="K233" s="2"/>
      </tp>
      <tp t="s">
        <v>#N/A Requesting Data...4209720169</v>
        <stp/>
        <stp>BDP|14845812384236404048</stp>
        <tr r="S1968" s="2"/>
      </tp>
      <tp t="s">
        <v>#N/A Requesting Data...4249506628</v>
        <stp/>
        <stp>BDP|12640232740646981014</stp>
        <tr r="A1962" s="2"/>
      </tp>
      <tp t="s">
        <v>#N/A Requesting Data...4215661167</v>
        <stp/>
        <stp>BDP|17855643812744163624</stp>
        <tr r="P2367" s="2"/>
      </tp>
      <tp t="s">
        <v>#N/A Requesting Data...4284821609</v>
        <stp/>
        <stp>BDP|12804552630424046201</stp>
        <tr r="S2342" s="2"/>
      </tp>
      <tp t="s">
        <v>#N/A Requesting Data...4233173314</v>
        <stp/>
        <stp>BDP|11952438031036560238</stp>
        <tr r="S2423" s="2"/>
      </tp>
      <tp t="s">
        <v>#N/A Requesting Data...4187915231</v>
        <stp/>
        <stp>BDP|17875081654305813517</stp>
        <tr r="C957" s="2"/>
      </tp>
      <tp t="s">
        <v>#N/A Requesting Data...4281338024</v>
        <stp/>
        <stp>BDP|10705039498919632270</stp>
        <tr r="R992" s="2"/>
      </tp>
      <tp t="s">
        <v>#N/A Requesting Data...4252649857</v>
        <stp/>
        <stp>BDP|14053202654398110987</stp>
        <tr r="T2232" s="2"/>
      </tp>
      <tp t="s">
        <v>#N/A Requesting Data...4243926259</v>
        <stp/>
        <stp>BDP|13609692500710014726</stp>
        <tr r="G2470" s="2"/>
      </tp>
      <tp t="s">
        <v>#N/A Requesting Data...4264450690</v>
        <stp/>
        <stp>BDP|13348796841592131076</stp>
        <tr r="O2447" s="2"/>
      </tp>
      <tp t="s">
        <v>#N/A Requesting Data...4255909061</v>
        <stp/>
        <stp>BDP|15165361538597042024</stp>
        <tr r="T1020" s="2"/>
      </tp>
      <tp t="s">
        <v>#N/A Requesting Data...4282919877</v>
        <stp/>
        <stp>BDP|14706901890330278687</stp>
        <tr r="S551" s="2"/>
      </tp>
      <tp t="s">
        <v>#N/A Requesting Data...4222877921</v>
        <stp/>
        <stp>BDP|12598900889271803099</stp>
        <tr r="O2379" s="2"/>
      </tp>
      <tp t="s">
        <v>#N/A Requesting Data...4238995064</v>
        <stp/>
        <stp>BDP|14921868649948334282</stp>
        <tr r="C1498" s="2"/>
      </tp>
      <tp t="s">
        <v>#N/A Requesting Data...4216096565</v>
        <stp/>
        <stp>BDP|15275618709158056979</stp>
        <tr r="J17" s="2"/>
      </tp>
      <tp t="s">
        <v>#N/A Requesting Data...4260141425</v>
        <stp/>
        <stp>BDP|11688893877098709429</stp>
        <tr r="R2412" s="2"/>
      </tp>
      <tp t="s">
        <v>#N/A Requesting Data...4273579258</v>
        <stp/>
        <stp>BDP|13384394529677996771</stp>
        <tr r="P642" s="2"/>
      </tp>
      <tp t="s">
        <v>#N/A Requesting Data...4214921817</v>
        <stp/>
        <stp>BDP|14517661961132921462</stp>
        <tr r="T542" s="2"/>
      </tp>
      <tp t="s">
        <v>#N/A Requesting Data...4278444163</v>
        <stp/>
        <stp>BDP|14922547272081723556</stp>
        <tr r="F962" s="2"/>
      </tp>
      <tp t="s">
        <v>#N/A Requesting Data...4286573826</v>
        <stp/>
        <stp>BDP|11356501960879852968</stp>
        <tr r="A1160" s="2"/>
      </tp>
      <tp t="s">
        <v>#N/A Requesting Data...4216253869</v>
        <stp/>
        <stp>BDP|16082851769178402259</stp>
        <tr r="A1822" s="2"/>
      </tp>
      <tp t="s">
        <v>#N/A Requesting Data...4236813278</v>
        <stp/>
        <stp>BDP|17713935129399574750</stp>
        <tr r="T1307" s="2"/>
      </tp>
      <tp t="s">
        <v>#N/A Requesting Data...4223586585</v>
        <stp/>
        <stp>BDP|18358256829253753954</stp>
        <tr r="K587" s="2"/>
      </tp>
      <tp t="s">
        <v>#N/A Requesting Data...4255141487</v>
        <stp/>
        <stp>BDP|16562322229962486775</stp>
        <tr r="N2397" s="2"/>
      </tp>
      <tp t="s">
        <v>#N/A Requesting Data...4292844249</v>
        <stp/>
        <stp>BDP|16378875488942753669</stp>
        <tr r="F2205" s="2"/>
      </tp>
      <tp t="s">
        <v>#N/A Requesting Data...4283052346</v>
        <stp/>
        <stp>BDP|18166442486322715491</stp>
        <tr r="O2109" s="2"/>
      </tp>
      <tp t="s">
        <v>#N/A Requesting Data...4255465204</v>
        <stp/>
        <stp>BDP|11857011670704457001</stp>
        <tr r="A239" s="2"/>
      </tp>
      <tp t="s">
        <v>#N/A Requesting Data...4272823768</v>
        <stp/>
        <stp>BDP|11331717802492800657</stp>
        <tr r="P1542" s="2"/>
      </tp>
      <tp t="s">
        <v>#N/A Requesting Data...4285014184</v>
        <stp/>
        <stp>BDP|13123312776321854431</stp>
        <tr r="S2073" s="2"/>
      </tp>
      <tp t="s">
        <v>#N/A Requesting Data...4253868863</v>
        <stp/>
        <stp>BDP|14972779097618699027</stp>
        <tr r="G1194" s="2"/>
      </tp>
      <tp t="s">
        <v>#N/A Requesting Data...4277293546</v>
        <stp/>
        <stp>BDP|16073113706492948732</stp>
        <tr r="J2377" s="2"/>
      </tp>
      <tp t="b">
        <v>0</v>
        <stp/>
        <stp>BDS|14413285831393152424</stp>
        <tr r="I1714" s="2"/>
      </tp>
      <tp t="s">
        <v>#N/A Requesting Data...4265237718</v>
        <stp/>
        <stp>BDP|13697336738099720878</stp>
        <tr r="E1034" s="2"/>
      </tp>
      <tp t="s">
        <v>#N/A Requesting Data...4274248619</v>
        <stp/>
        <stp>BDP|14750596949172366591</stp>
        <tr r="P1452" s="2"/>
      </tp>
      <tp t="s">
        <v>#N/A Requesting Data...4263737230</v>
        <stp/>
        <stp>BDP|14917320208764906173</stp>
        <tr r="S1536" s="2"/>
      </tp>
      <tp t="s">
        <v>#N/A Requesting Data...4282043519</v>
        <stp/>
        <stp>BDP|15179199105955868384</stp>
        <tr r="D2357" s="2"/>
      </tp>
      <tp t="s">
        <v>#N/A Requesting Data...4266234161</v>
        <stp/>
        <stp>BDP|13155351348201651776</stp>
        <tr r="E188" s="2"/>
      </tp>
      <tp t="s">
        <v>#N/A Requesting Data...4272164378</v>
        <stp/>
        <stp>BDP|17885770223973227336</stp>
        <tr r="H753" s="2"/>
      </tp>
      <tp t="s">
        <v>#N/A Requesting Data...4264842602</v>
        <stp/>
        <stp>BDP|11857412638805981152</stp>
        <tr r="F769" s="2"/>
      </tp>
      <tp t="s">
        <v>#N/A Requesting Data...4268176000</v>
        <stp/>
        <stp>BDP|17043476225237930466</stp>
        <tr r="R1332" s="2"/>
      </tp>
      <tp t="s">
        <v>#N/A Requesting Data...4270907044</v>
        <stp/>
        <stp>BDP|11136507170017479687</stp>
        <tr r="R991" s="2"/>
      </tp>
      <tp t="s">
        <v>#N/A Requesting Data...4283729746</v>
        <stp/>
        <stp>BDP|16222220188197421915</stp>
        <tr r="T222" s="2"/>
      </tp>
      <tp t="s">
        <v>#N/A Requesting Data...4277769084</v>
        <stp/>
        <stp>BDP|14891611571196497114</stp>
        <tr r="E1157" s="2"/>
      </tp>
      <tp t="s">
        <v>#N/A Requesting Data...4294011598</v>
        <stp/>
        <stp>BDP|15342346668583076124</stp>
        <tr r="R909" s="2"/>
      </tp>
      <tp t="s">
        <v>#N/A Requesting Data...4288823047</v>
        <stp/>
        <stp>BDP|10784414848006309408</stp>
        <tr r="H854" s="2"/>
      </tp>
      <tp t="s">
        <v>#N/A Requesting Data...4288032910</v>
        <stp/>
        <stp>BDP|11345575309346715077</stp>
        <tr r="F1647" s="2"/>
      </tp>
      <tp t="s">
        <v>#N/A Requesting Data...4287487065</v>
        <stp/>
        <stp>BDP|11793545900846858065</stp>
        <tr r="A2160" s="2"/>
      </tp>
      <tp t="s">
        <v>#N/A Requesting Data...4291498990</v>
        <stp/>
        <stp>BDP|11163470148914722749</stp>
        <tr r="H1132" s="2"/>
      </tp>
      <tp t="s">
        <v>#N/A Requesting Data...4294353507</v>
        <stp/>
        <stp>BDP|15267296716461825582</stp>
        <tr r="J2530" s="2"/>
      </tp>
      <tp t="s">
        <v>#N/A Requesting Data...4294843471</v>
        <stp/>
        <stp>BDP|17253467155791578596</stp>
        <tr r="N1498" s="2"/>
      </tp>
      <tp t="s">
        <v>#N/A Requesting Data...2002127465</v>
        <stp/>
        <stp>BDP|15459057640480915353</stp>
        <tr r="F1482" s="2"/>
      </tp>
      <tp t="s">
        <v>#N/A Requesting Data...2767521008</v>
        <stp/>
        <stp>BDP|14768330318622924699</stp>
        <tr r="H2450" s="2"/>
      </tp>
      <tp t="s">
        <v>#N/A Requesting Data...1545803214</v>
        <stp/>
        <stp>BDP|11052458601560119792</stp>
        <tr r="O1242" s="2"/>
      </tp>
      <tp t="s">
        <v>#N/A Requesting Data...1868516364</v>
        <stp/>
        <stp>BDP|13477812578006787866</stp>
        <tr r="K1678" s="2"/>
      </tp>
      <tp t="s">
        <v>#N/A Requesting Data...3783808679</v>
        <stp/>
        <stp>BDP|13650088271266141020</stp>
        <tr r="P1671" s="2"/>
      </tp>
      <tp t="s">
        <v>#N/A Requesting Data...2471991318</v>
        <stp/>
        <stp>BDP|17809734747937458143</stp>
        <tr r="N644" s="2"/>
      </tp>
      <tp t="s">
        <v>#N/A Requesting Data...3957012228</v>
        <stp/>
        <stp>BDP|10963246255131632429</stp>
        <tr r="G418" s="2"/>
      </tp>
      <tp t="s">
        <v>#N/A Requesting Data...3355609275</v>
        <stp/>
        <stp>BDP|12022441778967408440</stp>
        <tr r="F998" s="2"/>
      </tp>
      <tp t="s">
        <v>#N/A Requesting Data...577926051</v>
        <stp/>
        <stp>BDP|13164560838504118328</stp>
        <tr r="J1172" s="2"/>
      </tp>
      <tp t="s">
        <v>#N/A Requesting Data...93748453</v>
        <stp/>
        <stp>BDP|15593597113047076433</stp>
        <tr r="O853" s="2"/>
      </tp>
      <tp t="s">
        <v>#N/A Requesting Data...101678137</v>
        <stp/>
        <stp>BDP|10675176409431055249</stp>
        <tr r="T712" s="2"/>
      </tp>
      <tp t="s">
        <v>#N/A Requesting Data...338032099</v>
        <stp/>
        <stp>BDP|12296984217239238134</stp>
        <tr r="D1739" s="2"/>
      </tp>
      <tp t="s">
        <v>#N/A Requesting Data...4249780664</v>
        <stp/>
        <stp>BDP|13828679405667215044</stp>
        <tr r="M1938" s="2"/>
      </tp>
      <tp t="s">
        <v>#N/A Requesting Data...1995239610</v>
        <stp/>
        <stp>BDP|14553794808801092088</stp>
        <tr r="F1299" s="2"/>
      </tp>
      <tp t="s">
        <v>#N/A Requesting Data...3190878399</v>
        <stp/>
        <stp>BDP|12689619208076297010</stp>
        <tr r="Q2111" s="2"/>
      </tp>
      <tp t="s">
        <v>#N/A Requesting Data...3130275250</v>
        <stp/>
        <stp>BDP|16779896313065418858</stp>
        <tr r="A191" s="2"/>
      </tp>
      <tp t="s">
        <v>#N/A Requesting Data...4210590630</v>
        <stp/>
        <stp>BDP|16194315558570281269</stp>
        <tr r="S933" s="2"/>
      </tp>
      <tp t="s">
        <v>#N/A Requesting Data...4158921402</v>
        <stp/>
        <stp>BDP|14363583697953611965</stp>
        <tr r="J2219" s="2"/>
      </tp>
      <tp t="s">
        <v>#N/A Requesting Data...2773073275</v>
        <stp/>
        <stp>BDP|16068333158481700309</stp>
        <tr r="T159" s="2"/>
      </tp>
      <tp t="s">
        <v>#N/A Requesting Data...1585053478</v>
        <stp/>
        <stp>BDP|15616403878894275005</stp>
        <tr r="F116" s="2"/>
      </tp>
      <tp t="s">
        <v>#N/A Requesting Data...3543295027</v>
        <stp/>
        <stp>BDP|12960172213351288130</stp>
        <tr r="G1609" s="2"/>
      </tp>
      <tp t="s">
        <v>#N/A Requesting Data...3149033292</v>
        <stp/>
        <stp>BDP|14213582376916778272</stp>
        <tr r="D637" s="2"/>
      </tp>
      <tp t="s">
        <v>#N/A Requesting Data...397304846</v>
        <stp/>
        <stp>BDP|17024717455925856206</stp>
        <tr r="C277" s="2"/>
      </tp>
      <tp t="s">
        <v>#N/A Requesting Data...2050585632</v>
        <stp/>
        <stp>BDP|10573224328153395104</stp>
        <tr r="S188" s="2"/>
      </tp>
      <tp t="s">
        <v>#N/A Requesting Data...680763614</v>
        <stp/>
        <stp>BDP|14127965409567188834</stp>
        <tr r="K1539" s="2"/>
      </tp>
      <tp t="s">
        <v>#N/A Requesting Data...3820278252</v>
        <stp/>
        <stp>BDP|16860610707314598672</stp>
        <tr r="P495" s="2"/>
      </tp>
      <tp t="s">
        <v>#N/A Requesting Data...3769669441</v>
        <stp/>
        <stp>BDP|13397297092349319372</stp>
        <tr r="F1710" s="2"/>
      </tp>
      <tp t="s">
        <v>#N/A Requesting Data...213456691</v>
        <stp/>
        <stp>BDP|17319550255944755183</stp>
        <tr r="N1127" s="2"/>
      </tp>
      <tp t="s">
        <v>#N/A Requesting Data...466560344</v>
        <stp/>
        <stp>BDP|11233607500061891463</stp>
        <tr r="M1046" s="2"/>
      </tp>
      <tp t="s">
        <v>#N/A Requesting Data...198652477</v>
        <stp/>
        <stp>BDP|17863656322522623359</stp>
        <tr r="G1886" s="2"/>
      </tp>
      <tp t="b">
        <v>0</v>
        <stp/>
        <stp>BDS|10028055038104326519</stp>
        <tr r="I1835" s="2"/>
      </tp>
      <tp t="s">
        <v>#N/A Requesting Data...2450374938</v>
        <stp/>
        <stp>BDP|10570429099389580678</stp>
        <tr r="D1851" s="2"/>
      </tp>
      <tp t="s">
        <v>#N/A Requesting Data...138055969</v>
        <stp/>
        <stp>BDP|13734795351312689151</stp>
        <tr r="F15" s="2"/>
      </tp>
      <tp t="s">
        <v>#N/A Requesting Data...2186728616</v>
        <stp/>
        <stp>BDP|11969809443966290943</stp>
        <tr r="P2429" s="2"/>
      </tp>
      <tp t="s">
        <v>#N/A Requesting Data...223117338</v>
        <stp/>
        <stp>BDP|12165784345360385335</stp>
        <tr r="C1906" s="2"/>
      </tp>
      <tp t="s">
        <v>#N/A Requesting Data...794483623</v>
        <stp/>
        <stp>BDP|17772107516854551181</stp>
        <tr r="R1390" s="2"/>
      </tp>
      <tp t="s">
        <v>#N/A Requesting Data...3807986807</v>
        <stp/>
        <stp>BDP|15430753874023834410</stp>
        <tr r="F1912" s="2"/>
      </tp>
      <tp t="s">
        <v>#N/A Requesting Data...2961166573</v>
        <stp/>
        <stp>BDP|16183354282388897725</stp>
        <tr r="O2528" s="2"/>
      </tp>
      <tp t="s">
        <v>#N/A Requesting Data...3052091408</v>
        <stp/>
        <stp>BDP|14792386147390080147</stp>
        <tr r="M1503" s="2"/>
      </tp>
      <tp t="s">
        <v>#N/A Requesting Data...2553359307</v>
        <stp/>
        <stp>BDP|17165361338142146721</stp>
        <tr r="T704" s="2"/>
      </tp>
      <tp t="s">
        <v>#N/A Requesting Data...111466917</v>
        <stp/>
        <stp>BDP|17918177841457332702</stp>
        <tr r="E942" s="2"/>
      </tp>
      <tp t="s">
        <v>#N/A Requesting Data...3671948829</v>
        <stp/>
        <stp>BDP|15665751228436217451</stp>
        <tr r="S1419" s="2"/>
      </tp>
      <tp t="s">
        <v>#N/A Requesting Data...1433619801</v>
        <stp/>
        <stp>BDP|16975436720453075161</stp>
        <tr r="K183" s="2"/>
      </tp>
      <tp t="s">
        <v>#N/A Requesting Data...567492325</v>
        <stp/>
        <stp>BDP|15418365211377960263</stp>
        <tr r="F1581" s="2"/>
      </tp>
      <tp t="s">
        <v>#N/A Requesting Data...3023849722</v>
        <stp/>
        <stp>BDP|18221915614126829436</stp>
        <tr r="H600" s="2"/>
      </tp>
      <tp t="s">
        <v>#N/A Requesting Data...555579931</v>
        <stp/>
        <stp>BDP|15690998794204099378</stp>
        <tr r="C1169" s="2"/>
      </tp>
      <tp t="s">
        <v>#N/A Requesting Data...4124845899</v>
        <stp/>
        <stp>BDP|11970208600390776129</stp>
        <tr r="K2044" s="2"/>
      </tp>
      <tp t="s">
        <v>#N/A Requesting Data...1016978016</v>
        <stp/>
        <stp>BDP|16005165018451564575</stp>
        <tr r="R566" s="2"/>
      </tp>
      <tp t="s">
        <v>#N/A Requesting Data...460337578</v>
        <stp/>
        <stp>BDP|12659721879700306021</stp>
        <tr r="A192" s="2"/>
      </tp>
      <tp t="s">
        <v>#N/A Requesting Data...3826001944</v>
        <stp/>
        <stp>BDP|12119235555580268796</stp>
        <tr r="F1882" s="2"/>
      </tp>
      <tp t="s">
        <v>#N/A Requesting Data...2324604859</v>
        <stp/>
        <stp>BDP|10687958402688934344</stp>
        <tr r="C1593" s="2"/>
      </tp>
      <tp t="s">
        <v>#N/A Requesting Data...4256503650</v>
        <stp/>
        <stp>BDP|11404948096285324699</stp>
        <tr r="E590" s="2"/>
      </tp>
      <tp t="s">
        <v>#N/A Requesting Data...2361778101</v>
        <stp/>
        <stp>BDP|13361175378835124218</stp>
        <tr r="M1241" s="2"/>
      </tp>
      <tp t="s">
        <v>#N/A Requesting Data...264915531</v>
        <stp/>
        <stp>BDP|16821067592315434844</stp>
        <tr r="H919" s="2"/>
      </tp>
      <tp t="s">
        <v>#N/A Requesting Data...3644494679</v>
        <stp/>
        <stp>BDP|16607805682386854203</stp>
        <tr r="H1840" s="2"/>
      </tp>
      <tp t="s">
        <v>#N/A Requesting Data...2960495906</v>
        <stp/>
        <stp>BDP|14808297547396358691</stp>
        <tr r="P483" s="2"/>
      </tp>
      <tp t="s">
        <v>#N/A Requesting Data...4054968573</v>
        <stp/>
        <stp>BDP|17133729638327309649</stp>
        <tr r="M1310" s="2"/>
      </tp>
      <tp t="s">
        <v>#N/A Requesting Data...870298880</v>
        <stp/>
        <stp>BDP|12960271070203457660</stp>
        <tr r="O581" s="2"/>
      </tp>
      <tp t="s">
        <v>#N/A Requesting Data...2788121110</v>
        <stp/>
        <stp>BDP|18071304784682958310</stp>
        <tr r="D132" s="2"/>
      </tp>
      <tp t="s">
        <v>#N/A Requesting Data...2560398080</v>
        <stp/>
        <stp>BDP|14545197421213900681</stp>
        <tr r="K148" s="2"/>
      </tp>
      <tp t="s">
        <v>#N/A Requesting Data...4031506780</v>
        <stp/>
        <stp>BDP|11979096799278624236</stp>
        <tr r="F1568" s="2"/>
      </tp>
      <tp t="s">
        <v>#N/A Requesting Data...4040415114</v>
        <stp/>
        <stp>BDP|17617929991155092097</stp>
        <tr r="N2031" s="2"/>
      </tp>
      <tp t="s">
        <v>#N/A Requesting Data...1931059445</v>
        <stp/>
        <stp>BDP|15824340147592417231</stp>
        <tr r="R1525" s="2"/>
      </tp>
      <tp t="s">
        <v>#N/A Requesting Data...2306366278</v>
        <stp/>
        <stp>BDP|16896727740533742418</stp>
        <tr r="H977" s="2"/>
      </tp>
      <tp t="s">
        <v>#N/A Requesting Data...1620685240</v>
        <stp/>
        <stp>BDP|16027373922487833210</stp>
        <tr r="D456" s="2"/>
      </tp>
      <tp t="s">
        <v>#N/A Requesting Data...2398698025</v>
        <stp/>
        <stp>BDP|15956145167108443823</stp>
        <tr r="T120" s="2"/>
      </tp>
      <tp t="s">
        <v>#N/A Requesting Data...2783308745</v>
        <stp/>
        <stp>BDP|16603911564049645293</stp>
        <tr r="R353" s="2"/>
      </tp>
      <tp t="s">
        <v>#N/A Requesting Data...1330147299</v>
        <stp/>
        <stp>BDP|16435137338185418372</stp>
        <tr r="S2187" s="2"/>
      </tp>
      <tp t="s">
        <v>#N/A Requesting Data...3036776225</v>
        <stp/>
        <stp>BDP|15206372539320822785</stp>
        <tr r="D1101" s="2"/>
      </tp>
      <tp t="s">
        <v>#N/A Requesting Data...803249313</v>
        <stp/>
        <stp>BDP|16647203327512526686</stp>
        <tr r="Q384" s="2"/>
      </tp>
      <tp t="s">
        <v>#N/A Requesting Data...576080067</v>
        <stp/>
        <stp>BDP|15863729437550669379</stp>
        <tr r="E86" s="2"/>
      </tp>
      <tp t="s">
        <v>#N/A Requesting Data...2500835369</v>
        <stp/>
        <stp>BDP|13396481567996570553</stp>
        <tr r="M1040" s="2"/>
      </tp>
      <tp t="s">
        <v>#N/A Requesting Data...1063038230</v>
        <stp/>
        <stp>BDP|16179172834421624786</stp>
        <tr r="T2467" s="2"/>
      </tp>
      <tp t="s">
        <v>#N/A Requesting Data...3868193045</v>
        <stp/>
        <stp>BDP|12869838726988524240</stp>
        <tr r="E1459" s="2"/>
      </tp>
      <tp t="b">
        <v>0</v>
        <stp/>
        <stp>BDS|18226537125094877936</stp>
        <tr r="I1846" s="2"/>
      </tp>
      <tp t="s">
        <v>#N/A Requesting Data...1216840638</v>
        <stp/>
        <stp>BDP|14891783749253748628</stp>
        <tr r="O1850" s="2"/>
      </tp>
      <tp t="s">
        <v>#N/A Requesting Data...335078348</v>
        <stp/>
        <stp>BDP|12654636077238843961</stp>
        <tr r="T609" s="2"/>
      </tp>
      <tp t="s">
        <v>#N/A Requesting Data...2051463461</v>
        <stp/>
        <stp>BDP|16857046851010469151</stp>
        <tr r="J2497" s="2"/>
      </tp>
      <tp t="s">
        <v>#N/A Requesting Data...1332293916</v>
        <stp/>
        <stp>BDP|15568154246254249680</stp>
        <tr r="R1048" s="2"/>
      </tp>
      <tp t="s">
        <v>#N/A Requesting Data...1415393215</v>
        <stp/>
        <stp>BDP|16581437176046978163</stp>
        <tr r="C1731" s="2"/>
      </tp>
      <tp t="s">
        <v>#N/A Requesting Data...2663114821</v>
        <stp/>
        <stp>BDP|16678950683084798185</stp>
        <tr r="E1730" s="2"/>
      </tp>
      <tp t="s">
        <v>#N/A Requesting Data...1834333884</v>
        <stp/>
        <stp>BDP|16820470973920255715</stp>
        <tr r="P657" s="2"/>
      </tp>
      <tp t="s">
        <v>#N/A Requesting Data...2214096504</v>
        <stp/>
        <stp>BDP|12980776487937752819</stp>
        <tr r="A857" s="2"/>
      </tp>
      <tp t="s">
        <v>#N/A Requesting Data...2448686213</v>
        <stp/>
        <stp>BDP|17740065910687887364</stp>
        <tr r="F1261" s="2"/>
      </tp>
      <tp t="s">
        <v>#N/A Requesting Data...558486091</v>
        <stp/>
        <stp>BDP|14702876454483312889</stp>
        <tr r="P1800" s="2"/>
      </tp>
      <tp t="s">
        <v>#N/A Requesting Data...3658707219</v>
        <stp/>
        <stp>BDP|15121228978323262165</stp>
        <tr r="P1126" s="2"/>
      </tp>
      <tp t="s">
        <v>#N/A Requesting Data...3972066955</v>
        <stp/>
        <stp>BDP|11891187134365834434</stp>
        <tr r="A2475" s="2"/>
      </tp>
      <tp t="s">
        <v>#N/A Requesting Data...2467755347</v>
        <stp/>
        <stp>BDP|16438714309911378203</stp>
        <tr r="Q1849" s="2"/>
      </tp>
      <tp t="s">
        <v>#N/A Requesting Data...2090036016</v>
        <stp/>
        <stp>BDP|10169789424630447764</stp>
        <tr r="G1867" s="2"/>
      </tp>
      <tp t="s">
        <v>#N/A Requesting Data...395030269</v>
        <stp/>
        <stp>BDP|10138199403210717330</stp>
        <tr r="S2294" s="2"/>
      </tp>
      <tp t="s">
        <v>#N/A Requesting Data...2936378679</v>
        <stp/>
        <stp>BDP|12746691713867020026</stp>
        <tr r="H1269" s="2"/>
      </tp>
      <tp t="s">
        <v>#N/A Requesting Data...3143421194</v>
        <stp/>
        <stp>BDP|14662649460545574384</stp>
        <tr r="G686" s="2"/>
      </tp>
      <tp t="s">
        <v>#N/A Requesting Data...739736195</v>
        <stp/>
        <stp>BDP|17023447942880851511</stp>
        <tr r="D1940" s="2"/>
      </tp>
      <tp t="s">
        <v>#N/A Requesting Data...2559629542</v>
        <stp/>
        <stp>BDP|17538760170926576395</stp>
        <tr r="M1506" s="2"/>
      </tp>
      <tp t="s">
        <v>#N/A Requesting Data...1392697782</v>
        <stp/>
        <stp>BDP|17211277523981063491</stp>
        <tr r="F1324" s="2"/>
      </tp>
      <tp t="s">
        <v>#N/A Requesting Data...3083209501</v>
        <stp/>
        <stp>BDP|15605390609886061296</stp>
        <tr r="E1109" s="2"/>
      </tp>
      <tp t="s">
        <v>#N/A Requesting Data...3406992377</v>
        <stp/>
        <stp>BDP|16629600428701847199</stp>
        <tr r="M2481" s="2"/>
      </tp>
      <tp t="s">
        <v>#N/A Requesting Data...2040421838</v>
        <stp/>
        <stp>BDP|18098177463905279898</stp>
        <tr r="Q1243" s="2"/>
      </tp>
      <tp t="s">
        <v>#N/A Requesting Data...1108675806</v>
        <stp/>
        <stp>BDP|16291512430763527196</stp>
        <tr r="M2068" s="2"/>
      </tp>
      <tp t="s">
        <v>#N/A Requesting Data...1774751260</v>
        <stp/>
        <stp>BDP|10450046424252806239</stp>
        <tr r="R935" s="2"/>
      </tp>
      <tp t="s">
        <v>#N/A Requesting Data...3239290967</v>
        <stp/>
        <stp>BDP|16355385343636404538</stp>
        <tr r="H2253" s="2"/>
      </tp>
      <tp t="s">
        <v>#N/A Requesting Data...2205510860</v>
        <stp/>
        <stp>BDP|10289489625945742171</stp>
        <tr r="P46" s="2"/>
      </tp>
      <tp t="s">
        <v>#N/A Requesting Data...1207352382</v>
        <stp/>
        <stp>BDP|13433584660375687751</stp>
        <tr r="F448" s="2"/>
      </tp>
      <tp t="s">
        <v>#N/A Requesting Data...2916298852</v>
        <stp/>
        <stp>BDP|12609888547264208847</stp>
        <tr r="R270" s="2"/>
      </tp>
      <tp t="s">
        <v>#N/A Requesting Data...2018912495</v>
        <stp/>
        <stp>BDP|12937243102777428549</stp>
        <tr r="A1954" s="2"/>
      </tp>
      <tp t="s">
        <v>#N/A Requesting Data...689160019</v>
        <stp/>
        <stp>BDP|11420343646553097791</stp>
        <tr r="N2159" s="2"/>
      </tp>
      <tp t="s">
        <v>#N/A Requesting Data...1531313614</v>
        <stp/>
        <stp>BDP|11684429316355983346</stp>
        <tr r="N305" s="2"/>
      </tp>
      <tp t="b">
        <v>0</v>
        <stp/>
        <stp>BDS|10563469711954692383</stp>
        <tr r="I1928" s="2"/>
      </tp>
      <tp t="s">
        <v>#N/A Requesting Data...2351837757</v>
        <stp/>
        <stp>BDP|11606395680099035105</stp>
        <tr r="F1114" s="2"/>
      </tp>
      <tp t="s">
        <v>#N/A Requesting Data...1489551101</v>
        <stp/>
        <stp>BDP|14131693251375572037</stp>
        <tr r="K29" s="2"/>
      </tp>
      <tp t="s">
        <v>#N/A Requesting Data...1262737550</v>
        <stp/>
        <stp>BDP|15910822090616250063</stp>
        <tr r="E27" s="2"/>
      </tp>
      <tp t="s">
        <v>#N/A Requesting Data...1032878736</v>
        <stp/>
        <stp>BDP|16103270568068423851</stp>
        <tr r="O2292" s="2"/>
      </tp>
      <tp t="s">
        <v>#N/A Requesting Data...1479163393</v>
        <stp/>
        <stp>BDP|10245482633246755312</stp>
        <tr r="C1349" s="2"/>
      </tp>
      <tp t="s">
        <v>#N/A Requesting Data...2346378326</v>
        <stp/>
        <stp>BDP|13220624974756270694</stp>
        <tr r="R1062" s="2"/>
      </tp>
      <tp t="s">
        <v>#N/A Requesting Data...1845948067</v>
        <stp/>
        <stp>BDP|16980347046500389370</stp>
        <tr r="O281" s="2"/>
      </tp>
      <tp t="s">
        <v>#N/A Requesting Data...2213030738</v>
        <stp/>
        <stp>BDP|10794171719202018069</stp>
        <tr r="C535" s="2"/>
      </tp>
      <tp t="s">
        <v>#N/A Requesting Data...3879622950</v>
        <stp/>
        <stp>BDP|10239115304596946515</stp>
        <tr r="E307" s="2"/>
      </tp>
      <tp t="s">
        <v>#N/A Requesting Data...1040160297</v>
        <stp/>
        <stp>BDP|13208148528632589044</stp>
        <tr r="Q1256" s="2"/>
      </tp>
      <tp t="s">
        <v>#N/A Requesting Data...2247412338</v>
        <stp/>
        <stp>BDP|17845476405865080450</stp>
        <tr r="F495" s="2"/>
      </tp>
      <tp t="s">
        <v>#N/A Requesting Data...3898811841</v>
        <stp/>
        <stp>BDP|14259944878368396029</stp>
        <tr r="D1803" s="2"/>
      </tp>
      <tp t="s">
        <v>#N/A Requesting Data...361615396</v>
        <stp/>
        <stp>BDP|16541693525730374055</stp>
        <tr r="D1153" s="2"/>
      </tp>
      <tp t="s">
        <v>#N/A Requesting Data...1558953615</v>
        <stp/>
        <stp>BDP|14527787865487559025</stp>
        <tr r="S1271" s="2"/>
      </tp>
      <tp t="b">
        <v>0</v>
        <stp/>
        <stp>BDS|14306733678695564313</stp>
        <tr r="I1745" s="2"/>
      </tp>
      <tp t="s">
        <v>#N/A Requesting Data...3372105569</v>
        <stp/>
        <stp>BDP|11593224760227873008</stp>
        <tr r="C669" s="2"/>
      </tp>
      <tp t="s">
        <v>#N/A Requesting Data...3611385498</v>
        <stp/>
        <stp>BDP|13831245922393234236</stp>
        <tr r="N151" s="2"/>
      </tp>
      <tp t="s">
        <v>#N/A Requesting Data...3827608358</v>
        <stp/>
        <stp>BDP|17965732205286108416</stp>
        <tr r="J82" s="2"/>
      </tp>
      <tp t="s">
        <v>#N/A Requesting Data...4090107273</v>
        <stp/>
        <stp>BDP|14147486104157305513</stp>
        <tr r="R518" s="2"/>
      </tp>
      <tp t="s">
        <v>#N/A Requesting Data...3575913269</v>
        <stp/>
        <stp>BDP|16529417869185479363</stp>
        <tr r="M1341" s="2"/>
      </tp>
      <tp t="s">
        <v>#N/A Requesting Data...3203445512</v>
        <stp/>
        <stp>BDP|10544761024553093489</stp>
        <tr r="F1783" s="2"/>
      </tp>
      <tp t="s">
        <v>#N/A Requesting Data...2684775485</v>
        <stp/>
        <stp>BDP|18362167487632509180</stp>
        <tr r="C1852" s="2"/>
      </tp>
      <tp t="s">
        <v>#N/A Requesting Data...2552369524</v>
        <stp/>
        <stp>BDP|10841886395182815125</stp>
        <tr r="K1104" s="2"/>
      </tp>
      <tp t="s">
        <v>#N/A Requesting Data...1250806303</v>
        <stp/>
        <stp>BDP|11158289376964273225</stp>
        <tr r="E1040" s="2"/>
      </tp>
      <tp t="s">
        <v>#N/A Requesting Data...2257984879</v>
        <stp/>
        <stp>BDP|11365041333163929323</stp>
        <tr r="F1798" s="2"/>
      </tp>
      <tp t="s">
        <v>#N/A Requesting Data...2128926056</v>
        <stp/>
        <stp>BDP|17724621545593831472</stp>
        <tr r="H1273" s="2"/>
      </tp>
      <tp t="s">
        <v>#N/A Requesting Data...1866528345</v>
        <stp/>
        <stp>BDP|10657061908440571220</stp>
        <tr r="F1351" s="2"/>
      </tp>
      <tp t="s">
        <v>#N/A Requesting Data...597053149</v>
        <stp/>
        <stp>BDP|15623127831710851520</stp>
        <tr r="G628" s="2"/>
      </tp>
      <tp t="s">
        <v>#N/A Requesting Data...3636492966</v>
        <stp/>
        <stp>BDP|17559376438330514506</stp>
        <tr r="R900" s="2"/>
      </tp>
      <tp t="s">
        <v>#N/A Requesting Data...1433375764</v>
        <stp/>
        <stp>BDP|12931825594455107415</stp>
        <tr r="C1029" s="2"/>
      </tp>
      <tp t="s">
        <v>#N/A Requesting Data...1728552247</v>
        <stp/>
        <stp>BDP|10404763509655637021</stp>
        <tr r="T737" s="2"/>
      </tp>
      <tp t="s">
        <v>#N/A Requesting Data...2952506752</v>
        <stp/>
        <stp>BDP|12456710166336579797</stp>
        <tr r="M742" s="2"/>
      </tp>
      <tp t="s">
        <v>#N/A Requesting Data...1478339189</v>
        <stp/>
        <stp>BDP|14231770098180421866</stp>
        <tr r="O765" s="2"/>
      </tp>
      <tp t="s">
        <v>#N/A Requesting Data...3224088093</v>
        <stp/>
        <stp>BDP|17172648436500890045</stp>
        <tr r="M1542" s="2"/>
      </tp>
      <tp t="s">
        <v>#N/A Requesting Data...796339153</v>
        <stp/>
        <stp>BDP|11839438073940770000</stp>
        <tr r="P107" s="2"/>
      </tp>
      <tp t="s">
        <v>#N/A Requesting Data...504375209</v>
        <stp/>
        <stp>BDP|13200274721586332787</stp>
        <tr r="D2465" s="2"/>
      </tp>
      <tp t="s">
        <v>#N/A Requesting Data...1304621295</v>
        <stp/>
        <stp>BDP|15984207804042695743</stp>
        <tr r="P752" s="2"/>
      </tp>
      <tp t="s">
        <v>#N/A Requesting Data...3110860940</v>
        <stp/>
        <stp>BDP|10277089911496678528</stp>
        <tr r="A1932" s="2"/>
      </tp>
      <tp t="s">
        <v>#N/A Requesting Data...3217524529</v>
        <stp/>
        <stp>BDP|13862205026554208533</stp>
        <tr r="E705" s="2"/>
      </tp>
      <tp t="s">
        <v>#N/A Requesting Data...3837276040</v>
        <stp/>
        <stp>BDP|12596672900825554383</stp>
        <tr r="P2042" s="2"/>
      </tp>
      <tp t="s">
        <v>#N/A Requesting Data...2250859509</v>
        <stp/>
        <stp>BDP|14641791798378149097</stp>
        <tr r="J1166" s="2"/>
      </tp>
      <tp t="s">
        <v>#N/A Requesting Data...1026433262</v>
        <stp/>
        <stp>BDP|10888084330362738389</stp>
        <tr r="M1726" s="2"/>
      </tp>
      <tp t="s">
        <v>#N/A Requesting Data...2500049328</v>
        <stp/>
        <stp>BDP|17901331147113275102</stp>
        <tr r="H2173" s="2"/>
      </tp>
      <tp t="s">
        <v>#N/A Requesting Data...2194766811</v>
        <stp/>
        <stp>BDP|11455479751062517088</stp>
        <tr r="K1810" s="2"/>
      </tp>
      <tp t="s">
        <v>#N/A Requesting Data...3189039369</v>
        <stp/>
        <stp>BDP|15927740271411617652</stp>
        <tr r="O1947" s="2"/>
      </tp>
      <tp t="s">
        <v>#N/A Requesting Data...1345971454</v>
        <stp/>
        <stp>BDP|18361631153411473881</stp>
        <tr r="H1479" s="2"/>
      </tp>
      <tp t="s">
        <v>#N/A Requesting Data...2784366040</v>
        <stp/>
        <stp>BDP|12012071280390035884</stp>
        <tr r="C176" s="2"/>
      </tp>
      <tp t="s">
        <v>#N/A Requesting Data...3594494057</v>
        <stp/>
        <stp>BDP|17385326449995701703</stp>
        <tr r="G1917" s="2"/>
      </tp>
      <tp t="s">
        <v>#N/A Requesting Data...1347272327</v>
        <stp/>
        <stp>BDP|16031235442805692783</stp>
        <tr r="S1100" s="2"/>
      </tp>
      <tp t="s">
        <v>#N/A Requesting Data...2523457152</v>
        <stp/>
        <stp>BDP|16516806465968923268</stp>
        <tr r="J1356" s="2"/>
      </tp>
      <tp t="s">
        <v>#N/A Requesting Data...2216618374</v>
        <stp/>
        <stp>BDP|17079015156283947310</stp>
        <tr r="A1960" s="2"/>
      </tp>
      <tp t="s">
        <v>#N/A Requesting Data...907227247</v>
        <stp/>
        <stp>BDP|10263710431020435691</stp>
        <tr r="J87" s="2"/>
      </tp>
      <tp t="b">
        <v>0</v>
        <stp/>
        <stp>BDS|14042629457651968416</stp>
        <tr r="I1274" s="2"/>
      </tp>
      <tp t="s">
        <v>#N/A Requesting Data...1101738471</v>
        <stp/>
        <stp>BDP|11738000907287696482</stp>
        <tr r="A1300" s="2"/>
      </tp>
      <tp t="s">
        <v>#N/A Requesting Data...2025067282</v>
        <stp/>
        <stp>BDP|16548248737110901517</stp>
        <tr r="R261" s="2"/>
      </tp>
      <tp t="s">
        <v>#N/A Requesting Data...3832461187</v>
        <stp/>
        <stp>BDP|13506718277720874152</stp>
        <tr r="Q2251" s="2"/>
      </tp>
      <tp t="s">
        <v>#N/A Requesting Data...2392206048</v>
        <stp/>
        <stp>BDP|10432588906805197253</stp>
        <tr r="T352" s="2"/>
      </tp>
      <tp t="s">
        <v>#N/A Requesting Data...2675003368</v>
        <stp/>
        <stp>BDP|14781290856916190771</stp>
        <tr r="Q1130" s="2"/>
      </tp>
      <tp t="s">
        <v>#N/A Requesting Data...530007525</v>
        <stp/>
        <stp>BDP|14133299534363702450</stp>
        <tr r="E795" s="2"/>
      </tp>
      <tp t="s">
        <v>#N/A Requesting Data...834873241</v>
        <stp/>
        <stp>BDP|10378728131381908774</stp>
        <tr r="O2223" s="2"/>
      </tp>
      <tp t="s">
        <v>#N/A Requesting Data...2551351619</v>
        <stp/>
        <stp>BDP|16850799429092064362</stp>
        <tr r="P666" s="2"/>
      </tp>
      <tp t="s">
        <v>#N/A Requesting Data...1129441702</v>
        <stp/>
        <stp>BDP|14295841396670920774</stp>
        <tr r="F2320" s="2"/>
      </tp>
      <tp t="s">
        <v>#N/A Requesting Data...2306784826</v>
        <stp/>
        <stp>BDP|14100446538720705149</stp>
        <tr r="M650" s="2"/>
      </tp>
      <tp t="s">
        <v>#N/A Requesting Data...4080971167</v>
        <stp/>
        <stp>BDP|10283937391065973777</stp>
        <tr r="P1124" s="2"/>
      </tp>
      <tp t="s">
        <v>#N/A Requesting Data...2912800917</v>
        <stp/>
        <stp>BDP|11398459707805809277</stp>
        <tr r="G1224" s="2"/>
      </tp>
      <tp t="s">
        <v>#N/A Requesting Data...2118669993</v>
        <stp/>
        <stp>BDP|17716483041400786571</stp>
        <tr r="E2433" s="2"/>
      </tp>
      <tp t="s">
        <v>#N/A Requesting Data...1291763273</v>
        <stp/>
        <stp>BDP|18105278839758413350</stp>
        <tr r="F603" s="2"/>
      </tp>
      <tp t="s">
        <v>#N/A Requesting Data...3917059222</v>
        <stp/>
        <stp>BDP|14681409259072071518</stp>
        <tr r="K2144" s="2"/>
      </tp>
      <tp t="s">
        <v>#N/A Requesting Data...1330103471</v>
        <stp/>
        <stp>BDP|14472458098479545221</stp>
        <tr r="T1494" s="2"/>
      </tp>
      <tp t="s">
        <v>#N/A Requesting Data...1186251095</v>
        <stp/>
        <stp>BDP|10219019510967841458</stp>
        <tr r="G2068" s="2"/>
      </tp>
      <tp t="s">
        <v>#N/A Requesting Data...663775130</v>
        <stp/>
        <stp>BDP|10014457342866166485</stp>
        <tr r="N1641" s="2"/>
      </tp>
      <tp t="s">
        <v>#N/A Requesting Data...762337294</v>
        <stp/>
        <stp>BDP|13781733667475457597</stp>
        <tr r="T1728" s="2"/>
      </tp>
      <tp t="s">
        <v>#N/A Requesting Data...1212535355</v>
        <stp/>
        <stp>BDP|14891706654824385012</stp>
        <tr r="T813" s="2"/>
      </tp>
      <tp t="s">
        <v>#N/A Requesting Data...2853099043</v>
        <stp/>
        <stp>BDP|15697079739446198271</stp>
        <tr r="E2316" s="2"/>
      </tp>
      <tp t="s">
        <v>#N/A Requesting Data...1238803514</v>
        <stp/>
        <stp>BDP|17297934092367569284</stp>
        <tr r="S904" s="2"/>
      </tp>
      <tp t="s">
        <v>#N/A Requesting Data...1045807346</v>
        <stp/>
        <stp>BDP|14960936687690695753</stp>
        <tr r="G2017" s="2"/>
      </tp>
      <tp t="s">
        <v>#N/A Requesting Data...3332598152</v>
        <stp/>
        <stp>BDP|10672249377714876332</stp>
        <tr r="O857" s="2"/>
      </tp>
      <tp t="s">
        <v>#N/A Requesting Data...1958496909</v>
        <stp/>
        <stp>BDP|15554408118051431372</stp>
        <tr r="G955" s="2"/>
      </tp>
      <tp t="s">
        <v>#N/A Requesting Data...1253382617</v>
        <stp/>
        <stp>BDP|12602714678010695071</stp>
        <tr r="T1479" s="2"/>
      </tp>
      <tp t="s">
        <v>#N/A Requesting Data...671561942</v>
        <stp/>
        <stp>BDP|13547555779531410239</stp>
        <tr r="R1250" s="2"/>
      </tp>
      <tp t="s">
        <v>#N/A Requesting Data...1618092112</v>
        <stp/>
        <stp>BDP|17523834985051432496</stp>
        <tr r="A1140" s="2"/>
      </tp>
      <tp t="s">
        <v>#N/A Requesting Data...2109818980</v>
        <stp/>
        <stp>BDP|14606386643099667853</stp>
        <tr r="T2294" s="2"/>
      </tp>
      <tp t="s">
        <v>#N/A Requesting Data...4233127461</v>
        <stp/>
        <stp>BDP|11980436448947869442</stp>
        <tr r="D324" s="2"/>
      </tp>
      <tp t="b">
        <v>0</v>
        <stp/>
        <stp>BDS|12527845069908593604</stp>
        <tr r="I274" s="2"/>
      </tp>
      <tp t="s">
        <v>#N/A Requesting Data...1313220335</v>
        <stp/>
        <stp>BDP|14231257868495167705</stp>
        <tr r="O86" s="2"/>
      </tp>
      <tp t="s">
        <v>#N/A Requesting Data...567540606</v>
        <stp/>
        <stp>BDP|12362207714301824213</stp>
        <tr r="T999" s="2"/>
      </tp>
      <tp t="s">
        <v>#N/A Requesting Data...877551983</v>
        <stp/>
        <stp>BDP|12785424980655288991</stp>
        <tr r="E2012" s="2"/>
      </tp>
      <tp t="s">
        <v>#N/A Requesting Data...3195343456</v>
        <stp/>
        <stp>BDP|12781230399733783844</stp>
        <tr r="J811" s="2"/>
      </tp>
      <tp t="s">
        <v>#N/A Requesting Data...1020835379</v>
        <stp/>
        <stp>BDP|13633715878310628174</stp>
        <tr r="E862" s="2"/>
      </tp>
      <tp t="s">
        <v>#N/A Requesting Data...918442915</v>
        <stp/>
        <stp>BDP|13747194773013073434</stp>
        <tr r="E1682" s="2"/>
      </tp>
      <tp t="s">
        <v>#N/A Requesting Data...3453051452</v>
        <stp/>
        <stp>BDP|15930225564723725060</stp>
        <tr r="T1167" s="2"/>
      </tp>
      <tp t="s">
        <v>#N/A Requesting Data...2529170368</v>
        <stp/>
        <stp>BDP|10610386220773818083</stp>
        <tr r="O1029" s="2"/>
      </tp>
      <tp t="s">
        <v>#N/A Requesting Data...4247127106</v>
        <stp/>
        <stp>BDP|17314910922467963971</stp>
        <tr r="O2238" s="2"/>
      </tp>
      <tp t="s">
        <v>#N/A Requesting Data...1402391164</v>
        <stp/>
        <stp>BDP|17460345727791006596</stp>
        <tr r="G372" s="2"/>
      </tp>
      <tp t="s">
        <v>#N/A Requesting Data...1696011885</v>
        <stp/>
        <stp>BDP|16380441048391282530</stp>
        <tr r="D1281" s="2"/>
      </tp>
      <tp t="s">
        <v>#N/A Requesting Data...2316887788</v>
        <stp/>
        <stp>BDP|12330466601592878625</stp>
        <tr r="R2082" s="2"/>
      </tp>
      <tp t="s">
        <v>#N/A Requesting Data...3765642600</v>
        <stp/>
        <stp>BDP|15507705460516945026</stp>
        <tr r="D2303" s="2"/>
      </tp>
      <tp t="s">
        <v>#N/A Requesting Data...1775019892</v>
        <stp/>
        <stp>BDP|10596750781539881476</stp>
        <tr r="K985" s="2"/>
      </tp>
      <tp t="s">
        <v>#N/A Requesting Data...1832875955</v>
        <stp/>
        <stp>BDP|10854520917684107221</stp>
        <tr r="D1049" s="2"/>
      </tp>
      <tp t="s">
        <v>#N/A Requesting Data...642928084</v>
        <stp/>
        <stp>BDP|10434307816232400287</stp>
        <tr r="G183" s="2"/>
      </tp>
      <tp t="s">
        <v>#N/A Requesting Data...871770124</v>
        <stp/>
        <stp>BDP|16808877380110434454</stp>
        <tr r="K751" s="2"/>
      </tp>
      <tp t="s">
        <v>#N/A Requesting Data...3489782769</v>
        <stp/>
        <stp>BDP|14037254266775929743</stp>
        <tr r="M1311" s="2"/>
      </tp>
      <tp t="s">
        <v>#N/A Requesting Data...3712818372</v>
        <stp/>
        <stp>BDP|17724053119884786020</stp>
        <tr r="T2266" s="2"/>
      </tp>
      <tp t="s">
        <v>#N/A Requesting Data...1055319111</v>
        <stp/>
        <stp>BDP|12842736400155049256</stp>
        <tr r="C1321" s="2"/>
      </tp>
      <tp t="s">
        <v>#N/A Requesting Data...2266936120</v>
        <stp/>
        <stp>BDP|13350589694978000514</stp>
        <tr r="N916" s="2"/>
      </tp>
      <tp t="s">
        <v>#N/A Requesting Data...1398021632</v>
        <stp/>
        <stp>BDP|13522363161002500690</stp>
        <tr r="D218" s="2"/>
      </tp>
      <tp t="s">
        <v>#N/A Requesting Data...839947581</v>
        <stp/>
        <stp>BDP|11150683413214647021</stp>
        <tr r="C2364" s="2"/>
      </tp>
      <tp t="s">
        <v>#N/A Requesting Data...1032379124</v>
        <stp/>
        <stp>BDP|17433073625101907610</stp>
        <tr r="S671" s="2"/>
      </tp>
      <tp t="s">
        <v>#N/A Requesting Data...2471025420</v>
        <stp/>
        <stp>BDP|12958802247324275823</stp>
        <tr r="N1786" s="2"/>
      </tp>
      <tp t="s">
        <v>#N/A Requesting Data...2747312315</v>
        <stp/>
        <stp>BDP|16405710034405918565</stp>
        <tr r="O1818" s="2"/>
      </tp>
      <tp t="s">
        <v>#N/A Requesting Data...2584562401</v>
        <stp/>
        <stp>BDP|13944022377455478365</stp>
        <tr r="C426" s="2"/>
      </tp>
      <tp t="s">
        <v>#N/A Requesting Data...2981179073</v>
        <stp/>
        <stp>BDP|16384134810990821467</stp>
        <tr r="H1508" s="2"/>
      </tp>
      <tp t="s">
        <v>#N/A Requesting Data...3808879608</v>
        <stp/>
        <stp>BDP|14369607645793174791</stp>
        <tr r="E107" s="2"/>
      </tp>
      <tp t="s">
        <v>#N/A Requesting Data...4248405095</v>
        <stp/>
        <stp>BDP|16264139411082706698</stp>
        <tr r="P909" s="2"/>
      </tp>
      <tp t="s">
        <v>#N/A Requesting Data...2504998086</v>
        <stp/>
        <stp>BDP|11613692647921690004</stp>
        <tr r="F1928" s="2"/>
      </tp>
      <tp t="b">
        <v>0</v>
        <stp/>
        <stp>BDS|12153789426575086026</stp>
        <tr r="I2280" s="2"/>
      </tp>
      <tp t="b">
        <v>0</v>
        <stp/>
        <stp>BDS|14707982436254638825</stp>
        <tr r="I1922" s="2"/>
      </tp>
      <tp t="s">
        <v>#N/A Requesting Data...1648524145</v>
        <stp/>
        <stp>BDP|16502742947127001085</stp>
        <tr r="O2117" s="2"/>
      </tp>
      <tp t="s">
        <v>#N/A Requesting Data...688729379</v>
        <stp/>
        <stp>BDP|10614202149171938587</stp>
        <tr r="R156" s="2"/>
      </tp>
      <tp t="s">
        <v>#N/A Requesting Data...2988217119</v>
        <stp/>
        <stp>BDP|12407416920886397081</stp>
        <tr r="G197" s="2"/>
      </tp>
      <tp t="s">
        <v>#N/A Requesting Data...3771160549</v>
        <stp/>
        <stp>BDP|12932876700691775971</stp>
        <tr r="F1747" s="2"/>
      </tp>
      <tp t="s">
        <v>#N/A Requesting Data...2100156112</v>
        <stp/>
        <stp>BDP|16421563468766013142</stp>
        <tr r="O1410" s="2"/>
      </tp>
      <tp t="s">
        <v>#N/A Requesting Data...1036852316</v>
        <stp/>
        <stp>BDP|15827992567698838000</stp>
        <tr r="K1158" s="2"/>
      </tp>
      <tp t="s">
        <v>#N/A Requesting Data...4166797898</v>
        <stp/>
        <stp>BDP|16594129071016138497</stp>
        <tr r="R45" s="2"/>
      </tp>
      <tp t="b">
        <v>0</v>
        <stp/>
        <stp>BDS|13997862487975028454</stp>
        <tr r="I2301" s="2"/>
      </tp>
      <tp t="s">
        <v>#N/A Requesting Data...1260421838</v>
        <stp/>
        <stp>BDP|14488167075436862619</stp>
        <tr r="P1086" s="2"/>
      </tp>
      <tp t="s">
        <v>#N/A Requesting Data...2166134387</v>
        <stp/>
        <stp>BDP|17018557637666972553</stp>
        <tr r="G119" s="2"/>
      </tp>
      <tp t="s">
        <v>#N/A Requesting Data...1351550437</v>
        <stp/>
        <stp>BDP|10336964421190828920</stp>
        <tr r="N474" s="2"/>
      </tp>
      <tp t="s">
        <v>#N/A Requesting Data...2968965480</v>
        <stp/>
        <stp>BDP|17476930393996110344</stp>
        <tr r="H1685" s="2"/>
      </tp>
      <tp t="s">
        <v>#N/A Requesting Data...3541948448</v>
        <stp/>
        <stp>BDP|18309776609829516494</stp>
        <tr r="C1782" s="2"/>
      </tp>
      <tp t="s">
        <v>#N/A Requesting Data...2854091428</v>
        <stp/>
        <stp>BDP|12232774955496703468</stp>
        <tr r="G1523" s="2"/>
      </tp>
      <tp t="s">
        <v>#N/A Requesting Data...4004911262</v>
        <stp/>
        <stp>BDP|16644112074486611449</stp>
        <tr r="K1081" s="2"/>
      </tp>
      <tp t="s">
        <v>#N/A Requesting Data...3686390997</v>
        <stp/>
        <stp>BDP|13996932919401676842</stp>
        <tr r="N2473" s="2"/>
      </tp>
      <tp t="s">
        <v>#N/A Requesting Data...3050116716</v>
        <stp/>
        <stp>BDP|15319962794225525259</stp>
        <tr r="A1037" s="2"/>
      </tp>
      <tp t="s">
        <v>#N/A Requesting Data...3569181256</v>
        <stp/>
        <stp>BDP|15921286534391648729</stp>
        <tr r="F515" s="2"/>
      </tp>
      <tp t="s">
        <v>#N/A Requesting Data...2832462338</v>
        <stp/>
        <stp>BDP|18327463776578362118</stp>
        <tr r="J1019" s="2"/>
      </tp>
      <tp t="b">
        <v>0</v>
        <stp/>
        <stp>BDS|16600909404558324534</stp>
        <tr r="I1071" s="2"/>
      </tp>
      <tp t="s">
        <v>#N/A Requesting Data...2993997470</v>
        <stp/>
        <stp>BDP|17502683904952829102</stp>
        <tr r="H2083" s="2"/>
      </tp>
      <tp t="s">
        <v>#N/A Requesting Data...1948171803</v>
        <stp/>
        <stp>BDP|16563612126659186920</stp>
        <tr r="H2423" s="2"/>
      </tp>
      <tp t="s">
        <v>#N/A Requesting Data...4107586953</v>
        <stp/>
        <stp>BDP|16267330575203160348</stp>
        <tr r="G1327" s="2"/>
      </tp>
      <tp t="b">
        <v>0</v>
        <stp/>
        <stp>BDS|11334630101113386600</stp>
        <tr r="I1827" s="2"/>
      </tp>
      <tp t="s">
        <v>#N/A Requesting Data...3610924721</v>
        <stp/>
        <stp>BDP|13395981995267737680</stp>
        <tr r="F1330" s="2"/>
      </tp>
      <tp t="b">
        <v>0</v>
        <stp/>
        <stp>BDS|16459267367329307948</stp>
        <tr r="I404" s="2"/>
      </tp>
      <tp t="s">
        <v>#N/A Requesting Data...875617751</v>
        <stp/>
        <stp>BDP|13613931997927311601</stp>
        <tr r="S358" s="2"/>
      </tp>
      <tp t="s">
        <v>#N/A Requesting Data...1367918054</v>
        <stp/>
        <stp>BDP|10635375221241749269</stp>
        <tr r="M248" s="2"/>
      </tp>
      <tp t="s">
        <v>#N/A Requesting Data...2043187180</v>
        <stp/>
        <stp>BDP|17041241774854479453</stp>
        <tr r="E2158" s="2"/>
      </tp>
      <tp t="s">
        <v>#N/A Requesting Data...3716212242</v>
        <stp/>
        <stp>BDP|13151165554513292605</stp>
        <tr r="F2523" s="2"/>
      </tp>
      <tp t="s">
        <v>#N/A Requesting Data...1866412401</v>
        <stp/>
        <stp>BDP|11954319266332704486</stp>
        <tr r="R1995" s="2"/>
      </tp>
      <tp t="s">
        <v>#N/A Requesting Data...2586198756</v>
        <stp/>
        <stp>BDP|17398799165986990279</stp>
        <tr r="R877" s="2"/>
      </tp>
      <tp t="s">
        <v>#N/A Requesting Data...3642103592</v>
        <stp/>
        <stp>BDP|12214148103669551813</stp>
        <tr r="E811" s="2"/>
      </tp>
      <tp t="s">
        <v>#N/A Requesting Data...2684802125</v>
        <stp/>
        <stp>BDP|12451473548714205489</stp>
        <tr r="P286" s="2"/>
      </tp>
      <tp t="s">
        <v>#N/A Requesting Data...1381685793</v>
        <stp/>
        <stp>BDP|13230206034983178363</stp>
        <tr r="H720" s="2"/>
      </tp>
      <tp t="s">
        <v>#N/A Requesting Data...3934715710</v>
        <stp/>
        <stp>BDP|14805621285708695087</stp>
        <tr r="H1734" s="2"/>
      </tp>
      <tp t="s">
        <v>#N/A Requesting Data...1752606805</v>
        <stp/>
        <stp>BDP|14974612295189925059</stp>
        <tr r="K1007" s="2"/>
      </tp>
      <tp t="s">
        <v>#N/A Requesting Data...4280623722</v>
        <stp/>
        <stp>BDP|14018041696149490677</stp>
        <tr r="T2475" s="2"/>
      </tp>
      <tp t="s">
        <v>#N/A Requesting Data...3175418636</v>
        <stp/>
        <stp>BDP|12808140913950863060</stp>
        <tr r="F966" s="2"/>
      </tp>
      <tp t="s">
        <v>#N/A Requesting Data...893643094</v>
        <stp/>
        <stp>BDP|17096764698268677397</stp>
        <tr r="J356" s="2"/>
      </tp>
      <tp t="s">
        <v>#N/A Requesting Data...1655598977</v>
        <stp/>
        <stp>BDP|11847877698960578233</stp>
        <tr r="O1893" s="2"/>
      </tp>
      <tp t="s">
        <v>#N/A Requesting Data...3380322626</v>
        <stp/>
        <stp>BDP|13966148036990816328</stp>
        <tr r="G2468" s="2"/>
      </tp>
      <tp t="s">
        <v>#N/A Requesting Data...1241544284</v>
        <stp/>
        <stp>BDP|12487921232409304363</stp>
        <tr r="D1621" s="2"/>
      </tp>
      <tp t="s">
        <v>#N/A Requesting Data...1315726590</v>
        <stp/>
        <stp>BDP|12610949641698773554</stp>
        <tr r="E719" s="2"/>
      </tp>
      <tp t="s">
        <v>#N/A Requesting Data...1057946558</v>
        <stp/>
        <stp>BDP|13001156966720794655</stp>
        <tr r="S1181" s="2"/>
      </tp>
      <tp t="s">
        <v>#N/A Requesting Data...2121362813</v>
        <stp/>
        <stp>BDP|16066348593087325951</stp>
        <tr r="H145" s="2"/>
      </tp>
      <tp t="s">
        <v>#N/A Requesting Data...2365561286</v>
        <stp/>
        <stp>BDP|10429213702215686506</stp>
        <tr r="M2388" s="2"/>
      </tp>
      <tp t="s">
        <v>#N/A Requesting Data...1910771674</v>
        <stp/>
        <stp>BDP|13758128072062725512</stp>
        <tr r="F168" s="2"/>
      </tp>
      <tp t="s">
        <v>#N/A Requesting Data...2451845135</v>
        <stp/>
        <stp>BDP|12342298948172478477</stp>
        <tr r="C2457" s="2"/>
      </tp>
      <tp t="s">
        <v>#N/A Requesting Data...1961773245</v>
        <stp/>
        <stp>BDP|11097483049710954395</stp>
        <tr r="N1349" s="2"/>
      </tp>
      <tp t="s">
        <v>#N/A Requesting Data...2283805874</v>
        <stp/>
        <stp>BDP|16767264900864860280</stp>
        <tr r="N1860" s="2"/>
      </tp>
      <tp t="s">
        <v>#N/A Requesting Data...3981173622</v>
        <stp/>
        <stp>BDP|10356688025881904769</stp>
        <tr r="D1776" s="2"/>
      </tp>
      <tp t="s">
        <v>#N/A Requesting Data...4221989209</v>
        <stp/>
        <stp>BDP|16416928103884285965</stp>
        <tr r="A1596" s="2"/>
      </tp>
      <tp t="s">
        <v>#N/A Requesting Data...1865278191</v>
        <stp/>
        <stp>BDP|17331487599108701049</stp>
        <tr r="Q999" s="2"/>
      </tp>
      <tp t="s">
        <v>#N/A Requesting Data...2201667958</v>
        <stp/>
        <stp>BDP|17787765068537161392</stp>
        <tr r="Q710" s="2"/>
      </tp>
      <tp t="s">
        <v>#N/A Requesting Data...3977380418</v>
        <stp/>
        <stp>BDP|11497739852794030548</stp>
        <tr r="J1303" s="2"/>
      </tp>
      <tp t="s">
        <v>#N/A Requesting Data...4245954208</v>
        <stp/>
        <stp>BDP|11537571555360242349</stp>
        <tr r="R2227" s="2"/>
      </tp>
      <tp t="s">
        <v>#N/A Requesting Data...2942382292</v>
        <stp/>
        <stp>BDP|10890528773934144490</stp>
        <tr r="D481" s="2"/>
      </tp>
      <tp t="b">
        <v>0</v>
        <stp/>
        <stp>BDS|14282727542543513657</stp>
        <tr r="I1535" s="2"/>
      </tp>
      <tp t="s">
        <v>#N/A Requesting Data...3898527435</v>
        <stp/>
        <stp>BDP|14013422938917358683</stp>
        <tr r="P234" s="2"/>
      </tp>
      <tp t="s">
        <v>#N/A Requesting Data...2237691326</v>
        <stp/>
        <stp>BDP|17337115439095288282</stp>
        <tr r="J856" s="2"/>
      </tp>
      <tp t="s">
        <v>#N/A Requesting Data...1544673945</v>
        <stp/>
        <stp>BDP|11718807127108903184</stp>
        <tr r="A68" s="2"/>
      </tp>
      <tp t="s">
        <v>#N/A Requesting Data...3915457410</v>
        <stp/>
        <stp>BDP|10886864710018794386</stp>
        <tr r="T1059" s="2"/>
      </tp>
      <tp t="s">
        <v>#N/A Requesting Data...3644502624</v>
        <stp/>
        <stp>BDP|12135971672676230874</stp>
        <tr r="P128" s="2"/>
      </tp>
      <tp t="b">
        <v>0</v>
        <stp/>
        <stp>BDS|10232778114954110020</stp>
        <tr r="I1334" s="2"/>
      </tp>
      <tp t="s">
        <v>#N/A Requesting Data...3559111570</v>
        <stp/>
        <stp>BDP|11326533527243777717</stp>
        <tr r="H340" s="2"/>
      </tp>
      <tp t="s">
        <v>#N/A Requesting Data...1736564362</v>
        <stp/>
        <stp>BDP|17503139147289299921</stp>
        <tr r="N66" s="2"/>
      </tp>
      <tp t="s">
        <v>#N/A Requesting Data...3185290798</v>
        <stp/>
        <stp>BDP|17259637557762618417</stp>
        <tr r="D115" s="2"/>
      </tp>
      <tp t="s">
        <v>#N/A Requesting Data...2930698553</v>
        <stp/>
        <stp>BDP|17894172743149480990</stp>
        <tr r="R1274" s="2"/>
      </tp>
      <tp t="s">
        <v>#N/A Requesting Data...3220754433</v>
        <stp/>
        <stp>BDP|10152180019741350325</stp>
        <tr r="K608" s="2"/>
      </tp>
      <tp t="s">
        <v>#N/A Requesting Data...2073609352</v>
        <stp/>
        <stp>BDP|16308110442258805993</stp>
        <tr r="R2286" s="2"/>
      </tp>
      <tp t="s">
        <v>#N/A Requesting Data...1048722435</v>
        <stp/>
        <stp>BDP|16769908685442082733</stp>
        <tr r="P2267" s="2"/>
      </tp>
      <tp t="s">
        <v>#N/A Requesting Data...1869577955</v>
        <stp/>
        <stp>BDP|10225694235777718081</stp>
        <tr r="R1555" s="2"/>
      </tp>
      <tp t="s">
        <v>#N/A Requesting Data...2332316055</v>
        <stp/>
        <stp>BDP|13778454657451320174</stp>
        <tr r="J980" s="2"/>
      </tp>
      <tp t="s">
        <v>#N/A Requesting Data...2187682582</v>
        <stp/>
        <stp>BDP|11842711701230163480</stp>
        <tr r="N1244" s="2"/>
      </tp>
      <tp t="s">
        <v>#N/A Requesting Data...2856588845</v>
        <stp/>
        <stp>BDP|15614852284206712111</stp>
        <tr r="O2291" s="2"/>
      </tp>
      <tp t="b">
        <v>0</v>
        <stp/>
        <stp>BDS|12125199017320590080</stp>
        <tr r="I2504" s="2"/>
      </tp>
      <tp t="b">
        <v>0</v>
        <stp/>
        <stp>BDS|18015825051435460257</stp>
        <tr r="I1012" s="2"/>
      </tp>
      <tp t="s">
        <v>#N/A Requesting Data...1275434985</v>
        <stp/>
        <stp>BDP|12370340150275007364</stp>
        <tr r="P2450" s="2"/>
      </tp>
      <tp t="s">
        <v>#N/A Requesting Data...1473858782</v>
        <stp/>
        <stp>BDP|10263572277493482378</stp>
        <tr r="J805" s="2"/>
      </tp>
      <tp t="s">
        <v>#N/A Requesting Data...1165293489</v>
        <stp/>
        <stp>BDP|10561986127321976824</stp>
        <tr r="T1118" s="2"/>
      </tp>
      <tp t="s">
        <v>#N/A Requesting Data...4191972906</v>
        <stp/>
        <stp>BDP|12280121510735080516</stp>
        <tr r="K2196" s="2"/>
      </tp>
      <tp t="s">
        <v>#N/A Requesting Data...3477932037</v>
        <stp/>
        <stp>BDP|13722136674750921781</stp>
        <tr r="R602" s="2"/>
      </tp>
      <tp t="s">
        <v>#N/A Requesting Data...3590438047</v>
        <stp/>
        <stp>BDP|13031909498835035491</stp>
        <tr r="Q279" s="2"/>
      </tp>
      <tp t="s">
        <v>#N/A Requesting Data...1380278387</v>
        <stp/>
        <stp>BDP|16785158733493436540</stp>
        <tr r="Q969" s="2"/>
      </tp>
      <tp t="s">
        <v>#N/A Requesting Data...2809147839</v>
        <stp/>
        <stp>BDP|18393423480190393635</stp>
        <tr r="Q1197" s="2"/>
      </tp>
      <tp t="s">
        <v>#N/A Requesting Data...3747181458</v>
        <stp/>
        <stp>BDP|16660853846310505811</stp>
        <tr r="H433" s="2"/>
      </tp>
      <tp t="s">
        <v>#N/A Requesting Data...1812688193</v>
        <stp/>
        <stp>BDP|10122492453543339091</stp>
        <tr r="S1692" s="2"/>
      </tp>
      <tp t="s">
        <v>#N/A Requesting Data...1244850471</v>
        <stp/>
        <stp>BDP|14894949010376409894</stp>
        <tr r="N1675" s="2"/>
      </tp>
      <tp t="s">
        <v>#N/A Requesting Data...3660386222</v>
        <stp/>
        <stp>BDP|14006158997709019739</stp>
        <tr r="T1869" s="2"/>
      </tp>
      <tp t="s">
        <v>#N/A Requesting Data...3430117669</v>
        <stp/>
        <stp>BDP|12060091403709936924</stp>
        <tr r="O145" s="2"/>
      </tp>
      <tp t="s">
        <v>#N/A Requesting Data...3615108101</v>
        <stp/>
        <stp>BDP|15112800411017205936</stp>
        <tr r="G1263" s="2"/>
      </tp>
      <tp t="s">
        <v>#N/A Requesting Data...3077155624</v>
        <stp/>
        <stp>BDP|16189535892880904883</stp>
        <tr r="F1651" s="2"/>
      </tp>
      <tp t="s">
        <v>#N/A Requesting Data...1987091645</v>
        <stp/>
        <stp>BDP|15116079916416980082</stp>
        <tr r="J1005" s="2"/>
      </tp>
      <tp t="s">
        <v>#N/A Requesting Data...1291490365</v>
        <stp/>
        <stp>BDP|16905121170362357091</stp>
        <tr r="J1290" s="2"/>
      </tp>
      <tp t="s">
        <v>#N/A Requesting Data...1878628205</v>
        <stp/>
        <stp>BDP|12272651868342739290</stp>
        <tr r="F1833" s="2"/>
      </tp>
      <tp t="s">
        <v>#N/A Requesting Data...1114543428</v>
        <stp/>
        <stp>BDP|12666270486132367857</stp>
        <tr r="C331" s="2"/>
      </tp>
      <tp t="s">
        <v>#N/A Requesting Data...3310720050</v>
        <stp/>
        <stp>BDP|17359616642697935080</stp>
        <tr r="M978" s="2"/>
      </tp>
      <tp t="s">
        <v>#N/A Requesting Data...3310362036</v>
        <stp/>
        <stp>BDP|14267307544466756706</stp>
        <tr r="O839" s="2"/>
      </tp>
      <tp t="s">
        <v>#N/A Requesting Data...3480094699</v>
        <stp/>
        <stp>BDP|15956373692034441994</stp>
        <tr r="G1014" s="2"/>
      </tp>
      <tp t="s">
        <v>#N/A Requesting Data...2134098432</v>
        <stp/>
        <stp>BDP|15627094939614236056</stp>
        <tr r="E2139" s="2"/>
      </tp>
      <tp t="s">
        <v>#N/A Requesting Data...1544886856</v>
        <stp/>
        <stp>BDP|18169467922595650924</stp>
        <tr r="S12" s="2"/>
      </tp>
      <tp t="s">
        <v>#N/A Requesting Data...1348425794</v>
        <stp/>
        <stp>BDP|11084354861270731628</stp>
        <tr r="R1005" s="2"/>
      </tp>
      <tp t="s">
        <v>#N/A Requesting Data...3138766684</v>
        <stp/>
        <stp>BDP|17774024457939069939</stp>
        <tr r="H1615" s="2"/>
      </tp>
      <tp t="s">
        <v>#N/A Requesting Data...3824591690</v>
        <stp/>
        <stp>BDP|17435356535162581709</stp>
        <tr r="E486" s="2"/>
      </tp>
      <tp t="s">
        <v>#N/A Requesting Data...2125390495</v>
        <stp/>
        <stp>BDP|16440546852483436770</stp>
        <tr r="A1110" s="2"/>
      </tp>
      <tp t="s">
        <v>#N/A Requesting Data...3042694783</v>
        <stp/>
        <stp>BDP|13994058293170822867</stp>
        <tr r="Q799" s="2"/>
      </tp>
      <tp t="s">
        <v>#N/A Requesting Data...1524718286</v>
        <stp/>
        <stp>BDP|17221560305126873681</stp>
        <tr r="H1586" s="2"/>
      </tp>
      <tp t="s">
        <v>#N/A Requesting Data...4187310792</v>
        <stp/>
        <stp>BDP|12197570463182746138</stp>
        <tr r="S774" s="2"/>
      </tp>
      <tp t="s">
        <v>#N/A Requesting Data...1836617291</v>
        <stp/>
        <stp>BDP|15319643216403514353</stp>
        <tr r="J1214" s="2"/>
      </tp>
      <tp t="s">
        <v>#N/A Requesting Data...3934333340</v>
        <stp/>
        <stp>BDP|12158672851846690502</stp>
        <tr r="K786" s="2"/>
      </tp>
      <tp t="s">
        <v>#N/A Requesting Data...1869356108</v>
        <stp/>
        <stp>BDP|10096099033095938427</stp>
        <tr r="T449" s="2"/>
      </tp>
      <tp t="s">
        <v>#N/A Requesting Data...2445493836</v>
        <stp/>
        <stp>BDP|14595710826080642359</stp>
        <tr r="H1371" s="2"/>
      </tp>
      <tp t="b">
        <v>0</v>
        <stp/>
        <stp>BDS|11112453336091919597</stp>
        <tr r="I1065" s="2"/>
      </tp>
      <tp t="s">
        <v>#N/A Requesting Data...2032128560</v>
        <stp/>
        <stp>BDP|14534448355137494017</stp>
        <tr r="Q1260" s="2"/>
      </tp>
      <tp t="s">
        <v>#N/A Requesting Data...3915986167</v>
        <stp/>
        <stp>BDP|16495107046194551571</stp>
        <tr r="R84" s="2"/>
      </tp>
      <tp t="s">
        <v>#N/A Requesting Data...2579652714</v>
        <stp/>
        <stp>BDP|17128761450906601111</stp>
        <tr r="F656" s="2"/>
      </tp>
      <tp t="b">
        <v>0</v>
        <stp/>
        <stp>BDS|13231429400326418373</stp>
        <tr r="I737" s="2"/>
      </tp>
      <tp t="s">
        <v>#N/A Requesting Data...3203794292</v>
        <stp/>
        <stp>BDP|12189653628171833542</stp>
        <tr r="C1327" s="2"/>
      </tp>
      <tp t="s">
        <v>#N/A Requesting Data...1321339775</v>
        <stp/>
        <stp>BDP|13282010671175039321</stp>
        <tr r="C1147" s="2"/>
      </tp>
      <tp t="s">
        <v>#N/A Requesting Data...3992987460</v>
        <stp/>
        <stp>BDP|16250659141003244543</stp>
        <tr r="T750" s="2"/>
      </tp>
      <tp t="s">
        <v>#N/A Requesting Data...3397725691</v>
        <stp/>
        <stp>BDP|17126313839424078199</stp>
        <tr r="R473" s="2"/>
      </tp>
      <tp t="s">
        <v>#N/A Requesting Data...2360350980</v>
        <stp/>
        <stp>BDP|11346256679902687498</stp>
        <tr r="T1145" s="2"/>
      </tp>
      <tp t="s">
        <v>#N/A Requesting Data...3920048923</v>
        <stp/>
        <stp>BDP|13353544553728252968</stp>
        <tr r="H2141" s="2"/>
      </tp>
      <tp t="s">
        <v>#N/A Requesting Data...3594812170</v>
        <stp/>
        <stp>BDP|17272124091114792960</stp>
        <tr r="J1968" s="2"/>
      </tp>
      <tp t="s">
        <v>#N/A Requesting Data...3831892149</v>
        <stp/>
        <stp>BDP|11091607568371903216</stp>
        <tr r="Q1137" s="2"/>
      </tp>
      <tp t="s">
        <v>#N/A Requesting Data...3991271166</v>
        <stp/>
        <stp>BDP|18274279036212555962</stp>
        <tr r="Q2113" s="2"/>
      </tp>
      <tp t="s">
        <v>#N/A Requesting Data...1578452393</v>
        <stp/>
        <stp>BDP|16153311206400132778</stp>
        <tr r="N2408" s="2"/>
      </tp>
      <tp t="s">
        <v>#N/A Requesting Data...3431260542</v>
        <stp/>
        <stp>BDP|12410979487914537519</stp>
        <tr r="N2350" s="2"/>
      </tp>
      <tp t="s">
        <v>#N/A Requesting Data...1758199390</v>
        <stp/>
        <stp>BDP|13780106624887493575</stp>
        <tr r="S486" s="2"/>
      </tp>
      <tp t="s">
        <v>#N/A Requesting Data...1649902646</v>
        <stp/>
        <stp>BDP|15647014597297216929</stp>
        <tr r="O604" s="2"/>
      </tp>
      <tp t="s">
        <v>#N/A Requesting Data...2394281271</v>
        <stp/>
        <stp>BDP|12570203637185362419</stp>
        <tr r="O385" s="2"/>
      </tp>
      <tp t="s">
        <v>#N/A Requesting Data...3744757304</v>
        <stp/>
        <stp>BDP|13703499217295022193</stp>
        <tr r="F1206" s="2"/>
      </tp>
      <tp t="s">
        <v>#N/A Requesting Data...2813621628</v>
        <stp/>
        <stp>BDP|12748710971041770109</stp>
        <tr r="N2374" s="2"/>
      </tp>
      <tp t="s">
        <v>#N/A Requesting Data...2839316129</v>
        <stp/>
        <stp>BDP|18227869368205870144</stp>
        <tr r="F2428" s="2"/>
      </tp>
      <tp t="s">
        <v>#N/A Requesting Data...3455945230</v>
        <stp/>
        <stp>BDP|16584695700440819241</stp>
        <tr r="F1008" s="2"/>
      </tp>
      <tp t="s">
        <v>#N/A Requesting Data...3243023061</v>
        <stp/>
        <stp>BDP|13183221804436202554</stp>
        <tr r="T1275" s="2"/>
      </tp>
      <tp t="s">
        <v>#N/A Requesting Data...2915910890</v>
        <stp/>
        <stp>BDP|15003590398889802291</stp>
        <tr r="J496" s="2"/>
      </tp>
      <tp t="s">
        <v>#N/A Requesting Data...3669433536</v>
        <stp/>
        <stp>BDP|13757929408540880858</stp>
        <tr r="C447" s="2"/>
      </tp>
      <tp t="s">
        <v>#N/A Requesting Data...2221710783</v>
        <stp/>
        <stp>BDP|15061094169510166118</stp>
        <tr r="D1544" s="2"/>
      </tp>
      <tp t="s">
        <v>#N/A Requesting Data...2907482957</v>
        <stp/>
        <stp>BDP|10535569007631440601</stp>
        <tr r="G1442" s="2"/>
      </tp>
      <tp t="s">
        <v>#N/A Requesting Data...3790076744</v>
        <stp/>
        <stp>BDP|16579070712032070708</stp>
        <tr r="J191" s="2"/>
      </tp>
      <tp t="s">
        <v>#N/A Requesting Data...1643950428</v>
        <stp/>
        <stp>BDP|14448574328900395188</stp>
        <tr r="R767" s="2"/>
      </tp>
      <tp t="s">
        <v>#N/A Requesting Data...2947518090</v>
        <stp/>
        <stp>BDP|18290281178367159836</stp>
        <tr r="S1881" s="2"/>
      </tp>
      <tp t="s">
        <v>#N/A Requesting Data...1974637786</v>
        <stp/>
        <stp>BDP|11570127023840280068</stp>
        <tr r="S355" s="2"/>
      </tp>
      <tp t="s">
        <v>#N/A Requesting Data...3468561033</v>
        <stp/>
        <stp>BDP|11652253703711210028</stp>
        <tr r="O36" s="2"/>
      </tp>
      <tp t="s">
        <v>#N/A Requesting Data...1545461059</v>
        <stp/>
        <stp>BDP|17449542500905238524</stp>
        <tr r="D1907" s="2"/>
      </tp>
      <tp t="s">
        <v>#N/A Requesting Data...3443469244</v>
        <stp/>
        <stp>BDP|10529502167333750259</stp>
        <tr r="J2314" s="2"/>
      </tp>
      <tp t="b">
        <v>0</v>
        <stp/>
        <stp>BDS|18301817797059498221</stp>
        <tr r="I1716" s="2"/>
      </tp>
      <tp t="s">
        <v>#N/A Requesting Data...3998557490</v>
        <stp/>
        <stp>BDP|17797287900617815076</stp>
        <tr r="K347" s="2"/>
      </tp>
      <tp t="s">
        <v>#N/A Requesting Data...2980223710</v>
        <stp/>
        <stp>BDP|10016718064193119046</stp>
        <tr r="N117" s="2"/>
      </tp>
      <tp t="s">
        <v>#N/A Requesting Data...4087340718</v>
        <stp/>
        <stp>BDP|10350004350704092330</stp>
        <tr r="N2342" s="2"/>
      </tp>
      <tp t="s">
        <v>#N/A Requesting Data...2410919925</v>
        <stp/>
        <stp>BDP|15530787032020880373</stp>
        <tr r="H769" s="2"/>
      </tp>
      <tp t="s">
        <v>#N/A Requesting Data...2404263064</v>
        <stp/>
        <stp>BDP|14271020844166107458</stp>
        <tr r="P2377" s="2"/>
      </tp>
      <tp t="s">
        <v>#N/A Requesting Data...2824228659</v>
        <stp/>
        <stp>BDP|10981229465081779798</stp>
        <tr r="C1257" s="2"/>
      </tp>
      <tp t="s">
        <v>#N/A Requesting Data...3176261333</v>
        <stp/>
        <stp>BDP|15118635731392416078</stp>
        <tr r="M1969" s="2"/>
      </tp>
      <tp t="s">
        <v>#N/A Requesting Data...2481450065</v>
        <stp/>
        <stp>BDP|12376879379297423893</stp>
        <tr r="F2473" s="2"/>
      </tp>
      <tp t="s">
        <v>#N/A Requesting Data...3855000911</v>
        <stp/>
        <stp>BDP|13296567910566616327</stp>
        <tr r="H1967" s="2"/>
      </tp>
      <tp t="s">
        <v>#N/A Requesting Data...2691459610</v>
        <stp/>
        <stp>BDP|12140559866035572677</stp>
        <tr r="A1612" s="2"/>
      </tp>
      <tp t="s">
        <v>#N/A Requesting Data...3896096133</v>
        <stp/>
        <stp>BDP|14511086590787455898</stp>
        <tr r="R1702" s="2"/>
      </tp>
      <tp t="s">
        <v>#N/A Requesting Data...2620288299</v>
        <stp/>
        <stp>BDP|17659121324323380532</stp>
        <tr r="J2327" s="2"/>
      </tp>
      <tp t="s">
        <v>#N/A Requesting Data...3619223604</v>
        <stp/>
        <stp>BDP|14409603642906024265</stp>
        <tr r="H2478" s="2"/>
      </tp>
      <tp t="s">
        <v>#N/A Requesting Data...3081680031</v>
        <stp/>
        <stp>BDP|11377335461340993685</stp>
        <tr r="D141" s="2"/>
      </tp>
      <tp t="s">
        <v>#N/A Requesting Data...1589203493</v>
        <stp/>
        <stp>BDP|17495333003420060645</stp>
        <tr r="F1784" s="2"/>
      </tp>
      <tp t="s">
        <v>#N/A Requesting Data...1787878070</v>
        <stp/>
        <stp>BDP|15472034294259696755</stp>
        <tr r="R1805" s="2"/>
      </tp>
      <tp t="s">
        <v>#N/A Requesting Data...2387154918</v>
        <stp/>
        <stp>BDP|15516755165636179049</stp>
        <tr r="O1486" s="2"/>
      </tp>
      <tp t="s">
        <v>#N/A Requesting Data...3924593064</v>
        <stp/>
        <stp>BDP|13434772928212370688</stp>
        <tr r="M1966" s="2"/>
      </tp>
      <tp t="s">
        <v>#N/A Requesting Data...1557811291</v>
        <stp/>
        <stp>BDP|18349754446708324139</stp>
        <tr r="C96" s="2"/>
      </tp>
      <tp t="s">
        <v>#N/A Requesting Data...3226571878</v>
        <stp/>
        <stp>BDP|15390347606340659474</stp>
        <tr r="N1072" s="2"/>
      </tp>
      <tp t="s">
        <v>#N/A Requesting Data...3792059499</v>
        <stp/>
        <stp>BDP|11274302823561550349</stp>
        <tr r="J927" s="2"/>
      </tp>
      <tp t="s">
        <v>#N/A Requesting Data...2416024326</v>
        <stp/>
        <stp>BDP|14250472209077890542</stp>
        <tr r="T729" s="2"/>
      </tp>
      <tp t="s">
        <v>#N/A Requesting Data...3822690313</v>
        <stp/>
        <stp>BDP|13893989685288679839</stp>
        <tr r="H1913" s="2"/>
      </tp>
      <tp t="s">
        <v>#N/A Requesting Data...2083953155</v>
        <stp/>
        <stp>BDP|16067672117230132319</stp>
        <tr r="G1851" s="2"/>
      </tp>
      <tp t="s">
        <v>#N/A Requesting Data...2669045487</v>
        <stp/>
        <stp>BDP|17867087517214484037</stp>
        <tr r="M131" s="2"/>
      </tp>
      <tp t="b">
        <v>0</v>
        <stp/>
        <stp>BDS|15785873155219052360</stp>
        <tr r="I630" s="2"/>
      </tp>
      <tp t="s">
        <v>#N/A Requesting Data...3452196428</v>
        <stp/>
        <stp>BDP|17702602565486532376</stp>
        <tr r="D548" s="2"/>
      </tp>
      <tp t="s">
        <v>#N/A Requesting Data...4149272969</v>
        <stp/>
        <stp>BDP|11898763608890099468</stp>
        <tr r="C702" s="2"/>
      </tp>
      <tp t="s">
        <v>#N/A Requesting Data...3363178630</v>
        <stp/>
        <stp>BDP|17493096818863763722</stp>
        <tr r="E1316" s="2"/>
      </tp>
      <tp t="s">
        <v>#N/A Requesting Data...4252273665</v>
        <stp/>
        <stp>BDP|11426069814881443324</stp>
        <tr r="C1346" s="2"/>
      </tp>
      <tp t="s">
        <v>#N/A Requesting Data...2561715538</v>
        <stp/>
        <stp>BDP|15732398144232335299</stp>
        <tr r="N2215" s="2"/>
      </tp>
      <tp t="b">
        <v>0</v>
        <stp/>
        <stp>BDS|17509619436019099913</stp>
        <tr r="I48" s="2"/>
      </tp>
      <tp t="s">
        <v>#N/A Requesting Data...2862429987</v>
        <stp/>
        <stp>BDP|17070958116884374902</stp>
        <tr r="G1202" s="2"/>
      </tp>
      <tp t="s">
        <v>#N/A Requesting Data...4014101445</v>
        <stp/>
        <stp>BDP|10629406833683716621</stp>
        <tr r="C1875" s="2"/>
      </tp>
      <tp t="s">
        <v>#N/A Requesting Data...2719527111</v>
        <stp/>
        <stp>BDP|18122311710850019808</stp>
        <tr r="E7" s="2"/>
      </tp>
      <tp t="s">
        <v>#N/A Requesting Data...2060537529</v>
        <stp/>
        <stp>BDP|15493038523584215167</stp>
        <tr r="E523" s="2"/>
      </tp>
      <tp t="s">
        <v>#N/A Requesting Data...1966812203</v>
        <stp/>
        <stp>BDP|10191442514895407251</stp>
        <tr r="K391" s="2"/>
      </tp>
      <tp t="b">
        <v>0</v>
        <stp/>
        <stp>BDS|11984895286794795721</stp>
        <tr r="I2354" s="2"/>
      </tp>
      <tp t="s">
        <v>#N/A Requesting Data...3510161174</v>
        <stp/>
        <stp>BDP|14650124095639105705</stp>
        <tr r="N1756" s="2"/>
      </tp>
      <tp t="b">
        <v>0</v>
        <stp/>
        <stp>BDS|15427274020036162112</stp>
        <tr r="I2109" s="2"/>
      </tp>
      <tp t="s">
        <v>#N/A Requesting Data...3251919608</v>
        <stp/>
        <stp>BDP|12651427595804795961</stp>
        <tr r="S843" s="2"/>
      </tp>
      <tp t="s">
        <v>#N/A Requesting Data...3901404892</v>
        <stp/>
        <stp>BDP|10085853246928466676</stp>
        <tr r="K131" s="2"/>
      </tp>
      <tp t="s">
        <v>#N/A Requesting Data...3557320095</v>
        <stp/>
        <stp>BDP|10842620039787239012</stp>
        <tr r="Q1840" s="2"/>
      </tp>
      <tp t="s">
        <v>#N/A Requesting Data...1959824737</v>
        <stp/>
        <stp>BDP|14142153655367031515</stp>
        <tr r="R285" s="2"/>
      </tp>
      <tp t="s">
        <v>#N/A Requesting Data...1876450365</v>
        <stp/>
        <stp>BDP|17219041046637709674</stp>
        <tr r="N55" s="2"/>
      </tp>
      <tp t="s">
        <v>#N/A Requesting Data...2833214367</v>
        <stp/>
        <stp>BDP|13310753252194017743</stp>
        <tr r="J600" s="2"/>
      </tp>
      <tp t="s">
        <v>#N/A Requesting Data...1973544459</v>
        <stp/>
        <stp>BDP|16549884623996689880</stp>
        <tr r="H105" s="2"/>
      </tp>
      <tp t="s">
        <v>#N/A Requesting Data...3195731761</v>
        <stp/>
        <stp>BDP|17629350171178650947</stp>
        <tr r="D1473" s="2"/>
      </tp>
      <tp t="s">
        <v>#N/A Requesting Data...4200392548</v>
        <stp/>
        <stp>BDP|17406323867463532345</stp>
        <tr r="E740" s="2"/>
      </tp>
      <tp t="s">
        <v>#N/A Requesting Data...1861447468</v>
        <stp/>
        <stp>BDP|15709963573790443961</stp>
        <tr r="O1705" s="2"/>
      </tp>
      <tp t="b">
        <v>0</v>
        <stp/>
        <stp>BDS|14100538466711695417</stp>
        <tr r="I1802" s="2"/>
      </tp>
      <tp t="s">
        <v>#N/A Requesting Data...2486013497</v>
        <stp/>
        <stp>BDP|16032804395093611636</stp>
        <tr r="E1784" s="2"/>
      </tp>
      <tp t="b">
        <v>0</v>
        <stp/>
        <stp>BDS|16296540117130181030</stp>
        <tr r="I188" s="2"/>
      </tp>
      <tp t="s">
        <v>#N/A Requesting Data...1923185842</v>
        <stp/>
        <stp>BDP|18333123437101658903</stp>
        <tr r="E959" s="2"/>
      </tp>
      <tp t="s">
        <v>#N/A Requesting Data...4089780963</v>
        <stp/>
        <stp>BDP|13134350817947386405</stp>
        <tr r="Q423" s="2"/>
      </tp>
      <tp t="s">
        <v>#N/A Requesting Data...1826827708</v>
        <stp/>
        <stp>BDP|17931823538786362806</stp>
        <tr r="A220" s="2"/>
      </tp>
      <tp t="s">
        <v>#N/A Requesting Data...4097755877</v>
        <stp/>
        <stp>BDP|11652171317027016462</stp>
        <tr r="T766" s="2"/>
      </tp>
      <tp t="s">
        <v>#N/A Requesting Data...3805499939</v>
        <stp/>
        <stp>BDP|12141136155235152162</stp>
        <tr r="C1192" s="2"/>
      </tp>
      <tp t="s">
        <v>#N/A Requesting Data...2551539183</v>
        <stp/>
        <stp>BDP|15345168764924300422</stp>
        <tr r="S225" s="2"/>
      </tp>
      <tp t="s">
        <v>#N/A Requesting Data...2221322654</v>
        <stp/>
        <stp>BDP|13592637161691677019</stp>
        <tr r="O243" s="2"/>
      </tp>
      <tp t="s">
        <v>#N/A Requesting Data...3160872250</v>
        <stp/>
        <stp>BDP|16114554813293188369</stp>
        <tr r="E1090" s="2"/>
      </tp>
      <tp t="s">
        <v>#N/A Requesting Data...2234039219</v>
        <stp/>
        <stp>BDP|16972660288659318346</stp>
        <tr r="O419" s="2"/>
      </tp>
      <tp t="s">
        <v>#N/A Requesting Data...2757822019</v>
        <stp/>
        <stp>BDP|15489742336051150279</stp>
        <tr r="H635" s="2"/>
      </tp>
      <tp t="s">
        <v>#N/A Requesting Data...4106803670</v>
        <stp/>
        <stp>BDP|16588833467008493254</stp>
        <tr r="O1667" s="2"/>
      </tp>
      <tp t="b">
        <v>0</v>
        <stp/>
        <stp>BDS|17428722226632737243</stp>
        <tr r="I1148" s="2"/>
      </tp>
      <tp t="s">
        <v>#N/A Requesting Data...2545459689</v>
        <stp/>
        <stp>BDP|13039143474133136414</stp>
        <tr r="A1064" s="2"/>
      </tp>
      <tp t="s">
        <v>#N/A Requesting Data...4274709728</v>
        <stp/>
        <stp>BDP|16755445006078678831</stp>
        <tr r="N917" s="2"/>
      </tp>
      <tp t="s">
        <v>#N/A Requesting Data...3815260847</v>
        <stp/>
        <stp>BDP|18344842123664729434</stp>
        <tr r="F2262" s="2"/>
      </tp>
      <tp t="s">
        <v>#N/A Requesting Data...2386451982</v>
        <stp/>
        <stp>BDP|17566644551200816687</stp>
        <tr r="O227" s="2"/>
      </tp>
      <tp t="s">
        <v>#N/A Requesting Data...3350385177</v>
        <stp/>
        <stp>BDP|16724007771851092262</stp>
        <tr r="M1177" s="2"/>
      </tp>
      <tp t="s">
        <v>#N/A Requesting Data...3017558679</v>
        <stp/>
        <stp>BDP|11344276532876151479</stp>
        <tr r="M2396" s="2"/>
      </tp>
      <tp t="s">
        <v>#N/A Requesting Data...3341113164</v>
        <stp/>
        <stp>BDP|18027704421916103909</stp>
        <tr r="T464" s="2"/>
      </tp>
      <tp t="s">
        <v>#N/A Requesting Data...2407174819</v>
        <stp/>
        <stp>BDP|18300114046577636824</stp>
        <tr r="G1118" s="2"/>
      </tp>
      <tp t="s">
        <v>#N/A Requesting Data...3980181996</v>
        <stp/>
        <stp>BDP|16260617554164320344</stp>
        <tr r="Q48" s="2"/>
      </tp>
      <tp t="s">
        <v>#N/A Requesting Data...4255140471</v>
        <stp/>
        <stp>BDP|17557894483181826477</stp>
        <tr r="C3" s="2"/>
      </tp>
      <tp t="s">
        <v>#N/A Requesting Data...3614723993</v>
        <stp/>
        <stp>BDP|13962792864767042742</stp>
        <tr r="P547" s="2"/>
      </tp>
      <tp t="s">
        <v>#N/A Requesting Data...3863966099</v>
        <stp/>
        <stp>BDP|11852380128097930513</stp>
        <tr r="P2033" s="2"/>
      </tp>
      <tp t="s">
        <v>#N/A Requesting Data...3270210503</v>
        <stp/>
        <stp>BDP|17338265244175008612</stp>
        <tr r="N2451" s="2"/>
      </tp>
      <tp t="s">
        <v>#N/A Requesting Data...3882579248</v>
        <stp/>
        <stp>BDP|11546563272053166204</stp>
        <tr r="P1286" s="2"/>
      </tp>
      <tp t="s">
        <v>#N/A Requesting Data...3083733720</v>
        <stp/>
        <stp>BDP|12346245260322440633</stp>
        <tr r="E17" s="2"/>
      </tp>
      <tp t="s">
        <v>#N/A Requesting Data...1816044814</v>
        <stp/>
        <stp>BDP|16778210521420023475</stp>
        <tr r="N1933" s="2"/>
      </tp>
      <tp t="s">
        <v>#N/A Requesting Data...2203822832</v>
        <stp/>
        <stp>BDP|11542808042557199864</stp>
        <tr r="K411" s="2"/>
      </tp>
      <tp t="s">
        <v>#N/A Requesting Data...4051923090</v>
        <stp/>
        <stp>BDP|13515108409698436888</stp>
        <tr r="N904" s="2"/>
      </tp>
      <tp t="s">
        <v>#N/A Requesting Data...4211572577</v>
        <stp/>
        <stp>BDP|15956150066741358193</stp>
        <tr r="R1985" s="2"/>
      </tp>
      <tp t="s">
        <v>#N/A Requesting Data...4179605070</v>
        <stp/>
        <stp>BDP|15716061005932350578</stp>
        <tr r="N2213" s="2"/>
      </tp>
      <tp t="s">
        <v>#N/A Requesting Data...3804247575</v>
        <stp/>
        <stp>BDP|13761140904285234553</stp>
        <tr r="O1735" s="2"/>
      </tp>
      <tp t="s">
        <v>#N/A Requesting Data...2378116376</v>
        <stp/>
        <stp>BDP|15510644177812381451</stp>
        <tr r="G59" s="2"/>
      </tp>
      <tp t="b">
        <v>0</v>
        <stp/>
        <stp>BDS|10431360707922039352</stp>
        <tr r="I2129" s="2"/>
      </tp>
      <tp t="s">
        <v>#N/A Requesting Data...3453178450</v>
        <stp/>
        <stp>BDP|18067920670865929187</stp>
        <tr r="D792" s="2"/>
      </tp>
      <tp t="s">
        <v>#N/A Requesting Data...1851406436</v>
        <stp/>
        <stp>BDP|10900013741480998635</stp>
        <tr r="S1644" s="2"/>
      </tp>
      <tp t="s">
        <v>#N/A Requesting Data...1769953181</v>
        <stp/>
        <stp>BDP|10063586475287609789</stp>
        <tr r="D616" s="2"/>
      </tp>
      <tp t="s">
        <v>#N/A Requesting Data...3987933297</v>
        <stp/>
        <stp>BDP|16582407207083579343</stp>
        <tr r="O2412" s="2"/>
      </tp>
      <tp t="s">
        <v>#N/A Requesting Data...2188050426</v>
        <stp/>
        <stp>BDP|16800406173690828709</stp>
        <tr r="T785" s="2"/>
      </tp>
      <tp t="s">
        <v>#N/A Requesting Data...4294726456</v>
        <stp/>
        <stp>BDP|17299618040836644167</stp>
        <tr r="R206" s="2"/>
      </tp>
      <tp t="s">
        <v>#N/A Requesting Data...1780654970</v>
        <stp/>
        <stp>BDP|12767059550680271534</stp>
        <tr r="A136" s="2"/>
      </tp>
      <tp t="s">
        <v>#N/A Requesting Data...2328107877</v>
        <stp/>
        <stp>BDP|14686372701682332705</stp>
        <tr r="C1921" s="2"/>
      </tp>
      <tp t="s">
        <v>#N/A Requesting Data...1883155827</v>
        <stp/>
        <stp>BDP|11972918190942890135</stp>
        <tr r="R204" s="2"/>
      </tp>
      <tp t="s">
        <v>#N/A Requesting Data...3221449504</v>
        <stp/>
        <stp>BDP|17680005785764176917</stp>
        <tr r="E964" s="2"/>
      </tp>
      <tp t="s">
        <v>#N/A Requesting Data...3666778555</v>
        <stp/>
        <stp>BDP|17752429802083274261</stp>
        <tr r="E649" s="2"/>
      </tp>
      <tp t="s">
        <v>#N/A Requesting Data...3037658122</v>
        <stp/>
        <stp>BDP|13199936884703131341</stp>
        <tr r="A778" s="2"/>
      </tp>
      <tp t="s">
        <v>#N/A Requesting Data...3195177962</v>
        <stp/>
        <stp>BDP|15715008157153161124</stp>
        <tr r="N73" s="2"/>
      </tp>
      <tp t="s">
        <v>#N/A Requesting Data...2367373580</v>
        <stp/>
        <stp>BDP|10662759764260200367</stp>
        <tr r="D770" s="2"/>
      </tp>
      <tp t="s">
        <v>#N/A Requesting Data...4263795425</v>
        <stp/>
        <stp>BDP|14883336588858340538</stp>
        <tr r="P2321" s="2"/>
      </tp>
      <tp t="s">
        <v>#N/A Requesting Data...2376274674</v>
        <stp/>
        <stp>BDP|10285601592594245911</stp>
        <tr r="T884" s="2"/>
      </tp>
      <tp t="b">
        <v>0</v>
        <stp/>
        <stp>BDS|16019179360115212651</stp>
        <tr r="I2524" s="2"/>
      </tp>
      <tp t="b">
        <v>0</v>
        <stp/>
        <stp>BDS|17490582101342802251</stp>
        <tr r="I118" s="2"/>
      </tp>
      <tp t="s">
        <v>#N/A Requesting Data...2162789154</v>
        <stp/>
        <stp>BDP|18405667392301450478</stp>
        <tr r="M500" s="2"/>
      </tp>
      <tp t="s">
        <v>#N/A Requesting Data...3706801171</v>
        <stp/>
        <stp>BDP|12042650641975572723</stp>
        <tr r="P2291" s="2"/>
      </tp>
      <tp t="s">
        <v>#N/A Requesting Data...3757717011</v>
        <stp/>
        <stp>BDP|12685024317162700374</stp>
        <tr r="E2497" s="2"/>
      </tp>
      <tp t="s">
        <v>#N/A Requesting Data...2811356813</v>
        <stp/>
        <stp>BDP|15308695005655536498</stp>
        <tr r="J2007" s="2"/>
      </tp>
      <tp t="s">
        <v>#N/A Requesting Data...2097767123</v>
        <stp/>
        <stp>BDP|10545739167482436162</stp>
        <tr r="G1608" s="2"/>
      </tp>
      <tp t="s">
        <v>#N/A Requesting Data...2072173770</v>
        <stp/>
        <stp>BDP|10215530428057390290</stp>
        <tr r="H1587" s="2"/>
      </tp>
      <tp t="s">
        <v>#N/A Requesting Data...2260048003</v>
        <stp/>
        <stp>BDP|13357615318612073499</stp>
        <tr r="C1340" s="2"/>
      </tp>
      <tp t="s">
        <v>#N/A Requesting Data...3220165764</v>
        <stp/>
        <stp>BDP|17138773626440585063</stp>
        <tr r="P681" s="2"/>
      </tp>
      <tp t="s">
        <v>#N/A Requesting Data...3195258883</v>
        <stp/>
        <stp>BDP|10775930864218235519</stp>
        <tr r="J1862" s="2"/>
      </tp>
      <tp t="s">
        <v>#N/A Requesting Data...2146826582</v>
        <stp/>
        <stp>BDP|17022324095538799735</stp>
        <tr r="M2515" s="2"/>
      </tp>
      <tp t="s">
        <v>#N/A Requesting Data...3838203623</v>
        <stp/>
        <stp>BDP|18178733834867702923</stp>
        <tr r="R1391" s="2"/>
      </tp>
      <tp t="s">
        <v>#N/A Requesting Data...3627584289</v>
        <stp/>
        <stp>BDP|10490783274577893539</stp>
        <tr r="Q526" s="2"/>
      </tp>
      <tp t="s">
        <v>#N/A Requesting Data...3134512164</v>
        <stp/>
        <stp>BDP|14034229144543537303</stp>
        <tr r="R2168" s="2"/>
      </tp>
      <tp t="s">
        <v>#N/A Requesting Data...3652029851</v>
        <stp/>
        <stp>BDP|14404820364259550148</stp>
        <tr r="G320" s="2"/>
      </tp>
      <tp t="s">
        <v>#N/A Requesting Data...3866504147</v>
        <stp/>
        <stp>BDP|10796233755741529471</stp>
        <tr r="K1398" s="2"/>
      </tp>
      <tp t="s">
        <v>#N/A Requesting Data...3678895415</v>
        <stp/>
        <stp>BDP|16455921534227999981</stp>
        <tr r="F1532" s="2"/>
      </tp>
      <tp t="s">
        <v>#N/A Requesting Data...4138171651</v>
        <stp/>
        <stp>BDP|12199583478690631241</stp>
        <tr r="S1310" s="2"/>
      </tp>
      <tp t="s">
        <v>#N/A Requesting Data...3539408157</v>
        <stp/>
        <stp>BDP|12541908580632242340</stp>
        <tr r="O1456" s="2"/>
      </tp>
      <tp t="s">
        <v>#N/A Requesting Data...4059738649</v>
        <stp/>
        <stp>BDP|18380141568738822542</stp>
        <tr r="S1151" s="2"/>
      </tp>
      <tp t="s">
        <v>#N/A Requesting Data...2668029150</v>
        <stp/>
        <stp>BDP|16609667102980951285</stp>
        <tr r="T160" s="2"/>
      </tp>
      <tp t="s">
        <v>#N/A Requesting Data...1874878678</v>
        <stp/>
        <stp>BDP|10126288720195208785</stp>
        <tr r="C42" s="2"/>
      </tp>
      <tp t="s">
        <v>#N/A Requesting Data...3442436648</v>
        <stp/>
        <stp>BDP|14948188071030367007</stp>
        <tr r="O1649" s="2"/>
      </tp>
      <tp t="s">
        <v>#N/A Requesting Data...1981253879</v>
        <stp/>
        <stp>BDP|10661117738881540190</stp>
        <tr r="K898" s="2"/>
      </tp>
      <tp t="s">
        <v>#N/A Requesting Data...3406408679</v>
        <stp/>
        <stp>BDP|13739807284440456148</stp>
        <tr r="R1933" s="2"/>
      </tp>
      <tp t="s">
        <v>#N/A Requesting Data...3293255615</v>
        <stp/>
        <stp>BDP|14650452634967418602</stp>
        <tr r="A744" s="2"/>
      </tp>
      <tp t="s">
        <v>#N/A Requesting Data...2808319892</v>
        <stp/>
        <stp>BDP|10572127645630032718</stp>
        <tr r="M866" s="2"/>
      </tp>
      <tp t="b">
        <v>0</v>
        <stp/>
        <stp>BDS|16872012732963997428</stp>
        <tr r="I689" s="2"/>
      </tp>
      <tp t="s">
        <v>#N/A Requesting Data...3429245398</v>
        <stp/>
        <stp>BDP|13791818324849911285</stp>
        <tr r="F905" s="2"/>
      </tp>
      <tp t="s">
        <v>#N/A Requesting Data...3200025110</v>
        <stp/>
        <stp>BDP|12925273113107655488</stp>
        <tr r="T1039" s="2"/>
      </tp>
      <tp t="b">
        <v>0</v>
        <stp/>
        <stp>BDS|15952063468110336149</stp>
        <tr r="I2158" s="2"/>
      </tp>
      <tp t="s">
        <v>#N/A Requesting Data...4015018861</v>
        <stp/>
        <stp>BDP|12122728245691129243</stp>
        <tr r="A2461" s="2"/>
      </tp>
      <tp t="s">
        <v>#N/A Requesting Data...2630255480</v>
        <stp/>
        <stp>BDP|16200408603160212005</stp>
        <tr r="M2002" s="2"/>
      </tp>
      <tp t="s">
        <v>#N/A Requesting Data...2782153220</v>
        <stp/>
        <stp>BDP|11386354974224420350</stp>
        <tr r="A2507" s="2"/>
      </tp>
      <tp t="s">
        <v>#N/A Requesting Data...2295837548</v>
        <stp/>
        <stp>BDP|17258442813046688603</stp>
        <tr r="T193" s="2"/>
      </tp>
      <tp t="s">
        <v>#N/A Requesting Data...1996021883</v>
        <stp/>
        <stp>BDP|16149063248300983050</stp>
        <tr r="N2285" s="2"/>
      </tp>
      <tp t="s">
        <v>#N/A Requesting Data...3171130620</v>
        <stp/>
        <stp>BDP|11662952177265121868</stp>
        <tr r="Q983" s="2"/>
      </tp>
      <tp t="s">
        <v>#N/A Requesting Data...2753545644</v>
        <stp/>
        <stp>BDP|12920290596879442212</stp>
        <tr r="H978" s="2"/>
      </tp>
      <tp t="s">
        <v>#N/A Requesting Data...3044341282</v>
        <stp/>
        <stp>BDP|16094115680878139534</stp>
        <tr r="F1951" s="2"/>
      </tp>
      <tp t="s">
        <v>#N/A Requesting Data...2349070757</v>
        <stp/>
        <stp>BDP|13748443466610433321</stp>
        <tr r="J1353" s="2"/>
      </tp>
      <tp t="s">
        <v>#N/A Requesting Data...4014216118</v>
        <stp/>
        <stp>BDP|13729870536509269372</stp>
        <tr r="G2047" s="2"/>
      </tp>
      <tp t="s">
        <v>#N/A Requesting Data...4173511485</v>
        <stp/>
        <stp>BDP|17954745406375183798</stp>
        <tr r="F2304" s="2"/>
      </tp>
      <tp t="s">
        <v>#N/A Requesting Data...2043662139</v>
        <stp/>
        <stp>BDP|13717580018063436601</stp>
        <tr r="N198" s="2"/>
      </tp>
      <tp t="s">
        <v>#N/A Requesting Data...2476276695</v>
        <stp/>
        <stp>BDP|14067643713689588818</stp>
        <tr r="C2144" s="2"/>
      </tp>
      <tp t="s">
        <v>#N/A Requesting Data...3126138992</v>
        <stp/>
        <stp>BDP|15784620365181630658</stp>
        <tr r="E1738" s="2"/>
      </tp>
      <tp t="s">
        <v>#N/A Requesting Data...3212237405</v>
        <stp/>
        <stp>BDP|12324143616587123734</stp>
        <tr r="Q1313" s="2"/>
      </tp>
      <tp t="b">
        <v>0</v>
        <stp/>
        <stp>BDS|11440233101403098268</stp>
        <tr r="I165" s="2"/>
      </tp>
      <tp t="s">
        <v>#N/A Requesting Data...3370476239</v>
        <stp/>
        <stp>BDP|14703575605585645606</stp>
        <tr r="N833" s="2"/>
      </tp>
      <tp t="s">
        <v>#N/A Requesting Data...3931320609</v>
        <stp/>
        <stp>BDP|17006704830135055432</stp>
        <tr r="A1254" s="2"/>
      </tp>
      <tp t="s">
        <v>#N/A Requesting Data...3059427238</v>
        <stp/>
        <stp>BDP|11753342497349049072</stp>
        <tr r="T2154" s="2"/>
      </tp>
      <tp t="s">
        <v>#N/A Requesting Data...3963160190</v>
        <stp/>
        <stp>BDP|18440384304310376986</stp>
        <tr r="O609" s="2"/>
      </tp>
      <tp t="s">
        <v>#N/A Requesting Data...3440977410</v>
        <stp/>
        <stp>BDP|17445030227542243517</stp>
        <tr r="D1740" s="2"/>
      </tp>
      <tp t="s">
        <v>#N/A Requesting Data...2037612617</v>
        <stp/>
        <stp>BDP|14481051286909040746</stp>
        <tr r="H1507" s="2"/>
      </tp>
      <tp t="s">
        <v>#N/A Requesting Data...1939630001</v>
        <stp/>
        <stp>BDP|14449725600159658837</stp>
        <tr r="D869" s="2"/>
      </tp>
      <tp t="s">
        <v>#N/A Requesting Data...3508078064</v>
        <stp/>
        <stp>BDP|18389612021279907799</stp>
        <tr r="M2118" s="2"/>
      </tp>
      <tp t="s">
        <v>#N/A Requesting Data...4291376944</v>
        <stp/>
        <stp>BDP|12659937266337922892</stp>
        <tr r="T184" s="2"/>
      </tp>
      <tp t="s">
        <v>#N/A Requesting Data...2353540675</v>
        <stp/>
        <stp>BDP|13005309143084806288</stp>
        <tr r="D1981" s="2"/>
      </tp>
      <tp t="s">
        <v>#N/A Requesting Data...2584957061</v>
        <stp/>
        <stp>BDP|12246863729143860961</stp>
        <tr r="S2453" s="2"/>
      </tp>
      <tp t="s">
        <v>#N/A Requesting Data...3903737819</v>
        <stp/>
        <stp>BDP|11898788454898191961</stp>
        <tr r="F2398" s="2"/>
      </tp>
      <tp t="s">
        <v>#N/A Requesting Data...4134120498</v>
        <stp/>
        <stp>BDP|12596872789127835708</stp>
        <tr r="O415" s="2"/>
      </tp>
      <tp t="s">
        <v>#N/A Requesting Data...3819930117</v>
        <stp/>
        <stp>BDP|11055734542178485869</stp>
        <tr r="Q1279" s="2"/>
      </tp>
      <tp t="s">
        <v>#N/A Requesting Data...2123563678</v>
        <stp/>
        <stp>BDP|12159329844634690322</stp>
        <tr r="E2301" s="2"/>
      </tp>
      <tp t="s">
        <v>#N/A Requesting Data...1974897199</v>
        <stp/>
        <stp>BDP|17392334561420187030</stp>
        <tr r="G341" s="2"/>
      </tp>
      <tp t="s">
        <v>#N/A Requesting Data...2147780542</v>
        <stp/>
        <stp>BDP|17773013637315536375</stp>
        <tr r="G2001" s="2"/>
      </tp>
      <tp t="s">
        <v>#N/A Requesting Data...2773596646</v>
        <stp/>
        <stp>BDP|16787263872341494041</stp>
        <tr r="G1004" s="2"/>
      </tp>
      <tp t="s">
        <v>#N/A Requesting Data...2486055425</v>
        <stp/>
        <stp>BDP|17777301355330608375</stp>
        <tr r="S1212" s="2"/>
      </tp>
      <tp t="s">
        <v>#N/A Requesting Data...2025169631</v>
        <stp/>
        <stp>BDP|17220749077910079525</stp>
        <tr r="D531" s="2"/>
      </tp>
      <tp t="s">
        <v>#N/A Requesting Data...3812649433</v>
        <stp/>
        <stp>BDP|14104267722307415125</stp>
        <tr r="S1841" s="2"/>
      </tp>
      <tp t="s">
        <v>#N/A Requesting Data...3205499359</v>
        <stp/>
        <stp>BDP|15657141760653323320</stp>
        <tr r="Q160" s="2"/>
      </tp>
      <tp t="s">
        <v>#N/A Requesting Data...3241450673</v>
        <stp/>
        <stp>BDP|14342556645435454243</stp>
        <tr r="G828" s="2"/>
      </tp>
      <tp t="s">
        <v>#N/A Requesting Data...2224506254</v>
        <stp/>
        <stp>BDP|11274001514585257771</stp>
        <tr r="Q748" s="2"/>
      </tp>
      <tp t="s">
        <v>#N/A Requesting Data...2033121819</v>
        <stp/>
        <stp>BDP|10873451939537430237</stp>
        <tr r="F1534" s="2"/>
      </tp>
      <tp t="s">
        <v>#N/A Requesting Data...2507094295</v>
        <stp/>
        <stp>BDP|18332975561473557630</stp>
        <tr r="C754" s="2"/>
      </tp>
      <tp t="s">
        <v>#N/A Requesting Data...3385102958</v>
        <stp/>
        <stp>BDP|11500972257208124775</stp>
        <tr r="A980" s="2"/>
      </tp>
      <tp t="s">
        <v>#N/A Requesting Data...2178574237</v>
        <stp/>
        <stp>BDP|12317673766299208937</stp>
        <tr r="M640" s="2"/>
      </tp>
      <tp t="s">
        <v>#N/A Requesting Data...2778094226</v>
        <stp/>
        <stp>BDP|10691579480237469862</stp>
        <tr r="A847" s="2"/>
      </tp>
      <tp t="s">
        <v>#N/A Requesting Data...3182674929</v>
        <stp/>
        <stp>BDP|15408365553100736151</stp>
        <tr r="D517" s="2"/>
      </tp>
      <tp t="s">
        <v>#N/A Requesting Data...4096343431</v>
        <stp/>
        <stp>BDP|10095608946692591208</stp>
        <tr r="N1742" s="2"/>
      </tp>
      <tp t="s">
        <v>#N/A Requesting Data...3072054547</v>
        <stp/>
        <stp>BDP|15395860634529330519</stp>
        <tr r="E2296" s="2"/>
      </tp>
      <tp t="s">
        <v>#N/A Requesting Data...3132743243</v>
        <stp/>
        <stp>BDP|16918403416546969757</stp>
        <tr r="G417" s="2"/>
      </tp>
      <tp t="s">
        <v>#N/A Requesting Data...2279636035</v>
        <stp/>
        <stp>BDP|13067638319565852318</stp>
        <tr r="P13" s="2"/>
      </tp>
      <tp t="s">
        <v>#N/A Requesting Data...3246243450</v>
        <stp/>
        <stp>BDP|17340975443611027943</stp>
        <tr r="O798" s="2"/>
      </tp>
      <tp t="s">
        <v>#N/A Requesting Data...3429343080</v>
        <stp/>
        <stp>BDP|15293157262899535930</stp>
        <tr r="E2328" s="2"/>
      </tp>
      <tp t="b">
        <v>0</v>
        <stp/>
        <stp>BDS|10175692173007339483</stp>
        <tr r="I523" s="2"/>
      </tp>
      <tp t="s">
        <v>#N/A Requesting Data...2228836715</v>
        <stp/>
        <stp>BDP|11125404747795735627</stp>
        <tr r="F2103" s="2"/>
      </tp>
      <tp t="s">
        <v>#N/A Requesting Data...2095025209</v>
        <stp/>
        <stp>BDP|13086245910316694412</stp>
        <tr r="T2205" s="2"/>
      </tp>
      <tp t="s">
        <v>#N/A Requesting Data...3531605520</v>
        <stp/>
        <stp>BDP|10738705689894880953</stp>
        <tr r="N1620" s="2"/>
      </tp>
      <tp t="s">
        <v>#N/A Requesting Data...2906382518</v>
        <stp/>
        <stp>BDP|11778320826077046506</stp>
        <tr r="S493" s="2"/>
      </tp>
      <tp t="s">
        <v>#N/A Requesting Data...3199804211</v>
        <stp/>
        <stp>BDP|14893423759974053303</stp>
        <tr r="D2176" s="2"/>
      </tp>
      <tp t="s">
        <v>#N/A Requesting Data...3113614023</v>
        <stp/>
        <stp>BDP|10916940719522500821</stp>
        <tr r="Q1232" s="2"/>
      </tp>
      <tp t="s">
        <v>#N/A Requesting Data...3038844681</v>
        <stp/>
        <stp>BDP|15117259323842373572</stp>
        <tr r="A29" s="2"/>
      </tp>
      <tp t="s">
        <v>#N/A Requesting Data...3977899859</v>
        <stp/>
        <stp>BDP|13455616647764109700</stp>
        <tr r="F2426" s="2"/>
      </tp>
      <tp t="s">
        <v>#N/A Requesting Data...2239902964</v>
        <stp/>
        <stp>BDP|12052581360332257196</stp>
        <tr r="Q996" s="2"/>
      </tp>
      <tp t="s">
        <v>#N/A Requesting Data...3924352691</v>
        <stp/>
        <stp>BDP|17001517335501622214</stp>
        <tr r="M77" s="2"/>
      </tp>
      <tp t="s">
        <v>#N/A Requesting Data...2450450958</v>
        <stp/>
        <stp>BDP|16666910594440505456</stp>
        <tr r="S206" s="2"/>
      </tp>
      <tp t="s">
        <v>#N/A Requesting Data...2879647681</v>
        <stp/>
        <stp>BDP|10836443338092082763</stp>
        <tr r="R1867" s="2"/>
      </tp>
      <tp t="s">
        <v>#N/A Requesting Data...4228713319</v>
        <stp/>
        <stp>BDP|15666333952907467611</stp>
        <tr r="C285" s="2"/>
      </tp>
      <tp t="s">
        <v>#N/A Requesting Data...2282220564</v>
        <stp/>
        <stp>BDP|11709285233971667381</stp>
        <tr r="F2403" s="2"/>
      </tp>
      <tp t="s">
        <v>#N/A Requesting Data...3050595399</v>
        <stp/>
        <stp>BDP|14331257375917158403</stp>
        <tr r="J1933" s="2"/>
      </tp>
      <tp t="s">
        <v>#N/A Requesting Data...3022903796</v>
        <stp/>
        <stp>BDP|13688514919190462580</stp>
        <tr r="N2211" s="2"/>
      </tp>
      <tp t="s">
        <v>#N/A Requesting Data...2689955142</v>
        <stp/>
        <stp>BDP|10379918888201026284</stp>
        <tr r="M282" s="2"/>
      </tp>
      <tp t="s">
        <v>#N/A Requesting Data...3035239453</v>
        <stp/>
        <stp>BDP|13262865563957752824</stp>
        <tr r="C1385" s="2"/>
      </tp>
      <tp t="s">
        <v>#N/A Requesting Data...2356596517</v>
        <stp/>
        <stp>BDP|10872059967014127096</stp>
        <tr r="E55" s="2"/>
      </tp>
      <tp t="b">
        <v>0</v>
        <stp/>
        <stp>BDS|14011230106491492506</stp>
        <tr r="I309" s="2"/>
      </tp>
      <tp t="b">
        <v>0</v>
        <stp/>
        <stp>BDS|16177457707913446367</stp>
        <tr r="I1533" s="2"/>
      </tp>
      <tp t="s">
        <v>#N/A Requesting Data...3604873073</v>
        <stp/>
        <stp>BDP|12774599919795362165</stp>
        <tr r="K106" s="2"/>
      </tp>
      <tp t="s">
        <v>#N/A Requesting Data...3247022896</v>
        <stp/>
        <stp>BDP|12794174212779032903</stp>
        <tr r="T2352" s="2"/>
      </tp>
      <tp t="s">
        <v>#N/A Requesting Data...2510897481</v>
        <stp/>
        <stp>BDP|11410365771646491151</stp>
        <tr r="H2430" s="2"/>
      </tp>
      <tp t="s">
        <v>#N/A Requesting Data...4197445622</v>
        <stp/>
        <stp>BDP|17236358314493713467</stp>
        <tr r="A2021" s="2"/>
      </tp>
      <tp t="s">
        <v>#N/A Requesting Data...2104468653</v>
        <stp/>
        <stp>BDP|15379199233157910227</stp>
        <tr r="E878" s="2"/>
      </tp>
      <tp t="s">
        <v>#N/A Requesting Data...3527149234</v>
        <stp/>
        <stp>BDP|16085830294206059356</stp>
        <tr r="C2276" s="2"/>
      </tp>
      <tp t="s">
        <v>#N/A Requesting Data...3218040974</v>
        <stp/>
        <stp>BDP|10203128235749705906</stp>
        <tr r="D2159" s="2"/>
      </tp>
      <tp t="s">
        <v>#N/A Requesting Data...3319839529</v>
        <stp/>
        <stp>BDP|13747637781077024878</stp>
        <tr r="F1371" s="2"/>
      </tp>
      <tp t="s">
        <v>#N/A Requesting Data...2372483139</v>
        <stp/>
        <stp>BDP|14756044421870869487</stp>
        <tr r="S636" s="2"/>
      </tp>
      <tp t="s">
        <v>#N/A Requesting Data...3551623340</v>
        <stp/>
        <stp>BDP|13307273160807500233</stp>
        <tr r="E1395" s="2"/>
      </tp>
      <tp t="s">
        <v>#N/A Requesting Data...3946701503</v>
        <stp/>
        <stp>BDP|10722198779306735222</stp>
        <tr r="E2063" s="2"/>
      </tp>
      <tp t="s">
        <v>#N/A Requesting Data...3151349218</v>
        <stp/>
        <stp>BDP|17332388028672148606</stp>
        <tr r="M2090" s="2"/>
      </tp>
      <tp t="s">
        <v>#N/A Requesting Data...3642964859</v>
        <stp/>
        <stp>BDP|15891573775541129492</stp>
        <tr r="N1205" s="2"/>
      </tp>
      <tp t="s">
        <v>#N/A Requesting Data...4100533611</v>
        <stp/>
        <stp>BDP|12523530255879433956</stp>
        <tr r="D1877" s="2"/>
      </tp>
      <tp t="s">
        <v>#N/A Requesting Data...2319975143</v>
        <stp/>
        <stp>BDP|11088975130870188942</stp>
        <tr r="A2238" s="2"/>
      </tp>
      <tp t="s">
        <v>#N/A Requesting Data...3921450986</v>
        <stp/>
        <stp>BDP|13147254742800566711</stp>
        <tr r="T2094" s="2"/>
      </tp>
      <tp t="s">
        <v>#N/A Requesting Data...4104288349</v>
        <stp/>
        <stp>BDP|17779101117032080720</stp>
        <tr r="F2117" s="2"/>
      </tp>
      <tp t="s">
        <v>#N/A Requesting Data...4217754361</v>
        <stp/>
        <stp>BDP|17719478970227237106</stp>
        <tr r="O467" s="2"/>
      </tp>
      <tp t="s">
        <v>#N/A Requesting Data...3053674060</v>
        <stp/>
        <stp>BDP|12983844084618234897</stp>
        <tr r="O2150" s="2"/>
      </tp>
      <tp t="s">
        <v>#N/A Requesting Data...4242839315</v>
        <stp/>
        <stp>BDP|12461246993883708865</stp>
        <tr r="G1999" s="2"/>
      </tp>
      <tp t="s">
        <v>#N/A Requesting Data...2924982024</v>
        <stp/>
        <stp>BDP|13237783937633635698</stp>
        <tr r="R363" s="2"/>
      </tp>
      <tp t="s">
        <v>#N/A Requesting Data...2172585156</v>
        <stp/>
        <stp>BDP|14343015600991946791</stp>
        <tr r="J1329" s="2"/>
      </tp>
      <tp t="b">
        <v>0</v>
        <stp/>
        <stp>BDS|15651137025130078419</stp>
        <tr r="I1639" s="2"/>
      </tp>
      <tp t="s">
        <v>#N/A Requesting Data...2609051495</v>
        <stp/>
        <stp>BDP|12213107811471999186</stp>
        <tr r="C2096" s="2"/>
      </tp>
      <tp t="s">
        <v>#N/A Requesting Data...3742601938</v>
        <stp/>
        <stp>BDP|10416458466341552102</stp>
        <tr r="P1988" s="2"/>
      </tp>
      <tp t="s">
        <v>#N/A Requesting Data...2318470341</v>
        <stp/>
        <stp>BDP|15981694515669535924</stp>
        <tr r="K1278" s="2"/>
      </tp>
      <tp t="s">
        <v>#N/A Requesting Data...3329462893</v>
        <stp/>
        <stp>BDP|16885683285873397947</stp>
        <tr r="A2133" s="2"/>
      </tp>
      <tp t="s">
        <v>#N/A Requesting Data...3590469616</v>
        <stp/>
        <stp>BDP|16831417076703577489</stp>
        <tr r="T2021" s="2"/>
      </tp>
      <tp t="s">
        <v>#N/A Requesting Data...3877359713</v>
        <stp/>
        <stp>BDP|10589393008057011666</stp>
        <tr r="M933" s="2"/>
      </tp>
      <tp t="s">
        <v>#N/A Requesting Data...2188693000</v>
        <stp/>
        <stp>BDP|16768150431914230230</stp>
        <tr r="F1196" s="2"/>
      </tp>
      <tp t="s">
        <v>#N/A Requesting Data...2289003078</v>
        <stp/>
        <stp>BDP|13046203635276502629</stp>
        <tr r="O551" s="2"/>
      </tp>
      <tp t="s">
        <v>#N/A Requesting Data...3218639329</v>
        <stp/>
        <stp>BDP|12866859162577444992</stp>
        <tr r="A1320" s="2"/>
      </tp>
      <tp t="s">
        <v>#N/A Requesting Data...2802070903</v>
        <stp/>
        <stp>BDP|16822792314967743501</stp>
        <tr r="F2230" s="2"/>
      </tp>
      <tp t="s">
        <v>#N/A Requesting Data...2955260133</v>
        <stp/>
        <stp>BDP|18186090058987263804</stp>
        <tr r="J751" s="2"/>
      </tp>
      <tp t="s">
        <v>#N/A Requesting Data...3604378803</v>
        <stp/>
        <stp>BDP|16686882108509389574</stp>
        <tr r="M1481" s="2"/>
      </tp>
      <tp t="s">
        <v>#N/A Requesting Data...3520745183</v>
        <stp/>
        <stp>BDP|18076985938516764652</stp>
        <tr r="E317" s="2"/>
      </tp>
      <tp t="s">
        <v>#N/A Requesting Data...4103062412</v>
        <stp/>
        <stp>BDP|14051261392078562531</stp>
        <tr r="F2189" s="2"/>
      </tp>
      <tp t="s">
        <v>#N/A Requesting Data...2978113144</v>
        <stp/>
        <stp>BDP|13981829289557700677</stp>
        <tr r="A1443" s="2"/>
      </tp>
      <tp t="s">
        <v>#N/A Requesting Data...4279563052</v>
        <stp/>
        <stp>BDP|15116393659137435673</stp>
        <tr r="O2356" s="2"/>
      </tp>
      <tp t="s">
        <v>#N/A Requesting Data...4115894011</v>
        <stp/>
        <stp>BDP|11228776875435102633</stp>
        <tr r="J1338" s="2"/>
      </tp>
      <tp t="s">
        <v>#N/A Requesting Data...3349474993</v>
        <stp/>
        <stp>BDP|13883551208995069175</stp>
        <tr r="O1173" s="2"/>
      </tp>
      <tp t="s">
        <v>#N/A Requesting Data...4040377931</v>
        <stp/>
        <stp>BDP|10739728791865075966</stp>
        <tr r="P1457" s="2"/>
      </tp>
      <tp t="s">
        <v>#N/A Requesting Data...4102028134</v>
        <stp/>
        <stp>BDP|12203891989379060906</stp>
        <tr r="M1524" s="2"/>
      </tp>
      <tp t="s">
        <v>#N/A Requesting Data...3339633791</v>
        <stp/>
        <stp>BDP|17065173940865577508</stp>
        <tr r="E1431" s="2"/>
      </tp>
      <tp t="s">
        <v>#N/A Requesting Data...3243318408</v>
        <stp/>
        <stp>BDP|17541296872116931652</stp>
        <tr r="H1527" s="2"/>
      </tp>
      <tp t="s">
        <v>#N/A Requesting Data...3919801743</v>
        <stp/>
        <stp>BDP|17748437133740424214</stp>
        <tr r="A768" s="2"/>
      </tp>
      <tp t="s">
        <v>#N/A Requesting Data...4040884409</v>
        <stp/>
        <stp>BDP|10209212465645073341</stp>
        <tr r="O1420" s="2"/>
      </tp>
      <tp t="s">
        <v>#N/A Requesting Data...2290092784</v>
        <stp/>
        <stp>BDP|11224964280591419320</stp>
        <tr r="N937" s="2"/>
      </tp>
      <tp t="s">
        <v>#N/A Requesting Data...3889989799</v>
        <stp/>
        <stp>BDP|17685476632755190702</stp>
        <tr r="P1723" s="2"/>
      </tp>
      <tp t="s">
        <v>#N/A Requesting Data...3475492816</v>
        <stp/>
        <stp>BDP|10572660122724313203</stp>
        <tr r="D1007" s="2"/>
      </tp>
      <tp t="s">
        <v>#N/A Requesting Data...2905550900</v>
        <stp/>
        <stp>BDP|16433000143450629034</stp>
        <tr r="R1284" s="2"/>
      </tp>
      <tp t="s">
        <v>#N/A Requesting Data...3512872030</v>
        <stp/>
        <stp>BDP|14191328395785623925</stp>
        <tr r="S178" s="2"/>
      </tp>
      <tp t="s">
        <v>#N/A Requesting Data...3600957199</v>
        <stp/>
        <stp>BDP|16839514124013870071</stp>
        <tr r="N1387" s="2"/>
      </tp>
      <tp t="s">
        <v>#N/A Requesting Data...2367881987</v>
        <stp/>
        <stp>BDP|10456015312174748724</stp>
        <tr r="Q751" s="2"/>
      </tp>
      <tp t="s">
        <v>#N/A Requesting Data...2558343843</v>
        <stp/>
        <stp>BDP|10979290474460341756</stp>
        <tr r="C1660" s="2"/>
      </tp>
      <tp t="s">
        <v>#N/A Requesting Data...2707020044</v>
        <stp/>
        <stp>BDP|11496936480127190546</stp>
        <tr r="H1500" s="2"/>
      </tp>
      <tp t="s">
        <v>#N/A Requesting Data...3786829149</v>
        <stp/>
        <stp>BDP|11883392699068283183</stp>
        <tr r="Q2508" s="2"/>
      </tp>
      <tp t="s">
        <v>#N/A Requesting Data...4142193503</v>
        <stp/>
        <stp>BDP|12450762611065270331</stp>
        <tr r="P2294" s="2"/>
      </tp>
      <tp t="s">
        <v>#N/A Requesting Data...2583286332</v>
        <stp/>
        <stp>BDP|14534717161451259655</stp>
        <tr r="R996" s="2"/>
      </tp>
      <tp t="b">
        <v>0</v>
        <stp/>
        <stp>BDS|11026335980128756053</stp>
        <tr r="I2494" s="2"/>
      </tp>
      <tp t="s">
        <v>#N/A Requesting Data...3499745057</v>
        <stp/>
        <stp>BDP|14202055914291706667</stp>
        <tr r="M1917" s="2"/>
      </tp>
      <tp t="s">
        <v>#N/A Requesting Data...3224354025</v>
        <stp/>
        <stp>BDP|10243304476714766211</stp>
        <tr r="D184" s="2"/>
      </tp>
      <tp t="s">
        <v>#N/A Requesting Data...3352244456</v>
        <stp/>
        <stp>BDP|17607210645003961096</stp>
        <tr r="M966" s="2"/>
      </tp>
      <tp t="s">
        <v>#N/A Requesting Data...3106550496</v>
        <stp/>
        <stp>BDP|14235045572185377457</stp>
        <tr r="N1116" s="2"/>
      </tp>
      <tp t="s">
        <v>#N/A Requesting Data...2525485922</v>
        <stp/>
        <stp>BDP|10417323443291054472</stp>
        <tr r="C408" s="2"/>
      </tp>
      <tp t="s">
        <v>#N/A Requesting Data...3728487822</v>
        <stp/>
        <stp>BDP|10730635483394044856</stp>
        <tr r="S1119" s="2"/>
      </tp>
      <tp t="s">
        <v>#N/A Requesting Data...2596719169</v>
        <stp/>
        <stp>BDP|12128032137591749206</stp>
        <tr r="A2482" s="2"/>
      </tp>
      <tp t="s">
        <v>#N/A Requesting Data...2986415839</v>
        <stp/>
        <stp>BDP|11356545027144539075</stp>
        <tr r="M1656" s="2"/>
      </tp>
      <tp t="s">
        <v>#N/A Requesting Data...2820201757</v>
        <stp/>
        <stp>BDP|13551465652955386506</stp>
        <tr r="T1186" s="2"/>
      </tp>
      <tp t="s">
        <v>#N/A Requesting Data...2865447336</v>
        <stp/>
        <stp>BDP|14570701156464863093</stp>
        <tr r="O884" s="2"/>
      </tp>
      <tp t="s">
        <v>#N/A Requesting Data...3537279094</v>
        <stp/>
        <stp>BDP|12110100733233873183</stp>
        <tr r="C1795" s="2"/>
      </tp>
      <tp t="s">
        <v>#N/A Requesting Data...3758916715</v>
        <stp/>
        <stp>BDP|10802392602218674970</stp>
        <tr r="O2225" s="2"/>
      </tp>
      <tp t="s">
        <v>#N/A Requesting Data...2712312300</v>
        <stp/>
        <stp>BDP|11384459134502039601</stp>
        <tr r="R1378" s="2"/>
      </tp>
      <tp t="s">
        <v>#N/A Requesting Data...4132042619</v>
        <stp/>
        <stp>BDP|10400674974674031757</stp>
        <tr r="K1036" s="2"/>
      </tp>
      <tp t="s">
        <v>#N/A Requesting Data...3031632400</v>
        <stp/>
        <stp>BDP|14359261671242165176</stp>
        <tr r="Q1621" s="2"/>
      </tp>
      <tp t="s">
        <v>#N/A Requesting Data...2621263145</v>
        <stp/>
        <stp>BDP|17890102378492713158</stp>
        <tr r="C1797" s="2"/>
      </tp>
      <tp t="s">
        <v>#N/A Requesting Data...3823630354</v>
        <stp/>
        <stp>BDP|11235327316580539114</stp>
        <tr r="K2020" s="2"/>
      </tp>
      <tp t="s">
        <v>#N/A Requesting Data...3092761283</v>
        <stp/>
        <stp>BDP|12766053411670524147</stp>
        <tr r="G2435" s="2"/>
      </tp>
      <tp t="s">
        <v>#N/A Requesting Data...3701819398</v>
        <stp/>
        <stp>BDP|17006749582668607229</stp>
        <tr r="H705" s="2"/>
      </tp>
      <tp t="s">
        <v>#N/A Requesting Data...3584379616</v>
        <stp/>
        <stp>BDP|14212135479605261581</stp>
        <tr r="J1941" s="2"/>
      </tp>
      <tp t="s">
        <v>#N/A Requesting Data...3012739904</v>
        <stp/>
        <stp>BDP|15856312659266117731</stp>
        <tr r="M48" s="2"/>
      </tp>
      <tp t="s">
        <v>#N/A Requesting Data...2523260914</v>
        <stp/>
        <stp>BDP|15464595684589836331</stp>
        <tr r="H1083" s="2"/>
      </tp>
      <tp t="s">
        <v>#N/A Requesting Data...2859807352</v>
        <stp/>
        <stp>BDP|17047247503173119447</stp>
        <tr r="J253" s="2"/>
      </tp>
      <tp t="s">
        <v>#N/A Requesting Data...2674121842</v>
        <stp/>
        <stp>BDP|17447251861499549871</stp>
        <tr r="A2129" s="2"/>
      </tp>
      <tp t="s">
        <v>#N/A Requesting Data...4002865872</v>
        <stp/>
        <stp>BDP|16159587645653964676</stp>
        <tr r="S1444" s="2"/>
      </tp>
      <tp t="s">
        <v>#N/A Requesting Data...3812269551</v>
        <stp/>
        <stp>BDP|15990437565036583382</stp>
        <tr r="T199" s="2"/>
      </tp>
      <tp t="s">
        <v>#N/A Requesting Data...3642773523</v>
        <stp/>
        <stp>BDP|12248569065187797441</stp>
        <tr r="H230" s="2"/>
      </tp>
      <tp t="s">
        <v>#N/A Requesting Data...3782014017</v>
        <stp/>
        <stp>BDP|10721813794602306133</stp>
        <tr r="C1667" s="2"/>
      </tp>
      <tp t="s">
        <v>#N/A Requesting Data...3188684805</v>
        <stp/>
        <stp>BDP|16970084045752796219</stp>
        <tr r="F1955" s="2"/>
      </tp>
      <tp t="s">
        <v>#N/A Requesting Data...3295284775</v>
        <stp/>
        <stp>BDP|14269604456200690572</stp>
        <tr r="H2132" s="2"/>
      </tp>
      <tp t="s">
        <v>#N/A Requesting Data...3543282015</v>
        <stp/>
        <stp>BDP|16688392702331870605</stp>
        <tr r="J597" s="2"/>
      </tp>
      <tp t="s">
        <v>#N/A Requesting Data...4017954540</v>
        <stp/>
        <stp>BDP|17582443646294341116</stp>
        <tr r="E1987" s="2"/>
      </tp>
      <tp t="s">
        <v>#N/A Requesting Data...4187224092</v>
        <stp/>
        <stp>BDP|10213869754468207777</stp>
        <tr r="Q1413" s="2"/>
      </tp>
      <tp t="s">
        <v>#N/A Requesting Data...4123574499</v>
        <stp/>
        <stp>BDP|16029429061945419328</stp>
        <tr r="C679" s="2"/>
      </tp>
      <tp t="s">
        <v>#N/A Requesting Data...4212443308</v>
        <stp/>
        <stp>BDP|10934775337843404585</stp>
        <tr r="T2474" s="2"/>
      </tp>
      <tp t="s">
        <v>#N/A Requesting Data...2587136292</v>
        <stp/>
        <stp>BDP|17807578175281749685</stp>
        <tr r="P1361" s="2"/>
      </tp>
      <tp t="s">
        <v>#N/A Requesting Data...3682372369</v>
        <stp/>
        <stp>BDP|17578000747786631718</stp>
        <tr r="H2029" s="2"/>
      </tp>
      <tp t="s">
        <v>#N/A Requesting Data...3349852763</v>
        <stp/>
        <stp>BDP|16565695043036215089</stp>
        <tr r="R1706" s="2"/>
      </tp>
      <tp t="s">
        <v>#N/A Requesting Data...2377306560</v>
        <stp/>
        <stp>BDP|10240119455786414071</stp>
        <tr r="A2008" s="2"/>
      </tp>
      <tp t="s">
        <v>#N/A Requesting Data...3064027894</v>
        <stp/>
        <stp>BDP|14774610279981805624</stp>
        <tr r="N1309" s="2"/>
      </tp>
      <tp t="s">
        <v>#N/A Requesting Data...2553177680</v>
        <stp/>
        <stp>BDP|13675214463912133703</stp>
        <tr r="M335" s="2"/>
      </tp>
      <tp t="s">
        <v>#N/A Requesting Data...3339397727</v>
        <stp/>
        <stp>BDP|15334393300824776085</stp>
        <tr r="S2115" s="2"/>
      </tp>
      <tp t="s">
        <v>#N/A Requesting Data...4003217930</v>
        <stp/>
        <stp>BDP|11511492623303225688</stp>
        <tr r="O2072" s="2"/>
      </tp>
      <tp t="s">
        <v>#N/A Requesting Data...2405184477</v>
        <stp/>
        <stp>BDP|13351161867371067778</stp>
        <tr r="A1105" s="2"/>
      </tp>
      <tp t="s">
        <v>#N/A Requesting Data...2660499145</v>
        <stp/>
        <stp>BDP|13724379014655249630</stp>
        <tr r="J1733" s="2"/>
      </tp>
      <tp t="b">
        <v>0</v>
        <stp/>
        <stp>BDS|16582832006709647500</stp>
        <tr r="I2274" s="2"/>
      </tp>
      <tp t="s">
        <v>#N/A Requesting Data...3931964126</v>
        <stp/>
        <stp>BDP|13003150708022891200</stp>
        <tr r="R2008" s="2"/>
      </tp>
      <tp t="s">
        <v>#N/A Requesting Data...2370242364</v>
        <stp/>
        <stp>BDP|17378878880405577045</stp>
        <tr r="A370" s="2"/>
      </tp>
      <tp t="s">
        <v>#N/A Requesting Data...3117157423</v>
        <stp/>
        <stp>BDP|18425235905980064871</stp>
        <tr r="D453" s="2"/>
      </tp>
      <tp t="s">
        <v>#N/A Requesting Data...3330150036</v>
        <stp/>
        <stp>BDP|14747724304806369776</stp>
        <tr r="K400" s="2"/>
      </tp>
      <tp t="s">
        <v>#N/A Requesting Data...2872511481</v>
        <stp/>
        <stp>BDP|15631614293471539948</stp>
        <tr r="C370" s="2"/>
      </tp>
      <tp t="s">
        <v>#N/A Requesting Data...4218722606</v>
        <stp/>
        <stp>BDP|13212844193133759379</stp>
        <tr r="O1005" s="2"/>
      </tp>
      <tp t="s">
        <v>#N/A Requesting Data...2972816970</v>
        <stp/>
        <stp>BDP|10548565020095603009</stp>
        <tr r="F99" s="2"/>
      </tp>
      <tp t="s">
        <v>#N/A Requesting Data...2419325535</v>
        <stp/>
        <stp>BDP|14044821384962633457</stp>
        <tr r="O2063" s="2"/>
      </tp>
      <tp t="s">
        <v>#N/A Requesting Data...3637248167</v>
        <stp/>
        <stp>BDP|15751437373093096724</stp>
        <tr r="O877" s="2"/>
      </tp>
      <tp t="s">
        <v>#N/A Requesting Data...3732873800</v>
        <stp/>
        <stp>BDP|12082620962666158644</stp>
        <tr r="F2476" s="2"/>
      </tp>
      <tp t="s">
        <v>#N/A Requesting Data...3542880993</v>
        <stp/>
        <stp>BDP|16747131753814336411</stp>
        <tr r="M2093" s="2"/>
      </tp>
      <tp t="s">
        <v>#N/A Requesting Data...3619319985</v>
        <stp/>
        <stp>BDP|17556615590249157308</stp>
        <tr r="J2392" s="2"/>
      </tp>
      <tp t="s">
        <v>#N/A Requesting Data...2922948722</v>
        <stp/>
        <stp>BDP|13737656863882004342</stp>
        <tr r="E999" s="2"/>
      </tp>
      <tp t="s">
        <v>#N/A Requesting Data...2988771005</v>
        <stp/>
        <stp>BDP|10921044847823819570</stp>
        <tr r="O2006" s="2"/>
      </tp>
      <tp t="s">
        <v>#N/A Requesting Data...3795984771</v>
        <stp/>
        <stp>BDP|13073202961863341677</stp>
        <tr r="Q755" s="2"/>
      </tp>
      <tp t="s">
        <v>#N/A Requesting Data...3120846612</v>
        <stp/>
        <stp>BDP|18339976652605080335</stp>
        <tr r="F2" s="2"/>
      </tp>
      <tp t="s">
        <v>#N/A Requesting Data...3644403338</v>
        <stp/>
        <stp>BDP|17723045644883333212</stp>
        <tr r="T1159" s="2"/>
      </tp>
      <tp t="s">
        <v>#N/A Requesting Data...4121980934</v>
        <stp/>
        <stp>BDP|17087273526581721432</stp>
        <tr r="J1322" s="2"/>
      </tp>
      <tp t="s">
        <v>#N/A Requesting Data...3816651517</v>
        <stp/>
        <stp>BDP|15426844572991020973</stp>
        <tr r="C693" s="2"/>
      </tp>
      <tp t="s">
        <v>#N/A Requesting Data...3305470585</v>
        <stp/>
        <stp>BDP|10959543631294132089</stp>
        <tr r="G1893" s="2"/>
      </tp>
      <tp t="s">
        <v>#N/A Requesting Data...3752544076</v>
        <stp/>
        <stp>BDP|15594675837583732174</stp>
        <tr r="P2492" s="2"/>
      </tp>
      <tp t="s">
        <v>#N/A Requesting Data...2902189429</v>
        <stp/>
        <stp>BDP|10611219904806568638</stp>
        <tr r="Q2188" s="2"/>
      </tp>
      <tp t="s">
        <v>#N/A Requesting Data...2888655230</v>
        <stp/>
        <stp>BDP|14197618357530085522</stp>
        <tr r="S880" s="2"/>
      </tp>
      <tp t="s">
        <v>#N/A Requesting Data...4074258530</v>
        <stp/>
        <stp>BDP|15684708893990678963</stp>
        <tr r="F2522" s="2"/>
      </tp>
      <tp t="s">
        <v>#N/A Requesting Data...4223089963</v>
        <stp/>
        <stp>BDP|12616032935363187045</stp>
        <tr r="Q873" s="2"/>
      </tp>
      <tp t="b">
        <v>0</v>
        <stp/>
        <stp>BDS|14054863273569368008</stp>
        <tr r="I1937" s="2"/>
      </tp>
      <tp t="s">
        <v>#N/A Requesting Data...3671825070</v>
        <stp/>
        <stp>BDP|10777443745495183725</stp>
        <tr r="R961" s="2"/>
      </tp>
      <tp t="s">
        <v>#N/A Requesting Data...3767843435</v>
        <stp/>
        <stp>BDP|14105773175243294545</stp>
        <tr r="O942" s="2"/>
      </tp>
      <tp t="s">
        <v>#N/A Requesting Data...2764909330</v>
        <stp/>
        <stp>BDP|12477412350959081809</stp>
        <tr r="M1975" s="2"/>
      </tp>
      <tp t="s">
        <v>#N/A Requesting Data...2997648522</v>
        <stp/>
        <stp>BDP|16352510461374099363</stp>
        <tr r="P1764" s="2"/>
      </tp>
      <tp t="s">
        <v>#N/A Requesting Data...3600260624</v>
        <stp/>
        <stp>BDP|10089146965094632121</stp>
        <tr r="E2336" s="2"/>
      </tp>
      <tp t="s">
        <v>#N/A Requesting Data...3221588334</v>
        <stp/>
        <stp>BDP|12984826289795775502</stp>
        <tr r="S1666" s="2"/>
      </tp>
      <tp t="s">
        <v>#N/A Requesting Data...2802608425</v>
        <stp/>
        <stp>BDP|10356638207030192438</stp>
        <tr r="E181" s="2"/>
      </tp>
      <tp t="s">
        <v>#N/A Requesting Data...4083965484</v>
        <stp/>
        <stp>BDP|16403149180275199841</stp>
        <tr r="A2525" s="2"/>
      </tp>
      <tp t="s">
        <v>#N/A Requesting Data...3293066006</v>
        <stp/>
        <stp>BDP|16377365766627338654</stp>
        <tr r="D379" s="2"/>
      </tp>
      <tp t="s">
        <v>#N/A Requesting Data...3504629037</v>
        <stp/>
        <stp>BDP|16495147236161785744</stp>
        <tr r="O1549" s="2"/>
      </tp>
      <tp t="s">
        <v>#N/A Requesting Data...4186453568</v>
        <stp/>
        <stp>BDP|15305492801246758596</stp>
        <tr r="C803" s="2"/>
      </tp>
      <tp t="s">
        <v>#N/A Requesting Data...3833040863</v>
        <stp/>
        <stp>BDP|12311105131307522526</stp>
        <tr r="S1897" s="2"/>
      </tp>
      <tp t="s">
        <v>#N/A Requesting Data...3151435839</v>
        <stp/>
        <stp>BDP|17976554964877405199</stp>
        <tr r="F1254" s="2"/>
      </tp>
      <tp t="s">
        <v>#N/A Requesting Data...2969772594</v>
        <stp/>
        <stp>BDP|14018647062573433572</stp>
        <tr r="J2109" s="2"/>
      </tp>
      <tp t="s">
        <v>#N/A Requesting Data...3035104079</v>
        <stp/>
        <stp>BDP|17144533241461689509</stp>
        <tr r="A1233" s="2"/>
      </tp>
      <tp t="s">
        <v>#N/A Requesting Data...4207892800</v>
        <stp/>
        <stp>BDP|13973640068611276024</stp>
        <tr r="R121" s="2"/>
      </tp>
      <tp t="b">
        <v>0</v>
        <stp/>
        <stp>BDS|17078130570781721220</stp>
        <tr r="I2333" s="2"/>
      </tp>
      <tp t="s">
        <v>#N/A Requesting Data...4077296755</v>
        <stp/>
        <stp>BDP|16170201537815492075</stp>
        <tr r="C924" s="2"/>
      </tp>
      <tp t="s">
        <v>#N/A Requesting Data...3467820457</v>
        <stp/>
        <stp>BDP|17200244492368173602</stp>
        <tr r="T1114" s="2"/>
      </tp>
      <tp t="s">
        <v>#N/A Requesting Data...2575034527</v>
        <stp/>
        <stp>BDP|15336538758910552785</stp>
        <tr r="M777" s="2"/>
      </tp>
      <tp t="s">
        <v>#N/A Requesting Data...2532071762</v>
        <stp/>
        <stp>BDP|14394288896339933410</stp>
        <tr r="O812" s="2"/>
      </tp>
      <tp t="s">
        <v>#N/A Requesting Data...2512432036</v>
        <stp/>
        <stp>BDP|16343075934500276772</stp>
        <tr r="J953" s="2"/>
      </tp>
      <tp t="s">
        <v>#N/A Requesting Data...2704313645</v>
        <stp/>
        <stp>BDP|15125290236691860733</stp>
        <tr r="J2104" s="2"/>
      </tp>
      <tp t="s">
        <v>#N/A Requesting Data...2776546117</v>
        <stp/>
        <stp>BDP|18161661795011366440</stp>
        <tr r="R2044" s="2"/>
      </tp>
      <tp t="s">
        <v>#N/A Requesting Data...2905804686</v>
        <stp/>
        <stp>BDP|18352173704732765926</stp>
        <tr r="H1659" s="2"/>
      </tp>
      <tp t="s">
        <v>#N/A Requesting Data...3302414455</v>
        <stp/>
        <stp>BDP|13568778683086474808</stp>
        <tr r="P65" s="2"/>
      </tp>
      <tp t="s">
        <v>#N/A Requesting Data...2866882249</v>
        <stp/>
        <stp>BDP|14837327058698467834</stp>
        <tr r="A876" s="2"/>
      </tp>
      <tp t="b">
        <v>0</v>
        <stp/>
        <stp>BDS|12914605950806798585</stp>
        <tr r="I955" s="2"/>
      </tp>
      <tp t="s">
        <v>#N/A Requesting Data...2832674533</v>
        <stp/>
        <stp>BDP|12659572263541658217</stp>
        <tr r="M386" s="2"/>
      </tp>
      <tp t="s">
        <v>#N/A Requesting Data...3931200655</v>
        <stp/>
        <stp>BDP|12859498983339583526</stp>
        <tr r="J148" s="2"/>
      </tp>
      <tp t="s">
        <v>#N/A Requesting Data...3110181542</v>
        <stp/>
        <stp>BDP|10465472579140649196</stp>
        <tr r="G2394" s="2"/>
      </tp>
      <tp t="s">
        <v>#N/A Requesting Data...3287887154</v>
        <stp/>
        <stp>BDP|15959201442773635287</stp>
        <tr r="R2297" s="2"/>
      </tp>
      <tp t="s">
        <v>#N/A Requesting Data...3553835017</v>
        <stp/>
        <stp>BDP|11299576503463154529</stp>
        <tr r="C2466" s="2"/>
      </tp>
      <tp t="s">
        <v>#N/A Requesting Data...3645873488</v>
        <stp/>
        <stp>BDP|12750745680856074968</stp>
        <tr r="S2451" s="2"/>
      </tp>
      <tp t="s">
        <v>#N/A Requesting Data...3852056477</v>
        <stp/>
        <stp>BDP|10216095229852227259</stp>
        <tr r="E2417" s="2"/>
      </tp>
      <tp t="s">
        <v>#N/A Requesting Data...3464964526</v>
        <stp/>
        <stp>BDP|11343360123311315301</stp>
        <tr r="M2296" s="2"/>
      </tp>
      <tp t="s">
        <v>#N/A Requesting Data...4072186720</v>
        <stp/>
        <stp>BDP|14028763849194379190</stp>
        <tr r="P682" s="2"/>
      </tp>
      <tp t="s">
        <v>#N/A Requesting Data...2565291096</v>
        <stp/>
        <stp>BDP|17622333199616801910</stp>
        <tr r="N2402" s="2"/>
      </tp>
      <tp t="s">
        <v>#N/A Requesting Data...2847140803</v>
        <stp/>
        <stp>BDP|15881906489962561416</stp>
        <tr r="Q1081" s="2"/>
      </tp>
      <tp t="s">
        <v>#N/A Requesting Data...2598949089</v>
        <stp/>
        <stp>BDP|15066471342844814388</stp>
        <tr r="N2064" s="2"/>
      </tp>
      <tp t="s">
        <v>#N/A Requesting Data...3820243113</v>
        <stp/>
        <stp>BDP|16662410683121592948</stp>
        <tr r="F132" s="2"/>
      </tp>
      <tp t="s">
        <v>#N/A Requesting Data...3961236046</v>
        <stp/>
        <stp>BDP|17648567354552208730</stp>
        <tr r="Q2372" s="2"/>
      </tp>
      <tp t="s">
        <v>#N/A Requesting Data...2600545595</v>
        <stp/>
        <stp>BDP|13940203728382493308</stp>
        <tr r="Q626" s="2"/>
      </tp>
      <tp t="s">
        <v>#N/A Requesting Data...3878894622</v>
        <stp/>
        <stp>BDP|15739752115563251204</stp>
        <tr r="P1731" s="2"/>
      </tp>
      <tp t="s">
        <v>#N/A Requesting Data...3416063310</v>
        <stp/>
        <stp>BDP|12752071887260212802</stp>
        <tr r="R827" s="2"/>
      </tp>
      <tp t="s">
        <v>#N/A Requesting Data...2723177298</v>
        <stp/>
        <stp>BDP|13126117400597422717</stp>
        <tr r="G1286" s="2"/>
      </tp>
      <tp t="s">
        <v>#N/A Requesting Data...3856563945</v>
        <stp/>
        <stp>BDP|10740740942000533112</stp>
        <tr r="R140" s="2"/>
      </tp>
      <tp t="s">
        <v>#N/A Requesting Data...4245925845</v>
        <stp/>
        <stp>BDP|15083333074646312519</stp>
        <tr r="G514" s="2"/>
      </tp>
      <tp t="s">
        <v>#N/A Requesting Data...3712736872</v>
        <stp/>
        <stp>BDP|13040101074712661571</stp>
        <tr r="T1152" s="2"/>
      </tp>
      <tp t="s">
        <v>#N/A Requesting Data...3231810807</v>
        <stp/>
        <stp>BDP|14858872638129323410</stp>
        <tr r="T2418" s="2"/>
      </tp>
      <tp t="s">
        <v>#N/A Requesting Data...2619551435</v>
        <stp/>
        <stp>BDP|10894366778894263215</stp>
        <tr r="P2393" s="2"/>
      </tp>
      <tp t="s">
        <v>#N/A Requesting Data...3507186407</v>
        <stp/>
        <stp>BDP|13256705173051517015</stp>
        <tr r="M940" s="2"/>
      </tp>
      <tp t="s">
        <v>#N/A Requesting Data...4170613175</v>
        <stp/>
        <stp>BDP|14627470085109442353</stp>
        <tr r="N630" s="2"/>
      </tp>
      <tp t="s">
        <v>#N/A Requesting Data...2815122389</v>
        <stp/>
        <stp>BDP|13252476463460366305</stp>
        <tr r="A1746" s="2"/>
      </tp>
      <tp t="s">
        <v>#N/A Requesting Data...3257792536</v>
        <stp/>
        <stp>BDP|16927195533923586532</stp>
        <tr r="M2251" s="2"/>
      </tp>
      <tp t="s">
        <v>#N/A Requesting Data...2692020783</v>
        <stp/>
        <stp>BDP|10632554113560044652</stp>
        <tr r="T436" s="2"/>
      </tp>
      <tp t="s">
        <v>#N/A Requesting Data...3579480877</v>
        <stp/>
        <stp>BDP|11214115557766337124</stp>
        <tr r="D943" s="2"/>
      </tp>
      <tp t="s">
        <v>#N/A Requesting Data...4241041231</v>
        <stp/>
        <stp>BDP|14222973991495121303</stp>
        <tr r="O240" s="2"/>
      </tp>
      <tp t="b">
        <v>0</v>
        <stp/>
        <stp>BDS|11312254303309422870</stp>
        <tr r="I1042" s="2"/>
      </tp>
      <tp t="s">
        <v>#N/A Requesting Data...3910421385</v>
        <stp/>
        <stp>BDP|16739715808264235793</stp>
        <tr r="M173" s="2"/>
      </tp>
      <tp t="s">
        <v>#N/A Requesting Data...3574854733</v>
        <stp/>
        <stp>BDP|17388552396190609920</stp>
        <tr r="Q927" s="2"/>
      </tp>
      <tp t="s">
        <v>#N/A Requesting Data...2607810019</v>
        <stp/>
        <stp>BDP|14522458056306728150</stp>
        <tr r="G1878" s="2"/>
      </tp>
      <tp t="s">
        <v>#N/A Requesting Data...3482455758</v>
        <stp/>
        <stp>BDP|15522821421499795455</stp>
        <tr r="J1088" s="2"/>
      </tp>
      <tp t="b">
        <v>0</v>
        <stp/>
        <stp>BDS|17226214930112759639</stp>
        <tr r="I1477" s="2"/>
      </tp>
      <tp t="s">
        <v>#N/A Requesting Data...2666328296</v>
        <stp/>
        <stp>BDP|10817269955390986568</stp>
        <tr r="T2140" s="2"/>
      </tp>
      <tp t="s">
        <v>#N/A Requesting Data...3987363009</v>
        <stp/>
        <stp>BDP|15783219561882273114</stp>
        <tr r="R1328" s="2"/>
      </tp>
      <tp t="s">
        <v>#N/A Requesting Data...3872549325</v>
        <stp/>
        <stp>BDP|16450870647629199110</stp>
        <tr r="T1939" s="2"/>
      </tp>
      <tp t="s">
        <v>#N/A Requesting Data...2944277858</v>
        <stp/>
        <stp>BDP|16459066693749566408</stp>
        <tr r="H1592" s="2"/>
      </tp>
      <tp t="s">
        <v>#N/A Requesting Data...3198943809</v>
        <stp/>
        <stp>BDP|12073624103533788524</stp>
        <tr r="M2422" s="2"/>
      </tp>
      <tp t="b">
        <v>0</v>
        <stp/>
        <stp>BDS|10757446317613393406</stp>
        <tr r="I1936" s="2"/>
      </tp>
      <tp t="s">
        <v>#N/A Requesting Data...2791304904</v>
        <stp/>
        <stp>BDP|13064549355725518400</stp>
        <tr r="D160" s="2"/>
      </tp>
      <tp t="s">
        <v>#N/A Requesting Data...2628267881</v>
        <stp/>
        <stp>BDP|10682010706003133142</stp>
        <tr r="E559" s="2"/>
      </tp>
      <tp t="s">
        <v>#N/A Requesting Data...3453926879</v>
        <stp/>
        <stp>BDP|16821185674587229529</stp>
        <tr r="S1684" s="2"/>
      </tp>
      <tp t="s">
        <v>#N/A Requesting Data...3898684215</v>
        <stp/>
        <stp>BDP|17849642343596985122</stp>
        <tr r="C2259" s="2"/>
      </tp>
      <tp t="s">
        <v>#N/A Requesting Data...4090007814</v>
        <stp/>
        <stp>BDP|13114861449595854828</stp>
        <tr r="K2322" s="2"/>
      </tp>
      <tp t="s">
        <v>#N/A Requesting Data...3951257542</v>
        <stp/>
        <stp>BDP|18318274534218693326</stp>
        <tr r="N1489" s="2"/>
      </tp>
      <tp t="b">
        <v>0</v>
        <stp/>
        <stp>BDS|15020273660993747074</stp>
        <tr r="I1219" s="2"/>
      </tp>
      <tp t="b">
        <v>0</v>
        <stp/>
        <stp>BDS|10135464653774603758</stp>
        <tr r="I1645" s="2"/>
      </tp>
      <tp t="s">
        <v>#N/A Requesting Data...2767726403</v>
        <stp/>
        <stp>BDP|11566110544926577010</stp>
        <tr r="P1756" s="2"/>
      </tp>
      <tp t="s">
        <v>#N/A Requesting Data...3304830304</v>
        <stp/>
        <stp>BDP|13522781019142584552</stp>
        <tr r="A1707" s="2"/>
      </tp>
      <tp t="s">
        <v>#N/A Requesting Data...3206593167</v>
        <stp/>
        <stp>BDP|14153463770492790744</stp>
        <tr r="O386" s="2"/>
      </tp>
      <tp t="s">
        <v>#N/A Requesting Data...2800976349</v>
        <stp/>
        <stp>BDP|12558779622063067645</stp>
        <tr r="H109" s="2"/>
      </tp>
      <tp t="s">
        <v>#N/A Requesting Data...2872307913</v>
        <stp/>
        <stp>BDP|13164335831924471532</stp>
        <tr r="Q1692" s="2"/>
      </tp>
      <tp t="s">
        <v>#N/A Requesting Data...3349301266</v>
        <stp/>
        <stp>BDP|15426134987846244865</stp>
        <tr r="G1808" s="2"/>
      </tp>
      <tp t="s">
        <v>#N/A Requesting Data...3245619540</v>
        <stp/>
        <stp>BDP|17308066791758575459</stp>
        <tr r="C1478" s="2"/>
      </tp>
      <tp t="s">
        <v>#N/A Requesting Data...4191034448</v>
        <stp/>
        <stp>BDP|11358076534844707434</stp>
        <tr r="C1342" s="2"/>
      </tp>
      <tp t="s">
        <v>#N/A Requesting Data...3277441296</v>
        <stp/>
        <stp>BDP|10589237323371344327</stp>
        <tr r="H755" s="2"/>
      </tp>
      <tp t="s">
        <v>#N/A Requesting Data...4257672196</v>
        <stp/>
        <stp>BDP|10224428910550313771</stp>
        <tr r="F2280" s="2"/>
      </tp>
      <tp t="s">
        <v>#N/A Requesting Data...3716131991</v>
        <stp/>
        <stp>BDP|15808830634768283490</stp>
        <tr r="P1448" s="2"/>
      </tp>
      <tp t="s">
        <v>#N/A Requesting Data...3799042148</v>
        <stp/>
        <stp>BDP|11211433626065655058</stp>
        <tr r="E198" s="2"/>
      </tp>
      <tp t="s">
        <v>#N/A Requesting Data...2821703966</v>
        <stp/>
        <stp>BDP|14481404286178143276</stp>
        <tr r="G898" s="2"/>
      </tp>
      <tp t="s">
        <v>#N/A Requesting Data...3490146488</v>
        <stp/>
        <stp>BDP|18102004525909541156</stp>
        <tr r="E1009" s="2"/>
      </tp>
      <tp t="s">
        <v>#N/A Requesting Data...3406491676</v>
        <stp/>
        <stp>BDP|17330599753034575182</stp>
        <tr r="P253" s="2"/>
      </tp>
      <tp t="b">
        <v>0</v>
        <stp/>
        <stp>BDS|15496646911491027166</stp>
        <tr r="I976" s="2"/>
      </tp>
      <tp t="s">
        <v>#N/A Requesting Data...4017494133</v>
        <stp/>
        <stp>BDP|10071179173247974394</stp>
        <tr r="M1877" s="2"/>
      </tp>
      <tp t="s">
        <v>#N/A Requesting Data...3901798642</v>
        <stp/>
        <stp>BDP|15998346071890902318</stp>
        <tr r="J219" s="2"/>
      </tp>
      <tp t="s">
        <v>#N/A Requesting Data...3042693222</v>
        <stp/>
        <stp>BDP|17048725675807508267</stp>
        <tr r="T765" s="2"/>
      </tp>
      <tp t="s">
        <v>#N/A Requesting Data...3388918414</v>
        <stp/>
        <stp>BDP|12627538395144123857</stp>
        <tr r="A831" s="2"/>
      </tp>
      <tp t="s">
        <v>#N/A Requesting Data...3467504231</v>
        <stp/>
        <stp>BDP|17420581339977439454</stp>
        <tr r="J1473" s="2"/>
      </tp>
      <tp t="s">
        <v>#N/A Requesting Data...3968480179</v>
        <stp/>
        <stp>BDP|15327429940745663237</stp>
        <tr r="S2146" s="2"/>
      </tp>
      <tp t="s">
        <v>#N/A Requesting Data...3228873085</v>
        <stp/>
        <stp>BDP|10426217646620762408</stp>
        <tr r="D1034" s="2"/>
      </tp>
      <tp t="s">
        <v>#N/A Requesting Data...3525972047</v>
        <stp/>
        <stp>BDP|10883381680289660021</stp>
        <tr r="J1706" s="2"/>
      </tp>
      <tp t="s">
        <v>#N/A Requesting Data...3762978828</v>
        <stp/>
        <stp>BDP|14379768001185649466</stp>
        <tr r="M725" s="2"/>
      </tp>
      <tp t="s">
        <v>#N/A Requesting Data...3606138066</v>
        <stp/>
        <stp>BDP|15993401217254333695</stp>
        <tr r="S775" s="2"/>
      </tp>
      <tp t="s">
        <v>#N/A Requesting Data...3032001778</v>
        <stp/>
        <stp>BDP|12093077009326237682</stp>
        <tr r="O2470" s="2"/>
      </tp>
      <tp t="s">
        <v>#N/A Requesting Data...3742068392</v>
        <stp/>
        <stp>BDP|17106569194549352045</stp>
        <tr r="R879" s="2"/>
      </tp>
      <tp t="s">
        <v>#N/A Requesting Data...3278159325</v>
        <stp/>
        <stp>BDP|12357074254131318472</stp>
        <tr r="O660" s="2"/>
      </tp>
      <tp t="s">
        <v>#N/A Requesting Data...3745791463</v>
        <stp/>
        <stp>BDP|16835621201087894578</stp>
        <tr r="K1940" s="2"/>
      </tp>
      <tp t="s">
        <v>#N/A Requesting Data...3217391262</v>
        <stp/>
        <stp>BDP|17785742138855904461</stp>
        <tr r="Q2256" s="2"/>
      </tp>
      <tp t="s">
        <v>#N/A Requesting Data...4117860378</v>
        <stp/>
        <stp>BDP|10892151229782049308</stp>
        <tr r="K685" s="2"/>
      </tp>
      <tp t="s">
        <v>#N/A Requesting Data...3419013587</v>
        <stp/>
        <stp>BDP|12372470347116451630</stp>
        <tr r="R1373" s="2"/>
      </tp>
      <tp t="s">
        <v>#N/A Requesting Data...3563054676</v>
        <stp/>
        <stp>BDP|11910541538265240035</stp>
        <tr r="K677" s="2"/>
      </tp>
      <tp t="s">
        <v>#N/A Requesting Data...4010043882</v>
        <stp/>
        <stp>BDP|17922201128253355667</stp>
        <tr r="F1757" s="2"/>
      </tp>
      <tp t="b">
        <v>0</v>
        <stp/>
        <stp>BDS|10198837115883232826</stp>
        <tr r="I1088" s="2"/>
      </tp>
      <tp t="s">
        <v>#N/A Requesting Data...3097225029</v>
        <stp/>
        <stp>BDP|12910492234724662361</stp>
        <tr r="A1437" s="2"/>
      </tp>
      <tp t="s">
        <v>#N/A Requesting Data...4240631015</v>
        <stp/>
        <stp>BDP|17599436502004885585</stp>
        <tr r="F2376" s="2"/>
      </tp>
      <tp t="s">
        <v>#N/A Requesting Data...2881067448</v>
        <stp/>
        <stp>BDP|16961387479044529491</stp>
        <tr r="D1028" s="2"/>
      </tp>
      <tp t="s">
        <v>#N/A Requesting Data...2898578633</v>
        <stp/>
        <stp>BDP|14317182133491808545</stp>
        <tr r="T1793" s="2"/>
      </tp>
      <tp t="s">
        <v>#N/A Requesting Data...4031027692</v>
        <stp/>
        <stp>BDP|16206521801917588602</stp>
        <tr r="D1308" s="2"/>
      </tp>
      <tp t="s">
        <v>#N/A Requesting Data...3435260581</v>
        <stp/>
        <stp>BDP|17494666051477685111</stp>
        <tr r="D1989" s="2"/>
      </tp>
      <tp t="s">
        <v>#N/A Requesting Data...3176217562</v>
        <stp/>
        <stp>BDP|10307906656548766667</stp>
        <tr r="S1459" s="2"/>
      </tp>
      <tp t="s">
        <v>#N/A Requesting Data...2868443831</v>
        <stp/>
        <stp>BDP|11374087979452435626</stp>
        <tr r="P1780" s="2"/>
      </tp>
      <tp t="s">
        <v>#N/A Requesting Data...4001629029</v>
        <stp/>
        <stp>BDP|10907683290708529507</stp>
        <tr r="A890" s="2"/>
      </tp>
      <tp t="s">
        <v>#N/A Requesting Data...3361614200</v>
        <stp/>
        <stp>BDP|12410758777132588271</stp>
        <tr r="C857" s="2"/>
      </tp>
      <tp t="s">
        <v>#N/A Requesting Data...4106794432</v>
        <stp/>
        <stp>BDP|11371915424889283103</stp>
        <tr r="G1400" s="2"/>
      </tp>
      <tp t="s">
        <v>#N/A Requesting Data...2848280502</v>
        <stp/>
        <stp>BDP|11943620045480260187</stp>
        <tr r="M1267" s="2"/>
      </tp>
      <tp t="s">
        <v>#N/A Requesting Data...4009980948</v>
        <stp/>
        <stp>BDP|12105177777300257670</stp>
        <tr r="P360" s="2"/>
      </tp>
      <tp t="b">
        <v>0</v>
        <stp/>
        <stp>BDS|14573343071516496439</stp>
        <tr r="I662" s="2"/>
      </tp>
      <tp t="s">
        <v>#N/A Requesting Data...4280585917</v>
        <stp/>
        <stp>BDP|10895478460857207798</stp>
        <tr r="G419" s="2"/>
      </tp>
      <tp t="s">
        <v>#N/A Requesting Data...3168992610</v>
        <stp/>
        <stp>BDP|12876387335707048713</stp>
        <tr r="R2197" s="2"/>
      </tp>
      <tp t="s">
        <v>#N/A Requesting Data...3291005469</v>
        <stp/>
        <stp>BDP|12386078909523062393</stp>
        <tr r="J1237" s="2"/>
      </tp>
      <tp t="s">
        <v>#N/A Requesting Data...3238596255</v>
        <stp/>
        <stp>BDP|15411301552536549771</stp>
        <tr r="E532" s="2"/>
      </tp>
      <tp t="s">
        <v>#N/A Requesting Data...3435589090</v>
        <stp/>
        <stp>BDP|18245640529798858636</stp>
        <tr r="J1754" s="2"/>
      </tp>
      <tp t="b">
        <v>0</v>
        <stp/>
        <stp>BDS|10933184206802373138</stp>
        <tr r="I2344" s="2"/>
      </tp>
      <tp t="s">
        <v>#N/A Requesting Data...3195597654</v>
        <stp/>
        <stp>BDP|15950345846425927561</stp>
        <tr r="K1507" s="2"/>
      </tp>
      <tp t="s">
        <v>#N/A Requesting Data...3389428260</v>
        <stp/>
        <stp>BDP|15746572039696557782</stp>
        <tr r="J368" s="2"/>
      </tp>
      <tp t="s">
        <v>#N/A Requesting Data...3761430657</v>
        <stp/>
        <stp>BDP|10198806142319583723</stp>
        <tr r="P1153" s="2"/>
      </tp>
      <tp t="s">
        <v>#N/A Requesting Data...3277508593</v>
        <stp/>
        <stp>BDP|13165523223752329477</stp>
        <tr r="F347" s="2"/>
      </tp>
      <tp t="s">
        <v>#N/A Requesting Data...2971713078</v>
        <stp/>
        <stp>BDP|13248632315670037604</stp>
        <tr r="G256" s="2"/>
      </tp>
      <tp t="s">
        <v>#N/A Requesting Data...3101548567</v>
        <stp/>
        <stp>BDP|13514003744846256378</stp>
        <tr r="E300" s="2"/>
      </tp>
      <tp t="s">
        <v>#N/A Requesting Data...4206328794</v>
        <stp/>
        <stp>BDP|16385196972880506291</stp>
        <tr r="C301" s="2"/>
      </tp>
      <tp t="s">
        <v>#N/A Requesting Data...4213654457</v>
        <stp/>
        <stp>BDP|11800056934866812659</stp>
        <tr r="G477" s="2"/>
      </tp>
      <tp t="s">
        <v>#N/A Requesting Data...3395546089</v>
        <stp/>
        <stp>BDP|13661810999123967337</stp>
        <tr r="K947" s="2"/>
      </tp>
      <tp t="b">
        <v>0</v>
        <stp/>
        <stp>BDS|16453554109198816977</stp>
        <tr r="I2051" s="2"/>
      </tp>
      <tp t="s">
        <v>#N/A Requesting Data...3191417402</v>
        <stp/>
        <stp>BDP|14364069945910702230</stp>
        <tr r="D816" s="2"/>
      </tp>
      <tp t="s">
        <v>#N/A Requesting Data...2983254331</v>
        <stp/>
        <stp>BDP|18168000369059577597</stp>
        <tr r="N1353" s="2"/>
      </tp>
      <tp t="s">
        <v>#N/A Requesting Data...3054662409</v>
        <stp/>
        <stp>BDP|18390609730168218756</stp>
        <tr r="S644" s="2"/>
      </tp>
      <tp t="s">
        <v>#N/A Requesting Data...3237249336</v>
        <stp/>
        <stp>BDP|15162622257523639764</stp>
        <tr r="J1379" s="2"/>
      </tp>
      <tp t="s">
        <v>#N/A Requesting Data...4106890948</v>
        <stp/>
        <stp>BDP|17628282033640166486</stp>
        <tr r="E1764" s="2"/>
      </tp>
      <tp t="s">
        <v>#N/A Requesting Data...4278254153</v>
        <stp/>
        <stp>BDP|11996599562327204745</stp>
        <tr r="T1734" s="2"/>
      </tp>
      <tp t="s">
        <v>#N/A Requesting Data...3764769483</v>
        <stp/>
        <stp>BDP|13870885353678117463</stp>
        <tr r="Q1437" s="2"/>
      </tp>
      <tp t="s">
        <v>#N/A Requesting Data...3245057140</v>
        <stp/>
        <stp>BDP|14004718401908603927</stp>
        <tr r="D799" s="2"/>
      </tp>
      <tp t="s">
        <v>#N/A Requesting Data...3033082031</v>
        <stp/>
        <stp>BDP|15968026878931561129</stp>
        <tr r="M460" s="2"/>
      </tp>
      <tp t="s">
        <v>#N/A Requesting Data...3626910914</v>
        <stp/>
        <stp>BDP|10128636752172104350</stp>
        <tr r="R289" s="2"/>
      </tp>
      <tp t="s">
        <v>#N/A Requesting Data...3646624627</v>
        <stp/>
        <stp>BDP|17448869595944345004</stp>
        <tr r="K1297" s="2"/>
      </tp>
      <tp t="s">
        <v>#N/A Requesting Data...3462182761</v>
        <stp/>
        <stp>BDP|11209051722385249432</stp>
        <tr r="Q1998" s="2"/>
      </tp>
      <tp t="s">
        <v>#N/A Requesting Data...3193856683</v>
        <stp/>
        <stp>BDP|16429331162610751164</stp>
        <tr r="E1669" s="2"/>
      </tp>
      <tp t="s">
        <v>#N/A Requesting Data...4165246104</v>
        <stp/>
        <stp>BDP|14100873974019518036</stp>
        <tr r="O1349" s="2"/>
      </tp>
      <tp t="s">
        <v>#N/A Requesting Data...3333067838</v>
        <stp/>
        <stp>BDP|18345552873749780152</stp>
        <tr r="E1663" s="2"/>
      </tp>
      <tp t="s">
        <v>#N/A Requesting Data...3329728231</v>
        <stp/>
        <stp>BDP|15493609354827419332</stp>
        <tr r="C570" s="2"/>
      </tp>
      <tp t="s">
        <v>#N/A Requesting Data...3867918935</v>
        <stp/>
        <stp>BDP|14228197635363041798</stp>
        <tr r="D1958" s="2"/>
      </tp>
      <tp t="s">
        <v>#N/A Requesting Data...3052697732</v>
        <stp/>
        <stp>BDP|15238196178005583417</stp>
        <tr r="Q1025" s="2"/>
      </tp>
      <tp t="s">
        <v>#N/A Requesting Data...3815107367</v>
        <stp/>
        <stp>BDP|12765460867320088217</stp>
        <tr r="S733" s="2"/>
      </tp>
      <tp t="s">
        <v>#N/A Requesting Data...3396796288</v>
        <stp/>
        <stp>BDP|11635949437030773957</stp>
        <tr r="O1924" s="2"/>
      </tp>
      <tp t="s">
        <v>#N/A Requesting Data...3744703612</v>
        <stp/>
        <stp>BDP|11174123921825643531</stp>
        <tr r="D768" s="2"/>
      </tp>
      <tp t="s">
        <v>#N/A Requesting Data...4149724220</v>
        <stp/>
        <stp>BDP|11903595940646531429</stp>
        <tr r="P1440" s="2"/>
      </tp>
      <tp t="s">
        <v>#N/A Requesting Data...3788625910</v>
        <stp/>
        <stp>BDP|12779736502900792768</stp>
        <tr r="J1002" s="2"/>
      </tp>
      <tp t="s">
        <v>#N/A Requesting Data...3618703909</v>
        <stp/>
        <stp>BDP|15409402603672396134</stp>
        <tr r="H1429" s="2"/>
      </tp>
      <tp t="s">
        <v>#N/A Requesting Data...3006158689</v>
        <stp/>
        <stp>BDP|11327213311184205469</stp>
        <tr r="P2222" s="2"/>
      </tp>
      <tp t="s">
        <v>#N/A Requesting Data...3903289889</v>
        <stp/>
        <stp>BDP|10065026886659092336</stp>
        <tr r="O1178" s="2"/>
      </tp>
      <tp t="s">
        <v>#N/A Requesting Data...3560654630</v>
        <stp/>
        <stp>BDP|15689573817413877091</stp>
        <tr r="N379" s="2"/>
      </tp>
      <tp t="s">
        <v>#N/A Requesting Data...3270420309</v>
        <stp/>
        <stp>BDP|13031594786779001589</stp>
        <tr r="M563" s="2"/>
      </tp>
      <tp t="s">
        <v>#N/A Requesting Data...3192876886</v>
        <stp/>
        <stp>BDP|16343754870056903288</stp>
        <tr r="A2354" s="2"/>
      </tp>
      <tp t="s">
        <v>#N/A Requesting Data...3035122222</v>
        <stp/>
        <stp>BDP|17611235966899606824</stp>
        <tr r="O2442" s="2"/>
      </tp>
      <tp t="s">
        <v>#N/A Requesting Data...4082999464</v>
        <stp/>
        <stp>BDP|18263312241255273879</stp>
        <tr r="E2220" s="2"/>
      </tp>
      <tp t="s">
        <v>#N/A Requesting Data...3449203946</v>
        <stp/>
        <stp>BDP|12575184121181385285</stp>
        <tr r="D1058" s="2"/>
      </tp>
      <tp t="s">
        <v>#N/A Requesting Data...4065844859</v>
        <stp/>
        <stp>BDP|17027355160906143635</stp>
        <tr r="E1551" s="2"/>
      </tp>
      <tp t="s">
        <v>#N/A Requesting Data...3604514048</v>
        <stp/>
        <stp>BDP|14126018174126264712</stp>
        <tr r="Q468" s="2"/>
      </tp>
      <tp t="s">
        <v>#N/A Requesting Data...3815384467</v>
        <stp/>
        <stp>BDP|10764748806562168732</stp>
        <tr r="H1927" s="2"/>
      </tp>
      <tp t="s">
        <v>#N/A Requesting Data...3331950028</v>
        <stp/>
        <stp>BDP|13763901911610693976</stp>
        <tr r="O375" s="2"/>
      </tp>
      <tp t="s">
        <v>#N/A Requesting Data...3595269858</v>
        <stp/>
        <stp>BDP|16281491745713191789</stp>
        <tr r="T141" s="2"/>
      </tp>
      <tp t="s">
        <v>#N/A Requesting Data...3830934229</v>
        <stp/>
        <stp>BDP|11167528262771432124</stp>
        <tr r="H150" s="2"/>
      </tp>
      <tp t="s">
        <v>#N/A Requesting Data...3890137673</v>
        <stp/>
        <stp>BDP|10770476876910762163</stp>
        <tr r="N1646" s="2"/>
      </tp>
      <tp t="s">
        <v>#N/A Requesting Data...3352961104</v>
        <stp/>
        <stp>BDP|18297710884626776375</stp>
        <tr r="E1164" s="2"/>
      </tp>
      <tp t="s">
        <v>#N/A Requesting Data...3000009351</v>
        <stp/>
        <stp>BDP|14833179098468525651</stp>
        <tr r="E246" s="2"/>
      </tp>
      <tp t="s">
        <v>#N/A Requesting Data...4153059317</v>
        <stp/>
        <stp>BDP|14282664469885287380</stp>
        <tr r="R950" s="2"/>
      </tp>
      <tp t="s">
        <v>#N/A Requesting Data...3116879386</v>
        <stp/>
        <stp>BDP|10186344433087220532</stp>
        <tr r="S921" s="2"/>
      </tp>
      <tp t="s">
        <v>#N/A Requesting Data...3268318642</v>
        <stp/>
        <stp>BDP|16584392619772780459</stp>
        <tr r="N868" s="2"/>
      </tp>
      <tp t="s">
        <v>#N/A Requesting Data...3483155191</v>
        <stp/>
        <stp>BDP|16673507357426686200</stp>
        <tr r="Q985" s="2"/>
      </tp>
      <tp t="s">
        <v>#N/A Requesting Data...3880360914</v>
        <stp/>
        <stp>BDP|14170427898868849340</stp>
        <tr r="H244" s="2"/>
      </tp>
      <tp t="s">
        <v>#N/A Requesting Data...3062694577</v>
        <stp/>
        <stp>BDP|17157523574296288120</stp>
        <tr r="S2226" s="2"/>
      </tp>
      <tp t="s">
        <v>#N/A Requesting Data...4292977203</v>
        <stp/>
        <stp>BDP|15974761708319945992</stp>
        <tr r="E2337" s="2"/>
      </tp>
      <tp t="s">
        <v>#N/A Requesting Data...3628329495</v>
        <stp/>
        <stp>BDP|12940177303105821423</stp>
        <tr r="J2076" s="2"/>
      </tp>
      <tp t="s">
        <v>#N/A Requesting Data...3503625583</v>
        <stp/>
        <stp>BDP|13663299702895212684</stp>
        <tr r="O2398" s="2"/>
      </tp>
      <tp t="s">
        <v>#N/A Requesting Data...3956220130</v>
        <stp/>
        <stp>BDP|13365640043456499579</stp>
        <tr r="J715" s="2"/>
      </tp>
      <tp t="s">
        <v>#N/A Requesting Data...3224285237</v>
        <stp/>
        <stp>BDP|17224505921500754235</stp>
        <tr r="H327" s="2"/>
      </tp>
      <tp t="s">
        <v>#N/A Requesting Data...3528718174</v>
        <stp/>
        <stp>BDP|13791889758115303933</stp>
        <tr r="R2481" s="2"/>
      </tp>
      <tp t="s">
        <v>#N/A Requesting Data...3880428013</v>
        <stp/>
        <stp>BDP|14587767178502502498</stp>
        <tr r="T486" s="2"/>
      </tp>
      <tp t="s">
        <v>#N/A Requesting Data...3285266980</v>
        <stp/>
        <stp>BDP|17445561475372641560</stp>
        <tr r="F927" s="2"/>
      </tp>
      <tp t="s">
        <v>#N/A Requesting Data...3407041910</v>
        <stp/>
        <stp>BDP|11881166740942044491</stp>
        <tr r="Q2520" s="2"/>
      </tp>
      <tp t="s">
        <v>#N/A Requesting Data...4144527740</v>
        <stp/>
        <stp>BDP|17009035395089862591</stp>
        <tr r="O1716" s="2"/>
      </tp>
      <tp t="s">
        <v>#N/A Requesting Data...3229868120</v>
        <stp/>
        <stp>BDP|11602126168147375382</stp>
        <tr r="G1317" s="2"/>
      </tp>
      <tp t="s">
        <v>#N/A Requesting Data...3261104793</v>
        <stp/>
        <stp>BDP|18333593200069915643</stp>
        <tr r="O474" s="2"/>
      </tp>
      <tp t="s">
        <v>#N/A Requesting Data...4288848866</v>
        <stp/>
        <stp>BDP|13938769217811716682</stp>
        <tr r="O2483" s="2"/>
      </tp>
      <tp t="s">
        <v>#N/A Requesting Data...3640349270</v>
        <stp/>
        <stp>BDP|11847295299788722085</stp>
        <tr r="G568" s="2"/>
      </tp>
      <tp t="s">
        <v>#N/A Requesting Data...3721787651</v>
        <stp/>
        <stp>BDP|17568584507601873152</stp>
        <tr r="C462" s="2"/>
      </tp>
      <tp t="s">
        <v>#N/A Requesting Data...3234205513</v>
        <stp/>
        <stp>BDP|14297702011895777535</stp>
        <tr r="G2402" s="2"/>
      </tp>
      <tp t="s">
        <v>#N/A Requesting Data...3843841761</v>
        <stp/>
        <stp>BDP|10122027746157464163</stp>
        <tr r="H444" s="2"/>
      </tp>
      <tp t="s">
        <v>#N/A Requesting Data...3512599213</v>
        <stp/>
        <stp>BDP|14562664895390964986</stp>
        <tr r="A134" s="2"/>
      </tp>
      <tp t="s">
        <v>#N/A Requesting Data...3702103113</v>
        <stp/>
        <stp>BDP|15275592049576115040</stp>
        <tr r="K1394" s="2"/>
      </tp>
      <tp t="s">
        <v>#N/A Requesting Data...3103751009</v>
        <stp/>
        <stp>BDP|16011932527029050637</stp>
        <tr r="M272" s="2"/>
      </tp>
      <tp t="s">
        <v>#N/A Requesting Data...4039279942</v>
        <stp/>
        <stp>BDP|14113765565423729422</stp>
        <tr r="C1183" s="2"/>
      </tp>
      <tp t="s">
        <v>#N/A Requesting Data...3583660784</v>
        <stp/>
        <stp>BDP|13078435857887736749</stp>
        <tr r="T119" s="2"/>
      </tp>
      <tp t="b">
        <v>0</v>
        <stp/>
        <stp>BDS|17496437542595023019</stp>
        <tr r="I1843" s="2"/>
      </tp>
      <tp t="s">
        <v>#N/A Requesting Data...3169493079</v>
        <stp/>
        <stp>BDP|12563065137125008632</stp>
        <tr r="T1996" s="2"/>
      </tp>
      <tp t="s">
        <v>#N/A Requesting Data...3723178899</v>
        <stp/>
        <stp>BDP|13451235165926308369</stp>
        <tr r="C1905" s="2"/>
      </tp>
      <tp t="s">
        <v>#N/A Requesting Data...3609610581</v>
        <stp/>
        <stp>BDP|10371051540421062714</stp>
        <tr r="G2073" s="2"/>
      </tp>
      <tp t="s">
        <v>#N/A Requesting Data...4259461112</v>
        <stp/>
        <stp>BDP|13313840392124046424</stp>
        <tr r="E2466" s="2"/>
      </tp>
      <tp t="s">
        <v>#N/A Requesting Data...4270031186</v>
        <stp/>
        <stp>BDP|17557146246375881588</stp>
        <tr r="G410" s="2"/>
      </tp>
      <tp t="s">
        <v>#N/A Requesting Data...3752353103</v>
        <stp/>
        <stp>BDP|12002158228887857422</stp>
        <tr r="F2221" s="2"/>
      </tp>
      <tp t="s">
        <v>#N/A Requesting Data...3338164410</v>
        <stp/>
        <stp>BDP|12438161549730500592</stp>
        <tr r="Q2320" s="2"/>
      </tp>
      <tp t="s">
        <v>#N/A Requesting Data...3218692847</v>
        <stp/>
        <stp>BDP|12384271344870475631</stp>
        <tr r="T1485" s="2"/>
      </tp>
      <tp t="s">
        <v>#N/A Requesting Data...3892052800</v>
        <stp/>
        <stp>BDP|12868767448484941786</stp>
        <tr r="A682" s="2"/>
      </tp>
      <tp t="s">
        <v>#N/A Requesting Data...3395571317</v>
        <stp/>
        <stp>BDP|14660311583439461472</stp>
        <tr r="H1064" s="2"/>
      </tp>
      <tp t="s">
        <v>#N/A Requesting Data...3444531216</v>
        <stp/>
        <stp>BDP|17657602262922690750</stp>
        <tr r="Q1570" s="2"/>
      </tp>
      <tp t="s">
        <v>#N/A Requesting Data...3548494627</v>
        <stp/>
        <stp>BDP|12059378752790557678</stp>
        <tr r="F1365" s="2"/>
      </tp>
      <tp t="b">
        <v>0</v>
        <stp/>
        <stp>BDS|12546651477455427474</stp>
        <tr r="I1279" s="2"/>
      </tp>
      <tp t="s">
        <v>#N/A Requesting Data...3466562282</v>
        <stp/>
        <stp>BDP|11712223616622704233</stp>
        <tr r="M2165" s="2"/>
      </tp>
      <tp t="s">
        <v>#N/A Requesting Data...3538740225</v>
        <stp/>
        <stp>BDP|13140424119072844653</stp>
        <tr r="O221" s="2"/>
      </tp>
      <tp t="s">
        <v>#N/A Requesting Data...3528508520</v>
        <stp/>
        <stp>BDP|16462515863474810390</stp>
        <tr r="S487" s="2"/>
      </tp>
      <tp t="s">
        <v>#N/A Requesting Data...3394756577</v>
        <stp/>
        <stp>BDP|13288506661832161056</stp>
        <tr r="H2076" s="2"/>
      </tp>
      <tp t="s">
        <v>#N/A Requesting Data...3860024495</v>
        <stp/>
        <stp>BDP|11112810851218215644</stp>
        <tr r="J841" s="2"/>
      </tp>
      <tp t="s">
        <v>#N/A Requesting Data...3639881291</v>
        <stp/>
        <stp>BDP|16937957588465331005</stp>
        <tr r="S1367" s="2"/>
      </tp>
      <tp t="s">
        <v>#N/A Requesting Data...3218285351</v>
        <stp/>
        <stp>BDP|11153943523021293939</stp>
        <tr r="F31" s="2"/>
      </tp>
      <tp t="s">
        <v>#N/A Requesting Data...3956276047</v>
        <stp/>
        <stp>BDP|12527002058607950235</stp>
        <tr r="R11" s="2"/>
      </tp>
      <tp t="s">
        <v>#N/A Requesting Data...4151041371</v>
        <stp/>
        <stp>BDP|15731636366177653037</stp>
        <tr r="M45" s="2"/>
      </tp>
      <tp t="s">
        <v>#N/A Requesting Data...3555087169</v>
        <stp/>
        <stp>BDP|10324945740069654664</stp>
        <tr r="G37" s="2"/>
      </tp>
      <tp t="s">
        <v>#N/A Requesting Data...3176042540</v>
        <stp/>
        <stp>BDP|14237097958442676122</stp>
        <tr r="C2214" s="2"/>
      </tp>
      <tp t="s">
        <v>#N/A Requesting Data...3695425430</v>
        <stp/>
        <stp>BDP|11675347974477782069</stp>
        <tr r="J1293" s="2"/>
      </tp>
      <tp t="s">
        <v>#N/A Requesting Data...3913282073</v>
        <stp/>
        <stp>BDP|14627711051074678071</stp>
        <tr r="G1394" s="2"/>
      </tp>
      <tp t="s">
        <v>#N/A Requesting Data...4110897961</v>
        <stp/>
        <stp>BDP|12250835191111505024</stp>
        <tr r="O1064" s="2"/>
      </tp>
      <tp t="s">
        <v>#N/A Requesting Data...4196855875</v>
        <stp/>
        <stp>BDP|14582839636354636914</stp>
        <tr r="H1453" s="2"/>
      </tp>
      <tp t="s">
        <v>#N/A Requesting Data...3147256903</v>
        <stp/>
        <stp>BDP|14236403394779664274</stp>
        <tr r="M338" s="2"/>
      </tp>
      <tp t="s">
        <v>#N/A Requesting Data...3610261683</v>
        <stp/>
        <stp>BDP|13487307556926543107</stp>
        <tr r="P1975" s="2"/>
      </tp>
      <tp t="s">
        <v>#N/A Requesting Data...4169210080</v>
        <stp/>
        <stp>BDP|17036079765611109248</stp>
        <tr r="N2123" s="2"/>
      </tp>
      <tp t="s">
        <v>#N/A Requesting Data...4176844374</v>
        <stp/>
        <stp>BDP|15831781834675796649</stp>
        <tr r="Q2294" s="2"/>
      </tp>
      <tp t="s">
        <v>#N/A Requesting Data...3258717621</v>
        <stp/>
        <stp>BDP|11684008012282427074</stp>
        <tr r="P1042" s="2"/>
      </tp>
      <tp t="s">
        <v>#N/A Requesting Data...3259925129</v>
        <stp/>
        <stp>BDP|13185937496442180327</stp>
        <tr r="R785" s="2"/>
      </tp>
      <tp t="s">
        <v>#N/A Requesting Data...3801098130</v>
        <stp/>
        <stp>BDP|11895252249902533765</stp>
        <tr r="G604" s="2"/>
      </tp>
      <tp t="s">
        <v>#N/A Requesting Data...3655706430</v>
        <stp/>
        <stp>BDP|10164818748598832663</stp>
        <tr r="S2244" s="2"/>
      </tp>
      <tp t="s">
        <v>#N/A Requesting Data...3450822965</v>
        <stp/>
        <stp>BDP|13507854915911444972</stp>
        <tr r="Q1677" s="2"/>
      </tp>
      <tp t="s">
        <v>#N/A Requesting Data...3462052127</v>
        <stp/>
        <stp>BDP|15255773947062650628</stp>
        <tr r="H390" s="2"/>
      </tp>
      <tp t="s">
        <v>#N/A Requesting Data...3185764876</v>
        <stp/>
        <stp>BDP|13223441441510697174</stp>
        <tr r="C178" s="2"/>
      </tp>
      <tp t="s">
        <v>#N/A Requesting Data...3249892001</v>
        <stp/>
        <stp>BDP|16342478894719038063</stp>
        <tr r="M1426" s="2"/>
      </tp>
      <tp t="b">
        <v>0</v>
        <stp/>
        <stp>BDS|14670908088903352488</stp>
        <tr r="I661" s="2"/>
      </tp>
      <tp t="s">
        <v>#N/A Requesting Data...3967062504</v>
        <stp/>
        <stp>BDP|12986492359303651296</stp>
        <tr r="D691" s="2"/>
      </tp>
      <tp t="s">
        <v>#N/A Requesting Data...3311404648</v>
        <stp/>
        <stp>BDP|12822778439114141015</stp>
        <tr r="P1353" s="2"/>
      </tp>
      <tp t="s">
        <v>#N/A Requesting Data...3579091153</v>
        <stp/>
        <stp>BDP|10139609241090092069</stp>
        <tr r="F352" s="2"/>
      </tp>
      <tp t="s">
        <v>#N/A Requesting Data...3476730295</v>
        <stp/>
        <stp>BDP|11284717106354520064</stp>
        <tr r="G1895" s="2"/>
      </tp>
      <tp t="b">
        <v>0</v>
        <stp/>
        <stp>BDS|17627129691115250825</stp>
        <tr r="I2502" s="2"/>
      </tp>
      <tp t="s">
        <v>#N/A Requesting Data...3789405277</v>
        <stp/>
        <stp>BDP|17222637535563233309</stp>
        <tr r="H1514" s="2"/>
      </tp>
      <tp t="s">
        <v>#N/A Requesting Data...3530172729</v>
        <stp/>
        <stp>BDP|16732338855332434032</stp>
        <tr r="R1354" s="2"/>
      </tp>
      <tp t="s">
        <v>#N/A Requesting Data...3364201028</v>
        <stp/>
        <stp>BDP|16851454904975750584</stp>
        <tr r="S1189" s="2"/>
      </tp>
      <tp t="s">
        <v>#N/A Requesting Data...4083637781</v>
        <stp/>
        <stp>BDP|17013784124307368799</stp>
        <tr r="M2362" s="2"/>
      </tp>
      <tp t="s">
        <v>#N/A Requesting Data...4155873800</v>
        <stp/>
        <stp>BDP|13477015148471885437</stp>
        <tr r="A1010" s="2"/>
      </tp>
      <tp t="s">
        <v>#N/A Requesting Data...3763998627</v>
        <stp/>
        <stp>BDP|16446363049987968441</stp>
        <tr r="Q1575" s="2"/>
      </tp>
      <tp t="s">
        <v>#N/A Requesting Data...3338227693</v>
        <stp/>
        <stp>BDP|15293161168196289688</stp>
        <tr r="F2374" s="2"/>
      </tp>
      <tp t="s">
        <v>#N/A Requesting Data...3722965519</v>
        <stp/>
        <stp>BDP|13371881384481182082</stp>
        <tr r="C69" s="2"/>
      </tp>
      <tp t="s">
        <v>#N/A Requesting Data...3544961942</v>
        <stp/>
        <stp>BDP|11841548629243349702</stp>
        <tr r="D2324" s="2"/>
      </tp>
      <tp t="s">
        <v>#N/A Requesting Data...3361208573</v>
        <stp/>
        <stp>BDP|10372684757649984835</stp>
        <tr r="R1883" s="2"/>
      </tp>
      <tp t="s">
        <v>#N/A Requesting Data...3515638477</v>
        <stp/>
        <stp>BDP|17157730370597508218</stp>
        <tr r="R1612" s="2"/>
      </tp>
      <tp t="s">
        <v>#N/A Requesting Data...3590509085</v>
        <stp/>
        <stp>BDP|16559481669517719158</stp>
        <tr r="P2342" s="2"/>
      </tp>
      <tp t="s">
        <v>#N/A Requesting Data...3693721148</v>
        <stp/>
        <stp>BDP|10845542252384149699</stp>
        <tr r="O1784" s="2"/>
      </tp>
      <tp t="s">
        <v>#N/A Requesting Data...3814792910</v>
        <stp/>
        <stp>BDP|13655405113074190021</stp>
        <tr r="F840" s="2"/>
      </tp>
      <tp t="s">
        <v>#N/A Requesting Data...3867868789</v>
        <stp/>
        <stp>BDP|14993396167246924587</stp>
        <tr r="E1804" s="2"/>
      </tp>
      <tp t="s">
        <v>#N/A Requesting Data...3341840573</v>
        <stp/>
        <stp>BDP|12906461988255697975</stp>
        <tr r="F668" s="2"/>
      </tp>
      <tp t="b">
        <v>0</v>
        <stp/>
        <stp>BDS|13596264105430758343</stp>
        <tr r="I1140" s="2"/>
      </tp>
      <tp t="s">
        <v>#N/A Requesting Data...3904372398</v>
        <stp/>
        <stp>BDP|10132337735365207738</stp>
        <tr r="J1340" s="2"/>
      </tp>
      <tp t="s">
        <v>#N/A Requesting Data...3572008601</v>
        <stp/>
        <stp>BDP|18317934536200986090</stp>
        <tr r="J1911" s="2"/>
      </tp>
      <tp t="s">
        <v>#N/A Requesting Data...3285308165</v>
        <stp/>
        <stp>BDP|17204418541522432701</stp>
        <tr r="J1945" s="2"/>
      </tp>
      <tp t="s">
        <v>#N/A Requesting Data...3678316489</v>
        <stp/>
        <stp>BDP|10159243377946372176</stp>
        <tr r="R2117" s="2"/>
      </tp>
      <tp t="s">
        <v>#N/A Requesting Data...3457236450</v>
        <stp/>
        <stp>BDP|13684317350677275030</stp>
        <tr r="E1595" s="2"/>
      </tp>
      <tp t="s">
        <v>#N/A Requesting Data...3897389247</v>
        <stp/>
        <stp>BDP|18195827224799178900</stp>
        <tr r="C628" s="2"/>
      </tp>
      <tp t="s">
        <v>#N/A Requesting Data...3905352784</v>
        <stp/>
        <stp>BDP|18002134184466495557</stp>
        <tr r="E2058" s="2"/>
      </tp>
      <tp t="b">
        <v>0</v>
        <stp/>
        <stp>BDS|13134002846291589476</stp>
        <tr r="I1942" s="2"/>
      </tp>
      <tp t="b">
        <v>0</v>
        <stp/>
        <stp>BDS|14396491141714859267</stp>
        <tr r="I1048" s="2"/>
      </tp>
      <tp t="s">
        <v>#N/A Requesting Data...3995611064</v>
        <stp/>
        <stp>BDP|18334485726415969929</stp>
        <tr r="K2269" s="2"/>
      </tp>
      <tp t="s">
        <v>#N/A Requesting Data...4189798145</v>
        <stp/>
        <stp>BDP|17743510213372193323</stp>
        <tr r="D873" s="2"/>
      </tp>
      <tp t="s">
        <v>#N/A Requesting Data...4154792859</v>
        <stp/>
        <stp>BDP|16788764531399733911</stp>
        <tr r="Q1663" s="2"/>
      </tp>
      <tp t="s">
        <v>#N/A Requesting Data...3643951012</v>
        <stp/>
        <stp>BDP|12465777312933575522</stp>
        <tr r="G1150" s="2"/>
      </tp>
      <tp t="s">
        <v>#N/A Requesting Data...3409791117</v>
        <stp/>
        <stp>BDP|13565469185068050507</stp>
        <tr r="J127" s="2"/>
      </tp>
      <tp t="b">
        <v>0</v>
        <stp/>
        <stp>BDS|15124363494184394955</stp>
        <tr r="I434" s="2"/>
      </tp>
      <tp t="s">
        <v>#N/A Requesting Data...3321376113</v>
        <stp/>
        <stp>BDP|10958240048940638453</stp>
        <tr r="Q861" s="2"/>
      </tp>
      <tp t="s">
        <v>#N/A Requesting Data...3774065121</v>
        <stp/>
        <stp>BDP|14043610146516097214</stp>
        <tr r="N1157" s="2"/>
      </tp>
      <tp t="s">
        <v>#N/A Requesting Data...3309229783</v>
        <stp/>
        <stp>BDP|10439771027096187136</stp>
        <tr r="Q1549" s="2"/>
      </tp>
      <tp t="s">
        <v>#N/A Requesting Data...4093323634</v>
        <stp/>
        <stp>BDP|16879896291551775410</stp>
        <tr r="E986" s="2"/>
      </tp>
      <tp t="s">
        <v>#N/A Requesting Data...3773124703</v>
        <stp/>
        <stp>BDP|12696288425516844653</stp>
        <tr r="D2475" s="2"/>
      </tp>
      <tp t="s">
        <v>#N/A Requesting Data...3791937081</v>
        <stp/>
        <stp>BDP|12625953186114553566</stp>
        <tr r="C1616" s="2"/>
      </tp>
      <tp t="s">
        <v>#N/A Requesting Data...3887194825</v>
        <stp/>
        <stp>BDP|12167723700040215777</stp>
        <tr r="E1566" s="2"/>
      </tp>
      <tp t="s">
        <v>#N/A Requesting Data...3803965922</v>
        <stp/>
        <stp>BDP|12971218443821977743</stp>
        <tr r="A886" s="2"/>
      </tp>
      <tp t="s">
        <v>#N/A Requesting Data...3775373921</v>
        <stp/>
        <stp>BDP|13572510047479565906</stp>
        <tr r="R1245" s="2"/>
      </tp>
      <tp t="s">
        <v>#N/A Requesting Data...3781314822</v>
        <stp/>
        <stp>BDP|17695141684988037400</stp>
        <tr r="E414" s="2"/>
      </tp>
      <tp t="s">
        <v>#N/A Requesting Data...4174644009</v>
        <stp/>
        <stp>BDP|10161464025681426504</stp>
        <tr r="O350" s="2"/>
      </tp>
      <tp t="s">
        <v>#N/A Requesting Data...3998381589</v>
        <stp/>
        <stp>BDP|10443533341300359333</stp>
        <tr r="K289" s="2"/>
      </tp>
      <tp t="s">
        <v>#N/A Requesting Data...3339907168</v>
        <stp/>
        <stp>BDP|15651736727596457401</stp>
        <tr r="A2403" s="2"/>
      </tp>
      <tp t="s">
        <v>#N/A Requesting Data...3360098050</v>
        <stp/>
        <stp>BDP|12297681763194892472</stp>
        <tr r="R116" s="2"/>
      </tp>
      <tp t="s">
        <v>#N/A Requesting Data...4086828683</v>
        <stp/>
        <stp>BDP|16804525151580456497</stp>
        <tr r="C2308" s="2"/>
      </tp>
      <tp t="s">
        <v>#N/A Requesting Data...3479038697</v>
        <stp/>
        <stp>BDP|17663455600364407512</stp>
        <tr r="J904" s="2"/>
      </tp>
      <tp t="b">
        <v>0</v>
        <stp/>
        <stp>BDS|14106612704068397829</stp>
        <tr r="I998" s="2"/>
      </tp>
      <tp t="s">
        <v>#N/A Requesting Data...3483737856</v>
        <stp/>
        <stp>BDP|14991942009976745954</stp>
        <tr r="J25" s="2"/>
      </tp>
      <tp t="s">
        <v>#N/A Requesting Data...3742441471</v>
        <stp/>
        <stp>BDP|16158035107252071634</stp>
        <tr r="K2470" s="2"/>
      </tp>
      <tp t="s">
        <v>#N/A Requesting Data...3987002775</v>
        <stp/>
        <stp>BDP|12610567769121909266</stp>
        <tr r="Q1362" s="2"/>
      </tp>
      <tp t="s">
        <v>#N/A Requesting Data...3484404963</v>
        <stp/>
        <stp>BDP|15773004133393677746</stp>
        <tr r="O651" s="2"/>
      </tp>
      <tp t="s">
        <v>#N/A Requesting Data...3937470219</v>
        <stp/>
        <stp>BDP|12572451267280516244</stp>
        <tr r="M1903" s="2"/>
      </tp>
      <tp t="s">
        <v>#N/A Requesting Data...3769487318</v>
        <stp/>
        <stp>BDP|14414231516186650315</stp>
        <tr r="N2263" s="2"/>
      </tp>
      <tp t="s">
        <v>#N/A Requesting Data...3978908188</v>
        <stp/>
        <stp>BDP|17944374679503268232</stp>
        <tr r="G1955" s="2"/>
      </tp>
      <tp t="s">
        <v>#N/A Requesting Data...4004839435</v>
        <stp/>
        <stp>BDP|15993599923770159043</stp>
        <tr r="Q1002" s="2"/>
      </tp>
      <tp t="s">
        <v>#N/A Requesting Data...3827535907</v>
        <stp/>
        <stp>BDP|12185154506923553211</stp>
        <tr r="O2090" s="2"/>
      </tp>
      <tp t="s">
        <v>#N/A Requesting Data...3818191402</v>
        <stp/>
        <stp>BDP|15512134081469909781</stp>
        <tr r="K572" s="2"/>
      </tp>
      <tp t="s">
        <v>#N/A Requesting Data...3511620951</v>
        <stp/>
        <stp>BDP|16877404772781475683</stp>
        <tr r="N1850" s="2"/>
      </tp>
      <tp t="s">
        <v>#N/A Requesting Data...4010744407</v>
        <stp/>
        <stp>BDP|13744266647493675461</stp>
        <tr r="T1559" s="2"/>
      </tp>
      <tp t="b">
        <v>0</v>
        <stp/>
        <stp>BDS|10209168034370684033</stp>
        <tr r="I2503" s="2"/>
      </tp>
      <tp t="s">
        <v>#N/A Requesting Data...3837778856</v>
        <stp/>
        <stp>BDP|13136351952492831585</stp>
        <tr r="C562" s="2"/>
      </tp>
      <tp t="s">
        <v>#N/A Requesting Data...4146955455</v>
        <stp/>
        <stp>BDP|14346327656367791769</stp>
        <tr r="D1616" s="2"/>
      </tp>
      <tp t="b">
        <v>0</v>
        <stp/>
        <stp>BDS|17607612117021443316</stp>
        <tr r="I522" s="2"/>
      </tp>
      <tp t="s">
        <v>#N/A Requesting Data...3360711852</v>
        <stp/>
        <stp>BDP|12303581458246462615</stp>
        <tr r="P295" s="2"/>
      </tp>
      <tp t="s">
        <v>#N/A Requesting Data...3932981728</v>
        <stp/>
        <stp>BDP|15755755670275437201</stp>
        <tr r="J1635" s="2"/>
      </tp>
      <tp t="s">
        <v>#N/A Requesting Data...3514634707</v>
        <stp/>
        <stp>BDP|17329654603246109524</stp>
        <tr r="M2328" s="2"/>
      </tp>
      <tp t="s">
        <v>#N/A Requesting Data...3749102391</v>
        <stp/>
        <stp>BDP|11689965645549794746</stp>
        <tr r="A2397" s="2"/>
      </tp>
      <tp t="s">
        <v>#N/A Requesting Data...4206969824</v>
        <stp/>
        <stp>BDP|17428708633878727967</stp>
        <tr r="Q1832" s="2"/>
      </tp>
      <tp t="s">
        <v>#N/A Requesting Data...3735630740</v>
        <stp/>
        <stp>BDP|13383778943492817092</stp>
        <tr r="K1516" s="2"/>
      </tp>
      <tp t="s">
        <v>#N/A Requesting Data...3590571750</v>
        <stp/>
        <stp>BDP|13407930410540616973</stp>
        <tr r="E459" s="2"/>
      </tp>
      <tp t="s">
        <v>#N/A Requesting Data...3526389784</v>
        <stp/>
        <stp>BDP|15557971262278632002</stp>
        <tr r="J1843" s="2"/>
      </tp>
      <tp t="s">
        <v>#N/A Requesting Data...3915627225</v>
        <stp/>
        <stp>BDP|12738203306011144362</stp>
        <tr r="K858" s="2"/>
      </tp>
      <tp t="s">
        <v>#N/A Requesting Data...3856292695</v>
        <stp/>
        <stp>BDP|13042525605730689478</stp>
        <tr r="T54" s="2"/>
      </tp>
      <tp t="s">
        <v>#N/A Requesting Data...4011714217</v>
        <stp/>
        <stp>BDP|17667023659353960326</stp>
        <tr r="A1098" s="2"/>
      </tp>
      <tp t="s">
        <v>#N/A Requesting Data...3888287917</v>
        <stp/>
        <stp>BDP|18132245030802393901</stp>
        <tr r="D2337" s="2"/>
      </tp>
      <tp t="s">
        <v>#N/A Requesting Data...3536303029</v>
        <stp/>
        <stp>BDP|10807030129120764031</stp>
        <tr r="M1321" s="2"/>
      </tp>
      <tp t="s">
        <v>#N/A Requesting Data...4145958221</v>
        <stp/>
        <stp>BDP|13394156351905497059</stp>
        <tr r="D1818" s="2"/>
      </tp>
      <tp t="s">
        <v>#N/A Requesting Data...4281107463</v>
        <stp/>
        <stp>BDP|14704015474646566713</stp>
        <tr r="P577" s="2"/>
      </tp>
      <tp t="s">
        <v>#N/A Requesting Data...3942998575</v>
        <stp/>
        <stp>BDP|15347146650854896795</stp>
        <tr r="O1918" s="2"/>
      </tp>
      <tp t="s">
        <v>#N/A Requesting Data...4017249090</v>
        <stp/>
        <stp>BDP|11429545250175520631</stp>
        <tr r="E797" s="2"/>
      </tp>
      <tp t="s">
        <v>#N/A Requesting Data...3939183368</v>
        <stp/>
        <stp>BDP|14438731505220256160</stp>
        <tr r="R2256" s="2"/>
      </tp>
      <tp t="s">
        <v>#N/A Requesting Data...3720480237</v>
        <stp/>
        <stp>BDP|14408387160741347291</stp>
        <tr r="R423" s="2"/>
      </tp>
      <tp t="s">
        <v>#N/A Requesting Data...3423678369</v>
        <stp/>
        <stp>BDP|16988015498925574836</stp>
        <tr r="K551" s="2"/>
      </tp>
      <tp t="s">
        <v>#N/A Requesting Data...3573835031</v>
        <stp/>
        <stp>BDP|11682003612440434269</stp>
        <tr r="C1578" s="2"/>
      </tp>
      <tp t="s">
        <v>#N/A Requesting Data...3420062234</v>
        <stp/>
        <stp>BDP|16800476092158801132</stp>
        <tr r="R1232" s="2"/>
      </tp>
      <tp t="s">
        <v>#N/A Requesting Data...3754971651</v>
        <stp/>
        <stp>BDP|10285687551855532481</stp>
        <tr r="P8" s="2"/>
      </tp>
      <tp t="s">
        <v>#N/A Requesting Data...3575573802</v>
        <stp/>
        <stp>BDP|11103962477318767512</stp>
        <tr r="O2399" s="2"/>
      </tp>
      <tp t="s">
        <v>#N/A Requesting Data...3856234849</v>
        <stp/>
        <stp>BDP|15441341908406972272</stp>
        <tr r="A2135" s="2"/>
      </tp>
      <tp t="s">
        <v>#N/A Requesting Data...4286941468</v>
        <stp/>
        <stp>BDP|17324259775852132244</stp>
        <tr r="K1080" s="2"/>
      </tp>
      <tp t="s">
        <v>#N/A Requesting Data...3615753054</v>
        <stp/>
        <stp>BDP|17836658200141994227</stp>
        <tr r="G2503" s="2"/>
      </tp>
      <tp t="s">
        <v>#N/A Requesting Data...3871963637</v>
        <stp/>
        <stp>BDP|16203646206661111375</stp>
        <tr r="R301" s="2"/>
      </tp>
      <tp t="s">
        <v>#N/A Requesting Data...3591492142</v>
        <stp/>
        <stp>BDP|14742306127636702110</stp>
        <tr r="S689" s="2"/>
      </tp>
      <tp t="s">
        <v>#N/A Requesting Data...3594539501</v>
        <stp/>
        <stp>BDP|15045536608006931445</stp>
        <tr r="M1838" s="2"/>
      </tp>
      <tp t="s">
        <v>#N/A Requesting Data...3677945712</v>
        <stp/>
        <stp>BDP|10159549526484948037</stp>
        <tr r="S1529" s="2"/>
      </tp>
      <tp t="s">
        <v>#N/A Requesting Data...4231605353</v>
        <stp/>
        <stp>BDP|11869429745557257544</stp>
        <tr r="T1112" s="2"/>
      </tp>
      <tp t="s">
        <v>#N/A Requesting Data...3907435197</v>
        <stp/>
        <stp>BDP|12841168607703148314</stp>
        <tr r="O559" s="2"/>
      </tp>
      <tp t="s">
        <v>#N/A Requesting Data...3738294288</v>
        <stp/>
        <stp>BDP|13913333957987018141</stp>
        <tr r="T1239" s="2"/>
      </tp>
      <tp t="s">
        <v>#N/A Requesting Data...4117127139</v>
        <stp/>
        <stp>BDP|10645657206241486482</stp>
        <tr r="O423" s="2"/>
      </tp>
      <tp t="s">
        <v>#N/A Requesting Data...4004985240</v>
        <stp/>
        <stp>BDP|18183900968194047006</stp>
        <tr r="M1097" s="2"/>
      </tp>
      <tp t="s">
        <v>#N/A Requesting Data...3894167625</v>
        <stp/>
        <stp>BDP|15847613365842036457</stp>
        <tr r="K750" s="2"/>
      </tp>
      <tp t="s">
        <v>#N/A Requesting Data...3783525468</v>
        <stp/>
        <stp>BDP|14684460683463939835</stp>
        <tr r="S2441" s="2"/>
      </tp>
      <tp t="b">
        <v>0</v>
        <stp/>
        <stp>BDS|16929318965840598021</stp>
        <tr r="I2178" s="2"/>
      </tp>
      <tp t="s">
        <v>#N/A Requesting Data...3617419784</v>
        <stp/>
        <stp>BDP|11325283107649558908</stp>
        <tr r="D662" s="2"/>
      </tp>
      <tp t="s">
        <v>#N/A Requesting Data...3726577762</v>
        <stp/>
        <stp>BDP|14614404330919842972</stp>
        <tr r="O527" s="2"/>
      </tp>
      <tp t="s">
        <v>#N/A Requesting Data...4245216174</v>
        <stp/>
        <stp>BDP|16973450308636984743</stp>
        <tr r="R533" s="2"/>
      </tp>
      <tp t="s">
        <v>#N/A Requesting Data...3715770856</v>
        <stp/>
        <stp>BDP|17601393760692268349</stp>
        <tr r="Q610" s="2"/>
      </tp>
      <tp t="s">
        <v>#N/A Requesting Data...3932179489</v>
        <stp/>
        <stp>BDP|10925474730435103168</stp>
        <tr r="A652" s="2"/>
      </tp>
      <tp t="s">
        <v>#N/A Requesting Data...3492966689</v>
        <stp/>
        <stp>BDP|11160455931371907459</stp>
        <tr r="E90" s="2"/>
      </tp>
      <tp t="b">
        <v>0</v>
        <stp/>
        <stp>BDS|12127191525247181560</stp>
        <tr r="I1456" s="2"/>
      </tp>
      <tp t="s">
        <v>#N/A Requesting Data...4129155773</v>
        <stp/>
        <stp>BDP|16531286077312665258</stp>
        <tr r="C2493" s="2"/>
      </tp>
      <tp t="s">
        <v>#N/A Requesting Data...3744379378</v>
        <stp/>
        <stp>BDP|10871525497579266669</stp>
        <tr r="C145" s="2"/>
      </tp>
      <tp t="s">
        <v>#N/A Requesting Data...3943552095</v>
        <stp/>
        <stp>BDP|11404082404940303223</stp>
        <tr r="K1409" s="2"/>
      </tp>
      <tp t="s">
        <v>#N/A Requesting Data...4051301115</v>
        <stp/>
        <stp>BDP|12777581725864470271</stp>
        <tr r="J163" s="2"/>
      </tp>
      <tp t="s">
        <v>#N/A Requesting Data...4042966696</v>
        <stp/>
        <stp>BDP|10984931194357200452</stp>
        <tr r="O2186" s="2"/>
      </tp>
      <tp t="s">
        <v>#N/A Requesting Data...3829397819</v>
        <stp/>
        <stp>BDP|13747160454621532599</stp>
        <tr r="C1508" s="2"/>
      </tp>
      <tp t="s">
        <v>#N/A Requesting Data...3805740121</v>
        <stp/>
        <stp>BDP|11303236997900784998</stp>
        <tr r="K1232" s="2"/>
      </tp>
      <tp t="s">
        <v>#N/A Requesting Data...3796378687</v>
        <stp/>
        <stp>BDP|11403256538324724778</stp>
        <tr r="F2519" s="2"/>
      </tp>
      <tp t="s">
        <v>#N/A Requesting Data...4070931890</v>
        <stp/>
        <stp>BDP|10172423448514394717</stp>
        <tr r="H2039" s="2"/>
      </tp>
      <tp t="s">
        <v>#N/A Requesting Data...3737321293</v>
        <stp/>
        <stp>BDP|14482580144034569240</stp>
        <tr r="N1273" s="2"/>
      </tp>
      <tp t="s">
        <v>#N/A Requesting Data...3669221176</v>
        <stp/>
        <stp>BDP|18144787606234279848</stp>
        <tr r="C602" s="2"/>
      </tp>
      <tp t="s">
        <v>#N/A Requesting Data...4118784938</v>
        <stp/>
        <stp>BDP|10694529265893054383</stp>
        <tr r="K1292" s="2"/>
      </tp>
      <tp t="s">
        <v>#N/A Requesting Data...4200534550</v>
        <stp/>
        <stp>BDP|15607102958194397644</stp>
        <tr r="O2026" s="2"/>
      </tp>
      <tp t="s">
        <v>#N/A Requesting Data...4073489376</v>
        <stp/>
        <stp>BDP|17030417520516081484</stp>
        <tr r="Q1246" s="2"/>
      </tp>
      <tp t="s">
        <v>#N/A Requesting Data...4087480662</v>
        <stp/>
        <stp>BDP|16361964092051992476</stp>
        <tr r="J2405" s="2"/>
      </tp>
      <tp t="s">
        <v>#N/A Requesting Data...3639032871</v>
        <stp/>
        <stp>BDP|11985104080922899980</stp>
        <tr r="G1724" s="2"/>
      </tp>
      <tp t="s">
        <v>#N/A Requesting Data...3529385534</v>
        <stp/>
        <stp>BDP|12827518578755093688</stp>
        <tr r="N1107" s="2"/>
      </tp>
      <tp t="s">
        <v>#N/A Requesting Data...3734961647</v>
        <stp/>
        <stp>BDP|12963760793136181943</stp>
        <tr r="Q2112" s="2"/>
      </tp>
      <tp t="s">
        <v>#N/A Requesting Data...4291308601</v>
        <stp/>
        <stp>BDP|11730288573114637335</stp>
        <tr r="O1668" s="2"/>
      </tp>
      <tp t="s">
        <v>#N/A Requesting Data...3995123011</v>
        <stp/>
        <stp>BDP|18058295465649136646</stp>
        <tr r="O1971" s="2"/>
      </tp>
      <tp t="s">
        <v>#N/A Requesting Data...4180332732</v>
        <stp/>
        <stp>BDP|10513788107901478574</stp>
        <tr r="K1733" s="2"/>
      </tp>
      <tp t="s">
        <v>#N/A Requesting Data...3706003042</v>
        <stp/>
        <stp>BDP|17347166579031434312</stp>
        <tr r="H1154" s="2"/>
      </tp>
      <tp t="s">
        <v>#N/A Requesting Data...3819751995</v>
        <stp/>
        <stp>BDP|18146311658434904982</stp>
        <tr r="S443" s="2"/>
      </tp>
      <tp t="s">
        <v>#N/A Requesting Data...3931160890</v>
        <stp/>
        <stp>BDP|13064066651455701097</stp>
        <tr r="J284" s="2"/>
      </tp>
      <tp t="s">
        <v>#N/A Requesting Data...3607648977</v>
        <stp/>
        <stp>BDP|15756052409554634242</stp>
        <tr r="G214" s="2"/>
      </tp>
      <tp t="s">
        <v>#N/A Requesting Data...4018268468</v>
        <stp/>
        <stp>BDP|10764157263625051180</stp>
        <tr r="T896" s="2"/>
      </tp>
      <tp t="s">
        <v>#N/A Requesting Data...3566966104</v>
        <stp/>
        <stp>BDP|12206130466145822361</stp>
        <tr r="E1402" s="2"/>
      </tp>
      <tp t="s">
        <v>#N/A Requesting Data...3654978178</v>
        <stp/>
        <stp>BDP|11248790819737991328</stp>
        <tr r="P1049" s="2"/>
      </tp>
      <tp t="s">
        <v>#N/A Requesting Data...4235635403</v>
        <stp/>
        <stp>BDP|12404503912432715787</stp>
        <tr r="R333" s="2"/>
      </tp>
      <tp t="s">
        <v>#N/A Requesting Data...4140306406</v>
        <stp/>
        <stp>BDP|11447788383668088563</stp>
        <tr r="F920" s="2"/>
      </tp>
      <tp t="s">
        <v>#N/A Requesting Data...4277007670</v>
        <stp/>
        <stp>BDP|13439115604066848703</stp>
        <tr r="J686" s="2"/>
      </tp>
      <tp t="s">
        <v>#N/A Requesting Data...3857525293</v>
        <stp/>
        <stp>BDP|13447483835446618163</stp>
        <tr r="Q584" s="2"/>
      </tp>
      <tp t="s">
        <v>#N/A Requesting Data...4202578117</v>
        <stp/>
        <stp>BDP|12374631778987677778</stp>
        <tr r="D2001" s="2"/>
      </tp>
      <tp t="s">
        <v>#N/A Requesting Data...4242322813</v>
        <stp/>
        <stp>BDP|11968319916291141169</stp>
        <tr r="Q538" s="2"/>
      </tp>
      <tp t="s">
        <v>#N/A Requesting Data...3943856278</v>
        <stp/>
        <stp>BDP|17761162771296039495</stp>
        <tr r="S947" s="2"/>
      </tp>
      <tp t="s">
        <v>#N/A Requesting Data...3854529569</v>
        <stp/>
        <stp>BDP|15904500245820769729</stp>
        <tr r="N1778" s="2"/>
      </tp>
      <tp t="s">
        <v>#N/A Requesting Data...3846268704</v>
        <stp/>
        <stp>BDP|13790087126177618569</stp>
        <tr r="K2516" s="2"/>
      </tp>
      <tp t="s">
        <v>#N/A Requesting Data...4034304270</v>
        <stp/>
        <stp>BDP|13379395430974143428</stp>
        <tr r="C1762" s="2"/>
      </tp>
      <tp t="s">
        <v>#N/A Requesting Data...4021872287</v>
        <stp/>
        <stp>BDP|15365208500903949734</stp>
        <tr r="S1919" s="2"/>
      </tp>
      <tp t="s">
        <v>#N/A Requesting Data...3884521163</v>
        <stp/>
        <stp>BDP|16780296506952559545</stp>
        <tr r="P404" s="2"/>
      </tp>
      <tp t="s">
        <v>#N/A Requesting Data...3756943891</v>
        <stp/>
        <stp>BDP|14158397916484122163</stp>
        <tr r="N786" s="2"/>
      </tp>
      <tp t="s">
        <v>#N/A Requesting Data...4006450360</v>
        <stp/>
        <stp>BDP|15995384808897768275</stp>
        <tr r="C558" s="2"/>
      </tp>
      <tp t="s">
        <v>#N/A Requesting Data...3780563022</v>
        <stp/>
        <stp>BDP|12879201523647731655</stp>
        <tr r="T1219" s="2"/>
      </tp>
      <tp t="s">
        <v>#N/A Requesting Data...3952464146</v>
        <stp/>
        <stp>BDP|13149204873606919321</stp>
        <tr r="N1541" s="2"/>
      </tp>
      <tp t="s">
        <v>#N/A Requesting Data...4097394748</v>
        <stp/>
        <stp>BDP|15723972436594905863</stp>
        <tr r="N1224" s="2"/>
      </tp>
      <tp t="s">
        <v>#N/A Requesting Data...4128348301</v>
        <stp/>
        <stp>BDP|17904730409734338792</stp>
        <tr r="D562" s="2"/>
      </tp>
      <tp t="s">
        <v>#N/A Requesting Data...3836731854</v>
        <stp/>
        <stp>BDP|12965749204364086202</stp>
        <tr r="O875" s="2"/>
      </tp>
      <tp t="s">
        <v>#N/A Requesting Data...3941041664</v>
        <stp/>
        <stp>BDP|16762656697718582299</stp>
        <tr r="R2517" s="2"/>
      </tp>
      <tp t="b">
        <v>0</v>
        <stp/>
        <stp>BDS|17202060687349906505</stp>
        <tr r="I1176" s="2"/>
      </tp>
      <tp t="s">
        <v>#N/A Requesting Data...4054776161</v>
        <stp/>
        <stp>BDP|14153172125565811126</stp>
        <tr r="K2071" s="2"/>
      </tp>
      <tp t="s">
        <v>#N/A Requesting Data...3923012305</v>
        <stp/>
        <stp>BDP|15386949166708822101</stp>
        <tr r="Q1267" s="2"/>
      </tp>
      <tp t="s">
        <v>#N/A Requesting Data...3870948034</v>
        <stp/>
        <stp>BDP|12787399670234436135</stp>
        <tr r="D166" s="2"/>
      </tp>
      <tp t="s">
        <v>#N/A Requesting Data...3885503975</v>
        <stp/>
        <stp>BDP|17121283306776601003</stp>
        <tr r="G662" s="2"/>
      </tp>
      <tp t="s">
        <v>#N/A Requesting Data...4214291178</v>
        <stp/>
        <stp>BDP|17561048129731943788</stp>
        <tr r="D1399" s="2"/>
      </tp>
      <tp t="s">
        <v>#N/A Requesting Data...4264355931</v>
        <stp/>
        <stp>BDP|15015018248276888487</stp>
        <tr r="J2136" s="2"/>
      </tp>
      <tp t="s">
        <v>#N/A Requesting Data...4104284850</v>
        <stp/>
        <stp>BDP|17783979908118713565</stp>
        <tr r="K1533" s="2"/>
      </tp>
      <tp t="s">
        <v>#N/A Requesting Data...4107019952</v>
        <stp/>
        <stp>BDP|17951722637532272271</stp>
        <tr r="G1689" s="2"/>
      </tp>
      <tp t="s">
        <v>#N/A Requesting Data...4244290081</v>
        <stp/>
        <stp>BDP|15310335490678833415</stp>
        <tr r="K840" s="2"/>
      </tp>
      <tp t="b">
        <v>0</v>
        <stp/>
        <stp>BDS|17785147452457929732</stp>
        <tr r="I1972" s="2"/>
      </tp>
      <tp t="s">
        <v>#N/A Requesting Data...3656448859</v>
        <stp/>
        <stp>BDP|10630609050644653482</stp>
        <tr r="H407" s="2"/>
      </tp>
      <tp t="s">
        <v>#N/A Requesting Data...3828302460</v>
        <stp/>
        <stp>BDP|13712577509662297732</stp>
        <tr r="J2240" s="2"/>
      </tp>
      <tp t="s">
        <v>#N/A Requesting Data...3788175796</v>
        <stp/>
        <stp>BDP|18142147824860010890</stp>
        <tr r="S1742" s="2"/>
      </tp>
      <tp t="s">
        <v>#N/A Requesting Data...4154342796</v>
        <stp/>
        <stp>BDP|16442829992612832642</stp>
        <tr r="D1332" s="2"/>
      </tp>
      <tp t="s">
        <v>#N/A Requesting Data...3903451614</v>
        <stp/>
        <stp>BDP|11481790134491862790</stp>
        <tr r="M1214" s="2"/>
      </tp>
      <tp t="s">
        <v>#N/A Requesting Data...4129634537</v>
        <stp/>
        <stp>BDP|11704237260855969353</stp>
        <tr r="K338" s="2"/>
      </tp>
      <tp t="s">
        <v>#N/A Requesting Data...3884810251</v>
        <stp/>
        <stp>BDP|11750005006870962204</stp>
        <tr r="E1276" s="2"/>
      </tp>
      <tp t="s">
        <v>#N/A Requesting Data...3914844578</v>
        <stp/>
        <stp>BDP|15620766835515816759</stp>
        <tr r="S279" s="2"/>
      </tp>
      <tp t="s">
        <v>#N/A Requesting Data...4150084943</v>
        <stp/>
        <stp>BDP|16203696066995545002</stp>
        <tr r="E2104" s="2"/>
      </tp>
      <tp t="s">
        <v>#N/A Requesting Data...4093116722</v>
        <stp/>
        <stp>BDP|14151887192487473178</stp>
        <tr r="A150" s="2"/>
      </tp>
      <tp t="s">
        <v>#N/A Requesting Data...3938906979</v>
        <stp/>
        <stp>BDP|11114719580134148994</stp>
        <tr r="D1715" s="2"/>
      </tp>
      <tp t="s">
        <v>#N/A Requesting Data...3916520405</v>
        <stp/>
        <stp>BDP|12279574099964575914</stp>
        <tr r="C153" s="2"/>
      </tp>
      <tp t="s">
        <v>#N/A Requesting Data...4091758122</v>
        <stp/>
        <stp>BDP|17668157330513280595</stp>
        <tr r="R133" s="2"/>
      </tp>
      <tp t="s">
        <v>#N/A Requesting Data...4054694366</v>
        <stp/>
        <stp>BDP|12930802345865551815</stp>
        <tr r="J1953" s="2"/>
      </tp>
      <tp t="s">
        <v>#N/A Requesting Data...4253992944</v>
        <stp/>
        <stp>BDP|11542589454351370320</stp>
        <tr r="C459" s="2"/>
      </tp>
      <tp t="s">
        <v>#N/A Requesting Data...3758862017</v>
        <stp/>
        <stp>BDP|14541040250657194582</stp>
        <tr r="O2303" s="2"/>
      </tp>
      <tp t="s">
        <v>#N/A Requesting Data...4152311871</v>
        <stp/>
        <stp>BDP|10569718416776284389</stp>
        <tr r="Q913" s="2"/>
      </tp>
      <tp t="s">
        <v>#N/A Requesting Data...3856848937</v>
        <stp/>
        <stp>BDP|15627180552332117058</stp>
        <tr r="T1493" s="2"/>
      </tp>
      <tp t="s">
        <v>#N/A Requesting Data...3961724414</v>
        <stp/>
        <stp>BDP|10866133036646633738</stp>
        <tr r="N119" s="2"/>
      </tp>
      <tp t="s">
        <v>#N/A Requesting Data...3789736996</v>
        <stp/>
        <stp>BDP|13556970181845252490</stp>
        <tr r="C14" s="2"/>
      </tp>
      <tp t="s">
        <v>#N/A Requesting Data...4029386668</v>
        <stp/>
        <stp>BDP|10351302254527949269</stp>
        <tr r="Q2052" s="2"/>
      </tp>
      <tp t="s">
        <v>#N/A Requesting Data...3867993188</v>
        <stp/>
        <stp>BDP|16880571777361159610</stp>
        <tr r="J776" s="2"/>
      </tp>
      <tp t="s">
        <v>#N/A Requesting Data...3714681161</v>
        <stp/>
        <stp>BDP|12476543571576191587</stp>
        <tr r="O1210" s="2"/>
      </tp>
      <tp t="b">
        <v>0</v>
        <stp/>
        <stp>BDS|17811300057653411109</stp>
        <tr r="I186" s="2"/>
      </tp>
      <tp t="s">
        <v>#N/A Requesting Data...4228631992</v>
        <stp/>
        <stp>BDP|13345933680244034589</stp>
        <tr r="N2175" s="2"/>
      </tp>
      <tp t="s">
        <v>#N/A Requesting Data...3885813141</v>
        <stp/>
        <stp>BDP|16926974576669599257</stp>
        <tr r="N2179" s="2"/>
      </tp>
      <tp t="s">
        <v>#N/A Requesting Data...4150425990</v>
        <stp/>
        <stp>BDP|15001418118843881096</stp>
        <tr r="A2286" s="2"/>
      </tp>
      <tp t="s">
        <v>#N/A Requesting Data...3944937883</v>
        <stp/>
        <stp>BDP|14671209637150126683</stp>
        <tr r="N2474" s="2"/>
      </tp>
      <tp t="s">
        <v>#N/A Requesting Data...3988902932</v>
        <stp/>
        <stp>BDP|11787773435205514386</stp>
        <tr r="T1741" s="2"/>
      </tp>
      <tp t="s">
        <v>#N/A Requesting Data...3902782621</v>
        <stp/>
        <stp>BDP|18007441096792818429</stp>
        <tr r="G2177" s="2"/>
      </tp>
      <tp t="s">
        <v>#N/A Requesting Data...4283991451</v>
        <stp/>
        <stp>BDP|17785233753617950466</stp>
        <tr r="M1514" s="2"/>
      </tp>
      <tp t="s">
        <v>#N/A Requesting Data...3793373165</v>
        <stp/>
        <stp>BDP|12618303188703014969</stp>
        <tr r="H449" s="2"/>
      </tp>
      <tp t="s">
        <v>#N/A Requesting Data...3820006794</v>
        <stp/>
        <stp>BDP|13180658415994141380</stp>
        <tr r="K1216" s="2"/>
      </tp>
      <tp t="s">
        <v>#N/A Requesting Data...4148689820</v>
        <stp/>
        <stp>BDP|16410495274385084312</stp>
        <tr r="D1095" s="2"/>
      </tp>
      <tp t="s">
        <v>#N/A Requesting Data...4083230752</v>
        <stp/>
        <stp>BDP|11429674189108729458</stp>
        <tr r="D1733" s="2"/>
      </tp>
      <tp t="s">
        <v>#N/A Requesting Data...4120773720</v>
        <stp/>
        <stp>BDP|13693481629406937062</stp>
        <tr r="D1704" s="2"/>
      </tp>
      <tp t="s">
        <v>#N/A Requesting Data...4216449904</v>
        <stp/>
        <stp>BDP|17847003239787140088</stp>
        <tr r="M1413" s="2"/>
      </tp>
      <tp t="s">
        <v>#N/A Requesting Data...3931596158</v>
        <stp/>
        <stp>BDP|13779131231862521080</stp>
        <tr r="R1111" s="2"/>
      </tp>
      <tp t="s">
        <v>#N/A Requesting Data...3878022163</v>
        <stp/>
        <stp>BDP|17883221826490179456</stp>
        <tr r="N640" s="2"/>
      </tp>
      <tp t="s">
        <v>#N/A Requesting Data...4097911756</v>
        <stp/>
        <stp>BDP|13652442790468966539</stp>
        <tr r="G1282" s="2"/>
      </tp>
      <tp t="s">
        <v>#N/A Requesting Data...4016260551</v>
        <stp/>
        <stp>BDP|11758772653549873936</stp>
        <tr r="R2009" s="2"/>
      </tp>
      <tp t="s">
        <v>#N/A Requesting Data...3831546639</v>
        <stp/>
        <stp>BDP|10218536038336831394</stp>
        <tr r="C457" s="2"/>
      </tp>
      <tp t="s">
        <v>#N/A Requesting Data...4150708290</v>
        <stp/>
        <stp>BDP|15845362543161340060</stp>
        <tr r="R193" s="2"/>
      </tp>
      <tp t="s">
        <v>#N/A Requesting Data...4002171339</v>
        <stp/>
        <stp>BDP|10729782026776863093</stp>
        <tr r="T282" s="2"/>
      </tp>
      <tp t="s">
        <v>#N/A Requesting Data...4090579199</v>
        <stp/>
        <stp>BDP|14056841108689556615</stp>
        <tr r="G258" s="2"/>
      </tp>
      <tp t="s">
        <v>#N/A Requesting Data...4268191733</v>
        <stp/>
        <stp>BDP|17126189527782672509</stp>
        <tr r="O948" s="2"/>
      </tp>
      <tp t="s">
        <v>#N/A Requesting Data...4132151563</v>
        <stp/>
        <stp>BDP|14353483856486428012</stp>
        <tr r="D2090" s="2"/>
      </tp>
      <tp t="s">
        <v>#N/A Requesting Data...3896651033</v>
        <stp/>
        <stp>BDP|13375471352209643882</stp>
        <tr r="G4" s="2"/>
      </tp>
      <tp t="s">
        <v>#N/A Requesting Data...3817041387</v>
        <stp/>
        <stp>BDP|14715388375807443467</stp>
        <tr r="E2258" s="2"/>
      </tp>
      <tp t="s">
        <v>#N/A Requesting Data...4236175394</v>
        <stp/>
        <stp>BDP|14617673775993508599</stp>
        <tr r="R1622" s="2"/>
      </tp>
      <tp t="b">
        <v>0</v>
        <stp/>
        <stp>BDS|16661040890739909503</stp>
        <tr r="I2288" s="2"/>
      </tp>
      <tp t="s">
        <v>#N/A Requesting Data...3925405714</v>
        <stp/>
        <stp>BDP|12288489521920110728</stp>
        <tr r="O249" s="2"/>
      </tp>
      <tp t="s">
        <v>#N/A Requesting Data...4249430908</v>
        <stp/>
        <stp>BDP|14966239833937743163</stp>
        <tr r="F2017" s="2"/>
      </tp>
      <tp t="s">
        <v>#N/A Requesting Data...4005349127</v>
        <stp/>
        <stp>BDP|15955335832881802789</stp>
        <tr r="K2171" s="2"/>
      </tp>
      <tp t="s">
        <v>#N/A Requesting Data...3912492210</v>
        <stp/>
        <stp>BDP|14512719738930360376</stp>
        <tr r="F1323" s="2"/>
      </tp>
      <tp t="s">
        <v>#N/A Requesting Data...3840872338</v>
        <stp/>
        <stp>BDP|12525615967295257491</stp>
        <tr r="S2215" s="2"/>
      </tp>
      <tp t="s">
        <v>#N/A Requesting Data...4146855633</v>
        <stp/>
        <stp>BDP|11366915925259997068</stp>
        <tr r="O247" s="2"/>
      </tp>
      <tp t="s">
        <v>#N/A Requesting Data...4118693395</v>
        <stp/>
        <stp>BDP|14953948735588097501</stp>
        <tr r="T1723" s="2"/>
      </tp>
      <tp t="b">
        <v>0</v>
        <stp/>
        <stp>BDS|12545002019028643812</stp>
        <tr r="I756" s="2"/>
      </tp>
      <tp t="s">
        <v>#N/A Requesting Data...4102006466</v>
        <stp/>
        <stp>BDP|15256600315725751487</stp>
        <tr r="Q1218" s="2"/>
      </tp>
      <tp t="s">
        <v>#N/A Requesting Data...4290252307</v>
        <stp/>
        <stp>BDP|10114670841076728783</stp>
        <tr r="F72" s="2"/>
      </tp>
      <tp t="s">
        <v>#N/A Requesting Data...4108269921</v>
        <stp/>
        <stp>BDP|14673696050972278658</stp>
        <tr r="E46" s="2"/>
      </tp>
      <tp t="b">
        <v>0</v>
        <stp/>
        <stp>BDS|14040481912483479151</stp>
        <tr r="I1046" s="2"/>
      </tp>
      <tp t="s">
        <v>#N/A Requesting Data...4153877439</v>
        <stp/>
        <stp>BDP|11941302522791207216</stp>
        <tr r="M1897" s="2"/>
      </tp>
      <tp t="b">
        <v>0</v>
        <stp/>
        <stp>BDS|12026974779339654637</stp>
        <tr r="I896" s="2"/>
      </tp>
      <tp t="s">
        <v>#N/A Requesting Data...3882711437</v>
        <stp/>
        <stp>BDP|12601645418214767256</stp>
        <tr r="O1170" s="2"/>
      </tp>
      <tp t="b">
        <v>0</v>
        <stp/>
        <stp>BDS|10655588840845267775</stp>
        <tr r="I780" s="2"/>
      </tp>
      <tp t="s">
        <v>#N/A Requesting Data...3865676348</v>
        <stp/>
        <stp>BDP|16488284211765785325</stp>
        <tr r="A2107" s="2"/>
      </tp>
      <tp t="s">
        <v>#N/A Requesting Data...4037182668</v>
        <stp/>
        <stp>BDP|11577296863175473331</stp>
        <tr r="T1225" s="2"/>
      </tp>
      <tp t="s">
        <v>#N/A Requesting Data...3937672598</v>
        <stp/>
        <stp>BDP|17270644718314371751</stp>
        <tr r="R2110" s="2"/>
      </tp>
      <tp t="s">
        <v>#N/A Requesting Data...4018139162</v>
        <stp/>
        <stp>BDP|15807618000651893191</stp>
        <tr r="F2312" s="2"/>
      </tp>
      <tp t="s">
        <v>#N/A Requesting Data...4201880567</v>
        <stp/>
        <stp>BDP|16672073168547636474</stp>
        <tr r="O1032" s="2"/>
      </tp>
      <tp t="s">
        <v>#N/A Requesting Data...3996758600</v>
        <stp/>
        <stp>BDP|11710765227675756291</stp>
        <tr r="P561" s="2"/>
      </tp>
      <tp t="s">
        <v>#N/A Requesting Data...4230376312</v>
        <stp/>
        <stp>BDP|12294178743350905474</stp>
        <tr r="E1580" s="2"/>
      </tp>
      <tp t="s">
        <v>#N/A Requesting Data...4193677625</v>
        <stp/>
        <stp>BDP|13552096735382562143</stp>
        <tr r="M1398" s="2"/>
      </tp>
      <tp t="s">
        <v>#N/A Requesting Data...4172294819</v>
        <stp/>
        <stp>BDP|10264496331186666242</stp>
        <tr r="H2332" s="2"/>
      </tp>
      <tp t="s">
        <v>#N/A Requesting Data...4012110303</v>
        <stp/>
        <stp>BDP|18379716371233921824</stp>
        <tr r="K312" s="2"/>
      </tp>
      <tp t="s">
        <v>#N/A Requesting Data...3898590207</v>
        <stp/>
        <stp>BDP|16589509759497522212</stp>
        <tr r="D162" s="2"/>
      </tp>
      <tp t="s">
        <v>#N/A Requesting Data...4021027343</v>
        <stp/>
        <stp>BDP|14502956187611716784</stp>
        <tr r="S480" s="2"/>
      </tp>
      <tp t="s">
        <v>#N/A Requesting Data...3874421832</v>
        <stp/>
        <stp>BDP|17684891247201172919</stp>
        <tr r="C1806" s="2"/>
      </tp>
      <tp t="s">
        <v>#N/A Requesting Data...4222712525</v>
        <stp/>
        <stp>BDP|13406112513730660086</stp>
        <tr r="T1176" s="2"/>
      </tp>
      <tp t="s">
        <v>#N/A Requesting Data...4231395886</v>
        <stp/>
        <stp>BDP|14460213625307005083</stp>
        <tr r="C2351" s="2"/>
      </tp>
      <tp t="s">
        <v>#N/A Requesting Data...3890835274</v>
        <stp/>
        <stp>BDP|17193303764992469391</stp>
        <tr r="T589" s="2"/>
      </tp>
      <tp t="b">
        <v>0</v>
        <stp/>
        <stp>BDS|11289890380082386034</stp>
        <tr r="I677" s="2"/>
      </tp>
      <tp t="s">
        <v>#N/A Requesting Data...4240036753</v>
        <stp/>
        <stp>BDP|16482292282926563921</stp>
        <tr r="H2341" s="2"/>
      </tp>
      <tp t="s">
        <v>#N/A Requesting Data...4292894059</v>
        <stp/>
        <stp>BDP|13309113403564839511</stp>
        <tr r="D2468" s="2"/>
      </tp>
      <tp t="s">
        <v>#N/A Requesting Data...4163159119</v>
        <stp/>
        <stp>BDP|14591581801875483733</stp>
        <tr r="D2261" s="2"/>
      </tp>
      <tp t="s">
        <v>#N/A Requesting Data...4011388232</v>
        <stp/>
        <stp>BDP|17713636795749239288</stp>
        <tr r="N678" s="2"/>
      </tp>
      <tp t="s">
        <v>#N/A Requesting Data...4032702141</v>
        <stp/>
        <stp>BDP|16932513918835202493</stp>
        <tr r="M168" s="2"/>
      </tp>
      <tp t="s">
        <v>#N/A Requesting Data...4288370077</v>
        <stp/>
        <stp>BDP|17624488946652349603</stp>
        <tr r="A1837" s="2"/>
      </tp>
      <tp t="s">
        <v>#N/A Requesting Data...4056863204</v>
        <stp/>
        <stp>BDP|10928054328688893972</stp>
        <tr r="C1190" s="2"/>
      </tp>
      <tp t="s">
        <v>#N/A Requesting Data...4037489215</v>
        <stp/>
        <stp>BDP|14510705370837733094</stp>
        <tr r="C843" s="2"/>
      </tp>
      <tp t="s">
        <v>#N/A Requesting Data...3922932569</v>
        <stp/>
        <stp>BDP|16614527634792229198</stp>
        <tr r="N1623" s="2"/>
      </tp>
      <tp t="s">
        <v>#N/A Requesting Data...4226431245</v>
        <stp/>
        <stp>BDP|17398048150934840546</stp>
        <tr r="C1179" s="2"/>
      </tp>
      <tp t="s">
        <v>#N/A Requesting Data...4192740953</v>
        <stp/>
        <stp>BDP|10225780715952145755</stp>
        <tr r="H71" s="2"/>
      </tp>
      <tp t="s">
        <v>#N/A Requesting Data...4259582071</v>
        <stp/>
        <stp>BDP|14190301607607504384</stp>
        <tr r="A612" s="2"/>
      </tp>
      <tp t="s">
        <v>#N/A Requesting Data...4099546257</v>
        <stp/>
        <stp>BDP|16779041831916922007</stp>
        <tr r="M2389" s="2"/>
      </tp>
      <tp t="b">
        <v>0</v>
        <stp/>
        <stp>BDS|15410448902717932534</stp>
        <tr r="I2240" s="2"/>
      </tp>
      <tp t="s">
        <v>#N/A Requesting Data...4166454755</v>
        <stp/>
        <stp>BDP|13434056861996823037</stp>
        <tr r="P1267" s="2"/>
      </tp>
      <tp t="s">
        <v>#N/A Requesting Data...4226738775</v>
        <stp/>
        <stp>BDP|17002659138022627302</stp>
        <tr r="P161" s="2"/>
      </tp>
      <tp t="s">
        <v>#N/A Requesting Data...4051098313</v>
        <stp/>
        <stp>BDP|17986358160704281556</stp>
        <tr r="N1855" s="2"/>
      </tp>
      <tp t="s">
        <v>#N/A Requesting Data...4238916843</v>
        <stp/>
        <stp>BDP|15621515464572132798</stp>
        <tr r="D2493" s="2"/>
      </tp>
      <tp t="b">
        <v>0</v>
        <stp/>
        <stp>BDS|14841700346360074469</stp>
        <tr r="I1433" s="2"/>
      </tp>
      <tp t="s">
        <v>#N/A Requesting Data...4056497248</v>
        <stp/>
        <stp>BDP|17079328309716859184</stp>
        <tr r="P1606" s="2"/>
      </tp>
      <tp t="b">
        <v>0</v>
        <stp/>
        <stp>BDS|11262718405777613281</stp>
        <tr r="I58" s="2"/>
      </tp>
      <tp t="s">
        <v>#N/A Requesting Data...4121757473</v>
        <stp/>
        <stp>BDP|14955298959437462767</stp>
        <tr r="D155" s="2"/>
      </tp>
      <tp t="s">
        <v>#N/A Requesting Data...3994383009</v>
        <stp/>
        <stp>BDP|13249118301078059991</stp>
        <tr r="R1197" s="2"/>
      </tp>
      <tp t="s">
        <v>#N/A Requesting Data...3992013261</v>
        <stp/>
        <stp>BDP|11135752767977822402</stp>
        <tr r="S237" s="2"/>
      </tp>
      <tp t="s">
        <v>#N/A Requesting Data...4171857861</v>
        <stp/>
        <stp>BDP|14427307026065846319</stp>
        <tr r="E1046" s="2"/>
      </tp>
      <tp t="s">
        <v>#N/A Requesting Data...4239617959</v>
        <stp/>
        <stp>BDP|16583640408614421764</stp>
        <tr r="H1641" s="2"/>
      </tp>
      <tp t="s">
        <v>#N/A Requesting Data...4076033753</v>
        <stp/>
        <stp>BDP|11864686479087009428</stp>
        <tr r="A275" s="2"/>
      </tp>
      <tp t="s">
        <v>#N/A Requesting Data...4102458246</v>
        <stp/>
        <stp>BDP|16056991717968668534</stp>
        <tr r="D2227" s="2"/>
      </tp>
      <tp t="s">
        <v>#N/A Requesting Data...3958405897</v>
        <stp/>
        <stp>BDP|14051034372993215386</stp>
        <tr r="J300" s="2"/>
      </tp>
      <tp t="s">
        <v>#N/A Requesting Data...4173561712</v>
        <stp/>
        <stp>BDP|15016705408852169325</stp>
        <tr r="P1211" s="2"/>
      </tp>
      <tp t="s">
        <v>#N/A Requesting Data...4232765286</v>
        <stp/>
        <stp>BDP|17967360027551486474</stp>
        <tr r="Q1964" s="2"/>
      </tp>
      <tp t="s">
        <v>#N/A Requesting Data...4006365483</v>
        <stp/>
        <stp>BDP|18012100018013477879</stp>
        <tr r="G2487" s="2"/>
      </tp>
      <tp t="s">
        <v>#N/A Requesting Data...4148300661</v>
        <stp/>
        <stp>BDP|15980647144591278502</stp>
        <tr r="A263" s="2"/>
      </tp>
      <tp t="s">
        <v>#N/A Requesting Data...4084793950</v>
        <stp/>
        <stp>BDP|14788682008633474285</stp>
        <tr r="R1521" s="2"/>
      </tp>
      <tp t="s">
        <v>#N/A Requesting Data...3983030279</v>
        <stp/>
        <stp>BDP|15429786036772450058</stp>
        <tr r="D1762" s="2"/>
      </tp>
      <tp t="s">
        <v>#N/A Requesting Data...4291429973</v>
        <stp/>
        <stp>BDP|13118341609614615719</stp>
        <tr r="F1517" s="2"/>
      </tp>
      <tp t="b">
        <v>0</v>
        <stp/>
        <stp>BDS|13725055369846416070</stp>
        <tr r="I2385" s="2"/>
      </tp>
      <tp t="s">
        <v>#N/A Requesting Data...4190430591</v>
        <stp/>
        <stp>BDP|11915578729253567693</stp>
        <tr r="A1728" s="2"/>
      </tp>
      <tp t="s">
        <v>#N/A Requesting Data...4061913592</v>
        <stp/>
        <stp>BDP|10468934558976724934</stp>
        <tr r="G45" s="2"/>
      </tp>
      <tp t="s">
        <v>#N/A Requesting Data...4109504943</v>
        <stp/>
        <stp>BDP|11478301332314804658</stp>
        <tr r="J1872" s="2"/>
      </tp>
      <tp t="s">
        <v>#N/A Requesting Data...4216761741</v>
        <stp/>
        <stp>BDP|13137542113081940548</stp>
        <tr r="E149" s="2"/>
      </tp>
      <tp t="s">
        <v>#N/A Requesting Data...4173853054</v>
        <stp/>
        <stp>BDP|13185445861144680699</stp>
        <tr r="E2255" s="2"/>
      </tp>
      <tp t="s">
        <v>#N/A Requesting Data...4072793717</v>
        <stp/>
        <stp>BDP|10950442070039398953</stp>
        <tr r="N464" s="2"/>
      </tp>
      <tp t="s">
        <v>#N/A Requesting Data...4171938161</v>
        <stp/>
        <stp>BDP|13260522943789097887</stp>
        <tr r="Q203" s="2"/>
      </tp>
      <tp t="s">
        <v>#N/A Requesting Data...4107383749</v>
        <stp/>
        <stp>BDP|14158454739903756311</stp>
        <tr r="P919" s="2"/>
      </tp>
      <tp t="s">
        <v>#N/A Requesting Data...4114343851</v>
        <stp/>
        <stp>BDP|11407067978555278039</stp>
        <tr r="A1486" s="2"/>
      </tp>
      <tp t="s">
        <v>#N/A Requesting Data...4096766988</v>
        <stp/>
        <stp>BDP|11749396400501630037</stp>
        <tr r="M1695" s="2"/>
      </tp>
      <tp t="s">
        <v>#N/A Requesting Data...4116191151</v>
        <stp/>
        <stp>BDP|13863206684388180268</stp>
        <tr r="O524" s="2"/>
      </tp>
      <tp t="s">
        <v>#N/A Requesting Data...4234724780</v>
        <stp/>
        <stp>BDP|11962126271781477553</stp>
        <tr r="S2310" s="2"/>
      </tp>
      <tp t="b">
        <v>0</v>
        <stp/>
        <stp>BDS|16305384230005745043</stp>
        <tr r="I1898" s="2"/>
      </tp>
      <tp t="s">
        <v>#N/A Requesting Data...4153136952</v>
        <stp/>
        <stp>BDP|13159437055075487488</stp>
        <tr r="T497" s="2"/>
      </tp>
      <tp t="s">
        <v>#N/A Requesting Data...4110520381</v>
        <stp/>
        <stp>BDP|14894303934536057178</stp>
        <tr r="S1136" s="2"/>
      </tp>
      <tp t="s">
        <v>#N/A Requesting Data...4184308975</v>
        <stp/>
        <stp>BDP|11249394521973081013</stp>
        <tr r="D2366" s="2"/>
      </tp>
      <tp t="s">
        <v>#N/A Requesting Data...4215657786</v>
        <stp/>
        <stp>BDP|10004997692167863482</stp>
        <tr r="A1945" s="2"/>
      </tp>
      <tp t="s">
        <v>#N/A Requesting Data...4154566592</v>
        <stp/>
        <stp>BDP|16552190088805974968</stp>
        <tr r="H645" s="2"/>
      </tp>
      <tp t="s">
        <v>#N/A Requesting Data...4167930199</v>
        <stp/>
        <stp>BDP|14269165478498035976</stp>
        <tr r="J297" s="2"/>
      </tp>
      <tp t="s">
        <v>#N/A Requesting Data...4152964798</v>
        <stp/>
        <stp>BDP|17825265372814686515</stp>
        <tr r="Q438" s="2"/>
      </tp>
      <tp t="s">
        <v>#N/A Requesting Data...4058077839</v>
        <stp/>
        <stp>BDP|11397915873745826928</stp>
        <tr r="O1033" s="2"/>
      </tp>
      <tp t="s">
        <v>#N/A Requesting Data...4265152036</v>
        <stp/>
        <stp>BDP|11238132468803183630</stp>
        <tr r="J2450" s="2"/>
      </tp>
      <tp t="s">
        <v>#N/A Requesting Data...4194105680</v>
        <stp/>
        <stp>BDP|13158346304567853422</stp>
        <tr r="R2025" s="2"/>
      </tp>
      <tp t="s">
        <v>#N/A Requesting Data...4265233818</v>
        <stp/>
        <stp>BDP|14284949180920499690</stp>
        <tr r="H155" s="2"/>
      </tp>
      <tp t="s">
        <v>#N/A Requesting Data...4222738880</v>
        <stp/>
        <stp>BDP|11645053439444134501</stp>
        <tr r="R2272" s="2"/>
      </tp>
      <tp t="s">
        <v>#N/A Requesting Data...4257003610</v>
        <stp/>
        <stp>BDP|16989299264548942960</stp>
        <tr r="A1012" s="2"/>
      </tp>
      <tp t="s">
        <v>#N/A Requesting Data...4248433319</v>
        <stp/>
        <stp>BDP|16885742520494275459</stp>
        <tr r="M176" s="2"/>
      </tp>
      <tp t="s">
        <v>#N/A Requesting Data...4178702571</v>
        <stp/>
        <stp>BDP|16999476561265045249</stp>
        <tr r="T663" s="2"/>
      </tp>
      <tp t="s">
        <v>#N/A Requesting Data...4152932093</v>
        <stp/>
        <stp>BDP|11191809062885108998</stp>
        <tr r="O6" s="2"/>
      </tp>
      <tp t="s">
        <v>#N/A Requesting Data...4228840939</v>
        <stp/>
        <stp>BDP|14832787131407832423</stp>
        <tr r="S1079" s="2"/>
      </tp>
      <tp t="s">
        <v>#N/A Requesting Data...4156654662</v>
        <stp/>
        <stp>BDP|15870134287028771704</stp>
        <tr r="Q2060" s="2"/>
      </tp>
      <tp t="s">
        <v>#N/A Requesting Data...4109178487</v>
        <stp/>
        <stp>BDP|10372926918833298800</stp>
        <tr r="G1117" s="2"/>
      </tp>
      <tp t="s">
        <v>#N/A Requesting Data...4122873395</v>
        <stp/>
        <stp>BDP|11480037612545891663</stp>
        <tr r="M2059" s="2"/>
      </tp>
      <tp t="s">
        <v>#N/A Requesting Data...4103793068</v>
        <stp/>
        <stp>BDP|16259657059222765421</stp>
        <tr r="A1910" s="2"/>
      </tp>
      <tp t="s">
        <v>#N/A Requesting Data...4136967160</v>
        <stp/>
        <stp>BDP|10903551934053266610</stp>
        <tr r="N1764" s="2"/>
      </tp>
      <tp t="s">
        <v>#N/A Requesting Data...4292880746</v>
        <stp/>
        <stp>BDP|11453100806154057796</stp>
        <tr r="P230" s="2"/>
      </tp>
      <tp t="s">
        <v>#N/A Requesting Data...4248012287</v>
        <stp/>
        <stp>BDP|14306464543833938448</stp>
        <tr r="J141" s="2"/>
      </tp>
      <tp t="s">
        <v>#N/A Requesting Data...4149107389</v>
        <stp/>
        <stp>BDP|12870559966924891689</stp>
        <tr r="R113" s="2"/>
      </tp>
      <tp t="s">
        <v>#N/A Requesting Data...4139974858</v>
        <stp/>
        <stp>BDP|15502247840195997538</stp>
        <tr r="F2457" s="2"/>
      </tp>
      <tp t="s">
        <v>#N/A Requesting Data...4112730349</v>
        <stp/>
        <stp>BDP|17434192088719736492</stp>
        <tr r="F2094" s="2"/>
      </tp>
      <tp t="s">
        <v>#N/A Requesting Data...4172244031</v>
        <stp/>
        <stp>BDP|14364664917529906901</stp>
        <tr r="K1957" s="2"/>
      </tp>
      <tp t="b">
        <v>0</v>
        <stp/>
        <stp>BDS|14342755008596212643</stp>
        <tr r="I294" s="2"/>
      </tp>
      <tp t="s">
        <v>#N/A Requesting Data...4228427335</v>
        <stp/>
        <stp>BDP|14635002877219927937</stp>
        <tr r="M1543" s="2"/>
      </tp>
      <tp t="s">
        <v>#N/A Requesting Data...4247331971</v>
        <stp/>
        <stp>BDP|11064628444673461398</stp>
        <tr r="J2259" s="2"/>
      </tp>
      <tp t="s">
        <v>#N/A Requesting Data...4260591950</v>
        <stp/>
        <stp>BDP|12390021213332940209</stp>
        <tr r="O1519" s="2"/>
      </tp>
      <tp t="s">
        <v>#N/A Requesting Data...4214952838</v>
        <stp/>
        <stp>BDP|16172637925193463281</stp>
        <tr r="Q1609" s="2"/>
      </tp>
      <tp t="s">
        <v>#N/A Requesting Data...4202608338</v>
        <stp/>
        <stp>BDP|12940419541454080527</stp>
        <tr r="T1294" s="2"/>
      </tp>
      <tp t="s">
        <v>#N/A Requesting Data...4167688485</v>
        <stp/>
        <stp>BDP|16094616346132887540</stp>
        <tr r="H1196" s="2"/>
      </tp>
      <tp t="s">
        <v>#N/A Requesting Data...4202988162</v>
        <stp/>
        <stp>BDP|11404546436633831755</stp>
        <tr r="C1695" s="2"/>
      </tp>
      <tp t="s">
        <v>#N/A Requesting Data...4156897010</v>
        <stp/>
        <stp>BDP|10746120079473165663</stp>
        <tr r="E20" s="2"/>
      </tp>
      <tp t="s">
        <v>#N/A Requesting Data...4253889027</v>
        <stp/>
        <stp>BDP|18377354049658254465</stp>
        <tr r="P1432" s="2"/>
      </tp>
      <tp t="b">
        <v>0</v>
        <stp/>
        <stp>BDS|14850680363174327383</stp>
        <tr r="I122" s="2"/>
      </tp>
      <tp t="s">
        <v>#N/A Requesting Data...4293270942</v>
        <stp/>
        <stp>BDP|12714053659790800481</stp>
        <tr r="N1803" s="2"/>
      </tp>
      <tp t="b">
        <v>0</v>
        <stp/>
        <stp>BDS|12842961427112806890</stp>
        <tr r="I772" s="2"/>
      </tp>
      <tp t="s">
        <v>#N/A Requesting Data...4208739363</v>
        <stp/>
        <stp>BDP|16510382002343282573</stp>
        <tr r="K613" s="2"/>
      </tp>
      <tp t="b">
        <v>0</v>
        <stp/>
        <stp>BDS|17343511126931567281</stp>
        <tr r="I1538" s="2"/>
      </tp>
      <tp t="s">
        <v>#N/A Requesting Data...4267293928</v>
        <stp/>
        <stp>BDP|14577579359196319124</stp>
        <tr r="T41" s="2"/>
      </tp>
      <tp t="s">
        <v>#N/A Requesting Data...4236757449</v>
        <stp/>
        <stp>BDP|12607457759801737176</stp>
        <tr r="Q2233" s="2"/>
      </tp>
      <tp t="s">
        <v>#N/A Requesting Data...4291404952</v>
        <stp/>
        <stp>BDP|14323029618461132726</stp>
        <tr r="P610" s="2"/>
      </tp>
      <tp t="s">
        <v>#N/A Requesting Data...4205670838</v>
        <stp/>
        <stp>BDP|15274272764667287591</stp>
        <tr r="E467" s="2"/>
      </tp>
      <tp t="s">
        <v>#N/A Requesting Data...4220735865</v>
        <stp/>
        <stp>BDP|12893670573257338751</stp>
        <tr r="K220" s="2"/>
      </tp>
      <tp t="s">
        <v>#N/A Requesting Data...4187891110</v>
        <stp/>
        <stp>BDP|10999402447781626227</stp>
        <tr r="A2157" s="2"/>
      </tp>
      <tp t="s">
        <v>#N/A Requesting Data...4291937815</v>
        <stp/>
        <stp>BDP|10454155961067293381</stp>
        <tr r="A803" s="2"/>
      </tp>
      <tp t="s">
        <v>#N/A Requesting Data...4264990922</v>
        <stp/>
        <stp>BDP|16124086853636928698</stp>
        <tr r="M303" s="2"/>
      </tp>
      <tp t="s">
        <v>#N/A Requesting Data...4267557275</v>
        <stp/>
        <stp>BDP|14109032396329919778</stp>
        <tr r="O2142" s="2"/>
      </tp>
      <tp t="s">
        <v>#N/A Requesting Data...4255670505</v>
        <stp/>
        <stp>BDP|12407260188259923298</stp>
        <tr r="H2246" s="2"/>
      </tp>
      <tp t="s">
        <v>#N/A Requesting Data...4187854698</v>
        <stp/>
        <stp>BDP|17523741139477185737</stp>
        <tr r="N809" s="2"/>
      </tp>
      <tp t="s">
        <v>#N/A Requesting Data...4246725538</v>
        <stp/>
        <stp>BDP|11789889577978479567</stp>
        <tr r="T424" s="2"/>
      </tp>
      <tp t="s">
        <v>#N/A Requesting Data...4260767047</v>
        <stp/>
        <stp>BDP|17616208875370924107</stp>
        <tr r="C1730" s="2"/>
      </tp>
      <tp t="s">
        <v>#N/A Requesting Data...4281863467</v>
        <stp/>
        <stp>BDP|14138867394263918508</stp>
        <tr r="S855" s="2"/>
      </tp>
      <tp t="s">
        <v>#N/A Requesting Data...4238570365</v>
        <stp/>
        <stp>BDP|17911872165618294233</stp>
        <tr r="N579" s="2"/>
      </tp>
      <tp t="s">
        <v>#N/A Requesting Data...4222559205</v>
        <stp/>
        <stp>BDP|16963780795958846364</stp>
        <tr r="H650" s="2"/>
      </tp>
      <tp t="s">
        <v>#N/A Requesting Data...4281887895</v>
        <stp/>
        <stp>BDP|12671790701052705438</stp>
        <tr r="D1455" s="2"/>
      </tp>
      <tp t="s">
        <v>#N/A Requesting Data...4266596168</v>
        <stp/>
        <stp>BDP|13293353194512955805</stp>
        <tr r="A1063" s="2"/>
      </tp>
      <tp t="s">
        <v>#N/A Requesting Data...4241620618</v>
        <stp/>
        <stp>BDP|15662638436570960302</stp>
        <tr r="J707" s="2"/>
      </tp>
      <tp t="s">
        <v>#N/A Requesting Data...4221451556</v>
        <stp/>
        <stp>BDP|10400007433314997442</stp>
        <tr r="F344" s="2"/>
      </tp>
      <tp t="s">
        <v>#N/A Requesting Data...4291165380</v>
        <stp/>
        <stp>BDP|15857371454996608672</stp>
        <tr r="S997" s="2"/>
      </tp>
      <tp t="s">
        <v>#N/A Requesting Data...4224715378</v>
        <stp/>
        <stp>BDP|15839692567836403084</stp>
        <tr r="D128" s="2"/>
      </tp>
      <tp t="s">
        <v>#N/A Requesting Data...4224957557</v>
        <stp/>
        <stp>BDP|11481081910221265240</stp>
        <tr r="R2059" s="2"/>
      </tp>
      <tp t="s">
        <v>#N/A Requesting Data...4292290908</v>
        <stp/>
        <stp>BDP|17647551468845286238</stp>
        <tr r="N650" s="2"/>
      </tp>
      <tp t="s">
        <v>#N/A Requesting Data...4289346760</v>
        <stp/>
        <stp>BDP|16122158516663041685</stp>
        <tr r="E2187" s="2"/>
      </tp>
      <tp t="s">
        <v>#N/A Requesting Data...4244310897</v>
        <stp/>
        <stp>BDP|16500708472506539382</stp>
        <tr r="T447" s="2"/>
      </tp>
      <tp t="b">
        <v>0</v>
        <stp/>
        <stp>BDS|12246807995574985472</stp>
        <tr r="I2338" s="2"/>
      </tp>
      <tp t="s">
        <v>#N/A Requesting Data...4282588330</v>
        <stp/>
        <stp>BDP|11006048560077958371</stp>
        <tr r="M1449" s="2"/>
      </tp>
      <tp t="s">
        <v>#N/A Requesting Data...4255203927</v>
        <stp/>
        <stp>BDP|10157447458436189462</stp>
        <tr r="R170" s="2"/>
      </tp>
      <tp t="s">
        <v>#N/A Requesting Data...4268552356</v>
        <stp/>
        <stp>BDP|14986366813116464325</stp>
        <tr r="N1584" s="2"/>
      </tp>
      <tp t="b">
        <v>0</v>
        <stp/>
        <stp>BDS|10503579810470959724</stp>
        <tr r="I657" s="2"/>
      </tp>
      <tp t="s">
        <v>#N/A Requesting Data...4282159490</v>
        <stp/>
        <stp>BDP|14206314041807110791</stp>
        <tr r="E2340" s="2"/>
      </tp>
      <tp t="b">
        <v>0</v>
        <stp/>
        <stp>BDS|15769179899976924898</stp>
        <tr r="I2142" s="2"/>
      </tp>
      <tp t="s">
        <v>#N/A Requesting Data...4254579019</v>
        <stp/>
        <stp>BDP|17857357865015763457</stp>
        <tr r="A2046" s="2"/>
      </tp>
      <tp t="s">
        <v>#N/A Requesting Data...4258797245</v>
        <stp/>
        <stp>BDP|13020825480096854601</stp>
        <tr r="K1754" s="2"/>
      </tp>
      <tp t="s">
        <v>#N/A Requesting Data...4283706612</v>
        <stp/>
        <stp>BDP|16063130712482974726</stp>
        <tr r="Q1386" s="2"/>
      </tp>
      <tp t="s">
        <v>#N/A Requesting Data...4262892362</v>
        <stp/>
        <stp>BDP|18225897412784241615</stp>
        <tr r="Q2410" s="2"/>
      </tp>
      <tp t="s">
        <v>#N/A Requesting Data...4283243784</v>
        <stp/>
        <stp>BDP|10703495862579247847</stp>
        <tr r="O262" s="2"/>
      </tp>
      <tp t="s">
        <v>#N/A Requesting Data...4287509020</v>
        <stp/>
        <stp>BDP|12376114038451948290</stp>
        <tr r="T566" s="2"/>
      </tp>
      <tp t="s">
        <v>#N/A Requesting Data...4287270504</v>
        <stp/>
        <stp>BDP|11979665479164501790</stp>
        <tr r="K804" s="2"/>
      </tp>
      <tp t="s">
        <v>#N/A Requesting Data...4289971140</v>
        <stp/>
        <stp>BDP|15937555811383641112</stp>
        <tr r="K600" s="2"/>
      </tp>
      <tp t="s">
        <v>#N/A Requesting Data...4272782260</v>
        <stp/>
        <stp>BDP|16172581022204260631</stp>
        <tr r="F1733" s="2"/>
      </tp>
      <tp t="s">
        <v>#N/A Requesting Data...4280866659</v>
        <stp/>
        <stp>BDP|10134266915659024983</stp>
        <tr r="T67" s="2"/>
      </tp>
      <tp t="s">
        <v>#N/A Requesting Data...4286085874</v>
        <stp/>
        <stp>BDP|14478699126246171509</stp>
        <tr r="Q391" s="2"/>
      </tp>
      <tp t="s">
        <v>#N/A Requesting Data...4289751684</v>
        <stp/>
        <stp>BDP|14345380058799112880</stp>
        <tr r="D1263" s="2"/>
      </tp>
      <tp t="s">
        <v>#N/A Requesting Data...4281448569</v>
        <stp/>
        <stp>BDP|18181802879217791353</stp>
        <tr r="K1225" s="2"/>
      </tp>
      <tp t="s">
        <v>#N/A Requesting Data...4285969010</v>
        <stp/>
        <stp>BDP|14214885350562229821</stp>
        <tr r="M1376" s="2"/>
      </tp>
      <tp t="s">
        <v>#N/A Requesting Data...4293618502</v>
        <stp/>
        <stp>BDP|15614952406319739681</stp>
        <tr r="K1732" s="2"/>
      </tp>
      <tp t="s">
        <v>#N/A Requesting Data...4293759653</v>
        <stp/>
        <stp>BDP|16227371838185006070</stp>
        <tr r="J1075" s="2"/>
      </tp>
      <tp t="s">
        <v>#N/A Requesting Data...4292998920</v>
        <stp/>
        <stp>BDP|10507952485756746483</stp>
        <tr r="N1610" s="2"/>
      </tp>
      <tp t="s">
        <v>#N/A Requesting Data...2545967177</v>
        <stp/>
        <stp>BDP|13519006817506832703</stp>
        <tr r="N2069" s="2"/>
      </tp>
      <tp t="s">
        <v>#N/A Requesting Data...3581139315</v>
        <stp/>
        <stp>BDP|10354082269133057681</stp>
        <tr r="S2341" s="2"/>
      </tp>
      <tp t="s">
        <v>#N/A Requesting Data...1546690591</v>
        <stp/>
        <stp>BDP|13514442917421544492</stp>
        <tr r="C908" s="2"/>
      </tp>
      <tp t="s">
        <v>#N/A Requesting Data...613006820</v>
        <stp/>
        <stp>BDP|18255984601607174501</stp>
        <tr r="G1564" s="2"/>
      </tp>
      <tp t="b">
        <v>0</v>
        <stp/>
        <stp>BDS|13679173872610333690</stp>
        <tr r="I369" s="2"/>
      </tp>
      <tp t="s">
        <v>#N/A Requesting Data...328345338</v>
        <stp/>
        <stp>BDP|16172194509212208691</stp>
        <tr r="C651" s="2"/>
      </tp>
      <tp t="s">
        <v>#N/A Requesting Data...509182414</v>
        <stp/>
        <stp>BDP|15428372082109901421</stp>
        <tr r="D221" s="2"/>
      </tp>
      <tp t="s">
        <v>#N/A Requesting Data...180269421</v>
        <stp/>
        <stp>BDP|13211437670901362289</stp>
        <tr r="K370" s="2"/>
      </tp>
      <tp t="s">
        <v>#N/A Requesting Data...3073523850</v>
        <stp/>
        <stp>BDP|12234237158920053638</stp>
        <tr r="E580" s="2"/>
      </tp>
      <tp t="s">
        <v>#N/A Requesting Data...2551657266</v>
        <stp/>
        <stp>BDP|14254793691569762075</stp>
        <tr r="A1802" s="2"/>
      </tp>
      <tp t="s">
        <v>#N/A Requesting Data...1479238734</v>
        <stp/>
        <stp>BDP|15950173294656481848</stp>
        <tr r="S832" s="2"/>
      </tp>
      <tp t="s">
        <v>#N/A Requesting Data...2103266759</v>
        <stp/>
        <stp>BDP|12730543958419319825</stp>
        <tr r="D302" s="2"/>
      </tp>
      <tp t="s">
        <v>#N/A Requesting Data...1867156174</v>
        <stp/>
        <stp>BDP|10963041761442423721</stp>
        <tr r="O2164" s="2"/>
      </tp>
      <tp t="s">
        <v>#N/A Requesting Data...2642794621</v>
        <stp/>
        <stp>BDP|12508552993455016897</stp>
        <tr r="J1723" s="2"/>
      </tp>
      <tp t="s">
        <v>#N/A Requesting Data...2107359803</v>
        <stp/>
        <stp>BDP|14349204272183891138</stp>
        <tr r="F1055" s="2"/>
      </tp>
      <tp t="s">
        <v>#N/A Requesting Data...1121791788</v>
        <stp/>
        <stp>BDP|10638421136335113197</stp>
        <tr r="J403" s="2"/>
      </tp>
      <tp t="s">
        <v>#N/A Requesting Data...2856955911</v>
        <stp/>
        <stp>BDP|10297077414702298097</stp>
        <tr r="P558" s="2"/>
      </tp>
      <tp t="s">
        <v>#N/A Requesting Data...632916168</v>
        <stp/>
        <stp>BDP|13064592813624574052</stp>
        <tr r="C1177" s="2"/>
      </tp>
      <tp t="s">
        <v>#N/A Requesting Data...3407549603</v>
        <stp/>
        <stp>BDP|13912405168250950224</stp>
        <tr r="K1067" s="2"/>
      </tp>
      <tp t="s">
        <v>#N/A Requesting Data...159100265</v>
        <stp/>
        <stp>BDP|15575820930799433494</stp>
        <tr r="E1311" s="2"/>
      </tp>
      <tp t="s">
        <v>#N/A Requesting Data...3970731486</v>
        <stp/>
        <stp>BDP|13525481677475015601</stp>
        <tr r="P1838" s="2"/>
      </tp>
      <tp t="s">
        <v>#N/A Requesting Data...1600969701</v>
        <stp/>
        <stp>BDP|12806713232651753467</stp>
        <tr r="T894" s="2"/>
      </tp>
      <tp t="s">
        <v>#N/A Requesting Data...2538830963</v>
        <stp/>
        <stp>BDP|15648447139146804794</stp>
        <tr r="E1722" s="2"/>
      </tp>
      <tp t="s">
        <v>#N/A Requesting Data...2139052585</v>
        <stp/>
        <stp>BDP|11442717349030775112</stp>
        <tr r="P2151" s="2"/>
      </tp>
      <tp t="s">
        <v>#N/A Requesting Data...2412981500</v>
        <stp/>
        <stp>BDP|15517143923395941013</stp>
        <tr r="M1294" s="2"/>
      </tp>
      <tp t="s">
        <v>#N/A Requesting Data...1060448121</v>
        <stp/>
        <stp>BDP|15544529649845565215</stp>
        <tr r="M1574" s="2"/>
      </tp>
      <tp t="s">
        <v>#N/A Requesting Data...1582277799</v>
        <stp/>
        <stp>BDP|16154680041216328110</stp>
        <tr r="R2106" s="2"/>
      </tp>
      <tp t="s">
        <v>#N/A Requesting Data...2588054942</v>
        <stp/>
        <stp>BDP|13082468915246076390</stp>
        <tr r="F1966" s="2"/>
      </tp>
      <tp t="s">
        <v>#N/A Requesting Data...2748237299</v>
        <stp/>
        <stp>BDP|13311520836121902745</stp>
        <tr r="J1855" s="2"/>
      </tp>
      <tp t="s">
        <v>#N/A Requesting Data...4005264634</v>
        <stp/>
        <stp>BDP|14114781501221162130</stp>
        <tr r="O690" s="2"/>
      </tp>
      <tp t="b">
        <v>0</v>
        <stp/>
        <stp>BDS|16719962783152907659</stp>
        <tr r="I1757" s="2"/>
      </tp>
      <tp t="s">
        <v>#N/A Requesting Data...2906609313</v>
        <stp/>
        <stp>BDP|15138480157300692752</stp>
        <tr r="O1188" s="2"/>
      </tp>
      <tp t="s">
        <v>#N/A Requesting Data...1898343641</v>
        <stp/>
        <stp>BDP|18084143651047143894</stp>
        <tr r="T1269" s="2"/>
      </tp>
      <tp t="s">
        <v>#N/A Requesting Data...2153195683</v>
        <stp/>
        <stp>BDP|12909768971411065031</stp>
        <tr r="F1921" s="2"/>
      </tp>
      <tp t="s">
        <v>#N/A Requesting Data...874876184</v>
        <stp/>
        <stp>BDP|13527768200113753495</stp>
        <tr r="C68" s="2"/>
      </tp>
      <tp t="b">
        <v>0</v>
        <stp/>
        <stp>BDS|12974155402864097408</stp>
        <tr r="I980" s="2"/>
      </tp>
      <tp t="s">
        <v>#N/A Requesting Data...2241718011</v>
        <stp/>
        <stp>BDP|12491936776348550792</stp>
        <tr r="N2060" s="2"/>
      </tp>
      <tp t="s">
        <v>#N/A Requesting Data...1572766211</v>
        <stp/>
        <stp>BDP|13059409528213401514</stp>
        <tr r="E1754" s="2"/>
      </tp>
      <tp t="s">
        <v>#N/A Requesting Data...1000606929</v>
        <stp/>
        <stp>BDP|15519948249212086959</stp>
        <tr r="C452" s="2"/>
      </tp>
      <tp t="s">
        <v>#N/A Requesting Data...2047597488</v>
        <stp/>
        <stp>BDP|14473548229618168855</stp>
        <tr r="T2149" s="2"/>
      </tp>
      <tp t="s">
        <v>#N/A Requesting Data...854486868</v>
        <stp/>
        <stp>BDP|17209598206052706371</stp>
        <tr r="E1957" s="2"/>
      </tp>
      <tp t="s">
        <v>#N/A Requesting Data...2209635971</v>
        <stp/>
        <stp>BDP|10114706330720985751</stp>
        <tr r="E381" s="2"/>
      </tp>
      <tp t="s">
        <v>#N/A Requesting Data...3338896323</v>
        <stp/>
        <stp>BDP|10348767568021083303</stp>
        <tr r="D2481" s="2"/>
      </tp>
      <tp t="s">
        <v>#N/A Requesting Data...3874791034</v>
        <stp/>
        <stp>BDP|15490382153866634648</stp>
        <tr r="F2502" s="2"/>
      </tp>
      <tp t="s">
        <v>#N/A Requesting Data...1472411613</v>
        <stp/>
        <stp>BDP|17911606405223485155</stp>
        <tr r="F2015" s="2"/>
      </tp>
      <tp t="b">
        <v>0</v>
        <stp/>
        <stp>BDS|12191480740413675212</stp>
        <tr r="I1082" s="2"/>
      </tp>
      <tp t="s">
        <v>#N/A Requesting Data...4294471686</v>
        <stp/>
        <stp>BDP|14137970198123448479</stp>
        <tr r="N2005" s="2"/>
      </tp>
      <tp t="s">
        <v>#N/A Requesting Data...1147057210</v>
        <stp/>
        <stp>BDP|14860294532194795295</stp>
        <tr r="N285" s="2"/>
      </tp>
      <tp t="s">
        <v>#N/A Requesting Data...2773259330</v>
        <stp/>
        <stp>BDP|14378746419795010438</stp>
        <tr r="P727" s="2"/>
      </tp>
      <tp t="s">
        <v>#N/A Requesting Data...1279813788</v>
        <stp/>
        <stp>BDP|13802508554338217835</stp>
        <tr r="K1427" s="2"/>
      </tp>
      <tp t="s">
        <v>#N/A Requesting Data...960591392</v>
        <stp/>
        <stp>BDP|15198083285406129803</stp>
        <tr r="F94" s="2"/>
      </tp>
      <tp t="b">
        <v>0</v>
        <stp/>
        <stp>BDS|11431582896926519816</stp>
        <tr r="I1305" s="2"/>
      </tp>
      <tp t="s">
        <v>#N/A Requesting Data...1868360127</v>
        <stp/>
        <stp>BDP|12029062129901215206</stp>
        <tr r="M2333" s="2"/>
      </tp>
      <tp t="s">
        <v>#N/A Requesting Data...2389891531</v>
        <stp/>
        <stp>BDP|16984891241931988856</stp>
        <tr r="J1442" s="2"/>
      </tp>
      <tp t="s">
        <v>#N/A Requesting Data...1475497868</v>
        <stp/>
        <stp>BDP|16706136395884471987</stp>
        <tr r="F1116" s="2"/>
      </tp>
      <tp t="s">
        <v>#N/A Requesting Data...4244811070</v>
        <stp/>
        <stp>BDP|11819631338495799293</stp>
        <tr r="E95" s="2"/>
      </tp>
      <tp t="b">
        <v>0</v>
        <stp/>
        <stp>BDS|14780236550208932831</stp>
        <tr r="I1760" s="2"/>
      </tp>
      <tp t="s">
        <v>#N/A Requesting Data...3220351778</v>
        <stp/>
        <stp>BDP|12085487270974780620</stp>
        <tr r="P2041" s="2"/>
      </tp>
      <tp t="s">
        <v>#N/A Requesting Data...3655208646</v>
        <stp/>
        <stp>BDP|12432898793857080735</stp>
        <tr r="K1984" s="2"/>
      </tp>
      <tp t="s">
        <v>#N/A Requesting Data...1727439481</v>
        <stp/>
        <stp>BDP|12567847291665410598</stp>
        <tr r="S2289" s="2"/>
      </tp>
      <tp t="s">
        <v>#N/A Requesting Data...3667206004</v>
        <stp/>
        <stp>BDP|11229193036036256629</stp>
        <tr r="H189" s="2"/>
      </tp>
      <tp t="s">
        <v>#N/A Requesting Data...3137303921</v>
        <stp/>
        <stp>BDP|14951874825868447520</stp>
        <tr r="S2184" s="2"/>
      </tp>
      <tp t="s">
        <v>#N/A Requesting Data...3549603572</v>
        <stp/>
        <stp>BDP|11940492409191490702</stp>
        <tr r="R787" s="2"/>
      </tp>
      <tp t="s">
        <v>#N/A Requesting Data...3327933648</v>
        <stp/>
        <stp>BDP|14604865987154314399</stp>
        <tr r="T180" s="2"/>
      </tp>
      <tp t="s">
        <v>#N/A Requesting Data...2058340564</v>
        <stp/>
        <stp>BDP|12231526485824918810</stp>
        <tr r="P808" s="2"/>
      </tp>
      <tp t="s">
        <v>#N/A Requesting Data...3778451678</v>
        <stp/>
        <stp>BDP|13580463956439020881</stp>
        <tr r="H308" s="2"/>
      </tp>
      <tp t="s">
        <v>#N/A Requesting Data...4274823372</v>
        <stp/>
        <stp>BDP|15203082984429432779</stp>
        <tr r="R1691" s="2"/>
      </tp>
      <tp t="s">
        <v>#N/A Requesting Data...3068872647</v>
        <stp/>
        <stp>BDP|10756448156961814309</stp>
        <tr r="G701" s="2"/>
      </tp>
      <tp t="s">
        <v>#N/A Requesting Data...632833494</v>
        <stp/>
        <stp>BDP|13678840889852164275</stp>
        <tr r="F2257" s="2"/>
      </tp>
      <tp t="s">
        <v>#N/A Requesting Data...880172302</v>
        <stp/>
        <stp>BDP|13435962039308418220</stp>
        <tr r="K2479" s="2"/>
      </tp>
      <tp t="s">
        <v>#N/A Requesting Data...1176918903</v>
        <stp/>
        <stp>BDP|14946151360252655271</stp>
        <tr r="M170" s="2"/>
      </tp>
      <tp t="s">
        <v>#N/A Requesting Data...2259283488</v>
        <stp/>
        <stp>BDP|17959168797795711928</stp>
        <tr r="G854" s="2"/>
      </tp>
      <tp t="s">
        <v>#N/A Requesting Data...2566912692</v>
        <stp/>
        <stp>BDP|14305766441312013697</stp>
        <tr r="F2242" s="2"/>
      </tp>
      <tp t="s">
        <v>#N/A Requesting Data...1341095295</v>
        <stp/>
        <stp>BDP|17863356464470603127</stp>
        <tr r="A756" s="2"/>
      </tp>
      <tp t="s">
        <v>#N/A Requesting Data...755128553</v>
        <stp/>
        <stp>BDP|11149190506576466575</stp>
        <tr r="F1061" s="2"/>
      </tp>
      <tp t="s">
        <v>#N/A Requesting Data...2511112346</v>
        <stp/>
        <stp>BDP|15749383642273416246</stp>
        <tr r="P2468" s="2"/>
      </tp>
      <tp t="s">
        <v>#N/A Requesting Data...1971293598</v>
        <stp/>
        <stp>BDP|13938070101522221206</stp>
        <tr r="H478" s="2"/>
      </tp>
      <tp t="s">
        <v>#N/A Requesting Data...2521549723</v>
        <stp/>
        <stp>BDP|14821274887878594505</stp>
        <tr r="T628" s="2"/>
      </tp>
      <tp t="s">
        <v>#N/A Requesting Data...2953698607</v>
        <stp/>
        <stp>BDP|17327265145677817552</stp>
        <tr r="D451" s="2"/>
      </tp>
      <tp t="s">
        <v>#N/A Requesting Data...772637681</v>
        <stp/>
        <stp>BDP|13643535221247939001</stp>
        <tr r="C1103" s="2"/>
      </tp>
      <tp t="s">
        <v>#N/A Requesting Data...3948349435</v>
        <stp/>
        <stp>BDP|14379227597645221995</stp>
        <tr r="F2005" s="2"/>
      </tp>
      <tp t="s">
        <v>#N/A Requesting Data...3891346009</v>
        <stp/>
        <stp>BDP|13479855085176876615</stp>
        <tr r="O1767" s="2"/>
      </tp>
      <tp t="s">
        <v>#N/A Requesting Data...1292570947</v>
        <stp/>
        <stp>BDP|10460105739570606167</stp>
        <tr r="S1581" s="2"/>
      </tp>
      <tp t="s">
        <v>#N/A Requesting Data...292646630</v>
        <stp/>
        <stp>BDP|11305037669055440102</stp>
        <tr r="P111" s="2"/>
      </tp>
      <tp t="s">
        <v>#N/A Requesting Data...2629740214</v>
        <stp/>
        <stp>BDP|13248507449431303057</stp>
        <tr r="F2356" s="2"/>
      </tp>
      <tp t="s">
        <v>#N/A Requesting Data...2172703214</v>
        <stp/>
        <stp>BDP|15788339444134463596</stp>
        <tr r="M329" s="2"/>
      </tp>
      <tp t="s">
        <v>#N/A Requesting Data...3452235586</v>
        <stp/>
        <stp>BDP|15478770248204233146</stp>
        <tr r="G2367" s="2"/>
      </tp>
      <tp t="s">
        <v>#N/A Requesting Data...2316726882</v>
        <stp/>
        <stp>BDP|11104590023291418423</stp>
        <tr r="H1995" s="2"/>
      </tp>
      <tp t="s">
        <v>#N/A Requesting Data...1745187994</v>
        <stp/>
        <stp>BDP|13316504208276773310</stp>
        <tr r="J113" s="2"/>
      </tp>
      <tp t="s">
        <v>#N/A Requesting Data...1314051909</v>
        <stp/>
        <stp>BDP|16701221687208937760</stp>
        <tr r="S1800" s="2"/>
      </tp>
      <tp t="s">
        <v>#N/A Requesting Data...2205591988</v>
        <stp/>
        <stp>BDP|10367600459679233954</stp>
        <tr r="M1331" s="2"/>
      </tp>
      <tp t="s">
        <v>#N/A Requesting Data...963273199</v>
        <stp/>
        <stp>BDP|16745940355248254194</stp>
        <tr r="H2393" s="2"/>
      </tp>
      <tp t="s">
        <v>#N/A Requesting Data...3502851567</v>
        <stp/>
        <stp>BDP|12325727460381509191</stp>
        <tr r="E837" s="2"/>
      </tp>
      <tp t="s">
        <v>#N/A Requesting Data...2315189521</v>
        <stp/>
        <stp>BDP|11214705568271465237</stp>
        <tr r="K420" s="2"/>
      </tp>
      <tp t="s">
        <v>#N/A Requesting Data...2716325017</v>
        <stp/>
        <stp>BDP|13541449859938118942</stp>
        <tr r="J1882" s="2"/>
      </tp>
      <tp t="s">
        <v>#N/A Requesting Data...1344365829</v>
        <stp/>
        <stp>BDP|15412352531695952346</stp>
        <tr r="K87" s="2"/>
      </tp>
      <tp t="s">
        <v>#N/A Requesting Data...420660655</v>
        <stp/>
        <stp>BDP|15622096434480647502</stp>
        <tr r="N1904" s="2"/>
      </tp>
      <tp t="s">
        <v>#N/A Requesting Data...1734264576</v>
        <stp/>
        <stp>BDP|13053716821237470290</stp>
        <tr r="J1409" s="2"/>
      </tp>
      <tp t="s">
        <v>#N/A Requesting Data...1203596105</v>
        <stp/>
        <stp>BDP|12346009635085233798</stp>
        <tr r="P1281" s="2"/>
      </tp>
      <tp t="s">
        <v>#N/A Requesting Data...1545585537</v>
        <stp/>
        <stp>BDP|16778476203978786996</stp>
        <tr r="G319" s="2"/>
      </tp>
      <tp t="b">
        <v>0</v>
        <stp/>
        <stp>BDS|14164092972238624822</stp>
        <tr r="I670" s="2"/>
      </tp>
      <tp t="b">
        <v>0</v>
        <stp/>
        <stp>BDS|16979074555393410317</stp>
        <tr r="I695" s="2"/>
      </tp>
      <tp t="s">
        <v>#N/A Requesting Data...3832512303</v>
        <stp/>
        <stp>BDP|10221098632725034548</stp>
        <tr r="R1635" s="2"/>
      </tp>
      <tp t="s">
        <v>#N/A Requesting Data...1240624722</v>
        <stp/>
        <stp>BDP|12265576174444411783</stp>
        <tr r="F1607" s="2"/>
      </tp>
      <tp t="s">
        <v>#N/A Requesting Data...1576524682</v>
        <stp/>
        <stp>BDP|14956574802614934681</stp>
        <tr r="G2063" s="2"/>
      </tp>
      <tp t="s">
        <v>#N/A Requesting Data...4294428306</v>
        <stp/>
        <stp>BDP|15008954483720204796</stp>
        <tr r="G1092" s="2"/>
      </tp>
      <tp t="s">
        <v>#N/A Requesting Data...939781120</v>
        <stp/>
        <stp>BDP|16365262579873812398</stp>
        <tr r="T1166" s="2"/>
      </tp>
      <tp t="s">
        <v>#N/A Requesting Data...2810402000</v>
        <stp/>
        <stp>BDP|15895495285843087999</stp>
        <tr r="D2415" s="2"/>
      </tp>
      <tp t="s">
        <v>#N/A Requesting Data...1154146714</v>
        <stp/>
        <stp>BDP|17559546478731518710</stp>
        <tr r="M357" s="2"/>
      </tp>
      <tp t="s">
        <v>#N/A Requesting Data...1218276056</v>
        <stp/>
        <stp>BDP|11014153939695384529</stp>
        <tr r="M1566" s="2"/>
      </tp>
      <tp t="b">
        <v>0</v>
        <stp/>
        <stp>BDS|11444741517913883711</stp>
        <tr r="I2245" s="2"/>
      </tp>
      <tp t="s">
        <v>#N/A Requesting Data...1373161623</v>
        <stp/>
        <stp>BDP|10719528059923576043</stp>
        <tr r="Q405" s="2"/>
      </tp>
      <tp t="s">
        <v>#N/A Requesting Data...1273909880</v>
        <stp/>
        <stp>BDP|13357087921042307046</stp>
        <tr r="S526" s="2"/>
      </tp>
      <tp t="s">
        <v>#N/A Requesting Data...3483256385</v>
        <stp/>
        <stp>BDP|12661475226590844726</stp>
        <tr r="P1178" s="2"/>
      </tp>
      <tp t="s">
        <v>#N/A Requesting Data...401890892</v>
        <stp/>
        <stp>BDP|16621138954837443682</stp>
        <tr r="T2282" s="2"/>
      </tp>
      <tp t="s">
        <v>#N/A Requesting Data...606394990</v>
        <stp/>
        <stp>BDP|17611502504666998768</stp>
        <tr r="M234" s="2"/>
      </tp>
      <tp t="s">
        <v>#N/A Requesting Data...330262219</v>
        <stp/>
        <stp>BDP|12376802449705462830</stp>
        <tr r="R1717" s="2"/>
      </tp>
      <tp t="s">
        <v>#N/A Requesting Data...324756395</v>
        <stp/>
        <stp>BDP|16299268228880026500</stp>
        <tr r="N1486" s="2"/>
      </tp>
      <tp t="s">
        <v>#N/A Requesting Data...2432473467</v>
        <stp/>
        <stp>BDP|17804818626836436878</stp>
        <tr r="C1420" s="2"/>
      </tp>
      <tp t="b">
        <v>0</v>
        <stp/>
        <stp>BDS|17491574834567138590</stp>
        <tr r="I669" s="2"/>
      </tp>
      <tp t="b">
        <v>0</v>
        <stp/>
        <stp>BDS|13072687581806466825</stp>
        <tr r="I2045" s="2"/>
      </tp>
      <tp t="s">
        <v>#N/A Requesting Data...3578146316</v>
        <stp/>
        <stp>BDP|14999400733713464322</stp>
        <tr r="H322" s="2"/>
      </tp>
      <tp t="s">
        <v>#N/A Requesting Data...357401044</v>
        <stp/>
        <stp>BDP|10674991067554617828</stp>
        <tr r="E69" s="2"/>
      </tp>
      <tp t="s">
        <v>#N/A Requesting Data...3025016115</v>
        <stp/>
        <stp>BDP|14744037448931815281</stp>
        <tr r="D1939" s="2"/>
      </tp>
      <tp t="s">
        <v>#N/A Requesting Data...1244432177</v>
        <stp/>
        <stp>BDP|17011818047979930139</stp>
        <tr r="C1297" s="2"/>
      </tp>
      <tp t="s">
        <v>#N/A Requesting Data...2023959335</v>
        <stp/>
        <stp>BDP|17016084382778111479</stp>
        <tr r="O796" s="2"/>
      </tp>
      <tp t="b">
        <v>0</v>
        <stp/>
        <stp>BDS|13013808299573144272</stp>
        <tr r="I1875" s="2"/>
      </tp>
      <tp t="s">
        <v>#N/A Requesting Data...816383714</v>
        <stp/>
        <stp>BDP|11563623358440610159</stp>
        <tr r="E35" s="2"/>
      </tp>
      <tp t="s">
        <v>#N/A Requesting Data...3097735698</v>
        <stp/>
        <stp>BDP|11992737446299018804</stp>
        <tr r="C2157" s="2"/>
      </tp>
      <tp t="b">
        <v>0</v>
        <stp/>
        <stp>BDS|12202032091431677998</stp>
        <tr r="I214" s="2"/>
      </tp>
      <tp t="b">
        <v>0</v>
        <stp/>
        <stp>BDS|11150533743785696680</stp>
        <tr r="I2098" s="2"/>
      </tp>
      <tp t="s">
        <v>#N/A Requesting Data...1919828881</v>
        <stp/>
        <stp>BDP|12076669069090115127</stp>
        <tr r="N2452" s="2"/>
      </tp>
      <tp t="s">
        <v>#N/A Requesting Data...2391190980</v>
        <stp/>
        <stp>BDP|16529920428266491871</stp>
        <tr r="J2029" s="2"/>
      </tp>
      <tp t="s">
        <v>#N/A Requesting Data...1072831308</v>
        <stp/>
        <stp>BDP|12563634519656796045</stp>
        <tr r="A2076" s="2"/>
      </tp>
      <tp t="s">
        <v>#N/A Requesting Data...1353287675</v>
        <stp/>
        <stp>BDP|10000785737071047639</stp>
        <tr r="R1228" s="2"/>
      </tp>
      <tp t="s">
        <v>#N/A Requesting Data...2536011183</v>
        <stp/>
        <stp>BDP|16063677051203834528</stp>
        <tr r="C1817" s="2"/>
      </tp>
      <tp t="s">
        <v>#N/A Requesting Data...460037267</v>
        <stp/>
        <stp>BDP|16955786381528473289</stp>
        <tr r="M2377" s="2"/>
      </tp>
      <tp t="s">
        <v>#N/A Requesting Data...539270742</v>
        <stp/>
        <stp>BDP|17316789505330266305</stp>
        <tr r="P671" s="2"/>
      </tp>
      <tp t="s">
        <v>#N/A Requesting Data...1171253721</v>
        <stp/>
        <stp>BDP|14535947285315986317</stp>
        <tr r="H1919" s="2"/>
      </tp>
      <tp t="s">
        <v>#N/A Requesting Data...430784630</v>
        <stp/>
        <stp>BDP|12003694520856211375</stp>
        <tr r="N1372" s="2"/>
      </tp>
      <tp t="s">
        <v>#N/A Requesting Data...2815457110</v>
        <stp/>
        <stp>BDP|15812654084871649936</stp>
        <tr r="T636" s="2"/>
      </tp>
      <tp t="s">
        <v>#N/A Requesting Data...2440033678</v>
        <stp/>
        <stp>BDP|15249604926593836109</stp>
        <tr r="E224" s="2"/>
      </tp>
      <tp t="s">
        <v>#N/A Requesting Data...1240303585</v>
        <stp/>
        <stp>BDP|16082326157946802518</stp>
        <tr r="P1278" s="2"/>
      </tp>
      <tp t="s">
        <v>#N/A Requesting Data...2186288910</v>
        <stp/>
        <stp>BDP|13376163949187681262</stp>
        <tr r="T1257" s="2"/>
      </tp>
      <tp t="s">
        <v>#N/A Requesting Data...3976124240</v>
        <stp/>
        <stp>BDP|13976198592048718090</stp>
        <tr r="T1445" s="2"/>
      </tp>
      <tp t="s">
        <v>#N/A Requesting Data...1187422522</v>
        <stp/>
        <stp>BDP|16454095511061367538</stp>
        <tr r="Q2299" s="2"/>
      </tp>
      <tp t="s">
        <v>#N/A Requesting Data...3696488819</v>
        <stp/>
        <stp>BDP|14162149138263019611</stp>
        <tr r="P153" s="2"/>
      </tp>
      <tp t="s">
        <v>#N/A Requesting Data...4116974811</v>
        <stp/>
        <stp>BDP|13902567940954641557</stp>
        <tr r="D1244" s="2"/>
      </tp>
      <tp t="s">
        <v>#N/A Requesting Data...3395383033</v>
        <stp/>
        <stp>BDP|15084881837489213411</stp>
        <tr r="M1066" s="2"/>
      </tp>
      <tp t="s">
        <v>#N/A Requesting Data...3994032160</v>
        <stp/>
        <stp>BDP|16944811572819416321</stp>
        <tr r="C1276" s="2"/>
      </tp>
      <tp t="s">
        <v>#N/A Requesting Data...1099115395</v>
        <stp/>
        <stp>BDP|10898160420242701257</stp>
        <tr r="F1210" s="2"/>
      </tp>
      <tp t="s">
        <v>#N/A Requesting Data...2035647197</v>
        <stp/>
        <stp>BDP|15834237201971156574</stp>
        <tr r="G769" s="2"/>
      </tp>
      <tp t="s">
        <v>#N/A Requesting Data...2677819461</v>
        <stp/>
        <stp>BDP|11803414553413578034</stp>
        <tr r="R2347" s="2"/>
      </tp>
      <tp t="b">
        <v>0</v>
        <stp/>
        <stp>BDS|13050343221157908634</stp>
        <tr r="I559" s="2"/>
      </tp>
      <tp t="s">
        <v>#N/A Requesting Data...1008799918</v>
        <stp/>
        <stp>BDP|14243750178180134725</stp>
        <tr r="C1792" s="2"/>
      </tp>
      <tp t="s">
        <v>#N/A Requesting Data...1323203804</v>
        <stp/>
        <stp>BDP|10021555399389269621</stp>
        <tr r="K1448" s="2"/>
      </tp>
      <tp t="s">
        <v>#N/A Requesting Data...2267660939</v>
        <stp/>
        <stp>BDP|10479724784574625886</stp>
        <tr r="N1324" s="2"/>
      </tp>
      <tp t="b">
        <v>0</v>
        <stp/>
        <stp>BDS|14842797562742501495</stp>
        <tr r="I2184" s="2"/>
      </tp>
      <tp t="s">
        <v>#N/A Requesting Data...2595003976</v>
        <stp/>
        <stp>BDP|16773036602627329295</stp>
        <tr r="C1566" s="2"/>
      </tp>
      <tp t="s">
        <v>#N/A Requesting Data...3229246419</v>
        <stp/>
        <stp>BDP|16102599875992489558</stp>
        <tr r="O1959" s="2"/>
      </tp>
      <tp t="s">
        <v>#N/A Requesting Data...4256463996</v>
        <stp/>
        <stp>BDP|18158071711009805334</stp>
        <tr r="O1908" s="2"/>
      </tp>
      <tp t="s">
        <v>#N/A Requesting Data...4045202398</v>
        <stp/>
        <stp>BDP|12118087210674348464</stp>
        <tr r="E1043" s="2"/>
      </tp>
      <tp t="s">
        <v>#N/A Requesting Data...3042526979</v>
        <stp/>
        <stp>BDP|14423191507200608606</stp>
        <tr r="R1451" s="2"/>
      </tp>
      <tp t="s">
        <v>#N/A Requesting Data...3005054081</v>
        <stp/>
        <stp>BDP|15037550878550292438</stp>
        <tr r="S513" s="2"/>
      </tp>
      <tp t="s">
        <v>#N/A Requesting Data...2234890934</v>
        <stp/>
        <stp>BDP|11420271979355337254</stp>
        <tr r="P2510" s="2"/>
      </tp>
      <tp t="s">
        <v>#N/A Requesting Data...3355952975</v>
        <stp/>
        <stp>BDP|13765887281717251704</stp>
        <tr r="O167" s="2"/>
      </tp>
      <tp t="s">
        <v>#N/A Requesting Data...2987209117</v>
        <stp/>
        <stp>BDP|11922808157619684643</stp>
        <tr r="F2342" s="2"/>
      </tp>
      <tp t="s">
        <v>#N/A Requesting Data...1675910061</v>
        <stp/>
        <stp>BDP|16081528819033557223</stp>
        <tr r="J238" s="2"/>
      </tp>
      <tp t="s">
        <v>#N/A Requesting Data...2685515793</v>
        <stp/>
        <stp>BDP|14089386641272684232</stp>
        <tr r="N1148" s="2"/>
      </tp>
      <tp t="s">
        <v>#N/A Requesting Data...2639020904</v>
        <stp/>
        <stp>BDP|12460937390218959920</stp>
        <tr r="R696" s="2"/>
      </tp>
      <tp t="s">
        <v>#N/A Requesting Data...3413435472</v>
        <stp/>
        <stp>BDP|18131535184126249085</stp>
        <tr r="H1696" s="2"/>
      </tp>
      <tp t="s">
        <v>#N/A Requesting Data...1555157968</v>
        <stp/>
        <stp>BDP|15943940612329286719</stp>
        <tr r="K1909" s="2"/>
      </tp>
      <tp t="s">
        <v>#N/A Requesting Data...2787180504</v>
        <stp/>
        <stp>BDP|16005304783618752681</stp>
        <tr r="K721" s="2"/>
      </tp>
      <tp t="s">
        <v>#N/A Requesting Data...2411958067</v>
        <stp/>
        <stp>BDP|17657391213174750276</stp>
        <tr r="F1052" s="2"/>
      </tp>
      <tp t="s">
        <v>#N/A Requesting Data...3245547549</v>
        <stp/>
        <stp>BDP|17679505498400202803</stp>
        <tr r="K1979" s="2"/>
      </tp>
      <tp t="s">
        <v>#N/A Requesting Data...1923440580</v>
        <stp/>
        <stp>BDP|14512663988590068974</stp>
        <tr r="O1097" s="2"/>
      </tp>
      <tp t="s">
        <v>#N/A Requesting Data...835573155</v>
        <stp/>
        <stp>BDP|15231335225564910317</stp>
        <tr r="Q2515" s="2"/>
      </tp>
      <tp t="s">
        <v>#N/A Requesting Data...3209849784</v>
        <stp/>
        <stp>BDP|12902703433446431321</stp>
        <tr r="J833" s="2"/>
      </tp>
      <tp t="s">
        <v>#N/A Requesting Data...2467212319</v>
        <stp/>
        <stp>BDP|17162020942015479594</stp>
        <tr r="P1789" s="2"/>
      </tp>
      <tp t="s">
        <v>#N/A Requesting Data...1401992223</v>
        <stp/>
        <stp>BDP|10420035818664457670</stp>
        <tr r="S1348" s="2"/>
      </tp>
      <tp t="s">
        <v>#N/A Requesting Data...2966183672</v>
        <stp/>
        <stp>BDP|13692733802000380786</stp>
        <tr r="F1680" s="2"/>
      </tp>
      <tp t="s">
        <v>#N/A Requesting Data...2226135065</v>
        <stp/>
        <stp>BDP|12950107120036576401</stp>
        <tr r="Q1595" s="2"/>
      </tp>
      <tp t="b">
        <v>0</v>
        <stp/>
        <stp>BDS|15503662609774041455</stp>
        <tr r="I1504" s="2"/>
      </tp>
      <tp t="s">
        <v>#N/A Requesting Data...1379601161</v>
        <stp/>
        <stp>BDP|12657397690629091239</stp>
        <tr r="T2445" s="2"/>
      </tp>
      <tp t="s">
        <v>#N/A Requesting Data...1931499713</v>
        <stp/>
        <stp>BDP|15061107342874579785</stp>
        <tr r="M1175" s="2"/>
      </tp>
      <tp t="s">
        <v>#N/A Requesting Data...3443856193</v>
        <stp/>
        <stp>BDP|13228075239333071038</stp>
        <tr r="O742" s="2"/>
      </tp>
      <tp t="s">
        <v>#N/A Requesting Data...2967321010</v>
        <stp/>
        <stp>BDP|15944287649785480537</stp>
        <tr r="C715" s="2"/>
      </tp>
      <tp t="s">
        <v>#N/A Requesting Data...2330665837</v>
        <stp/>
        <stp>BDP|13098671515485914246</stp>
        <tr r="G554" s="2"/>
      </tp>
      <tp t="s">
        <v>#N/A Requesting Data...2654409940</v>
        <stp/>
        <stp>BDP|12809544605610483420</stp>
        <tr r="T2125" s="2"/>
      </tp>
      <tp t="s">
        <v>#N/A Requesting Data...2473126540</v>
        <stp/>
        <stp>BDP|15165976178889873195</stp>
        <tr r="G402" s="2"/>
      </tp>
      <tp t="s">
        <v>#N/A Requesting Data...3645520643</v>
        <stp/>
        <stp>BDP|13266583713997056363</stp>
        <tr r="G371" s="2"/>
      </tp>
      <tp t="s">
        <v>#N/A Requesting Data...4180204696</v>
        <stp/>
        <stp>BDP|10583678720135883253</stp>
        <tr r="K2286" s="2"/>
      </tp>
      <tp t="s">
        <v>#N/A Requesting Data...1446914082</v>
        <stp/>
        <stp>BDP|13088597877450165207</stp>
        <tr r="F1443" s="2"/>
      </tp>
      <tp t="s">
        <v>#N/A Requesting Data...4116539007</v>
        <stp/>
        <stp>BDP|14923939160148078054</stp>
        <tr r="R1038" s="2"/>
      </tp>
      <tp t="s">
        <v>#N/A Requesting Data...1890843092</v>
        <stp/>
        <stp>BDP|17600532051780840439</stp>
        <tr r="E1846" s="2"/>
      </tp>
      <tp t="s">
        <v>#N/A Requesting Data...2770644754</v>
        <stp/>
        <stp>BDP|11261308809216622726</stp>
        <tr r="Q204" s="2"/>
      </tp>
      <tp t="s">
        <v>#N/A Requesting Data...3505052168</v>
        <stp/>
        <stp>BDP|15931709499090758887</stp>
        <tr r="R1921" s="2"/>
      </tp>
      <tp t="s">
        <v>#N/A Requesting Data...3861418469</v>
        <stp/>
        <stp>BDP|12815257318917841523</stp>
        <tr r="D935" s="2"/>
      </tp>
      <tp t="s">
        <v>#N/A Requesting Data...2784460422</v>
        <stp/>
        <stp>BDP|17709512835442895047</stp>
        <tr r="C1002" s="2"/>
      </tp>
      <tp t="s">
        <v>#N/A Requesting Data...2271287363</v>
        <stp/>
        <stp>BDP|18189837440220561784</stp>
        <tr r="K1956" s="2"/>
      </tp>
      <tp t="s">
        <v>#N/A Requesting Data...781402894</v>
        <stp/>
        <stp>BDP|13563967780769907859</stp>
        <tr r="F241" s="2"/>
      </tp>
      <tp t="s">
        <v>#N/A Requesting Data...1637485553</v>
        <stp/>
        <stp>BDP|10985951226441753927</stp>
        <tr r="Q734" s="2"/>
      </tp>
      <tp t="b">
        <v>0</v>
        <stp/>
        <stp>BDS|13358177609644939588</stp>
        <tr r="I1811" s="2"/>
      </tp>
      <tp t="s">
        <v>#N/A Requesting Data...3000195175</v>
        <stp/>
        <stp>BDP|13796839049178779458</stp>
        <tr r="R1295" s="2"/>
      </tp>
      <tp t="s">
        <v>#N/A Requesting Data...3018982047</v>
        <stp/>
        <stp>BDP|13480788825181086467</stp>
        <tr r="E1874" s="2"/>
      </tp>
      <tp t="s">
        <v>#N/A Requesting Data...3790946705</v>
        <stp/>
        <stp>BDP|18223128531449970077</stp>
        <tr r="C312" s="2"/>
      </tp>
      <tp t="s">
        <v>#N/A Requesting Data...1536957140</v>
        <stp/>
        <stp>BDP|14684523645483976575</stp>
        <tr r="M1590" s="2"/>
      </tp>
      <tp t="b">
        <v>0</v>
        <stp/>
        <stp>BDS|17848730147671480647</stp>
        <tr r="I1278" s="2"/>
      </tp>
      <tp t="s">
        <v>#N/A Requesting Data...2066323141</v>
        <stp/>
        <stp>BDP|18053863239885021501</stp>
        <tr r="E294" s="2"/>
      </tp>
      <tp t="s">
        <v>#N/A Requesting Data...1246048287</v>
        <stp/>
        <stp>BDP|12879404131415593333</stp>
        <tr r="J737" s="2"/>
      </tp>
      <tp t="s">
        <v>#N/A Requesting Data...3400828791</v>
        <stp/>
        <stp>BDP|14992448064671298442</stp>
        <tr r="E1593" s="2"/>
      </tp>
      <tp t="s">
        <v>#N/A Requesting Data...2032731766</v>
        <stp/>
        <stp>BDP|10013249932150823217</stp>
        <tr r="Q1308" s="2"/>
      </tp>
      <tp t="s">
        <v>#N/A Requesting Data...3597161213</v>
        <stp/>
        <stp>BDP|12957900082896572616</stp>
        <tr r="S1476" s="2"/>
      </tp>
      <tp t="s">
        <v>#N/A Requesting Data...1421281574</v>
        <stp/>
        <stp>BDP|17927826100088395471</stp>
        <tr r="F628" s="2"/>
      </tp>
      <tp t="s">
        <v>#N/A Requesting Data...4018024942</v>
        <stp/>
        <stp>BDP|11270446965858518894</stp>
        <tr r="A204" s="2"/>
      </tp>
      <tp t="s">
        <v>#N/A Requesting Data...1514895426</v>
        <stp/>
        <stp>BDP|10888281574585982328</stp>
        <tr r="R515" s="2"/>
      </tp>
      <tp t="s">
        <v>#N/A Requesting Data...2296020409</v>
        <stp/>
        <stp>BDP|12737835198379280911</stp>
        <tr r="J760" s="2"/>
      </tp>
      <tp t="s">
        <v>#N/A Requesting Data...3420566777</v>
        <stp/>
        <stp>BDP|16011571260420800608</stp>
        <tr r="O1399" s="2"/>
      </tp>
      <tp t="s">
        <v>#N/A Requesting Data...1593160230</v>
        <stp/>
        <stp>BDP|16837335503860047679</stp>
        <tr r="P1698" s="2"/>
      </tp>
      <tp t="s">
        <v>#N/A Requesting Data...4289210389</v>
        <stp/>
        <stp>BDP|12933370135597049641</stp>
        <tr r="G415" s="2"/>
      </tp>
      <tp t="s">
        <v>#N/A Requesting Data...3176024858</v>
        <stp/>
        <stp>BDP|17078537488018360174</stp>
        <tr r="H2067" s="2"/>
      </tp>
      <tp t="s">
        <v>#N/A Requesting Data...3661141487</v>
        <stp/>
        <stp>BDP|14952582929359041972</stp>
        <tr r="N2310" s="2"/>
      </tp>
      <tp t="s">
        <v>#N/A Requesting Data...798106559</v>
        <stp/>
        <stp>BDP|11697646458981111045</stp>
        <tr r="A1553" s="2"/>
      </tp>
      <tp t="s">
        <v>#N/A Requesting Data...3886528720</v>
        <stp/>
        <stp>BDP|14048189262979257973</stp>
        <tr r="D897" s="2"/>
      </tp>
      <tp t="s">
        <v>#N/A Requesting Data...2283269459</v>
        <stp/>
        <stp>BDP|11634452605766121086</stp>
        <tr r="S403" s="2"/>
      </tp>
      <tp t="s">
        <v>#N/A Requesting Data...2344602833</v>
        <stp/>
        <stp>BDP|16484562312871680098</stp>
        <tr r="D1671" s="2"/>
      </tp>
      <tp t="s">
        <v>#N/A Requesting Data...3354248510</v>
        <stp/>
        <stp>BDP|14303837503278554791</stp>
        <tr r="M2048" s="2"/>
      </tp>
      <tp t="s">
        <v>#N/A Requesting Data...3706046889</v>
        <stp/>
        <stp>BDP|17110709540376886162</stp>
        <tr r="T944" s="2"/>
      </tp>
      <tp t="b">
        <v>0</v>
        <stp/>
        <stp>BDS|15184567808353052039</stp>
        <tr r="I1333" s="2"/>
      </tp>
      <tp t="s">
        <v>#N/A Requesting Data...2459523441</v>
        <stp/>
        <stp>BDP|17056132968107565410</stp>
        <tr r="M2519" s="2"/>
      </tp>
      <tp t="s">
        <v>#N/A Requesting Data...3063301218</v>
        <stp/>
        <stp>BDP|10718614258708958887</stp>
        <tr r="F1150" s="2"/>
      </tp>
      <tp t="s">
        <v>#N/A Requesting Data...953179891</v>
        <stp/>
        <stp>BDP|12361191710233667233</stp>
        <tr r="J2406" s="2"/>
      </tp>
      <tp t="s">
        <v>#N/A Requesting Data...1881045316</v>
        <stp/>
        <stp>BDP|11720108209993150001</stp>
        <tr r="T2165" s="2"/>
      </tp>
      <tp t="s">
        <v>#N/A Requesting Data...2256572798</v>
        <stp/>
        <stp>BDP|12330969944955937977</stp>
        <tr r="E2196" s="2"/>
      </tp>
      <tp t="s">
        <v>#N/A Requesting Data...3941830182</v>
        <stp/>
        <stp>BDP|10539615132514173283</stp>
        <tr r="F2472" s="2"/>
      </tp>
      <tp t="s">
        <v>#N/A Requesting Data...3465684727</v>
        <stp/>
        <stp>BDP|17109980159788801070</stp>
        <tr r="S2178" s="2"/>
      </tp>
      <tp t="s">
        <v>#N/A Requesting Data...1621223976</v>
        <stp/>
        <stp>BDP|12708668928790185571</stp>
        <tr r="G1208" s="2"/>
      </tp>
      <tp t="s">
        <v>#N/A Requesting Data...2264378268</v>
        <stp/>
        <stp>BDP|17011795574480020424</stp>
        <tr r="C1141" s="2"/>
      </tp>
      <tp t="s">
        <v>#N/A Requesting Data...4179503047</v>
        <stp/>
        <stp>BDP|15602271090859798496</stp>
        <tr r="M2144" s="2"/>
      </tp>
      <tp t="s">
        <v>#N/A Requesting Data...4215441745</v>
        <stp/>
        <stp>BDP|12948831484336376727</stp>
        <tr r="C1925" s="2"/>
      </tp>
      <tp t="b">
        <v>0</v>
        <stp/>
        <stp>BDS|12253467439501102701</stp>
        <tr r="I1426" s="2"/>
      </tp>
      <tp t="s">
        <v>#N/A Requesting Data...3573565167</v>
        <stp/>
        <stp>BDP|17448722437597922777</stp>
        <tr r="T510" s="2"/>
      </tp>
      <tp t="s">
        <v>#N/A Requesting Data...1352132183</v>
        <stp/>
        <stp>BDP|18068416028719619400</stp>
        <tr r="R1169" s="2"/>
      </tp>
      <tp t="s">
        <v>#N/A Requesting Data...1933129405</v>
        <stp/>
        <stp>BDP|11918511172567430713</stp>
        <tr r="O1969" s="2"/>
      </tp>
      <tp t="s">
        <v>#N/A Requesting Data...1728197506</v>
        <stp/>
        <stp>BDP|10729171083239974353</stp>
        <tr r="E886" s="2"/>
      </tp>
      <tp t="s">
        <v>#N/A Requesting Data...1365030055</v>
        <stp/>
        <stp>BDP|15639704028576737564</stp>
        <tr r="J498" s="2"/>
      </tp>
      <tp t="s">
        <v>#N/A Requesting Data...730998438</v>
        <stp/>
        <stp>BDP|18035481882270042751</stp>
        <tr r="R1401" s="2"/>
      </tp>
      <tp t="s">
        <v>#N/A Requesting Data...751570927</v>
        <stp/>
        <stp>BDP|11087122298778219279</stp>
        <tr r="Q1157" s="2"/>
      </tp>
      <tp t="s">
        <v>#N/A Requesting Data...4034501181</v>
        <stp/>
        <stp>BDP|15597171013984944270</stp>
        <tr r="R2043" s="2"/>
      </tp>
      <tp t="s">
        <v>#N/A Requesting Data...1609436759</v>
        <stp/>
        <stp>BDP|10173314968400300642</stp>
        <tr r="P509" s="2"/>
      </tp>
      <tp t="s">
        <v>#N/A Requesting Data...2648879841</v>
        <stp/>
        <stp>BDP|14408635029312353126</stp>
        <tr r="C605" s="2"/>
      </tp>
      <tp t="s">
        <v>#N/A Requesting Data...1615764622</v>
        <stp/>
        <stp>BDP|14195752239810662340</stp>
        <tr r="A1308" s="2"/>
      </tp>
      <tp t="s">
        <v>#N/A Requesting Data...3001676777</v>
        <stp/>
        <stp>BDP|17805713524731397018</stp>
        <tr r="E1800" s="2"/>
      </tp>
      <tp t="s">
        <v>#N/A Requesting Data...3969997287</v>
        <stp/>
        <stp>BDP|10703700727357867170</stp>
        <tr r="H2007" s="2"/>
      </tp>
      <tp t="s">
        <v>#N/A Requesting Data...3418051497</v>
        <stp/>
        <stp>BDP|11122399983888335175</stp>
        <tr r="D462" s="2"/>
      </tp>
      <tp t="s">
        <v>#N/A Requesting Data...3130058171</v>
        <stp/>
        <stp>BDP|14514925679721812897</stp>
        <tr r="C1896" s="2"/>
      </tp>
      <tp t="s">
        <v>#N/A Requesting Data...2588187605</v>
        <stp/>
        <stp>BDP|17738549264934036384</stp>
        <tr r="E1293" s="2"/>
      </tp>
      <tp t="s">
        <v>#N/A Requesting Data...950316033</v>
        <stp/>
        <stp>BDP|15362483698719540292</stp>
        <tr r="M1981" s="2"/>
      </tp>
      <tp t="s">
        <v>#N/A Requesting Data...1290965199</v>
        <stp/>
        <stp>BDP|18146506431024815977</stp>
        <tr r="S1766" s="2"/>
      </tp>
      <tp t="s">
        <v>#N/A Requesting Data...2775440267</v>
        <stp/>
        <stp>BDP|14080547610937882425</stp>
        <tr r="R1923" s="2"/>
      </tp>
      <tp t="s">
        <v>#N/A Requesting Data...1715696415</v>
        <stp/>
        <stp>BDP|17737256468050790037</stp>
        <tr r="D695" s="2"/>
      </tp>
      <tp t="s">
        <v>#N/A Requesting Data...2202026972</v>
        <stp/>
        <stp>BDP|14651091205155296267</stp>
        <tr r="A1895" s="2"/>
      </tp>
      <tp t="s">
        <v>#N/A Requesting Data...2650797214</v>
        <stp/>
        <stp>BDP|13990145942235654071</stp>
        <tr r="T870" s="2"/>
      </tp>
      <tp t="s">
        <v>#N/A Requesting Data...2406450321</v>
        <stp/>
        <stp>BDP|10197861445538977750</stp>
        <tr r="S222" s="2"/>
      </tp>
      <tp t="s">
        <v>#N/A Requesting Data...4278519603</v>
        <stp/>
        <stp>BDP|13624040547264996023</stp>
        <tr r="P1021" s="2"/>
      </tp>
      <tp t="s">
        <v>#N/A Requesting Data...1623391943</v>
        <stp/>
        <stp>BDP|10442794364052418038</stp>
        <tr r="J1560" s="2"/>
      </tp>
      <tp t="s">
        <v>#N/A Requesting Data...4197919873</v>
        <stp/>
        <stp>BDP|17579026028873140504</stp>
        <tr r="E1775" s="2"/>
      </tp>
      <tp t="b">
        <v>0</v>
        <stp/>
        <stp>BDS|18288677478309025307</stp>
        <tr r="I1659" s="2"/>
      </tp>
      <tp t="s">
        <v>#N/A Requesting Data...1346273075</v>
        <stp/>
        <stp>BDP|12048623671721897150</stp>
        <tr r="E1948" s="2"/>
      </tp>
      <tp t="s">
        <v>#N/A Requesting Data...2807057026</v>
        <stp/>
        <stp>BDP|11715895781757021518</stp>
        <tr r="C1331" s="2"/>
      </tp>
      <tp t="s">
        <v>#N/A Requesting Data...3568475009</v>
        <stp/>
        <stp>BDP|14824414656425393322</stp>
        <tr r="H1588" s="2"/>
      </tp>
      <tp t="s">
        <v>#N/A Requesting Data...3811064917</v>
        <stp/>
        <stp>BDP|16184920567073882928</stp>
        <tr r="S333" s="2"/>
      </tp>
      <tp t="s">
        <v>#N/A Requesting Data...2191303366</v>
        <stp/>
        <stp>BDP|11418601750394295582</stp>
        <tr r="C1886" s="2"/>
      </tp>
      <tp t="s">
        <v>#N/A Requesting Data...3135668716</v>
        <stp/>
        <stp>BDP|11968140851780263608</stp>
        <tr r="N194" s="2"/>
      </tp>
      <tp t="s">
        <v>#N/A Requesting Data...3777852886</v>
        <stp/>
        <stp>BDP|16141288383836195952</stp>
        <tr r="A1429" s="2"/>
      </tp>
      <tp t="s">
        <v>#N/A Requesting Data...3364017919</v>
        <stp/>
        <stp>BDP|16137705135509988835</stp>
        <tr r="C1999" s="2"/>
      </tp>
      <tp t="s">
        <v>#N/A Requesting Data...2656309986</v>
        <stp/>
        <stp>BDP|12442887793058799864</stp>
        <tr r="S1032" s="2"/>
      </tp>
      <tp t="s">
        <v>#N/A Requesting Data...799236222</v>
        <stp/>
        <stp>BDP|17467668352293837461</stp>
        <tr r="P825" s="2"/>
      </tp>
      <tp t="s">
        <v>#N/A Requesting Data...2657764596</v>
        <stp/>
        <stp>BDP|13075388981122234950</stp>
        <tr r="J377" s="2"/>
      </tp>
      <tp t="s">
        <v>#N/A Requesting Data...1520772332</v>
        <stp/>
        <stp>BDP|10807972267975352953</stp>
        <tr r="M2204" s="2"/>
      </tp>
      <tp t="s">
        <v>#N/A Requesting Data...2315196059</v>
        <stp/>
        <stp>BDP|18335886858264482293</stp>
        <tr r="F2346" s="2"/>
      </tp>
      <tp t="s">
        <v>#N/A Requesting Data...3339386385</v>
        <stp/>
        <stp>BDP|13357280875895171016</stp>
        <tr r="N1136" s="2"/>
      </tp>
      <tp t="b">
        <v>0</v>
        <stp/>
        <stp>BDS|15139466138193012229</stp>
        <tr r="I2122" s="2"/>
      </tp>
      <tp t="s">
        <v>#N/A Requesting Data...911605439</v>
        <stp/>
        <stp>BDP|13866501243899250879</stp>
        <tr r="G1293" s="2"/>
      </tp>
      <tp t="s">
        <v>#N/A Requesting Data...3212178899</v>
        <stp/>
        <stp>BDP|12318863901049929033</stp>
        <tr r="C59" s="2"/>
      </tp>
      <tp t="s">
        <v>#N/A Requesting Data...2846839061</v>
        <stp/>
        <stp>BDP|15429362105447140283</stp>
        <tr r="H519" s="2"/>
      </tp>
      <tp t="s">
        <v>#N/A Requesting Data...2984701937</v>
        <stp/>
        <stp>BDP|17752181507686523333</stp>
        <tr r="P2191" s="2"/>
      </tp>
      <tp t="s">
        <v>#N/A Requesting Data...2978715761</v>
        <stp/>
        <stp>BDP|17833769204854438702</stp>
        <tr r="R1239" s="2"/>
      </tp>
      <tp t="s">
        <v>#N/A Requesting Data...1498300643</v>
        <stp/>
        <stp>BDP|10307161755167711092</stp>
        <tr r="Q1937" s="2"/>
      </tp>
      <tp t="s">
        <v>#N/A Requesting Data...2183787702</v>
        <stp/>
        <stp>BDP|15979243914774470137</stp>
        <tr r="M73" s="2"/>
      </tp>
      <tp t="s">
        <v>#N/A Requesting Data...3717683680</v>
        <stp/>
        <stp>BDP|10434360649376723221</stp>
        <tr r="D2099" s="2"/>
      </tp>
      <tp t="s">
        <v>#N/A Requesting Data...1653147103</v>
        <stp/>
        <stp>BDP|12415749761873773384</stp>
        <tr r="K730" s="2"/>
      </tp>
      <tp t="s">
        <v>#N/A Requesting Data...1288399017</v>
        <stp/>
        <stp>BDP|10110182035454364512</stp>
        <tr r="E863" s="2"/>
      </tp>
      <tp t="s">
        <v>#N/A Requesting Data...3521253389</v>
        <stp/>
        <stp>BDP|15766203447469704992</stp>
        <tr r="T1610" s="2"/>
      </tp>
      <tp t="s">
        <v>#N/A Requesting Data...2482430673</v>
        <stp/>
        <stp>BDP|18008694408374674992</stp>
        <tr r="K1403" s="2"/>
      </tp>
      <tp t="s">
        <v>#N/A Requesting Data...1949381744</v>
        <stp/>
        <stp>BDP|11051541835431724580</stp>
        <tr r="H320" s="2"/>
      </tp>
      <tp t="s">
        <v>#N/A Requesting Data...2462834988</v>
        <stp/>
        <stp>BDP|12498890342538861598</stp>
        <tr r="Q855" s="2"/>
      </tp>
      <tp t="s">
        <v>#N/A Requesting Data...3815466965</v>
        <stp/>
        <stp>BDP|15515449424831917123</stp>
        <tr r="N1971" s="2"/>
      </tp>
      <tp t="s">
        <v>#N/A Requesting Data...4070857739</v>
        <stp/>
        <stp>BDP|15856572302923052039</stp>
        <tr r="H1054" s="2"/>
      </tp>
      <tp t="s">
        <v>#N/A Requesting Data...3129204840</v>
        <stp/>
        <stp>BDP|12793456666246296586</stp>
        <tr r="G291" s="2"/>
      </tp>
      <tp t="s">
        <v>#N/A Requesting Data...2279783714</v>
        <stp/>
        <stp>BDP|16611567306638076885</stp>
        <tr r="E662" s="2"/>
      </tp>
      <tp t="b">
        <v>0</v>
        <stp/>
        <stp>BDS|10581162759930244755</stp>
        <tr r="I55" s="2"/>
      </tp>
      <tp t="s">
        <v>#N/A Requesting Data...2970902208</v>
        <stp/>
        <stp>BDP|14060168975188891954</stp>
        <tr r="E1005" s="2"/>
      </tp>
      <tp t="s">
        <v>#N/A Requesting Data...3603098601</v>
        <stp/>
        <stp>BDP|14300222479163111170</stp>
        <tr r="M94" s="2"/>
      </tp>
      <tp t="s">
        <v>#N/A Requesting Data...3285198565</v>
        <stp/>
        <stp>BDP|14911847004538726700</stp>
        <tr r="A436" s="2"/>
      </tp>
      <tp t="s">
        <v>#N/A Requesting Data...1648978015</v>
        <stp/>
        <stp>BDP|17724687366715000173</stp>
        <tr r="O1112" s="2"/>
      </tp>
      <tp t="s">
        <v>#N/A Requesting Data...1052447246</v>
        <stp/>
        <stp>BDP|10869507933760655532</stp>
        <tr r="K791" s="2"/>
      </tp>
      <tp t="s">
        <v>#N/A Requesting Data...3272673879</v>
        <stp/>
        <stp>BDP|10542874665355973805</stp>
        <tr r="O1983" s="2"/>
      </tp>
      <tp t="b">
        <v>0</v>
        <stp/>
        <stp>BDS|14031193676361253007</stp>
        <tr r="I1449" s="2"/>
      </tp>
      <tp t="s">
        <v>#N/A Requesting Data...1674033920</v>
        <stp/>
        <stp>BDP|10957088564980826536</stp>
        <tr r="D295" s="2"/>
      </tp>
      <tp t="s">
        <v>#N/A Requesting Data...2486232423</v>
        <stp/>
        <stp>BDP|16024573723085855724</stp>
        <tr r="J548" s="2"/>
      </tp>
      <tp t="s">
        <v>#N/A Requesting Data...3339775487</v>
        <stp/>
        <stp>BDP|10668041584022067981</stp>
        <tr r="M1855" s="2"/>
      </tp>
      <tp t="s">
        <v>#N/A Requesting Data...1651763087</v>
        <stp/>
        <stp>BDP|13433184479003202597</stp>
        <tr r="S2483" s="2"/>
      </tp>
      <tp t="s">
        <v>#N/A Requesting Data...4202865063</v>
        <stp/>
        <stp>BDP|12156139665036147088</stp>
        <tr r="Q846" s="2"/>
      </tp>
      <tp t="s">
        <v>#N/A Requesting Data...3454200686</v>
        <stp/>
        <stp>BDP|16640432000510925121</stp>
        <tr r="F525" s="2"/>
      </tp>
      <tp t="s">
        <v>#N/A Requesting Data...1932162275</v>
        <stp/>
        <stp>BDP|10650342867670358684</stp>
        <tr r="D1587" s="2"/>
      </tp>
      <tp t="s">
        <v>#N/A Requesting Data...2957860690</v>
        <stp/>
        <stp>BDP|16935867076439140364</stp>
        <tr r="S432" s="2"/>
      </tp>
      <tp t="s">
        <v>#N/A Requesting Data...1240470962</v>
        <stp/>
        <stp>BDP|10482449801335859277</stp>
        <tr r="N1290" s="2"/>
      </tp>
      <tp t="s">
        <v>#N/A Requesting Data...2759415039</v>
        <stp/>
        <stp>BDP|15559695924476635407</stp>
        <tr r="N257" s="2"/>
      </tp>
      <tp t="s">
        <v>#N/A Requesting Data...3772120656</v>
        <stp/>
        <stp>BDP|14542307941052224286</stp>
        <tr r="H1598" s="2"/>
      </tp>
      <tp t="s">
        <v>#N/A Requesting Data...1139983623</v>
        <stp/>
        <stp>BDP|10350814078525676924</stp>
        <tr r="A1770" s="2"/>
      </tp>
      <tp t="s">
        <v>#N/A Requesting Data...3045918297</v>
        <stp/>
        <stp>BDP|11314220236554971704</stp>
        <tr r="O2476" s="2"/>
      </tp>
      <tp t="s">
        <v>#N/A Requesting Data...1827065084</v>
        <stp/>
        <stp>BDP|11816117720155639412</stp>
        <tr r="K1769" s="2"/>
      </tp>
      <tp t="s">
        <v>#N/A Requesting Data...3723239329</v>
        <stp/>
        <stp>BDP|16028116068861393343</stp>
        <tr r="Q2221" s="2"/>
      </tp>
      <tp t="s">
        <v>#N/A Requesting Data...1558345415</v>
        <stp/>
        <stp>BDP|15083686139730968369</stp>
        <tr r="F1146" s="2"/>
      </tp>
      <tp t="s">
        <v>#N/A Requesting Data...3222945313</v>
        <stp/>
        <stp>BDP|16759351500463463580</stp>
        <tr r="P397" s="2"/>
      </tp>
      <tp t="s">
        <v>#N/A Requesting Data...3355598381</v>
        <stp/>
        <stp>BDP|17863051505172209640</stp>
        <tr r="D765" s="2"/>
      </tp>
      <tp t="s">
        <v>#N/A Requesting Data...2885771475</v>
        <stp/>
        <stp>BDP|13207635031225810060</stp>
        <tr r="T1927" s="2"/>
      </tp>
      <tp t="s">
        <v>#N/A Requesting Data...4014445870</v>
        <stp/>
        <stp>BDP|17391169536001470791</stp>
        <tr r="G1933" s="2"/>
      </tp>
      <tp t="s">
        <v>#N/A Requesting Data...3071895636</v>
        <stp/>
        <stp>BDP|18162305789553224342</stp>
        <tr r="T1206" s="2"/>
      </tp>
      <tp t="s">
        <v>#N/A Requesting Data...2718652033</v>
        <stp/>
        <stp>BDP|16254791839539928855</stp>
        <tr r="Q1457" s="2"/>
      </tp>
      <tp t="b">
        <v>0</v>
        <stp/>
        <stp>BDS|10832673306234625126</stp>
        <tr r="I1446" s="2"/>
      </tp>
      <tp t="s">
        <v>#N/A Requesting Data...1290653951</v>
        <stp/>
        <stp>BDP|14665009860533873208</stp>
        <tr r="J2077" s="2"/>
      </tp>
      <tp t="s">
        <v>#N/A Requesting Data...2263982853</v>
        <stp/>
        <stp>BDP|10126796253163616231</stp>
        <tr r="E835" s="2"/>
      </tp>
      <tp t="s">
        <v>#N/A Requesting Data...1037911073</v>
        <stp/>
        <stp>BDP|15194001969642721218</stp>
        <tr r="O1516" s="2"/>
      </tp>
      <tp t="s">
        <v>#N/A Requesting Data...2438754231</v>
        <stp/>
        <stp>BDP|12532663990937314913</stp>
        <tr r="O2011" s="2"/>
      </tp>
      <tp t="s">
        <v>#N/A Requesting Data...3051269828</v>
        <stp/>
        <stp>BDP|13171368662196157350</stp>
        <tr r="G625" s="2"/>
      </tp>
      <tp t="s">
        <v>#N/A Requesting Data...3805461009</v>
        <stp/>
        <stp>BDP|12186969816038835189</stp>
        <tr r="N1242" s="2"/>
      </tp>
      <tp t="s">
        <v>#N/A Requesting Data...3975378441</v>
        <stp/>
        <stp>BDP|10587537586707246937</stp>
        <tr r="O1496" s="2"/>
      </tp>
      <tp t="s">
        <v>#N/A Requesting Data...2025160697</v>
        <stp/>
        <stp>BDP|13085538306961530411</stp>
        <tr r="D1111" s="2"/>
      </tp>
      <tp t="s">
        <v>#N/A Requesting Data...1385517692</v>
        <stp/>
        <stp>BDP|16062638075166054271</stp>
        <tr r="E543" s="2"/>
      </tp>
      <tp t="s">
        <v>#N/A Requesting Data...1748139667</v>
        <stp/>
        <stp>BDP|14223001342235781662</stp>
        <tr r="R2054" s="2"/>
      </tp>
      <tp t="b">
        <v>0</v>
        <stp/>
        <stp>BDS|13554830791826323764</stp>
        <tr r="I1600" s="2"/>
      </tp>
      <tp t="s">
        <v>#N/A Requesting Data...3923166191</v>
        <stp/>
        <stp>BDP|14566853557823515936</stp>
        <tr r="T2419" s="2"/>
      </tp>
      <tp t="s">
        <v>#N/A Requesting Data...1896127738</v>
        <stp/>
        <stp>BDP|17480367017434707231</stp>
        <tr r="A1563" s="2"/>
      </tp>
      <tp t="s">
        <v>#N/A Requesting Data...1650710923</v>
        <stp/>
        <stp>BDP|15330691010915866437</stp>
        <tr r="N366" s="2"/>
      </tp>
      <tp t="s">
        <v>#N/A Requesting Data...3400096336</v>
        <stp/>
        <stp>BDP|13529714925576981391</stp>
        <tr r="G2000" s="2"/>
      </tp>
      <tp t="s">
        <v>#N/A Requesting Data...2015168137</v>
        <stp/>
        <stp>BDP|10420718631467321066</stp>
        <tr r="C133" s="2"/>
      </tp>
      <tp t="s">
        <v>#N/A Requesting Data...4101361403</v>
        <stp/>
        <stp>BDP|16425548775431700634</stp>
        <tr r="K1874" s="2"/>
      </tp>
      <tp t="s">
        <v>#N/A Requesting Data...1907113155</v>
        <stp/>
        <stp>BDP|10546885091467593586</stp>
        <tr r="R1179" s="2"/>
      </tp>
      <tp t="s">
        <v>#N/A Requesting Data...3865775721</v>
        <stp/>
        <stp>BDP|14664301656287178608</stp>
        <tr r="Q1183" s="2"/>
      </tp>
      <tp t="s">
        <v>#N/A Requesting Data...2794931105</v>
        <stp/>
        <stp>BDP|15950087648915975716</stp>
        <tr r="Q2127" s="2"/>
      </tp>
      <tp t="s">
        <v>#N/A Requesting Data...1166972435</v>
        <stp/>
        <stp>BDP|12366051259144989077</stp>
        <tr r="O1529" s="2"/>
      </tp>
      <tp t="s">
        <v>#N/A Requesting Data...1857256578</v>
        <stp/>
        <stp>BDP|14532218025345757274</stp>
        <tr r="G370" s="2"/>
      </tp>
      <tp t="s">
        <v>#N/A Requesting Data...2978887947</v>
        <stp/>
        <stp>BDP|14287065962656709702</stp>
        <tr r="C403" s="2"/>
      </tp>
      <tp t="s">
        <v>#N/A Requesting Data...1637225855</v>
        <stp/>
        <stp>BDP|13367525616362793611</stp>
        <tr r="Q1372" s="2"/>
      </tp>
      <tp t="s">
        <v>#N/A Requesting Data...3962562454</v>
        <stp/>
        <stp>BDP|14600508134429422876</stp>
        <tr r="H471" s="2"/>
      </tp>
      <tp t="s">
        <v>#N/A Requesting Data...2274460067</v>
        <stp/>
        <stp>BDP|16091555766167519173</stp>
        <tr r="F914" s="2"/>
      </tp>
      <tp t="s">
        <v>#N/A Requesting Data...1286947924</v>
        <stp/>
        <stp>BDP|10788115083779654320</stp>
        <tr r="G342" s="2"/>
      </tp>
      <tp t="s">
        <v>#N/A Requesting Data...3501087495</v>
        <stp/>
        <stp>BDP|13783022114075506455</stp>
        <tr r="G793" s="2"/>
      </tp>
      <tp t="s">
        <v>#N/A Requesting Data...4171709783</v>
        <stp/>
        <stp>BDP|11871594975812525207</stp>
        <tr r="O2312" s="2"/>
      </tp>
      <tp t="s">
        <v>#N/A Requesting Data...2474165267</v>
        <stp/>
        <stp>BDP|15095877237164709961</stp>
        <tr r="T806" s="2"/>
      </tp>
      <tp t="s">
        <v>#N/A Requesting Data...2695324360</v>
        <stp/>
        <stp>BDP|14362803052723985994</stp>
        <tr r="H805" s="2"/>
      </tp>
      <tp t="s">
        <v>#N/A Requesting Data...3574929239</v>
        <stp/>
        <stp>BDP|11850719454006850647</stp>
        <tr r="S94" s="2"/>
      </tp>
      <tp t="s">
        <v>#N/A Requesting Data...1853730356</v>
        <stp/>
        <stp>BDP|10678750996815726833</stp>
        <tr r="F166" s="2"/>
      </tp>
      <tp t="s">
        <v>#N/A Requesting Data...3669689748</v>
        <stp/>
        <stp>BDP|17386291720840395486</stp>
        <tr r="O1688" s="2"/>
      </tp>
      <tp t="s">
        <v>#N/A Requesting Data...3351040164</v>
        <stp/>
        <stp>BDP|14117774684920440876</stp>
        <tr r="F1913" s="2"/>
      </tp>
      <tp t="s">
        <v>#N/A Requesting Data...3278676080</v>
        <stp/>
        <stp>BDP|13840990995371483112</stp>
        <tr r="M2315" s="2"/>
      </tp>
      <tp t="s">
        <v>#N/A Requesting Data...2227604067</v>
        <stp/>
        <stp>BDP|13092272450685272247</stp>
        <tr r="M694" s="2"/>
      </tp>
      <tp t="s">
        <v>#N/A Requesting Data...2182184095</v>
        <stp/>
        <stp>BDP|10355771832605094276</stp>
        <tr r="T328" s="2"/>
      </tp>
      <tp t="s">
        <v>#N/A Requesting Data...2460765577</v>
        <stp/>
        <stp>BDP|10204493304983817466</stp>
        <tr r="N494" s="2"/>
      </tp>
      <tp t="s">
        <v>#N/A Requesting Data...1534204167</v>
        <stp/>
        <stp>BDP|15215453445222146429</stp>
        <tr r="M1935" s="2"/>
      </tp>
      <tp t="s">
        <v>#N/A Requesting Data...2200219095</v>
        <stp/>
        <stp>BDP|16779971901778553459</stp>
        <tr r="T1064" s="2"/>
      </tp>
      <tp t="s">
        <v>#N/A Requesting Data...2351071306</v>
        <stp/>
        <stp>BDP|17136020943760509049</stp>
        <tr r="O252" s="2"/>
      </tp>
      <tp t="s">
        <v>#N/A Requesting Data...2021090443</v>
        <stp/>
        <stp>BDP|12746471857843528332</stp>
        <tr r="C994" s="2"/>
      </tp>
      <tp t="b">
        <v>0</v>
        <stp/>
        <stp>BDS|15903590734495410529</stp>
        <tr r="I1160" s="2"/>
      </tp>
      <tp t="s">
        <v>#N/A Requesting Data...1098769657</v>
        <stp/>
        <stp>BDP|18235628750390462852</stp>
        <tr r="N1720" s="2"/>
      </tp>
      <tp t="s">
        <v>#N/A Requesting Data...4073439167</v>
        <stp/>
        <stp>BDP|16520014322195431238</stp>
        <tr r="J69" s="2"/>
      </tp>
      <tp t="s">
        <v>#N/A Requesting Data...2746170479</v>
        <stp/>
        <stp>BDP|14343651372992233473</stp>
        <tr r="J983" s="2"/>
      </tp>
      <tp t="s">
        <v>#N/A Requesting Data...2478233123</v>
        <stp/>
        <stp>BDP|10256941230268422138</stp>
        <tr r="N999" s="2"/>
      </tp>
      <tp t="s">
        <v>#N/A Requesting Data...3828090214</v>
        <stp/>
        <stp>BDP|17823115068490107310</stp>
        <tr r="D2308" s="2"/>
      </tp>
      <tp t="s">
        <v>#N/A Requesting Data...1269244655</v>
        <stp/>
        <stp>BDP|14616972201086800890</stp>
        <tr r="A446" s="2"/>
      </tp>
      <tp t="s">
        <v>#N/A Requesting Data...4273451154</v>
        <stp/>
        <stp>BDP|15558700947083276611</stp>
        <tr r="H1796" s="2"/>
      </tp>
      <tp t="s">
        <v>#N/A Requesting Data...1216547580</v>
        <stp/>
        <stp>BDP|17100400949236022293</stp>
        <tr r="P382" s="2"/>
      </tp>
      <tp t="s">
        <v>#N/A Requesting Data...2990061907</v>
        <stp/>
        <stp>BDP|15464092788748242664</stp>
        <tr r="G2497" s="2"/>
      </tp>
      <tp t="s">
        <v>#N/A Requesting Data...2163767823</v>
        <stp/>
        <stp>BDP|12877099257956544220</stp>
        <tr r="C2162" s="2"/>
      </tp>
      <tp t="s">
        <v>#N/A Requesting Data...3054331228</v>
        <stp/>
        <stp>BDP|17470944772908211218</stp>
        <tr r="D541" s="2"/>
      </tp>
      <tp t="s">
        <v>#N/A Requesting Data...2162273332</v>
        <stp/>
        <stp>BDP|18418978004627395554</stp>
        <tr r="T1013" s="2"/>
      </tp>
      <tp t="s">
        <v>#N/A Requesting Data...3069558624</v>
        <stp/>
        <stp>BDP|10229206210222172223</stp>
        <tr r="M145" s="2"/>
      </tp>
      <tp t="b">
        <v>0</v>
        <stp/>
        <stp>BDS|14607023328565909074</stp>
        <tr r="I1004" s="2"/>
      </tp>
      <tp t="s">
        <v>#N/A Requesting Data...3821579701</v>
        <stp/>
        <stp>BDP|13055658247264650658</stp>
        <tr r="G1916" s="2"/>
      </tp>
      <tp t="s">
        <v>#N/A Requesting Data...3987069571</v>
        <stp/>
        <stp>BDP|11395374305961720074</stp>
        <tr r="E1701" s="2"/>
      </tp>
      <tp t="s">
        <v>#N/A Requesting Data...1131231875</v>
        <stp/>
        <stp>BDP|15303676730776322562</stp>
        <tr r="Q345" s="2"/>
      </tp>
      <tp t="s">
        <v>#N/A Requesting Data...1568270768</v>
        <stp/>
        <stp>BDP|16654248485817351851</stp>
        <tr r="N1460" s="2"/>
      </tp>
      <tp t="s">
        <v>#N/A Requesting Data...1356703293</v>
        <stp/>
        <stp>BDP|13306438130530789765</stp>
        <tr r="J1373" s="2"/>
      </tp>
      <tp t="s">
        <v>#N/A Requesting Data...3773742484</v>
        <stp/>
        <stp>BDP|17849674064672962630</stp>
        <tr r="E8" s="2"/>
      </tp>
      <tp t="s">
        <v>#N/A Requesting Data...3079550168</v>
        <stp/>
        <stp>BDP|17895188857422700215</stp>
        <tr r="K1653" s="2"/>
      </tp>
      <tp t="s">
        <v>#N/A Requesting Data...1218768700</v>
        <stp/>
        <stp>BDP|18295754999335881076</stp>
        <tr r="A101" s="2"/>
      </tp>
      <tp t="s">
        <v>#N/A Requesting Data...3764349249</v>
        <stp/>
        <stp>BDP|12088311064971676527</stp>
        <tr r="M1990" s="2"/>
      </tp>
      <tp t="s">
        <v>#N/A Requesting Data...2540715313</v>
        <stp/>
        <stp>BDP|17046746556387262117</stp>
        <tr r="F1717" s="2"/>
      </tp>
      <tp t="s">
        <v>#N/A Requesting Data...2190723228</v>
        <stp/>
        <stp>BDP|16338356121764277045</stp>
        <tr r="D82" s="2"/>
      </tp>
      <tp t="s">
        <v>#N/A Requesting Data...3013953004</v>
        <stp/>
        <stp>BDP|14468365901463242703</stp>
        <tr r="D2106" s="2"/>
      </tp>
      <tp t="s">
        <v>#N/A Requesting Data...3244169726</v>
        <stp/>
        <stp>BDP|10932385882389066123</stp>
        <tr r="G845" s="2"/>
      </tp>
      <tp t="s">
        <v>#N/A Requesting Data...1342782533</v>
        <stp/>
        <stp>BDP|12856719642976363493</stp>
        <tr r="S549" s="2"/>
      </tp>
      <tp t="s">
        <v>#N/A Requesting Data...3965128744</v>
        <stp/>
        <stp>BDP|10615137734730836182</stp>
        <tr r="C2476" s="2"/>
      </tp>
      <tp t="s">
        <v>#N/A Requesting Data...2830876456</v>
        <stp/>
        <stp>BDP|15115959530364191842</stp>
        <tr r="H1401" s="2"/>
      </tp>
      <tp t="s">
        <v>#N/A Requesting Data...2537360031</v>
        <stp/>
        <stp>BDP|10989090969437180294</stp>
        <tr r="O2361" s="2"/>
      </tp>
      <tp t="s">
        <v>#N/A Requesting Data...2605393930</v>
        <stp/>
        <stp>BDP|12529211377905198133</stp>
        <tr r="A58" s="2"/>
      </tp>
      <tp t="s">
        <v>#N/A Requesting Data...2172446619</v>
        <stp/>
        <stp>BDP|10543499041966479584</stp>
        <tr r="O1285" s="2"/>
      </tp>
      <tp t="s">
        <v>#N/A Requesting Data...1988799910</v>
        <stp/>
        <stp>BDP|15562033152421330265</stp>
        <tr r="N1542" s="2"/>
      </tp>
      <tp t="s">
        <v>#N/A Requesting Data...4108191265</v>
        <stp/>
        <stp>BDP|10501536511116668107</stp>
        <tr r="J1383" s="2"/>
      </tp>
      <tp t="s">
        <v>#N/A Requesting Data...2110707215</v>
        <stp/>
        <stp>BDP|13923305792388953237</stp>
        <tr r="A2178" s="2"/>
      </tp>
      <tp t="s">
        <v>#N/A Requesting Data...1534726890</v>
        <stp/>
        <stp>BDP|10619120256224400375</stp>
        <tr r="G666" s="2"/>
      </tp>
      <tp t="s">
        <v>#N/A Requesting Data...2185664610</v>
        <stp/>
        <stp>BDP|16189559701717235763</stp>
        <tr r="K64" s="2"/>
      </tp>
      <tp t="s">
        <v>#N/A Requesting Data...3185202486</v>
        <stp/>
        <stp>BDP|11933339518754194422</stp>
        <tr r="S881" s="2"/>
      </tp>
      <tp t="s">
        <v>#N/A Requesting Data...1773820608</v>
        <stp/>
        <stp>BDP|15568357979524055687</stp>
        <tr r="C1916" s="2"/>
      </tp>
      <tp t="s">
        <v>#N/A Requesting Data...3756380524</v>
        <stp/>
        <stp>BDP|11043013036203262245</stp>
        <tr r="S1599" s="2"/>
      </tp>
      <tp t="s">
        <v>#N/A Requesting Data...2266389695</v>
        <stp/>
        <stp>BDP|11170675510401085478</stp>
        <tr r="S1845" s="2"/>
      </tp>
      <tp t="s">
        <v>#N/A Requesting Data...3936843254</v>
        <stp/>
        <stp>BDP|11888496662073089320</stp>
        <tr r="S2422" s="2"/>
      </tp>
      <tp t="s">
        <v>#N/A Requesting Data...1605399478</v>
        <stp/>
        <stp>BDP|10723025221239238873</stp>
        <tr r="O1853" s="2"/>
      </tp>
      <tp t="s">
        <v>#N/A Requesting Data...4225519108</v>
        <stp/>
        <stp>BDP|12508214425490770172</stp>
        <tr r="K1943" s="2"/>
      </tp>
      <tp t="s">
        <v>#N/A Requesting Data...1279340889</v>
        <stp/>
        <stp>BDP|12776183169255367345</stp>
        <tr r="K594" s="2"/>
      </tp>
      <tp t="s">
        <v>#N/A Requesting Data...2402042056</v>
        <stp/>
        <stp>BDP|13699297914521275289</stp>
        <tr r="K1358" s="2"/>
      </tp>
      <tp t="s">
        <v>#N/A Requesting Data...2125867999</v>
        <stp/>
        <stp>BDP|12177736017035112255</stp>
        <tr r="D440" s="2"/>
      </tp>
      <tp t="s">
        <v>#N/A Requesting Data...1656596412</v>
        <stp/>
        <stp>BDP|14150333235530667700</stp>
        <tr r="O2087" s="2"/>
      </tp>
      <tp t="s">
        <v>#N/A Requesting Data...3838718606</v>
        <stp/>
        <stp>BDP|12638105195488170130</stp>
        <tr r="H93" s="2"/>
      </tp>
      <tp t="s">
        <v>#N/A Requesting Data...3903770000</v>
        <stp/>
        <stp>BDP|16556224054614546676</stp>
        <tr r="M2243" s="2"/>
      </tp>
      <tp t="b">
        <v>0</v>
        <stp/>
        <stp>BDS|13164015366036515017</stp>
        <tr r="I2516" s="2"/>
      </tp>
      <tp t="s">
        <v>#N/A Requesting Data...2573820450</v>
        <stp/>
        <stp>BDP|18220940755453232400</stp>
        <tr r="E733" s="2"/>
      </tp>
      <tp t="s">
        <v>#N/A Requesting Data...1770527866</v>
        <stp/>
        <stp>BDP|13942683267391235153</stp>
        <tr r="C1467" s="2"/>
      </tp>
      <tp t="s">
        <v>#N/A Requesting Data...2090786066</v>
        <stp/>
        <stp>BDP|15171920110177268904</stp>
        <tr r="S2006" s="2"/>
      </tp>
      <tp t="s">
        <v>#N/A Requesting Data...2175021939</v>
        <stp/>
        <stp>BDP|12019274738704710497</stp>
        <tr r="D2072" s="2"/>
      </tp>
      <tp t="s">
        <v>#N/A Requesting Data...1519249118</v>
        <stp/>
        <stp>BDP|13731927191081790129</stp>
        <tr r="P1193" s="2"/>
      </tp>
      <tp t="s">
        <v>#N/A Requesting Data...4182969650</v>
        <stp/>
        <stp>BDP|17338410123237422547</stp>
        <tr r="P1198" s="2"/>
      </tp>
      <tp t="s">
        <v>#N/A Requesting Data...3837509593</v>
        <stp/>
        <stp>BDP|16117000483185640850</stp>
        <tr r="Q1294" s="2"/>
      </tp>
      <tp t="s">
        <v>#N/A Requesting Data...3740080564</v>
        <stp/>
        <stp>BDP|13129500440507657666</stp>
        <tr r="O139" s="2"/>
      </tp>
      <tp t="s">
        <v>#N/A Requesting Data...4218474028</v>
        <stp/>
        <stp>BDP|14143819630488098414</stp>
        <tr r="R134" s="2"/>
      </tp>
      <tp t="b">
        <v>0</v>
        <stp/>
        <stp>BDS|10716946283624323617</stp>
        <tr r="I1022" s="2"/>
      </tp>
      <tp t="s">
        <v>#N/A Requesting Data...1830908277</v>
        <stp/>
        <stp>BDP|10605175129582928206</stp>
        <tr r="O1472" s="2"/>
      </tp>
      <tp t="s">
        <v>#N/A Requesting Data...4002463257</v>
        <stp/>
        <stp>BDP|14161156493518530732</stp>
        <tr r="C2059" s="2"/>
      </tp>
      <tp t="s">
        <v>#N/A Requesting Data...1880629109</v>
        <stp/>
        <stp>BDP|14583195441582548098</stp>
        <tr r="Q2377" s="2"/>
      </tp>
      <tp t="s">
        <v>#N/A Requesting Data...2261757559</v>
        <stp/>
        <stp>BDP|14191781141181199584</stp>
        <tr r="J629" s="2"/>
      </tp>
      <tp t="s">
        <v>#N/A Requesting Data...3137396098</v>
        <stp/>
        <stp>BDP|18281963470014274178</stp>
        <tr r="O2432" s="2"/>
      </tp>
      <tp t="s">
        <v>#N/A Requesting Data...2734794645</v>
        <stp/>
        <stp>BDP|16192327627470090457</stp>
        <tr r="F1452" s="2"/>
      </tp>
      <tp t="s">
        <v>#N/A Requesting Data...2870485583</v>
        <stp/>
        <stp>BDP|10884564928872785617</stp>
        <tr r="G1541" s="2"/>
      </tp>
      <tp t="s">
        <v>#N/A Requesting Data...1930009672</v>
        <stp/>
        <stp>BDP|17683795358414469234</stp>
        <tr r="J150" s="2"/>
      </tp>
      <tp t="s">
        <v>#N/A Requesting Data...3920250774</v>
        <stp/>
        <stp>BDP|15153105863971018023</stp>
        <tr r="D526" s="2"/>
      </tp>
      <tp t="b">
        <v>0</v>
        <stp/>
        <stp>BDS|18278883918730705268</stp>
        <tr r="I427" s="2"/>
      </tp>
      <tp t="s">
        <v>#N/A Requesting Data...1646542064</v>
        <stp/>
        <stp>BDP|17586324424067324205</stp>
        <tr r="S409" s="2"/>
      </tp>
      <tp t="s">
        <v>#N/A Requesting Data...1735738116</v>
        <stp/>
        <stp>BDP|15810399447386631702</stp>
        <tr r="H1690" s="2"/>
      </tp>
      <tp t="s">
        <v>#N/A Requesting Data...3223292153</v>
        <stp/>
        <stp>BDP|12350660962442431338</stp>
        <tr r="E1519" s="2"/>
      </tp>
      <tp t="s">
        <v>#N/A Requesting Data...2297179503</v>
        <stp/>
        <stp>BDP|18209888628458643942</stp>
        <tr r="E924" s="2"/>
      </tp>
      <tp t="s">
        <v>#N/A Requesting Data...1549072744</v>
        <stp/>
        <stp>BDP|13531428924851096730</stp>
        <tr r="H1376" s="2"/>
      </tp>
      <tp t="s">
        <v>#N/A Requesting Data...1706856223</v>
        <stp/>
        <stp>BDP|17062348864258854983</stp>
        <tr r="P711" s="2"/>
      </tp>
      <tp t="s">
        <v>#N/A Requesting Data...1688152862</v>
        <stp/>
        <stp>BDP|11396503773035484548</stp>
        <tr r="H1707" s="2"/>
      </tp>
      <tp t="s">
        <v>#N/A Requesting Data...2043883017</v>
        <stp/>
        <stp>BDP|11579088952757724080</stp>
        <tr r="J2445" s="2"/>
      </tp>
      <tp t="s">
        <v>#N/A Requesting Data...2271002807</v>
        <stp/>
        <stp>BDP|10306994500239292385</stp>
        <tr r="N1774" s="2"/>
      </tp>
      <tp t="s">
        <v>#N/A Requesting Data...3638000079</v>
        <stp/>
        <stp>BDP|13264758365628767954</stp>
        <tr r="J2059" s="2"/>
      </tp>
      <tp t="s">
        <v>#N/A Requesting Data...3627236237</v>
        <stp/>
        <stp>BDP|14852630269356688147</stp>
        <tr r="R1015" s="2"/>
      </tp>
      <tp t="s">
        <v>#N/A Requesting Data...2213774010</v>
        <stp/>
        <stp>BDP|15381537366346229347</stp>
        <tr r="E687" s="2"/>
      </tp>
      <tp t="s">
        <v>#N/A Requesting Data...2670798636</v>
        <stp/>
        <stp>BDP|16458221510736580032</stp>
        <tr r="D919" s="2"/>
      </tp>
      <tp t="s">
        <v>#N/A Requesting Data...3838899383</v>
        <stp/>
        <stp>BDP|13272698677785544495</stp>
        <tr r="Q1253" s="2"/>
      </tp>
      <tp t="s">
        <v>#N/A Requesting Data...2552061763</v>
        <stp/>
        <stp>BDP|14490889502459745699</stp>
        <tr r="R1603" s="2"/>
      </tp>
      <tp t="s">
        <v>#N/A Requesting Data...1987631937</v>
        <stp/>
        <stp>BDP|16056827273793485955</stp>
        <tr r="O1013" s="2"/>
      </tp>
      <tp t="s">
        <v>#N/A Requesting Data...2843763888</v>
        <stp/>
        <stp>BDP|12065513005792642629</stp>
        <tr r="Q559" s="2"/>
      </tp>
      <tp t="s">
        <v>#N/A Requesting Data...2934386650</v>
        <stp/>
        <stp>BDP|10597240915349550910</stp>
        <tr r="D106" s="2"/>
      </tp>
      <tp t="s">
        <v>#N/A Requesting Data...1526638374</v>
        <stp/>
        <stp>BDP|14541778218394220582</stp>
        <tr r="O1306" s="2"/>
      </tp>
      <tp t="b">
        <v>0</v>
        <stp/>
        <stp>BDS|11462122981909171255</stp>
        <tr r="I1081" s="2"/>
      </tp>
      <tp t="s">
        <v>#N/A Requesting Data...1401164874</v>
        <stp/>
        <stp>BDP|17986209588027274939</stp>
        <tr r="M1442" s="2"/>
      </tp>
      <tp t="s">
        <v>#N/A Requesting Data...3562632072</v>
        <stp/>
        <stp>BDP|14900526035706876769</stp>
        <tr r="J1095" s="2"/>
      </tp>
      <tp t="s">
        <v>#N/A Requesting Data...1977700045</v>
        <stp/>
        <stp>BDP|14814124771153927229</stp>
        <tr r="A359" s="2"/>
      </tp>
      <tp t="s">
        <v>#N/A Requesting Data...4046769929</v>
        <stp/>
        <stp>BDP|17546036267847319525</stp>
        <tr r="T1646" s="2"/>
      </tp>
      <tp t="s">
        <v>#N/A Requesting Data...1880068813</v>
        <stp/>
        <stp>BDP|15346343651850031062</stp>
        <tr r="E1736" s="2"/>
      </tp>
      <tp t="s">
        <v>#N/A Requesting Data...3240835727</v>
        <stp/>
        <stp>BDP|15890406163735200196</stp>
        <tr r="E875" s="2"/>
      </tp>
      <tp t="s">
        <v>#N/A Requesting Data...3084309027</v>
        <stp/>
        <stp>BDP|17699939703434503939</stp>
        <tr r="K98" s="2"/>
      </tp>
      <tp t="s">
        <v>#N/A Requesting Data...2475199391</v>
        <stp/>
        <stp>BDP|12387171812310217146</stp>
        <tr r="P1182" s="2"/>
      </tp>
      <tp t="s">
        <v>#N/A Requesting Data...1374756199</v>
        <stp/>
        <stp>BDP|14416997016977869834</stp>
        <tr r="N1140" s="2"/>
      </tp>
      <tp t="s">
        <v>#N/A Requesting Data...2792216032</v>
        <stp/>
        <stp>BDP|13889533668300345301</stp>
        <tr r="T1616" s="2"/>
      </tp>
      <tp t="s">
        <v>#N/A Requesting Data...3533042881</v>
        <stp/>
        <stp>BDP|13115826202020590843</stp>
        <tr r="K1151" s="2"/>
      </tp>
      <tp t="s">
        <v>#N/A Requesting Data...1992776166</v>
        <stp/>
        <stp>BDP|13506079449577871336</stp>
        <tr r="Q1199" s="2"/>
      </tp>
      <tp t="s">
        <v>#N/A Requesting Data...4170265221</v>
        <stp/>
        <stp>BDP|11133926913983484949</stp>
        <tr r="O2184" s="2"/>
      </tp>
      <tp t="s">
        <v>#N/A Requesting Data...4091144295</v>
        <stp/>
        <stp>BDP|11734332593770797802</stp>
        <tr r="N1615" s="2"/>
      </tp>
      <tp t="s">
        <v>#N/A Requesting Data...1750601114</v>
        <stp/>
        <stp>BDP|17244149666412852181</stp>
        <tr r="M961" s="2"/>
      </tp>
      <tp t="s">
        <v>#N/A Requesting Data...3903461692</v>
        <stp/>
        <stp>BDP|13618441871953456071</stp>
        <tr r="C1620" s="2"/>
      </tp>
      <tp t="s">
        <v>#N/A Requesting Data...1900130696</v>
        <stp/>
        <stp>BDP|15664320432614242249</stp>
        <tr r="P1644" s="2"/>
      </tp>
      <tp t="b">
        <v>0</v>
        <stp/>
        <stp>BDS|10793432912431376764</stp>
        <tr r="I355" s="2"/>
      </tp>
      <tp t="s">
        <v>#N/A Requesting Data...1536829647</v>
        <stp/>
        <stp>BDP|15474137770936079672</stp>
        <tr r="M1269" s="2"/>
      </tp>
      <tp t="s">
        <v>#N/A Requesting Data...2407143403</v>
        <stp/>
        <stp>BDP|11458289803480710085</stp>
        <tr r="N1940" s="2"/>
      </tp>
      <tp t="s">
        <v>#N/A Requesting Data...3433738449</v>
        <stp/>
        <stp>BDP|15999481375570565517</stp>
        <tr r="D22" s="2"/>
      </tp>
      <tp t="s">
        <v>#N/A Requesting Data...1972560604</v>
        <stp/>
        <stp>BDP|17003123921190186726</stp>
        <tr r="Q416" s="2"/>
      </tp>
      <tp t="s">
        <v>#N/A Requesting Data...2016118786</v>
        <stp/>
        <stp>BDP|15955068130557625296</stp>
        <tr r="G143" s="2"/>
      </tp>
      <tp t="s">
        <v>#N/A Requesting Data...4017780899</v>
        <stp/>
        <stp>BDP|14614122115956901186</stp>
        <tr r="M2392" s="2"/>
      </tp>
      <tp t="s">
        <v>#N/A Requesting Data...4055425071</v>
        <stp/>
        <stp>BDP|17772515853981042553</stp>
        <tr r="N941" s="2"/>
      </tp>
      <tp t="s">
        <v>#N/A Requesting Data...3938317637</v>
        <stp/>
        <stp>BDP|12641274151943227527</stp>
        <tr r="R2092" s="2"/>
      </tp>
      <tp t="s">
        <v>#N/A Requesting Data...4121730056</v>
        <stp/>
        <stp>BDP|13576928680098145968</stp>
        <tr r="O2275" s="2"/>
      </tp>
      <tp t="s">
        <v>#N/A Requesting Data...3134711715</v>
        <stp/>
        <stp>BDP|12414732332800098551</stp>
        <tr r="E2445" s="2"/>
      </tp>
      <tp t="s">
        <v>#N/A Requesting Data...3830999534</v>
        <stp/>
        <stp>BDP|13461036852251093458</stp>
        <tr r="O1382" s="2"/>
      </tp>
      <tp t="s">
        <v>#N/A Requesting Data...2980203261</v>
        <stp/>
        <stp>BDP|17747316910165567336</stp>
        <tr r="G1927" s="2"/>
      </tp>
      <tp t="s">
        <v>#N/A Requesting Data...2986167918</v>
        <stp/>
        <stp>BDP|13423836893437761635</stp>
        <tr r="O103" s="2"/>
      </tp>
      <tp t="s">
        <v>#N/A Requesting Data...2431032916</v>
        <stp/>
        <stp>BDP|10825987641688053615</stp>
        <tr r="K2158" s="2"/>
      </tp>
      <tp t="s">
        <v>#N/A Requesting Data...2838776112</v>
        <stp/>
        <stp>BDP|13637072604126527601</stp>
        <tr r="H214" s="2"/>
      </tp>
      <tp t="s">
        <v>#N/A Requesting Data...3548782216</v>
        <stp/>
        <stp>BDP|14641208118054675088</stp>
        <tr r="H1511" s="2"/>
      </tp>
      <tp t="s">
        <v>#N/A Requesting Data...2233390806</v>
        <stp/>
        <stp>BDP|18282265040244246968</stp>
        <tr r="Q567" s="2"/>
      </tp>
      <tp t="s">
        <v>#N/A Requesting Data...2026050703</v>
        <stp/>
        <stp>BDP|13616445763252916084</stp>
        <tr r="N1192" s="2"/>
      </tp>
      <tp t="s">
        <v>#N/A Requesting Data...3917604974</v>
        <stp/>
        <stp>BDP|15927280141621716176</stp>
        <tr r="R1807" s="2"/>
      </tp>
      <tp t="s">
        <v>#N/A Requesting Data...2083695658</v>
        <stp/>
        <stp>BDP|16110055271016571400</stp>
        <tr r="N191" s="2"/>
      </tp>
      <tp t="s">
        <v>#N/A Requesting Data...2531590359</v>
        <stp/>
        <stp>BDP|11467275022105678777</stp>
        <tr r="O2032" s="2"/>
      </tp>
      <tp t="s">
        <v>#N/A Requesting Data...3426482965</v>
        <stp/>
        <stp>BDP|10941153179087056250</stp>
        <tr r="C1873" s="2"/>
      </tp>
      <tp t="s">
        <v>#N/A Requesting Data...1621599477</v>
        <stp/>
        <stp>BDP|12647514840809425938</stp>
        <tr r="G1294" s="2"/>
      </tp>
      <tp t="b">
        <v>0</v>
        <stp/>
        <stp>BDS|15137604479707349086</stp>
        <tr r="I1951" s="2"/>
      </tp>
      <tp t="s">
        <v>#N/A Requesting Data...1594019853</v>
        <stp/>
        <stp>BDP|17495830517939106412</stp>
        <tr r="H1461" s="2"/>
      </tp>
      <tp t="s">
        <v>#N/A Requesting Data...2012091105</v>
        <stp/>
        <stp>BDP|12948369132586425798</stp>
        <tr r="H91" s="2"/>
      </tp>
      <tp t="s">
        <v>#N/A Requesting Data...1962491091</v>
        <stp/>
        <stp>BDP|15638302537250379626</stp>
        <tr r="E328" s="2"/>
      </tp>
      <tp t="s">
        <v>#N/A Requesting Data...2979578582</v>
        <stp/>
        <stp>BDP|13739722115010154615</stp>
        <tr r="Q285" s="2"/>
      </tp>
      <tp t="s">
        <v>#N/A Requesting Data...4249453317</v>
        <stp/>
        <stp>BDP|10418490776263876335</stp>
        <tr r="C503" s="2"/>
      </tp>
      <tp t="s">
        <v>#N/A Requesting Data...2831031999</v>
        <stp/>
        <stp>BDP|11004285497770819972</stp>
        <tr r="A1045" s="2"/>
      </tp>
      <tp t="s">
        <v>#N/A Requesting Data...3047081381</v>
        <stp/>
        <stp>BDP|12675767262180416061</stp>
        <tr r="S2008" s="2"/>
      </tp>
      <tp t="s">
        <v>#N/A Requesting Data...3694363239</v>
        <stp/>
        <stp>BDP|15303549760870688518</stp>
        <tr r="G1573" s="2"/>
      </tp>
      <tp t="s">
        <v>#N/A Requesting Data...2626838096</v>
        <stp/>
        <stp>BDP|17484234124203672758</stp>
        <tr r="O1764" s="2"/>
      </tp>
      <tp t="s">
        <v>#N/A Requesting Data...4184397099</v>
        <stp/>
        <stp>BDP|12242744313292729521</stp>
        <tr r="K281" s="2"/>
      </tp>
      <tp t="s">
        <v>#N/A Requesting Data...2034997968</v>
        <stp/>
        <stp>BDP|11806014081349961310</stp>
        <tr r="R1715" s="2"/>
      </tp>
      <tp t="s">
        <v>#N/A Requesting Data...3191102844</v>
        <stp/>
        <stp>BDP|13008535023936498144</stp>
        <tr r="A1998" s="2"/>
      </tp>
      <tp t="b">
        <v>0</v>
        <stp/>
        <stp>BDS|10372393774317879050</stp>
        <tr r="I531" s="2"/>
      </tp>
      <tp t="s">
        <v>#N/A Requesting Data...1621186109</v>
        <stp/>
        <stp>BDP|11172304663286603141</stp>
        <tr r="K157" s="2"/>
      </tp>
      <tp t="s">
        <v>#N/A Requesting Data...3514233375</v>
        <stp/>
        <stp>BDP|12204931280594131407</stp>
        <tr r="H167" s="2"/>
      </tp>
      <tp t="s">
        <v>#N/A Requesting Data...4258921343</v>
        <stp/>
        <stp>BDP|13156492729986967088</stp>
        <tr r="P914" s="2"/>
      </tp>
      <tp t="s">
        <v>#N/A Requesting Data...2445468180</v>
        <stp/>
        <stp>BDP|17312417174040719710</stp>
        <tr r="H1643" s="2"/>
      </tp>
      <tp t="b">
        <v>0</v>
        <stp/>
        <stp>BDS|10311503519392864510</stp>
        <tr r="I2207" s="2"/>
      </tp>
      <tp t="s">
        <v>#N/A Requesting Data...3365066042</v>
        <stp/>
        <stp>BDP|10934038495683929968</stp>
        <tr r="F273" s="2"/>
      </tp>
      <tp t="s">
        <v>#N/A Requesting Data...3727898040</v>
        <stp/>
        <stp>BDP|15321526371655766173</stp>
        <tr r="M1145" s="2"/>
      </tp>
      <tp t="s">
        <v>#N/A Requesting Data...4184781900</v>
        <stp/>
        <stp>BDP|12346953450734123975</stp>
        <tr r="O2048" s="2"/>
      </tp>
      <tp t="s">
        <v>#N/A Requesting Data...4022068027</v>
        <stp/>
        <stp>BDP|18355834650685145315</stp>
        <tr r="C1044" s="2"/>
      </tp>
      <tp t="s">
        <v>#N/A Requesting Data...3003216549</v>
        <stp/>
        <stp>BDP|18409030430691253955</stp>
        <tr r="D1100" s="2"/>
      </tp>
      <tp t="s">
        <v>#N/A Requesting Data...3496336936</v>
        <stp/>
        <stp>BDP|16417130443102021244</stp>
        <tr r="G904" s="2"/>
      </tp>
      <tp t="s">
        <v>#N/A Requesting Data...1845319997</v>
        <stp/>
        <stp>BDP|12011430882254403956</stp>
        <tr r="O683" s="2"/>
      </tp>
      <tp t="s">
        <v>#N/A Requesting Data...2993428135</v>
        <stp/>
        <stp>BDP|17288709875645601112</stp>
        <tr r="H1813" s="2"/>
      </tp>
      <tp t="b">
        <v>0</v>
        <stp/>
        <stp>BDS|11738184173390635492</stp>
        <tr r="I2173" s="2"/>
      </tp>
      <tp t="s">
        <v>#N/A Requesting Data...1805035787</v>
        <stp/>
        <stp>BDP|17217116015854085062</stp>
        <tr r="M802" s="2"/>
      </tp>
      <tp t="s">
        <v>#N/A Requesting Data...2853751757</v>
        <stp/>
        <stp>BDP|17448466912739662866</stp>
        <tr r="K172" s="2"/>
      </tp>
      <tp t="s">
        <v>#N/A Requesting Data...2443377891</v>
        <stp/>
        <stp>BDP|14270779335271196210</stp>
        <tr r="H2024" s="2"/>
      </tp>
      <tp t="s">
        <v>#N/A Requesting Data...3494799285</v>
        <stp/>
        <stp>BDP|15582550631459293930</stp>
        <tr r="J780" s="2"/>
      </tp>
      <tp t="s">
        <v>#N/A Requesting Data...3545214948</v>
        <stp/>
        <stp>BDP|15624985367631076893</stp>
        <tr r="O2035" s="2"/>
      </tp>
      <tp t="s">
        <v>#N/A Requesting Data...2962533121</v>
        <stp/>
        <stp>BDP|13859809093537853638</stp>
        <tr r="Q37" s="2"/>
      </tp>
      <tp t="s">
        <v>#N/A Requesting Data...1699097783</v>
        <stp/>
        <stp>BDP|16751504802103051351</stp>
        <tr r="S1866" s="2"/>
      </tp>
      <tp t="s">
        <v>#N/A Requesting Data...1790566202</v>
        <stp/>
        <stp>BDP|15165535825025214456</stp>
        <tr r="O420" s="2"/>
      </tp>
      <tp t="s">
        <v>#N/A Requesting Data...2951909622</v>
        <stp/>
        <stp>BDP|10156820123018672166</stp>
        <tr r="N1401" s="2"/>
      </tp>
      <tp t="s">
        <v>#N/A Requesting Data...3527185973</v>
        <stp/>
        <stp>BDP|14714477451063071515</stp>
        <tr r="P308" s="2"/>
      </tp>
      <tp t="s">
        <v>#N/A Requesting Data...4113224337</v>
        <stp/>
        <stp>BDP|10065406460823414272</stp>
        <tr r="P600" s="2"/>
      </tp>
      <tp t="s">
        <v>#N/A Requesting Data...2822900427</v>
        <stp/>
        <stp>BDP|18360181012873316895</stp>
        <tr r="M149" s="2"/>
      </tp>
      <tp t="s">
        <v>#N/A Requesting Data...2776178818</v>
        <stp/>
        <stp>BDP|12902279239898339879</stp>
        <tr r="C680" s="2"/>
      </tp>
      <tp t="s">
        <v>#N/A Requesting Data...1888162388</v>
        <stp/>
        <stp>BDP|10146633044334299577</stp>
        <tr r="D1868" s="2"/>
      </tp>
      <tp t="s">
        <v>#N/A Requesting Data...3405770545</v>
        <stp/>
        <stp>BDP|13486829442159788502</stp>
        <tr r="F612" s="2"/>
      </tp>
      <tp t="s">
        <v>#N/A Requesting Data...2825904779</v>
        <stp/>
        <stp>BDP|16262036446807058647</stp>
        <tr r="D2131" s="2"/>
      </tp>
      <tp t="s">
        <v>#N/A Requesting Data...2511926468</v>
        <stp/>
        <stp>BDP|13914947800749730098</stp>
        <tr r="F1385" s="2"/>
      </tp>
      <tp t="s">
        <v>#N/A Requesting Data...3910890306</v>
        <stp/>
        <stp>BDP|15278057971506284777</stp>
        <tr r="E1717" s="2"/>
      </tp>
      <tp t="s">
        <v>#N/A Requesting Data...1947202886</v>
        <stp/>
        <stp>BDP|16890746377842080785</stp>
        <tr r="J108" s="2"/>
      </tp>
      <tp t="s">
        <v>#N/A Requesting Data...3798917356</v>
        <stp/>
        <stp>BDP|18269309932658776344</stp>
        <tr r="M1142" s="2"/>
      </tp>
      <tp t="s">
        <v>#N/A Requesting Data...3379916981</v>
        <stp/>
        <stp>BDP|10587075453306021026</stp>
        <tr r="J1774" s="2"/>
      </tp>
      <tp t="s">
        <v>#N/A Requesting Data...3925945635</v>
        <stp/>
        <stp>BDP|17690691636613378290</stp>
        <tr r="T1930" s="2"/>
      </tp>
      <tp t="s">
        <v>#N/A Requesting Data...1753419618</v>
        <stp/>
        <stp>BDP|15128113857606475409</stp>
        <tr r="H1580" s="2"/>
      </tp>
      <tp t="s">
        <v>#N/A Requesting Data...4223344048</v>
        <stp/>
        <stp>BDP|12790755481699139710</stp>
        <tr r="M1171" s="2"/>
      </tp>
      <tp t="s">
        <v>#N/A Requesting Data...1873898209</v>
        <stp/>
        <stp>BDP|13286023146932796623</stp>
        <tr r="Q287" s="2"/>
      </tp>
      <tp t="s">
        <v>#N/A Requesting Data...2826497108</v>
        <stp/>
        <stp>BDP|11014288208498440876</stp>
        <tr r="H1832" s="2"/>
      </tp>
      <tp t="s">
        <v>#N/A Requesting Data...2443129721</v>
        <stp/>
        <stp>BDP|16278420012820275037</stp>
        <tr r="M411" s="2"/>
      </tp>
      <tp t="s">
        <v>#N/A Requesting Data...3369599207</v>
        <stp/>
        <stp>BDP|17318176770842734003</stp>
        <tr r="N800" s="2"/>
      </tp>
      <tp t="s">
        <v>#N/A Requesting Data...2317060385</v>
        <stp/>
        <stp>BDP|13712440927573482533</stp>
        <tr r="S1126" s="2"/>
      </tp>
      <tp t="s">
        <v>#N/A Requesting Data...1755481027</v>
        <stp/>
        <stp>BDP|15566939637194252804</stp>
        <tr r="H2084" s="2"/>
      </tp>
      <tp t="s">
        <v>#N/A Requesting Data...2251647412</v>
        <stp/>
        <stp>BDP|15925961710347587997</stp>
        <tr r="R1438" s="2"/>
      </tp>
      <tp t="s">
        <v>#N/A Requesting Data...3177376739</v>
        <stp/>
        <stp>BDP|14357705604528131859</stp>
        <tr r="P1746" s="2"/>
      </tp>
      <tp t="s">
        <v>#N/A Requesting Data...4043431490</v>
        <stp/>
        <stp>BDP|10850635918956011206</stp>
        <tr r="H2071" s="2"/>
      </tp>
      <tp t="s">
        <v>#N/A Requesting Data...4198239258</v>
        <stp/>
        <stp>BDP|11609554679337813718</stp>
        <tr r="N2174" s="2"/>
      </tp>
      <tp t="s">
        <v>#N/A Requesting Data...2956920709</v>
        <stp/>
        <stp>BDP|14719929488601684788</stp>
        <tr r="J1224" s="2"/>
      </tp>
      <tp t="s">
        <v>#N/A Requesting Data...2673926804</v>
        <stp/>
        <stp>BDP|14493171524703711730</stp>
        <tr r="N974" s="2"/>
      </tp>
      <tp t="b">
        <v>0</v>
        <stp/>
        <stp>BDS|17663577617907672701</stp>
        <tr r="I449" s="2"/>
      </tp>
      <tp t="s">
        <v>#N/A Requesting Data...2551235702</v>
        <stp/>
        <stp>BDP|18017812375824620017</stp>
        <tr r="P1053" s="2"/>
      </tp>
      <tp t="s">
        <v>#N/A Requesting Data...3587127351</v>
        <stp/>
        <stp>BDP|10092466157244224601</stp>
        <tr r="M284" s="2"/>
      </tp>
      <tp t="s">
        <v>#N/A Requesting Data...3345895924</v>
        <stp/>
        <stp>BDP|15204259953752465335</stp>
        <tr r="T1555" s="2"/>
      </tp>
      <tp t="s">
        <v>#N/A Requesting Data...3173067042</v>
        <stp/>
        <stp>BDP|16938974098933655636</stp>
        <tr r="T1906" s="2"/>
      </tp>
      <tp t="s">
        <v>#N/A Requesting Data...2398118914</v>
        <stp/>
        <stp>BDP|10698052429775173486</stp>
        <tr r="Q719" s="2"/>
      </tp>
      <tp t="s">
        <v>#N/A Requesting Data...3559353153</v>
        <stp/>
        <stp>BDP|16464450261731355609</stp>
        <tr r="O253" s="2"/>
      </tp>
      <tp t="s">
        <v>#N/A Requesting Data...3918948395</v>
        <stp/>
        <stp>BDP|13456640563580488045</stp>
        <tr r="O2208" s="2"/>
      </tp>
      <tp t="s">
        <v>#N/A Requesting Data...4268382062</v>
        <stp/>
        <stp>BDP|13645271832905362436</stp>
        <tr r="R20" s="2"/>
      </tp>
      <tp t="s">
        <v>#N/A Requesting Data...3427689788</v>
        <stp/>
        <stp>BDP|15461437571830139546</stp>
        <tr r="K717" s="2"/>
      </tp>
      <tp t="s">
        <v>#N/A Requesting Data...2986541397</v>
        <stp/>
        <stp>BDP|14539879590214556241</stp>
        <tr r="C1708" s="2"/>
      </tp>
      <tp t="s">
        <v>#N/A Requesting Data...3355567730</v>
        <stp/>
        <stp>BDP|13354998268687308827</stp>
        <tr r="H2015" s="2"/>
      </tp>
      <tp t="s">
        <v>#N/A Requesting Data...2140659138</v>
        <stp/>
        <stp>BDP|18015109575238245542</stp>
        <tr r="M1178" s="2"/>
      </tp>
      <tp t="s">
        <v>#N/A Requesting Data...3482380096</v>
        <stp/>
        <stp>BDP|10999864587444258790</stp>
        <tr r="E369" s="2"/>
      </tp>
      <tp t="s">
        <v>#N/A Requesting Data...2836652664</v>
        <stp/>
        <stp>BDP|13572567101472487750</stp>
        <tr r="M590" s="2"/>
      </tp>
      <tp t="s">
        <v>#N/A Requesting Data...2105331813</v>
        <stp/>
        <stp>BDP|12550469560226515553</stp>
        <tr r="R283" s="2"/>
      </tp>
      <tp t="s">
        <v>#N/A Requesting Data...1770597373</v>
        <stp/>
        <stp>BDP|13415607520493074776</stp>
        <tr r="E2249" s="2"/>
      </tp>
      <tp t="s">
        <v>#N/A Requesting Data...3942602915</v>
        <stp/>
        <stp>BDP|14024522833249755854</stp>
        <tr r="J291" s="2"/>
      </tp>
      <tp t="s">
        <v>#N/A Requesting Data...3124525842</v>
        <stp/>
        <stp>BDP|11430088437896032783</stp>
        <tr r="C1598" s="2"/>
      </tp>
      <tp t="s">
        <v>#N/A Requesting Data...2214433285</v>
        <stp/>
        <stp>BDP|13156735393528519677</stp>
        <tr r="D348" s="2"/>
      </tp>
      <tp t="s">
        <v>#N/A Requesting Data...2395281725</v>
        <stp/>
        <stp>BDP|16354072974056271413</stp>
        <tr r="G1134" s="2"/>
      </tp>
      <tp t="s">
        <v>#N/A Requesting Data...1830105284</v>
        <stp/>
        <stp>BDP|11472804410122382949</stp>
        <tr r="Q2403" s="2"/>
      </tp>
      <tp t="s">
        <v>#N/A Requesting Data...2192329292</v>
        <stp/>
        <stp>BDP|11728500875561605174</stp>
        <tr r="S1360" s="2"/>
      </tp>
      <tp t="s">
        <v>#N/A Requesting Data...2217725969</v>
        <stp/>
        <stp>BDP|13144136492779734145</stp>
        <tr r="M2200" s="2"/>
      </tp>
      <tp t="s">
        <v>#N/A Requesting Data...4131447330</v>
        <stp/>
        <stp>BDP|15455328211545531118</stp>
        <tr r="C509" s="2"/>
      </tp>
      <tp t="s">
        <v>#N/A Requesting Data...3868294452</v>
        <stp/>
        <stp>BDP|13440456447099191949</stp>
        <tr r="A1433" s="2"/>
      </tp>
      <tp t="s">
        <v>#N/A Requesting Data...2864251454</v>
        <stp/>
        <stp>BDP|14749011976786394609</stp>
        <tr r="N1419" s="2"/>
      </tp>
      <tp t="s">
        <v>#N/A Requesting Data...4153531707</v>
        <stp/>
        <stp>BDP|14436278600830188519</stp>
        <tr r="D2016" s="2"/>
      </tp>
      <tp t="s">
        <v>#N/A Requesting Data...2448921568</v>
        <stp/>
        <stp>BDP|12063635075671713126</stp>
        <tr r="F762" s="2"/>
      </tp>
      <tp t="s">
        <v>#N/A Requesting Data...3611824412</v>
        <stp/>
        <stp>BDP|15233861505568321617</stp>
        <tr r="M2224" s="2"/>
      </tp>
      <tp t="s">
        <v>#N/A Requesting Data...4158792895</v>
        <stp/>
        <stp>BDP|17996637863176389295</stp>
        <tr r="N1602" s="2"/>
      </tp>
      <tp t="s">
        <v>#N/A Requesting Data...2357275843</v>
        <stp/>
        <stp>BDP|13382860012380518918</stp>
        <tr r="R37" s="2"/>
      </tp>
      <tp t="s">
        <v>#N/A Requesting Data...1845468989</v>
        <stp/>
        <stp>BDP|16045073080714059944</stp>
        <tr r="E1239" s="2"/>
      </tp>
      <tp t="s">
        <v>#N/A Requesting Data...2977781944</v>
        <stp/>
        <stp>BDP|14450903857778310331</stp>
        <tr r="J1395" s="2"/>
      </tp>
      <tp t="s">
        <v>#N/A Requesting Data...2459537351</v>
        <stp/>
        <stp>BDP|17975768199493684932</stp>
        <tr r="T2201" s="2"/>
      </tp>
      <tp t="s">
        <v>#N/A Requesting Data...3133318409</v>
        <stp/>
        <stp>BDP|16750502677227221016</stp>
        <tr r="R2034" s="2"/>
      </tp>
      <tp t="s">
        <v>#N/A Requesting Data...3254283716</v>
        <stp/>
        <stp>BDP|11874406465032867266</stp>
        <tr r="M2525" s="2"/>
      </tp>
      <tp t="s">
        <v>#N/A Requesting Data...3078765678</v>
        <stp/>
        <stp>BDP|10727126576302455743</stp>
        <tr r="T819" s="2"/>
      </tp>
      <tp t="s">
        <v>#N/A Requesting Data...2974298465</v>
        <stp/>
        <stp>BDP|11261710743332777343</stp>
        <tr r="J638" s="2"/>
      </tp>
      <tp t="s">
        <v>#N/A Requesting Data...3722876543</v>
        <stp/>
        <stp>BDP|13424367736232072271</stp>
        <tr r="J1927" s="2"/>
      </tp>
      <tp t="s">
        <v>#N/A Requesting Data...2348503148</v>
        <stp/>
        <stp>BDP|15847761974163905504</stp>
        <tr r="K1944" s="2"/>
      </tp>
      <tp t="b">
        <v>0</v>
        <stp/>
        <stp>BDS|13202142970812633409</stp>
        <tr r="I426" s="2"/>
      </tp>
      <tp t="s">
        <v>#N/A Requesting Data...4174918330</v>
        <stp/>
        <stp>BDP|14022602383338117112</stp>
        <tr r="Q381" s="2"/>
      </tp>
      <tp t="s">
        <v>#N/A Requesting Data...1959480102</v>
        <stp/>
        <stp>BDP|13936392449766870121</stp>
        <tr r="S156" s="2"/>
      </tp>
      <tp t="s">
        <v>#N/A Requesting Data...1917237443</v>
        <stp/>
        <stp>BDP|15061403445174755211</stp>
        <tr r="T1478" s="2"/>
      </tp>
      <tp t="s">
        <v>#N/A Requesting Data...2419125607</v>
        <stp/>
        <stp>BDP|12045905130062244915</stp>
        <tr r="T2527" s="2"/>
      </tp>
      <tp t="b">
        <v>0</v>
        <stp/>
        <stp>BDS|15124305180608574546</stp>
        <tr r="I198" s="2"/>
      </tp>
      <tp t="s">
        <v>#N/A Requesting Data...2208820531</v>
        <stp/>
        <stp>BDP|16959185806444558016</stp>
        <tr r="S117" s="2"/>
      </tp>
      <tp t="s">
        <v>#N/A Requesting Data...2253242881</v>
        <stp/>
        <stp>BDP|12875133127694626697</stp>
        <tr r="A1047" s="2"/>
      </tp>
      <tp t="s">
        <v>#N/A Requesting Data...1890978892</v>
        <stp/>
        <stp>BDP|16203166915581778453</stp>
        <tr r="C2286" s="2"/>
      </tp>
      <tp t="s">
        <v>#N/A Requesting Data...1773904145</v>
        <stp/>
        <stp>BDP|10035226169863025488</stp>
        <tr r="J972" s="2"/>
      </tp>
      <tp t="s">
        <v>#N/A Requesting Data...3783363608</v>
        <stp/>
        <stp>BDP|12497965383419373918</stp>
        <tr r="R1063" s="2"/>
      </tp>
      <tp t="s">
        <v>#N/A Requesting Data...1952504467</v>
        <stp/>
        <stp>BDP|11180152805994570773</stp>
        <tr r="K346" s="2"/>
      </tp>
      <tp t="s">
        <v>#N/A Requesting Data...2086139432</v>
        <stp/>
        <stp>BDP|12989314159827258006</stp>
        <tr r="Q1715" s="2"/>
      </tp>
      <tp t="s">
        <v>#N/A Requesting Data...1805201942</v>
        <stp/>
        <stp>BDP|17100324950035478744</stp>
        <tr r="T1696" s="2"/>
      </tp>
      <tp t="s">
        <v>#N/A Requesting Data...2705947050</v>
        <stp/>
        <stp>BDP|12748705711421720621</stp>
        <tr r="R1385" s="2"/>
      </tp>
      <tp t="s">
        <v>#N/A Requesting Data...3522202916</v>
        <stp/>
        <stp>BDP|10900271774117928104</stp>
        <tr r="G115" s="2"/>
      </tp>
      <tp t="s">
        <v>#N/A Requesting Data...2704073022</v>
        <stp/>
        <stp>BDP|12087759257384454751</stp>
        <tr r="S1332" s="2"/>
      </tp>
      <tp t="s">
        <v>#N/A Requesting Data...2896950460</v>
        <stp/>
        <stp>BDP|11040290109394753444</stp>
        <tr r="S1193" s="2"/>
      </tp>
      <tp t="s">
        <v>#N/A Requesting Data...2043099020</v>
        <stp/>
        <stp>BDP|14358665866897682066</stp>
        <tr r="P140" s="2"/>
      </tp>
      <tp t="s">
        <v>#N/A Requesting Data...3917914873</v>
        <stp/>
        <stp>BDP|13735880590231510096</stp>
        <tr r="D72" s="2"/>
      </tp>
      <tp t="s">
        <v>#N/A Requesting Data...4133922752</v>
        <stp/>
        <stp>BDP|15458818412099586613</stp>
        <tr r="J2332" s="2"/>
      </tp>
      <tp t="s">
        <v>#N/A Requesting Data...2476270349</v>
        <stp/>
        <stp>BDP|17154445002322775232</stp>
        <tr r="R1408" s="2"/>
      </tp>
      <tp t="s">
        <v>#N/A Requesting Data...2782347775</v>
        <stp/>
        <stp>BDP|14007486834625831576</stp>
        <tr r="G263" s="2"/>
      </tp>
      <tp t="s">
        <v>#N/A Requesting Data...2038032345</v>
        <stp/>
        <stp>BDP|17768801302275530933</stp>
        <tr r="J254" s="2"/>
      </tp>
      <tp t="s">
        <v>#N/A Requesting Data...2915152871</v>
        <stp/>
        <stp>BDP|10339146071791638434</stp>
        <tr r="F1729" s="2"/>
      </tp>
      <tp t="s">
        <v>#N/A Requesting Data...3061322587</v>
        <stp/>
        <stp>BDP|15702206725427101107</stp>
        <tr r="N604" s="2"/>
      </tp>
      <tp t="s">
        <v>#N/A Requesting Data...3441513350</v>
        <stp/>
        <stp>BDP|11181191445052841568</stp>
        <tr r="Q763" s="2"/>
      </tp>
      <tp t="s">
        <v>#N/A Requesting Data...2744286230</v>
        <stp/>
        <stp>BDP|17269231324345667106</stp>
        <tr r="P704" s="2"/>
      </tp>
      <tp t="s">
        <v>#N/A Requesting Data...3097796543</v>
        <stp/>
        <stp>BDP|14931650148034726105</stp>
        <tr r="N2120" s="2"/>
      </tp>
      <tp t="s">
        <v>#N/A Requesting Data...3422222315</v>
        <stp/>
        <stp>BDP|11974379328254286770</stp>
        <tr r="O846" s="2"/>
      </tp>
      <tp t="s">
        <v>#N/A Requesting Data...1867975077</v>
        <stp/>
        <stp>BDP|16449375635594631133</stp>
        <tr r="E1115" s="2"/>
      </tp>
      <tp t="s">
        <v>#N/A Requesting Data...3791046314</v>
        <stp/>
        <stp>BDP|10786007477053758751</stp>
        <tr r="K1120" s="2"/>
      </tp>
      <tp t="s">
        <v>#N/A Requesting Data...1973193805</v>
        <stp/>
        <stp>BDP|11319672519850967566</stp>
        <tr r="A1163" s="2"/>
      </tp>
      <tp t="s">
        <v>#N/A Requesting Data...4151849075</v>
        <stp/>
        <stp>BDP|12491566600687351337</stp>
        <tr r="R619" s="2"/>
      </tp>
      <tp t="s">
        <v>#N/A Requesting Data...2789603779</v>
        <stp/>
        <stp>BDP|10885984596730268366</stp>
        <tr r="N468" s="2"/>
      </tp>
      <tp t="s">
        <v>#N/A Requesting Data...3544909971</v>
        <stp/>
        <stp>BDP|16625455065555015248</stp>
        <tr r="J1591" s="2"/>
      </tp>
      <tp t="s">
        <v>#N/A Requesting Data...2460800191</v>
        <stp/>
        <stp>BDP|17407457346835110145</stp>
        <tr r="A1546" s="2"/>
      </tp>
      <tp t="s">
        <v>#N/A Requesting Data...4036322968</v>
        <stp/>
        <stp>BDP|13858227789498154208</stp>
        <tr r="G2194" s="2"/>
      </tp>
      <tp t="s">
        <v>#N/A Requesting Data...2979094323</v>
        <stp/>
        <stp>BDP|13325579090194793819</stp>
        <tr r="K213" s="2"/>
      </tp>
      <tp t="b">
        <v>0</v>
        <stp/>
        <stp>BDS|16107728221000423070</stp>
        <tr r="I703" s="2"/>
      </tp>
      <tp t="s">
        <v>#N/A Requesting Data...4113700729</v>
        <stp/>
        <stp>BDP|12944882485230693107</stp>
        <tr r="K2077" s="2"/>
      </tp>
      <tp t="s">
        <v>#N/A Requesting Data...3030425984</v>
        <stp/>
        <stp>BDP|17549624610586374568</stp>
        <tr r="E1361" s="2"/>
      </tp>
      <tp t="s">
        <v>#N/A Requesting Data...3987531045</v>
        <stp/>
        <stp>BDP|14783443601204289728</stp>
        <tr r="N574" s="2"/>
      </tp>
      <tp t="s">
        <v>#N/A Requesting Data...2285488875</v>
        <stp/>
        <stp>BDP|10983754760527621582</stp>
        <tr r="N2034" s="2"/>
      </tp>
      <tp t="s">
        <v>#N/A Requesting Data...3838817293</v>
        <stp/>
        <stp>BDP|15842059379631373055</stp>
        <tr r="Q790" s="2"/>
      </tp>
      <tp t="s">
        <v>#N/A Requesting Data...2567567801</v>
        <stp/>
        <stp>BDP|17453065257017611618</stp>
        <tr r="Q2379" s="2"/>
      </tp>
      <tp t="s">
        <v>#N/A Requesting Data...1951060307</v>
        <stp/>
        <stp>BDP|10799322746996037218</stp>
        <tr r="J1655" s="2"/>
      </tp>
      <tp t="s">
        <v>#N/A Requesting Data...2247700355</v>
        <stp/>
        <stp>BDP|11175244860984047277</stp>
        <tr r="K819" s="2"/>
      </tp>
      <tp t="s">
        <v>#N/A Requesting Data...2708479135</v>
        <stp/>
        <stp>BDP|15343056026417470368</stp>
        <tr r="M2005" s="2"/>
      </tp>
      <tp t="s">
        <v>#N/A Requesting Data...3453595387</v>
        <stp/>
        <stp>BDP|11124785092789101588</stp>
        <tr r="G1709" s="2"/>
      </tp>
      <tp t="s">
        <v>#N/A Requesting Data...2386315852</v>
        <stp/>
        <stp>BDP|14768623174557681150</stp>
        <tr r="N1153" s="2"/>
      </tp>
      <tp t="s">
        <v>#N/A Requesting Data...1878463296</v>
        <stp/>
        <stp>BDP|13721165556854338064</stp>
        <tr r="F1738" s="2"/>
      </tp>
      <tp t="s">
        <v>#N/A Requesting Data...2028227109</v>
        <stp/>
        <stp>BDP|13295002146961598533</stp>
        <tr r="M2445" s="2"/>
      </tp>
      <tp t="s">
        <v>#N/A Requesting Data...2360508771</v>
        <stp/>
        <stp>BDP|14153053077817503746</stp>
        <tr r="A440" s="2"/>
      </tp>
      <tp t="s">
        <v>#N/A Requesting Data...3586460248</v>
        <stp/>
        <stp>BDP|13520550335354294250</stp>
        <tr r="C1900" s="2"/>
      </tp>
      <tp t="s">
        <v>#N/A Requesting Data...2547038087</v>
        <stp/>
        <stp>BDP|15199727673237140137</stp>
        <tr r="C1471" s="2"/>
      </tp>
      <tp t="s">
        <v>#N/A Requesting Data...1960264142</v>
        <stp/>
        <stp>BDP|18090891929565047426</stp>
        <tr r="R751" s="2"/>
      </tp>
      <tp t="s">
        <v>#N/A Requesting Data...2257418828</v>
        <stp/>
        <stp>BDP|12007275581062181952</stp>
        <tr r="C2151" s="2"/>
      </tp>
      <tp t="s">
        <v>#N/A Requesting Data...2520759215</v>
        <stp/>
        <stp>BDP|10698141225691347165</stp>
        <tr r="F1755" s="2"/>
      </tp>
      <tp t="s">
        <v>#N/A Requesting Data...3180235484</v>
        <stp/>
        <stp>BDP|12868854591633988373</stp>
        <tr r="G542" s="2"/>
      </tp>
      <tp t="s">
        <v>#N/A Requesting Data...2895042814</v>
        <stp/>
        <stp>BDP|16030176143853664304</stp>
        <tr r="K2463" s="2"/>
      </tp>
      <tp t="s">
        <v>#N/A Requesting Data...3841807875</v>
        <stp/>
        <stp>BDP|17174489296691412897</stp>
        <tr r="O382" s="2"/>
      </tp>
      <tp t="s">
        <v>#N/A Requesting Data...3018371981</v>
        <stp/>
        <stp>BDP|15834760938851323377</stp>
        <tr r="N1605" s="2"/>
      </tp>
      <tp t="s">
        <v>#N/A Requesting Data...1913946270</v>
        <stp/>
        <stp>BDP|12201712105472200468</stp>
        <tr r="G696" s="2"/>
      </tp>
      <tp t="s">
        <v>#N/A Requesting Data...3203232932</v>
        <stp/>
        <stp>BDP|12294213852395627355</stp>
        <tr r="F1291" s="2"/>
      </tp>
      <tp t="s">
        <v>#N/A Requesting Data...3018036045</v>
        <stp/>
        <stp>BDP|17955927987934740192</stp>
        <tr r="O2401" s="2"/>
      </tp>
      <tp t="s">
        <v>#N/A Requesting Data...3067777168</v>
        <stp/>
        <stp>BDP|14007415742837308020</stp>
        <tr r="P421" s="2"/>
      </tp>
      <tp t="s">
        <v>#N/A Requesting Data...3621373880</v>
        <stp/>
        <stp>BDP|12021659936615563146</stp>
        <tr r="D1362" s="2"/>
      </tp>
      <tp t="s">
        <v>#N/A Requesting Data...3908281407</v>
        <stp/>
        <stp>BDP|15142233720234903298</stp>
        <tr r="D2299" s="2"/>
      </tp>
      <tp t="s">
        <v>#N/A Requesting Data...4217709930</v>
        <stp/>
        <stp>BDP|14222119567161566131</stp>
        <tr r="H431" s="2"/>
      </tp>
      <tp t="s">
        <v>#N/A Requesting Data...2973332553</v>
        <stp/>
        <stp>BDP|16647508184769531155</stp>
        <tr r="A1170" s="2"/>
      </tp>
      <tp t="s">
        <v>#N/A Requesting Data...3464548692</v>
        <stp/>
        <stp>BDP|17399995589946315328</stp>
        <tr r="K349" s="2"/>
      </tp>
      <tp t="s">
        <v>#N/A Requesting Data...2771749407</v>
        <stp/>
        <stp>BDP|11088176521452574311</stp>
        <tr r="E363" s="2"/>
      </tp>
      <tp t="s">
        <v>#N/A Requesting Data...3646930190</v>
        <stp/>
        <stp>BDP|17137038886224431826</stp>
        <tr r="M1110" s="2"/>
      </tp>
      <tp t="s">
        <v>#N/A Requesting Data...2519445388</v>
        <stp/>
        <stp>BDP|17773057118977009285</stp>
        <tr r="S1473" s="2"/>
      </tp>
      <tp t="s">
        <v>#N/A Requesting Data...3056720198</v>
        <stp/>
        <stp>BDP|18274591102597262999</stp>
        <tr r="N359" s="2"/>
      </tp>
      <tp t="s">
        <v>#N/A Requesting Data...3356741344</v>
        <stp/>
        <stp>BDP|10068048169753808675</stp>
        <tr r="K598" s="2"/>
      </tp>
      <tp t="s">
        <v>#N/A Requesting Data...3966095829</v>
        <stp/>
        <stp>BDP|14542266063377692444</stp>
        <tr r="S308" s="2"/>
      </tp>
      <tp t="s">
        <v>#N/A Requesting Data...2730797023</v>
        <stp/>
        <stp>BDP|16809469564493072486</stp>
        <tr r="O79" s="2"/>
      </tp>
      <tp t="s">
        <v>#N/A Requesting Data...3758697973</v>
        <stp/>
        <stp>BDP|10345988792365874634</stp>
        <tr r="F919" s="2"/>
      </tp>
      <tp t="s">
        <v>#N/A Requesting Data...2071765657</v>
        <stp/>
        <stp>BDP|12571073831423289134</stp>
        <tr r="H1456" s="2"/>
      </tp>
      <tp t="s">
        <v>#N/A Requesting Data...3474692793</v>
        <stp/>
        <stp>BDP|16010873686681513466</stp>
        <tr r="Q2521" s="2"/>
      </tp>
      <tp t="s">
        <v>#N/A Requesting Data...4291233201</v>
        <stp/>
        <stp>BDP|13280407275484605738</stp>
        <tr r="F1095" s="2"/>
      </tp>
      <tp t="s">
        <v>#N/A Requesting Data...3403099812</v>
        <stp/>
        <stp>BDP|16150619060843531674</stp>
        <tr r="D2057" s="2"/>
      </tp>
      <tp t="s">
        <v>#N/A Requesting Data...2586876213</v>
        <stp/>
        <stp>BDP|11610826166574231822</stp>
        <tr r="Q1560" s="2"/>
      </tp>
      <tp t="s">
        <v>#N/A Requesting Data...2431697217</v>
        <stp/>
        <stp>BDP|15106903737565771932</stp>
        <tr r="K1313" s="2"/>
      </tp>
      <tp t="s">
        <v>#N/A Requesting Data...4065977366</v>
        <stp/>
        <stp>BDP|10494172668854837013</stp>
        <tr r="O1253" s="2"/>
      </tp>
      <tp t="s">
        <v>#N/A Requesting Data...3861113916</v>
        <stp/>
        <stp>BDP|15411266540451629163</stp>
        <tr r="J1070" s="2"/>
      </tp>
      <tp t="s">
        <v>#N/A Requesting Data...3978547573</v>
        <stp/>
        <stp>BDP|11245382400272176391</stp>
        <tr r="F299" s="2"/>
      </tp>
      <tp t="s">
        <v>#N/A Requesting Data...2624310329</v>
        <stp/>
        <stp>BDP|17229543644060355535</stp>
        <tr r="H1408" s="2"/>
      </tp>
      <tp t="s">
        <v>#N/A Requesting Data...2775541423</v>
        <stp/>
        <stp>BDP|10811478949825614621</stp>
        <tr r="Q2282" s="2"/>
      </tp>
      <tp t="s">
        <v>#N/A Requesting Data...2936753315</v>
        <stp/>
        <stp>BDP|13184434419670989503</stp>
        <tr r="F2387" s="2"/>
      </tp>
      <tp t="s">
        <v>#N/A Requesting Data...2292040944</v>
        <stp/>
        <stp>BDP|10218469111341036779</stp>
        <tr r="E1787" s="2"/>
      </tp>
      <tp t="s">
        <v>#N/A Requesting Data...3846693330</v>
        <stp/>
        <stp>BDP|10663748741074566449</stp>
        <tr r="P394" s="2"/>
      </tp>
      <tp t="s">
        <v>#N/A Requesting Data...3496847005</v>
        <stp/>
        <stp>BDP|17527005609756945275</stp>
        <tr r="A65" s="2"/>
      </tp>
      <tp t="s">
        <v>#N/A Requesting Data...2437228626</v>
        <stp/>
        <stp>BDP|17657124126665431245</stp>
        <tr r="M1568" s="2"/>
      </tp>
      <tp t="s">
        <v>#N/A Requesting Data...2690578031</v>
        <stp/>
        <stp>BDP|16657967325297212951</stp>
        <tr r="C1323" s="2"/>
      </tp>
      <tp t="s">
        <v>#N/A Requesting Data...2673284760</v>
        <stp/>
        <stp>BDP|14192351364557593574</stp>
        <tr r="P1056" s="2"/>
      </tp>
      <tp t="b">
        <v>0</v>
        <stp/>
        <stp>BDS|13596231725325584573</stp>
        <tr r="I2286" s="2"/>
      </tp>
      <tp t="s">
        <v>#N/A Requesting Data...2667160739</v>
        <stp/>
        <stp>BDP|15386284779054154719</stp>
        <tr r="A740" s="2"/>
      </tp>
      <tp t="s">
        <v>#N/A Requesting Data...2401170203</v>
        <stp/>
        <stp>BDP|16955764256176252195</stp>
        <tr r="N571" s="2"/>
      </tp>
      <tp t="s">
        <v>#N/A Requesting Data...3320567622</v>
        <stp/>
        <stp>BDP|17416375197787153971</stp>
        <tr r="D1252" s="2"/>
      </tp>
      <tp t="s">
        <v>#N/A Requesting Data...3929788402</v>
        <stp/>
        <stp>BDP|12396731633991526444</stp>
        <tr r="O1919" s="2"/>
      </tp>
      <tp t="s">
        <v>#N/A Requesting Data...4290896788</v>
        <stp/>
        <stp>BDP|14359657563303442432</stp>
        <tr r="H2003" s="2"/>
      </tp>
      <tp t="s">
        <v>#N/A Requesting Data...3219136665</v>
        <stp/>
        <stp>BDP|13155927587728119973</stp>
        <tr r="R740" s="2"/>
      </tp>
      <tp t="s">
        <v>#N/A Requesting Data...2927956340</v>
        <stp/>
        <stp>BDP|14077760541147643335</stp>
        <tr r="M1372" s="2"/>
      </tp>
      <tp t="s">
        <v>#N/A Requesting Data...2672766242</v>
        <stp/>
        <stp>BDP|14959005031647848325</stp>
        <tr r="P544" s="2"/>
      </tp>
      <tp t="s">
        <v>#N/A Requesting Data...2474739241</v>
        <stp/>
        <stp>BDP|15200872650239102267</stp>
        <tr r="F1429" s="2"/>
      </tp>
      <tp t="s">
        <v>#N/A Requesting Data...2711423966</v>
        <stp/>
        <stp>BDP|18420302185209030936</stp>
        <tr r="K2518" s="2"/>
      </tp>
      <tp t="s">
        <v>#N/A Requesting Data...2650184846</v>
        <stp/>
        <stp>BDP|14824288250945361512</stp>
        <tr r="S1949" s="2"/>
      </tp>
      <tp t="s">
        <v>#N/A Requesting Data...2694181682</v>
        <stp/>
        <stp>BDP|14461040306556571112</stp>
        <tr r="P248" s="2"/>
      </tp>
      <tp t="s">
        <v>#N/A Requesting Data...2713013159</v>
        <stp/>
        <stp>BDP|11452240152030520551</stp>
        <tr r="E1017" s="2"/>
      </tp>
      <tp t="s">
        <v>#N/A Requesting Data...2734356475</v>
        <stp/>
        <stp>BDP|16087969826746039823</stp>
        <tr r="D1648" s="2"/>
      </tp>
      <tp t="s">
        <v>#N/A Requesting Data...3183170905</v>
        <stp/>
        <stp>BDP|11962183839561854120</stp>
        <tr r="P2093" s="2"/>
      </tp>
      <tp t="s">
        <v>#N/A Requesting Data...2818182434</v>
        <stp/>
        <stp>BDP|16729941241398648061</stp>
        <tr r="H2376" s="2"/>
      </tp>
      <tp t="s">
        <v>#N/A Requesting Data...3778958957</v>
        <stp/>
        <stp>BDP|15357328472014716669</stp>
        <tr r="O917" s="2"/>
      </tp>
      <tp t="s">
        <v>#N/A Requesting Data...3846610705</v>
        <stp/>
        <stp>BDP|11178347715618069825</stp>
        <tr r="M2168" s="2"/>
      </tp>
      <tp t="s">
        <v>#N/A Requesting Data...4020081696</v>
        <stp/>
        <stp>BDP|15424705796241976997</stp>
        <tr r="P66" s="2"/>
      </tp>
      <tp t="s">
        <v>#N/A Requesting Data...2758386566</v>
        <stp/>
        <stp>BDP|13145468904064789061</stp>
        <tr r="E2088" s="2"/>
      </tp>
      <tp t="s">
        <v>#N/A Requesting Data...2954315798</v>
        <stp/>
        <stp>BDP|12238377711566744511</stp>
        <tr r="E1263" s="2"/>
      </tp>
      <tp t="s">
        <v>#N/A Requesting Data...3199773291</v>
        <stp/>
        <stp>BDP|13405913487282737376</stp>
        <tr r="O1118" s="2"/>
      </tp>
      <tp t="s">
        <v>#N/A Requesting Data...2105954265</v>
        <stp/>
        <stp>BDP|14975186502266663071</stp>
        <tr r="S1389" s="2"/>
      </tp>
      <tp t="s">
        <v>#N/A Requesting Data...4277608881</v>
        <stp/>
        <stp>BDP|14507385676066916500</stp>
        <tr r="P398" s="2"/>
      </tp>
      <tp t="s">
        <v>#N/A Requesting Data...4224966556</v>
        <stp/>
        <stp>BDP|16806870176732977824</stp>
        <tr r="A1192" s="2"/>
      </tp>
      <tp t="s">
        <v>#N/A Requesting Data...3485127697</v>
        <stp/>
        <stp>BDP|14107635421782359123</stp>
        <tr r="P2126" s="2"/>
      </tp>
      <tp t="s">
        <v>#N/A Requesting Data...3569026710</v>
        <stp/>
        <stp>BDP|13645179081098640132</stp>
        <tr r="S1821" s="2"/>
      </tp>
      <tp t="s">
        <v>#N/A Requesting Data...4270720425</v>
        <stp/>
        <stp>BDP|17538933050841002933</stp>
        <tr r="A1118" s="2"/>
      </tp>
      <tp t="s">
        <v>#N/A Requesting Data...2736361277</v>
        <stp/>
        <stp>BDP|12643005657551576518</stp>
        <tr r="P1103" s="2"/>
      </tp>
      <tp t="s">
        <v>#N/A Requesting Data...3820808981</v>
        <stp/>
        <stp>BDP|14466761507756996692</stp>
        <tr r="G114" s="2"/>
      </tp>
      <tp t="s">
        <v>#N/A Requesting Data...3408500417</v>
        <stp/>
        <stp>BDP|17395749371924164024</stp>
        <tr r="J346" s="2"/>
      </tp>
      <tp t="s">
        <v>#N/A Requesting Data...3379225986</v>
        <stp/>
        <stp>BDP|17326819667353207923</stp>
        <tr r="T624" s="2"/>
      </tp>
      <tp t="s">
        <v>#N/A Requesting Data...2125511534</v>
        <stp/>
        <stp>BDP|13265330023502090370</stp>
        <tr r="P643" s="2"/>
      </tp>
      <tp t="s">
        <v>#N/A Requesting Data...2194324284</v>
        <stp/>
        <stp>BDP|15858639329741319340</stp>
        <tr r="E1221" s="2"/>
      </tp>
      <tp t="s">
        <v>#N/A Requesting Data...4069901785</v>
        <stp/>
        <stp>BDP|14202029912185142366</stp>
        <tr r="P1654" s="2"/>
      </tp>
      <tp t="s">
        <v>#N/A Requesting Data...3905561820</v>
        <stp/>
        <stp>BDP|14591059195129991792</stp>
        <tr r="P1088" s="2"/>
      </tp>
      <tp t="s">
        <v>#N/A Requesting Data...3992718805</v>
        <stp/>
        <stp>BDP|13783254630088634916</stp>
        <tr r="A1670" s="2"/>
      </tp>
      <tp t="s">
        <v>#N/A Requesting Data...3548406522</v>
        <stp/>
        <stp>BDP|14908322794629945439</stp>
        <tr r="H1106" s="2"/>
      </tp>
      <tp t="s">
        <v>#N/A Requesting Data...3195732400</v>
        <stp/>
        <stp>BDP|12004226892952332865</stp>
        <tr r="E1954" s="2"/>
      </tp>
      <tp t="s">
        <v>#N/A Requesting Data...2915476590</v>
        <stp/>
        <stp>BDP|11067509282458351747</stp>
        <tr r="A690" s="2"/>
      </tp>
      <tp t="s">
        <v>#N/A Requesting Data...2383338704</v>
        <stp/>
        <stp>BDP|18307107884831141333</stp>
        <tr r="K1268" s="2"/>
      </tp>
      <tp t="s">
        <v>#N/A Requesting Data...3154580195</v>
        <stp/>
        <stp>BDP|12135486959613582303</stp>
        <tr r="S2065" s="2"/>
      </tp>
      <tp t="s">
        <v>#N/A Requesting Data...2838149818</v>
        <stp/>
        <stp>BDP|16853029872997949549</stp>
        <tr r="M1778" s="2"/>
      </tp>
      <tp t="s">
        <v>#N/A Requesting Data...2828953715</v>
        <stp/>
        <stp>BDP|16163231506891738664</stp>
        <tr r="H1059" s="2"/>
      </tp>
      <tp t="s">
        <v>#N/A Requesting Data...3942139975</v>
        <stp/>
        <stp>BDP|11327148621640504164</stp>
        <tr r="N791" s="2"/>
      </tp>
      <tp t="s">
        <v>#N/A Requesting Data...3868674671</v>
        <stp/>
        <stp>BDP|14876589966506663252</stp>
        <tr r="E1089" s="2"/>
      </tp>
      <tp t="s">
        <v>#N/A Requesting Data...2649993552</v>
        <stp/>
        <stp>BDP|15676620619871059085</stp>
        <tr r="Q2108" s="2"/>
      </tp>
      <tp t="s">
        <v>#N/A Requesting Data...3636847828</v>
        <stp/>
        <stp>BDP|18129719095250762570</stp>
        <tr r="G2322" s="2"/>
      </tp>
      <tp t="s">
        <v>#N/A Requesting Data...2459559694</v>
        <stp/>
        <stp>BDP|11174800117992394908</stp>
        <tr r="F2350" s="2"/>
      </tp>
      <tp t="s">
        <v>#N/A Requesting Data...3176497380</v>
        <stp/>
        <stp>BDP|12794223620933099205</stp>
        <tr r="J1746" s="2"/>
      </tp>
      <tp t="s">
        <v>#N/A Requesting Data...3946256433</v>
        <stp/>
        <stp>BDP|14787635008448858913</stp>
        <tr r="D2265" s="2"/>
      </tp>
      <tp t="s">
        <v>#N/A Requesting Data...2702278869</v>
        <stp/>
        <stp>BDP|11540953471988258464</stp>
        <tr r="S2527" s="2"/>
      </tp>
      <tp t="s">
        <v>#N/A Requesting Data...2919513671</v>
        <stp/>
        <stp>BDP|11535724342829874887</stp>
        <tr r="E83" s="2"/>
      </tp>
      <tp t="s">
        <v>#N/A Requesting Data...3488557876</v>
        <stp/>
        <stp>BDP|13067278642640235624</stp>
        <tr r="E1605" s="2"/>
      </tp>
      <tp t="s">
        <v>#N/A Requesting Data...2958071685</v>
        <stp/>
        <stp>BDP|17405024649205810528</stp>
        <tr r="M1977" s="2"/>
      </tp>
      <tp t="s">
        <v>#N/A Requesting Data...4174683563</v>
        <stp/>
        <stp>BDP|13285756258392211082</stp>
        <tr r="J598" s="2"/>
      </tp>
      <tp t="s">
        <v>#N/A Requesting Data...3601837401</v>
        <stp/>
        <stp>BDP|15921000110937408085</stp>
        <tr r="S911" s="2"/>
      </tp>
      <tp t="s">
        <v>#N/A Requesting Data...4132401233</v>
        <stp/>
        <stp>BDP|15788387075433841171</stp>
        <tr r="Q110" s="2"/>
      </tp>
      <tp t="s">
        <v>#N/A Requesting Data...3517383280</v>
        <stp/>
        <stp>BDP|13464380933206998633</stp>
        <tr r="M806" s="2"/>
      </tp>
      <tp t="s">
        <v>#N/A Requesting Data...3441844437</v>
        <stp/>
        <stp>BDP|18146213193853425323</stp>
        <tr r="K89" s="2"/>
      </tp>
      <tp t="s">
        <v>#N/A Requesting Data...2515223954</v>
        <stp/>
        <stp>BDP|11105407610636081147</stp>
        <tr r="J571" s="2"/>
      </tp>
      <tp t="s">
        <v>#N/A Requesting Data...4204150185</v>
        <stp/>
        <stp>BDP|14857211076731986335</stp>
        <tr r="E2100" s="2"/>
      </tp>
      <tp t="s">
        <v>#N/A Requesting Data...4036614887</v>
        <stp/>
        <stp>BDP|17220306153091694320</stp>
        <tr r="K300" s="2"/>
      </tp>
      <tp t="s">
        <v>#N/A Requesting Data...3534127589</v>
        <stp/>
        <stp>BDP|13899395701374736721</stp>
        <tr r="N268" s="2"/>
      </tp>
      <tp t="s">
        <v>#N/A Requesting Data...2842351466</v>
        <stp/>
        <stp>BDP|16826795937834576565</stp>
        <tr r="F891" s="2"/>
      </tp>
      <tp t="s">
        <v>#N/A Requesting Data...2317010789</v>
        <stp/>
        <stp>BDP|13197216546756561063</stp>
        <tr r="T1925" s="2"/>
      </tp>
      <tp t="b">
        <v>0</v>
        <stp/>
        <stp>BDS|16646315207822246440</stp>
        <tr r="I346" s="2"/>
      </tp>
      <tp t="s">
        <v>#N/A Requesting Data...3659005690</v>
        <stp/>
        <stp>BDP|13790496429902637448</stp>
        <tr r="S2276" s="2"/>
      </tp>
      <tp t="s">
        <v>#N/A Requesting Data...3431210100</v>
        <stp/>
        <stp>BDP|10932450832806251292</stp>
        <tr r="G2093" s="2"/>
      </tp>
      <tp t="s">
        <v>#N/A Requesting Data...2442542888</v>
        <stp/>
        <stp>BDP|11069349235796257461</stp>
        <tr r="H1605" s="2"/>
      </tp>
      <tp t="s">
        <v>#N/A Requesting Data...2287446058</v>
        <stp/>
        <stp>BDP|16455558443517451331</stp>
        <tr r="H1167" s="2"/>
      </tp>
      <tp t="s">
        <v>#N/A Requesting Data...2958904989</v>
        <stp/>
        <stp>BDP|10969617039980021646</stp>
        <tr r="H1218" s="2"/>
      </tp>
      <tp t="s">
        <v>#N/A Requesting Data...3473767879</v>
        <stp/>
        <stp>BDP|10776634767405622609</stp>
        <tr r="K352" s="2"/>
      </tp>
      <tp t="s">
        <v>#N/A Requesting Data...3010352491</v>
        <stp/>
        <stp>BDP|16547510947045098161</stp>
        <tr r="F340" s="2"/>
      </tp>
      <tp t="s">
        <v>#N/A Requesting Data...2804610025</v>
        <stp/>
        <stp>BDP|14952117304060028693</stp>
        <tr r="D900" s="2"/>
      </tp>
      <tp t="s">
        <v>#N/A Requesting Data...4095453804</v>
        <stp/>
        <stp>BDP|10314435737820288407</stp>
        <tr r="S2230" s="2"/>
      </tp>
      <tp t="s">
        <v>#N/A Requesting Data...3634674740</v>
        <stp/>
        <stp>BDP|14361651943376466341</stp>
        <tr r="E1476" s="2"/>
      </tp>
      <tp t="s">
        <v>#N/A Requesting Data...3066884009</v>
        <stp/>
        <stp>BDP|11931140708391767275</stp>
        <tr r="C1693" s="2"/>
      </tp>
      <tp t="s">
        <v>#N/A Requesting Data...2713563772</v>
        <stp/>
        <stp>BDP|14154457713624355612</stp>
        <tr r="R1583" s="2"/>
      </tp>
      <tp t="s">
        <v>#N/A Requesting Data...2705538239</v>
        <stp/>
        <stp>BDP|12823586705272141611</stp>
        <tr r="N2512" s="2"/>
      </tp>
      <tp t="s">
        <v>#N/A Requesting Data...3060896813</v>
        <stp/>
        <stp>BDP|13085741641993217023</stp>
        <tr r="N1346" s="2"/>
      </tp>
      <tp t="s">
        <v>#N/A Requesting Data...2746980987</v>
        <stp/>
        <stp>BDP|10173437816217116101</stp>
        <tr r="J1295" s="2"/>
      </tp>
      <tp t="s">
        <v>#N/A Requesting Data...3957977495</v>
        <stp/>
        <stp>BDP|17349040422766844085</stp>
        <tr r="D1806" s="2"/>
      </tp>
      <tp t="s">
        <v>#N/A Requesting Data...2451255003</v>
        <stp/>
        <stp>BDP|17425745565114708174</stp>
        <tr r="C2127" s="2"/>
      </tp>
      <tp t="s">
        <v>#N/A Requesting Data...2798348516</v>
        <stp/>
        <stp>BDP|18193157425798126059</stp>
        <tr r="Q902" s="2"/>
      </tp>
      <tp t="s">
        <v>#N/A Requesting Data...3463357506</v>
        <stp/>
        <stp>BDP|10337156742490723661</stp>
        <tr r="J2393" s="2"/>
      </tp>
      <tp t="s">
        <v>#N/A Requesting Data...3886405462</v>
        <stp/>
        <stp>BDP|11176217966317019130</stp>
        <tr r="E1383" s="2"/>
      </tp>
      <tp t="s">
        <v>#N/A Requesting Data...3487963328</v>
        <stp/>
        <stp>BDP|15741064501613014555</stp>
        <tr r="P2457" s="2"/>
      </tp>
      <tp t="s">
        <v>#N/A Requesting Data...2790267201</v>
        <stp/>
        <stp>BDP|17157096365147963516</stp>
        <tr r="Q316" s="2"/>
      </tp>
      <tp t="s">
        <v>#N/A Requesting Data...3031810062</v>
        <stp/>
        <stp>BDP|14568370347103425344</stp>
        <tr r="N1232" s="2"/>
      </tp>
      <tp t="s">
        <v>#N/A Requesting Data...2505187344</v>
        <stp/>
        <stp>BDP|13353252535556703713</stp>
        <tr r="A1370" s="2"/>
      </tp>
      <tp t="s">
        <v>#N/A Requesting Data...3923448749</v>
        <stp/>
        <stp>BDP|13034820836318010311</stp>
        <tr r="D122" s="2"/>
      </tp>
      <tp t="s">
        <v>#N/A Requesting Data...3075216068</v>
        <stp/>
        <stp>BDP|10848290411337007757</stp>
        <tr r="Q1776" s="2"/>
      </tp>
      <tp t="s">
        <v>#N/A Requesting Data...2759984731</v>
        <stp/>
        <stp>BDP|17727082614794630184</stp>
        <tr r="A742" s="2"/>
      </tp>
      <tp t="s">
        <v>#N/A Requesting Data...3236638500</v>
        <stp/>
        <stp>BDP|17461356907652637555</stp>
        <tr r="S1399" s="2"/>
      </tp>
      <tp t="s">
        <v>#N/A Requesting Data...3935920214</v>
        <stp/>
        <stp>BDP|15235178280966344936</stp>
        <tr r="P38" s="2"/>
      </tp>
      <tp t="s">
        <v>#N/A Requesting Data...3870956626</v>
        <stp/>
        <stp>BDP|11133596302455922263</stp>
        <tr r="R1471" s="2"/>
      </tp>
      <tp t="s">
        <v>#N/A Requesting Data...3104022997</v>
        <stp/>
        <stp>BDP|12509750837334025121</stp>
        <tr r="Q2145" s="2"/>
      </tp>
      <tp t="s">
        <v>#N/A Requesting Data...3431320617</v>
        <stp/>
        <stp>BDP|11579246103411169163</stp>
        <tr r="K1692" s="2"/>
      </tp>
      <tp t="b">
        <v>0</v>
        <stp/>
        <stp>BDS|16161370506466102072</stp>
        <tr r="I602" s="2"/>
      </tp>
      <tp t="s">
        <v>#N/A Requesting Data...3019477976</v>
        <stp/>
        <stp>BDP|17604268473445197475</stp>
        <tr r="F326" s="2"/>
      </tp>
      <tp t="s">
        <v>#N/A Requesting Data...3646896354</v>
        <stp/>
        <stp>BDP|16711670312744569627</stp>
        <tr r="N291" s="2"/>
      </tp>
      <tp t="s">
        <v>#N/A Requesting Data...2660705138</v>
        <stp/>
        <stp>BDP|16382043561284161728</stp>
        <tr r="J1184" s="2"/>
      </tp>
      <tp t="s">
        <v>#N/A Requesting Data...3932193185</v>
        <stp/>
        <stp>BDP|15330770960755724261</stp>
        <tr r="H2531" s="2"/>
      </tp>
      <tp t="s">
        <v>#N/A Requesting Data...3619479794</v>
        <stp/>
        <stp>BDP|15690786084380790982</stp>
        <tr r="K661" s="2"/>
      </tp>
      <tp t="s">
        <v>#N/A Requesting Data...4238398929</v>
        <stp/>
        <stp>BDP|17848017465065032797</stp>
        <tr r="G1483" s="2"/>
      </tp>
      <tp t="s">
        <v>#N/A Requesting Data...3443935629</v>
        <stp/>
        <stp>BDP|12525142343886588227</stp>
        <tr r="T2300" s="2"/>
      </tp>
      <tp t="s">
        <v>#N/A Requesting Data...3260899115</v>
        <stp/>
        <stp>BDP|17035121997149118515</stp>
        <tr r="N1261" s="2"/>
      </tp>
      <tp t="s">
        <v>#N/A Requesting Data...4013202098</v>
        <stp/>
        <stp>BDP|16897584611210083140</stp>
        <tr r="O1166" s="2"/>
      </tp>
      <tp t="s">
        <v>#N/A Requesting Data...2897333354</v>
        <stp/>
        <stp>BDP|12205713967307342722</stp>
        <tr r="H1309" s="2"/>
      </tp>
      <tp t="s">
        <v>#N/A Requesting Data...3443979089</v>
        <stp/>
        <stp>BDP|13986086020797466509</stp>
        <tr r="T1993" s="2"/>
      </tp>
      <tp t="s">
        <v>#N/A Requesting Data...3214664519</v>
        <stp/>
        <stp>BDP|13853541842924831538</stp>
        <tr r="D2125" s="2"/>
      </tp>
      <tp t="b">
        <v>0</v>
        <stp/>
        <stp>BDS|15467051126001887599</stp>
        <tr r="I1413" s="2"/>
      </tp>
      <tp t="s">
        <v>#N/A Requesting Data...3823934803</v>
        <stp/>
        <stp>BDP|18063702015544444943</stp>
        <tr r="M888" s="2"/>
      </tp>
      <tp t="s">
        <v>#N/A Requesting Data...2596614748</v>
        <stp/>
        <stp>BDP|17126069706792185651</stp>
        <tr r="C2031" s="2"/>
      </tp>
      <tp t="s">
        <v>#N/A Requesting Data...3377657013</v>
        <stp/>
        <stp>BDP|13662531521691714665</stp>
        <tr r="Q1102" s="2"/>
      </tp>
      <tp t="s">
        <v>#N/A Requesting Data...4218086587</v>
        <stp/>
        <stp>BDP|16797714932368832998</stp>
        <tr r="D1275" s="2"/>
      </tp>
      <tp t="s">
        <v>#N/A Requesting Data...3119265752</v>
        <stp/>
        <stp>BDP|10362174436502752307</stp>
        <tr r="E2204" s="2"/>
      </tp>
      <tp t="s">
        <v>#N/A Requesting Data...3649026960</v>
        <stp/>
        <stp>BDP|15672066771231562010</stp>
        <tr r="M1873" s="2"/>
      </tp>
      <tp t="s">
        <v>#N/A Requesting Data...3357947798</v>
        <stp/>
        <stp>BDP|13735703566277270660</stp>
        <tr r="N1599" s="2"/>
      </tp>
      <tp t="s">
        <v>#N/A Requesting Data...3913779570</v>
        <stp/>
        <stp>BDP|15818152159995687777</stp>
        <tr r="M1023" s="2"/>
      </tp>
      <tp t="s">
        <v>#N/A Requesting Data...3258045742</v>
        <stp/>
        <stp>BDP|16318092987329842401</stp>
        <tr r="K554" s="2"/>
      </tp>
      <tp t="s">
        <v>#N/A Requesting Data...4278788214</v>
        <stp/>
        <stp>BDP|17113352833162653643</stp>
        <tr r="K43" s="2"/>
      </tp>
      <tp t="s">
        <v>#N/A Requesting Data...3291707740</v>
        <stp/>
        <stp>BDP|12514728316550695721</stp>
        <tr r="G1591" s="2"/>
      </tp>
      <tp t="s">
        <v>#N/A Requesting Data...3899523605</v>
        <stp/>
        <stp>BDP|16584169704605274104</stp>
        <tr r="J2437" s="2"/>
      </tp>
      <tp t="s">
        <v>#N/A Requesting Data...3839728740</v>
        <stp/>
        <stp>BDP|12398143077570052741</stp>
        <tr r="H851" s="2"/>
      </tp>
      <tp t="s">
        <v>#N/A Requesting Data...2548725885</v>
        <stp/>
        <stp>BDP|16759758248273768592</stp>
        <tr r="H17" s="2"/>
      </tp>
      <tp t="s">
        <v>#N/A Requesting Data...3658964738</v>
        <stp/>
        <stp>BDP|11453916991587044509</stp>
        <tr r="F1181" s="2"/>
      </tp>
      <tp t="s">
        <v>#N/A Requesting Data...2450177102</v>
        <stp/>
        <stp>BDP|15734733762237482061</stp>
        <tr r="C2163" s="2"/>
      </tp>
      <tp t="s">
        <v>#N/A Requesting Data...3230066587</v>
        <stp/>
        <stp>BDP|13153907999947503791</stp>
        <tr r="A2335" s="2"/>
      </tp>
      <tp t="s">
        <v>#N/A Requesting Data...2489528576</v>
        <stp/>
        <stp>BDP|11168924091774596636</stp>
        <tr r="S1917" s="2"/>
      </tp>
      <tp t="s">
        <v>#N/A Requesting Data...2722268511</v>
        <stp/>
        <stp>BDP|12864008722386920575</stp>
        <tr r="R813" s="2"/>
      </tp>
      <tp t="s">
        <v>#N/A Requesting Data...2771296644</v>
        <stp/>
        <stp>BDP|16449601237953515327</stp>
        <tr r="R1592" s="2"/>
      </tp>
      <tp t="s">
        <v>#N/A Requesting Data...3458354273</v>
        <stp/>
        <stp>BDP|14947537212111992251</stp>
        <tr r="E550" s="2"/>
      </tp>
      <tp t="s">
        <v>#N/A Requesting Data...3440321419</v>
        <stp/>
        <stp>BDP|16445669531385368542</stp>
        <tr r="A693" s="2"/>
      </tp>
      <tp t="s">
        <v>#N/A Requesting Data...2512501759</v>
        <stp/>
        <stp>BDP|10273731724156952088</stp>
        <tr r="M604" s="2"/>
      </tp>
      <tp t="s">
        <v>#N/A Requesting Data...3248024915</v>
        <stp/>
        <stp>BDP|17352427725453243128</stp>
        <tr r="H1316" s="2"/>
      </tp>
      <tp t="s">
        <v>#N/A Requesting Data...2966295777</v>
        <stp/>
        <stp>BDP|15077749999710043894</stp>
        <tr r="C444" s="2"/>
      </tp>
      <tp t="s">
        <v>#N/A Requesting Data...2885747777</v>
        <stp/>
        <stp>BDP|13527638363692724267</stp>
        <tr r="H1425" s="2"/>
      </tp>
      <tp t="b">
        <v>0</v>
        <stp/>
        <stp>BDS|17258079651887553668</stp>
        <tr r="I1105" s="2"/>
      </tp>
      <tp t="s">
        <v>#N/A Requesting Data...3973387781</v>
        <stp/>
        <stp>BDP|16010684252901805765</stp>
        <tr r="D1256" s="2"/>
      </tp>
      <tp t="s">
        <v>#N/A Requesting Data...2871816743</v>
        <stp/>
        <stp>BDP|14357966811228580751</stp>
        <tr r="J885" s="2"/>
      </tp>
      <tp t="s">
        <v>#N/A Requesting Data...3355821235</v>
        <stp/>
        <stp>BDP|13195851804111734932</stp>
        <tr r="S2333" s="2"/>
      </tp>
      <tp t="s">
        <v>#N/A Requesting Data...3380111125</v>
        <stp/>
        <stp>BDP|10390900886680342223</stp>
        <tr r="G102" s="2"/>
      </tp>
      <tp t="s">
        <v>#N/A Requesting Data...2975730776</v>
        <stp/>
        <stp>BDP|15078962209517292896</stp>
        <tr r="K2225" s="2"/>
      </tp>
      <tp t="s">
        <v>#N/A Requesting Data...3969520717</v>
        <stp/>
        <stp>BDP|17889596265295435240</stp>
        <tr r="R1158" s="2"/>
      </tp>
      <tp t="s">
        <v>#N/A Requesting Data...4271953837</v>
        <stp/>
        <stp>BDP|11288310730661492339</stp>
        <tr r="M1617" s="2"/>
      </tp>
      <tp t="s">
        <v>#N/A Requesting Data...3263789942</v>
        <stp/>
        <stp>BDP|14398355794324786919</stp>
        <tr r="R596" s="2"/>
      </tp>
      <tp t="s">
        <v>#N/A Requesting Data...2725767064</v>
        <stp/>
        <stp>BDP|16245265211875635374</stp>
        <tr r="K1127" s="2"/>
      </tp>
      <tp t="s">
        <v>#N/A Requesting Data...2580069925</v>
        <stp/>
        <stp>BDP|14185535730426037764</stp>
        <tr r="M922" s="2"/>
      </tp>
      <tp t="s">
        <v>#N/A Requesting Data...3637810185</v>
        <stp/>
        <stp>BDP|10989830998124404627</stp>
        <tr r="J552" s="2"/>
      </tp>
      <tp t="s">
        <v>#N/A Requesting Data...3504581071</v>
        <stp/>
        <stp>BDP|16106111002017381357</stp>
        <tr r="A2015" s="2"/>
      </tp>
      <tp t="s">
        <v>#N/A Requesting Data...3774622940</v>
        <stp/>
        <stp>BDP|14290931629849481586</stp>
        <tr r="H581" s="2"/>
      </tp>
      <tp t="s">
        <v>#N/A Requesting Data...3558815984</v>
        <stp/>
        <stp>BDP|15941177451472310088</stp>
        <tr r="S2034" s="2"/>
      </tp>
      <tp t="s">
        <v>#N/A Requesting Data...2599623264</v>
        <stp/>
        <stp>BDP|13264109966071477645</stp>
        <tr r="G471" s="2"/>
      </tp>
      <tp t="s">
        <v>#N/A Requesting Data...2913585285</v>
        <stp/>
        <stp>BDP|11733786610827809330</stp>
        <tr r="M164" s="2"/>
      </tp>
      <tp t="s">
        <v>#N/A Requesting Data...3296037197</v>
        <stp/>
        <stp>BDP|17153990358189500119</stp>
        <tr r="E868" s="2"/>
      </tp>
      <tp t="s">
        <v>#N/A Requesting Data...2864746068</v>
        <stp/>
        <stp>BDP|16084806983050373544</stp>
        <tr r="P1064" s="2"/>
      </tp>
      <tp t="s">
        <v>#N/A Requesting Data...2720707005</v>
        <stp/>
        <stp>BDP|10800233958553236758</stp>
        <tr r="D1423" s="2"/>
      </tp>
      <tp t="s">
        <v>#N/A Requesting Data...3180007136</v>
        <stp/>
        <stp>BDP|14811567228950340016</stp>
        <tr r="O411" s="2"/>
      </tp>
      <tp t="s">
        <v>#N/A Requesting Data...2479483358</v>
        <stp/>
        <stp>BDP|11004621911666439339</stp>
        <tr r="R365" s="2"/>
      </tp>
      <tp t="s">
        <v>#N/A Requesting Data...3678175589</v>
        <stp/>
        <stp>BDP|13780502543167901696</stp>
        <tr r="J1454" s="2"/>
      </tp>
      <tp t="s">
        <v>#N/A Requesting Data...2894063994</v>
        <stp/>
        <stp>BDP|10068321747932450657</stp>
        <tr r="S1896" s="2"/>
      </tp>
      <tp t="s">
        <v>#N/A Requesting Data...4283636100</v>
        <stp/>
        <stp>BDP|12302449331395666340</stp>
        <tr r="A1705" s="2"/>
      </tp>
      <tp t="s">
        <v>#N/A Requesting Data...3183663809</v>
        <stp/>
        <stp>BDP|11607766947827747646</stp>
        <tr r="E487" s="2"/>
      </tp>
      <tp t="s">
        <v>#N/A Requesting Data...4070119999</v>
        <stp/>
        <stp>BDP|13522571823322653539</stp>
        <tr r="Q2229" s="2"/>
      </tp>
      <tp t="s">
        <v>#N/A Requesting Data...2563881938</v>
        <stp/>
        <stp>BDP|10770518106866382073</stp>
        <tr r="N1897" s="2"/>
      </tp>
      <tp t="s">
        <v>#N/A Requesting Data...3859382347</v>
        <stp/>
        <stp>BDP|11640037256415694212</stp>
        <tr r="M1336" s="2"/>
      </tp>
      <tp t="s">
        <v>#N/A Requesting Data...3794121329</v>
        <stp/>
        <stp>BDP|17998105668102599108</stp>
        <tr r="M1498" s="2"/>
      </tp>
      <tp t="s">
        <v>#N/A Requesting Data...3897484358</v>
        <stp/>
        <stp>BDP|17205205075822381309</stp>
        <tr r="P307" s="2"/>
      </tp>
      <tp t="s">
        <v>#N/A Requesting Data...3916972507</v>
        <stp/>
        <stp>BDP|17995857710884938919</stp>
        <tr r="J1100" s="2"/>
      </tp>
      <tp t="s">
        <v>#N/A Requesting Data...4009041848</v>
        <stp/>
        <stp>BDP|11118205755075175010</stp>
        <tr r="O538" s="2"/>
      </tp>
      <tp t="s">
        <v>#N/A Requesting Data...3611203246</v>
        <stp/>
        <stp>BDP|14122244385598409500</stp>
        <tr r="H1127" s="2"/>
      </tp>
      <tp t="s">
        <v>#N/A Requesting Data...3355264589</v>
        <stp/>
        <stp>BDP|13249501907280548540</stp>
        <tr r="T272" s="2"/>
      </tp>
      <tp t="s">
        <v>#N/A Requesting Data...4109030987</v>
        <stp/>
        <stp>BDP|12169229322820244171</stp>
        <tr r="K894" s="2"/>
      </tp>
      <tp t="s">
        <v>#N/A Requesting Data...2516065368</v>
        <stp/>
        <stp>BDP|16129366390317154820</stp>
        <tr r="N1613" s="2"/>
      </tp>
      <tp t="s">
        <v>#N/A Requesting Data...3259557093</v>
        <stp/>
        <stp>BDP|12409288409235610679</stp>
        <tr r="C1178" s="2"/>
      </tp>
      <tp t="s">
        <v>#N/A Requesting Data...3471823893</v>
        <stp/>
        <stp>BDP|10019700567217179526</stp>
        <tr r="Q1629" s="2"/>
      </tp>
      <tp t="s">
        <v>#N/A Requesting Data...2743409850</v>
        <stp/>
        <stp>BDP|17555160451576322650</stp>
        <tr r="K1851" s="2"/>
      </tp>
      <tp t="s">
        <v>#N/A Requesting Data...3133693044</v>
        <stp/>
        <stp>BDP|14336221382464545920</stp>
        <tr r="O1007" s="2"/>
      </tp>
      <tp t="s">
        <v>#N/A Requesting Data...4267343360</v>
        <stp/>
        <stp>BDP|15620237144357565702</stp>
        <tr r="P1729" s="2"/>
      </tp>
      <tp t="s">
        <v>#N/A Requesting Data...3160536147</v>
        <stp/>
        <stp>BDP|13550115780561733874</stp>
        <tr r="S376" s="2"/>
      </tp>
      <tp t="s">
        <v>#N/A Requesting Data...3031369000</v>
        <stp/>
        <stp>BDP|10397871378419999514</stp>
        <tr r="G761" s="2"/>
      </tp>
      <tp t="s">
        <v>#N/A Requesting Data...3482935628</v>
        <stp/>
        <stp>BDP|11687093113086827508</stp>
        <tr r="J365" s="2"/>
      </tp>
      <tp t="s">
        <v>#N/A Requesting Data...2635807973</v>
        <stp/>
        <stp>BDP|10178037411410165263</stp>
        <tr r="K2106" s="2"/>
      </tp>
      <tp t="s">
        <v>#N/A Requesting Data...2690621345</v>
        <stp/>
        <stp>BDP|13805116403203655280</stp>
        <tr r="N2387" s="2"/>
      </tp>
      <tp t="s">
        <v>#N/A Requesting Data...3759926522</v>
        <stp/>
        <stp>BDP|16889331819431085664</stp>
        <tr r="G1258" s="2"/>
      </tp>
      <tp t="s">
        <v>#N/A Requesting Data...3787965894</v>
        <stp/>
        <stp>BDP|17360528032621291350</stp>
        <tr r="G1177" s="2"/>
      </tp>
      <tp t="s">
        <v>#N/A Requesting Data...2951308907</v>
        <stp/>
        <stp>BDP|12758554808701772590</stp>
        <tr r="A452" s="2"/>
      </tp>
      <tp t="s">
        <v>#N/A Requesting Data...3530912388</v>
        <stp/>
        <stp>BDP|10788246217677290721</stp>
        <tr r="H1497" s="2"/>
      </tp>
      <tp t="s">
        <v>#N/A Requesting Data...3538227596</v>
        <stp/>
        <stp>BDP|13179660759636872526</stp>
        <tr r="R1601" s="2"/>
      </tp>
      <tp t="s">
        <v>#N/A Requesting Data...3785240333</v>
        <stp/>
        <stp>BDP|13679036615506679723</stp>
        <tr r="A521" s="2"/>
      </tp>
      <tp t="s">
        <v>#N/A Requesting Data...3189970607</v>
        <stp/>
        <stp>BDP|17792149661662011167</stp>
        <tr r="Q1227" s="2"/>
      </tp>
      <tp t="s">
        <v>#N/A Requesting Data...3418586172</v>
        <stp/>
        <stp>BDP|11420141177407103327</stp>
        <tr r="F2071" s="2"/>
      </tp>
      <tp t="s">
        <v>#N/A Requesting Data...4095317705</v>
        <stp/>
        <stp>BDP|16170092752264638483</stp>
        <tr r="J834" s="2"/>
      </tp>
      <tp t="s">
        <v>#N/A Requesting Data...3632994813</v>
        <stp/>
        <stp>BDP|14334323202082536624</stp>
        <tr r="J1157" s="2"/>
      </tp>
      <tp t="s">
        <v>#N/A Requesting Data...3969184988</v>
        <stp/>
        <stp>BDP|14580555102935237740</stp>
        <tr r="D1980" s="2"/>
      </tp>
      <tp t="s">
        <v>#N/A Requesting Data...3875813353</v>
        <stp/>
        <stp>BDP|16547412012667524775</stp>
        <tr r="P2451" s="2"/>
      </tp>
      <tp t="b">
        <v>0</v>
        <stp/>
        <stp>BDS|18268992163590913467</stp>
        <tr r="I607" s="2"/>
      </tp>
      <tp t="s">
        <v>#N/A Requesting Data...2880347929</v>
        <stp/>
        <stp>BDP|14329301554379659852</stp>
        <tr r="P669" s="2"/>
      </tp>
      <tp t="s">
        <v>#N/A Requesting Data...2616332601</v>
        <stp/>
        <stp>BDP|10588728663012501056</stp>
        <tr r="J341" s="2"/>
      </tp>
      <tp t="s">
        <v>#N/A Requesting Data...3158814658</v>
        <stp/>
        <stp>BDP|11709878234248651169</stp>
        <tr r="C923" s="2"/>
      </tp>
      <tp t="s">
        <v>#N/A Requesting Data...4046439750</v>
        <stp/>
        <stp>BDP|14442760509378717880</stp>
        <tr r="A2510" s="2"/>
      </tp>
      <tp t="s">
        <v>#N/A Requesting Data...4044419834</v>
        <stp/>
        <stp>BDP|13427757650983229178</stp>
        <tr r="F1014" s="2"/>
      </tp>
      <tp t="s">
        <v>#N/A Requesting Data...3709764458</v>
        <stp/>
        <stp>BDP|15147235375110515367</stp>
        <tr r="M1050" s="2"/>
      </tp>
      <tp t="s">
        <v>#N/A Requesting Data...2858787914</v>
        <stp/>
        <stp>BDP|16553749900996051456</stp>
        <tr r="T630" s="2"/>
      </tp>
      <tp t="s">
        <v>#N/A Requesting Data...2679786440</v>
        <stp/>
        <stp>BDP|12709105444761062571</stp>
        <tr r="E1619" s="2"/>
      </tp>
      <tp t="s">
        <v>#N/A Requesting Data...3746393585</v>
        <stp/>
        <stp>BDP|16038741410211106215</stp>
        <tr r="S1868" s="2"/>
      </tp>
      <tp t="s">
        <v>#N/A Requesting Data...3781147458</v>
        <stp/>
        <stp>BDP|18356714710569692408</stp>
        <tr r="M2080" s="2"/>
      </tp>
      <tp t="s">
        <v>#N/A Requesting Data...4267763041</v>
        <stp/>
        <stp>BDP|11372896014429934233</stp>
        <tr r="P1887" s="2"/>
      </tp>
      <tp t="s">
        <v>#N/A Requesting Data...2770558090</v>
        <stp/>
        <stp>BDP|14126965141972134838</stp>
        <tr r="M775" s="2"/>
      </tp>
      <tp t="s">
        <v>#N/A Requesting Data...2997426903</v>
        <stp/>
        <stp>BDP|17739053072261548213</stp>
        <tr r="N611" s="2"/>
      </tp>
      <tp t="s">
        <v>#N/A Requesting Data...3714599543</v>
        <stp/>
        <stp>BDP|11470604077235503624</stp>
        <tr r="R2244" s="2"/>
      </tp>
      <tp t="b">
        <v>0</v>
        <stp/>
        <stp>BDS|18407106174365530823</stp>
        <tr r="I547" s="2"/>
      </tp>
      <tp t="s">
        <v>#N/A Requesting Data...2693925521</v>
        <stp/>
        <stp>BDP|17935162783278949513</stp>
        <tr r="F2101" s="2"/>
      </tp>
      <tp t="s">
        <v>#N/A Requesting Data...3704231953</v>
        <stp/>
        <stp>BDP|14048345410243666661</stp>
        <tr r="C591" s="2"/>
      </tp>
      <tp t="b">
        <v>0</v>
        <stp/>
        <stp>BDS|14276658800895619462</stp>
        <tr r="I1195" s="2"/>
      </tp>
      <tp t="s">
        <v>#N/A Requesting Data...2689058133</v>
        <stp/>
        <stp>BDP|13737904207738753131</stp>
        <tr r="S1658" s="2"/>
      </tp>
      <tp t="s">
        <v>#N/A Requesting Data...2758603335</v>
        <stp/>
        <stp>BDP|16902612138218532817</stp>
        <tr r="Q831" s="2"/>
      </tp>
      <tp t="s">
        <v>#N/A Requesting Data...3857252079</v>
        <stp/>
        <stp>BDP|15188032722967184360</stp>
        <tr r="P1531" s="2"/>
      </tp>
      <tp t="s">
        <v>#N/A Requesting Data...4222551734</v>
        <stp/>
        <stp>BDP|12037713916010193712</stp>
        <tr r="H855" s="2"/>
      </tp>
      <tp t="s">
        <v>#N/A Requesting Data...3932059386</v>
        <stp/>
        <stp>BDP|13131348975250412433</stp>
        <tr r="A1528" s="2"/>
      </tp>
      <tp t="s">
        <v>#N/A Requesting Data...3522288107</v>
        <stp/>
        <stp>BDP|16444185228147236118</stp>
        <tr r="T1561" s="2"/>
      </tp>
      <tp t="s">
        <v>#N/A Requesting Data...2742988472</v>
        <stp/>
        <stp>BDP|11821394985818565162</stp>
        <tr r="T1264" s="2"/>
      </tp>
      <tp t="s">
        <v>#N/A Requesting Data...3578775894</v>
        <stp/>
        <stp>BDP|13543704113084393223</stp>
        <tr r="H188" s="2"/>
      </tp>
      <tp t="s">
        <v>#N/A Requesting Data...3184717545</v>
        <stp/>
        <stp>BDP|12216072332994557655</stp>
        <tr r="F2051" s="2"/>
      </tp>
      <tp t="s">
        <v>#N/A Requesting Data...3512010461</v>
        <stp/>
        <stp>BDP|10487724526795301341</stp>
        <tr r="E169" s="2"/>
      </tp>
      <tp t="s">
        <v>#N/A Requesting Data...4287569884</v>
        <stp/>
        <stp>BDP|12882590734737073022</stp>
        <tr r="M842" s="2"/>
      </tp>
      <tp t="s">
        <v>#N/A Requesting Data...4154156241</v>
        <stp/>
        <stp>BDP|11993180516276950494</stp>
        <tr r="A2443" s="2"/>
      </tp>
      <tp t="s">
        <v>#N/A Requesting Data...4224479987</v>
        <stp/>
        <stp>BDP|12748663649400683392</stp>
        <tr r="O490" s="2"/>
      </tp>
      <tp t="s">
        <v>#N/A Requesting Data...3614904987</v>
        <stp/>
        <stp>BDP|16346135652995005451</stp>
        <tr r="C2058" s="2"/>
      </tp>
      <tp t="s">
        <v>#N/A Requesting Data...3278299113</v>
        <stp/>
        <stp>BDP|16558105437411651638</stp>
        <tr r="E2115" s="2"/>
      </tp>
      <tp t="s">
        <v>#N/A Requesting Data...3858683656</v>
        <stp/>
        <stp>BDP|12406808327079616220</stp>
        <tr r="G1206" s="2"/>
      </tp>
      <tp t="s">
        <v>#N/A Requesting Data...3552933095</v>
        <stp/>
        <stp>BDP|17334041705532294677</stp>
        <tr r="F559" s="2"/>
      </tp>
      <tp t="s">
        <v>#N/A Requesting Data...4084694922</v>
        <stp/>
        <stp>BDP|18183238731318533219</stp>
        <tr r="Q20" s="2"/>
      </tp>
      <tp t="s">
        <v>#N/A Requesting Data...3782395451</v>
        <stp/>
        <stp>BDP|14852188164791029131</stp>
        <tr r="F745" s="2"/>
      </tp>
      <tp t="s">
        <v>#N/A Requesting Data...3363103539</v>
        <stp/>
        <stp>BDP|18185916266887876399</stp>
        <tr r="J225" s="2"/>
      </tp>
      <tp t="s">
        <v>#N/A Requesting Data...3458266684</v>
        <stp/>
        <stp>BDP|11161677329422098484</stp>
        <tr r="A1204" s="2"/>
      </tp>
      <tp t="s">
        <v>#N/A Requesting Data...3243119813</v>
        <stp/>
        <stp>BDP|12525768870908227969</stp>
        <tr r="T1754" s="2"/>
      </tp>
      <tp t="s">
        <v>#N/A Requesting Data...3647505223</v>
        <stp/>
        <stp>BDP|13778849476206406964</stp>
        <tr r="O2314" s="2"/>
      </tp>
      <tp t="b">
        <v>0</v>
        <stp/>
        <stp>BDS|11684524536863793715</stp>
        <tr r="I1589" s="2"/>
      </tp>
      <tp t="s">
        <v>#N/A Requesting Data...3740875494</v>
        <stp/>
        <stp>BDP|11065401500752192461</stp>
        <tr r="G1536" s="2"/>
      </tp>
      <tp t="s">
        <v>#N/A Requesting Data...2951892324</v>
        <stp/>
        <stp>BDP|13447682375913602287</stp>
        <tr r="D731" s="2"/>
      </tp>
      <tp t="s">
        <v>#N/A Requesting Data...3227105443</v>
        <stp/>
        <stp>BDP|14756531239956906735</stp>
        <tr r="O200" s="2"/>
      </tp>
      <tp t="b">
        <v>0</v>
        <stp/>
        <stp>BDS|15659636416692685315</stp>
        <tr r="I1436" s="2"/>
      </tp>
      <tp t="s">
        <v>#N/A Requesting Data...3103320713</v>
        <stp/>
        <stp>BDP|11605881123878360097</stp>
        <tr r="N844" s="2"/>
      </tp>
      <tp t="s">
        <v>#N/A Requesting Data...3614223561</v>
        <stp/>
        <stp>BDP|10269508112484139366</stp>
        <tr r="T188" s="2"/>
      </tp>
      <tp t="s">
        <v>#N/A Requesting Data...3733295271</v>
        <stp/>
        <stp>BDP|13646235160051289506</stp>
        <tr r="C2116" s="2"/>
      </tp>
      <tp t="s">
        <v>#N/A Requesting Data...4175333787</v>
        <stp/>
        <stp>BDP|15954636644856953201</stp>
        <tr r="D2198" s="2"/>
      </tp>
      <tp t="s">
        <v>#N/A Requesting Data...3435348754</v>
        <stp/>
        <stp>BDP|10255194429902317266</stp>
        <tr r="C1454" s="2"/>
      </tp>
      <tp t="s">
        <v>#N/A Requesting Data...3873358731</v>
        <stp/>
        <stp>BDP|14580753776216817197</stp>
        <tr r="D1863" s="2"/>
      </tp>
      <tp t="s">
        <v>#N/A Requesting Data...2783663548</v>
        <stp/>
        <stp>BDP|11711149747830065739</stp>
        <tr r="F302" s="2"/>
      </tp>
      <tp t="s">
        <v>#N/A Requesting Data...3725930985</v>
        <stp/>
        <stp>BDP|11141276071953517455</stp>
        <tr r="K1294" s="2"/>
      </tp>
      <tp t="s">
        <v>#N/A Requesting Data...4075633020</v>
        <stp/>
        <stp>BDP|13730242040997510117</stp>
        <tr r="M2334" s="2"/>
      </tp>
      <tp t="s">
        <v>#N/A Requesting Data...4076430354</v>
        <stp/>
        <stp>BDP|11770132224141683012</stp>
        <tr r="T1071" s="2"/>
      </tp>
      <tp t="s">
        <v>#N/A Requesting Data...3634020240</v>
        <stp/>
        <stp>BDP|17601673335146383704</stp>
        <tr r="S1553" s="2"/>
      </tp>
      <tp t="s">
        <v>#N/A Requesting Data...3982223212</v>
        <stp/>
        <stp>BDP|15980049659816353502</stp>
        <tr r="M1373" s="2"/>
      </tp>
      <tp t="s">
        <v>#N/A Requesting Data...4151607557</v>
        <stp/>
        <stp>BDP|16846367358203661079</stp>
        <tr r="M1434" s="2"/>
      </tp>
      <tp t="s">
        <v>#N/A Requesting Data...3598415462</v>
        <stp/>
        <stp>BDP|15869594235212684255</stp>
        <tr r="P810" s="2"/>
      </tp>
      <tp t="s">
        <v>#N/A Requesting Data...3155248086</v>
        <stp/>
        <stp>BDP|13530219931126033725</stp>
        <tr r="J2040" s="2"/>
      </tp>
      <tp t="s">
        <v>#N/A Requesting Data...4223497441</v>
        <stp/>
        <stp>BDP|12542010946353095653</stp>
        <tr r="E1389" s="2"/>
      </tp>
      <tp t="s">
        <v>#N/A Requesting Data...4065714929</v>
        <stp/>
        <stp>BDP|10686268717765697563</stp>
        <tr r="M419" s="2"/>
      </tp>
      <tp t="s">
        <v>#N/A Requesting Data...4183463762</v>
        <stp/>
        <stp>BDP|16066049818856387283</stp>
        <tr r="H1787" s="2"/>
      </tp>
      <tp t="s">
        <v>#N/A Requesting Data...2813248425</v>
        <stp/>
        <stp>BDP|12368456656838614815</stp>
        <tr r="S2229" s="2"/>
      </tp>
      <tp t="s">
        <v>#N/A Requesting Data...4020990002</v>
        <stp/>
        <stp>BDP|13982020683478827072</stp>
        <tr r="E217" s="2"/>
      </tp>
      <tp t="s">
        <v>#N/A Requesting Data...3012219489</v>
        <stp/>
        <stp>BDP|15429036951551981285</stp>
        <tr r="P800" s="2"/>
      </tp>
      <tp t="s">
        <v>#N/A Requesting Data...3795466494</v>
        <stp/>
        <stp>BDP|16040581332875450694</stp>
        <tr r="D1633" s="2"/>
      </tp>
      <tp t="s">
        <v>#N/A Requesting Data...4084207756</v>
        <stp/>
        <stp>BDP|16953576051102964718</stp>
        <tr r="G1923" s="2"/>
      </tp>
      <tp t="s">
        <v>#N/A Requesting Data...3890234833</v>
        <stp/>
        <stp>BDP|17123044553403161208</stp>
        <tr r="J1769" s="2"/>
      </tp>
      <tp t="s">
        <v>#N/A Requesting Data...2829764105</v>
        <stp/>
        <stp>BDP|10387167482508335235</stp>
        <tr r="T1260" s="2"/>
      </tp>
      <tp t="s">
        <v>#N/A Requesting Data...2998642100</v>
        <stp/>
        <stp>BDP|12053479795069532503</stp>
        <tr r="D1222" s="2"/>
      </tp>
      <tp t="s">
        <v>#N/A Requesting Data...3668544030</v>
        <stp/>
        <stp>BDP|18337437237969280529</stp>
        <tr r="Q2205" s="2"/>
      </tp>
      <tp t="s">
        <v>#N/A Requesting Data...4078599638</v>
        <stp/>
        <stp>BDP|13297075142700318439</stp>
        <tr r="M2327" s="2"/>
      </tp>
      <tp t="s">
        <v>#N/A Requesting Data...3800167728</v>
        <stp/>
        <stp>BDP|13523892034733834877</stp>
        <tr r="J1091" s="2"/>
      </tp>
      <tp t="s">
        <v>#N/A Requesting Data...4084378197</v>
        <stp/>
        <stp>BDP|10763006544932783532</stp>
        <tr r="O414" s="2"/>
      </tp>
      <tp t="s">
        <v>#N/A Requesting Data...4189179255</v>
        <stp/>
        <stp>BDP|17588119106986327369</stp>
        <tr r="G1154" s="2"/>
      </tp>
      <tp t="s">
        <v>#N/A Requesting Data...3827736240</v>
        <stp/>
        <stp>BDP|15425266232767541024</stp>
        <tr r="A729" s="2"/>
      </tp>
      <tp t="s">
        <v>#N/A Requesting Data...3906751845</v>
        <stp/>
        <stp>BDP|17983608059017162065</stp>
        <tr r="S498" s="2"/>
      </tp>
      <tp t="s">
        <v>#N/A Requesting Data...3363484325</v>
        <stp/>
        <stp>BDP|12733824298259836925</stp>
        <tr r="H359" s="2"/>
      </tp>
      <tp t="b">
        <v>0</v>
        <stp/>
        <stp>BDS|17305161075025035741</stp>
        <tr r="I230" s="2"/>
      </tp>
      <tp t="s">
        <v>#N/A Requesting Data...3407470549</v>
        <stp/>
        <stp>BDP|11146714005392452764</stp>
        <tr r="O939" s="2"/>
      </tp>
      <tp t="s">
        <v>#N/A Requesting Data...2854929985</v>
        <stp/>
        <stp>BDP|12323756663898061828</stp>
        <tr r="H2334" s="2"/>
      </tp>
      <tp t="s">
        <v>#N/A Requesting Data...3545580907</v>
        <stp/>
        <stp>BDP|14813334810606502391</stp>
        <tr r="C1028" s="2"/>
      </tp>
      <tp t="s">
        <v>#N/A Requesting Data...3863148517</v>
        <stp/>
        <stp>BDP|12323141661052445455</stp>
        <tr r="A301" s="2"/>
      </tp>
      <tp t="s">
        <v>#N/A Requesting Data...4137633134</v>
        <stp/>
        <stp>BDP|10107293342063520683</stp>
        <tr r="F491" s="2"/>
      </tp>
      <tp t="s">
        <v>#N/A Requesting Data...3672798972</v>
        <stp/>
        <stp>BDP|13205537243793370266</stp>
        <tr r="M1904" s="2"/>
      </tp>
      <tp t="s">
        <v>#N/A Requesting Data...3486311283</v>
        <stp/>
        <stp>BDP|12056715077792234335</stp>
        <tr r="N110" s="2"/>
      </tp>
      <tp t="s">
        <v>#N/A Requesting Data...3006938613</v>
        <stp/>
        <stp>BDP|11596050746386384022</stp>
        <tr r="N2401" s="2"/>
      </tp>
      <tp t="s">
        <v>#N/A Requesting Data...3077640471</v>
        <stp/>
        <stp>BDP|11999733707632350799</stp>
        <tr r="C81" s="2"/>
      </tp>
      <tp t="s">
        <v>#N/A Requesting Data...3404301882</v>
        <stp/>
        <stp>BDP|12697230735991790109</stp>
        <tr r="P2372" s="2"/>
      </tp>
      <tp t="s">
        <v>#N/A Requesting Data...3593772509</v>
        <stp/>
        <stp>BDP|15413519672946538252</stp>
        <tr r="G547" s="2"/>
      </tp>
      <tp t="s">
        <v>#N/A Requesting Data...3699917254</v>
        <stp/>
        <stp>BDP|15358531766541411450</stp>
        <tr r="F848" s="2"/>
      </tp>
      <tp t="s">
        <v>#N/A Requesting Data...3064723552</v>
        <stp/>
        <stp>BDP|14558189958825070623</stp>
        <tr r="J985" s="2"/>
      </tp>
      <tp t="s">
        <v>#N/A Requesting Data...3165833748</v>
        <stp/>
        <stp>BDP|12647108241286592250</stp>
        <tr r="D1599" s="2"/>
      </tp>
      <tp t="s">
        <v>#N/A Requesting Data...4199681975</v>
        <stp/>
        <stp>BDP|14176910655272444966</stp>
        <tr r="N2443" s="2"/>
      </tp>
      <tp t="s">
        <v>#N/A Requesting Data...3686956310</v>
        <stp/>
        <stp>BDP|14171323042458545832</stp>
        <tr r="T940" s="2"/>
      </tp>
      <tp t="s">
        <v>#N/A Requesting Data...3261911229</v>
        <stp/>
        <stp>BDP|14707136012975701269</stp>
        <tr r="J515" s="2"/>
      </tp>
      <tp t="s">
        <v>#N/A Requesting Data...3505907730</v>
        <stp/>
        <stp>BDP|15845005480449844777</stp>
        <tr r="O689" s="2"/>
      </tp>
      <tp t="s">
        <v>#N/A Requesting Data...3392991768</v>
        <stp/>
        <stp>BDP|16704514283450052823</stp>
        <tr r="E2372" s="2"/>
      </tp>
      <tp t="s">
        <v>#N/A Requesting Data...3163984040</v>
        <stp/>
        <stp>BDP|15663019014764785336</stp>
        <tr r="J465" s="2"/>
      </tp>
      <tp t="s">
        <v>#N/A Requesting Data...3295293198</v>
        <stp/>
        <stp>BDP|11443209398819952026</stp>
        <tr r="J589" s="2"/>
      </tp>
      <tp t="s">
        <v>#N/A Requesting Data...3726110271</v>
        <stp/>
        <stp>BDP|14318100142625759714</stp>
        <tr r="C901" s="2"/>
      </tp>
      <tp t="s">
        <v>#N/A Requesting Data...3482669380</v>
        <stp/>
        <stp>BDP|13109293299363611804</stp>
        <tr r="N1128" s="2"/>
      </tp>
      <tp t="s">
        <v>#N/A Requesting Data...3008565665</v>
        <stp/>
        <stp>BDP|14342740975034334362</stp>
        <tr r="D2183" s="2"/>
      </tp>
      <tp t="s">
        <v>#N/A Requesting Data...3743467391</v>
        <stp/>
        <stp>BDP|16124451923664655765</stp>
        <tr r="F594" s="2"/>
      </tp>
      <tp t="s">
        <v>#N/A Requesting Data...3815033980</v>
        <stp/>
        <stp>BDP|16186914453150109958</stp>
        <tr r="G2009" s="2"/>
      </tp>
      <tp t="b">
        <v>0</v>
        <stp/>
        <stp>BDS|16235367150655317636</stp>
        <tr r="I754" s="2"/>
      </tp>
      <tp t="s">
        <v>#N/A Requesting Data...3881517290</v>
        <stp/>
        <stp>BDP|13171703324767566270</stp>
        <tr r="O985" s="2"/>
      </tp>
      <tp t="s">
        <v>#N/A Requesting Data...2982513289</v>
        <stp/>
        <stp>BDP|11946740819767327305</stp>
        <tr r="T2033" s="2"/>
      </tp>
      <tp t="s">
        <v>#N/A Requesting Data...3471488077</v>
        <stp/>
        <stp>BDP|15694605501971018100</stp>
        <tr r="Q1397" s="2"/>
      </tp>
      <tp t="s">
        <v>#N/A Requesting Data...4254865359</v>
        <stp/>
        <stp>BDP|16168869115895629931</stp>
        <tr r="K570" s="2"/>
      </tp>
      <tp t="s">
        <v>#N/A Requesting Data...3270923922</v>
        <stp/>
        <stp>BDP|13372706756656015422</stp>
        <tr r="N714" s="2"/>
      </tp>
      <tp t="s">
        <v>#N/A Requesting Data...3124127496</v>
        <stp/>
        <stp>BDP|15691252450963636225</stp>
        <tr r="E1932" s="2"/>
      </tp>
      <tp t="b">
        <v>0</v>
        <stp/>
        <stp>BDS|15071182768571431007</stp>
        <tr r="I946" s="2"/>
      </tp>
      <tp t="s">
        <v>#N/A Requesting Data...3850266075</v>
        <stp/>
        <stp>BDP|10699533247430405205</stp>
        <tr r="Q1324" s="2"/>
      </tp>
      <tp t="s">
        <v>#N/A Requesting Data...4147658363</v>
        <stp/>
        <stp>BDP|16969638252701735791</stp>
        <tr r="J1279" s="2"/>
      </tp>
      <tp t="s">
        <v>#N/A Requesting Data...3145138092</v>
        <stp/>
        <stp>BDP|15808069979215829492</stp>
        <tr r="J1388" s="2"/>
      </tp>
      <tp t="s">
        <v>#N/A Requesting Data...3768471233</v>
        <stp/>
        <stp>BDP|12416757357097444449</stp>
        <tr r="N1978" s="2"/>
      </tp>
      <tp t="s">
        <v>#N/A Requesting Data...3752959306</v>
        <stp/>
        <stp>BDP|10662073165951022425</stp>
        <tr r="R226" s="2"/>
      </tp>
      <tp t="s">
        <v>#N/A Requesting Data...4065715358</v>
        <stp/>
        <stp>BDP|12179360730934719564</stp>
        <tr r="E853" s="2"/>
      </tp>
      <tp t="s">
        <v>#N/A Requesting Data...4019651029</v>
        <stp/>
        <stp>BDP|15777368670470026272</stp>
        <tr r="M91" s="2"/>
      </tp>
      <tp t="s">
        <v>#N/A Requesting Data...4045807503</v>
        <stp/>
        <stp>BDP|14097273175636041442</stp>
        <tr r="G2430" s="2"/>
      </tp>
      <tp t="s">
        <v>#N/A Requesting Data...3407510734</v>
        <stp/>
        <stp>BDP|12088349365523289756</stp>
        <tr r="H2503" s="2"/>
      </tp>
      <tp t="s">
        <v>#N/A Requesting Data...3120024211</v>
        <stp/>
        <stp>BDP|10319790132905610280</stp>
        <tr r="K1224" s="2"/>
      </tp>
      <tp t="s">
        <v>#N/A Requesting Data...3914971038</v>
        <stp/>
        <stp>BDP|15097239224887805191</stp>
        <tr r="D1395" s="2"/>
      </tp>
      <tp t="s">
        <v>#N/A Requesting Data...4140100485</v>
        <stp/>
        <stp>BDP|18064569687561473734</stp>
        <tr r="K2356" s="2"/>
      </tp>
      <tp t="s">
        <v>#N/A Requesting Data...3520741016</v>
        <stp/>
        <stp>BDP|15509457507982924085</stp>
        <tr r="S2362" s="2"/>
      </tp>
      <tp t="s">
        <v>#N/A Requesting Data...3765522891</v>
        <stp/>
        <stp>BDP|16215755554292389567</stp>
        <tr r="R1263" s="2"/>
      </tp>
      <tp t="s">
        <v>#N/A Requesting Data...4171754225</v>
        <stp/>
        <stp>BDP|10597714270311517276</stp>
        <tr r="A1071" s="2"/>
      </tp>
      <tp t="s">
        <v>#N/A Requesting Data...3621854167</v>
        <stp/>
        <stp>BDP|16144371000055482344</stp>
        <tr r="O174" s="2"/>
      </tp>
      <tp t="s">
        <v>#N/A Requesting Data...4252277357</v>
        <stp/>
        <stp>BDP|14113338950961286060</stp>
        <tr r="P1444" s="2"/>
      </tp>
      <tp t="s">
        <v>#N/A Requesting Data...4052841561</v>
        <stp/>
        <stp>BDP|13603441636722063528</stp>
        <tr r="T1975" s="2"/>
      </tp>
      <tp t="s">
        <v>#N/A Requesting Data...3285792523</v>
        <stp/>
        <stp>BDP|16307909584172011611</stp>
        <tr r="R478" s="2"/>
      </tp>
      <tp t="s">
        <v>#N/A Requesting Data...3748260456</v>
        <stp/>
        <stp>BDP|11746841345877923997</stp>
        <tr r="F268" s="2"/>
      </tp>
      <tp t="s">
        <v>#N/A Requesting Data...3647735467</v>
        <stp/>
        <stp>BDP|12386622175774101435</stp>
        <tr r="D1304" s="2"/>
      </tp>
      <tp t="s">
        <v>#N/A Requesting Data...4046937493</v>
        <stp/>
        <stp>BDP|13461848481761012170</stp>
        <tr r="S497" s="2"/>
      </tp>
      <tp t="s">
        <v>#N/A Requesting Data...3686069575</v>
        <stp/>
        <stp>BDP|17263435436567160408</stp>
        <tr r="G1860" s="2"/>
      </tp>
      <tp t="s">
        <v>#N/A Requesting Data...3191960075</v>
        <stp/>
        <stp>BDP|13046616197208869789</stp>
        <tr r="F149" s="2"/>
      </tp>
      <tp t="s">
        <v>#N/A Requesting Data...3318832552</v>
        <stp/>
        <stp>BDP|16805629986009812227</stp>
        <tr r="D511" s="2"/>
      </tp>
      <tp t="s">
        <v>#N/A Requesting Data...3291386786</v>
        <stp/>
        <stp>BDP|11088194950474666291</stp>
        <tr r="O1326" s="2"/>
      </tp>
      <tp t="s">
        <v>#N/A Requesting Data...3893567321</v>
        <stp/>
        <stp>BDP|11760678822277647126</stp>
        <tr r="O97" s="2"/>
      </tp>
      <tp t="s">
        <v>#N/A Requesting Data...3990584682</v>
        <stp/>
        <stp>BDP|10792825684680377343</stp>
        <tr r="H1560" s="2"/>
      </tp>
      <tp t="s">
        <v>#N/A Requesting Data...3899096927</v>
        <stp/>
        <stp>BDP|11678705715652530609</stp>
        <tr r="D1933" s="2"/>
      </tp>
      <tp t="s">
        <v>#N/A Requesting Data...4054620359</v>
        <stp/>
        <stp>BDP|10340506745191398334</stp>
        <tr r="P1871" s="2"/>
      </tp>
      <tp t="s">
        <v>#N/A Requesting Data...3533827895</v>
        <stp/>
        <stp>BDP|13369152852324715058</stp>
        <tr r="A1560" s="2"/>
      </tp>
      <tp t="s">
        <v>#N/A Requesting Data...4281426024</v>
        <stp/>
        <stp>BDP|12961140015974807561</stp>
        <tr r="T1372" s="2"/>
      </tp>
      <tp t="s">
        <v>#N/A Requesting Data...4226220119</v>
        <stp/>
        <stp>BDP|15363326346569037818</stp>
        <tr r="S436" s="2"/>
      </tp>
      <tp t="s">
        <v>#N/A Requesting Data...3472801613</v>
        <stp/>
        <stp>BDP|18146046093664723678</stp>
        <tr r="Q1914" s="2"/>
      </tp>
      <tp t="s">
        <v>#N/A Requesting Data...4092911652</v>
        <stp/>
        <stp>BDP|14805037158086392462</stp>
        <tr r="N233" s="2"/>
      </tp>
      <tp t="s">
        <v>#N/A Requesting Data...3212766510</v>
        <stp/>
        <stp>BDP|10617059948204426394</stp>
        <tr r="J1796" s="2"/>
      </tp>
      <tp t="s">
        <v>#N/A Requesting Data...3985784455</v>
        <stp/>
        <stp>BDP|18235414281872018542</stp>
        <tr r="E2367" s="2"/>
      </tp>
      <tp t="s">
        <v>#N/A Requesting Data...3030638777</v>
        <stp/>
        <stp>BDP|11941559919764314207</stp>
        <tr r="C119" s="2"/>
      </tp>
      <tp t="b">
        <v>0</v>
        <stp/>
        <stp>BDS|13041176673622880490</stp>
        <tr r="I969" s="2"/>
      </tp>
      <tp t="s">
        <v>#N/A Requesting Data...3592300149</v>
        <stp/>
        <stp>BDP|10985213463022837554</stp>
        <tr r="C663" s="2"/>
      </tp>
      <tp t="s">
        <v>#N/A Requesting Data...3587155884</v>
        <stp/>
        <stp>BDP|11750070938885836462</stp>
        <tr r="C127" s="2"/>
      </tp>
      <tp t="b">
        <v>0</v>
        <stp/>
        <stp>BDS|14266208742740344161</stp>
        <tr r="I727" s="2"/>
      </tp>
      <tp t="s">
        <v>#N/A Requesting Data...3093388191</v>
        <stp/>
        <stp>BDP|10564789507517442382</stp>
        <tr r="N2121" s="2"/>
      </tp>
      <tp t="s">
        <v>#N/A Requesting Data...3460604261</v>
        <stp/>
        <stp>BDP|10000153833265017403</stp>
        <tr r="A1128" s="2"/>
      </tp>
      <tp t="s">
        <v>#N/A Requesting Data...3123855461</v>
        <stp/>
        <stp>BDP|10320654867207300447</stp>
        <tr r="H339" s="2"/>
      </tp>
      <tp t="s">
        <v>#N/A Requesting Data...3888992659</v>
        <stp/>
        <stp>BDP|11700435707557275174</stp>
        <tr r="C19" s="2"/>
      </tp>
      <tp t="s">
        <v>#N/A Requesting Data...4264605490</v>
        <stp/>
        <stp>BDP|12464640623061503405</stp>
        <tr r="K982" s="2"/>
      </tp>
      <tp t="b">
        <v>0</v>
        <stp/>
        <stp>BDS|14702317859286863720</stp>
        <tr r="I1962" s="2"/>
      </tp>
      <tp t="s">
        <v>#N/A Requesting Data...4016688052</v>
        <stp/>
        <stp>BDP|10156434240637377473</stp>
        <tr r="T2092" s="2"/>
      </tp>
      <tp t="b">
        <v>0</v>
        <stp/>
        <stp>BDS|13811479103083096793</stp>
        <tr r="I111" s="2"/>
      </tp>
      <tp t="s">
        <v>#N/A Requesting Data...3641825245</v>
        <stp/>
        <stp>BDP|15924103029695456020</stp>
        <tr r="P1428" s="2"/>
      </tp>
      <tp t="s">
        <v>#N/A Requesting Data...3230616456</v>
        <stp/>
        <stp>BDP|13016009211603581224</stp>
        <tr r="K2157" s="2"/>
      </tp>
      <tp t="s">
        <v>#N/A Requesting Data...3107975039</v>
        <stp/>
        <stp>BDP|16778379137871439457</stp>
        <tr r="N491" s="2"/>
      </tp>
      <tp t="s">
        <v>#N/A Requesting Data...3308613078</v>
        <stp/>
        <stp>BDP|14443550720675395549</stp>
        <tr r="O613" s="2"/>
      </tp>
      <tp t="s">
        <v>#N/A Requesting Data...3449696977</v>
        <stp/>
        <stp>BDP|15282445285559697333</stp>
        <tr r="D34" s="2"/>
      </tp>
      <tp t="s">
        <v>#N/A Requesting Data...3211294344</v>
        <stp/>
        <stp>BDP|12536210379000278495</stp>
        <tr r="R2492" s="2"/>
      </tp>
      <tp t="s">
        <v>#N/A Requesting Data...4194703151</v>
        <stp/>
        <stp>BDP|13580611811521745649</stp>
        <tr r="G44" s="2"/>
      </tp>
      <tp t="s">
        <v>#N/A Requesting Data...4063171366</v>
        <stp/>
        <stp>BDP|15858898560919558120</stp>
        <tr r="K116" s="2"/>
      </tp>
      <tp t="s">
        <v>#N/A Requesting Data...3529981804</v>
        <stp/>
        <stp>BDP|14097027611501381762</stp>
        <tr r="P709" s="2"/>
      </tp>
      <tp t="s">
        <v>#N/A Requesting Data...3143223908</v>
        <stp/>
        <stp>BDP|11123243517804305578</stp>
        <tr r="J1141" s="2"/>
      </tp>
      <tp t="s">
        <v>#N/A Requesting Data...4068702117</v>
        <stp/>
        <stp>BDP|11225550650254845695</stp>
        <tr r="E1873" s="2"/>
      </tp>
      <tp t="s">
        <v>#N/A Requesting Data...4036849644</v>
        <stp/>
        <stp>BDP|12937289069394883161</stp>
        <tr r="K1401" s="2"/>
      </tp>
      <tp t="s">
        <v>#N/A Requesting Data...3212104529</v>
        <stp/>
        <stp>BDP|17194534075184850299</stp>
        <tr r="H275" s="2"/>
      </tp>
      <tp t="s">
        <v>#N/A Requesting Data...3752510935</v>
        <stp/>
        <stp>BDP|17376273642540808281</stp>
        <tr r="S2457" s="2"/>
      </tp>
      <tp t="s">
        <v>#N/A Requesting Data...4068538271</v>
        <stp/>
        <stp>BDP|11263779316893752722</stp>
        <tr r="M2431" s="2"/>
      </tp>
      <tp t="s">
        <v>#N/A Requesting Data...3444807237</v>
        <stp/>
        <stp>BDP|11302505321081252460</stp>
        <tr r="Q1205" s="2"/>
      </tp>
      <tp t="s">
        <v>#N/A Requesting Data...3266899206</v>
        <stp/>
        <stp>BDP|14998608266835003299</stp>
        <tr r="T158" s="2"/>
      </tp>
      <tp t="s">
        <v>#N/A Requesting Data...3963767084</v>
        <stp/>
        <stp>BDP|15514878982647483127</stp>
        <tr r="N404" s="2"/>
      </tp>
      <tp t="s">
        <v>#N/A Requesting Data...3328696567</v>
        <stp/>
        <stp>BDP|12439505970322545171</stp>
        <tr r="H99" s="2"/>
      </tp>
      <tp t="s">
        <v>#N/A Requesting Data...3858306554</v>
        <stp/>
        <stp>BDP|15053285710454856161</stp>
        <tr r="M1483" s="2"/>
      </tp>
      <tp t="s">
        <v>#N/A Requesting Data...4293795868</v>
        <stp/>
        <stp>BDP|14906531713232853176</stp>
        <tr r="N924" s="2"/>
      </tp>
      <tp t="s">
        <v>#N/A Requesting Data...3431073086</v>
        <stp/>
        <stp>BDP|10434683400470877523</stp>
        <tr r="P334" s="2"/>
      </tp>
      <tp t="s">
        <v>#N/A Requesting Data...3462014652</v>
        <stp/>
        <stp>BDP|14681468741612624514</stp>
        <tr r="O646" s="2"/>
      </tp>
      <tp t="s">
        <v>#N/A Requesting Data...3684144340</v>
        <stp/>
        <stp>BDP|14140346990055671852</stp>
        <tr r="E325" s="2"/>
      </tp>
      <tp t="s">
        <v>#N/A Requesting Data...3815259591</v>
        <stp/>
        <stp>BDP|14676740890451665822</stp>
        <tr r="O35" s="2"/>
      </tp>
      <tp t="s">
        <v>#N/A Requesting Data...3863422168</v>
        <stp/>
        <stp>BDP|11267906451386111845</stp>
        <tr r="F1994" s="2"/>
      </tp>
      <tp t="s">
        <v>#N/A Requesting Data...4103538386</v>
        <stp/>
        <stp>BDP|11641176664526312301</stp>
        <tr r="M999" s="2"/>
      </tp>
      <tp t="s">
        <v>#N/A Requesting Data...3241542342</v>
        <stp/>
        <stp>BDP|17813027735956917109</stp>
        <tr r="Q1429" s="2"/>
      </tp>
      <tp t="s">
        <v>#N/A Requesting Data...3445582883</v>
        <stp/>
        <stp>BDP|15024017602244197249</stp>
        <tr r="R316" s="2"/>
      </tp>
      <tp t="s">
        <v>#N/A Requesting Data...3150663369</v>
        <stp/>
        <stp>BDP|16084037475954645665</stp>
        <tr r="N1544" s="2"/>
      </tp>
      <tp t="b">
        <v>0</v>
        <stp/>
        <stp>BDS|15173874791174000325</stp>
        <tr r="I139" s="2"/>
      </tp>
      <tp t="b">
        <v>0</v>
        <stp/>
        <stp>BDS|12457166892278342163</stp>
        <tr r="I593" s="2"/>
      </tp>
      <tp t="s">
        <v>#N/A Requesting Data...3738591654</v>
        <stp/>
        <stp>BDP|15407016025366004263</stp>
        <tr r="E493" s="2"/>
      </tp>
      <tp t="s">
        <v>#N/A Requesting Data...3728168437</v>
        <stp/>
        <stp>BDP|10223636271447321554</stp>
        <tr r="M2160" s="2"/>
      </tp>
      <tp t="s">
        <v>#N/A Requesting Data...4040864141</v>
        <stp/>
        <stp>BDP|12390719160324523417</stp>
        <tr r="D1731" s="2"/>
      </tp>
      <tp t="b">
        <v>0</v>
        <stp/>
        <stp>BDS|15797188775354845470</stp>
        <tr r="I982" s="2"/>
      </tp>
      <tp t="s">
        <v>#N/A Requesting Data...4067829684</v>
        <stp/>
        <stp>BDP|14814792386599742167</stp>
        <tr r="R499" s="2"/>
      </tp>
      <tp t="s">
        <v>#N/A Requesting Data...4080180041</v>
        <stp/>
        <stp>BDP|11121390479375447330</stp>
        <tr r="P1350" s="2"/>
      </tp>
      <tp t="s">
        <v>#N/A Requesting Data...4261368894</v>
        <stp/>
        <stp>BDP|12888085966467054009</stp>
        <tr r="Q91" s="2"/>
      </tp>
      <tp t="s">
        <v>#N/A Requesting Data...3707293883</v>
        <stp/>
        <stp>BDP|12972322523480842061</stp>
        <tr r="Q1330" s="2"/>
      </tp>
      <tp t="s">
        <v>#N/A Requesting Data...3498366327</v>
        <stp/>
        <stp>BDP|13714635793776358922</stp>
        <tr r="K2143" s="2"/>
      </tp>
      <tp t="s">
        <v>#N/A Requesting Data...4112916881</v>
        <stp/>
        <stp>BDP|17230699729897552713</stp>
        <tr r="O1110" s="2"/>
      </tp>
      <tp t="s">
        <v>#N/A Requesting Data...3833889006</v>
        <stp/>
        <stp>BDP|10016141901992059038</stp>
        <tr r="Q2486" s="2"/>
      </tp>
      <tp t="s">
        <v>#N/A Requesting Data...4073819472</v>
        <stp/>
        <stp>BDP|13546384419324249603</stp>
        <tr r="R727" s="2"/>
      </tp>
      <tp t="s">
        <v>#N/A Requesting Data...3983298359</v>
        <stp/>
        <stp>BDP|15271044774662409301</stp>
        <tr r="R1998" s="2"/>
      </tp>
      <tp t="s">
        <v>#N/A Requesting Data...4033754312</v>
        <stp/>
        <stp>BDP|11659557652453311143</stp>
        <tr r="A2108" s="2"/>
      </tp>
      <tp t="s">
        <v>#N/A Requesting Data...4185696078</v>
        <stp/>
        <stp>BDP|18215461880614156337</stp>
        <tr r="T1705" s="2"/>
      </tp>
      <tp t="s">
        <v>#N/A Requesting Data...3995270758</v>
        <stp/>
        <stp>BDP|12494679282269217657</stp>
        <tr r="E434" s="2"/>
      </tp>
      <tp t="s">
        <v>#N/A Requesting Data...3690417310</v>
        <stp/>
        <stp>BDP|12229767821003740745</stp>
        <tr r="D588" s="2"/>
      </tp>
      <tp t="s">
        <v>#N/A Requesting Data...4053054496</v>
        <stp/>
        <stp>BDP|17922009113600992550</stp>
        <tr r="E1563" s="2"/>
      </tp>
      <tp t="s">
        <v>#N/A Requesting Data...3807401284</v>
        <stp/>
        <stp>BDP|17566888583374896000</stp>
        <tr r="C536" s="2"/>
      </tp>
      <tp t="b">
        <v>0</v>
        <stp/>
        <stp>BDS|11439223266792299785</stp>
        <tr r="I242" s="2"/>
      </tp>
      <tp t="s">
        <v>#N/A Requesting Data...3626406079</v>
        <stp/>
        <stp>BDP|12898651643727678713</stp>
        <tr r="P2511" s="2"/>
      </tp>
      <tp t="s">
        <v>#N/A Requesting Data...3385231033</v>
        <stp/>
        <stp>BDP|12765078732141351081</stp>
        <tr r="O180" s="2"/>
      </tp>
      <tp t="s">
        <v>#N/A Requesting Data...4239705661</v>
        <stp/>
        <stp>BDP|13289362460107910140</stp>
        <tr r="D2421" s="2"/>
      </tp>
      <tp t="s">
        <v>#N/A Requesting Data...3222656478</v>
        <stp/>
        <stp>BDP|12390392537875609729</stp>
        <tr r="S2243" s="2"/>
      </tp>
      <tp t="s">
        <v>#N/A Requesting Data...3952997081</v>
        <stp/>
        <stp>BDP|15186503169795328324</stp>
        <tr r="N2303" s="2"/>
      </tp>
      <tp t="s">
        <v>#N/A Requesting Data...3500999070</v>
        <stp/>
        <stp>BDP|12835595753371884337</stp>
        <tr r="K1135" s="2"/>
      </tp>
      <tp t="s">
        <v>#N/A Requesting Data...3401722155</v>
        <stp/>
        <stp>BDP|13423211351897568387</stp>
        <tr r="A2447" s="2"/>
      </tp>
      <tp t="s">
        <v>#N/A Requesting Data...3984945361</v>
        <stp/>
        <stp>BDP|10443399656606728050</stp>
        <tr r="P1016" s="2"/>
      </tp>
      <tp t="s">
        <v>#N/A Requesting Data...3311328241</v>
        <stp/>
        <stp>BDP|11745105383960548885</stp>
        <tr r="J652" s="2"/>
      </tp>
      <tp t="s">
        <v>#N/A Requesting Data...3296453801</v>
        <stp/>
        <stp>BDP|17180689373785693356</stp>
        <tr r="Q703" s="2"/>
      </tp>
      <tp t="s">
        <v>#N/A Requesting Data...3880867480</v>
        <stp/>
        <stp>BDP|11242955086598080885</stp>
        <tr r="J1372" s="2"/>
      </tp>
      <tp t="s">
        <v>#N/A Requesting Data...3458990223</v>
        <stp/>
        <stp>BDP|14254169129624651326</stp>
        <tr r="J2049" s="2"/>
      </tp>
      <tp t="s">
        <v>#N/A Requesting Data...3443972246</v>
        <stp/>
        <stp>BDP|17815419171245476154</stp>
        <tr r="T1680" s="2"/>
      </tp>
      <tp t="s">
        <v>#N/A Requesting Data...3744292665</v>
        <stp/>
        <stp>BDP|12842399349505110000</stp>
        <tr r="O2104" s="2"/>
      </tp>
      <tp t="s">
        <v>#N/A Requesting Data...4118799005</v>
        <stp/>
        <stp>BDP|14309098576197374467</stp>
        <tr r="T210" s="2"/>
      </tp>
      <tp t="s">
        <v>#N/A Requesting Data...3656844557</v>
        <stp/>
        <stp>BDP|16308690672764579349</stp>
        <tr r="T2457" s="2"/>
      </tp>
      <tp t="s">
        <v>#N/A Requesting Data...3292493474</v>
        <stp/>
        <stp>BDP|12656585335924364016</stp>
        <tr r="D1711" s="2"/>
      </tp>
      <tp t="s">
        <v>#N/A Requesting Data...3948919608</v>
        <stp/>
        <stp>BDP|16179197414835661336</stp>
        <tr r="N459" s="2"/>
      </tp>
      <tp t="s">
        <v>#N/A Requesting Data...3815543042</v>
        <stp/>
        <stp>BDP|12298483871053015223</stp>
        <tr r="C517" s="2"/>
      </tp>
      <tp t="s">
        <v>#N/A Requesting Data...3416767084</v>
        <stp/>
        <stp>BDP|10042943130993956944</stp>
        <tr r="T745" s="2"/>
      </tp>
      <tp t="s">
        <v>#N/A Requesting Data...3928635688</v>
        <stp/>
        <stp>BDP|10664431582985625983</stp>
        <tr r="J1393" s="2"/>
      </tp>
      <tp t="s">
        <v>#N/A Requesting Data...4009039979</v>
        <stp/>
        <stp>BDP|17094628372190192686</stp>
        <tr r="E242" s="2"/>
      </tp>
      <tp t="s">
        <v>#N/A Requesting Data...3338912512</v>
        <stp/>
        <stp>BDP|16839823532909465450</stp>
        <tr r="D2045" s="2"/>
      </tp>
      <tp t="s">
        <v>#N/A Requesting Data...3853755425</v>
        <stp/>
        <stp>BDP|15699208140625891671</stp>
        <tr r="N2501" s="2"/>
      </tp>
      <tp t="b">
        <v>0</v>
        <stp/>
        <stp>BDS|14938709369387977231</stp>
        <tr r="I1863" s="2"/>
      </tp>
      <tp t="s">
        <v>#N/A Requesting Data...3940648816</v>
        <stp/>
        <stp>BDP|10116901126818646383</stp>
        <tr r="Q2376" s="2"/>
      </tp>
      <tp t="s">
        <v>#N/A Requesting Data...3356352841</v>
        <stp/>
        <stp>BDP|11628363009122167018</stp>
        <tr r="Q1190" s="2"/>
      </tp>
      <tp t="s">
        <v>#N/A Requesting Data...3940069248</v>
        <stp/>
        <stp>BDP|17784303891134821976</stp>
        <tr r="T1621" s="2"/>
      </tp>
      <tp t="b">
        <v>0</v>
        <stp/>
        <stp>BDS|16803607852466743379</stp>
        <tr r="I4" s="2"/>
      </tp>
      <tp t="s">
        <v>#N/A Requesting Data...4176926828</v>
        <stp/>
        <stp>BDP|17947470022544679538</stp>
        <tr r="P281" s="2"/>
      </tp>
      <tp t="s">
        <v>#N/A Requesting Data...3427594084</v>
        <stp/>
        <stp>BDP|12085431859391061232</stp>
        <tr r="P537" s="2"/>
      </tp>
      <tp t="s">
        <v>#N/A Requesting Data...3950356631</v>
        <stp/>
        <stp>BDP|11626577480838101493</stp>
        <tr r="G1816" s="2"/>
      </tp>
      <tp t="s">
        <v>#N/A Requesting Data...3904423817</v>
        <stp/>
        <stp>BDP|17474634303910815155</stp>
        <tr r="O1230" s="2"/>
      </tp>
      <tp t="s">
        <v>#N/A Requesting Data...4045244525</v>
        <stp/>
        <stp>BDP|14242671259412250579</stp>
        <tr r="Q333" s="2"/>
      </tp>
      <tp t="s">
        <v>#N/A Requesting Data...3819301795</v>
        <stp/>
        <stp>BDP|17520251668515693673</stp>
        <tr r="S764" s="2"/>
      </tp>
      <tp t="s">
        <v>#N/A Requesting Data...3434027215</v>
        <stp/>
        <stp>BDP|15304739704002461093</stp>
        <tr r="R2186" s="2"/>
      </tp>
      <tp t="s">
        <v>#N/A Requesting Data...3508603797</v>
        <stp/>
        <stp>BDP|13430149899739395237</stp>
        <tr r="D373" s="2"/>
      </tp>
      <tp t="s">
        <v>#N/A Requesting Data...4253681414</v>
        <stp/>
        <stp>BDP|11150122501588364887</stp>
        <tr r="G1023" s="2"/>
      </tp>
      <tp t="s">
        <v>#N/A Requesting Data...3816452466</v>
        <stp/>
        <stp>BDP|16909056076318630955</stp>
        <tr r="E1021" s="2"/>
      </tp>
      <tp t="s">
        <v>#N/A Requesting Data...4182417974</v>
        <stp/>
        <stp>BDP|13370548219470219758</stp>
        <tr r="S1531" s="2"/>
      </tp>
      <tp t="s">
        <v>#N/A Requesting Data...3390311693</v>
        <stp/>
        <stp>BDP|11324467998434430800</stp>
        <tr r="K1054" s="2"/>
      </tp>
      <tp t="s">
        <v>#N/A Requesting Data...3911114027</v>
        <stp/>
        <stp>BDP|10517515012170733484</stp>
        <tr r="O29" s="2"/>
      </tp>
      <tp t="s">
        <v>#N/A Requesting Data...3411333224</v>
        <stp/>
        <stp>BDP|14853915262262435963</stp>
        <tr r="K2385" s="2"/>
      </tp>
      <tp t="s">
        <v>#N/A Requesting Data...3352926084</v>
        <stp/>
        <stp>BDP|17815458453563592524</stp>
        <tr r="J1228" s="2"/>
      </tp>
      <tp t="s">
        <v>#N/A Requesting Data...3381218669</v>
        <stp/>
        <stp>BDP|12403814499022371162</stp>
        <tr r="H1131" s="2"/>
      </tp>
      <tp t="s">
        <v>#N/A Requesting Data...4000757276</v>
        <stp/>
        <stp>BDP|13403656214017410386</stp>
        <tr r="D1541" s="2"/>
      </tp>
      <tp t="s">
        <v>#N/A Requesting Data...3533283692</v>
        <stp/>
        <stp>BDP|14583418755246942317</stp>
        <tr r="D1785" s="2"/>
      </tp>
      <tp t="s">
        <v>#N/A Requesting Data...3619670810</v>
        <stp/>
        <stp>BDP|14971180874425879745</stp>
        <tr r="S1950" s="2"/>
      </tp>
      <tp t="s">
        <v>#N/A Requesting Data...3390307379</v>
        <stp/>
        <stp>BDP|15159386300706218024</stp>
        <tr r="P2474" s="2"/>
      </tp>
      <tp t="s">
        <v>#N/A Requesting Data...3629146577</v>
        <stp/>
        <stp>BDP|15661571938304940790</stp>
        <tr r="C1008" s="2"/>
      </tp>
      <tp t="s">
        <v>#N/A Requesting Data...4144174887</v>
        <stp/>
        <stp>BDP|13747710162375924745</stp>
        <tr r="T13" s="2"/>
      </tp>
      <tp t="s">
        <v>#N/A Requesting Data...4195523096</v>
        <stp/>
        <stp>BDP|16907536178164927025</stp>
        <tr r="R1441" s="2"/>
      </tp>
      <tp t="s">
        <v>#N/A Requesting Data...3944962020</v>
        <stp/>
        <stp>BDP|12407041159791144615</stp>
        <tr r="O2197" s="2"/>
      </tp>
      <tp t="s">
        <v>#N/A Requesting Data...3716049651</v>
        <stp/>
        <stp>BDP|15048838502908827500</stp>
        <tr r="R1341" s="2"/>
      </tp>
      <tp t="s">
        <v>#N/A Requesting Data...3764308714</v>
        <stp/>
        <stp>BDP|10234353207761145284</stp>
        <tr r="K2264" s="2"/>
      </tp>
      <tp t="s">
        <v>#N/A Requesting Data...3598852478</v>
        <stp/>
        <stp>BDP|10047897173227020834</stp>
        <tr r="F945" s="2"/>
      </tp>
      <tp t="s">
        <v>#N/A Requesting Data...4164599291</v>
        <stp/>
        <stp>BDP|14955526346621436401</stp>
        <tr r="A932" s="2"/>
      </tp>
      <tp t="s">
        <v>#N/A Requesting Data...4133152245</v>
        <stp/>
        <stp>BDP|16331356299384336853</stp>
        <tr r="P2432" s="2"/>
      </tp>
      <tp t="s">
        <v>#N/A Requesting Data...3961177767</v>
        <stp/>
        <stp>BDP|11646490280099536431</stp>
        <tr r="K1666" s="2"/>
      </tp>
      <tp t="s">
        <v>#N/A Requesting Data...4188502992</v>
        <stp/>
        <stp>BDP|15850905796760006571</stp>
        <tr r="R708" s="2"/>
      </tp>
      <tp t="s">
        <v>#N/A Requesting Data...4114785049</v>
        <stp/>
        <stp>BDP|13865601356706477631</stp>
        <tr r="T2250" s="2"/>
      </tp>
      <tp t="s">
        <v>#N/A Requesting Data...3565968889</v>
        <stp/>
        <stp>BDP|14222754520374671584</stp>
        <tr r="K2497" s="2"/>
      </tp>
      <tp t="s">
        <v>#N/A Requesting Data...3754954173</v>
        <stp/>
        <stp>BDP|16308346698165141976</stp>
        <tr r="T982" s="2"/>
      </tp>
      <tp t="s">
        <v>#N/A Requesting Data...3614441910</v>
        <stp/>
        <stp>BDP|15529001204527058286</stp>
        <tr r="R1750" s="2"/>
      </tp>
      <tp t="s">
        <v>#N/A Requesting Data...3759749701</v>
        <stp/>
        <stp>BDP|17251611028713073021</stp>
        <tr r="O1402" s="2"/>
      </tp>
      <tp t="s">
        <v>#N/A Requesting Data...3543292021</v>
        <stp/>
        <stp>BDP|14972530367723161453</stp>
        <tr r="O216" s="2"/>
      </tp>
      <tp t="s">
        <v>#N/A Requesting Data...3786873101</v>
        <stp/>
        <stp>BDP|16528737205901897021</stp>
        <tr r="C1864" s="2"/>
      </tp>
      <tp t="s">
        <v>#N/A Requesting Data...3685044240</v>
        <stp/>
        <stp>BDP|17807635343163673677</stp>
        <tr r="D2376" s="2"/>
      </tp>
      <tp t="b">
        <v>0</v>
        <stp/>
        <stp>BDS|11164102212754952502</stp>
        <tr r="I1201" s="2"/>
      </tp>
      <tp t="s">
        <v>#N/A Requesting Data...4104807944</v>
        <stp/>
        <stp>BDP|11228995708570314888</stp>
        <tr r="F395" s="2"/>
      </tp>
      <tp t="s">
        <v>#N/A Requesting Data...4204773570</v>
        <stp/>
        <stp>BDP|14634963498967643366</stp>
        <tr r="T2276" s="2"/>
      </tp>
      <tp t="s">
        <v>#N/A Requesting Data...3567021580</v>
        <stp/>
        <stp>BDP|10903437648041895125</stp>
        <tr r="N2252" s="2"/>
      </tp>
      <tp t="s">
        <v>#N/A Requesting Data...3468776523</v>
        <stp/>
        <stp>BDP|13877003125514590503</stp>
        <tr r="H233" s="2"/>
      </tp>
      <tp t="s">
        <v>#N/A Requesting Data...4205396456</v>
        <stp/>
        <stp>BDP|17724261136533981565</stp>
        <tr r="C361" s="2"/>
      </tp>
      <tp t="s">
        <v>#N/A Requesting Data...3668127021</v>
        <stp/>
        <stp>BDP|10529985791946169653</stp>
        <tr r="G2072" s="2"/>
      </tp>
      <tp t="s">
        <v>#N/A Requesting Data...3550188064</v>
        <stp/>
        <stp>BDP|10266044795411888834</stp>
        <tr r="O1238" s="2"/>
      </tp>
      <tp t="s">
        <v>#N/A Requesting Data...4168489864</v>
        <stp/>
        <stp>BDP|11154506725532895445</stp>
        <tr r="K428" s="2"/>
      </tp>
      <tp t="s">
        <v>#N/A Requesting Data...4168299906</v>
        <stp/>
        <stp>BDP|11228692714324388241</stp>
        <tr r="C787" s="2"/>
      </tp>
      <tp t="s">
        <v>#N/A Requesting Data...4235732701</v>
        <stp/>
        <stp>BDP|15096480393660546861</stp>
        <tr r="C318" s="2"/>
      </tp>
      <tp t="s">
        <v>#N/A Requesting Data...4097146284</v>
        <stp/>
        <stp>BDP|18062536623947054886</stp>
        <tr r="E625" s="2"/>
      </tp>
      <tp t="s">
        <v>#N/A Requesting Data...4074230607</v>
        <stp/>
        <stp>BDP|16191177578245137575</stp>
        <tr r="T2496" s="2"/>
      </tp>
      <tp t="b">
        <v>0</v>
        <stp/>
        <stp>BDS|17176238152523372387</stp>
        <tr r="I997" s="2"/>
      </tp>
      <tp t="s">
        <v>#N/A Requesting Data...3891344939</v>
        <stp/>
        <stp>BDP|14693242120442930636</stp>
        <tr r="R488" s="2"/>
      </tp>
      <tp t="s">
        <v>#N/A Requesting Data...3562084139</v>
        <stp/>
        <stp>BDP|10472178713449800901</stp>
        <tr r="A17" s="2"/>
      </tp>
      <tp t="s">
        <v>#N/A Requesting Data...4087601317</v>
        <stp/>
        <stp>BDP|10767879835278939344</stp>
        <tr r="A1926" s="2"/>
      </tp>
      <tp t="s">
        <v>#N/A Requesting Data...4033466863</v>
        <stp/>
        <stp>BDP|11975104727402293044</stp>
        <tr r="P665" s="2"/>
      </tp>
      <tp t="s">
        <v>#N/A Requesting Data...4225753556</v>
        <stp/>
        <stp>BDP|12840305200355286420</stp>
        <tr r="T722" s="2"/>
      </tp>
      <tp t="s">
        <v>#N/A Requesting Data...4269394775</v>
        <stp/>
        <stp>BDP|11504522515656858328</stp>
        <tr r="J2306" s="2"/>
      </tp>
      <tp t="s">
        <v>#N/A Requesting Data...3996403311</v>
        <stp/>
        <stp>BDP|14698067858187167610</stp>
        <tr r="O2319" s="2"/>
      </tp>
      <tp t="s">
        <v>#N/A Requesting Data...3591866636</v>
        <stp/>
        <stp>BDP|12908228844803289751</stp>
        <tr r="E965" s="2"/>
      </tp>
      <tp t="s">
        <v>#N/A Requesting Data...4273910346</v>
        <stp/>
        <stp>BDP|18347094439239326289</stp>
        <tr r="F224" s="2"/>
      </tp>
      <tp t="s">
        <v>#N/A Requesting Data...4096219528</v>
        <stp/>
        <stp>BDP|13329693906754576118</stp>
        <tr r="K2236" s="2"/>
      </tp>
      <tp t="s">
        <v>#N/A Requesting Data...3546655956</v>
        <stp/>
        <stp>BDP|16658691475463485460</stp>
        <tr r="G1534" s="2"/>
      </tp>
      <tp t="s">
        <v>#N/A Requesting Data...3905568320</v>
        <stp/>
        <stp>BDP|16160762548747624219</stp>
        <tr r="G1385" s="2"/>
      </tp>
      <tp t="s">
        <v>#N/A Requesting Data...3713162765</v>
        <stp/>
        <stp>BDP|10889447773746116566</stp>
        <tr r="R287" s="2"/>
      </tp>
      <tp t="s">
        <v>#N/A Requesting Data...3628033331</v>
        <stp/>
        <stp>BDP|16910019467289307945</stp>
        <tr r="R1987" s="2"/>
      </tp>
      <tp t="s">
        <v>#N/A Requesting Data...3836530181</v>
        <stp/>
        <stp>BDP|11490741124100563490</stp>
        <tr r="P1763" s="2"/>
      </tp>
      <tp t="s">
        <v>#N/A Requesting Data...3623984900</v>
        <stp/>
        <stp>BDP|11845932757419791434</stp>
        <tr r="R741" s="2"/>
      </tp>
      <tp t="s">
        <v>#N/A Requesting Data...3824705280</v>
        <stp/>
        <stp>BDP|14971490717813685298</stp>
        <tr r="D135" s="2"/>
      </tp>
      <tp t="s">
        <v>#N/A Requesting Data...4253145497</v>
        <stp/>
        <stp>BDP|14799078500662107699</stp>
        <tr r="G713" s="2"/>
      </tp>
      <tp t="s">
        <v>#N/A Requesting Data...4284120551</v>
        <stp/>
        <stp>BDP|13877756902896629215</stp>
        <tr r="S1460" s="2"/>
      </tp>
      <tp t="s">
        <v>#N/A Requesting Data...3663533178</v>
        <stp/>
        <stp>BDP|10749715959033573128</stp>
        <tr r="J393" s="2"/>
      </tp>
      <tp t="s">
        <v>#N/A Requesting Data...4257523990</v>
        <stp/>
        <stp>BDP|16483114387236381998</stp>
        <tr r="O1887" s="2"/>
      </tp>
      <tp t="s">
        <v>#N/A Requesting Data...3620127250</v>
        <stp/>
        <stp>BDP|13168804033021384997</stp>
        <tr r="M1742" s="2"/>
      </tp>
      <tp t="s">
        <v>#N/A Requesting Data...4044747358</v>
        <stp/>
        <stp>BDP|14549145468947057410</stp>
        <tr r="F47" s="2"/>
      </tp>
      <tp t="s">
        <v>#N/A Requesting Data...3779973822</v>
        <stp/>
        <stp>BDP|10396497756471361071</stp>
        <tr r="T790" s="2"/>
      </tp>
      <tp t="s">
        <v>#N/A Requesting Data...3635410812</v>
        <stp/>
        <stp>BDP|11146259448772309576</stp>
        <tr r="F1235" s="2"/>
      </tp>
      <tp t="s">
        <v>#N/A Requesting Data...3674483082</v>
        <stp/>
        <stp>BDP|14431537746797167289</stp>
        <tr r="R1487" s="2"/>
      </tp>
      <tp t="b">
        <v>0</v>
        <stp/>
        <stp>BDS|14539267868492690265</stp>
        <tr r="I1996" s="2"/>
      </tp>
      <tp t="s">
        <v>#N/A Requesting Data...4080243432</v>
        <stp/>
        <stp>BDP|11280509156392898347</stp>
        <tr r="S1776" s="2"/>
      </tp>
      <tp t="s">
        <v>#N/A Requesting Data...4033703048</v>
        <stp/>
        <stp>BDP|12791405734143832632</stp>
        <tr r="H1844" s="2"/>
      </tp>
      <tp t="s">
        <v>#N/A Requesting Data...4268711963</v>
        <stp/>
        <stp>BDP|11978460580245256853</stp>
        <tr r="M827" s="2"/>
      </tp>
      <tp t="s">
        <v>#N/A Requesting Data...3980055720</v>
        <stp/>
        <stp>BDP|11469316172356854375</stp>
        <tr r="K239" s="2"/>
      </tp>
      <tp t="s">
        <v>#N/A Requesting Data...4124868893</v>
        <stp/>
        <stp>BDP|18282437989470407448</stp>
        <tr r="H58" s="2"/>
      </tp>
      <tp t="s">
        <v>#N/A Requesting Data...3622546936</v>
        <stp/>
        <stp>BDP|12437474786899483794</stp>
        <tr r="Q1850" s="2"/>
      </tp>
      <tp t="s">
        <v>#N/A Requesting Data...3549998794</v>
        <stp/>
        <stp>BDP|18334346699714284649</stp>
        <tr r="H688" s="2"/>
      </tp>
      <tp t="s">
        <v>#N/A Requesting Data...4162429100</v>
        <stp/>
        <stp>BDP|14469332339085542133</stp>
        <tr r="R1790" s="2"/>
      </tp>
      <tp t="s">
        <v>#N/A Requesting Data...4033849895</v>
        <stp/>
        <stp>BDP|17792854909806649952</stp>
        <tr r="C56" s="2"/>
      </tp>
      <tp t="s">
        <v>#N/A Requesting Data...3657184060</v>
        <stp/>
        <stp>BDP|15812827280434347114</stp>
        <tr r="K2080" s="2"/>
      </tp>
      <tp t="s">
        <v>#N/A Requesting Data...3603655980</v>
        <stp/>
        <stp>BDP|16246376869083675027</stp>
        <tr r="P724" s="2"/>
      </tp>
      <tp t="s">
        <v>#N/A Requesting Data...3650706685</v>
        <stp/>
        <stp>BDP|17711771918523409247</stp>
        <tr r="E704" s="2"/>
      </tp>
      <tp t="s">
        <v>#N/A Requesting Data...4253371930</v>
        <stp/>
        <stp>BDP|11558067491429261181</stp>
        <tr r="O499" s="2"/>
      </tp>
      <tp t="s">
        <v>#N/A Requesting Data...3756723685</v>
        <stp/>
        <stp>BDP|11432661956577435585</stp>
        <tr r="Q2391" s="2"/>
      </tp>
      <tp t="s">
        <v>#N/A Requesting Data...4028798267</v>
        <stp/>
        <stp>BDP|16201096277919076849</stp>
        <tr r="D27" s="2"/>
      </tp>
      <tp t="s">
        <v>#N/A Requesting Data...3785235232</v>
        <stp/>
        <stp>BDP|16369559940854601386</stp>
        <tr r="F908" s="2"/>
      </tp>
      <tp t="s">
        <v>#N/A Requesting Data...3680029708</v>
        <stp/>
        <stp>BDP|13829010014767372562</stp>
        <tr r="M1949" s="2"/>
      </tp>
      <tp t="s">
        <v>#N/A Requesting Data...3889734398</v>
        <stp/>
        <stp>BDP|16548204350145992448</stp>
        <tr r="T1820" s="2"/>
      </tp>
      <tp t="s">
        <v>#N/A Requesting Data...4139643022</v>
        <stp/>
        <stp>BDP|13630619976500966209</stp>
        <tr r="F2186" s="2"/>
      </tp>
      <tp t="s">
        <v>#N/A Requesting Data...3737022830</v>
        <stp/>
        <stp>BDP|10936564155669604941</stp>
        <tr r="E407" s="2"/>
      </tp>
      <tp t="s">
        <v>#N/A Requesting Data...4191317090</v>
        <stp/>
        <stp>BDP|13891650323805226243</stp>
        <tr r="J467" s="2"/>
      </tp>
      <tp t="s">
        <v>#N/A Requesting Data...4184277384</v>
        <stp/>
        <stp>BDP|17772558738562222308</stp>
        <tr r="R1858" s="2"/>
      </tp>
      <tp t="s">
        <v>#N/A Requesting Data...4021593811</v>
        <stp/>
        <stp>BDP|13420545179210657177</stp>
        <tr r="P1523" s="2"/>
      </tp>
      <tp t="b">
        <v>0</v>
        <stp/>
        <stp>BDS|17372593641065915392</stp>
        <tr r="I1781" s="2"/>
      </tp>
      <tp t="s">
        <v>#N/A Requesting Data...3891866247</v>
        <stp/>
        <stp>BDP|10496148463231257691</stp>
        <tr r="F1486" s="2"/>
      </tp>
      <tp t="s">
        <v>#N/A Requesting Data...4085811564</v>
        <stp/>
        <stp>BDP|15866209509710873718</stp>
        <tr r="Q1220" s="2"/>
      </tp>
      <tp t="b">
        <v>0</v>
        <stp/>
        <stp>BDS|13437175229054961487</stp>
        <tr r="I2358" s="2"/>
      </tp>
      <tp t="s">
        <v>#N/A Requesting Data...3663646621</v>
        <stp/>
        <stp>BDP|15992819171448065215</stp>
        <tr r="K617" s="2"/>
      </tp>
      <tp t="s">
        <v>#N/A Requesting Data...3773241763</v>
        <stp/>
        <stp>BDP|16783111834006966239</stp>
        <tr r="R1402" s="2"/>
      </tp>
      <tp t="s">
        <v>#N/A Requesting Data...3822940148</v>
        <stp/>
        <stp>BDP|10299350646043980407</stp>
        <tr r="N16" s="2"/>
      </tp>
      <tp t="s">
        <v>#N/A Requesting Data...4214338290</v>
        <stp/>
        <stp>BDP|14272932087677921277</stp>
        <tr r="H245" s="2"/>
      </tp>
      <tp t="s">
        <v>#N/A Requesting Data...4289263251</v>
        <stp/>
        <stp>BDP|17652995886473259537</stp>
        <tr r="D1879" s="2"/>
      </tp>
      <tp t="s">
        <v>#N/A Requesting Data...3615095620</v>
        <stp/>
        <stp>BDP|13396432078378866888</stp>
        <tr r="A1217" s="2"/>
      </tp>
      <tp t="s">
        <v>#N/A Requesting Data...4150387259</v>
        <stp/>
        <stp>BDP|11210903281329260991</stp>
        <tr r="K79" s="2"/>
      </tp>
      <tp t="s">
        <v>#N/A Requesting Data...3884249973</v>
        <stp/>
        <stp>BDP|12415656403642347693</stp>
        <tr r="S1482" s="2"/>
      </tp>
      <tp t="s">
        <v>#N/A Requesting Data...3974923649</v>
        <stp/>
        <stp>BDP|17240520957113905460</stp>
        <tr r="K736" s="2"/>
      </tp>
      <tp t="s">
        <v>#N/A Requesting Data...3652446493</v>
        <stp/>
        <stp>BDP|10588884343805197978</stp>
        <tr r="J1444" s="2"/>
      </tp>
      <tp t="s">
        <v>#N/A Requesting Data...3689882138</v>
        <stp/>
        <stp>BDP|11600465239721750762</stp>
        <tr r="D932" s="2"/>
      </tp>
      <tp t="s">
        <v>#N/A Requesting Data...3966080716</v>
        <stp/>
        <stp>BDP|13533367907709514996</stp>
        <tr r="M1879" s="2"/>
      </tp>
      <tp t="s">
        <v>#N/A Requesting Data...3825626019</v>
        <stp/>
        <stp>BDP|15254814376448839252</stp>
        <tr r="S1363" s="2"/>
      </tp>
      <tp t="s">
        <v>#N/A Requesting Data...3984366711</v>
        <stp/>
        <stp>BDP|15566457021412152184</stp>
        <tr r="S1321" s="2"/>
      </tp>
      <tp t="s">
        <v>#N/A Requesting Data...3635115803</v>
        <stp/>
        <stp>BDP|17584154747836937463</stp>
        <tr r="D501" s="2"/>
      </tp>
      <tp t="s">
        <v>#N/A Requesting Data...3940632902</v>
        <stp/>
        <stp>BDP|11870083228127496448</stp>
        <tr r="R1970" s="2"/>
      </tp>
      <tp t="s">
        <v>#N/A Requesting Data...3776006886</v>
        <stp/>
        <stp>BDP|12712688093874755930</stp>
        <tr r="F1231" s="2"/>
      </tp>
      <tp t="s">
        <v>#N/A Requesting Data...4216235864</v>
        <stp/>
        <stp>BDP|13967043425160287128</stp>
        <tr r="C2341" s="2"/>
      </tp>
      <tp t="s">
        <v>#N/A Requesting Data...3662834976</v>
        <stp/>
        <stp>BDP|17704770312331818019</stp>
        <tr r="O1630" s="2"/>
      </tp>
      <tp t="b">
        <v>0</v>
        <stp/>
        <stp>BDS|16894605930422424141</stp>
        <tr r="I192" s="2"/>
      </tp>
      <tp t="s">
        <v>#N/A Requesting Data...4060974699</v>
        <stp/>
        <stp>BDP|10314499077902131179</stp>
        <tr r="O979" s="2"/>
      </tp>
      <tp t="s">
        <v>#N/A Requesting Data...4224464578</v>
        <stp/>
        <stp>BDP|15485976229848754668</stp>
        <tr r="R1920" s="2"/>
      </tp>
      <tp t="b">
        <v>0</v>
        <stp/>
        <stp>BDS|15737690716521594354</stp>
        <tr r="I1089" s="2"/>
      </tp>
      <tp t="s">
        <v>#N/A Requesting Data...3853133324</v>
        <stp/>
        <stp>BDP|14263208900784131281</stp>
        <tr r="O1103" s="2"/>
      </tp>
      <tp t="s">
        <v>#N/A Requesting Data...4266896951</v>
        <stp/>
        <stp>BDP|14682669516836946546</stp>
        <tr r="O242" s="2"/>
      </tp>
      <tp t="s">
        <v>#N/A Requesting Data...3684941480</v>
        <stp/>
        <stp>BDP|12342486832972621743</stp>
        <tr r="T1631" s="2"/>
      </tp>
      <tp t="s">
        <v>#N/A Requesting Data...3685891252</v>
        <stp/>
        <stp>BDP|15418391344806764454</stp>
        <tr r="A1184" s="2"/>
      </tp>
      <tp t="s">
        <v>#N/A Requesting Data...4095647531</v>
        <stp/>
        <stp>BDP|15584545560083336594</stp>
        <tr r="E1904" s="2"/>
      </tp>
      <tp t="s">
        <v>#N/A Requesting Data...3822440595</v>
        <stp/>
        <stp>BDP|16772685389861479997</stp>
        <tr r="P1221" s="2"/>
      </tp>
      <tp t="s">
        <v>#N/A Requesting Data...3851805976</v>
        <stp/>
        <stp>BDP|17458930938689792430</stp>
        <tr r="P1279" s="2"/>
      </tp>
      <tp t="s">
        <v>#N/A Requesting Data...4191617502</v>
        <stp/>
        <stp>BDP|16003111164543691287</stp>
        <tr r="O425" s="2"/>
      </tp>
      <tp t="s">
        <v>#N/A Requesting Data...3691553390</v>
        <stp/>
        <stp>BDP|17398194992047613856</stp>
        <tr r="S885" s="2"/>
      </tp>
      <tp t="b">
        <v>0</v>
        <stp/>
        <stp>BDS|18219420799530090514</stp>
        <tr r="I761" s="2"/>
      </tp>
      <tp t="s">
        <v>#N/A Requesting Data...4015257860</v>
        <stp/>
        <stp>BDP|17996425817572537023</stp>
        <tr r="S1183" s="2"/>
      </tp>
      <tp t="s">
        <v>#N/A Requesting Data...3833942483</v>
        <stp/>
        <stp>BDP|13572474153967912532</stp>
        <tr r="A515" s="2"/>
      </tp>
      <tp t="s">
        <v>#N/A Requesting Data...3870788173</v>
        <stp/>
        <stp>BDP|11555255039040381011</stp>
        <tr r="C667" s="2"/>
      </tp>
      <tp t="s">
        <v>#N/A Requesting Data...4029871327</v>
        <stp/>
        <stp>BDP|12112193128274299591</stp>
        <tr r="C934" s="2"/>
      </tp>
      <tp t="s">
        <v>#N/A Requesting Data...4192442044</v>
        <stp/>
        <stp>BDP|12409480073960754134</stp>
        <tr r="H2107" s="2"/>
      </tp>
      <tp t="s">
        <v>#N/A Requesting Data...4131286554</v>
        <stp/>
        <stp>BDP|17336832540708878339</stp>
        <tr r="F979" s="2"/>
      </tp>
      <tp t="s">
        <v>#N/A Requesting Data...4138274376</v>
        <stp/>
        <stp>BDP|11855561732263181466</stp>
        <tr r="A881" s="2"/>
      </tp>
      <tp t="s">
        <v>#N/A Requesting Data...3911088175</v>
        <stp/>
        <stp>BDP|12395020269952193621</stp>
        <tr r="P993" s="2"/>
      </tp>
      <tp t="s">
        <v>#N/A Requesting Data...3760889269</v>
        <stp/>
        <stp>BDP|10466287557806821183</stp>
        <tr r="F997" s="2"/>
      </tp>
      <tp t="s">
        <v>#N/A Requesting Data...3800047343</v>
        <stp/>
        <stp>BDP|15391937580694866031</stp>
        <tr r="R452" s="2"/>
      </tp>
      <tp t="s">
        <v>#N/A Requesting Data...4076797635</v>
        <stp/>
        <stp>BDP|11812974630032082942</stp>
        <tr r="N2318" s="2"/>
      </tp>
      <tp t="s">
        <v>#N/A Requesting Data...3844283260</v>
        <stp/>
        <stp>BDP|12557020050056984152</stp>
        <tr r="O1977" s="2"/>
      </tp>
      <tp t="s">
        <v>#N/A Requesting Data...3938700218</v>
        <stp/>
        <stp>BDP|10555484983798206479</stp>
        <tr r="Q1476" s="2"/>
      </tp>
      <tp t="s">
        <v>#N/A Requesting Data...3789412490</v>
        <stp/>
        <stp>BDP|14664029705094226083</stp>
        <tr r="G1558" s="2"/>
      </tp>
      <tp t="s">
        <v>#N/A Requesting Data...4046421031</v>
        <stp/>
        <stp>BDP|16458046178036355708</stp>
        <tr r="H1838" s="2"/>
      </tp>
      <tp t="b">
        <v>0</v>
        <stp/>
        <stp>BDS|11990405454680702024</stp>
        <tr r="I278" s="2"/>
      </tp>
      <tp t="s">
        <v>#N/A Requesting Data...3890421953</v>
        <stp/>
        <stp>BDP|12875290501324886432</stp>
        <tr r="O2140" s="2"/>
      </tp>
      <tp t="s">
        <v>#N/A Requesting Data...4157534902</v>
        <stp/>
        <stp>BDP|13839758602093142751</stp>
        <tr r="J842" s="2"/>
      </tp>
      <tp t="s">
        <v>#N/A Requesting Data...4245274581</v>
        <stp/>
        <stp>BDP|13235515255671876259</stp>
        <tr r="D255" s="2"/>
      </tp>
      <tp t="s">
        <v>#N/A Requesting Data...4241314684</v>
        <stp/>
        <stp>BDP|17995165722742075662</stp>
        <tr r="D2206" s="2"/>
      </tp>
      <tp t="s">
        <v>#N/A Requesting Data...3822604855</v>
        <stp/>
        <stp>BDP|14980225131596204335</stp>
        <tr r="M2369" s="2"/>
      </tp>
      <tp t="b">
        <v>0</v>
        <stp/>
        <stp>BDS|12535727010905689198</stp>
        <tr r="I1952" s="2"/>
      </tp>
      <tp t="s">
        <v>#N/A Requesting Data...3958315119</v>
        <stp/>
        <stp>BDP|11538485103656383365</stp>
        <tr r="S1493" s="2"/>
      </tp>
      <tp t="s">
        <v>#N/A Requesting Data...4193050449</v>
        <stp/>
        <stp>BDP|14829220901944570251</stp>
        <tr r="F2097" s="2"/>
      </tp>
      <tp t="b">
        <v>0</v>
        <stp/>
        <stp>BDS|14473631652845931240</stp>
        <tr r="I465" s="2"/>
      </tp>
      <tp t="s">
        <v>#N/A Requesting Data...3792703922</v>
        <stp/>
        <stp>BDP|17958376163854521635</stp>
        <tr r="D1042" s="2"/>
      </tp>
      <tp t="s">
        <v>#N/A Requesting Data...4180454341</v>
        <stp/>
        <stp>BDP|11887749973662136358</stp>
        <tr r="N312" s="2"/>
      </tp>
      <tp t="s">
        <v>#N/A Requesting Data...3928206509</v>
        <stp/>
        <stp>BDP|18156598725116789918</stp>
        <tr r="J1148" s="2"/>
      </tp>
      <tp t="s">
        <v>#N/A Requesting Data...4156047190</v>
        <stp/>
        <stp>BDP|13696745362023861136</stp>
        <tr r="K1288" s="2"/>
      </tp>
      <tp t="s">
        <v>#N/A Requesting Data...4186712141</v>
        <stp/>
        <stp>BDP|15192706761243817730</stp>
        <tr r="M2164" s="2"/>
      </tp>
      <tp t="s">
        <v>#N/A Requesting Data...4111359006</v>
        <stp/>
        <stp>BDP|16927481510875865621</stp>
        <tr r="O2294" s="2"/>
      </tp>
      <tp t="s">
        <v>#N/A Requesting Data...3878865792</v>
        <stp/>
        <stp>BDP|14065387807142437500</stp>
        <tr r="C722" s="2"/>
      </tp>
      <tp t="s">
        <v>#N/A Requesting Data...4271640268</v>
        <stp/>
        <stp>BDP|10324180200663459242</stp>
        <tr r="N1879" s="2"/>
      </tp>
      <tp t="s">
        <v>#N/A Requesting Data...3940307633</v>
        <stp/>
        <stp>BDP|14479639650851930656</stp>
        <tr r="H865" s="2"/>
      </tp>
      <tp t="s">
        <v>#N/A Requesting Data...3946228265</v>
        <stp/>
        <stp>BDP|11056904208578157022</stp>
        <tr r="T1701" s="2"/>
      </tp>
      <tp t="s">
        <v>#N/A Requesting Data...4233914150</v>
        <stp/>
        <stp>BDP|11203727142121810314</stp>
        <tr r="J84" s="2"/>
      </tp>
      <tp t="s">
        <v>#N/A Requesting Data...4282892765</v>
        <stp/>
        <stp>BDP|10112081842616364232</stp>
        <tr r="C2519" s="2"/>
      </tp>
      <tp t="s">
        <v>#N/A Requesting Data...4195294158</v>
        <stp/>
        <stp>BDP|14859748602915511607</stp>
        <tr r="J456" s="2"/>
      </tp>
      <tp t="s">
        <v>#N/A Requesting Data...4089374500</v>
        <stp/>
        <stp>BDP|15848104906897197343</stp>
        <tr r="E471" s="2"/>
      </tp>
      <tp t="s">
        <v>#N/A Requesting Data...3882848332</v>
        <stp/>
        <stp>BDP|13259100919397200424</stp>
        <tr r="N2142" s="2"/>
      </tp>
      <tp t="s">
        <v>#N/A Requesting Data...4005569070</v>
        <stp/>
        <stp>BDP|16389195410022376428</stp>
        <tr r="G1332" s="2"/>
      </tp>
      <tp t="s">
        <v>#N/A Requesting Data...3878917344</v>
        <stp/>
        <stp>BDP|18296790701806678974</stp>
        <tr r="R2075" s="2"/>
      </tp>
      <tp t="s">
        <v>#N/A Requesting Data...3917490878</v>
        <stp/>
        <stp>BDP|14811317866572344375</stp>
        <tr r="R2350" s="2"/>
      </tp>
      <tp t="s">
        <v>#N/A Requesting Data...4067210203</v>
        <stp/>
        <stp>BDP|12323099048152192481</stp>
        <tr r="F1669" s="2"/>
      </tp>
      <tp t="s">
        <v>#N/A Requesting Data...4126299047</v>
        <stp/>
        <stp>BDP|18112639138239690471</stp>
        <tr r="J2005" s="2"/>
      </tp>
      <tp t="b">
        <v>0</v>
        <stp/>
        <stp>BDS|12705742783414111995</stp>
        <tr r="I472" s="2"/>
      </tp>
      <tp t="s">
        <v>#N/A Requesting Data...3831280081</v>
        <stp/>
        <stp>BDP|17612547808434730660</stp>
        <tr r="P1793" s="2"/>
      </tp>
      <tp t="s">
        <v>#N/A Requesting Data...4099209426</v>
        <stp/>
        <stp>BDP|15406276678087403747</stp>
        <tr r="M387" s="2"/>
      </tp>
      <tp t="s">
        <v>#N/A Requesting Data...4271243714</v>
        <stp/>
        <stp>BDP|14215547054603960707</stp>
        <tr r="T439" s="2"/>
      </tp>
      <tp t="s">
        <v>#N/A Requesting Data...3981915230</v>
        <stp/>
        <stp>BDP|17335685150672736672</stp>
        <tr r="C1761" s="2"/>
      </tp>
      <tp t="s">
        <v>#N/A Requesting Data...4131676494</v>
        <stp/>
        <stp>BDP|10922605005776267057</stp>
        <tr r="D447" s="2"/>
      </tp>
      <tp t="s">
        <v>#N/A Requesting Data...3997254173</v>
        <stp/>
        <stp>BDP|13457267998649316125</stp>
        <tr r="R717" s="2"/>
      </tp>
      <tp t="s">
        <v>#N/A Requesting Data...4008370209</v>
        <stp/>
        <stp>BDP|12027195850271536776</stp>
        <tr r="F1245" s="2"/>
      </tp>
      <tp t="s">
        <v>#N/A Requesting Data...3959585969</v>
        <stp/>
        <stp>BDP|11939615443643872087</stp>
        <tr r="K1563" s="2"/>
      </tp>
      <tp t="s">
        <v>#N/A Requesting Data...3860147800</v>
        <stp/>
        <stp>BDP|12448453039474704143</stp>
        <tr r="H1695" s="2"/>
      </tp>
      <tp t="s">
        <v>#N/A Requesting Data...4191615985</v>
        <stp/>
        <stp>BDP|14566088336981818686</stp>
        <tr r="E2144" s="2"/>
      </tp>
      <tp t="s">
        <v>#N/A Requesting Data...4258253427</v>
        <stp/>
        <stp>BDP|15391352039102495703</stp>
        <tr r="K1865" s="2"/>
      </tp>
      <tp t="s">
        <v>#N/A Requesting Data...4266278389</v>
        <stp/>
        <stp>BDP|14057094513235400053</stp>
        <tr r="Q859" s="2"/>
      </tp>
      <tp t="s">
        <v>#N/A Requesting Data...3873388794</v>
        <stp/>
        <stp>BDP|15497079812387824321</stp>
        <tr r="O1057" s="2"/>
      </tp>
      <tp t="s">
        <v>#N/A Requesting Data...3921206183</v>
        <stp/>
        <stp>BDP|12400798671936527423</stp>
        <tr r="E15" s="2"/>
      </tp>
      <tp t="s">
        <v>#N/A Requesting Data...3879854689</v>
        <stp/>
        <stp>BDP|14959314410577248110</stp>
        <tr r="M700" s="2"/>
      </tp>
      <tp t="s">
        <v>#N/A Requesting Data...3870425296</v>
        <stp/>
        <stp>BDP|14468616008365332757</stp>
        <tr r="G96" s="2"/>
      </tp>
      <tp t="s">
        <v>#N/A Requesting Data...4284108145</v>
        <stp/>
        <stp>BDP|11666655909234553343</stp>
        <tr r="A2195" s="2"/>
      </tp>
      <tp t="b">
        <v>0</v>
        <stp/>
        <stp>BDS|18395985603948322930</stp>
        <tr r="I1281" s="2"/>
      </tp>
      <tp t="s">
        <v>#N/A Requesting Data...4021074722</v>
        <stp/>
        <stp>BDP|16818436623695333505</stp>
        <tr r="J2258" s="2"/>
      </tp>
      <tp t="s">
        <v>#N/A Requesting Data...3959402992</v>
        <stp/>
        <stp>BDP|10958107074402678406</stp>
        <tr r="G215" s="2"/>
      </tp>
      <tp t="b">
        <v>0</v>
        <stp/>
        <stp>BDS|17744037514971883704</stp>
        <tr r="I682" s="2"/>
      </tp>
      <tp t="s">
        <v>#N/A Requesting Data...4054340551</v>
        <stp/>
        <stp>BDP|13519677476596900465</stp>
        <tr r="P270" s="2"/>
      </tp>
      <tp t="s">
        <v>#N/A Requesting Data...4263229928</v>
        <stp/>
        <stp>BDP|14455257101447897139</stp>
        <tr r="T1075" s="2"/>
      </tp>
      <tp t="s">
        <v>#N/A Requesting Data...4067657751</v>
        <stp/>
        <stp>BDP|16237418676451912478</stp>
        <tr r="T2170" s="2"/>
      </tp>
      <tp t="s">
        <v>#N/A Requesting Data...4215236884</v>
        <stp/>
        <stp>BDP|14050676816002254183</stp>
        <tr r="P675" s="2"/>
      </tp>
      <tp t="s">
        <v>#N/A Requesting Data...3978072814</v>
        <stp/>
        <stp>BDP|17739101393797779887</stp>
        <tr r="F673" s="2"/>
      </tp>
      <tp t="s">
        <v>#N/A Requesting Data...4086715389</v>
        <stp/>
        <stp>BDP|11982002606174266568</stp>
        <tr r="J1578" s="2"/>
      </tp>
      <tp t="s">
        <v>#N/A Requesting Data...4243074115</v>
        <stp/>
        <stp>BDP|10965952780122097379</stp>
        <tr r="E551" s="2"/>
      </tp>
      <tp t="s">
        <v>#N/A Requesting Data...3884874250</v>
        <stp/>
        <stp>BDP|17413573653316263192</stp>
        <tr r="G161" s="2"/>
      </tp>
      <tp t="s">
        <v>#N/A Requesting Data...3936020266</v>
        <stp/>
        <stp>BDP|18301230318203705847</stp>
        <tr r="N1497" s="2"/>
      </tp>
      <tp t="s">
        <v>#N/A Requesting Data...4173902043</v>
        <stp/>
        <stp>BDP|10175214248366407075</stp>
        <tr r="G1493" s="2"/>
      </tp>
      <tp t="s">
        <v>#N/A Requesting Data...4241988706</v>
        <stp/>
        <stp>BDP|15064907212224144982</stp>
        <tr r="C804" s="2"/>
      </tp>
      <tp t="s">
        <v>#N/A Requesting Data...4151820679</v>
        <stp/>
        <stp>BDP|17132683331751267314</stp>
        <tr r="G829" s="2"/>
      </tp>
      <tp t="s">
        <v>#N/A Requesting Data...4265127769</v>
        <stp/>
        <stp>BDP|12475374611022123284</stp>
        <tr r="E744" s="2"/>
      </tp>
      <tp t="s">
        <v>#N/A Requesting Data...4270399133</v>
        <stp/>
        <stp>BDP|15755294619296808046</stp>
        <tr r="Q2038" s="2"/>
      </tp>
      <tp t="s">
        <v>#N/A Requesting Data...4149704032</v>
        <stp/>
        <stp>BDP|12372791675894692623</stp>
        <tr r="T353" s="2"/>
      </tp>
      <tp t="s">
        <v>#N/A Requesting Data...4264471462</v>
        <stp/>
        <stp>BDP|17539862991267978100</stp>
        <tr r="A936" s="2"/>
      </tp>
      <tp t="s">
        <v>#N/A Requesting Data...3989795450</v>
        <stp/>
        <stp>BDP|13419893089276916565</stp>
        <tr r="T997" s="2"/>
      </tp>
      <tp t="s">
        <v>#N/A Requesting Data...4130410588</v>
        <stp/>
        <stp>BDP|16876411134389069867</stp>
        <tr r="A507" s="2"/>
      </tp>
      <tp t="s">
        <v>#N/A Requesting Data...4062273414</v>
        <stp/>
        <stp>BDP|10848261957424212304</stp>
        <tr r="S667" s="2"/>
      </tp>
      <tp t="s">
        <v>#N/A Requesting Data...4130214300</v>
        <stp/>
        <stp>BDP|14050140628562284543</stp>
        <tr r="R1100" s="2"/>
      </tp>
      <tp t="s">
        <v>#N/A Requesting Data...3959524985</v>
        <stp/>
        <stp>BDP|13808272321756089546</stp>
        <tr r="J1722" s="2"/>
      </tp>
      <tp t="s">
        <v>#N/A Requesting Data...4125523371</v>
        <stp/>
        <stp>BDP|12535932199260504208</stp>
        <tr r="J1147" s="2"/>
      </tp>
      <tp t="s">
        <v>#N/A Requesting Data...4102674669</v>
        <stp/>
        <stp>BDP|10766150035767580582</stp>
        <tr r="N2022" s="2"/>
      </tp>
      <tp t="s">
        <v>#N/A Requesting Data...4020104638</v>
        <stp/>
        <stp>BDP|10561271214596502598</stp>
        <tr r="K1647" s="2"/>
      </tp>
      <tp t="s">
        <v>#N/A Requesting Data...4057132103</v>
        <stp/>
        <stp>BDP|15498091336127422151</stp>
        <tr r="K1259" s="2"/>
      </tp>
      <tp t="s">
        <v>#N/A Requesting Data...4238810161</v>
        <stp/>
        <stp>BDP|18334922561330906738</stp>
        <tr r="T1183" s="2"/>
      </tp>
      <tp t="s">
        <v>#N/A Requesting Data...3950754009</v>
        <stp/>
        <stp>BDP|16132556339518220858</stp>
        <tr r="F1449" s="2"/>
      </tp>
      <tp t="s">
        <v>#N/A Requesting Data...4126613798</v>
        <stp/>
        <stp>BDP|13927016803152799166</stp>
        <tr r="Q695" s="2"/>
      </tp>
      <tp t="b">
        <v>0</v>
        <stp/>
        <stp>BDS|16091490611251371226</stp>
        <tr r="I905" s="2"/>
      </tp>
      <tp t="s">
        <v>#N/A Requesting Data...4135538503</v>
        <stp/>
        <stp>BDP|14697306572891681186</stp>
        <tr r="A1084" s="2"/>
      </tp>
      <tp t="s">
        <v>#N/A Requesting Data...4076246902</v>
        <stp/>
        <stp>BDP|10220796365485387470</stp>
        <tr r="Q2011" s="2"/>
      </tp>
      <tp t="s">
        <v>#N/A Requesting Data...3982985172</v>
        <stp/>
        <stp>BDP|15263333379169738858</stp>
        <tr r="K2162" s="2"/>
      </tp>
      <tp t="s">
        <v>#N/A Requesting Data...4018849048</v>
        <stp/>
        <stp>BDP|10140599914320222443</stp>
        <tr r="J1162" s="2"/>
      </tp>
      <tp t="s">
        <v>#N/A Requesting Data...4233505240</v>
        <stp/>
        <stp>BDP|13148455513174568289</stp>
        <tr r="P803" s="2"/>
      </tp>
      <tp t="s">
        <v>#N/A Requesting Data...4029113764</v>
        <stp/>
        <stp>BDP|13989129681599239329</stp>
        <tr r="N1279" s="2"/>
      </tp>
      <tp t="s">
        <v>#N/A Requesting Data...4249671639</v>
        <stp/>
        <stp>BDP|10306917578066810888</stp>
        <tr r="E2064" s="2"/>
      </tp>
      <tp t="s">
        <v>#N/A Requesting Data...4070604558</v>
        <stp/>
        <stp>BDP|18280652375201820804</stp>
        <tr r="S1379" s="2"/>
      </tp>
      <tp t="s">
        <v>#N/A Requesting Data...3993355310</v>
        <stp/>
        <stp>BDP|13758309414257054696</stp>
        <tr r="D1765" s="2"/>
      </tp>
      <tp t="s">
        <v>#N/A Requesting Data...3992400522</v>
        <stp/>
        <stp>BDP|16559312977780853218</stp>
        <tr r="E1087" s="2"/>
      </tp>
      <tp t="s">
        <v>#N/A Requesting Data...4163945333</v>
        <stp/>
        <stp>BDP|14184604305144653685</stp>
        <tr r="M1580" s="2"/>
      </tp>
      <tp t="s">
        <v>#N/A Requesting Data...3970680872</v>
        <stp/>
        <stp>BDP|14791795771112434613</stp>
        <tr r="F548" s="2"/>
      </tp>
      <tp t="s">
        <v>#N/A Requesting Data...4159626069</v>
        <stp/>
        <stp>BDP|15192301694596770986</stp>
        <tr r="G390" s="2"/>
      </tp>
      <tp t="s">
        <v>#N/A Requesting Data...4229767044</v>
        <stp/>
        <stp>BDP|18061284682725898780</stp>
        <tr r="Q1168" s="2"/>
      </tp>
      <tp t="s">
        <v>#N/A Requesting Data...4066068973</v>
        <stp/>
        <stp>BDP|16462697523695291762</stp>
        <tr r="M1121" s="2"/>
      </tp>
      <tp t="s">
        <v>#N/A Requesting Data...4247476347</v>
        <stp/>
        <stp>BDP|12706805290897933442</stp>
        <tr r="P1017" s="2"/>
      </tp>
      <tp t="s">
        <v>#N/A Requesting Data...4126958436</v>
        <stp/>
        <stp>BDP|17719305267063217189</stp>
        <tr r="S1065" s="2"/>
      </tp>
      <tp t="s">
        <v>#N/A Requesting Data...4075055741</v>
        <stp/>
        <stp>BDP|11276071671771680785</stp>
        <tr r="E2229" s="2"/>
      </tp>
      <tp t="s">
        <v>#N/A Requesting Data...4275670053</v>
        <stp/>
        <stp>BDP|14178023970035113689</stp>
        <tr r="E2103" s="2"/>
      </tp>
      <tp t="s">
        <v>#N/A Requesting Data...4028334009</v>
        <stp/>
        <stp>BDP|13054230303829915830</stp>
        <tr r="D1220" s="2"/>
      </tp>
      <tp t="s">
        <v>#N/A Requesting Data...4128395954</v>
        <stp/>
        <stp>BDP|15042770999188213368</stp>
        <tr r="F2112" s="2"/>
      </tp>
      <tp t="s">
        <v>#N/A Requesting Data...4263419158</v>
        <stp/>
        <stp>BDP|16644765240125823021</stp>
        <tr r="R749" s="2"/>
      </tp>
      <tp t="s">
        <v>#N/A Requesting Data...4266691427</v>
        <stp/>
        <stp>BDP|15346698328410932118</stp>
        <tr r="R2414" s="2"/>
      </tp>
      <tp t="s">
        <v>#N/A Requesting Data...4129910176</v>
        <stp/>
        <stp>BDP|15574934165459066392</stp>
        <tr r="N2065" s="2"/>
      </tp>
      <tp t="s">
        <v>#N/A Requesting Data...4026606802</v>
        <stp/>
        <stp>BDP|14027495956295637035</stp>
        <tr r="O602" s="2"/>
      </tp>
      <tp t="s">
        <v>#N/A Requesting Data...4049558461</v>
        <stp/>
        <stp>BDP|17878284339307136121</stp>
        <tr r="T1778" s="2"/>
      </tp>
      <tp t="s">
        <v>#N/A Requesting Data...4091385720</v>
        <stp/>
        <stp>BDP|18177805849140485469</stp>
        <tr r="A2" s="2"/>
      </tp>
      <tp t="s">
        <v>#N/A Requesting Data...4029997822</v>
        <stp/>
        <stp>BDP|10200680585197077954</stp>
        <tr r="M87" s="2"/>
      </tp>
      <tp t="s">
        <v>#N/A Requesting Data...4262963456</v>
        <stp/>
        <stp>BDP|11390389157434708316</stp>
        <tr r="K2270" s="2"/>
      </tp>
      <tp t="s">
        <v>#N/A Requesting Data...4274887198</v>
        <stp/>
        <stp>BDP|11122983066609654730</stp>
        <tr r="S1809" s="2"/>
      </tp>
      <tp t="s">
        <v>#N/A Requesting Data...4268886317</v>
        <stp/>
        <stp>BDP|13544588650223369049</stp>
        <tr r="F1121" s="2"/>
      </tp>
      <tp t="s">
        <v>#N/A Requesting Data...4074004826</v>
        <stp/>
        <stp>BDP|16831955787243339436</stp>
        <tr r="S1506" s="2"/>
      </tp>
      <tp t="s">
        <v>#N/A Requesting Data...4092265426</v>
        <stp/>
        <stp>BDP|15257208448942801185</stp>
        <tr r="F1222" s="2"/>
      </tp>
      <tp t="s">
        <v>#N/A Requesting Data...4205839751</v>
        <stp/>
        <stp>BDP|16806568510852012041</stp>
        <tr r="G2141" s="2"/>
      </tp>
      <tp t="s">
        <v>#N/A Requesting Data...4057637226</v>
        <stp/>
        <stp>BDP|11870062483200547923</stp>
        <tr r="S2499" s="2"/>
      </tp>
      <tp t="s">
        <v>#N/A Requesting Data...4197894075</v>
        <stp/>
        <stp>BDP|13764844533349227183</stp>
        <tr r="K2311" s="2"/>
      </tp>
      <tp t="s">
        <v>#N/A Requesting Data...4132999038</v>
        <stp/>
        <stp>BDP|17623076188116051930</stp>
        <tr r="F1498" s="2"/>
      </tp>
      <tp t="s">
        <v>#N/A Requesting Data...4070145753</v>
        <stp/>
        <stp>BDP|13115937436498616184</stp>
        <tr r="N2007" s="2"/>
      </tp>
      <tp t="s">
        <v>#N/A Requesting Data...4104673561</v>
        <stp/>
        <stp>BDP|13764190321180201070</stp>
        <tr r="P2466" s="2"/>
      </tp>
      <tp t="s">
        <v>#N/A Requesting Data...4172159159</v>
        <stp/>
        <stp>BDP|14627786123561074071</stp>
        <tr r="C1933" s="2"/>
      </tp>
      <tp t="s">
        <v>#N/A Requesting Data...4146043621</v>
        <stp/>
        <stp>BDP|12680203002882719295</stp>
        <tr r="N2021" s="2"/>
      </tp>
      <tp t="s">
        <v>#N/A Requesting Data...4106792195</v>
        <stp/>
        <stp>BDP|16023000128483255705</stp>
        <tr r="P526" s="2"/>
      </tp>
      <tp t="s">
        <v>#N/A Requesting Data...4184597108</v>
        <stp/>
        <stp>BDP|16872195162881952009</stp>
        <tr r="R704" s="2"/>
      </tp>
      <tp t="s">
        <v>#N/A Requesting Data...4129662913</v>
        <stp/>
        <stp>BDP|14346087852007556660</stp>
        <tr r="Q773" s="2"/>
      </tp>
      <tp t="s">
        <v>#N/A Requesting Data...4076129987</v>
        <stp/>
        <stp>BDP|10868620426373460725</stp>
        <tr r="J663" s="2"/>
      </tp>
      <tp t="s">
        <v>#N/A Requesting Data...4104137689</v>
        <stp/>
        <stp>BDP|11862180109343022331</stp>
        <tr r="F1316" s="2"/>
      </tp>
      <tp t="s">
        <v>#N/A Requesting Data...4280499458</v>
        <stp/>
        <stp>BDP|17277481734921783131</stp>
        <tr r="D1484" s="2"/>
      </tp>
      <tp t="s">
        <v>#N/A Requesting Data...4291426038</v>
        <stp/>
        <stp>BDP|12999330645267489215</stp>
        <tr r="R1698" s="2"/>
      </tp>
      <tp t="s">
        <v>#N/A Requesting Data...4166585484</v>
        <stp/>
        <stp>BDP|11992109114417311643</stp>
        <tr r="F295" s="2"/>
      </tp>
      <tp t="s">
        <v>#N/A Requesting Data...4100489121</v>
        <stp/>
        <stp>BDP|16721989381282468509</stp>
        <tr r="F300" s="2"/>
      </tp>
      <tp t="s">
        <v>#N/A Requesting Data...4280430398</v>
        <stp/>
        <stp>BDP|11971863984050601171</stp>
        <tr r="N858" s="2"/>
      </tp>
      <tp t="s">
        <v>#N/A Requesting Data...4130691597</v>
        <stp/>
        <stp>BDP|17006897510589404777</stp>
        <tr r="E2121" s="2"/>
      </tp>
      <tp t="s">
        <v>#N/A Requesting Data...4133989503</v>
        <stp/>
        <stp>BDP|15979228642922176124</stp>
        <tr r="K2300" s="2"/>
      </tp>
      <tp t="s">
        <v>#N/A Requesting Data...4104050698</v>
        <stp/>
        <stp>BDP|17542057477427410793</stp>
        <tr r="P271" s="2"/>
      </tp>
      <tp t="s">
        <v>#N/A Requesting Data...4169111772</v>
        <stp/>
        <stp>BDP|15974026540567301621</stp>
        <tr r="S1973" s="2"/>
      </tp>
      <tp t="s">
        <v>#N/A Requesting Data...4204870033</v>
        <stp/>
        <stp>BDP|17496097542637096454</stp>
        <tr r="C658" s="2"/>
      </tp>
      <tp t="s">
        <v>#N/A Requesting Data...4197055876</v>
        <stp/>
        <stp>BDP|11069216224789951867</stp>
        <tr r="J1601" s="2"/>
      </tp>
      <tp t="s">
        <v>#N/A Requesting Data...4246623838</v>
        <stp/>
        <stp>BDP|16978185454264844670</stp>
        <tr r="F912" s="2"/>
      </tp>
      <tp t="s">
        <v>#N/A Requesting Data...4205947731</v>
        <stp/>
        <stp>BDP|13575546529417754354</stp>
        <tr r="G2392" s="2"/>
      </tp>
      <tp t="s">
        <v>#N/A Requesting Data...4174288444</v>
        <stp/>
        <stp>BDP|10774623720067624392</stp>
        <tr r="P2188" s="2"/>
      </tp>
      <tp t="s">
        <v>#N/A Requesting Data...4166206410</v>
        <stp/>
        <stp>BDP|11684781016951686633</stp>
        <tr r="T532" s="2"/>
      </tp>
      <tp t="s">
        <v>#N/A Requesting Data...4236261083</v>
        <stp/>
        <stp>BDP|18403398544417277860</stp>
        <tr r="P25" s="2"/>
      </tp>
      <tp t="s">
        <v>#N/A Requesting Data...4142909170</v>
        <stp/>
        <stp>BDP|18321019450864698990</stp>
        <tr r="N669" s="2"/>
      </tp>
      <tp t="s">
        <v>#N/A Requesting Data...4251217062</v>
        <stp/>
        <stp>BDP|10324110556931937502</stp>
        <tr r="N212" s="2"/>
      </tp>
      <tp t="s">
        <v>#N/A Requesting Data...4167526486</v>
        <stp/>
        <stp>BDP|16041646839887461446</stp>
        <tr r="N1788" s="2"/>
      </tp>
      <tp t="s">
        <v>#N/A Requesting Data...4268358634</v>
        <stp/>
        <stp>BDP|14401282871056434748</stp>
        <tr r="O746" s="2"/>
      </tp>
      <tp t="s">
        <v>#N/A Requesting Data...4136998896</v>
        <stp/>
        <stp>BDP|17611582166931768525</stp>
        <tr r="H68" s="2"/>
      </tp>
      <tp t="s">
        <v>#N/A Requesting Data...4178176464</v>
        <stp/>
        <stp>BDP|13329523927894343084</stp>
        <tr r="G448" s="2"/>
      </tp>
      <tp t="s">
        <v>#N/A Requesting Data...4146237816</v>
        <stp/>
        <stp>BDP|16286143360104250596</stp>
        <tr r="M2127" s="2"/>
      </tp>
      <tp t="s">
        <v>#N/A Requesting Data...4236107665</v>
        <stp/>
        <stp>BDP|16285870289235400353</stp>
        <tr r="A1653" s="2"/>
      </tp>
      <tp t="s">
        <v>#N/A Requesting Data...4226460790</v>
        <stp/>
        <stp>BDP|10834197138823366173</stp>
        <tr r="O1874" s="2"/>
      </tp>
      <tp t="s">
        <v>#N/A Requesting Data...4132887096</v>
        <stp/>
        <stp>BDP|10330450630353210498</stp>
        <tr r="S577" s="2"/>
      </tp>
      <tp t="s">
        <v>#N/A Requesting Data...4225640367</v>
        <stp/>
        <stp>BDP|15878488503036761791</stp>
        <tr r="T2279" s="2"/>
      </tp>
      <tp t="s">
        <v>#N/A Requesting Data...4207060184</v>
        <stp/>
        <stp>BDP|17635666617180943038</stp>
        <tr r="Q569" s="2"/>
      </tp>
      <tp t="s">
        <v>#N/A Requesting Data...4146225360</v>
        <stp/>
        <stp>BDP|12036563655911806361</stp>
        <tr r="P1469" s="2"/>
      </tp>
      <tp t="s">
        <v>#N/A Requesting Data...4191383166</v>
        <stp/>
        <stp>BDP|10747688943430661271</stp>
        <tr r="S190" s="2"/>
      </tp>
      <tp t="s">
        <v>#N/A Requesting Data...4197963646</v>
        <stp/>
        <stp>BDP|16147611442892665694</stp>
        <tr r="J1899" s="2"/>
      </tp>
      <tp t="s">
        <v>#N/A Requesting Data...4153858087</v>
        <stp/>
        <stp>BDP|15922259679078158891</stp>
        <tr r="F757" s="2"/>
      </tp>
      <tp t="s">
        <v>#N/A Requesting Data...4240896558</v>
        <stp/>
        <stp>BDP|12746039892742840931</stp>
        <tr r="F1178" s="2"/>
      </tp>
      <tp t="s">
        <v>#N/A Requesting Data...4221459703</v>
        <stp/>
        <stp>BDP|12955988085302111180</stp>
        <tr r="F1874" s="2"/>
      </tp>
      <tp t="s">
        <v>#N/A Requesting Data...4212588135</v>
        <stp/>
        <stp>BDP|13334895294177617559</stp>
        <tr r="K2268" s="2"/>
      </tp>
      <tp t="b">
        <v>0</v>
        <stp/>
        <stp>BDS|11643355898783310868</stp>
        <tr r="I1303" s="2"/>
      </tp>
      <tp t="s">
        <v>#N/A Requesting Data...4194916681</v>
        <stp/>
        <stp>BDP|10494183920960455358</stp>
        <tr r="F189" s="2"/>
      </tp>
      <tp t="s">
        <v>#N/A Requesting Data...4201909000</v>
        <stp/>
        <stp>BDP|14519006744428885845</stp>
        <tr r="K1342" s="2"/>
      </tp>
      <tp t="s">
        <v>#N/A Requesting Data...4294919324</v>
        <stp/>
        <stp>BDP|17737687302818415943</stp>
        <tr r="G2431" s="2"/>
      </tp>
      <tp t="s">
        <v>#N/A Requesting Data...4247099014</v>
        <stp/>
        <stp>BDP|12785665338716665122</stp>
        <tr r="Q2269" s="2"/>
      </tp>
      <tp t="s">
        <v>#N/A Requesting Data...4215534699</v>
        <stp/>
        <stp>BDP|15805103560891325364</stp>
        <tr r="H298" s="2"/>
      </tp>
      <tp t="s">
        <v>#N/A Requesting Data...4196913553</v>
        <stp/>
        <stp>BDP|15063801755251108998</stp>
        <tr r="O783" s="2"/>
      </tp>
      <tp t="s">
        <v>#N/A Requesting Data...4228029698</v>
        <stp/>
        <stp>BDP|16250348108165160027</stp>
        <tr r="C1077" s="2"/>
      </tp>
      <tp t="s">
        <v>#N/A Requesting Data...4276641962</v>
        <stp/>
        <stp>BDP|15680342171527632681</stp>
        <tr r="P1237" s="2"/>
      </tp>
      <tp t="s">
        <v>#N/A Requesting Data...4230023606</v>
        <stp/>
        <stp>BDP|14821971658178870028</stp>
        <tr r="Q2362" s="2"/>
      </tp>
      <tp t="s">
        <v>#N/A Requesting Data...4265328729</v>
        <stp/>
        <stp>BDP|13058651104423599694</stp>
        <tr r="T788" s="2"/>
      </tp>
      <tp t="s">
        <v>#N/A Requesting Data...4292069576</v>
        <stp/>
        <stp>BDP|16594271941018825866</stp>
        <tr r="T1787" s="2"/>
      </tp>
      <tp t="b">
        <v>0</v>
        <stp/>
        <stp>BDS|15840799460693865771</stp>
        <tr r="I2224" s="2"/>
      </tp>
      <tp t="s">
        <v>#N/A Requesting Data...4240989992</v>
        <stp/>
        <stp>BDP|14176800461003439998</stp>
        <tr r="O1819" s="2"/>
      </tp>
      <tp t="b">
        <v>0</v>
        <stp/>
        <stp>BDS|18101716260918938170</stp>
        <tr r="I1918" s="2"/>
      </tp>
      <tp t="s">
        <v>#N/A Requesting Data...4245982749</v>
        <stp/>
        <stp>BDP|17991598123416817668</stp>
        <tr r="S1257" s="2"/>
      </tp>
      <tp t="s">
        <v>#N/A Requesting Data...4278670674</v>
        <stp/>
        <stp>BDP|17247718120561801365</stp>
        <tr r="R1814" s="2"/>
      </tp>
      <tp t="s">
        <v>#N/A Requesting Data...4270815889</v>
        <stp/>
        <stp>BDP|13711232968596036116</stp>
        <tr r="P659" s="2"/>
      </tp>
      <tp t="s">
        <v>#N/A Requesting Data...4269056185</v>
        <stp/>
        <stp>BDP|10618513128493421467</stp>
        <tr r="P1545" s="2"/>
      </tp>
      <tp t="s">
        <v>#N/A Requesting Data...4233845119</v>
        <stp/>
        <stp>BDP|12161421926874152098</stp>
        <tr r="C2444" s="2"/>
      </tp>
      <tp t="s">
        <v>#N/A Requesting Data...4249870980</v>
        <stp/>
        <stp>BDP|10264134218659118957</stp>
        <tr r="S1022" s="2"/>
      </tp>
      <tp t="s">
        <v>#N/A Requesting Data...4249196927</v>
        <stp/>
        <stp>BDP|12413225698229351001</stp>
        <tr r="A848" s="2"/>
      </tp>
      <tp t="s">
        <v>#N/A Requesting Data...4290209741</v>
        <stp/>
        <stp>BDP|17632051942594533796</stp>
        <tr r="M383" s="2"/>
      </tp>
      <tp t="s">
        <v>#N/A Requesting Data...4259856609</v>
        <stp/>
        <stp>BDP|15604731388102075805</stp>
        <tr r="G1914" s="2"/>
      </tp>
      <tp t="s">
        <v>#N/A Requesting Data...4269539717</v>
        <stp/>
        <stp>BDP|15088855165552585981</stp>
        <tr r="C921" s="2"/>
      </tp>
      <tp t="s">
        <v>#N/A Requesting Data...4269803960</v>
        <stp/>
        <stp>BDP|12419378138223731119</stp>
        <tr r="K924" s="2"/>
      </tp>
      <tp t="s">
        <v>#N/A Requesting Data...4267004280</v>
        <stp/>
        <stp>BDP|16413585155680741637</stp>
        <tr r="H2440" s="2"/>
      </tp>
      <tp t="s">
        <v>#N/A Requesting Data...4246660253</v>
        <stp/>
        <stp>BDP|17750383862744866686</stp>
        <tr r="K2110" s="2"/>
      </tp>
      <tp t="s">
        <v>#N/A Requesting Data...4285581907</v>
        <stp/>
        <stp>BDP|16071182137672000622</stp>
        <tr r="R687" s="2"/>
      </tp>
      <tp t="s">
        <v>#N/A Requesting Data...4279337758</v>
        <stp/>
        <stp>BDP|15901606976580066424</stp>
        <tr r="N634" s="2"/>
      </tp>
      <tp t="s">
        <v>#N/A Requesting Data...4279578101</v>
        <stp/>
        <stp>BDP|13077113925111066193</stp>
        <tr r="P1442" s="2"/>
      </tp>
      <tp t="s">
        <v>#N/A Requesting Data...4260375966</v>
        <stp/>
        <stp>BDP|13033407566586835732</stp>
        <tr r="D1661" s="2"/>
      </tp>
      <tp t="s">
        <v>#N/A Requesting Data...4285037975</v>
        <stp/>
        <stp>BDP|10079520976345065792</stp>
        <tr r="M2235" s="2"/>
      </tp>
      <tp t="s">
        <v>#N/A Requesting Data...4285871408</v>
        <stp/>
        <stp>BDP|10572770333071837544</stp>
        <tr r="R690" s="2"/>
      </tp>
      <tp t="s">
        <v>#N/A Requesting Data...4267566949</v>
        <stp/>
        <stp>BDP|13531365089241565922</stp>
        <tr r="C1490" s="2"/>
      </tp>
      <tp t="s">
        <v>#N/A Requesting Data...4280259567</v>
        <stp/>
        <stp>BDP|18054399594986271425</stp>
        <tr r="K575" s="2"/>
      </tp>
      <tp t="b">
        <v>0</v>
        <stp/>
        <stp>BDS|14112421649547678325</stp>
        <tr r="I1373" s="2"/>
      </tp>
      <tp t="s">
        <v>#N/A Requesting Data...4274228749</v>
        <stp/>
        <stp>BDP|13443060650664708285</stp>
        <tr r="C1974" s="2"/>
      </tp>
      <tp t="s">
        <v>#N/A Requesting Data...4287326021</v>
        <stp/>
        <stp>BDP|10582090445927660320</stp>
        <tr r="G1362" s="2"/>
      </tp>
      <tp t="s">
        <v>#N/A Requesting Data...4286079799</v>
        <stp/>
        <stp>BDP|15807172661364633655</stp>
        <tr r="J2508" s="2"/>
      </tp>
      <tp t="s">
        <v>#N/A Requesting Data...4293641474</v>
        <stp/>
        <stp>BDP|16151251061763820106</stp>
        <tr r="K1524" s="2"/>
      </tp>
      <tp t="s">
        <v>#N/A Requesting Data...4293321195</v>
        <stp/>
        <stp>BDP|17152185667749526962</stp>
        <tr r="H2312" s="2"/>
      </tp>
      <tp t="s">
        <v>#N/A Requesting Data...4292510632</v>
        <stp/>
        <stp>BDP|12868148957124703218</stp>
        <tr r="D1166" s="2"/>
      </tp>
      <tp t="s">
        <v>#N/A Requesting Data...4290336831</v>
        <stp/>
        <stp>BDP|14133944195402831657</stp>
        <tr r="T1443" s="2"/>
      </tp>
      <tp t="s">
        <v>#N/A Requesting Data...4292963084</v>
        <stp/>
        <stp>BDP|17578527563307942301</stp>
        <tr r="F1160" s="2"/>
      </tp>
      <tp t="s">
        <v>#N/A Requesting Data...3437559356</v>
        <stp/>
        <stp>BDP|16670138905817481099</stp>
        <tr r="H1179" s="2"/>
      </tp>
      <tp t="s">
        <v>#N/A Requesting Data...1217490353</v>
        <stp/>
        <stp>BDP|10939602110175175251</stp>
        <tr r="T1773" s="2"/>
      </tp>
      <tp t="s">
        <v>#N/A Requesting Data...2171634696</v>
        <stp/>
        <stp>BDP|11191176803026811608</stp>
        <tr r="D1147" s="2"/>
      </tp>
      <tp t="s">
        <v>#N/A Requesting Data...253681035</v>
        <stp/>
        <stp>BDP|18246014548854383856</stp>
        <tr r="G2069" s="2"/>
      </tp>
      <tp t="s">
        <v>#N/A Requesting Data...3080273368</v>
        <stp/>
        <stp>BDP|15586393171894129517</stp>
        <tr r="G20" s="2"/>
      </tp>
      <tp t="s">
        <v>#N/A Requesting Data...3511747473</v>
        <stp/>
        <stp>BDP|12960143256286704012</stp>
        <tr r="F734" s="2"/>
      </tp>
      <tp t="s">
        <v>#N/A Requesting Data...1372675471</v>
        <stp/>
        <stp>BDP|13769555668147262751</stp>
        <tr r="O709" s="2"/>
      </tp>
      <tp t="s">
        <v>#N/A Requesting Data...1851616338</v>
        <stp/>
        <stp>BDP|11420542959644145557</stp>
        <tr r="T89" s="2"/>
      </tp>
      <tp t="s">
        <v>#N/A Requesting Data...466558909</v>
        <stp/>
        <stp>BDP|11461792831831382421</stp>
        <tr r="G2061" s="2"/>
      </tp>
      <tp t="s">
        <v>#N/A Requesting Data...232641692</v>
        <stp/>
        <stp>BDP|17714947362339428183</stp>
        <tr r="Q304" s="2"/>
      </tp>
      <tp t="s">
        <v>#N/A Requesting Data...3350733311</v>
        <stp/>
        <stp>BDP|15996004027501598665</stp>
        <tr r="K1773" s="2"/>
      </tp>
      <tp t="s">
        <v>#N/A Requesting Data...180687919</v>
        <stp/>
        <stp>BDP|15701625338796740672</stp>
        <tr r="O1638" s="2"/>
      </tp>
      <tp t="s">
        <v>#N/A Requesting Data...3239217992</v>
        <stp/>
        <stp>BDP|11283078036710925271</stp>
        <tr r="T1726" s="2"/>
      </tp>
      <tp t="s">
        <v>#N/A Requesting Data...117191861</v>
        <stp/>
        <stp>BDP|18031385359156400883</stp>
        <tr r="K873" s="2"/>
      </tp>
      <tp t="s">
        <v>#N/A Requesting Data...2247905352</v>
        <stp/>
        <stp>BDP|14631659311327651498</stp>
        <tr r="Q1352" s="2"/>
      </tp>
      <tp t="s">
        <v>#N/A Requesting Data...3241249246</v>
        <stp/>
        <stp>BDP|15372844748339114035</stp>
        <tr r="N1999" s="2"/>
      </tp>
      <tp t="s">
        <v>#N/A Requesting Data...1856961163</v>
        <stp/>
        <stp>BDP|15473602790538021289</stp>
        <tr r="J1418" s="2"/>
      </tp>
      <tp t="s">
        <v>#N/A Requesting Data...111847584</v>
        <stp/>
        <stp>BDP|15360730867396992227</stp>
        <tr r="H461" s="2"/>
      </tp>
      <tp t="s">
        <v>#N/A Requesting Data...4174044512</v>
        <stp/>
        <stp>BDP|11731241111671678389</stp>
        <tr r="Q197" s="2"/>
      </tp>
      <tp t="s">
        <v>#N/A Requesting Data...2643782186</v>
        <stp/>
        <stp>BDP|13126191687799486376</stp>
        <tr r="N934" s="2"/>
      </tp>
      <tp t="s">
        <v>#N/A Requesting Data...3458201170</v>
        <stp/>
        <stp>BDP|11636321638991661067</stp>
        <tr r="G1043" s="2"/>
      </tp>
      <tp t="s">
        <v>#N/A Requesting Data...796553240</v>
        <stp/>
        <stp>BDP|17306591078023794692</stp>
        <tr r="Q1103" s="2"/>
      </tp>
      <tp t="s">
        <v>#N/A Requesting Data...2910687418</v>
        <stp/>
        <stp>BDP|11991652393356053834</stp>
        <tr r="C1609" s="2"/>
      </tp>
      <tp t="s">
        <v>#N/A Requesting Data...3934997994</v>
        <stp/>
        <stp>BDP|13049255868855927282</stp>
        <tr r="H2126" s="2"/>
      </tp>
      <tp t="s">
        <v>#N/A Requesting Data...925439016</v>
        <stp/>
        <stp>BDP|10884163452137421341</stp>
        <tr r="T1613" s="2"/>
      </tp>
      <tp t="b">
        <v>0</v>
        <stp/>
        <stp>BDS|18045997953007130348</stp>
        <tr r="I2302" s="2"/>
      </tp>
      <tp t="s">
        <v>#N/A Requesting Data...1649463818</v>
        <stp/>
        <stp>BDP|18027962428956602541</stp>
        <tr r="M613" s="2"/>
      </tp>
      <tp t="s">
        <v>#N/A Requesting Data...569212840</v>
        <stp/>
        <stp>BDP|11722699133703924786</stp>
        <tr r="O1568" s="2"/>
      </tp>
      <tp t="s">
        <v>#N/A Requesting Data...540941133</v>
        <stp/>
        <stp>BDP|15359354568548748858</stp>
        <tr r="N709" s="2"/>
      </tp>
      <tp t="s">
        <v>#N/A Requesting Data...1847596608</v>
        <stp/>
        <stp>BDP|13911036064652017728</stp>
        <tr r="G669" s="2"/>
      </tp>
      <tp t="s">
        <v>#N/A Requesting Data...2171041853</v>
        <stp/>
        <stp>BDP|12099826280745912776</stp>
        <tr r="H1415" s="2"/>
      </tp>
      <tp t="s">
        <v>#N/A Requesting Data...1904878651</v>
        <stp/>
        <stp>BDP|15488556508958484810</stp>
        <tr r="O149" s="2"/>
      </tp>
      <tp t="s">
        <v>#N/A Requesting Data...1570494154</v>
        <stp/>
        <stp>BDP|10238339639371056143</stp>
        <tr r="H1001" s="2"/>
      </tp>
      <tp t="s">
        <v>#N/A Requesting Data...1219018451</v>
        <stp/>
        <stp>BDP|17492221659986467678</stp>
        <tr r="R174" s="2"/>
      </tp>
      <tp t="s">
        <v>#N/A Requesting Data...574508186</v>
        <stp/>
        <stp>BDP|13750677938551616729</stp>
        <tr r="Q2159" s="2"/>
      </tp>
      <tp t="s">
        <v>#N/A Requesting Data...874332293</v>
        <stp/>
        <stp>BDP|17828003332910150472</stp>
        <tr r="A815" s="2"/>
      </tp>
      <tp t="s">
        <v>#N/A Requesting Data...2539279602</v>
        <stp/>
        <stp>BDP|13976402741715686625</stp>
        <tr r="J1072" s="2"/>
      </tp>
      <tp t="s">
        <v>#N/A Requesting Data...2532110147</v>
        <stp/>
        <stp>BDP|14204215989669697704</stp>
        <tr r="K723" s="2"/>
      </tp>
      <tp t="s">
        <v>#N/A Requesting Data...3113619919</v>
        <stp/>
        <stp>BDP|15544733767902428692</stp>
        <tr r="Q322" s="2"/>
      </tp>
      <tp t="s">
        <v>#N/A Requesting Data...3605348101</v>
        <stp/>
        <stp>BDP|16263831248779371369</stp>
        <tr r="O2425" s="2"/>
      </tp>
      <tp t="s">
        <v>#N/A Requesting Data...247106017</v>
        <stp/>
        <stp>BDP|10972323145460248709</stp>
        <tr r="E914" s="2"/>
      </tp>
      <tp t="s">
        <v>#N/A Requesting Data...3517850561</v>
        <stp/>
        <stp>BDP|15593991988217961311</stp>
        <tr r="D1821" s="2"/>
      </tp>
      <tp t="s">
        <v>#N/A Requesting Data...1850610611</v>
        <stp/>
        <stp>BDP|10809175452694896097</stp>
        <tr r="N821" s="2"/>
      </tp>
      <tp t="s">
        <v>#N/A Requesting Data...2195508659</v>
        <stp/>
        <stp>BDP|16088204458639220864</stp>
        <tr r="T1522" s="2"/>
      </tp>
      <tp t="s">
        <v>#N/A Requesting Data...630267107</v>
        <stp/>
        <stp>BDP|17851678851797218307</stp>
        <tr r="N201" s="2"/>
      </tp>
      <tp t="s">
        <v>#N/A Requesting Data...3434659715</v>
        <stp/>
        <stp>BDP|12804021524344493467</stp>
        <tr r="H1298" s="2"/>
      </tp>
      <tp t="s">
        <v>#N/A Requesting Data...2997380822</v>
        <stp/>
        <stp>BDP|11149218376951302596</stp>
        <tr r="D1506" s="2"/>
      </tp>
      <tp t="s">
        <v>#N/A Requesting Data...1677051205</v>
        <stp/>
        <stp>BDP|11933703539082923751</stp>
        <tr r="S1520" s="2"/>
      </tp>
      <tp t="s">
        <v>#N/A Requesting Data...231621121</v>
        <stp/>
        <stp>BDP|10435678904410294695</stp>
        <tr r="S971" s="2"/>
      </tp>
      <tp t="s">
        <v>#N/A Requesting Data...2891716703</v>
        <stp/>
        <stp>BDP|10051946583427923626</stp>
        <tr r="J1185" s="2"/>
      </tp>
      <tp t="s">
        <v>#N/A Requesting Data...3036317669</v>
        <stp/>
        <stp>BDP|12243390599139744192</stp>
        <tr r="P1559" s="2"/>
      </tp>
      <tp t="s">
        <v>#N/A Requesting Data...2319552729</v>
        <stp/>
        <stp>BDP|16655088764923573330</stp>
        <tr r="F1173" s="2"/>
      </tp>
      <tp t="s">
        <v>#N/A Requesting Data...2055620940</v>
        <stp/>
        <stp>BDP|15319508809544689406</stp>
        <tr r="K688" s="2"/>
      </tp>
      <tp t="s">
        <v>#N/A Requesting Data...3729984589</v>
        <stp/>
        <stp>BDP|16930760813479363933</stp>
        <tr r="K1157" s="2"/>
      </tp>
      <tp t="s">
        <v>#N/A Requesting Data...2599995295</v>
        <stp/>
        <stp>BDP|18439817370534126381</stp>
        <tr r="O2075" s="2"/>
      </tp>
      <tp t="s">
        <v>#N/A Requesting Data...4056038762</v>
        <stp/>
        <stp>BDP|10915937836708875284</stp>
        <tr r="H1674" s="2"/>
      </tp>
      <tp t="s">
        <v>#N/A Requesting Data...343672462</v>
        <stp/>
        <stp>BDP|13145443673428879826</stp>
        <tr r="D666" s="2"/>
      </tp>
      <tp t="s">
        <v>#N/A Requesting Data...3335404893</v>
        <stp/>
        <stp>BDP|11307555818327779253</stp>
        <tr r="R1651" s="2"/>
      </tp>
      <tp t="s">
        <v>#N/A Requesting Data...2319128738</v>
        <stp/>
        <stp>BDP|12306120326540825135</stp>
        <tr r="P2376" s="2"/>
      </tp>
      <tp t="s">
        <v>#N/A Requesting Data...1757628593</v>
        <stp/>
        <stp>BDP|15994556480879733176</stp>
        <tr r="Q2203" s="2"/>
      </tp>
      <tp t="b">
        <v>0</v>
        <stp/>
        <stp>BDS|12390787427975072232</stp>
        <tr r="I1001" s="2"/>
      </tp>
      <tp t="b">
        <v>0</v>
        <stp/>
        <stp>BDS|14914231703187738110</stp>
        <tr r="I2325" s="2"/>
      </tp>
      <tp t="s">
        <v>#N/A Requesting Data...1998620116</v>
        <stp/>
        <stp>BDP|13484657057831875122</stp>
        <tr r="T2036" s="2"/>
      </tp>
      <tp t="s">
        <v>#N/A Requesting Data...3181069169</v>
        <stp/>
        <stp>BDP|16476625706939991953</stp>
        <tr r="M2046" s="2"/>
      </tp>
      <tp t="s">
        <v>#N/A Requesting Data...296696692</v>
        <stp/>
        <stp>BDP|15599348141023986159</stp>
        <tr r="C1251" s="2"/>
      </tp>
      <tp t="b">
        <v>0</v>
        <stp/>
        <stp>BDS|14461464168794306265</stp>
        <tr r="I1633" s="2"/>
      </tp>
      <tp t="s">
        <v>#N/A Requesting Data...3385461154</v>
        <stp/>
        <stp>BDP|11522163055306207382</stp>
        <tr r="E1377" s="2"/>
      </tp>
      <tp t="s">
        <v>#N/A Requesting Data...4265860412</v>
        <stp/>
        <stp>BDP|11920990488036012643</stp>
        <tr r="H421" s="2"/>
      </tp>
      <tp t="s">
        <v>#N/A Requesting Data...1280933561</v>
        <stp/>
        <stp>BDP|12542578202063483484</stp>
        <tr r="E1445" s="2"/>
      </tp>
      <tp t="s">
        <v>#N/A Requesting Data...740120381</v>
        <stp/>
        <stp>BDP|16471301305035465090</stp>
        <tr r="Q616" s="2"/>
      </tp>
      <tp t="s">
        <v>#N/A Requesting Data...2791159178</v>
        <stp/>
        <stp>BDP|18442091836298657312</stp>
        <tr r="S1789" s="2"/>
      </tp>
      <tp t="b">
        <v>0</v>
        <stp/>
        <stp>BDS|10402454730683830466</stp>
        <tr r="I1173" s="2"/>
      </tp>
      <tp t="s">
        <v>#N/A Requesting Data...1824874290</v>
        <stp/>
        <stp>BDP|15433393383016378810</stp>
        <tr r="A1488" s="2"/>
      </tp>
      <tp t="s">
        <v>#N/A Requesting Data...879140955</v>
        <stp/>
        <stp>BDP|12118180454635517341</stp>
        <tr r="C636" s="2"/>
      </tp>
      <tp t="s">
        <v>#N/A Requesting Data...2206369152</v>
        <stp/>
        <stp>BDP|11557341625722176293</stp>
        <tr r="N965" s="2"/>
      </tp>
      <tp t="s">
        <v>#N/A Requesting Data...2780006229</v>
        <stp/>
        <stp>BDP|17355670129670416355</stp>
        <tr r="Q1381" s="2"/>
      </tp>
      <tp t="s">
        <v>#N/A Requesting Data...3682446927</v>
        <stp/>
        <stp>BDP|11591391146052171478</stp>
        <tr r="C745" s="2"/>
      </tp>
      <tp t="s">
        <v>#N/A Requesting Data...2147571382</v>
        <stp/>
        <stp>BDP|15176216220667436283</stp>
        <tr r="O2216" s="2"/>
      </tp>
      <tp t="s">
        <v>#N/A Requesting Data...1854253202</v>
        <stp/>
        <stp>BDP|10757447879680470324</stp>
        <tr r="R1418" s="2"/>
      </tp>
      <tp t="s">
        <v>#N/A Requesting Data...3538219190</v>
        <stp/>
        <stp>BDP|14358252264292873265</stp>
        <tr r="K1194" s="2"/>
      </tp>
      <tp t="s">
        <v>#N/A Requesting Data...2110013748</v>
        <stp/>
        <stp>BDP|14507611354543530490</stp>
        <tr r="P780" s="2"/>
      </tp>
      <tp t="s">
        <v>#N/A Requesting Data...3578431025</v>
        <stp/>
        <stp>BDP|13416404273342883239</stp>
        <tr r="O1964" s="2"/>
      </tp>
      <tp t="s">
        <v>#N/A Requesting Data...2541537111</v>
        <stp/>
        <stp>BDP|17605205769210296318</stp>
        <tr r="S552" s="2"/>
      </tp>
      <tp t="s">
        <v>#N/A Requesting Data...3939334107</v>
        <stp/>
        <stp>BDP|14577165865053367091</stp>
        <tr r="C1290" s="2"/>
      </tp>
      <tp t="s">
        <v>#N/A Requesting Data...3165990823</v>
        <stp/>
        <stp>BDP|11134592962440255245</stp>
        <tr r="S2186" s="2"/>
      </tp>
      <tp t="s">
        <v>#N/A Requesting Data...380507912</v>
        <stp/>
        <stp>BDP|15551687532042178220</stp>
        <tr r="F2531" s="2"/>
      </tp>
      <tp t="s">
        <v>#N/A Requesting Data...4025670517</v>
        <stp/>
        <stp>BDP|10419093688391153981</stp>
        <tr r="T1015" s="2"/>
      </tp>
      <tp t="s">
        <v>#N/A Requesting Data...1188888664</v>
        <stp/>
        <stp>BDP|10923665474350310140</stp>
        <tr r="K180" s="2"/>
      </tp>
      <tp t="s">
        <v>#N/A Requesting Data...2658410556</v>
        <stp/>
        <stp>BDP|17157760516141589088</stp>
        <tr r="C1481" s="2"/>
      </tp>
      <tp t="s">
        <v>#N/A Requesting Data...2945413717</v>
        <stp/>
        <stp>BDP|11139846771536015885</stp>
        <tr r="M260" s="2"/>
      </tp>
      <tp t="s">
        <v>#N/A Requesting Data...2441390640</v>
        <stp/>
        <stp>BDP|12672024409823973188</stp>
        <tr r="N2026" s="2"/>
      </tp>
      <tp t="s">
        <v>#N/A Requesting Data...1980796136</v>
        <stp/>
        <stp>BDP|16801460225680109062</stp>
        <tr r="A315" s="2"/>
      </tp>
      <tp t="s">
        <v>#N/A Requesting Data...1493974849</v>
        <stp/>
        <stp>BDP|14092317663788833951</stp>
        <tr r="T400" s="2"/>
      </tp>
      <tp t="s">
        <v>#N/A Requesting Data...2845540456</v>
        <stp/>
        <stp>BDP|16036499851156774107</stp>
        <tr r="P918" s="2"/>
      </tp>
      <tp t="s">
        <v>#N/A Requesting Data...2474852237</v>
        <stp/>
        <stp>BDP|11908513920881797709</stp>
        <tr r="M2233" s="2"/>
      </tp>
      <tp t="s">
        <v>#N/A Requesting Data...4081986476</v>
        <stp/>
        <stp>BDP|13598925398667346435</stp>
        <tr r="F942" s="2"/>
      </tp>
      <tp t="s">
        <v>#N/A Requesting Data...1510108175</v>
        <stp/>
        <stp>BDP|14516056579383690006</stp>
        <tr r="Q930" s="2"/>
      </tp>
      <tp t="s">
        <v>#N/A Requesting Data...3826979595</v>
        <stp/>
        <stp>BDP|11481272711101827352</stp>
        <tr r="M482" s="2"/>
      </tp>
      <tp t="s">
        <v>#N/A Requesting Data...1676792222</v>
        <stp/>
        <stp>BDP|14616676422823961352</stp>
        <tr r="C1691" s="2"/>
      </tp>
      <tp t="s">
        <v>#N/A Requesting Data...2263496810</v>
        <stp/>
        <stp>BDP|16071058037744978145</stp>
        <tr r="S52" s="2"/>
      </tp>
      <tp t="b">
        <v>0</v>
        <stp/>
        <stp>BDS|14749668144426052097</stp>
        <tr r="I649" s="2"/>
      </tp>
      <tp t="s">
        <v>#N/A Requesting Data...3176319413</v>
        <stp/>
        <stp>BDP|15072235059414644638</stp>
        <tr r="A786" s="2"/>
      </tp>
      <tp t="s">
        <v>#N/A Requesting Data...935766506</v>
        <stp/>
        <stp>BDP|13323485791546493811</stp>
        <tr r="A1321" s="2"/>
      </tp>
      <tp t="s">
        <v>#N/A Requesting Data...3537101354</v>
        <stp/>
        <stp>BDP|13982183458936316159</stp>
        <tr r="C1408" s="2"/>
      </tp>
      <tp t="s">
        <v>#N/A Requesting Data...1543454845</v>
        <stp/>
        <stp>BDP|17056819965191855832</stp>
        <tr r="T355" s="2"/>
      </tp>
      <tp t="s">
        <v>#N/A Requesting Data...2465681451</v>
        <stp/>
        <stp>BDP|16526428838613963293</stp>
        <tr r="M2232" s="2"/>
      </tp>
      <tp t="s">
        <v>#N/A Requesting Data...4007736210</v>
        <stp/>
        <stp>BDP|15701403619303602379</stp>
        <tr r="A265" s="2"/>
      </tp>
      <tp t="s">
        <v>#N/A Requesting Data...1213171336</v>
        <stp/>
        <stp>BDP|11783321648547557170</stp>
        <tr r="T1736" s="2"/>
      </tp>
      <tp t="s">
        <v>#N/A Requesting Data...4238338861</v>
        <stp/>
        <stp>BDP|13937546877607599603</stp>
        <tr r="H1485" s="2"/>
      </tp>
      <tp t="s">
        <v>#N/A Requesting Data...2822633327</v>
        <stp/>
        <stp>BDP|17446791414834023566</stp>
        <tr r="T398" s="2"/>
      </tp>
      <tp t="s">
        <v>#N/A Requesting Data...2622492103</v>
        <stp/>
        <stp>BDP|13331504951315884654</stp>
        <tr r="A2269" s="2"/>
      </tp>
      <tp t="s">
        <v>#N/A Requesting Data...748991488</v>
        <stp/>
        <stp>BDP|10375922289574197561</stp>
        <tr r="N1421" s="2"/>
      </tp>
      <tp t="s">
        <v>#N/A Requesting Data...931733340</v>
        <stp/>
        <stp>BDP|17559435948517652078</stp>
        <tr r="K698" s="2"/>
      </tp>
      <tp t="s">
        <v>#N/A Requesting Data...1997672246</v>
        <stp/>
        <stp>BDP|14005241027054968058</stp>
        <tr r="Q1670" s="2"/>
      </tp>
      <tp t="s">
        <v>#N/A Requesting Data...4005528822</v>
        <stp/>
        <stp>BDP|13860243635553488127</stp>
        <tr r="G65" s="2"/>
      </tp>
      <tp t="s">
        <v>#N/A Requesting Data...584065221</v>
        <stp/>
        <stp>BDP|13431205706651464099</stp>
        <tr r="P1621" s="2"/>
      </tp>
      <tp t="s">
        <v>#N/A Requesting Data...1058999462</v>
        <stp/>
        <stp>BDP|16858676592920568973</stp>
        <tr r="C656" s="2"/>
      </tp>
      <tp t="s">
        <v>#N/A Requesting Data...2952886788</v>
        <stp/>
        <stp>BDP|10672821043378093483</stp>
        <tr r="R698" s="2"/>
      </tp>
      <tp t="s">
        <v>#N/A Requesting Data...1813983100</v>
        <stp/>
        <stp>BDP|11251622011512842469</stp>
        <tr r="R1763" s="2"/>
      </tp>
      <tp t="s">
        <v>#N/A Requesting Data...3950730027</v>
        <stp/>
        <stp>BDP|14096130458608295868</stp>
        <tr r="K260" s="2"/>
      </tp>
      <tp t="s">
        <v>#N/A Requesting Data...1305561475</v>
        <stp/>
        <stp>BDP|17094430859534378265</stp>
        <tr r="T1708" s="2"/>
      </tp>
      <tp t="s">
        <v>#N/A Requesting Data...641800022</v>
        <stp/>
        <stp>BDP|16013460392922314987</stp>
        <tr r="H2150" s="2"/>
      </tp>
      <tp t="s">
        <v>#N/A Requesting Data...1089945770</v>
        <stp/>
        <stp>BDP|13374418105174182398</stp>
        <tr r="K23" s="2"/>
      </tp>
      <tp t="s">
        <v>#N/A Requesting Data...979325623</v>
        <stp/>
        <stp>BDP|12060443039046227309</stp>
        <tr r="O537" s="2"/>
      </tp>
      <tp t="s">
        <v>#N/A Requesting Data...3689043904</v>
        <stp/>
        <stp>BDP|13822877611453693976</stp>
        <tr r="G424" s="2"/>
      </tp>
      <tp t="s">
        <v>#N/A Requesting Data...1881238681</v>
        <stp/>
        <stp>BDP|14948573900987071614</stp>
        <tr r="M1075" s="2"/>
      </tp>
      <tp t="s">
        <v>#N/A Requesting Data...1543687623</v>
        <stp/>
        <stp>BDP|11573348949383718500</stp>
        <tr r="S1688" s="2"/>
      </tp>
      <tp t="s">
        <v>#N/A Requesting Data...3675230271</v>
        <stp/>
        <stp>BDP|11862841409468394197</stp>
        <tr r="F1635" s="2"/>
      </tp>
      <tp t="s">
        <v>#N/A Requesting Data...3346968998</v>
        <stp/>
        <stp>BDP|11611996622588279208</stp>
        <tr r="O48" s="2"/>
      </tp>
      <tp t="s">
        <v>#N/A Requesting Data...4235128079</v>
        <stp/>
        <stp>BDP|10985394751625739395</stp>
        <tr r="P297" s="2"/>
      </tp>
      <tp t="s">
        <v>#N/A Requesting Data...920390732</v>
        <stp/>
        <stp>BDP|12643532064884772595</stp>
        <tr r="J2454" s="2"/>
      </tp>
      <tp t="s">
        <v>#N/A Requesting Data...1402819229</v>
        <stp/>
        <stp>BDP|10598546213372417691</stp>
        <tr r="S2210" s="2"/>
      </tp>
      <tp t="s">
        <v>#N/A Requesting Data...1610184538</v>
        <stp/>
        <stp>BDP|17921291189989509436</stp>
        <tr r="O1315" s="2"/>
      </tp>
      <tp t="s">
        <v>#N/A Requesting Data...2224361794</v>
        <stp/>
        <stp>BDP|12774231384580740884</stp>
        <tr r="Q1210" s="2"/>
      </tp>
      <tp t="s">
        <v>#N/A Requesting Data...3625812047</v>
        <stp/>
        <stp>BDP|18430587994044214056</stp>
        <tr r="G321" s="2"/>
      </tp>
      <tp t="s">
        <v>#N/A Requesting Data...2086720451</v>
        <stp/>
        <stp>BDP|11763242119606027453</stp>
        <tr r="J1577" s="2"/>
      </tp>
      <tp t="s">
        <v>#N/A Requesting Data...4120454958</v>
        <stp/>
        <stp>BDP|10725052547921326598</stp>
        <tr r="K2113" s="2"/>
      </tp>
      <tp t="s">
        <v>#N/A Requesting Data...990272019</v>
        <stp/>
        <stp>BDP|14254481606514312403</stp>
        <tr r="G1188" s="2"/>
      </tp>
      <tp t="s">
        <v>#N/A Requesting Data...1357577466</v>
        <stp/>
        <stp>BDP|15770649038531683120</stp>
        <tr r="T368" s="2"/>
      </tp>
      <tp t="s">
        <v>#N/A Requesting Data...3124079616</v>
        <stp/>
        <stp>BDP|14948311209103675481</stp>
        <tr r="G1100" s="2"/>
      </tp>
      <tp t="b">
        <v>0</v>
        <stp/>
        <stp>BDS|12928880338249140046</stp>
        <tr r="I2484" s="2"/>
      </tp>
      <tp t="s">
        <v>#N/A Requesting Data...2942291065</v>
        <stp/>
        <stp>BDP|12129510178690004076</stp>
        <tr r="C222" s="2"/>
      </tp>
      <tp t="s">
        <v>#N/A Requesting Data...4217173221</v>
        <stp/>
        <stp>BDP|10882536356862773253</stp>
        <tr r="A149" s="2"/>
      </tp>
      <tp t="s">
        <v>#N/A Requesting Data...1385768996</v>
        <stp/>
        <stp>BDP|15312514372531636691</stp>
        <tr r="R1427" s="2"/>
      </tp>
      <tp t="s">
        <v>#N/A Requesting Data...1305748115</v>
        <stp/>
        <stp>BDP|12170790552071074152</stp>
        <tr r="M1928" s="2"/>
      </tp>
      <tp t="s">
        <v>#N/A Requesting Data...3922292280</v>
        <stp/>
        <stp>BDP|12995607133025787224</stp>
        <tr r="S72" s="2"/>
      </tp>
      <tp t="s">
        <v>#N/A Requesting Data...3499734176</v>
        <stp/>
        <stp>BDP|14743720997672935840</stp>
        <tr r="D1780" s="2"/>
      </tp>
      <tp t="s">
        <v>#N/A Requesting Data...2953196895</v>
        <stp/>
        <stp>BDP|15336030913646453281</stp>
        <tr r="N2365" s="2"/>
      </tp>
      <tp t="s">
        <v>#N/A Requesting Data...1358701395</v>
        <stp/>
        <stp>BDP|17849158695166252959</stp>
        <tr r="N445" s="2"/>
      </tp>
      <tp t="s">
        <v>#N/A Requesting Data...2036041883</v>
        <stp/>
        <stp>BDP|12124695867061755372</stp>
        <tr r="P2427" s="2"/>
      </tp>
      <tp t="s">
        <v>#N/A Requesting Data...2777829132</v>
        <stp/>
        <stp>BDP|14123670001646149490</stp>
        <tr r="A429" s="2"/>
      </tp>
      <tp t="s">
        <v>#N/A Requesting Data...2457330785</v>
        <stp/>
        <stp>BDP|10528191570424558262</stp>
        <tr r="D2517" s="2"/>
      </tp>
      <tp t="s">
        <v>#N/A Requesting Data...1536540659</v>
        <stp/>
        <stp>BDP|16273094541276583409</stp>
        <tr r="G1863" s="2"/>
      </tp>
      <tp t="s">
        <v>#N/A Requesting Data...927989275</v>
        <stp/>
        <stp>BDP|16667135460407957635</stp>
        <tr r="D2236" s="2"/>
      </tp>
      <tp t="s">
        <v>#N/A Requesting Data...2319295706</v>
        <stp/>
        <stp>BDP|18144965528034535755</stp>
        <tr r="K770" s="2"/>
      </tp>
      <tp t="s">
        <v>#N/A Requesting Data...2123068801</v>
        <stp/>
        <stp>BDP|14282001949450328078</stp>
        <tr r="T95" s="2"/>
      </tp>
      <tp t="s">
        <v>#N/A Requesting Data...3611227944</v>
        <stp/>
        <stp>BDP|12492203030981279293</stp>
        <tr r="G111" s="2"/>
      </tp>
      <tp t="s">
        <v>#N/A Requesting Data...3856959395</v>
        <stp/>
        <stp>BDP|15648906216164943961</stp>
        <tr r="R10" s="2"/>
      </tp>
      <tp t="s">
        <v>#N/A Requesting Data...3492454566</v>
        <stp/>
        <stp>BDP|12065624340476844654</stp>
        <tr r="E1139" s="2"/>
      </tp>
      <tp t="s">
        <v>#N/A Requesting Data...3406901577</v>
        <stp/>
        <stp>BDP|13238419944946120597</stp>
        <tr r="N838" s="2"/>
      </tp>
      <tp t="s">
        <v>#N/A Requesting Data...2939882804</v>
        <stp/>
        <stp>BDP|17258023379687354753</stp>
        <tr r="G1452" s="2"/>
      </tp>
      <tp t="s">
        <v>#N/A Requesting Data...667230750</v>
        <stp/>
        <stp>BDP|15701282387077204854</stp>
        <tr r="G681" s="2"/>
      </tp>
      <tp t="s">
        <v>#N/A Requesting Data...477245795</v>
        <stp/>
        <stp>BDP|11716967528572554830</stp>
        <tr r="F2273" s="2"/>
      </tp>
      <tp t="s">
        <v>#N/A Requesting Data...2949996501</v>
        <stp/>
        <stp>BDP|15424623628193828294</stp>
        <tr r="O1653" s="2"/>
      </tp>
      <tp t="s">
        <v>#N/A Requesting Data...2485490605</v>
        <stp/>
        <stp>BDP|13869718699079695492</stp>
        <tr r="C990" s="2"/>
      </tp>
      <tp t="s">
        <v>#N/A Requesting Data...2914302251</v>
        <stp/>
        <stp>BDP|10522821518409240026</stp>
        <tr r="G172" s="2"/>
      </tp>
      <tp t="s">
        <v>#N/A Requesting Data...2336890429</v>
        <stp/>
        <stp>BDP|10680208114045478693</stp>
        <tr r="C939" s="2"/>
      </tp>
      <tp t="s">
        <v>#N/A Requesting Data...882402257</v>
        <stp/>
        <stp>BDP|12448429358015710668</stp>
        <tr r="H1877" s="2"/>
      </tp>
      <tp t="s">
        <v>#N/A Requesting Data...2540832144</v>
        <stp/>
        <stp>BDP|14383466923882906002</stp>
        <tr r="D1596" s="2"/>
      </tp>
      <tp t="s">
        <v>#N/A Requesting Data...4023825655</v>
        <stp/>
        <stp>BDP|12610028429932174233</stp>
        <tr r="A1381" s="2"/>
      </tp>
      <tp t="s">
        <v>#N/A Requesting Data...4088233836</v>
        <stp/>
        <stp>BDP|13280493244082541144</stp>
        <tr r="C2426" s="2"/>
      </tp>
      <tp t="s">
        <v>#N/A Requesting Data...2219967184</v>
        <stp/>
        <stp>BDP|15041130748958010857</stp>
        <tr r="K303" s="2"/>
      </tp>
      <tp t="b">
        <v>0</v>
        <stp/>
        <stp>BDS|13895046844417769027</stp>
        <tr r="I1619" s="2"/>
      </tp>
      <tp t="s">
        <v>#N/A Requesting Data...4100536821</v>
        <stp/>
        <stp>BDP|15992561153615566072</stp>
        <tr r="A887" s="2"/>
      </tp>
      <tp t="s">
        <v>#N/A Requesting Data...2012538267</v>
        <stp/>
        <stp>BDP|16732211768505151718</stp>
        <tr r="N1517" s="2"/>
      </tp>
      <tp t="s">
        <v>#N/A Requesting Data...3635317464</v>
        <stp/>
        <stp>BDP|17235155328071945588</stp>
        <tr r="J635" s="2"/>
      </tp>
      <tp t="s">
        <v>#N/A Requesting Data...1462461547</v>
        <stp/>
        <stp>BDP|14910039435626007114</stp>
        <tr r="T34" s="2"/>
      </tp>
      <tp t="s">
        <v>#N/A Requesting Data...3473461199</v>
        <stp/>
        <stp>BDP|15926377403454197222</stp>
        <tr r="K1864" s="2"/>
      </tp>
      <tp t="s">
        <v>#N/A Requesting Data...2971534616</v>
        <stp/>
        <stp>BDP|16768175642520960359</stp>
        <tr r="O1909" s="2"/>
      </tp>
      <tp t="s">
        <v>#N/A Requesting Data...2265702864</v>
        <stp/>
        <stp>BDP|14919139033433451530</stp>
        <tr r="M1697" s="2"/>
      </tp>
      <tp t="s">
        <v>#N/A Requesting Data...1005874104</v>
        <stp/>
        <stp>BDP|10864615297856106912</stp>
        <tr r="C1536" s="2"/>
      </tp>
      <tp t="s">
        <v>#N/A Requesting Data...1109236040</v>
        <stp/>
        <stp>BDP|11402999393300254126</stp>
        <tr r="C1589" s="2"/>
      </tp>
      <tp t="s">
        <v>#N/A Requesting Data...3567235204</v>
        <stp/>
        <stp>BDP|11770185374924305362</stp>
        <tr r="R400" s="2"/>
      </tp>
      <tp t="s">
        <v>#N/A Requesting Data...1345335577</v>
        <stp/>
        <stp>BDP|14087169848776479748</stp>
        <tr r="E1338" s="2"/>
      </tp>
      <tp t="s">
        <v>#N/A Requesting Data...3274432981</v>
        <stp/>
        <stp>BDP|18215311788926350565</stp>
        <tr r="O614" s="2"/>
      </tp>
      <tp t="s">
        <v>#N/A Requesting Data...3914890959</v>
        <stp/>
        <stp>BDP|16415654985881277983</stp>
        <tr r="A579" s="2"/>
      </tp>
      <tp t="s">
        <v>#N/A Requesting Data...1012238583</v>
        <stp/>
        <stp>BDP|18436373759978295669</stp>
        <tr r="E1508" s="2"/>
      </tp>
      <tp t="s">
        <v>#N/A Requesting Data...4233508638</v>
        <stp/>
        <stp>BDP|11099880392306735631</stp>
        <tr r="J1160" s="2"/>
      </tp>
      <tp t="s">
        <v>#N/A Requesting Data...612338071</v>
        <stp/>
        <stp>BDP|13492666748636653724</stp>
        <tr r="K1929" s="2"/>
      </tp>
      <tp t="s">
        <v>#N/A Requesting Data...1534592598</v>
        <stp/>
        <stp>BDP|16479601227891526384</stp>
        <tr r="T943" s="2"/>
      </tp>
      <tp t="s">
        <v>#N/A Requesting Data...3498468983</v>
        <stp/>
        <stp>BDP|14715795253983249511</stp>
        <tr r="S361" s="2"/>
      </tp>
      <tp t="s">
        <v>#N/A Requesting Data...896379306</v>
        <stp/>
        <stp>BDP|12958270006948173874</stp>
        <tr r="E1755" s="2"/>
      </tp>
      <tp t="s">
        <v>#N/A Requesting Data...2421498501</v>
        <stp/>
        <stp>BDP|14029729355506971006</stp>
        <tr r="N1924" s="2"/>
      </tp>
      <tp t="s">
        <v>#N/A Requesting Data...3341226305</v>
        <stp/>
        <stp>BDP|17052163744783598197</stp>
        <tr r="E1953" s="2"/>
      </tp>
      <tp t="s">
        <v>#N/A Requesting Data...2527005299</v>
        <stp/>
        <stp>BDP|12584644854484922525</stp>
        <tr r="E1983" s="2"/>
      </tp>
      <tp t="s">
        <v>#N/A Requesting Data...2439626951</v>
        <stp/>
        <stp>BDP|13792980315528235360</stp>
        <tr r="R137" s="2"/>
      </tp>
      <tp t="s">
        <v>#N/A Requesting Data...1775344589</v>
        <stp/>
        <stp>BDP|15060383501824724200</stp>
        <tr r="F287" s="2"/>
      </tp>
      <tp t="s">
        <v>#N/A Requesting Data...3860968244</v>
        <stp/>
        <stp>BDP|11409792807917439106</stp>
        <tr r="O2388" s="2"/>
      </tp>
      <tp t="s">
        <v>#N/A Requesting Data...592927385</v>
        <stp/>
        <stp>BDP|14709789359394148290</stp>
        <tr r="D2506" s="2"/>
      </tp>
      <tp t="s">
        <v>#N/A Requesting Data...1804598387</v>
        <stp/>
        <stp>BDP|15245328558221007260</stp>
        <tr r="H1381" s="2"/>
      </tp>
      <tp t="s">
        <v>#N/A Requesting Data...3991271995</v>
        <stp/>
        <stp>BDP|17347488146077024030</stp>
        <tr r="Q1497" s="2"/>
      </tp>
      <tp t="s">
        <v>#N/A Requesting Data...777949472</v>
        <stp/>
        <stp>BDP|15286522464671261784</stp>
        <tr r="Q122" s="2"/>
      </tp>
      <tp t="s">
        <v>#N/A Requesting Data...2668660036</v>
        <stp/>
        <stp>BDP|14063775551531115799</stp>
        <tr r="P2351" s="2"/>
      </tp>
      <tp t="s">
        <v>#N/A Requesting Data...4155571517</v>
        <stp/>
        <stp>BDP|17141591630765269449</stp>
        <tr r="N1525" s="2"/>
      </tp>
      <tp t="s">
        <v>#N/A Requesting Data...3129450406</v>
        <stp/>
        <stp>BDP|17999852241633762846</stp>
        <tr r="O831" s="2"/>
      </tp>
      <tp t="s">
        <v>#N/A Requesting Data...1855786652</v>
        <stp/>
        <stp>BDP|18394645086277826171</stp>
        <tr r="C980" s="2"/>
      </tp>
      <tp t="s">
        <v>#N/A Requesting Data...3138933568</v>
        <stp/>
        <stp>BDP|15116829688003307665</stp>
        <tr r="S1713" s="2"/>
      </tp>
      <tp t="b">
        <v>0</v>
        <stp/>
        <stp>BDS|15698193175763598028</stp>
        <tr r="I849" s="2"/>
      </tp>
      <tp t="s">
        <v>#N/A Requesting Data...2229124233</v>
        <stp/>
        <stp>BDP|10556148617621850102</stp>
        <tr r="R864" s="2"/>
      </tp>
      <tp t="s">
        <v>#N/A Requesting Data...3563252827</v>
        <stp/>
        <stp>BDP|18074447986351807540</stp>
        <tr r="F1877" s="2"/>
      </tp>
      <tp t="s">
        <v>#N/A Requesting Data...1409861567</v>
        <stp/>
        <stp>BDP|17579294615046485238</stp>
        <tr r="A1824" s="2"/>
      </tp>
      <tp t="s">
        <v>#N/A Requesting Data...2527497201</v>
        <stp/>
        <stp>BDP|10755531039205127327</stp>
        <tr r="A1547" s="2"/>
      </tp>
      <tp t="s">
        <v>#N/A Requesting Data...3788477197</v>
        <stp/>
        <stp>BDP|16443095342570612277</stp>
        <tr r="S1300" s="2"/>
      </tp>
      <tp t="s">
        <v>#N/A Requesting Data...2026335921</v>
        <stp/>
        <stp>BDP|10354540267166614587</stp>
        <tr r="S337" s="2"/>
      </tp>
      <tp t="s">
        <v>#N/A Requesting Data...835021737</v>
        <stp/>
        <stp>BDP|16823015921192647600</stp>
        <tr r="N955" s="2"/>
      </tp>
      <tp t="s">
        <v>#N/A Requesting Data...2849867681</v>
        <stp/>
        <stp>BDP|11970917354114102933</stp>
        <tr r="C1286" s="2"/>
      </tp>
      <tp t="s">
        <v>#N/A Requesting Data...3593316843</v>
        <stp/>
        <stp>BDP|12951651643625586548</stp>
        <tr r="Q1749" s="2"/>
      </tp>
      <tp t="s">
        <v>#N/A Requesting Data...2386805027</v>
        <stp/>
        <stp>BDP|10805593208680352541</stp>
        <tr r="D1697" s="2"/>
      </tp>
      <tp t="s">
        <v>#N/A Requesting Data...2213357921</v>
        <stp/>
        <stp>BDP|15071436568010249774</stp>
        <tr r="E1600" s="2"/>
      </tp>
      <tp t="s">
        <v>#N/A Requesting Data...3226999751</v>
        <stp/>
        <stp>BDP|11862465755669735927</stp>
        <tr r="O969" s="2"/>
      </tp>
      <tp t="s">
        <v>#N/A Requesting Data...2537539226</v>
        <stp/>
        <stp>BDP|12385143291662947818</stp>
        <tr r="C1981" s="2"/>
      </tp>
      <tp t="s">
        <v>#N/A Requesting Data...1856161527</v>
        <stp/>
        <stp>BDP|15800596914116847733</stp>
        <tr r="E1202" s="2"/>
      </tp>
      <tp t="s">
        <v>#N/A Requesting Data...3034065725</v>
        <stp/>
        <stp>BDP|16326785585539238021</stp>
        <tr r="E88" s="2"/>
      </tp>
      <tp t="s">
        <v>#N/A Requesting Data...1602566440</v>
        <stp/>
        <stp>BDP|11501317829242146221</stp>
        <tr r="O1674" s="2"/>
      </tp>
      <tp t="s">
        <v>#N/A Requesting Data...2584742590</v>
        <stp/>
        <stp>BDP|15852667831628832897</stp>
        <tr r="J2412" s="2"/>
      </tp>
      <tp t="s">
        <v>#N/A Requesting Data...3281769691</v>
        <stp/>
        <stp>BDP|13747030628944450568</stp>
        <tr r="N597" s="2"/>
      </tp>
      <tp t="s">
        <v>#N/A Requesting Data...3729698189</v>
        <stp/>
        <stp>BDP|17450943166368072085</stp>
        <tr r="R1808" s="2"/>
      </tp>
      <tp t="s">
        <v>#N/A Requesting Data...1079158716</v>
        <stp/>
        <stp>BDP|11957613411700154663</stp>
        <tr r="D821" s="2"/>
      </tp>
      <tp t="s">
        <v>#N/A Requesting Data...2199278069</v>
        <stp/>
        <stp>BDP|17333440755876955059</stp>
        <tr r="H1780" s="2"/>
      </tp>
      <tp t="b">
        <v>0</v>
        <stp/>
        <stp>BDS|11475080580140012910</stp>
        <tr r="I1282" s="2"/>
      </tp>
      <tp t="s">
        <v>#N/A Requesting Data...1430293578</v>
        <stp/>
        <stp>BDP|15177759978886005321</stp>
        <tr r="Q551" s="2"/>
      </tp>
      <tp t="s">
        <v>#N/A Requesting Data...751663843</v>
        <stp/>
        <stp>BDP|15708381255617269466</stp>
        <tr r="T1908" s="2"/>
      </tp>
      <tp t="s">
        <v>#N/A Requesting Data...3545904463</v>
        <stp/>
        <stp>BDP|12011126411033426193</stp>
        <tr r="P2083" s="2"/>
      </tp>
      <tp t="s">
        <v>#N/A Requesting Data...1217749870</v>
        <stp/>
        <stp>BDP|17504551415734303780</stp>
        <tr r="G2254" s="2"/>
      </tp>
      <tp t="s">
        <v>#N/A Requesting Data...2075863986</v>
        <stp/>
        <stp>BDP|17548613240735339095</stp>
        <tr r="M703" s="2"/>
      </tp>
      <tp t="b">
        <v>0</v>
        <stp/>
        <stp>BDS|10659370366317334290</stp>
        <tr r="I603" s="2"/>
      </tp>
      <tp t="s">
        <v>#N/A Requesting Data...2783939042</v>
        <stp/>
        <stp>BDP|17477436028275459453</stp>
        <tr r="C1174" s="2"/>
      </tp>
      <tp t="s">
        <v>#N/A Requesting Data...1052550162</v>
        <stp/>
        <stp>BDP|14553317139980481476</stp>
        <tr r="Q210" s="2"/>
      </tp>
      <tp t="s">
        <v>#N/A Requesting Data...1806500988</v>
        <stp/>
        <stp>BDP|12227273682750853816</stp>
        <tr r="M513" s="2"/>
      </tp>
      <tp t="s">
        <v>#N/A Requesting Data...1639130551</v>
        <stp/>
        <stp>BDP|18346253400643837907</stp>
        <tr r="H1096" s="2"/>
      </tp>
      <tp t="s">
        <v>#N/A Requesting Data...1981847303</v>
        <stp/>
        <stp>BDP|10445488203474558049</stp>
        <tr r="R2339" s="2"/>
      </tp>
      <tp t="s">
        <v>#N/A Requesting Data...2276928304</v>
        <stp/>
        <stp>BDP|12007086955786703145</stp>
        <tr r="F2407" s="2"/>
      </tp>
      <tp t="s">
        <v>#N/A Requesting Data...2264476207</v>
        <stp/>
        <stp>BDP|15629871679593003962</stp>
        <tr r="D950" s="2"/>
      </tp>
      <tp t="s">
        <v>#N/A Requesting Data...3044907850</v>
        <stp/>
        <stp>BDP|12887069361907593345</stp>
        <tr r="T613" s="2"/>
      </tp>
      <tp t="s">
        <v>#N/A Requesting Data...1594641038</v>
        <stp/>
        <stp>BDP|11961061201376422742</stp>
        <tr r="A1083" s="2"/>
      </tp>
      <tp t="s">
        <v>#N/A Requesting Data...2482348549</v>
        <stp/>
        <stp>BDP|12397606028800314662</stp>
        <tr r="G736" s="2"/>
      </tp>
      <tp t="s">
        <v>#N/A Requesting Data...4255895853</v>
        <stp/>
        <stp>BDP|15735191472972285107</stp>
        <tr r="R302" s="2"/>
      </tp>
      <tp t="s">
        <v>#N/A Requesting Data...1860825874</v>
        <stp/>
        <stp>BDP|17833646364804593330</stp>
        <tr r="T66" s="2"/>
      </tp>
      <tp t="s">
        <v>#N/A Requesting Data...4135347831</v>
        <stp/>
        <stp>BDP|12449395282318778161</stp>
        <tr r="E2347" s="2"/>
      </tp>
      <tp t="s">
        <v>#N/A Requesting Data...4226585738</v>
        <stp/>
        <stp>BDP|10679440741109092924</stp>
        <tr r="T1363" s="2"/>
      </tp>
      <tp t="s">
        <v>#N/A Requesting Data...870913770</v>
        <stp/>
        <stp>BDP|11913347657307879039</stp>
        <tr r="C209" s="2"/>
      </tp>
      <tp t="s">
        <v>#N/A Requesting Data...1665023952</v>
        <stp/>
        <stp>BDP|10332936832473032939</stp>
        <tr r="Q830" s="2"/>
      </tp>
      <tp t="s">
        <v>#N/A Requesting Data...3310129330</v>
        <stp/>
        <stp>BDP|11839585055671480003</stp>
        <tr r="Q2114" s="2"/>
      </tp>
      <tp t="s">
        <v>#N/A Requesting Data...1530108497</v>
        <stp/>
        <stp>BDP|17926846975940920804</stp>
        <tr r="E1678" s="2"/>
      </tp>
      <tp t="s">
        <v>#N/A Requesting Data...3333796555</v>
        <stp/>
        <stp>BDP|11170372450730397740</stp>
        <tr r="J205" s="2"/>
      </tp>
      <tp t="s">
        <v>#N/A Requesting Data...829203879</v>
        <stp/>
        <stp>BDP|15312354142096598407</stp>
        <tr r="F1430" s="2"/>
      </tp>
      <tp t="s">
        <v>#N/A Requesting Data...2474375852</v>
        <stp/>
        <stp>BDP|16319037590268298736</stp>
        <tr r="D1230" s="2"/>
      </tp>
      <tp t="s">
        <v>#N/A Requesting Data...994061907</v>
        <stp/>
        <stp>BDP|14793133355454069402</stp>
        <tr r="K1074" s="2"/>
      </tp>
      <tp t="s">
        <v>#N/A Requesting Data...1139165012</v>
        <stp/>
        <stp>BDP|16279109648575304681</stp>
        <tr r="S172" s="2"/>
      </tp>
      <tp t="s">
        <v>#N/A Requesting Data...1532652766</v>
        <stp/>
        <stp>BDP|18416074382927738775</stp>
        <tr r="Q265" s="2"/>
      </tp>
      <tp t="s">
        <v>#N/A Requesting Data...2091587104</v>
        <stp/>
        <stp>BDP|13135108048775135395</stp>
        <tr r="M794" s="2"/>
      </tp>
      <tp t="s">
        <v>#N/A Requesting Data...2760762205</v>
        <stp/>
        <stp>BDP|15269439974484208261</stp>
        <tr r="S284" s="2"/>
      </tp>
      <tp t="s">
        <v>#N/A Requesting Data...1267168849</v>
        <stp/>
        <stp>BDP|15053720963864030007</stp>
        <tr r="G2127" s="2"/>
      </tp>
      <tp t="s">
        <v>#N/A Requesting Data...2640470501</v>
        <stp/>
        <stp>BDP|16297380248599040831</stp>
        <tr r="K789" s="2"/>
      </tp>
      <tp t="s">
        <v>#N/A Requesting Data...1598398993</v>
        <stp/>
        <stp>BDP|18303397808229382204</stp>
        <tr r="H708" s="2"/>
      </tp>
      <tp t="s">
        <v>#N/A Requesting Data...3836840230</v>
        <stp/>
        <stp>BDP|12959067632754990555</stp>
        <tr r="M1664" s="2"/>
      </tp>
      <tp t="s">
        <v>#N/A Requesting Data...2257707725</v>
        <stp/>
        <stp>BDP|12815296232162287107</stp>
        <tr r="O259" s="2"/>
      </tp>
      <tp t="s">
        <v>#N/A Requesting Data...2966376801</v>
        <stp/>
        <stp>BDP|17299230831332924481</stp>
        <tr r="E184" s="2"/>
      </tp>
      <tp t="s">
        <v>#N/A Requesting Data...4019768051</v>
        <stp/>
        <stp>BDP|16792036883036508836</stp>
        <tr r="R117" s="2"/>
      </tp>
      <tp t="s">
        <v>#N/A Requesting Data...3351245681</v>
        <stp/>
        <stp>BDP|12371838110503203833</stp>
        <tr r="S698" s="2"/>
      </tp>
      <tp t="s">
        <v>#N/A Requesting Data...1942291991</v>
        <stp/>
        <stp>BDP|16798042782919583752</stp>
        <tr r="P1507" s="2"/>
      </tp>
      <tp t="s">
        <v>#N/A Requesting Data...3638132815</v>
        <stp/>
        <stp>BDP|14680274764450269066</stp>
        <tr r="F272" s="2"/>
      </tp>
      <tp t="s">
        <v>#N/A Requesting Data...932007097</v>
        <stp/>
        <stp>BDP|10995024672454855304</stp>
        <tr r="A961" s="2"/>
      </tp>
      <tp t="s">
        <v>#N/A Requesting Data...2784297113</v>
        <stp/>
        <stp>BDP|13360750128471784782</stp>
        <tr r="G1312" s="2"/>
      </tp>
      <tp t="b">
        <v>0</v>
        <stp/>
        <stp>BDS|16662425264493194731</stp>
        <tr r="I676" s="2"/>
      </tp>
      <tp t="s">
        <v>#N/A Requesting Data...4108454707</v>
        <stp/>
        <stp>BDP|14877260248720479238</stp>
        <tr r="C998" s="2"/>
      </tp>
      <tp t="s">
        <v>#N/A Requesting Data...1890350093</v>
        <stp/>
        <stp>BDP|10349016811992703354</stp>
        <tr r="Q2209" s="2"/>
      </tp>
      <tp t="s">
        <v>#N/A Requesting Data...2395704608</v>
        <stp/>
        <stp>BDP|15865600321817913610</stp>
        <tr r="A2069" s="2"/>
      </tp>
      <tp t="s">
        <v>#N/A Requesting Data...3821845240</v>
        <stp/>
        <stp>BDP|10640543264604595727</stp>
        <tr r="O470" s="2"/>
      </tp>
      <tp t="s">
        <v>#N/A Requesting Data...2826063167</v>
        <stp/>
        <stp>BDP|15580751341754269226</stp>
        <tr r="A463" s="2"/>
      </tp>
      <tp t="s">
        <v>#N/A Requesting Data...3861244327</v>
        <stp/>
        <stp>BDP|15268127315947324274</stp>
        <tr r="S116" s="2"/>
      </tp>
      <tp t="s">
        <v>#N/A Requesting Data...3881488424</v>
        <stp/>
        <stp>BDP|12038011456581501639</stp>
        <tr r="K521" s="2"/>
      </tp>
      <tp t="s">
        <v>#N/A Requesting Data...2641553099</v>
        <stp/>
        <stp>BDP|12992393377364632204</stp>
        <tr r="M226" s="2"/>
      </tp>
      <tp t="s">
        <v>#N/A Requesting Data...1112020454</v>
        <stp/>
        <stp>BDP|16112181499729785761</stp>
        <tr r="R1550" s="2"/>
      </tp>
      <tp t="s">
        <v>#N/A Requesting Data...2345524608</v>
        <stp/>
        <stp>BDP|18121859907329454960</stp>
        <tr r="N1134" s="2"/>
      </tp>
      <tp t="s">
        <v>#N/A Requesting Data...905142371</v>
        <stp/>
        <stp>BDP|14509583575545090392</stp>
        <tr r="E861" s="2"/>
      </tp>
      <tp t="s">
        <v>#N/A Requesting Data...1606177737</v>
        <stp/>
        <stp>BDP|17596425383598206374</stp>
        <tr r="A741" s="2"/>
      </tp>
      <tp t="s">
        <v>#N/A Requesting Data...4147776035</v>
        <stp/>
        <stp>BDP|11629647546405305662</stp>
        <tr r="G1244" s="2"/>
      </tp>
      <tp t="s">
        <v>#N/A Requesting Data...1400804034</v>
        <stp/>
        <stp>BDP|14801379659983044177</stp>
        <tr r="E1770" s="2"/>
      </tp>
      <tp t="s">
        <v>#N/A Requesting Data...3951750748</v>
        <stp/>
        <stp>BDP|13602740873893624069</stp>
        <tr r="K221" s="2"/>
      </tp>
      <tp t="s">
        <v>#N/A Requesting Data...2489839516</v>
        <stp/>
        <stp>BDP|15512170315176775314</stp>
        <tr r="C1123" s="2"/>
      </tp>
      <tp t="s">
        <v>#N/A Requesting Data...3942493836</v>
        <stp/>
        <stp>BDP|10061310052712129431</stp>
        <tr r="N1188" s="2"/>
      </tp>
      <tp t="s">
        <v>#N/A Requesting Data...2463050442</v>
        <stp/>
        <stp>BDP|16306636673570077726</stp>
        <tr r="J540" s="2"/>
      </tp>
      <tp t="s">
        <v>#N/A Requesting Data...4207304203</v>
        <stp/>
        <stp>BDP|13691547300911450770</stp>
        <tr r="N166" s="2"/>
      </tp>
      <tp t="s">
        <v>#N/A Requesting Data...3467560697</v>
        <stp/>
        <stp>BDP|15155114537131771615</stp>
        <tr r="H1863" s="2"/>
      </tp>
      <tp t="s">
        <v>#N/A Requesting Data...2896583401</v>
        <stp/>
        <stp>BDP|12860363958467242354</stp>
        <tr r="G374" s="2"/>
      </tp>
      <tp t="s">
        <v>#N/A Requesting Data...1489716239</v>
        <stp/>
        <stp>BDP|18090246032288194165</stp>
        <tr r="D1986" s="2"/>
      </tp>
      <tp t="s">
        <v>#N/A Requesting Data...3002799381</v>
        <stp/>
        <stp>BDP|17610312534871628648</stp>
        <tr r="K2418" s="2"/>
      </tp>
      <tp t="s">
        <v>#N/A Requesting Data...3204628461</v>
        <stp/>
        <stp>BDP|11110088004971572096</stp>
        <tr r="H96" s="2"/>
      </tp>
      <tp t="s">
        <v>#N/A Requesting Data...3337331001</v>
        <stp/>
        <stp>BDP|10544944580119494849</stp>
        <tr r="R1098" s="2"/>
      </tp>
      <tp t="s">
        <v>#N/A Requesting Data...3184736604</v>
        <stp/>
        <stp>BDP|17451481020436455794</stp>
        <tr r="E706" s="2"/>
      </tp>
      <tp t="s">
        <v>#N/A Requesting Data...2358510508</v>
        <stp/>
        <stp>BDP|12217357422616214560</stp>
        <tr r="F1287" s="2"/>
      </tp>
      <tp t="s">
        <v>#N/A Requesting Data...1233259692</v>
        <stp/>
        <stp>BDP|14666701616980979288</stp>
        <tr r="F1807" s="2"/>
      </tp>
      <tp t="s">
        <v>#N/A Requesting Data...2239087264</v>
        <stp/>
        <stp>BDP|10792753053137931599</stp>
        <tr r="E5" s="2"/>
      </tp>
      <tp t="s">
        <v>#N/A Requesting Data...3706185076</v>
        <stp/>
        <stp>BDP|11760401317195748163</stp>
        <tr r="T1917" s="2"/>
      </tp>
      <tp t="b">
        <v>0</v>
        <stp/>
        <stp>BDS|18015068862916200840</stp>
        <tr r="I728" s="2"/>
      </tp>
      <tp t="s">
        <v>#N/A Requesting Data...986298461</v>
        <stp/>
        <stp>BDP|13558058934971259171</stp>
        <tr r="A2441" s="2"/>
      </tp>
      <tp t="s">
        <v>#N/A Requesting Data...2351097963</v>
        <stp/>
        <stp>BDP|17332185144343968173</stp>
        <tr r="A167" s="2"/>
      </tp>
      <tp t="s">
        <v>#N/A Requesting Data...2464998190</v>
        <stp/>
        <stp>BDP|11576160474356429126</stp>
        <tr r="F2070" s="2"/>
      </tp>
      <tp t="s">
        <v>#N/A Requesting Data...2093026681</v>
        <stp/>
        <stp>BDP|10137838884593785306</stp>
        <tr r="H1203" s="2"/>
      </tp>
      <tp t="s">
        <v>#N/A Requesting Data...4140544648</v>
        <stp/>
        <stp>BDP|15788158156738009957</stp>
        <tr r="J851" s="2"/>
      </tp>
      <tp t="s">
        <v>#N/A Requesting Data...1264531913</v>
        <stp/>
        <stp>BDP|17329619533822733077</stp>
        <tr r="K910" s="2"/>
      </tp>
      <tp t="s">
        <v>#N/A Requesting Data...906317643</v>
        <stp/>
        <stp>BDP|17357390907004832041</stp>
        <tr r="F714" s="2"/>
      </tp>
      <tp t="s">
        <v>#N/A Requesting Data...2537731580</v>
        <stp/>
        <stp>BDP|13453045784432549907</stp>
        <tr r="O836" s="2"/>
      </tp>
      <tp t="s">
        <v>#N/A Requesting Data...4065037059</v>
        <stp/>
        <stp>BDP|14564167846576662725</stp>
        <tr r="F935" s="2"/>
      </tp>
      <tp t="s">
        <v>#N/A Requesting Data...1653356760</v>
        <stp/>
        <stp>BDP|15388296133557045388</stp>
        <tr r="E2421" s="2"/>
      </tp>
      <tp t="s">
        <v>#N/A Requesting Data...1475448224</v>
        <stp/>
        <stp>BDP|10709233861407700330</stp>
        <tr r="J2091" s="2"/>
      </tp>
      <tp t="s">
        <v>#N/A Requesting Data...2921134601</v>
        <stp/>
        <stp>BDP|17970129417844810350</stp>
        <tr r="F1333" s="2"/>
      </tp>
      <tp t="s">
        <v>#N/A Requesting Data...2757481830</v>
        <stp/>
        <stp>BDP|11140324174551477425</stp>
        <tr r="G1593" s="2"/>
      </tp>
      <tp t="s">
        <v>#N/A Requesting Data...2390420826</v>
        <stp/>
        <stp>BDP|15002514507049760905</stp>
        <tr r="D1564" s="2"/>
      </tp>
      <tp t="b">
        <v>0</v>
        <stp/>
        <stp>BDS|18364971914584139437</stp>
        <tr r="I176" s="2"/>
      </tp>
      <tp t="s">
        <v>#N/A Requesting Data...3026356214</v>
        <stp/>
        <stp>BDP|12498922224858114124</stp>
        <tr r="S458" s="2"/>
      </tp>
      <tp t="s">
        <v>#N/A Requesting Data...3070221072</v>
        <stp/>
        <stp>BDP|13424263017443015342</stp>
        <tr r="G1698" s="2"/>
      </tp>
      <tp t="s">
        <v>#N/A Requesting Data...2681676649</v>
        <stp/>
        <stp>BDP|17183459826676329703</stp>
        <tr r="S510" s="2"/>
      </tp>
      <tp t="s">
        <v>#N/A Requesting Data...934186096</v>
        <stp/>
        <stp>BDP|10492972174966731817</stp>
        <tr r="Q775" s="2"/>
      </tp>
      <tp t="s">
        <v>#N/A Requesting Data...1700166189</v>
        <stp/>
        <stp>BDP|15557303839192542785</stp>
        <tr r="C1635" s="2"/>
      </tp>
      <tp t="s">
        <v>#N/A Requesting Data...3888049853</v>
        <stp/>
        <stp>BDP|16556551032146351606</stp>
        <tr r="D2248" s="2"/>
      </tp>
      <tp t="s">
        <v>#N/A Requesting Data...2984162044</v>
        <stp/>
        <stp>BDP|12991669256660959116</stp>
        <tr r="Q2522" s="2"/>
      </tp>
      <tp t="s">
        <v>#N/A Requesting Data...3234403865</v>
        <stp/>
        <stp>BDP|12069472967935698571</stp>
        <tr r="M1587" s="2"/>
      </tp>
      <tp t="s">
        <v>#N/A Requesting Data...4046501228</v>
        <stp/>
        <stp>BDP|12572621746790849080</stp>
        <tr r="D2450" s="2"/>
      </tp>
      <tp t="s">
        <v>#N/A Requesting Data...2808052065</v>
        <stp/>
        <stp>BDP|11932606273459901924</stp>
        <tr r="D1087" s="2"/>
      </tp>
      <tp t="s">
        <v>#N/A Requesting Data...4022159116</v>
        <stp/>
        <stp>BDP|15476003841893703239</stp>
        <tr r="N1629" s="2"/>
      </tp>
      <tp t="s">
        <v>#N/A Requesting Data...3243727574</v>
        <stp/>
        <stp>BDP|12236160145083469440</stp>
        <tr r="S1654" s="2"/>
      </tp>
      <tp t="s">
        <v>#N/A Requesting Data...1978818904</v>
        <stp/>
        <stp>BDP|13489161776914665132</stp>
        <tr r="N1350" s="2"/>
      </tp>
      <tp t="s">
        <v>#N/A Requesting Data...3080766119</v>
        <stp/>
        <stp>BDP|13312434332350370405</stp>
        <tr r="K1964" s="2"/>
      </tp>
      <tp t="s">
        <v>#N/A Requesting Data...3700145405</v>
        <stp/>
        <stp>BDP|10620194231614844670</stp>
        <tr r="C1274" s="2"/>
      </tp>
      <tp t="s">
        <v>#N/A Requesting Data...1622666403</v>
        <stp/>
        <stp>BDP|10619179000182597354</stp>
        <tr r="T1337" s="2"/>
      </tp>
      <tp t="s">
        <v>#N/A Requesting Data...4055723024</v>
        <stp/>
        <stp>BDP|14875470518465330454</stp>
        <tr r="Q133" s="2"/>
      </tp>
      <tp t="s">
        <v>#N/A Requesting Data...1533424924</v>
        <stp/>
        <stp>BDP|17356815997085136357</stp>
        <tr r="E594" s="2"/>
      </tp>
      <tp t="s">
        <v>#N/A Requesting Data...3709855733</v>
        <stp/>
        <stp>BDP|12390517139857204382</stp>
        <tr r="P1351" s="2"/>
      </tp>
      <tp t="s">
        <v>#N/A Requesting Data...3713288346</v>
        <stp/>
        <stp>BDP|17476579202011096303</stp>
        <tr r="M486" s="2"/>
      </tp>
      <tp t="s">
        <v>#N/A Requesting Data...4206011176</v>
        <stp/>
        <stp>BDP|12019612247586551627</stp>
        <tr r="J86" s="2"/>
      </tp>
      <tp t="s">
        <v>#N/A Requesting Data...3897808168</v>
        <stp/>
        <stp>BDP|17393718769456353094</stp>
        <tr r="E2124" s="2"/>
      </tp>
      <tp t="s">
        <v>#N/A Requesting Data...3183178771</v>
        <stp/>
        <stp>BDP|17796120914393194417</stp>
        <tr r="H1836" s="2"/>
      </tp>
      <tp t="s">
        <v>#N/A Requesting Data...3861831327</v>
        <stp/>
        <stp>BDP|11150145511800138150</stp>
        <tr r="N88" s="2"/>
      </tp>
      <tp t="s">
        <v>#N/A Requesting Data...1992371543</v>
        <stp/>
        <stp>BDP|13990450873216834673</stp>
        <tr r="G478" s="2"/>
      </tp>
      <tp t="s">
        <v>#N/A Requesting Data...3511444750</v>
        <stp/>
        <stp>BDP|10629460423160215619</stp>
        <tr r="F1399" s="2"/>
      </tp>
      <tp t="s">
        <v>#N/A Requesting Data...1166482729</v>
        <stp/>
        <stp>BDP|15653558138297305484</stp>
        <tr r="R1739" s="2"/>
      </tp>
      <tp t="s">
        <v>#N/A Requesting Data...2156499987</v>
        <stp/>
        <stp>BDP|17336666688301598884</stp>
        <tr r="S1081" s="2"/>
      </tp>
      <tp t="s">
        <v>#N/A Requesting Data...2134836072</v>
        <stp/>
        <stp>BDP|14235908964009697209</stp>
        <tr r="D382" s="2"/>
      </tp>
      <tp t="s">
        <v>#N/A Requesting Data...2213654650</v>
        <stp/>
        <stp>BDP|15849384275329118849</stp>
        <tr r="K1070" s="2"/>
      </tp>
      <tp t="s">
        <v>#N/A Requesting Data...2622414027</v>
        <stp/>
        <stp>BDP|10023241204672799076</stp>
        <tr r="A224" s="2"/>
      </tp>
      <tp t="s">
        <v>#N/A Requesting Data...1032201499</v>
        <stp/>
        <stp>BDP|10025611471916438743</stp>
        <tr r="F1752" s="2"/>
      </tp>
      <tp t="b">
        <v>0</v>
        <stp/>
        <stp>BDS|14817645767225849108</stp>
        <tr r="I1311" s="2"/>
      </tp>
      <tp t="s">
        <v>#N/A Requesting Data...1336791495</v>
        <stp/>
        <stp>BDP|16679281313537983241</stp>
        <tr r="D1026" s="2"/>
      </tp>
      <tp t="s">
        <v>#N/A Requesting Data...2479288781</v>
        <stp/>
        <stp>BDP|13643926364585648969</stp>
        <tr r="A2357" s="2"/>
      </tp>
      <tp t="s">
        <v>#N/A Requesting Data...3044564563</v>
        <stp/>
        <stp>BDP|17569394068983582119</stp>
        <tr r="S1305" s="2"/>
      </tp>
      <tp t="s">
        <v>#N/A Requesting Data...3200071143</v>
        <stp/>
        <stp>BDP|14985514171193824516</stp>
        <tr r="E1308" s="2"/>
      </tp>
      <tp t="s">
        <v>#N/A Requesting Data...1793970618</v>
        <stp/>
        <stp>BDP|12756289363386877041</stp>
        <tr r="D257" s="2"/>
      </tp>
      <tp t="s">
        <v>#N/A Requesting Data...1275055193</v>
        <stp/>
        <stp>BDP|12391952761268765506</stp>
        <tr r="N1796" s="2"/>
      </tp>
      <tp t="s">
        <v>#N/A Requesting Data...1158763842</v>
        <stp/>
        <stp>BDP|12758357140532678749</stp>
        <tr r="P1043" s="2"/>
      </tp>
      <tp t="s">
        <v>#N/A Requesting Data...2072735624</v>
        <stp/>
        <stp>BDP|16633731901915069444</stp>
        <tr r="M1681" s="2"/>
      </tp>
      <tp t="s">
        <v>#N/A Requesting Data...2553660329</v>
        <stp/>
        <stp>BDP|12995611937406735187</stp>
        <tr r="S439" s="2"/>
      </tp>
      <tp t="s">
        <v>#N/A Requesting Data...1193983962</v>
        <stp/>
        <stp>BDP|14705387832742990641</stp>
        <tr r="R638" s="2"/>
      </tp>
      <tp t="s">
        <v>#N/A Requesting Data...3542261513</v>
        <stp/>
        <stp>BDP|15969623948681723649</stp>
        <tr r="S1396" s="2"/>
      </tp>
      <tp t="s">
        <v>#N/A Requesting Data...4094982954</v>
        <stp/>
        <stp>BDP|16901391773854092638</stp>
        <tr r="D1324" s="2"/>
      </tp>
      <tp t="s">
        <v>#N/A Requesting Data...1692038243</v>
        <stp/>
        <stp>BDP|10538288161981583592</stp>
        <tr r="D1183" s="2"/>
      </tp>
      <tp t="s">
        <v>#N/A Requesting Data...3618342802</v>
        <stp/>
        <stp>BDP|11763653300936751151</stp>
        <tr r="N2442" s="2"/>
      </tp>
      <tp t="s">
        <v>#N/A Requesting Data...2247351612</v>
        <stp/>
        <stp>BDP|17536597312145638689</stp>
        <tr r="J230" s="2"/>
      </tp>
      <tp t="s">
        <v>#N/A Requesting Data...1566076445</v>
        <stp/>
        <stp>BDP|18098802555142641731</stp>
        <tr r="D561" s="2"/>
      </tp>
      <tp t="s">
        <v>#N/A Requesting Data...2244428455</v>
        <stp/>
        <stp>BDP|13285946776509123416</stp>
        <tr r="A194" s="2"/>
      </tp>
      <tp t="s">
        <v>#N/A Requesting Data...4145007832</v>
        <stp/>
        <stp>BDP|12335643024034595266</stp>
        <tr r="K2421" s="2"/>
      </tp>
      <tp t="s">
        <v>#N/A Requesting Data...1719529001</v>
        <stp/>
        <stp>BDP|13462766056881732035</stp>
        <tr r="F671" s="2"/>
      </tp>
      <tp t="s">
        <v>#N/A Requesting Data...2986308205</v>
        <stp/>
        <stp>BDP|10849296780612494853</stp>
        <tr r="P1202" s="2"/>
      </tp>
      <tp t="s">
        <v>#N/A Requesting Data...1325980514</v>
        <stp/>
        <stp>BDP|12482806382117747515</stp>
        <tr r="G1973" s="2"/>
      </tp>
      <tp t="s">
        <v>#N/A Requesting Data...1198270743</v>
        <stp/>
        <stp>BDP|15307432773470110629</stp>
        <tr r="R2524" s="2"/>
      </tp>
      <tp t="s">
        <v>#N/A Requesting Data...2149393032</v>
        <stp/>
        <stp>BDP|10282829711028374128</stp>
        <tr r="E2006" s="2"/>
      </tp>
      <tp t="s">
        <v>#N/A Requesting Data...3533510415</v>
        <stp/>
        <stp>BDP|14301571003445287453</stp>
        <tr r="E541" s="2"/>
      </tp>
      <tp t="s">
        <v>#N/A Requesting Data...2514058421</v>
        <stp/>
        <stp>BDP|15321161939177581097</stp>
        <tr r="F1633" s="2"/>
      </tp>
      <tp t="s">
        <v>#N/A Requesting Data...2417435920</v>
        <stp/>
        <stp>BDP|13487870889402216180</stp>
        <tr r="N2406" s="2"/>
      </tp>
      <tp t="s">
        <v>#N/A Requesting Data...3440019950</v>
        <stp/>
        <stp>BDP|12448808724219676164</stp>
        <tr r="G2258" s="2"/>
      </tp>
      <tp t="s">
        <v>#N/A Requesting Data...3127367724</v>
        <stp/>
        <stp>BDP|13338063366977064232</stp>
        <tr r="R2226" s="2"/>
      </tp>
      <tp t="s">
        <v>#N/A Requesting Data...4210144680</v>
        <stp/>
        <stp>BDP|10218696938194392102</stp>
        <tr r="J2001" s="2"/>
      </tp>
      <tp t="s">
        <v>#N/A Requesting Data...3458381003</v>
        <stp/>
        <stp>BDP|10559779346352358177</stp>
        <tr r="Q2138" s="2"/>
      </tp>
      <tp t="s">
        <v>#N/A Requesting Data...3592856368</v>
        <stp/>
        <stp>BDP|13067176275836516374</stp>
        <tr r="H1672" s="2"/>
      </tp>
      <tp t="s">
        <v>#N/A Requesting Data...2396743342</v>
        <stp/>
        <stp>BDP|15683625475730679471</stp>
        <tr r="D1826" s="2"/>
      </tp>
      <tp t="s">
        <v>#N/A Requesting Data...4097338135</v>
        <stp/>
        <stp>BDP|11129335885108038279</stp>
        <tr r="N758" s="2"/>
      </tp>
      <tp t="b">
        <v>0</v>
        <stp/>
        <stp>BDS|14083015541655334504</stp>
        <tr r="I580" s="2"/>
      </tp>
      <tp t="s">
        <v>#N/A Requesting Data...1894082006</v>
        <stp/>
        <stp>BDP|15153120742325073512</stp>
        <tr r="N1226" s="2"/>
      </tp>
      <tp t="s">
        <v>#N/A Requesting Data...1169912648</v>
        <stp/>
        <stp>BDP|18351072784410073007</stp>
        <tr r="C290" s="2"/>
      </tp>
      <tp t="s">
        <v>#N/A Requesting Data...4291635793</v>
        <stp/>
        <stp>BDP|17040043327170763543</stp>
        <tr r="R1836" s="2"/>
      </tp>
      <tp t="s">
        <v>#N/A Requesting Data...4260768664</v>
        <stp/>
        <stp>BDP|12262963352106211846</stp>
        <tr r="M1754" s="2"/>
      </tp>
      <tp t="s">
        <v>#N/A Requesting Data...2887925808</v>
        <stp/>
        <stp>BDP|15499430451687687304</stp>
        <tr r="J398" s="2"/>
      </tp>
      <tp t="s">
        <v>#N/A Requesting Data...3685320433</v>
        <stp/>
        <stp>BDP|17151427806515542601</stp>
        <tr r="G1960" s="2"/>
      </tp>
      <tp t="s">
        <v>#N/A Requesting Data...3582335180</v>
        <stp/>
        <stp>BDP|10553656493066444975</stp>
        <tr r="H1929" s="2"/>
      </tp>
      <tp t="b">
        <v>0</v>
        <stp/>
        <stp>BDS|18351644140559411307</stp>
        <tr r="I1520" s="2"/>
      </tp>
      <tp t="s">
        <v>#N/A Requesting Data...1155677498</v>
        <stp/>
        <stp>BDP|10240352211266546432</stp>
        <tr r="H1790" s="2"/>
      </tp>
      <tp t="s">
        <v>#N/A Requesting Data...3358246262</v>
        <stp/>
        <stp>BDP|12581327165856349112</stp>
        <tr r="S1251" s="2"/>
      </tp>
      <tp t="s">
        <v>#N/A Requesting Data...3112154339</v>
        <stp/>
        <stp>BDP|12343806450328461776</stp>
        <tr r="C310" s="2"/>
      </tp>
      <tp t="s">
        <v>#N/A Requesting Data...3613590080</v>
        <stp/>
        <stp>BDP|17710553860682331616</stp>
        <tr r="E2483" s="2"/>
      </tp>
      <tp t="s">
        <v>#N/A Requesting Data...1375319760</v>
        <stp/>
        <stp>BDP|12449252524711061357</stp>
        <tr r="R475" s="2"/>
      </tp>
      <tp t="s">
        <v>#N/A Requesting Data...3619785570</v>
        <stp/>
        <stp>BDP|16445762122731438242</stp>
        <tr r="J1649" s="2"/>
      </tp>
      <tp t="s">
        <v>#N/A Requesting Data...3520241904</v>
        <stp/>
        <stp>BDP|12529642775120594318</stp>
        <tr r="C244" s="2"/>
      </tp>
      <tp t="s">
        <v>#N/A Requesting Data...3217866863</v>
        <stp/>
        <stp>BDP|16799480006734092697</stp>
        <tr r="G2443" s="2"/>
      </tp>
      <tp t="s">
        <v>#N/A Requesting Data...2859707493</v>
        <stp/>
        <stp>BDP|14477752820337539645</stp>
        <tr r="O2092" s="2"/>
      </tp>
      <tp t="s">
        <v>#N/A Requesting Data...1744719766</v>
        <stp/>
        <stp>BDP|12968096121698874891</stp>
        <tr r="O2058" s="2"/>
      </tp>
      <tp t="b">
        <v>0</v>
        <stp/>
        <stp>BDS|17723066866712447300</stp>
        <tr r="I2069" s="2"/>
      </tp>
      <tp t="s">
        <v>#N/A Requesting Data...4241650074</v>
        <stp/>
        <stp>BDP|14831391857626717412</stp>
        <tr r="R346" s="2"/>
      </tp>
      <tp t="s">
        <v>#N/A Requesting Data...3166728870</v>
        <stp/>
        <stp>BDP|12518366036165631732</stp>
        <tr r="K1960" s="2"/>
      </tp>
      <tp t="s">
        <v>#N/A Requesting Data...1596515950</v>
        <stp/>
        <stp>BDP|15200980599184364100</stp>
        <tr r="F2444" s="2"/>
      </tp>
      <tp t="s">
        <v>#N/A Requesting Data...1874265249</v>
        <stp/>
        <stp>BDP|11410054750551205537</stp>
        <tr r="P437" s="2"/>
      </tp>
      <tp t="s">
        <v>#N/A Requesting Data...3088818350</v>
        <stp/>
        <stp>BDP|13472620477264657677</stp>
        <tr r="F649" s="2"/>
      </tp>
      <tp t="s">
        <v>#N/A Requesting Data...1328698828</v>
        <stp/>
        <stp>BDP|10719562040831388024</stp>
        <tr r="T303" s="2"/>
      </tp>
      <tp t="s">
        <v>#N/A Requesting Data...2542369222</v>
        <stp/>
        <stp>BDP|11811105469490007616</stp>
        <tr r="P565" s="2"/>
      </tp>
      <tp t="s">
        <v>#N/A Requesting Data...2363267637</v>
        <stp/>
        <stp>BDP|17401701679550955747</stp>
        <tr r="A1399" s="2"/>
      </tp>
      <tp t="s">
        <v>#N/A Requesting Data...1490278149</v>
        <stp/>
        <stp>BDP|13368343731215468627</stp>
        <tr r="A2360" s="2"/>
      </tp>
      <tp t="s">
        <v>#N/A Requesting Data...2037322704</v>
        <stp/>
        <stp>BDP|13237551321642461624</stp>
        <tr r="J2107" s="2"/>
      </tp>
      <tp t="s">
        <v>#N/A Requesting Data...2189721156</v>
        <stp/>
        <stp>BDP|15008515842737522366</stp>
        <tr r="D502" s="2"/>
      </tp>
      <tp t="s">
        <v>#N/A Requesting Data...3161234151</v>
        <stp/>
        <stp>BDP|11424457313163772755</stp>
        <tr r="D2077" s="2"/>
      </tp>
      <tp t="s">
        <v>#N/A Requesting Data...1245811682</v>
        <stp/>
        <stp>BDP|14735576115075530500</stp>
        <tr r="C822" s="2"/>
      </tp>
      <tp t="b">
        <v>0</v>
        <stp/>
        <stp>BDS|16651166912477546146</stp>
        <tr r="I579" s="2"/>
      </tp>
      <tp t="s">
        <v>#N/A Requesting Data...1340774356</v>
        <stp/>
        <stp>BDP|11457139177155496241</stp>
        <tr r="J2140" s="2"/>
      </tp>
      <tp t="s">
        <v>#N/A Requesting Data...2042448046</v>
        <stp/>
        <stp>BDP|10925679238276044368</stp>
        <tr r="T1615" s="2"/>
      </tp>
      <tp t="s">
        <v>#N/A Requesting Data...4101098220</v>
        <stp/>
        <stp>BDP|13741860111528466242</stp>
        <tr r="R882" s="2"/>
      </tp>
      <tp t="s">
        <v>#N/A Requesting Data...1334340114</v>
        <stp/>
        <stp>BDP|17433531736188968980</stp>
        <tr r="H2391" s="2"/>
      </tp>
      <tp t="s">
        <v>#N/A Requesting Data...2593403797</v>
        <stp/>
        <stp>BDP|15660900396757231227</stp>
        <tr r="S1403" s="2"/>
      </tp>
      <tp t="s">
        <v>#N/A Requesting Data...3908296574</v>
        <stp/>
        <stp>BDP|12959454071764429591</stp>
        <tr r="J1494" s="2"/>
      </tp>
      <tp t="s">
        <v>#N/A Requesting Data...1301681835</v>
        <stp/>
        <stp>BDP|15957795145147644130</stp>
        <tr r="O1586" s="2"/>
      </tp>
      <tp t="s">
        <v>#N/A Requesting Data...1673883195</v>
        <stp/>
        <stp>BDP|15151244964138048911</stp>
        <tr r="O1676" s="2"/>
      </tp>
      <tp t="s">
        <v>#N/A Requesting Data...3306817240</v>
        <stp/>
        <stp>BDP|14652130926902512569</stp>
        <tr r="S1292" s="2"/>
      </tp>
      <tp t="s">
        <v>#N/A Requesting Data...3008264028</v>
        <stp/>
        <stp>BDP|17500528976924711164</stp>
        <tr r="M396" s="2"/>
      </tp>
      <tp t="b">
        <v>0</v>
        <stp/>
        <stp>BDS|13153356536455269635</stp>
        <tr r="I385" s="2"/>
      </tp>
      <tp t="s">
        <v>#N/A Requesting Data...2788963181</v>
        <stp/>
        <stp>BDP|15767742446400155641</stp>
        <tr r="T2145" s="2"/>
      </tp>
      <tp t="s">
        <v>#N/A Requesting Data...3337960335</v>
        <stp/>
        <stp>BDP|11314030082498691177</stp>
        <tr r="N1088" s="2"/>
      </tp>
      <tp t="s">
        <v>#N/A Requesting Data...4265307317</v>
        <stp/>
        <stp>BDP|17698350141040041016</stp>
        <tr r="T108" s="2"/>
      </tp>
      <tp t="s">
        <v>#N/A Requesting Data...2207811457</v>
        <stp/>
        <stp>BDP|14370843783297690314</stp>
        <tr r="P1417" s="2"/>
      </tp>
      <tp t="s">
        <v>#N/A Requesting Data...3253868297</v>
        <stp/>
        <stp>BDP|16097433181749179301</stp>
        <tr r="R2366" s="2"/>
      </tp>
      <tp t="s">
        <v>#N/A Requesting Data...1687637805</v>
        <stp/>
        <stp>BDP|11631571928983355595</stp>
        <tr r="Q1371" s="2"/>
      </tp>
      <tp t="s">
        <v>#N/A Requesting Data...3658720065</v>
        <stp/>
        <stp>BDP|17376149739143526686</stp>
        <tr r="P1785" s="2"/>
      </tp>
      <tp t="s">
        <v>#N/A Requesting Data...3091903637</v>
        <stp/>
        <stp>BDP|15410049359560807026</stp>
        <tr r="F375" s="2"/>
      </tp>
      <tp t="s">
        <v>#N/A Requesting Data...2589424211</v>
        <stp/>
        <stp>BDP|12257701818872001696</stp>
        <tr r="O914" s="2"/>
      </tp>
      <tp t="s">
        <v>#N/A Requesting Data...2379054794</v>
        <stp/>
        <stp>BDP|15936948395552339787</stp>
        <tr r="K639" s="2"/>
      </tp>
      <tp t="s">
        <v>#N/A Requesting Data...3334288677</v>
        <stp/>
        <stp>BDP|11492245976217131347</stp>
        <tr r="E983" s="2"/>
      </tp>
      <tp t="s">
        <v>#N/A Requesting Data...2166025936</v>
        <stp/>
        <stp>BDP|10010604616883464411</stp>
        <tr r="O693" s="2"/>
      </tp>
      <tp t="s">
        <v>#N/A Requesting Data...2383131557</v>
        <stp/>
        <stp>BDP|14919709688539646243</stp>
        <tr r="R822" s="2"/>
      </tp>
      <tp t="s">
        <v>#N/A Requesting Data...3378184518</v>
        <stp/>
        <stp>BDP|14771527056224005008</stp>
        <tr r="R1569" s="2"/>
      </tp>
      <tp t="s">
        <v>#N/A Requesting Data...2832766501</v>
        <stp/>
        <stp>BDP|10751729937672443657</stp>
        <tr r="O2146" s="2"/>
      </tp>
      <tp t="s">
        <v>#N/A Requesting Data...2921342518</v>
        <stp/>
        <stp>BDP|12993177264940989506</stp>
        <tr r="G317" s="2"/>
      </tp>
      <tp t="s">
        <v>#N/A Requesting Data...2611773111</v>
        <stp/>
        <stp>BDP|13049211847492697731</stp>
        <tr r="H882" s="2"/>
      </tp>
      <tp t="s">
        <v>#N/A Requesting Data...4149523497</v>
        <stp/>
        <stp>BDP|13340265005302684353</stp>
        <tr r="R1874" s="2"/>
      </tp>
      <tp t="s">
        <v>#N/A Requesting Data...2144228328</v>
        <stp/>
        <stp>BDP|12024469047877284502</stp>
        <tr r="O1656" s="2"/>
      </tp>
      <tp t="s">
        <v>#N/A Requesting Data...2256597250</v>
        <stp/>
        <stp>BDP|13512811187756270529</stp>
        <tr r="K208" s="2"/>
      </tp>
      <tp t="s">
        <v>#N/A Requesting Data...3173626524</v>
        <stp/>
        <stp>BDP|14764575873916153017</stp>
        <tr r="N2236" s="2"/>
      </tp>
      <tp t="s">
        <v>#N/A Requesting Data...1541916796</v>
        <stp/>
        <stp>BDP|12351133567716010348</stp>
        <tr r="M998" s="2"/>
      </tp>
      <tp t="b">
        <v>0</v>
        <stp/>
        <stp>BDS|16131403443524694244</stp>
        <tr r="I855" s="2"/>
      </tp>
      <tp t="s">
        <v>#N/A Requesting Data...1624789156</v>
        <stp/>
        <stp>BDP|12468560283469451668</stp>
        <tr r="T1527" s="2"/>
      </tp>
      <tp t="s">
        <v>#N/A Requesting Data...2344602637</v>
        <stp/>
        <stp>BDP|13179073721939561814</stp>
        <tr r="F1642" s="2"/>
      </tp>
      <tp t="s">
        <v>#N/A Requesting Data...3738226390</v>
        <stp/>
        <stp>BDP|17987043714731328791</stp>
        <tr r="R1443" s="2"/>
      </tp>
      <tp t="s">
        <v>#N/A Requesting Data...4157748241</v>
        <stp/>
        <stp>BDP|11240726056944210775</stp>
        <tr r="K441" s="2"/>
      </tp>
      <tp t="s">
        <v>#N/A Requesting Data...2872642281</v>
        <stp/>
        <stp>BDP|13377153047110392613</stp>
        <tr r="A771" s="2"/>
      </tp>
      <tp t="s">
        <v>#N/A Requesting Data...3001914731</v>
        <stp/>
        <stp>BDP|12497877440826196810</stp>
        <tr r="S2123" s="2"/>
      </tp>
      <tp t="s">
        <v>#N/A Requesting Data...1848913364</v>
        <stp/>
        <stp>BDP|14175163736974244206</stp>
        <tr r="F1769" s="2"/>
      </tp>
      <tp t="s">
        <v>#N/A Requesting Data...1419668829</v>
        <stp/>
        <stp>BDP|15357750229926914652</stp>
        <tr r="O1952" s="2"/>
      </tp>
      <tp t="s">
        <v>#N/A Requesting Data...1381526530</v>
        <stp/>
        <stp>BDP|18340537721957161833</stp>
        <tr r="A1202" s="2"/>
      </tp>
      <tp t="s">
        <v>#N/A Requesting Data...2905559561</v>
        <stp/>
        <stp>BDP|17672678714252407223</stp>
        <tr r="F171" s="2"/>
      </tp>
      <tp t="s">
        <v>#N/A Requesting Data...2621662857</v>
        <stp/>
        <stp>BDP|14671178446807693620</stp>
        <tr r="S809" s="2"/>
      </tp>
      <tp t="s">
        <v>#N/A Requesting Data...1370712014</v>
        <stp/>
        <stp>BDP|10528295427285994512</stp>
        <tr r="Q711" s="2"/>
      </tp>
      <tp t="b">
        <v>0</v>
        <stp/>
        <stp>BDS|17141519039393916202</stp>
        <tr r="I2399" s="2"/>
      </tp>
      <tp t="s">
        <v>#N/A Requesting Data...2102606193</v>
        <stp/>
        <stp>BDP|16140323762875669644</stp>
        <tr r="C943" s="2"/>
      </tp>
      <tp t="s">
        <v>#N/A Requesting Data...1702442295</v>
        <stp/>
        <stp>BDP|11553793519441578638</stp>
        <tr r="T1270" s="2"/>
      </tp>
      <tp t="s">
        <v>#N/A Requesting Data...2289916646</v>
        <stp/>
        <stp>BDP|10080435658924014588</stp>
        <tr r="T1120" s="2"/>
      </tp>
      <tp t="s">
        <v>#N/A Requesting Data...2680549269</v>
        <stp/>
        <stp>BDP|14627578651511150527</stp>
        <tr r="F1442" s="2"/>
      </tp>
      <tp t="s">
        <v>#N/A Requesting Data...2876178537</v>
        <stp/>
        <stp>BDP|17461821664440283936</stp>
        <tr r="K354" s="2"/>
      </tp>
      <tp t="s">
        <v>#N/A Requesting Data...4094765332</v>
        <stp/>
        <stp>BDP|11255086802704298591</stp>
        <tr r="T1139" s="2"/>
      </tp>
      <tp t="s">
        <v>#N/A Requesting Data...3370316885</v>
        <stp/>
        <stp>BDP|13660497977257299796</stp>
        <tr r="A1777" s="2"/>
      </tp>
      <tp t="s">
        <v>#N/A Requesting Data...1974065561</v>
        <stp/>
        <stp>BDP|15060671739934812453</stp>
        <tr r="P1347" s="2"/>
      </tp>
      <tp t="s">
        <v>#N/A Requesting Data...2423605050</v>
        <stp/>
        <stp>BDP|13439740956546527708</stp>
        <tr r="J509" s="2"/>
      </tp>
      <tp t="s">
        <v>#N/A Requesting Data...2567035740</v>
        <stp/>
        <stp>BDP|14526849216975371879</stp>
        <tr r="D1267" s="2"/>
      </tp>
      <tp t="s">
        <v>#N/A Requesting Data...2736201749</v>
        <stp/>
        <stp>BDP|15135765881062029858</stp>
        <tr r="G2432" s="2"/>
      </tp>
      <tp t="s">
        <v>#N/A Requesting Data...4173792711</v>
        <stp/>
        <stp>BDP|14000565603614049564</stp>
        <tr r="P212" s="2"/>
      </tp>
      <tp t="s">
        <v>#N/A Requesting Data...3160126468</v>
        <stp/>
        <stp>BDP|14678047629443023585</stp>
        <tr r="F389" s="2"/>
      </tp>
      <tp t="s">
        <v>#N/A Requesting Data...2990098717</v>
        <stp/>
        <stp>BDP|14071707702554769760</stp>
        <tr r="M312" s="2"/>
      </tp>
      <tp t="s">
        <v>#N/A Requesting Data...1878938522</v>
        <stp/>
        <stp>BDP|10365733702176929184</stp>
        <tr r="G1261" s="2"/>
      </tp>
      <tp t="s">
        <v>#N/A Requesting Data...4170401981</v>
        <stp/>
        <stp>BDP|15589535991811559812</stp>
        <tr r="K2430" s="2"/>
      </tp>
      <tp t="s">
        <v>#N/A Requesting Data...1512965261</v>
        <stp/>
        <stp>BDP|16172739934877244570</stp>
        <tr r="R1765" s="2"/>
      </tp>
      <tp t="s">
        <v>#N/A Requesting Data...3929717835</v>
        <stp/>
        <stp>BDP|11850630538161628564</stp>
        <tr r="G1906" s="2"/>
      </tp>
      <tp t="s">
        <v>#N/A Requesting Data...1891246047</v>
        <stp/>
        <stp>BDP|17048140037301673462</stp>
        <tr r="J1327" s="2"/>
      </tp>
      <tp t="s">
        <v>#N/A Requesting Data...2779324683</v>
        <stp/>
        <stp>BDP|16444700696641716961</stp>
        <tr r="K294" s="2"/>
      </tp>
      <tp t="s">
        <v>#N/A Requesting Data...1830469528</v>
        <stp/>
        <stp>BDP|11201333983929422359</stp>
        <tr r="F1079" s="2"/>
      </tp>
      <tp t="s">
        <v>#N/A Requesting Data...3807625822</v>
        <stp/>
        <stp>BDP|16412603983018170054</stp>
        <tr r="K72" s="2"/>
      </tp>
      <tp t="s">
        <v>#N/A Requesting Data...4052417729</v>
        <stp/>
        <stp>BDP|14448410986061672962</stp>
        <tr r="G1369" s="2"/>
      </tp>
      <tp t="s">
        <v>#N/A Requesting Data...1463866098</v>
        <stp/>
        <stp>BDP|10329833403040488848</stp>
        <tr r="A871" s="2"/>
      </tp>
      <tp t="s">
        <v>#N/A Requesting Data...1875686725</v>
        <stp/>
        <stp>BDP|12391668737541322627</stp>
        <tr r="T341" s="2"/>
      </tp>
      <tp t="s">
        <v>#N/A Requesting Data...2739407107</v>
        <stp/>
        <stp>BDP|10560274819407147492</stp>
        <tr r="H2057" s="2"/>
      </tp>
      <tp t="s">
        <v>#N/A Requesting Data...1596996072</v>
        <stp/>
        <stp>BDP|11314302959724006394</stp>
        <tr r="D2520" s="2"/>
      </tp>
      <tp t="s">
        <v>#N/A Requesting Data...3683008134</v>
        <stp/>
        <stp>BDP|12604143486992792903</stp>
        <tr r="M1316" s="2"/>
      </tp>
      <tp t="s">
        <v>#N/A Requesting Data...4285215511</v>
        <stp/>
        <stp>BDP|16480304285035284804</stp>
        <tr r="R1748" s="2"/>
      </tp>
      <tp t="s">
        <v>#N/A Requesting Data...1834932034</v>
        <stp/>
        <stp>BDP|18024635486824774218</stp>
        <tr r="G1337" s="2"/>
      </tp>
      <tp t="s">
        <v>#N/A Requesting Data...2441641586</v>
        <stp/>
        <stp>BDP|10354097249312146615</stp>
        <tr r="P1147" s="2"/>
      </tp>
      <tp t="s">
        <v>#N/A Requesting Data...1499685362</v>
        <stp/>
        <stp>BDP|12173334563102626540</stp>
        <tr r="H1440" s="2"/>
      </tp>
      <tp t="s">
        <v>#N/A Requesting Data...1761910000</v>
        <stp/>
        <stp>BDP|14476624116042563165</stp>
        <tr r="P1824" s="2"/>
      </tp>
      <tp t="s">
        <v>#N/A Requesting Data...2295935505</v>
        <stp/>
        <stp>BDP|15235788200005894712</stp>
        <tr r="F134" s="2"/>
      </tp>
      <tp t="s">
        <v>#N/A Requesting Data...1579091036</v>
        <stp/>
        <stp>BDP|16428901390303419531</stp>
        <tr r="N1492" s="2"/>
      </tp>
      <tp t="s">
        <v>#N/A Requesting Data...2233089670</v>
        <stp/>
        <stp>BDP|13463083913757800545</stp>
        <tr r="Q629" s="2"/>
      </tp>
      <tp t="s">
        <v>#N/A Requesting Data...2086081440</v>
        <stp/>
        <stp>BDP|16919315109851384413</stp>
        <tr r="J1069" s="2"/>
      </tp>
      <tp t="s">
        <v>#N/A Requesting Data...1658021016</v>
        <stp/>
        <stp>BDP|14534644552924408349</stp>
        <tr r="J2415" s="2"/>
      </tp>
      <tp t="s">
        <v>#N/A Requesting Data...3470798987</v>
        <stp/>
        <stp>BDP|12020282668923683556</stp>
        <tr r="S2361" s="2"/>
      </tp>
      <tp t="s">
        <v>#N/A Requesting Data...4020946892</v>
        <stp/>
        <stp>BDP|16946896836689207473</stp>
        <tr r="F91" s="2"/>
      </tp>
      <tp t="b">
        <v>0</v>
        <stp/>
        <stp>BDS|10100770103885188247</stp>
        <tr r="I200" s="2"/>
      </tp>
      <tp t="s">
        <v>#N/A Requesting Data...2481598680</v>
        <stp/>
        <stp>BDP|15826797987528624234</stp>
        <tr r="C991" s="2"/>
      </tp>
      <tp t="s">
        <v>#N/A Requesting Data...4050687669</v>
        <stp/>
        <stp>BDP|17726417444726579143</stp>
        <tr r="S561" s="2"/>
      </tp>
      <tp t="s">
        <v>#N/A Requesting Data...2550253985</v>
        <stp/>
        <stp>BDP|11481826377886762856</stp>
        <tr r="G103" s="2"/>
      </tp>
      <tp t="s">
        <v>#N/A Requesting Data...1890135733</v>
        <stp/>
        <stp>BDP|11639500742666600613</stp>
        <tr r="C1135" s="2"/>
      </tp>
      <tp t="s">
        <v>#N/A Requesting Data...3771032042</v>
        <stp/>
        <stp>BDP|15416579625793691130</stp>
        <tr r="Q2460" s="2"/>
      </tp>
      <tp t="s">
        <v>#N/A Requesting Data...1525046885</v>
        <stp/>
        <stp>BDP|13486998070689864466</stp>
        <tr r="K1234" s="2"/>
      </tp>
      <tp t="s">
        <v>#N/A Requesting Data...1508001994</v>
        <stp/>
        <stp>BDP|16597107340563148079</stp>
        <tr r="J2178" s="2"/>
      </tp>
      <tp t="s">
        <v>#N/A Requesting Data...2406452196</v>
        <stp/>
        <stp>BDP|12401298182658413089</stp>
        <tr r="D2461" s="2"/>
      </tp>
      <tp t="s">
        <v>#N/A Requesting Data...2748081667</v>
        <stp/>
        <stp>BDP|15807328220342840619</stp>
        <tr r="K2414" s="2"/>
      </tp>
      <tp t="s">
        <v>#N/A Requesting Data...3486372884</v>
        <stp/>
        <stp>BDP|12415741576661028351</stp>
        <tr r="K245" s="2"/>
      </tp>
      <tp t="s">
        <v>#N/A Requesting Data...2087731825</v>
        <stp/>
        <stp>BDP|15410062307452373755</stp>
        <tr r="M967" s="2"/>
      </tp>
      <tp t="b">
        <v>0</v>
        <stp/>
        <stp>BDS|14386211352034043708</stp>
        <tr r="I513" s="2"/>
      </tp>
      <tp t="s">
        <v>#N/A Requesting Data...2599264679</v>
        <stp/>
        <stp>BDP|11746459134156006059</stp>
        <tr r="E125" s="2"/>
      </tp>
      <tp t="s">
        <v>#N/A Requesting Data...2500232178</v>
        <stp/>
        <stp>BDP|16600305831185334372</stp>
        <tr r="P1580" s="2"/>
      </tp>
      <tp t="s">
        <v>#N/A Requesting Data...1619136451</v>
        <stp/>
        <stp>BDP|17335887589372733561</stp>
        <tr r="T2086" s="2"/>
      </tp>
      <tp t="s">
        <v>#N/A Requesting Data...2689381845</v>
        <stp/>
        <stp>BDP|10342113876394704201</stp>
        <tr r="T634" s="2"/>
      </tp>
      <tp t="s">
        <v>#N/A Requesting Data...2842507363</v>
        <stp/>
        <stp>BDP|13918502270051859023</stp>
        <tr r="D1009" s="2"/>
      </tp>
      <tp t="s">
        <v>#N/A Requesting Data...1772860482</v>
        <stp/>
        <stp>BDP|14188224846154185670</stp>
        <tr r="A1090" s="2"/>
      </tp>
      <tp t="b">
        <v>0</v>
        <stp/>
        <stp>BDS|10589708350917257578</stp>
        <tr r="I2317" s="2"/>
      </tp>
      <tp t="s">
        <v>#N/A Requesting Data...1801603135</v>
        <stp/>
        <stp>BDP|14313615194042128942</stp>
        <tr r="O1554" s="2"/>
      </tp>
      <tp t="s">
        <v>#N/A Requesting Data...3434231354</v>
        <stp/>
        <stp>BDP|16138110560652393308</stp>
        <tr r="H971" s="2"/>
      </tp>
      <tp t="s">
        <v>#N/A Requesting Data...2750590937</v>
        <stp/>
        <stp>BDP|17245346786514158826</stp>
        <tr r="D2269" s="2"/>
      </tp>
      <tp t="s">
        <v>#N/A Requesting Data...3725267880</v>
        <stp/>
        <stp>BDP|17924735559695242021</stp>
        <tr r="O11" s="2"/>
      </tp>
      <tp t="s">
        <v>#N/A Requesting Data...3047059666</v>
        <stp/>
        <stp>BDP|15620535124574243602</stp>
        <tr r="F1493" s="2"/>
      </tp>
      <tp t="b">
        <v>0</v>
        <stp/>
        <stp>BDS|11899435802305020099</stp>
        <tr r="I2489" s="2"/>
      </tp>
      <tp t="s">
        <v>#N/A Requesting Data...2595541752</v>
        <stp/>
        <stp>BDP|12526118082262493915</stp>
        <tr r="D69" s="2"/>
      </tp>
      <tp t="s">
        <v>#N/A Requesting Data...2226828688</v>
        <stp/>
        <stp>BDP|15719620331611628111</stp>
        <tr r="G688" s="2"/>
      </tp>
      <tp t="s">
        <v>#N/A Requesting Data...2267252459</v>
        <stp/>
        <stp>BDP|18053775250868478214</stp>
        <tr r="K692" s="2"/>
      </tp>
      <tp t="s">
        <v>#N/A Requesting Data...2525373896</v>
        <stp/>
        <stp>BDP|15992281804466105167</stp>
        <tr r="E664" s="2"/>
      </tp>
      <tp t="s">
        <v>#N/A Requesting Data...2579539916</v>
        <stp/>
        <stp>BDP|10526973608849965014</stp>
        <tr r="H910" s="2"/>
      </tp>
      <tp t="s">
        <v>#N/A Requesting Data...2233133996</v>
        <stp/>
        <stp>BDP|16738930277109316129</stp>
        <tr r="G574" s="2"/>
      </tp>
      <tp t="s">
        <v>#N/A Requesting Data...1979544264</v>
        <stp/>
        <stp>BDP|14183024158748937902</stp>
        <tr r="K394" s="2"/>
      </tp>
      <tp t="s">
        <v>#N/A Requesting Data...4061765202</v>
        <stp/>
        <stp>BDP|17228556757270249708</stp>
        <tr r="C1641" s="2"/>
      </tp>
      <tp t="s">
        <v>#N/A Requesting Data...3041035586</v>
        <stp/>
        <stp>BDP|16103526440612424558</stp>
        <tr r="M95" s="2"/>
      </tp>
      <tp t="s">
        <v>#N/A Requesting Data...2326246347</v>
        <stp/>
        <stp>BDP|18204953781651498805</stp>
        <tr r="G1160" s="2"/>
      </tp>
      <tp t="s">
        <v>#N/A Requesting Data...2382652712</v>
        <stp/>
        <stp>BDP|11898877285871164099</stp>
        <tr r="F879" s="2"/>
      </tp>
      <tp t="s">
        <v>#N/A Requesting Data...4077608699</v>
        <stp/>
        <stp>BDP|16571643631066799554</stp>
        <tr r="R1363" s="2"/>
      </tp>
      <tp t="s">
        <v>#N/A Requesting Data...2710861776</v>
        <stp/>
        <stp>BDP|17203889291381001793</stp>
        <tr r="H352" s="2"/>
      </tp>
      <tp t="b">
        <v>0</v>
        <stp/>
        <stp>BDS|15248972426309786754</stp>
        <tr r="I2416" s="2"/>
      </tp>
      <tp t="s">
        <v>#N/A Requesting Data...2387058468</v>
        <stp/>
        <stp>BDP|14564942427679086643</stp>
        <tr r="S245" s="2"/>
      </tp>
      <tp t="s">
        <v>#N/A Requesting Data...2676131331</v>
        <stp/>
        <stp>BDP|18090721363570365902</stp>
        <tr r="S291" s="2"/>
      </tp>
      <tp t="s">
        <v>#N/A Requesting Data...2043032019</v>
        <stp/>
        <stp>BDP|11482864407159003074</stp>
        <tr r="D199" s="2"/>
      </tp>
      <tp t="s">
        <v>#N/A Requesting Data...1942210421</v>
        <stp/>
        <stp>BDP|10825794948820832335</stp>
        <tr r="R730" s="2"/>
      </tp>
      <tp t="s">
        <v>#N/A Requesting Data...4040654233</v>
        <stp/>
        <stp>BDP|16555622849004491086</stp>
        <tr r="K110" s="2"/>
      </tp>
      <tp t="s">
        <v>#N/A Requesting Data...3240162603</v>
        <stp/>
        <stp>BDP|11461712154357571468</stp>
        <tr r="H366" s="2"/>
      </tp>
      <tp t="s">
        <v>#N/A Requesting Data...3856687040</v>
        <stp/>
        <stp>BDP|16703797295138185086</stp>
        <tr r="D245" s="2"/>
      </tp>
      <tp t="s">
        <v>#N/A Requesting Data...2981508942</v>
        <stp/>
        <stp>BDP|10684523065235371606</stp>
        <tr r="O1781" s="2"/>
      </tp>
      <tp t="s">
        <v>#N/A Requesting Data...2215367532</v>
        <stp/>
        <stp>BDP|11496531339044937353</stp>
        <tr r="H1091" s="2"/>
      </tp>
      <tp t="s">
        <v>#N/A Requesting Data...1645063046</v>
        <stp/>
        <stp>BDP|13490289220173983071</stp>
        <tr r="R503" s="2"/>
      </tp>
      <tp t="s">
        <v>#N/A Requesting Data...2371140297</v>
        <stp/>
        <stp>BDP|14320976500935434826</stp>
        <tr r="H2121" s="2"/>
      </tp>
      <tp t="s">
        <v>#N/A Requesting Data...3949484655</v>
        <stp/>
        <stp>BDP|16989680433660323333</stp>
        <tr r="M400" s="2"/>
      </tp>
      <tp t="s">
        <v>#N/A Requesting Data...4221822619</v>
        <stp/>
        <stp>BDP|17603761240902167631</stp>
        <tr r="E1767" s="2"/>
      </tp>
      <tp t="s">
        <v>#N/A Requesting Data...4011990986</v>
        <stp/>
        <stp>BDP|14204172788315971869</stp>
        <tr r="G1507" s="2"/>
      </tp>
      <tp t="s">
        <v>#N/A Requesting Data...2627138707</v>
        <stp/>
        <stp>BDP|11659446575622223079</stp>
        <tr r="S2175" s="2"/>
      </tp>
      <tp t="s">
        <v>#N/A Requesting Data...2717312877</v>
        <stp/>
        <stp>BDP|14298114531760164612</stp>
        <tr r="F184" s="2"/>
      </tp>
      <tp t="s">
        <v>#N/A Requesting Data...4225293286</v>
        <stp/>
        <stp>BDP|15842674533567726799</stp>
        <tr r="J1638" s="2"/>
      </tp>
      <tp t="s">
        <v>#N/A Requesting Data...3424782343</v>
        <stp/>
        <stp>BDP|12149766907524203109</stp>
        <tr r="K835" s="2"/>
      </tp>
      <tp t="s">
        <v>#N/A Requesting Data...2374731838</v>
        <stp/>
        <stp>BDP|16823973540873943843</stp>
        <tr r="H1178" s="2"/>
      </tp>
      <tp t="s">
        <v>#N/A Requesting Data...1691592027</v>
        <stp/>
        <stp>BDP|14432392098398376648</stp>
        <tr r="S362" s="2"/>
      </tp>
      <tp t="s">
        <v>#N/A Requesting Data...4128471390</v>
        <stp/>
        <stp>BDP|14320831877919326265</stp>
        <tr r="T1222" s="2"/>
      </tp>
      <tp t="s">
        <v>#N/A Requesting Data...3558545590</v>
        <stp/>
        <stp>BDP|11260277283683393873</stp>
        <tr r="H227" s="2"/>
      </tp>
      <tp t="s">
        <v>#N/A Requesting Data...3140902372</v>
        <stp/>
        <stp>BDP|10794762543764742775</stp>
        <tr r="H2256" s="2"/>
      </tp>
      <tp t="s">
        <v>#N/A Requesting Data...2602715688</v>
        <stp/>
        <stp>BDP|13983730715371966440</stp>
        <tr r="R74" s="2"/>
      </tp>
      <tp t="s">
        <v>#N/A Requesting Data...2432277117</v>
        <stp/>
        <stp>BDP|12959329461025938212</stp>
        <tr r="S844" s="2"/>
      </tp>
      <tp t="s">
        <v>#N/A Requesting Data...1662934218</v>
        <stp/>
        <stp>BDP|10495339568052446799</stp>
        <tr r="N645" s="2"/>
      </tp>
      <tp t="s">
        <v>#N/A Requesting Data...3147431360</v>
        <stp/>
        <stp>BDP|10526147500969797848</stp>
        <tr r="F639" s="2"/>
      </tp>
      <tp t="s">
        <v>#N/A Requesting Data...3004826616</v>
        <stp/>
        <stp>BDP|15357672090232106878</stp>
        <tr r="A531" s="2"/>
      </tp>
      <tp t="s">
        <v>#N/A Requesting Data...2705155442</v>
        <stp/>
        <stp>BDP|10006638614247419017</stp>
        <tr r="M1096" s="2"/>
      </tp>
      <tp t="s">
        <v>#N/A Requesting Data...3861944811</v>
        <stp/>
        <stp>BDP|14504323861448734938</stp>
        <tr r="R1150" s="2"/>
      </tp>
      <tp t="s">
        <v>#N/A Requesting Data...4001899457</v>
        <stp/>
        <stp>BDP|13319459535322027615</stp>
        <tr r="G863" s="2"/>
      </tp>
      <tp t="s">
        <v>#N/A Requesting Data...2149495272</v>
        <stp/>
        <stp>BDP|11367342614984791768</stp>
        <tr r="H754" s="2"/>
      </tp>
      <tp t="s">
        <v>#N/A Requesting Data...1780459677</v>
        <stp/>
        <stp>BDP|12568262230447554449</stp>
        <tr r="D2396" s="2"/>
      </tp>
      <tp t="s">
        <v>#N/A Requesting Data...2599637506</v>
        <stp/>
        <stp>BDP|15323762442762095452</stp>
        <tr r="Q189" s="2"/>
      </tp>
      <tp t="s">
        <v>#N/A Requesting Data...2536846247</v>
        <stp/>
        <stp>BDP|10944248621459836967</stp>
        <tr r="F1391" s="2"/>
      </tp>
      <tp t="s">
        <v>#N/A Requesting Data...2789459324</v>
        <stp/>
        <stp>BDP|12817332711714001488</stp>
        <tr r="A2416" s="2"/>
      </tp>
      <tp t="s">
        <v>#N/A Requesting Data...3009741936</v>
        <stp/>
        <stp>BDP|16765375094419594532</stp>
        <tr r="G1760" s="2"/>
      </tp>
      <tp t="s">
        <v>#N/A Requesting Data...1665173054</v>
        <stp/>
        <stp>BDP|13921331403575879532</stp>
        <tr r="S14" s="2"/>
      </tp>
      <tp t="s">
        <v>#N/A Requesting Data...3340619623</v>
        <stp/>
        <stp>BDP|13278092843100206787</stp>
        <tr r="G1939" s="2"/>
      </tp>
      <tp t="s">
        <v>#N/A Requesting Data...2026580848</v>
        <stp/>
        <stp>BDP|14702441115028031941</stp>
        <tr r="P1205" s="2"/>
      </tp>
      <tp t="s">
        <v>#N/A Requesting Data...2618586858</v>
        <stp/>
        <stp>BDP|15737347940493934180</stp>
        <tr r="Q935" s="2"/>
      </tp>
      <tp t="s">
        <v>#N/A Requesting Data...2945651812</v>
        <stp/>
        <stp>BDP|16610676375683421421</stp>
        <tr r="C801" s="2"/>
      </tp>
      <tp t="s">
        <v>#N/A Requesting Data...1891747273</v>
        <stp/>
        <stp>BDP|17694338105872598672</stp>
        <tr r="C1501" s="2"/>
      </tp>
      <tp t="s">
        <v>#N/A Requesting Data...2908452310</v>
        <stp/>
        <stp>BDP|14071165757873415379</stp>
        <tr r="G749" s="2"/>
      </tp>
      <tp t="s">
        <v>#N/A Requesting Data...3815749598</v>
        <stp/>
        <stp>BDP|12726232815767019634</stp>
        <tr r="R1889" s="2"/>
      </tp>
      <tp t="s">
        <v>#N/A Requesting Data...2538546280</v>
        <stp/>
        <stp>BDP|17186400015836075465</stp>
        <tr r="D2330" s="2"/>
      </tp>
      <tp t="s">
        <v>#N/A Requesting Data...1984381039</v>
        <stp/>
        <stp>BDP|14812583606782151351</stp>
        <tr r="F2252" s="2"/>
      </tp>
      <tp t="s">
        <v>#N/A Requesting Data...4291793821</v>
        <stp/>
        <stp>BDP|12347701264583492018</stp>
        <tr r="C1459" s="2"/>
      </tp>
      <tp t="s">
        <v>#N/A Requesting Data...2185839370</v>
        <stp/>
        <stp>BDP|13369580956300834376</stp>
        <tr r="T1084" s="2"/>
      </tp>
      <tp t="s">
        <v>#N/A Requesting Data...1727951874</v>
        <stp/>
        <stp>BDP|14263619853843348413</stp>
        <tr r="N2308" s="2"/>
      </tp>
      <tp t="s">
        <v>#N/A Requesting Data...1967310316</v>
        <stp/>
        <stp>BDP|17031721363274114221</stp>
        <tr r="N1105" s="2"/>
      </tp>
      <tp t="s">
        <v>#N/A Requesting Data...3909945799</v>
        <stp/>
        <stp>BDP|15284374734022181724</stp>
        <tr r="O465" s="2"/>
      </tp>
      <tp t="s">
        <v>#N/A Requesting Data...3095385402</v>
        <stp/>
        <stp>BDP|14501313536882383634</stp>
        <tr r="E2376" s="2"/>
      </tp>
      <tp t="s">
        <v>#N/A Requesting Data...1820522275</v>
        <stp/>
        <stp>BDP|11007347469852888670</stp>
        <tr r="F932" s="2"/>
      </tp>
      <tp t="s">
        <v>#N/A Requesting Data...3616301883</v>
        <stp/>
        <stp>BDP|16862389614092283640</stp>
        <tr r="P1714" s="2"/>
      </tp>
      <tp t="s">
        <v>#N/A Requesting Data...2440626714</v>
        <stp/>
        <stp>BDP|15469846687601677437</stp>
        <tr r="O981" s="2"/>
      </tp>
      <tp t="s">
        <v>#N/A Requesting Data...3065039381</v>
        <stp/>
        <stp>BDP|13906761419104169150</stp>
        <tr r="A43" s="2"/>
      </tp>
      <tp t="s">
        <v>#N/A Requesting Data...2167645479</v>
        <stp/>
        <stp>BDP|11189724831181293422</stp>
        <tr r="R257" s="2"/>
      </tp>
      <tp t="s">
        <v>#N/A Requesting Data...3173774591</v>
        <stp/>
        <stp>BDP|13849746009035420136</stp>
        <tr r="N729" s="2"/>
      </tp>
      <tp t="s">
        <v>#N/A Requesting Data...3243305306</v>
        <stp/>
        <stp>BDP|13103100208252201094</stp>
        <tr r="P688" s="2"/>
      </tp>
      <tp t="s">
        <v>#N/A Requesting Data...2941483462</v>
        <stp/>
        <stp>BDP|17688429399988965268</stp>
        <tr r="K404" s="2"/>
      </tp>
      <tp t="s">
        <v>#N/A Requesting Data...3101448435</v>
        <stp/>
        <stp>BDP|17254701207455111567</stp>
        <tr r="C954" s="2"/>
      </tp>
      <tp t="s">
        <v>#N/A Requesting Data...2308196171</v>
        <stp/>
        <stp>BDP|14605101568643509092</stp>
        <tr r="S294" s="2"/>
      </tp>
      <tp t="s">
        <v>#N/A Requesting Data...3906022314</v>
        <stp/>
        <stp>BDP|11063960631699400215</stp>
        <tr r="T2400" s="2"/>
      </tp>
      <tp t="s">
        <v>#N/A Requesting Data...1996137346</v>
        <stp/>
        <stp>BDP|18189760740333463818</stp>
        <tr r="F1137" s="2"/>
      </tp>
      <tp t="s">
        <v>#N/A Requesting Data...3619283428</v>
        <stp/>
        <stp>BDP|14648980314349836501</stp>
        <tr r="K2316" s="2"/>
      </tp>
      <tp t="s">
        <v>#N/A Requesting Data...2742760138</v>
        <stp/>
        <stp>BDP|10353196664957498086</stp>
        <tr r="D1526" s="2"/>
      </tp>
      <tp t="s">
        <v>#N/A Requesting Data...2535923501</v>
        <stp/>
        <stp>BDP|15094494142323197682</stp>
        <tr r="J273" s="2"/>
      </tp>
      <tp t="s">
        <v>#N/A Requesting Data...3447581391</v>
        <stp/>
        <stp>BDP|17806576523455916576</stp>
        <tr r="K2289" s="2"/>
      </tp>
      <tp t="s">
        <v>#N/A Requesting Data...3702976967</v>
        <stp/>
        <stp>BDP|17543278053990319001</stp>
        <tr r="O987" s="2"/>
      </tp>
      <tp t="s">
        <v>#N/A Requesting Data...3784491082</v>
        <stp/>
        <stp>BDP|14481462030253846089</stp>
        <tr r="E1921" s="2"/>
      </tp>
      <tp t="s">
        <v>#N/A Requesting Data...3668310410</v>
        <stp/>
        <stp>BDP|17163422285843017848</stp>
        <tr r="E622" s="2"/>
      </tp>
      <tp t="s">
        <v>#N/A Requesting Data...1978080843</v>
        <stp/>
        <stp>BDP|14008595716061466197</stp>
        <tr r="E1294" s="2"/>
      </tp>
      <tp t="s">
        <v>#N/A Requesting Data...2349391598</v>
        <stp/>
        <stp>BDP|17850637750081821514</stp>
        <tr r="E1480" s="2"/>
      </tp>
      <tp t="s">
        <v>#N/A Requesting Data...3656550675</v>
        <stp/>
        <stp>BDP|12777729457921058106</stp>
        <tr r="P1898" s="2"/>
      </tp>
      <tp t="s">
        <v>#N/A Requesting Data...2498111425</v>
        <stp/>
        <stp>BDP|15020164762292597039</stp>
        <tr r="P1974" s="2"/>
      </tp>
      <tp t="s">
        <v>#N/A Requesting Data...2466890539</v>
        <stp/>
        <stp>BDP|17435598696288040399</stp>
        <tr r="S1606" s="2"/>
      </tp>
      <tp t="s">
        <v>#N/A Requesting Data...3057772665</v>
        <stp/>
        <stp>BDP|14353069942933518300</stp>
        <tr r="D2342" s="2"/>
      </tp>
      <tp t="s">
        <v>#N/A Requesting Data...4198537609</v>
        <stp/>
        <stp>BDP|15196818725939382644</stp>
        <tr r="D1284" s="2"/>
      </tp>
      <tp t="s">
        <v>#N/A Requesting Data...2656638557</v>
        <stp/>
        <stp>BDP|15009469311354710450</stp>
        <tr r="N2325" s="2"/>
      </tp>
      <tp t="s">
        <v>#N/A Requesting Data...2789200916</v>
        <stp/>
        <stp>BDP|18220658353738829394</stp>
        <tr r="D969" s="2"/>
      </tp>
      <tp t="s">
        <v>#N/A Requesting Data...3126255169</v>
        <stp/>
        <stp>BDP|12257356302759969899</stp>
        <tr r="N1993" s="2"/>
      </tp>
      <tp t="s">
        <v>#N/A Requesting Data...3715000377</v>
        <stp/>
        <stp>BDP|15862463783740909919</stp>
        <tr r="R152" s="2"/>
      </tp>
      <tp t="s">
        <v>#N/A Requesting Data...4011572251</v>
        <stp/>
        <stp>BDP|15076707620537268778</stp>
        <tr r="J1240" s="2"/>
      </tp>
      <tp t="s">
        <v>#N/A Requesting Data...2875376698</v>
        <stp/>
        <stp>BDP|17703401091748390204</stp>
        <tr r="T822" s="2"/>
      </tp>
      <tp t="s">
        <v>#N/A Requesting Data...3148128657</v>
        <stp/>
        <stp>BDP|16633292508070697443</stp>
        <tr r="M1464" s="2"/>
      </tp>
      <tp t="s">
        <v>#N/A Requesting Data...2909893977</v>
        <stp/>
        <stp>BDP|10950121638823544133</stp>
        <tr r="H856" s="2"/>
      </tp>
      <tp t="s">
        <v>#N/A Requesting Data...3292590353</v>
        <stp/>
        <stp>BDP|18377246432831933891</stp>
        <tr r="A532" s="2"/>
      </tp>
      <tp t="s">
        <v>#N/A Requesting Data...3328269117</v>
        <stp/>
        <stp>BDP|17111743371266626179</stp>
        <tr r="O1051" s="2"/>
      </tp>
      <tp t="s">
        <v>#N/A Requesting Data...2114078518</v>
        <stp/>
        <stp>BDP|10719638013064565375</stp>
        <tr r="C1181" s="2"/>
      </tp>
      <tp t="s">
        <v>#N/A Requesting Data...3723754584</v>
        <stp/>
        <stp>BDP|11691250133259600931</stp>
        <tr r="J1864" s="2"/>
      </tp>
      <tp t="s">
        <v>#N/A Requesting Data...3737019107</v>
        <stp/>
        <stp>BDP|13359000469282940769</stp>
        <tr r="R891" s="2"/>
      </tp>
      <tp t="s">
        <v>#N/A Requesting Data...1893167171</v>
        <stp/>
        <stp>BDP|10331968952099185539</stp>
        <tr r="D579" s="2"/>
      </tp>
      <tp t="s">
        <v>#N/A Requesting Data...2058016530</v>
        <stp/>
        <stp>BDP|15051772225246560629</stp>
        <tr r="J1752" s="2"/>
      </tp>
      <tp t="s">
        <v>#N/A Requesting Data...3906193029</v>
        <stp/>
        <stp>BDP|13379826181915219673</stp>
        <tr r="Q1883" s="2"/>
      </tp>
      <tp t="s">
        <v>#N/A Requesting Data...3887663406</v>
        <stp/>
        <stp>BDP|17436250423867686019</stp>
        <tr r="E1058" s="2"/>
      </tp>
      <tp t="s">
        <v>#N/A Requesting Data...3915650568</v>
        <stp/>
        <stp>BDP|11983513418541079450</stp>
        <tr r="A2078" s="2"/>
      </tp>
      <tp t="s">
        <v>#N/A Requesting Data...4113280373</v>
        <stp/>
        <stp>BDP|11678031616526699603</stp>
        <tr r="H197" s="2"/>
      </tp>
      <tp t="s">
        <v>#N/A Requesting Data...3093536055</v>
        <stp/>
        <stp>BDP|12490793562372282188</stp>
        <tr r="S1724" s="2"/>
      </tp>
      <tp t="s">
        <v>#N/A Requesting Data...2815632626</v>
        <stp/>
        <stp>BDP|11321527377981719244</stp>
        <tr r="K1030" s="2"/>
      </tp>
      <tp t="s">
        <v>#N/A Requesting Data...2477204488</v>
        <stp/>
        <stp>BDP|16252612391469598022</stp>
        <tr r="D2372" s="2"/>
      </tp>
      <tp t="s">
        <v>#N/A Requesting Data...4157257488</v>
        <stp/>
        <stp>BDP|12682440272419079853</stp>
        <tr r="R279" s="2"/>
      </tp>
      <tp t="s">
        <v>#N/A Requesting Data...1931311316</v>
        <stp/>
        <stp>BDP|10507079194879216018</stp>
        <tr r="O1789" s="2"/>
      </tp>
      <tp t="s">
        <v>#N/A Requesting Data...3797760997</v>
        <stp/>
        <stp>BDP|11634934751988329524</stp>
        <tr r="A1878" s="2"/>
      </tp>
      <tp t="s">
        <v>#N/A Requesting Data...4131092197</v>
        <stp/>
        <stp>BDP|14079369555912511039</stp>
        <tr r="G1474" s="2"/>
      </tp>
      <tp t="s">
        <v>#N/A Requesting Data...2409574467</v>
        <stp/>
        <stp>BDP|12135653146956449632</stp>
        <tr r="C183" s="2"/>
      </tp>
      <tp t="s">
        <v>#N/A Requesting Data...4033927688</v>
        <stp/>
        <stp>BDP|16789942836038662463</stp>
        <tr r="O1248" s="2"/>
      </tp>
      <tp t="s">
        <v>#N/A Requesting Data...2401125498</v>
        <stp/>
        <stp>BDP|18344661441802143806</stp>
        <tr r="R260" s="2"/>
      </tp>
      <tp t="s">
        <v>#N/A Requesting Data...3386271428</v>
        <stp/>
        <stp>BDP|18059194858399455509</stp>
        <tr r="D2075" s="2"/>
      </tp>
      <tp t="b">
        <v>0</v>
        <stp/>
        <stp>BDS|12967674808652426648</stp>
        <tr r="I416" s="2"/>
      </tp>
      <tp t="s">
        <v>#N/A Requesting Data...2235999936</v>
        <stp/>
        <stp>BDP|12358847497424391761</stp>
        <tr r="N1832" s="2"/>
      </tp>
      <tp t="s">
        <v>#N/A Requesting Data...3565665450</v>
        <stp/>
        <stp>BDP|13898724024420975620</stp>
        <tr r="T470" s="2"/>
      </tp>
      <tp t="s">
        <v>#N/A Requesting Data...2553448068</v>
        <stp/>
        <stp>BDP|12145300827074181722</stp>
        <tr r="R1978" s="2"/>
      </tp>
      <tp t="s">
        <v>#N/A Requesting Data...2263151920</v>
        <stp/>
        <stp>BDP|14217833861962132846</stp>
        <tr r="J260" s="2"/>
      </tp>
      <tp t="s">
        <v>#N/A Requesting Data...2036957624</v>
        <stp/>
        <stp>BDP|14056455521820675271</stp>
        <tr r="A2214" s="2"/>
      </tp>
      <tp t="s">
        <v>#N/A Requesting Data...3222053708</v>
        <stp/>
        <stp>BDP|14585267358264630780</stp>
        <tr r="C1084" s="2"/>
      </tp>
      <tp t="s">
        <v>#N/A Requesting Data...2694100837</v>
        <stp/>
        <stp>BDP|10721129836850386256</stp>
        <tr r="O93" s="2"/>
      </tp>
      <tp t="s">
        <v>#N/A Requesting Data...3303456645</v>
        <stp/>
        <stp>BDP|16076026255001694245</stp>
        <tr r="R1626" s="2"/>
      </tp>
      <tp t="s">
        <v>#N/A Requesting Data...3105297575</v>
        <stp/>
        <stp>BDP|12427074972184034149</stp>
        <tr r="G1298" s="2"/>
      </tp>
      <tp t="s">
        <v>#N/A Requesting Data...1964503520</v>
        <stp/>
        <stp>BDP|13220552925867270353</stp>
        <tr r="J853" s="2"/>
      </tp>
      <tp t="s">
        <v>#N/A Requesting Data...2743032440</v>
        <stp/>
        <stp>BDP|16449852577678744148</stp>
        <tr r="K228" s="2"/>
      </tp>
      <tp t="s">
        <v>#N/A Requesting Data...3847577033</v>
        <stp/>
        <stp>BDP|16978503004026984510</stp>
        <tr r="M159" s="2"/>
      </tp>
      <tp t="s">
        <v>#N/A Requesting Data...4241928451</v>
        <stp/>
        <stp>BDP|16777584960306886324</stp>
        <tr r="S2292" s="2"/>
      </tp>
      <tp t="b">
        <v>0</v>
        <stp/>
        <stp>BDS|12241083423090828079</stp>
        <tr r="I762" s="2"/>
      </tp>
      <tp t="s">
        <v>#N/A Requesting Data...2525471637</v>
        <stp/>
        <stp>BDP|15710704107501657339</stp>
        <tr r="N1265" s="2"/>
      </tp>
      <tp t="s">
        <v>#N/A Requesting Data...2775861121</v>
        <stp/>
        <stp>BDP|15396498670910762682</stp>
        <tr r="M1224" s="2"/>
      </tp>
      <tp t="s">
        <v>#N/A Requesting Data...1962519183</v>
        <stp/>
        <stp>BDP|13475372645386433276</stp>
        <tr r="O223" s="2"/>
      </tp>
      <tp t="s">
        <v>#N/A Requesting Data...4216227158</v>
        <stp/>
        <stp>BDP|18232881027217807503</stp>
        <tr r="D340" s="2"/>
      </tp>
      <tp t="s">
        <v>#N/A Requesting Data...2289894076</v>
        <stp/>
        <stp>BDP|11427914091054413554</stp>
        <tr r="R304" s="2"/>
      </tp>
      <tp t="b">
        <v>0</v>
        <stp/>
        <stp>BDS|15099749162087312332</stp>
        <tr r="I1377" s="2"/>
      </tp>
      <tp t="s">
        <v>#N/A Requesting Data...4104037995</v>
        <stp/>
        <stp>BDP|17550150870276157740</stp>
        <tr r="D786" s="2"/>
      </tp>
      <tp t="b">
        <v>0</v>
        <stp/>
        <stp>BDS|17155014486518648762</stp>
        <tr r="I1134" s="2"/>
      </tp>
      <tp t="s">
        <v>#N/A Requesting Data...3520054765</v>
        <stp/>
        <stp>BDP|13505191472664936126</stp>
        <tr r="P947" s="2"/>
      </tp>
      <tp t="s">
        <v>#N/A Requesting Data...2016944134</v>
        <stp/>
        <stp>BDP|15088459321725238637</stp>
        <tr r="N467" s="2"/>
      </tp>
      <tp t="s">
        <v>#N/A Requesting Data...2444196184</v>
        <stp/>
        <stp>BDP|16678405815680618307</stp>
        <tr r="C692" s="2"/>
      </tp>
      <tp t="s">
        <v>#N/A Requesting Data...2165030633</v>
        <stp/>
        <stp>BDP|15270354400554462262</stp>
        <tr r="T990" s="2"/>
      </tp>
      <tp t="s">
        <v>#N/A Requesting Data...3030608494</v>
        <stp/>
        <stp>BDP|15275183583145507997</stp>
        <tr r="A2442" s="2"/>
      </tp>
      <tp t="s">
        <v>#N/A Requesting Data...2992103224</v>
        <stp/>
        <stp>BDP|14793583609751192026</stp>
        <tr r="D1934" s="2"/>
      </tp>
      <tp t="s">
        <v>#N/A Requesting Data...3315926742</v>
        <stp/>
        <stp>BDP|16774078619905800244</stp>
        <tr r="R1654" s="2"/>
      </tp>
      <tp t="s">
        <v>#N/A Requesting Data...3330528724</v>
        <stp/>
        <stp>BDP|11119446073612025032</stp>
        <tr r="H934" s="2"/>
      </tp>
      <tp t="s">
        <v>#N/A Requesting Data...3323030186</v>
        <stp/>
        <stp>BDP|16396541712997676567</stp>
        <tr r="T1614" s="2"/>
      </tp>
      <tp t="s">
        <v>#N/A Requesting Data...4148128506</v>
        <stp/>
        <stp>BDP|15499064116186094214</stp>
        <tr r="N1650" s="2"/>
      </tp>
      <tp t="s">
        <v>#N/A Requesting Data...2990702093</v>
        <stp/>
        <stp>BDP|13029732625277759146</stp>
        <tr r="Q1999" s="2"/>
      </tp>
      <tp t="s">
        <v>#N/A Requesting Data...2241959295</v>
        <stp/>
        <stp>BDP|15332396736975192084</stp>
        <tr r="D1322" s="2"/>
      </tp>
      <tp t="s">
        <v>#N/A Requesting Data...4174419826</v>
        <stp/>
        <stp>BDP|16415507394649762327</stp>
        <tr r="N1751" s="2"/>
      </tp>
      <tp t="s">
        <v>#N/A Requesting Data...3757597521</v>
        <stp/>
        <stp>BDP|10423353040366636120</stp>
        <tr r="A100" s="2"/>
      </tp>
      <tp t="s">
        <v>#N/A Requesting Data...2128119357</v>
        <stp/>
        <stp>BDP|13356831890431530303</stp>
        <tr r="P585" s="2"/>
      </tp>
      <tp t="s">
        <v>#N/A Requesting Data...2124772489</v>
        <stp/>
        <stp>BDP|12745339146381390447</stp>
        <tr r="D1006" s="2"/>
      </tp>
      <tp t="s">
        <v>#N/A Requesting Data...2062037104</v>
        <stp/>
        <stp>BDP|16002443247682254440</stp>
        <tr r="G1485" s="2"/>
      </tp>
      <tp t="s">
        <v>#N/A Requesting Data...3184344907</v>
        <stp/>
        <stp>BDP|18012174367369769620</stp>
        <tr r="A2146" s="2"/>
      </tp>
      <tp t="s">
        <v>#N/A Requesting Data...3509624477</v>
        <stp/>
        <stp>BDP|15929982307325143927</stp>
        <tr r="M2029" s="2"/>
      </tp>
      <tp t="b">
        <v>0</v>
        <stp/>
        <stp>BDS|16750038320994561072</stp>
        <tr r="I683" s="2"/>
      </tp>
      <tp t="s">
        <v>#N/A Requesting Data...4259651630</v>
        <stp/>
        <stp>BDP|10020732322212011743</stp>
        <tr r="N1393" s="2"/>
      </tp>
      <tp t="s">
        <v>#N/A Requesting Data...2920721773</v>
        <stp/>
        <stp>BDP|14040047940949040919</stp>
        <tr r="R2002" s="2"/>
      </tp>
      <tp t="s">
        <v>#N/A Requesting Data...2049115632</v>
        <stp/>
        <stp>BDP|14880196141811125043</stp>
        <tr r="M2097" s="2"/>
      </tp>
      <tp t="s">
        <v>#N/A Requesting Data...2268804370</v>
        <stp/>
        <stp>BDP|11731855442839397460</stp>
        <tr r="N1061" s="2"/>
      </tp>
      <tp t="s">
        <v>#N/A Requesting Data...3519114678</v>
        <stp/>
        <stp>BDP|14798641406892735074</stp>
        <tr r="J1336" s="2"/>
      </tp>
      <tp t="s">
        <v>#N/A Requesting Data...2132749298</v>
        <stp/>
        <stp>BDP|18421492340061106997</stp>
        <tr r="H2167" s="2"/>
      </tp>
      <tp t="s">
        <v>#N/A Requesting Data...4110025569</v>
        <stp/>
        <stp>BDP|10286152442873879683</stp>
        <tr r="H1859" s="2"/>
      </tp>
      <tp t="s">
        <v>#N/A Requesting Data...2428991069</v>
        <stp/>
        <stp>BDP|11415343416886045538</stp>
        <tr r="F561" s="2"/>
      </tp>
      <tp t="s">
        <v>#N/A Requesting Data...2760994731</v>
        <stp/>
        <stp>BDP|14268760271043140714</stp>
        <tr r="D2463" s="2"/>
      </tp>
      <tp t="s">
        <v>#N/A Requesting Data...3772371782</v>
        <stp/>
        <stp>BDP|12639622094365705824</stp>
        <tr r="S588" s="2"/>
      </tp>
      <tp t="b">
        <v>0</v>
        <stp/>
        <stp>BDS|13257884053366726886</stp>
        <tr r="I704" s="2"/>
      </tp>
      <tp t="s">
        <v>#N/A Requesting Data...3591823435</v>
        <stp/>
        <stp>BDP|17735891281756960135</stp>
        <tr r="G2130" s="2"/>
      </tp>
      <tp t="s">
        <v>#N/A Requesting Data...3829705346</v>
        <stp/>
        <stp>BDP|11855238625877879637</stp>
        <tr r="A1280" s="2"/>
      </tp>
      <tp t="s">
        <v>#N/A Requesting Data...2775423037</v>
        <stp/>
        <stp>BDP|16536567363067066257</stp>
        <tr r="E2315" s="2"/>
      </tp>
      <tp t="s">
        <v>#N/A Requesting Data...3638969568</v>
        <stp/>
        <stp>BDP|18325023735658673375</stp>
        <tr r="O206" s="2"/>
      </tp>
      <tp t="s">
        <v>#N/A Requesting Data...4054659706</v>
        <stp/>
        <stp>BDP|15647954769363671991</stp>
        <tr r="M2436" s="2"/>
      </tp>
      <tp t="s">
        <v>#N/A Requesting Data...3316715193</v>
        <stp/>
        <stp>BDP|12972461033356001390</stp>
        <tr r="M946" s="2"/>
      </tp>
      <tp t="s">
        <v>#N/A Requesting Data...2522369947</v>
        <stp/>
        <stp>BDP|10536536833766669061</stp>
        <tr r="D2024" s="2"/>
      </tp>
      <tp t="s">
        <v>#N/A Requesting Data...2877918824</v>
        <stp/>
        <stp>BDP|16104503379562911642</stp>
        <tr r="T1093" s="2"/>
      </tp>
      <tp t="s">
        <v>#N/A Requesting Data...3253147156</v>
        <stp/>
        <stp>BDP|14361048592909467444</stp>
        <tr r="S1323" s="2"/>
      </tp>
      <tp t="s">
        <v>#N/A Requesting Data...2935183742</v>
        <stp/>
        <stp>BDP|11659393870592944733</stp>
        <tr r="P2020" s="2"/>
      </tp>
      <tp t="s">
        <v>#N/A Requesting Data...3509484542</v>
        <stp/>
        <stp>BDP|13074011425688117905</stp>
        <tr r="Q2206" s="2"/>
      </tp>
      <tp t="b">
        <v>0</v>
        <stp/>
        <stp>BDS|15409240976595736572</stp>
        <tr r="I1746" s="2"/>
      </tp>
      <tp t="s">
        <v>#N/A Requesting Data...3773299861</v>
        <stp/>
        <stp>BDP|14120125879421650392</stp>
        <tr r="N2477" s="2"/>
      </tp>
      <tp t="s">
        <v>#N/A Requesting Data...2862254961</v>
        <stp/>
        <stp>BDP|13049909852578553729</stp>
        <tr r="J1196" s="2"/>
      </tp>
      <tp t="s">
        <v>#N/A Requesting Data...2731474277</v>
        <stp/>
        <stp>BDP|17794218222900381724</stp>
        <tr r="C1075" s="2"/>
      </tp>
      <tp t="s">
        <v>#N/A Requesting Data...3047424185</v>
        <stp/>
        <stp>BDP|12688357357932278635</stp>
        <tr r="P1368" s="2"/>
      </tp>
      <tp t="s">
        <v>#N/A Requesting Data...3985423879</v>
        <stp/>
        <stp>BDP|12384268352526516370</stp>
        <tr r="T978" s="2"/>
      </tp>
      <tp t="b">
        <v>0</v>
        <stp/>
        <stp>BDS|13774520177335635423</stp>
        <tr r="I848" s="2"/>
      </tp>
      <tp t="s">
        <v>#N/A Requesting Data...3627313727</v>
        <stp/>
        <stp>BDP|13607718223345254325</stp>
        <tr r="M1537" s="2"/>
      </tp>
      <tp t="s">
        <v>#N/A Requesting Data...3139944207</v>
        <stp/>
        <stp>BDP|16404638995198402122</stp>
        <tr r="P1911" s="2"/>
      </tp>
      <tp t="b">
        <v>0</v>
        <stp/>
        <stp>BDS|14768525975252085472</stp>
        <tr r="I424" s="2"/>
      </tp>
      <tp t="s">
        <v>#N/A Requesting Data...3307736799</v>
        <stp/>
        <stp>BDP|12373476853270490370</stp>
        <tr r="D1656" s="2"/>
      </tp>
      <tp t="b">
        <v>0</v>
        <stp/>
        <stp>BDS|10309009713508572921</stp>
        <tr r="I1579" s="2"/>
      </tp>
      <tp t="b">
        <v>0</v>
        <stp/>
        <stp>BDS|11600375715102489176</stp>
        <tr r="I1883" s="2"/>
      </tp>
      <tp t="s">
        <v>#N/A Requesting Data...2338917322</v>
        <stp/>
        <stp>BDP|15238266495269243779</stp>
        <tr r="O971" s="2"/>
      </tp>
      <tp t="s">
        <v>#N/A Requesting Data...3689483812</v>
        <stp/>
        <stp>BDP|16424013517900438721</stp>
        <tr r="G2494" s="2"/>
      </tp>
      <tp t="s">
        <v>#N/A Requesting Data...2501984100</v>
        <stp/>
        <stp>BDP|10895202908240230260</stp>
        <tr r="M85" s="2"/>
      </tp>
      <tp t="s">
        <v>#N/A Requesting Data...3420235632</v>
        <stp/>
        <stp>BDP|11004302925101005119</stp>
        <tr r="K2409" s="2"/>
      </tp>
      <tp t="s">
        <v>#N/A Requesting Data...2843688299</v>
        <stp/>
        <stp>BDP|17372203098504636898</stp>
        <tr r="E2364" s="2"/>
      </tp>
      <tp t="s">
        <v>#N/A Requesting Data...3878782630</v>
        <stp/>
        <stp>BDP|14485103005132414711</stp>
        <tr r="D2215" s="2"/>
      </tp>
      <tp t="s">
        <v>#N/A Requesting Data...2697058788</v>
        <stp/>
        <stp>BDP|18380766969231048882</stp>
        <tr r="N1969" s="2"/>
      </tp>
      <tp t="s">
        <v>#N/A Requesting Data...3090189181</v>
        <stp/>
        <stp>BDP|16241046206381284760</stp>
        <tr r="A762" s="2"/>
      </tp>
      <tp t="s">
        <v>#N/A Requesting Data...3764132302</v>
        <stp/>
        <stp>BDP|18330745994836105067</stp>
        <tr r="P1675" s="2"/>
      </tp>
      <tp t="s">
        <v>#N/A Requesting Data...3606153144</v>
        <stp/>
        <stp>BDP|11994969283793896307</stp>
        <tr r="C1225" s="2"/>
      </tp>
      <tp t="s">
        <v>#N/A Requesting Data...2692728628</v>
        <stp/>
        <stp>BDP|13618097028619612858</stp>
        <tr r="F1306" s="2"/>
      </tp>
      <tp t="s">
        <v>#N/A Requesting Data...3082084188</v>
        <stp/>
        <stp>BDP|17017172214230193761</stp>
        <tr r="K1475" s="2"/>
      </tp>
      <tp t="s">
        <v>#N/A Requesting Data...3668616137</v>
        <stp/>
        <stp>BDP|13413765430691329659</stp>
        <tr r="G181" s="2"/>
      </tp>
      <tp t="s">
        <v>#N/A Requesting Data...3274352032</v>
        <stp/>
        <stp>BDP|15559128812454473157</stp>
        <tr r="J1006" s="2"/>
      </tp>
      <tp t="s">
        <v>#N/A Requesting Data...3508761524</v>
        <stp/>
        <stp>BDP|15737280334232701688</stp>
        <tr r="T1411" s="2"/>
      </tp>
      <tp t="s">
        <v>#N/A Requesting Data...3155123749</v>
        <stp/>
        <stp>BDP|15156966071962221901</stp>
        <tr r="C1081" s="2"/>
      </tp>
      <tp t="s">
        <v>#N/A Requesting Data...4262080259</v>
        <stp/>
        <stp>BDP|17427103486209721718</stp>
        <tr r="E631" s="2"/>
      </tp>
      <tp t="s">
        <v>#N/A Requesting Data...2253733043</v>
        <stp/>
        <stp>BDP|10989521611067694388</stp>
        <tr r="A297" s="2"/>
      </tp>
      <tp t="s">
        <v>#N/A Requesting Data...3650508779</v>
        <stp/>
        <stp>BDP|18026534038656817879</stp>
        <tr r="C531" s="2"/>
      </tp>
      <tp t="s">
        <v>#N/A Requesting Data...2943155409</v>
        <stp/>
        <stp>BDP|15193489738233131149</stp>
        <tr r="D1568" s="2"/>
      </tp>
      <tp t="s">
        <v>#N/A Requesting Data...3793447408</v>
        <stp/>
        <stp>BDP|15527200128744941109</stp>
        <tr r="O2487" s="2"/>
      </tp>
      <tp t="s">
        <v>#N/A Requesting Data...2367708373</v>
        <stp/>
        <stp>BDP|16252000306777382135</stp>
        <tr r="N1145" s="2"/>
      </tp>
      <tp t="b">
        <v>0</v>
        <stp/>
        <stp>BDS|15864103983984963855</stp>
        <tr r="I1549" s="2"/>
      </tp>
      <tp t="s">
        <v>#N/A Requesting Data...3490634430</v>
        <stp/>
        <stp>BDP|13436920015102154968</stp>
        <tr r="E34" s="2"/>
      </tp>
      <tp t="s">
        <v>#N/A Requesting Data...2391701077</v>
        <stp/>
        <stp>BDP|13283152878440303580</stp>
        <tr r="J145" s="2"/>
      </tp>
      <tp t="s">
        <v>#N/A Requesting Data...2324554361</v>
        <stp/>
        <stp>BDP|16943127821463611688</stp>
        <tr r="P22" s="2"/>
      </tp>
      <tp t="s">
        <v>#N/A Requesting Data...2966611492</v>
        <stp/>
        <stp>BDP|11533425356069702928</stp>
        <tr r="T970" s="2"/>
      </tp>
      <tp t="s">
        <v>#N/A Requesting Data...3006721321</v>
        <stp/>
        <stp>BDP|16774061573169390850</stp>
        <tr r="E1256" s="2"/>
      </tp>
      <tp t="s">
        <v>#N/A Requesting Data...2995453697</v>
        <stp/>
        <stp>BDP|10630138010948854899</stp>
        <tr r="P543" s="2"/>
      </tp>
      <tp t="s">
        <v>#N/A Requesting Data...2143363507</v>
        <stp/>
        <stp>BDP|13939068605490695388</stp>
        <tr r="K1764" s="2"/>
      </tp>
      <tp t="s">
        <v>#N/A Requesting Data...2540501276</v>
        <stp/>
        <stp>BDP|14229278277157567630</stp>
        <tr r="N1836" s="2"/>
      </tp>
      <tp t="s">
        <v>#N/A Requesting Data...3976564248</v>
        <stp/>
        <stp>BDP|10589952891287572702</stp>
        <tr r="P216" s="2"/>
      </tp>
      <tp t="s">
        <v>#N/A Requesting Data...3823234705</v>
        <stp/>
        <stp>BDP|11321625130604684034</stp>
        <tr r="O303" s="2"/>
      </tp>
      <tp t="s">
        <v>#N/A Requesting Data...3802549556</v>
        <stp/>
        <stp>BDP|13295312721341272342</stp>
        <tr r="P2216" s="2"/>
      </tp>
      <tp t="s">
        <v>#N/A Requesting Data...3932305761</v>
        <stp/>
        <stp>BDP|14646945764852510975</stp>
        <tr r="T1969" s="2"/>
      </tp>
      <tp t="s">
        <v>#N/A Requesting Data...3664562021</v>
        <stp/>
        <stp>BDP|13287465884888516719</stp>
        <tr r="D1626" s="2"/>
      </tp>
      <tp t="s">
        <v>#N/A Requesting Data...2908946653</v>
        <stp/>
        <stp>BDP|13923048165552926750</stp>
        <tr r="R2160" s="2"/>
      </tp>
      <tp t="s">
        <v>#N/A Requesting Data...4201407328</v>
        <stp/>
        <stp>BDP|12792878493691380243</stp>
        <tr r="C1995" s="2"/>
      </tp>
      <tp t="s">
        <v>#N/A Requesting Data...3227628943</v>
        <stp/>
        <stp>BDP|16183211642599614901</stp>
        <tr r="P1765" s="2"/>
      </tp>
      <tp t="s">
        <v>#N/A Requesting Data...2791228673</v>
        <stp/>
        <stp>BDP|17139855886265512239</stp>
        <tr r="H871" s="2"/>
      </tp>
      <tp t="s">
        <v>#N/A Requesting Data...3316838829</v>
        <stp/>
        <stp>BDP|13787557153506061550</stp>
        <tr r="N1916" s="2"/>
      </tp>
      <tp t="s">
        <v>#N/A Requesting Data...3028666492</v>
        <stp/>
        <stp>BDP|17135096373887879776</stp>
        <tr r="T1612" s="2"/>
      </tp>
      <tp t="s">
        <v>#N/A Requesting Data...2251552804</v>
        <stp/>
        <stp>BDP|15819027524471335692</stp>
        <tr r="G1114" s="2"/>
      </tp>
      <tp t="s">
        <v>#N/A Requesting Data...3112500287</v>
        <stp/>
        <stp>BDP|17168522131146064760</stp>
        <tr r="K1182" s="2"/>
      </tp>
      <tp t="s">
        <v>#N/A Requesting Data...3092541815</v>
        <stp/>
        <stp>BDP|15564506202870035038</stp>
        <tr r="S2288" s="2"/>
      </tp>
      <tp t="b">
        <v>0</v>
        <stp/>
        <stp>BDS|17470753529523943166</stp>
        <tr r="I2518" s="2"/>
      </tp>
      <tp t="s">
        <v>#N/A Requesting Data...3032657584</v>
        <stp/>
        <stp>BDP|10156931471668732602</stp>
        <tr r="F2528" s="2"/>
      </tp>
      <tp t="b">
        <v>0</v>
        <stp/>
        <stp>BDS|15193763490503746878</stp>
        <tr r="I483" s="2"/>
      </tp>
      <tp t="s">
        <v>#N/A Requesting Data...3735592844</v>
        <stp/>
        <stp>BDP|16304663634492618135</stp>
        <tr r="N979" s="2"/>
      </tp>
      <tp t="s">
        <v>#N/A Requesting Data...3967065026</v>
        <stp/>
        <stp>BDP|16485613908978816811</stp>
        <tr r="N1938" s="2"/>
      </tp>
      <tp t="s">
        <v>#N/A Requesting Data...2564714631</v>
        <stp/>
        <stp>BDP|16974162235005618186</stp>
        <tr r="O202" s="2"/>
      </tp>
      <tp t="s">
        <v>#N/A Requesting Data...3795884058</v>
        <stp/>
        <stp>BDP|12800509069028129949</stp>
        <tr r="R467" s="2"/>
      </tp>
      <tp t="s">
        <v>#N/A Requesting Data...3074833379</v>
        <stp/>
        <stp>BDP|16162718554933063703</stp>
        <tr r="D1792" s="2"/>
      </tp>
      <tp t="s">
        <v>#N/A Requesting Data...3423698194</v>
        <stp/>
        <stp>BDP|10016383165575050090</stp>
        <tr r="P93" s="2"/>
      </tp>
      <tp t="s">
        <v>#N/A Requesting Data...3726554134</v>
        <stp/>
        <stp>BDP|16871183819650962645</stp>
        <tr r="O1815" s="2"/>
      </tp>
      <tp t="s">
        <v>#N/A Requesting Data...4116045397</v>
        <stp/>
        <stp>BDP|12059095124598867812</stp>
        <tr r="R1053" s="2"/>
      </tp>
      <tp t="s">
        <v>#N/A Requesting Data...3759940224</v>
        <stp/>
        <stp>BDP|14311510630211420320</stp>
        <tr r="G1699" s="2"/>
      </tp>
      <tp t="s">
        <v>#N/A Requesting Data...3159834427</v>
        <stp/>
        <stp>BDP|11950161772126908105</stp>
        <tr r="H726" s="2"/>
      </tp>
      <tp t="s">
        <v>#N/A Requesting Data...2619167743</v>
        <stp/>
        <stp>BDP|15858751619003312035</stp>
        <tr r="C672" s="2"/>
      </tp>
      <tp t="s">
        <v>#N/A Requesting Data...3205378350</v>
        <stp/>
        <stp>BDP|15908545561477933112</stp>
        <tr r="N1080" s="2"/>
      </tp>
      <tp t="s">
        <v>#N/A Requesting Data...3070581716</v>
        <stp/>
        <stp>BDP|17206986228649799519</stp>
        <tr r="R2024" s="2"/>
      </tp>
      <tp t="s">
        <v>#N/A Requesting Data...2424675564</v>
        <stp/>
        <stp>BDP|18116601693194600301</stp>
        <tr r="A1594" s="2"/>
      </tp>
      <tp t="s">
        <v>#N/A Requesting Data...2364938196</v>
        <stp/>
        <stp>BDP|11036103391270357967</stp>
        <tr r="A604" s="2"/>
      </tp>
      <tp t="s">
        <v>#N/A Requesting Data...3297205036</v>
        <stp/>
        <stp>BDP|14113440774473057450</stp>
        <tr r="P102" s="2"/>
      </tp>
      <tp t="s">
        <v>#N/A Requesting Data...2422574707</v>
        <stp/>
        <stp>BDP|16689144616483380530</stp>
        <tr r="G1688" s="2"/>
      </tp>
      <tp t="s">
        <v>#N/A Requesting Data...2739175323</v>
        <stp/>
        <stp>BDP|13077139124922075230</stp>
        <tr r="P2210" s="2"/>
      </tp>
      <tp t="s">
        <v>#N/A Requesting Data...2348110339</v>
        <stp/>
        <stp>BDP|14468124736252305477</stp>
        <tr r="J1011" s="2"/>
      </tp>
      <tp t="s">
        <v>#N/A Requesting Data...3398775283</v>
        <stp/>
        <stp>BDP|14308134112265236142</stp>
        <tr r="C1583" s="2"/>
      </tp>
      <tp t="s">
        <v>#N/A Requesting Data...2435983527</v>
        <stp/>
        <stp>BDP|14599089158045746463</stp>
        <tr r="J1565" s="2"/>
      </tp>
      <tp t="b">
        <v>0</v>
        <stp/>
        <stp>BDS|14743169730385416328</stp>
        <tr r="I824" s="2"/>
      </tp>
      <tp t="s">
        <v>#N/A Requesting Data...3381161937</v>
        <stp/>
        <stp>BDP|15375838463552750908</stp>
        <tr r="C266" s="2"/>
      </tp>
      <tp t="s">
        <v>#N/A Requesting Data...3410733095</v>
        <stp/>
        <stp>BDP|13035664968531338296</stp>
        <tr r="C2333" s="2"/>
      </tp>
      <tp t="s">
        <v>#N/A Requesting Data...3042798325</v>
        <stp/>
        <stp>BDP|11160923706108744067</stp>
        <tr r="N51" s="2"/>
      </tp>
      <tp t="s">
        <v>#N/A Requesting Data...3016569326</v>
        <stp/>
        <stp>BDP|12785012281509714349</stp>
        <tr r="H1322" s="2"/>
      </tp>
      <tp t="s">
        <v>#N/A Requesting Data...3533339431</v>
        <stp/>
        <stp>BDP|11472127978483321491</stp>
        <tr r="Q281" s="2"/>
      </tp>
      <tp t="s">
        <v>#N/A Requesting Data...3820396652</v>
        <stp/>
        <stp>BDP|18354819443414079059</stp>
        <tr r="H1825" s="2"/>
      </tp>
      <tp t="s">
        <v>#N/A Requesting Data...2888475660</v>
        <stp/>
        <stp>BDP|14302477592211038823</stp>
        <tr r="T148" s="2"/>
      </tp>
      <tp t="s">
        <v>#N/A Requesting Data...3513806226</v>
        <stp/>
        <stp>BDP|17480124945486659418</stp>
        <tr r="M832" s="2"/>
      </tp>
      <tp t="s">
        <v>#N/A Requesting Data...3327773456</v>
        <stp/>
        <stp>BDP|14400520103149973883</stp>
        <tr r="A880" s="2"/>
      </tp>
      <tp t="s">
        <v>#N/A Requesting Data...3298634777</v>
        <stp/>
        <stp>BDP|17682885092663992517</stp>
        <tr r="M1420" s="2"/>
      </tp>
      <tp t="s">
        <v>#N/A Requesting Data...3019608849</v>
        <stp/>
        <stp>BDP|12236245551194047137</stp>
        <tr r="H1279" s="2"/>
      </tp>
      <tp t="s">
        <v>#N/A Requesting Data...4118879840</v>
        <stp/>
        <stp>BDP|17767577369422518680</stp>
        <tr r="E926" s="2"/>
      </tp>
      <tp t="s">
        <v>#N/A Requesting Data...3019499275</v>
        <stp/>
        <stp>BDP|13917247126664979763</stp>
        <tr r="P785" s="2"/>
      </tp>
      <tp t="s">
        <v>#N/A Requesting Data...2583738662</v>
        <stp/>
        <stp>BDP|11111302967412053626</stp>
        <tr r="J2176" s="2"/>
      </tp>
      <tp t="s">
        <v>#N/A Requesting Data...3532153654</v>
        <stp/>
        <stp>BDP|18063405396697673246</stp>
        <tr r="M2147" s="2"/>
      </tp>
      <tp t="s">
        <v>#N/A Requesting Data...2975521702</v>
        <stp/>
        <stp>BDP|10132607617597539076</stp>
        <tr r="P1061" s="2"/>
      </tp>
      <tp t="s">
        <v>#N/A Requesting Data...3261445067</v>
        <stp/>
        <stp>BDP|10638541733936688037</stp>
        <tr r="P1932" s="2"/>
      </tp>
      <tp t="s">
        <v>#N/A Requesting Data...2832671731</v>
        <stp/>
        <stp>BDP|11551638804550558739</stp>
        <tr r="M304" s="2"/>
      </tp>
      <tp t="s">
        <v>#N/A Requesting Data...3431935107</v>
        <stp/>
        <stp>BDP|13825947104183918951</stp>
        <tr r="K1693" s="2"/>
      </tp>
      <tp t="s">
        <v>#N/A Requesting Data...2646194620</v>
        <stp/>
        <stp>BDP|10193528453514487408</stp>
        <tr r="O2433" s="2"/>
      </tp>
      <tp t="s">
        <v>#N/A Requesting Data...2458092411</v>
        <stp/>
        <stp>BDP|10908679898408610748</stp>
        <tr r="H2451" s="2"/>
      </tp>
      <tp t="s">
        <v>#N/A Requesting Data...4128101800</v>
        <stp/>
        <stp>BDP|16123558002982097111</stp>
        <tr r="T2363" s="2"/>
      </tp>
      <tp t="s">
        <v>#N/A Requesting Data...3509537661</v>
        <stp/>
        <stp>BDP|11569361401615522708</stp>
        <tr r="E1706" s="2"/>
      </tp>
      <tp t="s">
        <v>#N/A Requesting Data...3749587773</v>
        <stp/>
        <stp>BDP|17626452554027794172</stp>
        <tr r="O1270" s="2"/>
      </tp>
      <tp t="s">
        <v>#N/A Requesting Data...3935574704</v>
        <stp/>
        <stp>BDP|18190766287942653518</stp>
        <tr r="A1287" s="2"/>
      </tp>
      <tp t="s">
        <v>#N/A Requesting Data...2679976894</v>
        <stp/>
        <stp>BDP|15689995869463131901</stp>
        <tr r="R2436" s="2"/>
      </tp>
      <tp t="s">
        <v>#N/A Requesting Data...3565912854</v>
        <stp/>
        <stp>BDP|17586123158270826300</stp>
        <tr r="F1290" s="2"/>
      </tp>
      <tp t="s">
        <v>#N/A Requesting Data...2793686426</v>
        <stp/>
        <stp>BDP|12214563432637082317</stp>
        <tr r="D1434" s="2"/>
      </tp>
      <tp t="s">
        <v>#N/A Requesting Data...3289839261</v>
        <stp/>
        <stp>BDP|15701233343546658569</stp>
        <tr r="F1437" s="2"/>
      </tp>
      <tp t="s">
        <v>#N/A Requesting Data...3099712683</v>
        <stp/>
        <stp>BDP|12078579832694262004</stp>
        <tr r="J1049" s="2"/>
      </tp>
      <tp t="s">
        <v>#N/A Requesting Data...3659907636</v>
        <stp/>
        <stp>BDP|16070407229387880761</stp>
        <tr r="K1122" s="2"/>
      </tp>
      <tp t="s">
        <v>#N/A Requesting Data...3225023658</v>
        <stp/>
        <stp>BDP|15594722326502057261</stp>
        <tr r="P2423" s="2"/>
      </tp>
      <tp t="s">
        <v>#N/A Requesting Data...4134072851</v>
        <stp/>
        <stp>BDP|14891374518044353232</stp>
        <tr r="H718" s="2"/>
      </tp>
      <tp t="s">
        <v>#N/A Requesting Data...2508847109</v>
        <stp/>
        <stp>BDP|15499922236509268652</stp>
        <tr r="O1425" s="2"/>
      </tp>
      <tp t="s">
        <v>#N/A Requesting Data...3958895455</v>
        <stp/>
        <stp>BDP|14809391409454997365</stp>
        <tr r="C2454" s="2"/>
      </tp>
      <tp t="s">
        <v>#N/A Requesting Data...2835203878</v>
        <stp/>
        <stp>BDP|15595531200117999789</stp>
        <tr r="A2073" s="2"/>
      </tp>
      <tp t="s">
        <v>#N/A Requesting Data...2725565848</v>
        <stp/>
        <stp>BDP|14496660468520815454</stp>
        <tr r="Q1586" s="2"/>
      </tp>
      <tp t="s">
        <v>#N/A Requesting Data...3592762896</v>
        <stp/>
        <stp>BDP|14740549241360551502</stp>
        <tr r="O1770" s="2"/>
      </tp>
      <tp t="s">
        <v>#N/A Requesting Data...3429315768</v>
        <stp/>
        <stp>BDP|16362001973574599522</stp>
        <tr r="F174" s="2"/>
      </tp>
      <tp t="s">
        <v>#N/A Requesting Data...3189584863</v>
        <stp/>
        <stp>BDP|16622528624073427231</stp>
        <tr r="O1773" s="2"/>
      </tp>
      <tp t="s">
        <v>#N/A Requesting Data...3566164664</v>
        <stp/>
        <stp>BDP|10088412832275141255</stp>
        <tr r="O2029" s="2"/>
      </tp>
      <tp t="s">
        <v>#N/A Requesting Data...3487760555</v>
        <stp/>
        <stp>BDP|15489912232316489948</stp>
        <tr r="M561" s="2"/>
      </tp>
      <tp t="s">
        <v>#N/A Requesting Data...3063668559</v>
        <stp/>
        <stp>BDP|14504453839237702499</stp>
        <tr r="E1179" s="2"/>
      </tp>
      <tp t="s">
        <v>#N/A Requesting Data...4081370616</v>
        <stp/>
        <stp>BDP|14265634387238199201</stp>
        <tr r="K2063" s="2"/>
      </tp>
      <tp t="s">
        <v>#N/A Requesting Data...3330547858</v>
        <stp/>
        <stp>BDP|11229148717895782412</stp>
        <tr r="O1556" s="2"/>
      </tp>
      <tp t="s">
        <v>#N/A Requesting Data...2889452262</v>
        <stp/>
        <stp>BDP|14636623775952317750</stp>
        <tr r="D624" s="2"/>
      </tp>
      <tp t="s">
        <v>#N/A Requesting Data...3455343678</v>
        <stp/>
        <stp>BDP|16344218641381008147</stp>
        <tr r="F1448" s="2"/>
      </tp>
      <tp t="s">
        <v>#N/A Requesting Data...3556356836</v>
        <stp/>
        <stp>BDP|16398691441776977257</stp>
        <tr r="G2290" s="2"/>
      </tp>
      <tp t="s">
        <v>#N/A Requesting Data...2890191309</v>
        <stp/>
        <stp>BDP|10491939654829221565</stp>
        <tr r="A1380" s="2"/>
      </tp>
      <tp t="s">
        <v>#N/A Requesting Data...3630705898</v>
        <stp/>
        <stp>BDP|16018311362883675020</stp>
        <tr r="H1762" s="2"/>
      </tp>
      <tp t="s">
        <v>#N/A Requesting Data...3461614251</v>
        <stp/>
        <stp>BDP|12455466878366868759</stp>
        <tr r="T267" s="2"/>
      </tp>
      <tp t="s">
        <v>#N/A Requesting Data...3840841490</v>
        <stp/>
        <stp>BDP|11039141125346570438</stp>
        <tr r="C2248" s="2"/>
      </tp>
      <tp t="s">
        <v>#N/A Requesting Data...3893216197</v>
        <stp/>
        <stp>BDP|17056528590678220377</stp>
        <tr r="E2380" s="2"/>
      </tp>
      <tp t="b">
        <v>0</v>
        <stp/>
        <stp>BDS|12223434927290397413</stp>
        <tr r="I85" s="2"/>
      </tp>
      <tp t="s">
        <v>#N/A Requesting Data...3863678252</v>
        <stp/>
        <stp>BDP|17873235521391588687</stp>
        <tr r="O1730" s="2"/>
      </tp>
      <tp t="s">
        <v>#N/A Requesting Data...2863632836</v>
        <stp/>
        <stp>BDP|10376507265332091114</stp>
        <tr r="E1839" s="2"/>
      </tp>
      <tp t="s">
        <v>#N/A Requesting Data...3072629247</v>
        <stp/>
        <stp>BDP|10216706672014703409</stp>
        <tr r="T1243" s="2"/>
      </tp>
      <tp t="s">
        <v>#N/A Requesting Data...3509381337</v>
        <stp/>
        <stp>BDP|12828176102014890720</stp>
        <tr r="S1052" s="2"/>
      </tp>
      <tp t="s">
        <v>#N/A Requesting Data...2652585242</v>
        <stp/>
        <stp>BDP|16980719560601880672</stp>
        <tr r="P1015" s="2"/>
      </tp>
      <tp t="s">
        <v>#N/A Requesting Data...3256316857</v>
        <stp/>
        <stp>BDP|12628758705395560042</stp>
        <tr r="S2257" s="2"/>
      </tp>
      <tp t="s">
        <v>#N/A Requesting Data...4210081143</v>
        <stp/>
        <stp>BDP|13567642870880426223</stp>
        <tr r="J1416" s="2"/>
      </tp>
      <tp t="s">
        <v>#N/A Requesting Data...3505864009</v>
        <stp/>
        <stp>BDP|18203799641408824352</stp>
        <tr r="O1995" s="2"/>
      </tp>
      <tp t="s">
        <v>#N/A Requesting Data...3916999606</v>
        <stp/>
        <stp>BDP|14297333838135772190</stp>
        <tr r="C2354" s="2"/>
      </tp>
      <tp t="s">
        <v>#N/A Requesting Data...3642349242</v>
        <stp/>
        <stp>BDP|10654667222200383464</stp>
        <tr r="Q2387" s="2"/>
      </tp>
      <tp t="s">
        <v>#N/A Requesting Data...4214390084</v>
        <stp/>
        <stp>BDP|11305718455546750574</stp>
        <tr r="C1303" s="2"/>
      </tp>
      <tp t="s">
        <v>#N/A Requesting Data...3088232255</v>
        <stp/>
        <stp>BDP|18224340657888738615</stp>
        <tr r="D175" s="2"/>
      </tp>
      <tp t="s">
        <v>#N/A Requesting Data...4036151512</v>
        <stp/>
        <stp>BDP|14814098421115388343</stp>
        <tr r="D1767" s="2"/>
      </tp>
      <tp t="s">
        <v>#N/A Requesting Data...4007794750</v>
        <stp/>
        <stp>BDP|13278684517613314797</stp>
        <tr r="G1182" s="2"/>
      </tp>
      <tp t="s">
        <v>#N/A Requesting Data...3505977019</v>
        <stp/>
        <stp>BDP|18390753801956907990</stp>
        <tr r="H790" s="2"/>
      </tp>
      <tp t="s">
        <v>#N/A Requesting Data...3587413917</v>
        <stp/>
        <stp>BDP|16661917611126241837</stp>
        <tr r="F263" s="2"/>
      </tp>
      <tp t="s">
        <v>#N/A Requesting Data...3224685434</v>
        <stp/>
        <stp>BDP|16366969162070286924</stp>
        <tr r="M1399" s="2"/>
      </tp>
      <tp t="s">
        <v>#N/A Requesting Data...2753010865</v>
        <stp/>
        <stp>BDP|17534925300406701871</stp>
        <tr r="G851" s="2"/>
      </tp>
      <tp t="s">
        <v>#N/A Requesting Data...4081710302</v>
        <stp/>
        <stp>BDP|14365501317973281315</stp>
        <tr r="A1307" s="2"/>
      </tp>
      <tp t="s">
        <v>#N/A Requesting Data...2929516862</v>
        <stp/>
        <stp>BDP|17734174812594796328</stp>
        <tr r="P2066" s="2"/>
      </tp>
      <tp t="s">
        <v>#N/A Requesting Data...2988387160</v>
        <stp/>
        <stp>BDP|13897215812836851643</stp>
        <tr r="H693" s="2"/>
      </tp>
      <tp t="s">
        <v>#N/A Requesting Data...2996387565</v>
        <stp/>
        <stp>BDP|14422460953626776311</stp>
        <tr r="F545" s="2"/>
      </tp>
      <tp t="s">
        <v>#N/A Requesting Data...3500365185</v>
        <stp/>
        <stp>BDP|10373156405306639723</stp>
        <tr r="J2322" s="2"/>
      </tp>
      <tp t="s">
        <v>#N/A Requesting Data...3336911807</v>
        <stp/>
        <stp>BDP|12983259351367361296</stp>
        <tr r="T637" s="2"/>
      </tp>
      <tp t="s">
        <v>#N/A Requesting Data...3461258586</v>
        <stp/>
        <stp>BDP|17042704902498665830</stp>
        <tr r="K2193" s="2"/>
      </tp>
      <tp t="s">
        <v>#N/A Requesting Data...4214816841</v>
        <stp/>
        <stp>BDP|15168895896664930004</stp>
        <tr r="O176" s="2"/>
      </tp>
      <tp t="s">
        <v>#N/A Requesting Data...3552024017</v>
        <stp/>
        <stp>BDP|15773186885254963844</stp>
        <tr r="H951" s="2"/>
      </tp>
      <tp t="s">
        <v>#N/A Requesting Data...3606586936</v>
        <stp/>
        <stp>BDP|12083334818048554898</stp>
        <tr r="A1229" s="2"/>
      </tp>
      <tp t="s">
        <v>#N/A Requesting Data...2630474593</v>
        <stp/>
        <stp>BDP|17820847361281910837</stp>
        <tr r="R1143" s="2"/>
      </tp>
      <tp t="s">
        <v>#N/A Requesting Data...3778849922</v>
        <stp/>
        <stp>BDP|15367139312443637639</stp>
        <tr r="T2331" s="2"/>
      </tp>
      <tp t="s">
        <v>#N/A Requesting Data...2653860719</v>
        <stp/>
        <stp>BDP|16120289077747042499</stp>
        <tr r="O332" s="2"/>
      </tp>
      <tp t="s">
        <v>#N/A Requesting Data...3698848699</v>
        <stp/>
        <stp>BDP|18377967478525967332</stp>
        <tr r="K1928" s="2"/>
      </tp>
      <tp t="s">
        <v>#N/A Requesting Data...2945425098</v>
        <stp/>
        <stp>BDP|14867687560607712307</stp>
        <tr r="R2038" s="2"/>
      </tp>
      <tp t="s">
        <v>#N/A Requesting Data...2716533757</v>
        <stp/>
        <stp>BDP|10366489319843653633</stp>
        <tr r="S491" s="2"/>
      </tp>
      <tp t="s">
        <v>#N/A Requesting Data...4200218855</v>
        <stp/>
        <stp>BDP|14567700511997196526</stp>
        <tr r="G2028" s="2"/>
      </tp>
      <tp t="s">
        <v>#N/A Requesting Data...4261195711</v>
        <stp/>
        <stp>BDP|17314155677650368154</stp>
        <tr r="S1108" s="2"/>
      </tp>
      <tp t="s">
        <v>#N/A Requesting Data...2683229671</v>
        <stp/>
        <stp>BDP|11043243309197810427</stp>
        <tr r="E729" s="2"/>
      </tp>
      <tp t="s">
        <v>#N/A Requesting Data...3394880378</v>
        <stp/>
        <stp>BDP|12449610141175440576</stp>
        <tr r="Q681" s="2"/>
      </tp>
      <tp t="b">
        <v>0</v>
        <stp/>
        <stp>BDS|13508144254560333725</stp>
        <tr r="I765" s="2"/>
      </tp>
      <tp t="s">
        <v>#N/A Requesting Data...3359273511</v>
        <stp/>
        <stp>BDP|13608862442059153640</stp>
        <tr r="M40" s="2"/>
      </tp>
      <tp t="s">
        <v>#N/A Requesting Data...3486164132</v>
        <stp/>
        <stp>BDP|18095949602063835294</stp>
        <tr r="D1407" s="2"/>
      </tp>
      <tp t="b">
        <v>0</v>
        <stp/>
        <stp>BDS|11158549451231503058</stp>
        <tr r="I190" s="2"/>
      </tp>
      <tp t="s">
        <v>#N/A Requesting Data...3709508327</v>
        <stp/>
        <stp>BDP|15558000554404542433</stp>
        <tr r="R435" s="2"/>
      </tp>
      <tp t="s">
        <v>#N/A Requesting Data...3485712556</v>
        <stp/>
        <stp>BDP|12799640475374851799</stp>
        <tr r="T319" s="2"/>
      </tp>
      <tp t="s">
        <v>#N/A Requesting Data...3431283370</v>
        <stp/>
        <stp>BDP|16593951687660399731</stp>
        <tr r="O2469" s="2"/>
      </tp>
      <tp t="s">
        <v>#N/A Requesting Data...3117237013</v>
        <stp/>
        <stp>BDP|17050373306260522430</stp>
        <tr r="E172" s="2"/>
      </tp>
      <tp t="b">
        <v>0</v>
        <stp/>
        <stp>BDS|15513316960393514353</stp>
        <tr r="I1555" s="2"/>
      </tp>
      <tp t="s">
        <v>#N/A Requesting Data...4061345035</v>
        <stp/>
        <stp>BDP|17081323261501315379</stp>
        <tr r="H1229" s="2"/>
      </tp>
      <tp t="s">
        <v>#N/A Requesting Data...2747399403</v>
        <stp/>
        <stp>BDP|17442255451842094276</stp>
        <tr r="P1967" s="2"/>
      </tp>
      <tp t="s">
        <v>#N/A Requesting Data...3229687402</v>
        <stp/>
        <stp>BDP|12640322337575644721</stp>
        <tr r="G492" s="2"/>
      </tp>
      <tp t="s">
        <v>#N/A Requesting Data...4073453355</v>
        <stp/>
        <stp>BDP|12272224942043221774</stp>
        <tr r="Q318" s="2"/>
      </tp>
      <tp t="s">
        <v>#N/A Requesting Data...3032627802</v>
        <stp/>
        <stp>BDP|10010209848766937069</stp>
        <tr r="R229" s="2"/>
      </tp>
      <tp t="s">
        <v>#N/A Requesting Data...3216188350</v>
        <stp/>
        <stp>BDP|11478693770714207486</stp>
        <tr r="C2164" s="2"/>
      </tp>
      <tp t="s">
        <v>#N/A Requesting Data...3727877411</v>
        <stp/>
        <stp>BDP|16065480108390384248</stp>
        <tr r="R635" s="2"/>
      </tp>
      <tp t="s">
        <v>#N/A Requesting Data...4226229404</v>
        <stp/>
        <stp>BDP|16311299178845302665</stp>
        <tr r="D739" s="2"/>
      </tp>
      <tp t="s">
        <v>#N/A Requesting Data...3191933886</v>
        <stp/>
        <stp>BDP|13590391268773595563</stp>
        <tr r="O2074" s="2"/>
      </tp>
      <tp t="b">
        <v>0</v>
        <stp/>
        <stp>BDS|12619155930566236657</stp>
        <tr r="I904" s="2"/>
      </tp>
      <tp t="s">
        <v>#N/A Requesting Data...3408882194</v>
        <stp/>
        <stp>BDP|12013723877655415761</stp>
        <tr r="S2524" s="2"/>
      </tp>
      <tp t="s">
        <v>#N/A Requesting Data...3436480495</v>
        <stp/>
        <stp>BDP|13696400342364768748</stp>
        <tr r="P763" s="2"/>
      </tp>
      <tp t="s">
        <v>#N/A Requesting Data...2863414919</v>
        <stp/>
        <stp>BDP|17015344011753104636</stp>
        <tr r="T971" s="2"/>
      </tp>
      <tp t="s">
        <v>#N/A Requesting Data...3412834906</v>
        <stp/>
        <stp>BDP|10995366259621044719</stp>
        <tr r="N603" s="2"/>
      </tp>
      <tp t="s">
        <v>#N/A Requesting Data...3671810183</v>
        <stp/>
        <stp>BDP|16091360480605827899</stp>
        <tr r="M1424" s="2"/>
      </tp>
      <tp t="s">
        <v>#N/A Requesting Data...3554643210</v>
        <stp/>
        <stp>BDP|16975044552525060684</stp>
        <tr r="J1040" s="2"/>
      </tp>
      <tp t="s">
        <v>#N/A Requesting Data...3952769782</v>
        <stp/>
        <stp>BDP|13190431264988696963</stp>
        <tr r="R1184" s="2"/>
      </tp>
      <tp t="s">
        <v>#N/A Requesting Data...3772599728</v>
        <stp/>
        <stp>BDP|16118332543627567628</stp>
        <tr r="A2532" s="2"/>
      </tp>
      <tp t="s">
        <v>#N/A Requesting Data...4087291750</v>
        <stp/>
        <stp>BDP|17220316000884772020</stp>
        <tr r="O780" s="2"/>
      </tp>
      <tp t="s">
        <v>#N/A Requesting Data...3890980126</v>
        <stp/>
        <stp>BDP|16717724472137175108</stp>
        <tr r="F874" s="2"/>
      </tp>
      <tp t="s">
        <v>#N/A Requesting Data...4056362250</v>
        <stp/>
        <stp>BDP|11274630012110543609</stp>
        <tr r="T2062" s="2"/>
      </tp>
      <tp t="s">
        <v>#N/A Requesting Data...2881510377</v>
        <stp/>
        <stp>BDP|17445820686866456122</stp>
        <tr r="J331" s="2"/>
      </tp>
      <tp t="s">
        <v>#N/A Requesting Data...3220102228</v>
        <stp/>
        <stp>BDP|10834686603856745022</stp>
        <tr r="M1299" s="2"/>
      </tp>
      <tp t="s">
        <v>#N/A Requesting Data...4027883514</v>
        <stp/>
        <stp>BDP|13940561022993266790</stp>
        <tr r="S1377" s="2"/>
      </tp>
      <tp t="s">
        <v>#N/A Requesting Data...4024979894</v>
        <stp/>
        <stp>BDP|10470488069195212715</stp>
        <tr r="K912" s="2"/>
      </tp>
      <tp t="s">
        <v>#N/A Requesting Data...3827188233</v>
        <stp/>
        <stp>BDP|11742993402841918934</stp>
        <tr r="H1845" s="2"/>
      </tp>
      <tp t="s">
        <v>#N/A Requesting Data...2978494958</v>
        <stp/>
        <stp>BDP|13601679564266138522</stp>
        <tr r="C696" s="2"/>
      </tp>
      <tp t="s">
        <v>#N/A Requesting Data...3478498514</v>
        <stp/>
        <stp>BDP|13131376584220653828</stp>
        <tr r="A1388" s="2"/>
      </tp>
      <tp t="s">
        <v>#N/A Requesting Data...4173497090</v>
        <stp/>
        <stp>BDP|15235574719931936037</stp>
        <tr r="P1136" s="2"/>
      </tp>
      <tp t="s">
        <v>#N/A Requesting Data...2967589468</v>
        <stp/>
        <stp>BDP|11222628217246804092</stp>
        <tr r="C1780" s="2"/>
      </tp>
      <tp t="s">
        <v>#N/A Requesting Data...3299104667</v>
        <stp/>
        <stp>BDP|13562244287930250924</stp>
        <tr r="N2055" s="2"/>
      </tp>
      <tp t="s">
        <v>#N/A Requesting Data...3856847916</v>
        <stp/>
        <stp>BDP|14060327205244514348</stp>
        <tr r="A1358" s="2"/>
      </tp>
      <tp t="s">
        <v>#N/A Requesting Data...3622761621</v>
        <stp/>
        <stp>BDP|11723937842438481440</stp>
        <tr r="R374" s="2"/>
      </tp>
      <tp t="s">
        <v>#N/A Requesting Data...3949307479</v>
        <stp/>
        <stp>BDP|10241411513356764319</stp>
        <tr r="H2265" s="2"/>
      </tp>
      <tp t="s">
        <v>#N/A Requesting Data...3995551116</v>
        <stp/>
        <stp>BDP|14336873392991069406</stp>
        <tr r="N1177" s="2"/>
      </tp>
      <tp t="s">
        <v>#N/A Requesting Data...3059788532</v>
        <stp/>
        <stp>BDP|14291227721671355544</stp>
        <tr r="T1424" s="2"/>
      </tp>
      <tp t="s">
        <v>#N/A Requesting Data...3558736604</v>
        <stp/>
        <stp>BDP|12480487919290077733</stp>
        <tr r="Q1827" s="2"/>
      </tp>
      <tp t="s">
        <v>#N/A Requesting Data...3706423806</v>
        <stp/>
        <stp>BDP|17233418509183428081</stp>
        <tr r="T2226" s="2"/>
      </tp>
      <tp t="s">
        <v>#N/A Requesting Data...2944215207</v>
        <stp/>
        <stp>BDP|15098935054128117104</stp>
        <tr r="H1754" s="2"/>
      </tp>
      <tp t="s">
        <v>#N/A Requesting Data...3299240477</v>
        <stp/>
        <stp>BDP|17552596744931848766</stp>
        <tr r="G468" s="2"/>
      </tp>
      <tp t="s">
        <v>#N/A Requesting Data...2932892397</v>
        <stp/>
        <stp>BDP|13627568805721524767</stp>
        <tr r="J2346" s="2"/>
      </tp>
      <tp t="s">
        <v>#N/A Requesting Data...3750260019</v>
        <stp/>
        <stp>BDP|16408629850070000501</stp>
        <tr r="H287" s="2"/>
      </tp>
      <tp t="b">
        <v>0</v>
        <stp/>
        <stp>BDS|12371471753767103439</stp>
        <tr r="I2187" s="2"/>
      </tp>
      <tp t="s">
        <v>#N/A Requesting Data...3645576842</v>
        <stp/>
        <stp>BDP|13680221363365138206</stp>
        <tr r="D512" s="2"/>
      </tp>
      <tp t="s">
        <v>#N/A Requesting Data...3424825723</v>
        <stp/>
        <stp>BDP|15029137623242103478</stp>
        <tr r="G561" s="2"/>
      </tp>
      <tp t="s">
        <v>#N/A Requesting Data...3963445522</v>
        <stp/>
        <stp>BDP|12484971183556156576</stp>
        <tr r="A2145" s="2"/>
      </tp>
      <tp t="s">
        <v>#N/A Requesting Data...3765197779</v>
        <stp/>
        <stp>BDP|11885043927155431697</stp>
        <tr r="F2484" s="2"/>
      </tp>
      <tp t="s">
        <v>#N/A Requesting Data...3662549163</v>
        <stp/>
        <stp>BDP|11280523245663411372</stp>
        <tr r="N704" s="2"/>
      </tp>
      <tp t="s">
        <v>#N/A Requesting Data...3576358184</v>
        <stp/>
        <stp>BDP|14526725421349023808</stp>
        <tr r="D492" s="2"/>
      </tp>
      <tp t="s">
        <v>#N/A Requesting Data...2993820649</v>
        <stp/>
        <stp>BDP|16503664581141087943</stp>
        <tr r="F833" s="2"/>
      </tp>
      <tp t="s">
        <v>#N/A Requesting Data...3426671597</v>
        <stp/>
        <stp>BDP|16375879526424544810</stp>
        <tr r="O2261" s="2"/>
      </tp>
      <tp t="s">
        <v>#N/A Requesting Data...3684005358</v>
        <stp/>
        <stp>BDP|12416106537070096050</stp>
        <tr r="D2015" s="2"/>
      </tp>
      <tp t="s">
        <v>#N/A Requesting Data...4182532663</v>
        <stp/>
        <stp>BDP|14568014663803141103</stp>
        <tr r="A329" s="2"/>
      </tp>
      <tp t="s">
        <v>#N/A Requesting Data...3635542037</v>
        <stp/>
        <stp>BDP|10463446104822279602</stp>
        <tr r="O1187" s="2"/>
      </tp>
      <tp t="s">
        <v>#N/A Requesting Data...3041562576</v>
        <stp/>
        <stp>BDP|13482328960710993693</stp>
        <tr r="P1513" s="2"/>
      </tp>
      <tp t="s">
        <v>#N/A Requesting Data...3810271566</v>
        <stp/>
        <stp>BDP|14139735186052429969</stp>
        <tr r="D2054" s="2"/>
      </tp>
      <tp t="s">
        <v>#N/A Requesting Data...3250574632</v>
        <stp/>
        <stp>BDP|13152379174223312472</stp>
        <tr r="P1740" s="2"/>
      </tp>
      <tp t="s">
        <v>#N/A Requesting Data...3512042560</v>
        <stp/>
        <stp>BDP|14963282023997666327</stp>
        <tr r="S80" s="2"/>
      </tp>
      <tp t="s">
        <v>#N/A Requesting Data...4194371880</v>
        <stp/>
        <stp>BDP|12651323892910960895</stp>
        <tr r="S1442" s="2"/>
      </tp>
      <tp t="b">
        <v>0</v>
        <stp/>
        <stp>BDS|14033072524360387656</stp>
        <tr r="I2075" s="2"/>
      </tp>
      <tp t="s">
        <v>#N/A Requesting Data...3978213466</v>
        <stp/>
        <stp>BDP|14223919030136123844</stp>
        <tr r="R1280" s="2"/>
      </tp>
      <tp t="s">
        <v>#N/A Requesting Data...3522889416</v>
        <stp/>
        <stp>BDP|13957237734103982117</stp>
        <tr r="N1619" s="2"/>
      </tp>
      <tp t="s">
        <v>#N/A Requesting Data...4117905952</v>
        <stp/>
        <stp>BDP|17419096239616023220</stp>
        <tr r="C1889" s="2"/>
      </tp>
      <tp t="s">
        <v>#N/A Requesting Data...3208306957</v>
        <stp/>
        <stp>BDP|10771555347374171525</stp>
        <tr r="J749" s="2"/>
      </tp>
      <tp t="s">
        <v>#N/A Requesting Data...3953678269</v>
        <stp/>
        <stp>BDP|17416442672302706633</stp>
        <tr r="J1812" s="2"/>
      </tp>
      <tp t="s">
        <v>#N/A Requesting Data...3895575083</v>
        <stp/>
        <stp>BDP|10601060507526446652</stp>
        <tr r="J2015" s="2"/>
      </tp>
      <tp t="s">
        <v>#N/A Requesting Data...3386570863</v>
        <stp/>
        <stp>BDP|10797038932491914297</stp>
        <tr r="E814" s="2"/>
      </tp>
      <tp t="s">
        <v>#N/A Requesting Data...3776932841</v>
        <stp/>
        <stp>BDP|17009853677560067842</stp>
        <tr r="T35" s="2"/>
      </tp>
      <tp t="s">
        <v>#N/A Requesting Data...3979137053</v>
        <stp/>
        <stp>BDP|18219821079177840077</stp>
        <tr r="H976" s="2"/>
      </tp>
      <tp t="b">
        <v>0</v>
        <stp/>
        <stp>BDS|17161452311615909790</stp>
        <tr r="I619" s="2"/>
      </tp>
      <tp t="s">
        <v>#N/A Requesting Data...3951557242</v>
        <stp/>
        <stp>BDP|14643720437757603731</stp>
        <tr r="A651" s="2"/>
      </tp>
      <tp t="b">
        <v>0</v>
        <stp/>
        <stp>BDS|17832470010551916335</stp>
        <tr r="I370" s="2"/>
      </tp>
      <tp t="s">
        <v>#N/A Requesting Data...3647606793</v>
        <stp/>
        <stp>BDP|17436074563225263441</stp>
        <tr r="D448" s="2"/>
      </tp>
      <tp t="s">
        <v>#N/A Requesting Data...3090008464</v>
        <stp/>
        <stp>BDP|15249936656338946184</stp>
        <tr r="H1026" s="2"/>
      </tp>
      <tp t="s">
        <v>#N/A Requesting Data...3193162120</v>
        <stp/>
        <stp>BDP|17723741919147564695</stp>
        <tr r="D1221" s="2"/>
      </tp>
      <tp t="s">
        <v>#N/A Requesting Data...3144619162</v>
        <stp/>
        <stp>BDP|11047407227534261331</stp>
        <tr r="D211" s="2"/>
      </tp>
      <tp t="s">
        <v>#N/A Requesting Data...3235052405</v>
        <stp/>
        <stp>BDP|11224187469772437410</stp>
        <tr r="N2124" s="2"/>
      </tp>
      <tp t="s">
        <v>#N/A Requesting Data...4106076814</v>
        <stp/>
        <stp>BDP|17717149800987237173</stp>
        <tr r="H1597" s="2"/>
      </tp>
      <tp t="s">
        <v>#N/A Requesting Data...3781124206</v>
        <stp/>
        <stp>BDP|15261575701172162235</stp>
        <tr r="J1895" s="2"/>
      </tp>
      <tp t="b">
        <v>0</v>
        <stp/>
        <stp>BDS|14159614188663827955</stp>
        <tr r="I103" s="2"/>
      </tp>
      <tp t="s">
        <v>#N/A Requesting Data...3235628809</v>
        <stp/>
        <stp>BDP|10466728730820778471</stp>
        <tr r="H1870" s="2"/>
      </tp>
      <tp t="s">
        <v>#N/A Requesting Data...3937472240</v>
        <stp/>
        <stp>BDP|17489266360957504417</stp>
        <tr r="P1598" s="2"/>
      </tp>
      <tp t="s">
        <v>#N/A Requesting Data...3280712730</v>
        <stp/>
        <stp>BDP|12706730357146666637</stp>
        <tr r="T56" s="2"/>
      </tp>
      <tp t="s">
        <v>#N/A Requesting Data...3769978576</v>
        <stp/>
        <stp>BDP|13621513728707014397</stp>
        <tr r="D1682" s="2"/>
      </tp>
      <tp t="s">
        <v>#N/A Requesting Data...3889602693</v>
        <stp/>
        <stp>BDP|17636222700452246701</stp>
        <tr r="D665" s="2"/>
      </tp>
      <tp t="s">
        <v>#N/A Requesting Data...4228397681</v>
        <stp/>
        <stp>BDP|13794213901060955188</stp>
        <tr r="K588" s="2"/>
      </tp>
      <tp t="s">
        <v>#N/A Requesting Data...4037552392</v>
        <stp/>
        <stp>BDP|10208133011437552735</stp>
        <tr r="D801" s="2"/>
      </tp>
      <tp t="s">
        <v>#N/A Requesting Data...3148894628</v>
        <stp/>
        <stp>BDP|12816505256995984712</stp>
        <tr r="E1848" s="2"/>
      </tp>
      <tp t="b">
        <v>0</v>
        <stp/>
        <stp>BDS|12196569205271229657</stp>
        <tr r="I2443" s="2"/>
      </tp>
      <tp t="s">
        <v>#N/A Requesting Data...4288436953</v>
        <stp/>
        <stp>BDP|17079372300757258330</stp>
        <tr r="Q1418" s="2"/>
      </tp>
      <tp t="s">
        <v>#N/A Requesting Data...4108432598</v>
        <stp/>
        <stp>BDP|14334205201136025042</stp>
        <tr r="M1198" s="2"/>
      </tp>
      <tp t="s">
        <v>#N/A Requesting Data...3993031155</v>
        <stp/>
        <stp>BDP|14330331222521542414</stp>
        <tr r="D1963" s="2"/>
      </tp>
      <tp t="s">
        <v>#N/A Requesting Data...3297081337</v>
        <stp/>
        <stp>BDP|15506621037410509033</stp>
        <tr r="D1292" s="2"/>
      </tp>
      <tp t="s">
        <v>#N/A Requesting Data...3154796954</v>
        <stp/>
        <stp>BDP|15717712864653430700</stp>
        <tr r="K170" s="2"/>
      </tp>
      <tp t="s">
        <v>#N/A Requesting Data...3799025269</v>
        <stp/>
        <stp>BDP|11566489330141800738</stp>
        <tr r="C2198" s="2"/>
      </tp>
      <tp t="s">
        <v>#N/A Requesting Data...3682189625</v>
        <stp/>
        <stp>BDP|10765867304011224915</stp>
        <tr r="O906" s="2"/>
      </tp>
      <tp t="s">
        <v>#N/A Requesting Data...3360518295</v>
        <stp/>
        <stp>BDP|13743944643979461729</stp>
        <tr r="G1592" s="2"/>
      </tp>
      <tp t="s">
        <v>#N/A Requesting Data...2999365494</v>
        <stp/>
        <stp>BDP|17229101150022115157</stp>
        <tr r="Q1712" s="2"/>
      </tp>
      <tp t="s">
        <v>#N/A Requesting Data...3009558289</v>
        <stp/>
        <stp>BDP|17672075507305468242</stp>
        <tr r="A210" s="2"/>
      </tp>
      <tp t="s">
        <v>#N/A Requesting Data...4123189602</v>
        <stp/>
        <stp>BDP|14307315840413705034</stp>
        <tr r="H192" s="2"/>
      </tp>
      <tp t="s">
        <v>#N/A Requesting Data...4116714058</v>
        <stp/>
        <stp>BDP|17761418342895300213</stp>
        <tr r="E230" s="2"/>
      </tp>
      <tp t="s">
        <v>#N/A Requesting Data...3408869139</v>
        <stp/>
        <stp>BDP|15119514234256579575</stp>
        <tr r="N1429" s="2"/>
      </tp>
      <tp t="s">
        <v>#N/A Requesting Data...3535230317</v>
        <stp/>
        <stp>BDP|15723543962082501424</stp>
        <tr r="A1897" s="2"/>
      </tp>
      <tp t="s">
        <v>#N/A Requesting Data...4058044071</v>
        <stp/>
        <stp>BDP|13019300575355237215</stp>
        <tr r="J2336" s="2"/>
      </tp>
      <tp t="s">
        <v>#N/A Requesting Data...3752578516</v>
        <stp/>
        <stp>BDP|12529526077415672503</stp>
        <tr r="R1200" s="2"/>
      </tp>
      <tp t="s">
        <v>#N/A Requesting Data...3073811285</v>
        <stp/>
        <stp>BDP|15165040972141202333</stp>
        <tr r="R1573" s="2"/>
      </tp>
      <tp t="s">
        <v>#N/A Requesting Data...3754838787</v>
        <stp/>
        <stp>BDP|11122871253064152822</stp>
        <tr r="T1877" s="2"/>
      </tp>
      <tp t="s">
        <v>#N/A Requesting Data...4120250104</v>
        <stp/>
        <stp>BDP|12324304085351496848</stp>
        <tr r="P1709" s="2"/>
      </tp>
      <tp t="s">
        <v>#N/A Requesting Data...3319752014</v>
        <stp/>
        <stp>BDP|17060187690779866664</stp>
        <tr r="F1553" s="2"/>
      </tp>
      <tp t="s">
        <v>#N/A Requesting Data...3822097907</v>
        <stp/>
        <stp>BDP|18290968740140010525</stp>
        <tr r="D2513" s="2"/>
      </tp>
      <tp t="s">
        <v>#N/A Requesting Data...4057498906</v>
        <stp/>
        <stp>BDP|12275398412546129713</stp>
        <tr r="Q164" s="2"/>
      </tp>
      <tp t="s">
        <v>#N/A Requesting Data...3995346445</v>
        <stp/>
        <stp>BDP|11635839100291444987</stp>
        <tr r="D1349" s="2"/>
      </tp>
      <tp t="s">
        <v>#N/A Requesting Data...3163202775</v>
        <stp/>
        <stp>BDP|13301710939955415363</stp>
        <tr r="Q2347" s="2"/>
      </tp>
      <tp t="s">
        <v>#N/A Requesting Data...4147096775</v>
        <stp/>
        <stp>BDP|10336749249372428030</stp>
        <tr r="S1385" s="2"/>
      </tp>
      <tp t="s">
        <v>#N/A Requesting Data...3920390223</v>
        <stp/>
        <stp>BDP|15049908545499820041</stp>
        <tr r="G653" s="2"/>
      </tp>
      <tp t="s">
        <v>#N/A Requesting Data...3005276410</v>
        <stp/>
        <stp>BDP|12202547236045152089</stp>
        <tr r="S2128" s="2"/>
      </tp>
      <tp t="s">
        <v>#N/A Requesting Data...3150551389</v>
        <stp/>
        <stp>BDP|15440038630766959174</stp>
        <tr r="G1110" s="2"/>
      </tp>
      <tp t="s">
        <v>#N/A Requesting Data...3549073608</v>
        <stp/>
        <stp>BDP|11501155310140973009</stp>
        <tr r="P1881" s="2"/>
      </tp>
      <tp t="s">
        <v>#N/A Requesting Data...4156228661</v>
        <stp/>
        <stp>BDP|16887124674481707001</stp>
        <tr r="O153" s="2"/>
      </tp>
      <tp t="s">
        <v>#N/A Requesting Data...3823816934</v>
        <stp/>
        <stp>BDP|13244017726700948059</stp>
        <tr r="Q1624" s="2"/>
      </tp>
      <tp t="s">
        <v>#N/A Requesting Data...3242366941</v>
        <stp/>
        <stp>BDP|11415136098978341053</stp>
        <tr r="M1193" s="2"/>
      </tp>
      <tp t="s">
        <v>#N/A Requesting Data...3181696516</v>
        <stp/>
        <stp>BDP|11708882497096499753</stp>
        <tr r="T792" s="2"/>
      </tp>
      <tp t="s">
        <v>#N/A Requesting Data...3733538527</v>
        <stp/>
        <stp>BDP|10011279553193515580</stp>
        <tr r="P1050" s="2"/>
      </tp>
      <tp t="s">
        <v>#N/A Requesting Data...3392950107</v>
        <stp/>
        <stp>BDP|14994650030260329061</stp>
        <tr r="J1717" s="2"/>
      </tp>
      <tp t="s">
        <v>#N/A Requesting Data...3641819453</v>
        <stp/>
        <stp>BDP|10587748778516456748</stp>
        <tr r="G2444" s="2"/>
      </tp>
      <tp t="s">
        <v>#N/A Requesting Data...4062068813</v>
        <stp/>
        <stp>BDP|12286475649436178541</stp>
        <tr r="P1111" s="2"/>
      </tp>
      <tp t="s">
        <v>#N/A Requesting Data...3623877197</v>
        <stp/>
        <stp>BDP|11799798830817771301</stp>
        <tr r="S1014" s="2"/>
      </tp>
      <tp t="s">
        <v>#N/A Requesting Data...3697252174</v>
        <stp/>
        <stp>BDP|13258794506687606228</stp>
        <tr r="G156" s="2"/>
      </tp>
      <tp t="s">
        <v>#N/A Requesting Data...3657420562</v>
        <stp/>
        <stp>BDP|12318655637955125391</stp>
        <tr r="F1809" s="2"/>
      </tp>
      <tp t="s">
        <v>#N/A Requesting Data...4289532620</v>
        <stp/>
        <stp>BDP|17460796404665696461</stp>
        <tr r="S302" s="2"/>
      </tp>
      <tp t="s">
        <v>#N/A Requesting Data...3095576252</v>
        <stp/>
        <stp>BDP|14416854818155528958</stp>
        <tr r="R1455" s="2"/>
      </tp>
      <tp t="s">
        <v>#N/A Requesting Data...3398461353</v>
        <stp/>
        <stp>BDP|11527435563867468584</stp>
        <tr r="R51" s="2"/>
      </tp>
      <tp t="s">
        <v>#N/A Requesting Data...3604944383</v>
        <stp/>
        <stp>BDP|10431444628543389427</stp>
        <tr r="P23" s="2"/>
      </tp>
      <tp t="s">
        <v>#N/A Requesting Data...3217873596</v>
        <stp/>
        <stp>BDP|10653507295614395990</stp>
        <tr r="Q1927" s="2"/>
      </tp>
      <tp t="s">
        <v>#N/A Requesting Data...3904155673</v>
        <stp/>
        <stp>BDP|13832572165954253510</stp>
        <tr r="C583" s="2"/>
      </tp>
      <tp t="b">
        <v>0</v>
        <stp/>
        <stp>BDS|10963262635218231828</stp>
        <tr r="I840" s="2"/>
      </tp>
      <tp t="s">
        <v>#N/A Requesting Data...3748756979</v>
        <stp/>
        <stp>BDP|10443581375827815481</stp>
        <tr r="K776" s="2"/>
      </tp>
      <tp t="s">
        <v>#N/A Requesting Data...3123565129</v>
        <stp/>
        <stp>BDP|11840205108872061092</stp>
        <tr r="K146" s="2"/>
      </tp>
      <tp t="b">
        <v>0</v>
        <stp/>
        <stp>BDS|10691788215616131109</stp>
        <tr r="I1023" s="2"/>
      </tp>
      <tp t="s">
        <v>#N/A Requesting Data...3859349729</v>
        <stp/>
        <stp>BDP|17119224609724264017</stp>
        <tr r="S653" s="2"/>
      </tp>
      <tp t="s">
        <v>#N/A Requesting Data...3794748032</v>
        <stp/>
        <stp>BDP|16530800674090944814</stp>
        <tr r="R1368" s="2"/>
      </tp>
      <tp t="s">
        <v>#N/A Requesting Data...4274077424</v>
        <stp/>
        <stp>BDP|12999728146189777934</stp>
        <tr r="K809" s="2"/>
      </tp>
      <tp t="s">
        <v>#N/A Requesting Data...3349426623</v>
        <stp/>
        <stp>BDP|10846605604935595202</stp>
        <tr r="M101" s="2"/>
      </tp>
      <tp t="s">
        <v>#N/A Requesting Data...3172694982</v>
        <stp/>
        <stp>BDP|12255753246024005485</stp>
        <tr r="E2042" s="2"/>
      </tp>
      <tp t="s">
        <v>#N/A Requesting Data...3187582573</v>
        <stp/>
        <stp>BDP|12831457053156614417</stp>
        <tr r="T2104" s="2"/>
      </tp>
      <tp t="s">
        <v>#N/A Requesting Data...3886104440</v>
        <stp/>
        <stp>BDP|11203431329810932689</stp>
        <tr r="F473" s="2"/>
      </tp>
      <tp t="s">
        <v>#N/A Requesting Data...3214905260</v>
        <stp/>
        <stp>BDP|13413221208743656311</stp>
        <tr r="E65" s="2"/>
      </tp>
      <tp t="s">
        <v>#N/A Requesting Data...4034275688</v>
        <stp/>
        <stp>BDP|16926255414785703162</stp>
        <tr r="A1459" s="2"/>
      </tp>
      <tp t="s">
        <v>#N/A Requesting Data...3092443961</v>
        <stp/>
        <stp>BDP|14947504792489403066</stp>
        <tr r="A2415" s="2"/>
      </tp>
      <tp t="s">
        <v>#N/A Requesting Data...4063144627</v>
        <stp/>
        <stp>BDP|14310223147661716287</stp>
        <tr r="K362" s="2"/>
      </tp>
      <tp t="s">
        <v>#N/A Requesting Data...3322999602</v>
        <stp/>
        <stp>BDP|17977434452064929380</stp>
        <tr r="J1419" s="2"/>
      </tp>
      <tp t="s">
        <v>#N/A Requesting Data...3286576664</v>
        <stp/>
        <stp>BDP|16993541436302639349</stp>
        <tr r="F1626" s="2"/>
      </tp>
      <tp t="s">
        <v>#N/A Requesting Data...4168518953</v>
        <stp/>
        <stp>BDP|15812199579577498555</stp>
        <tr r="M1428" s="2"/>
      </tp>
      <tp t="s">
        <v>#N/A Requesting Data...3387296894</v>
        <stp/>
        <stp>BDP|14954493248895764069</stp>
        <tr r="F161" s="2"/>
      </tp>
      <tp t="s">
        <v>#N/A Requesting Data...4258016790</v>
        <stp/>
        <stp>BDP|16339607220162828126</stp>
        <tr r="O2233" s="2"/>
      </tp>
      <tp t="s">
        <v>#N/A Requesting Data...4049535111</v>
        <stp/>
        <stp>BDP|13816387875287861143</stp>
        <tr r="F1969" s="2"/>
      </tp>
      <tp t="s">
        <v>#N/A Requesting Data...3673666500</v>
        <stp/>
        <stp>BDP|10897012530362405049</stp>
        <tr r="C2517" s="2"/>
      </tp>
      <tp t="s">
        <v>#N/A Requesting Data...3240108956</v>
        <stp/>
        <stp>BDP|12691689133293678524</stp>
        <tr r="K852" s="2"/>
      </tp>
      <tp t="s">
        <v>#N/A Requesting Data...4114050316</v>
        <stp/>
        <stp>BDP|14654776739311992088</stp>
        <tr r="S112" s="2"/>
      </tp>
      <tp t="s">
        <v>#N/A Requesting Data...3444615139</v>
        <stp/>
        <stp>BDP|15105486076692191579</stp>
        <tr r="T1899" s="2"/>
      </tp>
      <tp t="s">
        <v>#N/A Requesting Data...3250786249</v>
        <stp/>
        <stp>BDP|10948297979685101115</stp>
        <tr r="O2299" s="2"/>
      </tp>
      <tp t="s">
        <v>#N/A Requesting Data...4156931983</v>
        <stp/>
        <stp>BDP|17146707249494515146</stp>
        <tr r="N86" s="2"/>
      </tp>
      <tp t="s">
        <v>#N/A Requesting Data...3200764836</v>
        <stp/>
        <stp>BDP|10985308321171324123</stp>
        <tr r="J2420" s="2"/>
      </tp>
      <tp t="s">
        <v>#N/A Requesting Data...4225668625</v>
        <stp/>
        <stp>BDP|15914335048897848438</stp>
        <tr r="D577" s="2"/>
      </tp>
      <tp t="s">
        <v>#N/A Requesting Data...3349260451</v>
        <stp/>
        <stp>BDP|17378296031655698249</stp>
        <tr r="N1527" s="2"/>
      </tp>
      <tp t="s">
        <v>#N/A Requesting Data...3358371691</v>
        <stp/>
        <stp>BDP|12625710969486083479</stp>
        <tr r="A1846" s="2"/>
      </tp>
      <tp t="s">
        <v>#N/A Requesting Data...4291164735</v>
        <stp/>
        <stp>BDP|13940138637909251967</stp>
        <tr r="T2175" s="2"/>
      </tp>
      <tp t="s">
        <v>#N/A Requesting Data...3450604761</v>
        <stp/>
        <stp>BDP|16477332379431151263</stp>
        <tr r="N2176" s="2"/>
      </tp>
      <tp t="s">
        <v>#N/A Requesting Data...3451596110</v>
        <stp/>
        <stp>BDP|14937483819657016711</stp>
        <tr r="K1011" s="2"/>
      </tp>
      <tp t="s">
        <v>#N/A Requesting Data...4114609202</v>
        <stp/>
        <stp>BDP|11922257655372506550</stp>
        <tr r="F2520" s="2"/>
      </tp>
      <tp t="s">
        <v>#N/A Requesting Data...3140764516</v>
        <stp/>
        <stp>BDP|13486402301970405685</stp>
        <tr r="A483" s="2"/>
      </tp>
      <tp t="s">
        <v>#N/A Requesting Data...3912305401</v>
        <stp/>
        <stp>BDP|12741667918482506651</stp>
        <tr r="P2401" s="2"/>
      </tp>
      <tp t="s">
        <v>#N/A Requesting Data...4198462773</v>
        <stp/>
        <stp>BDP|16664500674396357385</stp>
        <tr r="F2367" s="2"/>
      </tp>
      <tp t="s">
        <v>#N/A Requesting Data...3605172350</v>
        <stp/>
        <stp>BDP|11403217201085442796</stp>
        <tr r="M1216" s="2"/>
      </tp>
      <tp t="s">
        <v>#N/A Requesting Data...4080253923</v>
        <stp/>
        <stp>BDP|14036387627545653101</stp>
        <tr r="K1862" s="2"/>
      </tp>
      <tp t="s">
        <v>#N/A Requesting Data...3152804457</v>
        <stp/>
        <stp>BDP|16911053560429207873</stp>
        <tr r="C586" s="2"/>
      </tp>
      <tp t="s">
        <v>#N/A Requesting Data...3534486585</v>
        <stp/>
        <stp>BDP|12920639303652814789</stp>
        <tr r="R2431" s="2"/>
      </tp>
      <tp t="s">
        <v>#N/A Requesting Data...3609909596</v>
        <stp/>
        <stp>BDP|10771743266180446085</stp>
        <tr r="S2452" s="2"/>
      </tp>
      <tp t="s">
        <v>#N/A Requesting Data...4229251173</v>
        <stp/>
        <stp>BDP|11655491601194157064</stp>
        <tr r="A2319" s="2"/>
      </tp>
      <tp t="s">
        <v>#N/A Requesting Data...3718204091</v>
        <stp/>
        <stp>BDP|14369907192145962012</stp>
        <tr r="O653" s="2"/>
      </tp>
      <tp t="s">
        <v>#N/A Requesting Data...4136446615</v>
        <stp/>
        <stp>BDP|15894368897659031700</stp>
        <tr r="C116" s="2"/>
      </tp>
      <tp t="s">
        <v>#N/A Requesting Data...3750419858</v>
        <stp/>
        <stp>BDP|18443990945791649573</stp>
        <tr r="D185" s="2"/>
      </tp>
      <tp t="s">
        <v>#N/A Requesting Data...3182877133</v>
        <stp/>
        <stp>BDP|18442246768638143504</stp>
        <tr r="M581" s="2"/>
      </tp>
      <tp t="s">
        <v>#N/A Requesting Data...3735077842</v>
        <stp/>
        <stp>BDP|14722281013600056654</stp>
        <tr r="N2321" s="2"/>
      </tp>
      <tp t="s">
        <v>#N/A Requesting Data...4059817757</v>
        <stp/>
        <stp>BDP|11353044269345275351</stp>
        <tr r="T1344" s="2"/>
      </tp>
      <tp t="s">
        <v>#N/A Requesting Data...3804698579</v>
        <stp/>
        <stp>BDP|11291513509573731648</stp>
        <tr r="N1038" s="2"/>
      </tp>
      <tp t="s">
        <v>#N/A Requesting Data...3815530792</v>
        <stp/>
        <stp>BDP|12124492537663498734</stp>
        <tr r="G856" s="2"/>
      </tp>
      <tp t="s">
        <v>#N/A Requesting Data...3774005168</v>
        <stp/>
        <stp>BDP|17234002529695344109</stp>
        <tr r="J1605" s="2"/>
      </tp>
      <tp t="s">
        <v>#N/A Requesting Data...4044818618</v>
        <stp/>
        <stp>BDP|16046588040627690169</stp>
        <tr r="C855" s="2"/>
      </tp>
      <tp t="s">
        <v>#N/A Requesting Data...4046031942</v>
        <stp/>
        <stp>BDP|12235290430871061337</stp>
        <tr r="K2090" s="2"/>
      </tp>
      <tp t="s">
        <v>#N/A Requesting Data...3815804407</v>
        <stp/>
        <stp>BDP|12710762801084103099</stp>
        <tr r="E2351" s="2"/>
      </tp>
      <tp t="s">
        <v>#N/A Requesting Data...3890948726</v>
        <stp/>
        <stp>BDP|14805097668891247232</stp>
        <tr r="F983" s="2"/>
      </tp>
      <tp t="s">
        <v>#N/A Requesting Data...3996882776</v>
        <stp/>
        <stp>BDP|15681823948379102151</stp>
        <tr r="G1168" s="2"/>
      </tp>
      <tp t="s">
        <v>#N/A Requesting Data...4020220292</v>
        <stp/>
        <stp>BDP|15162420765095663389</stp>
        <tr r="N1861" s="2"/>
      </tp>
      <tp t="s">
        <v>#N/A Requesting Data...3830994008</v>
        <stp/>
        <stp>BDP|12991609227973603400</stp>
        <tr r="E1063" s="2"/>
      </tp>
      <tp t="s">
        <v>#N/A Requesting Data...3832609950</v>
        <stp/>
        <stp>BDP|16770812041722884973</stp>
        <tr r="A328" s="2"/>
      </tp>
      <tp t="s">
        <v>#N/A Requesting Data...4239009813</v>
        <stp/>
        <stp>BDP|11925334003970203336</stp>
        <tr r="D195" s="2"/>
      </tp>
      <tp t="s">
        <v>#N/A Requesting Data...3927328847</v>
        <stp/>
        <stp>BDP|16160797367857497139</stp>
        <tr r="F832" s="2"/>
      </tp>
      <tp t="s">
        <v>#N/A Requesting Data...3234565951</v>
        <stp/>
        <stp>BDP|15655598251526195278</stp>
        <tr r="F750" s="2"/>
      </tp>
      <tp t="s">
        <v>#N/A Requesting Data...3762972071</v>
        <stp/>
        <stp>BDP|13776325622805663695</stp>
        <tr r="O966" s="2"/>
      </tp>
      <tp t="s">
        <v>#N/A Requesting Data...4112050815</v>
        <stp/>
        <stp>BDP|15667882662322790837</stp>
        <tr r="S324" s="2"/>
      </tp>
      <tp t="s">
        <v>#N/A Requesting Data...4102285589</v>
        <stp/>
        <stp>BDP|11998102501363883288</stp>
        <tr r="P504" s="2"/>
      </tp>
      <tp t="s">
        <v>#N/A Requesting Data...4196701926</v>
        <stp/>
        <stp>BDP|17335991002558688767</stp>
        <tr r="S2081" s="2"/>
      </tp>
      <tp t="s">
        <v>#N/A Requesting Data...3510472020</v>
        <stp/>
        <stp>BDP|14688729702373892163</stp>
        <tr r="R2178" s="2"/>
      </tp>
      <tp t="s">
        <v>#N/A Requesting Data...4157158689</v>
        <stp/>
        <stp>BDP|10079555572122981164</stp>
        <tr r="P1579" s="2"/>
      </tp>
      <tp t="s">
        <v>#N/A Requesting Data...3486749754</v>
        <stp/>
        <stp>BDP|10925739341685311703</stp>
        <tr r="G764" s="2"/>
      </tp>
      <tp t="s">
        <v>#N/A Requesting Data...3510834490</v>
        <stp/>
        <stp>BDP|10690243749285032235</stp>
        <tr r="N471" s="2"/>
      </tp>
      <tp t="s">
        <v>#N/A Requesting Data...4240668321</v>
        <stp/>
        <stp>BDP|11902366930173590320</stp>
        <tr r="P457" s="2"/>
      </tp>
      <tp t="s">
        <v>#N/A Requesting Data...4250296810</v>
        <stp/>
        <stp>BDP|17356065814846856113</stp>
        <tr r="Q2425" s="2"/>
      </tp>
      <tp t="s">
        <v>#N/A Requesting Data...3902339790</v>
        <stp/>
        <stp>BDP|18003507978828866387</stp>
        <tr r="O596" s="2"/>
      </tp>
      <tp t="s">
        <v>#N/A Requesting Data...4081279827</v>
        <stp/>
        <stp>BDP|12276152422338497891</stp>
        <tr r="N968" s="2"/>
      </tp>
      <tp t="s">
        <v>#N/A Requesting Data...3883924470</v>
        <stp/>
        <stp>BDP|12466123065722355689</stp>
        <tr r="H850" s="2"/>
      </tp>
      <tp t="b">
        <v>0</v>
        <stp/>
        <stp>BDS|10195793402127531146</stp>
        <tr r="I548" s="2"/>
      </tp>
      <tp t="s">
        <v>#N/A Requesting Data...3870696960</v>
        <stp/>
        <stp>BDP|14566899865573905887</stp>
        <tr r="M1734" s="2"/>
      </tp>
      <tp t="s">
        <v>#N/A Requesting Data...3936910874</v>
        <stp/>
        <stp>BDP|11584146160223809411</stp>
        <tr r="C1397" s="2"/>
      </tp>
      <tp t="s">
        <v>#N/A Requesting Data...3688338586</v>
        <stp/>
        <stp>BDP|17533531527048098996</stp>
        <tr r="C1525" s="2"/>
      </tp>
      <tp t="s">
        <v>#N/A Requesting Data...4181899103</v>
        <stp/>
        <stp>BDP|15811443602928021864</stp>
        <tr r="H2081" s="2"/>
      </tp>
      <tp t="s">
        <v>#N/A Requesting Data...3547234523</v>
        <stp/>
        <stp>BDP|15749754967837973242</stp>
        <tr r="P187" s="2"/>
      </tp>
      <tp t="s">
        <v>#N/A Requesting Data...3358678709</v>
        <stp/>
        <stp>BDP|17306486966304005059</stp>
        <tr r="Q1083" s="2"/>
      </tp>
      <tp t="b">
        <v>0</v>
        <stp/>
        <stp>BDS|10247480856564298454</stp>
        <tr r="I2349" s="2"/>
      </tp>
      <tp t="s">
        <v>#N/A Requesting Data...4216026768</v>
        <stp/>
        <stp>BDP|13298943936989827102</stp>
        <tr r="O433" s="2"/>
      </tp>
      <tp t="s">
        <v>#N/A Requesting Data...3593122381</v>
        <stp/>
        <stp>BDP|10252481215602240655</stp>
        <tr r="G151" s="2"/>
      </tp>
      <tp t="b">
        <v>0</v>
        <stp/>
        <stp>BDS|10643581400216226276</stp>
        <tr r="I2165" s="2"/>
      </tp>
      <tp t="s">
        <v>#N/A Requesting Data...3623056899</v>
        <stp/>
        <stp>BDP|16454888634299154518</stp>
        <tr r="C2356" s="2"/>
      </tp>
      <tp t="s">
        <v>#N/A Requesting Data...4095065417</v>
        <stp/>
        <stp>BDP|11034380871441320527</stp>
        <tr r="J2214" s="2"/>
      </tp>
      <tp t="s">
        <v>#N/A Requesting Data...3553190920</v>
        <stp/>
        <stp>BDP|15400377774691656196</stp>
        <tr r="A351" s="2"/>
      </tp>
      <tp t="s">
        <v>#N/A Requesting Data...3687179268</v>
        <stp/>
        <stp>BDP|16651160358025578650</stp>
        <tr r="Q2473" s="2"/>
      </tp>
      <tp t="s">
        <v>#N/A Requesting Data...3843683854</v>
        <stp/>
        <stp>BDP|14437391633012595739</stp>
        <tr r="G990" s="2"/>
      </tp>
      <tp t="s">
        <v>#N/A Requesting Data...4062149237</v>
        <stp/>
        <stp>BDP|14573628539776635609</stp>
        <tr r="K1455" s="2"/>
      </tp>
      <tp t="s">
        <v>#N/A Requesting Data...3875242551</v>
        <stp/>
        <stp>BDP|12682149325668810874</stp>
        <tr r="T1278" s="2"/>
      </tp>
      <tp t="s">
        <v>#N/A Requesting Data...3937770877</v>
        <stp/>
        <stp>BDP|14652554949792623646</stp>
        <tr r="R734" s="2"/>
      </tp>
      <tp t="s">
        <v>#N/A Requesting Data...3922534658</v>
        <stp/>
        <stp>BDP|12075784030210407743</stp>
        <tr r="T2462" s="2"/>
      </tp>
      <tp t="s">
        <v>#N/A Requesting Data...3560208560</v>
        <stp/>
        <stp>BDP|15287196730667484172</stp>
        <tr r="E1081" s="2"/>
      </tp>
      <tp t="s">
        <v>#N/A Requesting Data...4252692866</v>
        <stp/>
        <stp>BDP|11356197317593473311</stp>
        <tr r="G2348" s="2"/>
      </tp>
      <tp t="s">
        <v>#N/A Requesting Data...3916142268</v>
        <stp/>
        <stp>BDP|17479526159250113663</stp>
        <tr r="J391" s="2"/>
      </tp>
      <tp t="s">
        <v>#N/A Requesting Data...3538890849</v>
        <stp/>
        <stp>BDP|13857760740318158972</stp>
        <tr r="J126" s="2"/>
      </tp>
      <tp t="s">
        <v>#N/A Requesting Data...3328165723</v>
        <stp/>
        <stp>BDP|15378260108673489518</stp>
        <tr r="N1900" s="2"/>
      </tp>
      <tp t="s">
        <v>#N/A Requesting Data...3639177942</v>
        <stp/>
        <stp>BDP|12942717709317836312</stp>
        <tr r="D253" s="2"/>
      </tp>
      <tp t="s">
        <v>#N/A Requesting Data...3841758077</v>
        <stp/>
        <stp>BDP|10538101407808230889</stp>
        <tr r="O2304" s="2"/>
      </tp>
      <tp t="s">
        <v>#N/A Requesting Data...4268852605</v>
        <stp/>
        <stp>BDP|10578266403156126592</stp>
        <tr r="G2013" s="2"/>
      </tp>
      <tp t="b">
        <v>0</v>
        <stp/>
        <stp>BDS|17578448731427983623</stp>
        <tr r="I1365" s="2"/>
      </tp>
      <tp t="s">
        <v>#N/A Requesting Data...4202165472</v>
        <stp/>
        <stp>BDP|18228292574275360944</stp>
        <tr r="K1771" s="2"/>
      </tp>
      <tp t="s">
        <v>#N/A Requesting Data...3361165325</v>
        <stp/>
        <stp>BDP|16641432315430165294</stp>
        <tr r="Q2421" s="2"/>
      </tp>
      <tp t="s">
        <v>#N/A Requesting Data...4287754084</v>
        <stp/>
        <stp>BDP|11525056399389009017</stp>
        <tr r="R645" s="2"/>
      </tp>
      <tp t="s">
        <v>#N/A Requesting Data...3731952545</v>
        <stp/>
        <stp>BDP|15927531556360677427</stp>
        <tr r="T1653" s="2"/>
      </tp>
      <tp t="s">
        <v>#N/A Requesting Data...3848065439</v>
        <stp/>
        <stp>BDP|14023622096793517991</stp>
        <tr r="H1172" s="2"/>
      </tp>
      <tp t="s">
        <v>#N/A Requesting Data...4185995821</v>
        <stp/>
        <stp>BDP|15916702305214128754</stp>
        <tr r="H1449" s="2"/>
      </tp>
      <tp t="s">
        <v>#N/A Requesting Data...3485901816</v>
        <stp/>
        <stp>BDP|17777943583596827104</stp>
        <tr r="Q1090" s="2"/>
      </tp>
      <tp t="s">
        <v>#N/A Requesting Data...3488148210</v>
        <stp/>
        <stp>BDP|16431032938140213456</stp>
        <tr r="E1894" s="2"/>
      </tp>
      <tp t="s">
        <v>#N/A Requesting Data...3392194583</v>
        <stp/>
        <stp>BDP|12912235253481210536</stp>
        <tr r="F390" s="2"/>
      </tp>
      <tp t="s">
        <v>#N/A Requesting Data...3408853915</v>
        <stp/>
        <stp>BDP|12138847109313053845</stp>
        <tr r="A1572" s="2"/>
      </tp>
      <tp t="s">
        <v>#N/A Requesting Data...4235012508</v>
        <stp/>
        <stp>BDP|14370689509581946238</stp>
        <tr r="M1188" s="2"/>
      </tp>
      <tp t="s">
        <v>#N/A Requesting Data...3634524110</v>
        <stp/>
        <stp>BDP|10354888516599268179</stp>
        <tr r="G1028" s="2"/>
      </tp>
      <tp t="s">
        <v>#N/A Requesting Data...3700464257</v>
        <stp/>
        <stp>BDP|11049274345381872723</stp>
        <tr r="M565" s="2"/>
      </tp>
      <tp t="s">
        <v>#N/A Requesting Data...3739435820</v>
        <stp/>
        <stp>BDP|14254205990069266780</stp>
        <tr r="H2379" s="2"/>
      </tp>
      <tp t="s">
        <v>#N/A Requesting Data...3702506056</v>
        <stp/>
        <stp>BDP|12933179018256668588</stp>
        <tr r="O1232" s="2"/>
      </tp>
      <tp t="s">
        <v>#N/A Requesting Data...3541776427</v>
        <stp/>
        <stp>BDP|12052219991981938910</stp>
        <tr r="D643" s="2"/>
      </tp>
      <tp t="s">
        <v>#N/A Requesting Data...3890066426</v>
        <stp/>
        <stp>BDP|17370610526347971555</stp>
        <tr r="F1023" s="2"/>
      </tp>
      <tp t="s">
        <v>#N/A Requesting Data...3903080928</v>
        <stp/>
        <stp>BDP|14103184972010007331</stp>
        <tr r="G536" s="2"/>
      </tp>
      <tp t="s">
        <v>#N/A Requesting Data...3553559626</v>
        <stp/>
        <stp>BDP|13246318069811688649</stp>
        <tr r="J908" s="2"/>
      </tp>
      <tp t="s">
        <v>#N/A Requesting Data...4125862335</v>
        <stp/>
        <stp>BDP|17885878866821541949</stp>
        <tr r="K1761" s="2"/>
      </tp>
      <tp t="s">
        <v>#N/A Requesting Data...3424399759</v>
        <stp/>
        <stp>BDP|14581113449856325664</stp>
        <tr r="Q1966" s="2"/>
      </tp>
      <tp t="s">
        <v>#N/A Requesting Data...4010523876</v>
        <stp/>
        <stp>BDP|17166602636210840377</stp>
        <tr r="O1167" s="2"/>
      </tp>
      <tp t="s">
        <v>#N/A Requesting Data...4096904607</v>
        <stp/>
        <stp>BDP|15081321868701596073</stp>
        <tr r="C762" s="2"/>
      </tp>
      <tp t="s">
        <v>#N/A Requesting Data...4227322059</v>
        <stp/>
        <stp>BDP|17613206502601553590</stp>
        <tr r="N1167" s="2"/>
      </tp>
      <tp t="s">
        <v>#N/A Requesting Data...4200932125</v>
        <stp/>
        <stp>BDP|13204972781104972750</stp>
        <tr r="H2483" s="2"/>
      </tp>
      <tp t="s">
        <v>#N/A Requesting Data...3598040285</v>
        <stp/>
        <stp>BDP|10230286430123155335</stp>
        <tr r="Q2147" s="2"/>
      </tp>
      <tp t="s">
        <v>#N/A Requesting Data...4292779787</v>
        <stp/>
        <stp>BDP|14306663762510849549</stp>
        <tr r="Q1710" s="2"/>
      </tp>
      <tp t="s">
        <v>#N/A Requesting Data...3469271956</v>
        <stp/>
        <stp>BDP|15722793364484961188</stp>
        <tr r="J2433" s="2"/>
      </tp>
      <tp t="s">
        <v>#N/A Requesting Data...3795720770</v>
        <stp/>
        <stp>BDP|11202745788259454619</stp>
        <tr r="D861" s="2"/>
      </tp>
      <tp t="s">
        <v>#N/A Requesting Data...3908039227</v>
        <stp/>
        <stp>BDP|13712296974374768369</stp>
        <tr r="D625" s="2"/>
      </tp>
      <tp t="b">
        <v>0</v>
        <stp/>
        <stp>BDS|14977658187309437274</stp>
        <tr r="I2022" s="2"/>
      </tp>
      <tp t="s">
        <v>#N/A Requesting Data...3747129371</v>
        <stp/>
        <stp>BDP|11605338082892421988</stp>
        <tr r="N1090" s="2"/>
      </tp>
      <tp t="s">
        <v>#N/A Requesting Data...4161654129</v>
        <stp/>
        <stp>BDP|11171397033964769475</stp>
        <tr r="F1665" s="2"/>
      </tp>
      <tp t="s">
        <v>#N/A Requesting Data...3964037630</v>
        <stp/>
        <stp>BDP|18057452779303389946</stp>
        <tr r="N1708" s="2"/>
      </tp>
      <tp t="s">
        <v>#N/A Requesting Data...4238105376</v>
        <stp/>
        <stp>BDP|13438263869534664269</stp>
        <tr r="R1027" s="2"/>
      </tp>
      <tp t="s">
        <v>#N/A Requesting Data...4141297862</v>
        <stp/>
        <stp>BDP|17988531407524338755</stp>
        <tr r="G1913" s="2"/>
      </tp>
      <tp t="s">
        <v>#N/A Requesting Data...3535888808</v>
        <stp/>
        <stp>BDP|16765370642942859213</stp>
        <tr r="N2496" s="2"/>
      </tp>
      <tp t="s">
        <v>#N/A Requesting Data...3884145502</v>
        <stp/>
        <stp>BDP|17379491157434220349</stp>
        <tr r="P1889" s="2"/>
      </tp>
      <tp t="s">
        <v>#N/A Requesting Data...4106016529</v>
        <stp/>
        <stp>BDP|10970122760455700378</stp>
        <tr r="D697" s="2"/>
      </tp>
      <tp t="s">
        <v>#N/A Requesting Data...4169324582</v>
        <stp/>
        <stp>BDP|10790380963762240652</stp>
        <tr r="C832" s="2"/>
      </tp>
      <tp t="s">
        <v>#N/A Requesting Data...3708741753</v>
        <stp/>
        <stp>BDP|16315549634067803600</stp>
        <tr r="G957" s="2"/>
      </tp>
      <tp t="s">
        <v>#N/A Requesting Data...3507340397</v>
        <stp/>
        <stp>BDP|10498291232599463903</stp>
        <tr r="O2163" s="2"/>
      </tp>
      <tp t="s">
        <v>#N/A Requesting Data...3804394334</v>
        <stp/>
        <stp>BDP|10027413791185384987</stp>
        <tr r="G1132" s="2"/>
      </tp>
      <tp t="s">
        <v>#N/A Requesting Data...3582707212</v>
        <stp/>
        <stp>BDP|17135905767928919141</stp>
        <tr r="G1230" s="2"/>
      </tp>
      <tp t="s">
        <v>#N/A Requesting Data...3976748894</v>
        <stp/>
        <stp>BDP|12023146310287800479</stp>
        <tr r="A1718" s="2"/>
      </tp>
      <tp t="s">
        <v>#N/A Requesting Data...3533597603</v>
        <stp/>
        <stp>BDP|17325339193275027984</stp>
        <tr r="N1209" s="2"/>
      </tp>
      <tp t="s">
        <v>#N/A Requesting Data...4077568725</v>
        <stp/>
        <stp>BDP|13776730146909830812</stp>
        <tr r="O1645" s="2"/>
      </tp>
      <tp t="s">
        <v>#N/A Requesting Data...4072546520</v>
        <stp/>
        <stp>BDP|16855105673845070400</stp>
        <tr r="H1939" s="2"/>
      </tp>
      <tp t="s">
        <v>#N/A Requesting Data...3649400693</v>
        <stp/>
        <stp>BDP|17512558723566835700</stp>
        <tr r="Q597" s="2"/>
      </tp>
      <tp t="s">
        <v>#N/A Requesting Data...4030661164</v>
        <stp/>
        <stp>BDP|16566048725703700686</stp>
        <tr r="P2018" s="2"/>
      </tp>
      <tp t="s">
        <v>#N/A Requesting Data...3673518019</v>
        <stp/>
        <stp>BDP|12152090090128022239</stp>
        <tr r="Q1740" s="2"/>
      </tp>
      <tp t="s">
        <v>#N/A Requesting Data...4032533297</v>
        <stp/>
        <stp>BDP|15442053978862133132</stp>
        <tr r="K2038" s="2"/>
      </tp>
      <tp t="s">
        <v>#N/A Requesting Data...3648664113</v>
        <stp/>
        <stp>BDP|14795690820862472318</stp>
        <tr r="O1287" s="2"/>
      </tp>
      <tp t="s">
        <v>#N/A Requesting Data...4233182367</v>
        <stp/>
        <stp>BDP|16221387568291915308</stp>
        <tr r="C909" s="2"/>
      </tp>
      <tp t="s">
        <v>#N/A Requesting Data...3926834284</v>
        <stp/>
        <stp>BDP|13741071551021881623</stp>
        <tr r="R393" s="2"/>
      </tp>
      <tp t="s">
        <v>#N/A Requesting Data...4045081876</v>
        <stp/>
        <stp>BDP|10105497714711072579</stp>
        <tr r="A833" s="2"/>
      </tp>
      <tp t="s">
        <v>#N/A Requesting Data...3873204171</v>
        <stp/>
        <stp>BDP|17459407111104949779</stp>
        <tr r="A2491" s="2"/>
      </tp>
      <tp t="s">
        <v>#N/A Requesting Data...3857129863</v>
        <stp/>
        <stp>BDP|18244596552909472062</stp>
        <tr r="J1557" s="2"/>
      </tp>
      <tp t="s">
        <v>#N/A Requesting Data...4106782344</v>
        <stp/>
        <stp>BDP|12435190175450113528</stp>
        <tr r="D1199" s="2"/>
      </tp>
      <tp t="s">
        <v>#N/A Requesting Data...3634015313</v>
        <stp/>
        <stp>BDP|13818555185879093638</stp>
        <tr r="P974" s="2"/>
      </tp>
      <tp t="s">
        <v>#N/A Requesting Data...4011554356</v>
        <stp/>
        <stp>BDP|15281565421175889669</stp>
        <tr r="R426" s="2"/>
      </tp>
      <tp t="s">
        <v>#N/A Requesting Data...4133821967</v>
        <stp/>
        <stp>BDP|14037829584004968141</stp>
        <tr r="A987" s="2"/>
      </tp>
      <tp t="s">
        <v>#N/A Requesting Data...3600538828</v>
        <stp/>
        <stp>BDP|14589528462582980470</stp>
        <tr r="Q2189" s="2"/>
      </tp>
      <tp t="s">
        <v>#N/A Requesting Data...4223034062</v>
        <stp/>
        <stp>BDP|16610727696560875919</stp>
        <tr r="T1710" s="2"/>
      </tp>
      <tp t="b">
        <v>0</v>
        <stp/>
        <stp>BDS|13942134367527316269</stp>
        <tr r="I2508" s="2"/>
      </tp>
      <tp t="s">
        <v>#N/A Requesting Data...3807952569</v>
        <stp/>
        <stp>BDP|10019172328843748132</stp>
        <tr r="S1758" s="2"/>
      </tp>
      <tp t="s">
        <v>#N/A Requesting Data...3622789876</v>
        <stp/>
        <stp>BDP|15822325750957271534</stp>
        <tr r="K364" s="2"/>
      </tp>
      <tp t="s">
        <v>#N/A Requesting Data...3592399544</v>
        <stp/>
        <stp>BDP|18225881234934305667</stp>
        <tr r="A2496" s="2"/>
      </tp>
      <tp t="s">
        <v>#N/A Requesting Data...3895480355</v>
        <stp/>
        <stp>BDP|17469628460566858053</stp>
        <tr r="M1727" s="2"/>
      </tp>
      <tp t="s">
        <v>#N/A Requesting Data...4007372165</v>
        <stp/>
        <stp>BDP|10587115308469060972</stp>
        <tr r="T1276" s="2"/>
      </tp>
      <tp t="s">
        <v>#N/A Requesting Data...4057236184</v>
        <stp/>
        <stp>BDP|11370042704154880401</stp>
        <tr r="C1820" s="2"/>
      </tp>
      <tp t="s">
        <v>#N/A Requesting Data...3663981886</v>
        <stp/>
        <stp>BDP|13757118868056348364</stp>
        <tr r="F866" s="2"/>
      </tp>
      <tp t="s">
        <v>#N/A Requesting Data...3655853364</v>
        <stp/>
        <stp>BDP|16741960682645896307</stp>
        <tr r="N716" s="2"/>
      </tp>
      <tp t="s">
        <v>#N/A Requesting Data...4059416662</v>
        <stp/>
        <stp>BDP|11525168250554904013</stp>
        <tr r="S2155" s="2"/>
      </tp>
      <tp t="s">
        <v>#N/A Requesting Data...3641806312</v>
        <stp/>
        <stp>BDP|14958537972612106528</stp>
        <tr r="R1093" s="2"/>
      </tp>
      <tp t="s">
        <v>#N/A Requesting Data...4170162690</v>
        <stp/>
        <stp>BDP|12775254368854930384</stp>
        <tr r="A628" s="2"/>
      </tp>
      <tp t="s">
        <v>#N/A Requesting Data...4293825204</v>
        <stp/>
        <stp>BDP|11036327331289120997</stp>
        <tr r="R1507" s="2"/>
      </tp>
      <tp t="s">
        <v>#N/A Requesting Data...3866924545</v>
        <stp/>
        <stp>BDP|11712737835026931236</stp>
        <tr r="R789" s="2"/>
      </tp>
      <tp t="s">
        <v>#N/A Requesting Data...3616708739</v>
        <stp/>
        <stp>BDP|14063880693651907593</stp>
        <tr r="H414" s="2"/>
      </tp>
      <tp t="s">
        <v>#N/A Requesting Data...4027791195</v>
        <stp/>
        <stp>BDP|11645036351705614097</stp>
        <tr r="E189" s="2"/>
      </tp>
      <tp t="s">
        <v>#N/A Requesting Data...4243932059</v>
        <stp/>
        <stp>BDP|15903949992225392170</stp>
        <tr r="M2092" s="2"/>
      </tp>
      <tp t="b">
        <v>0</v>
        <stp/>
        <stp>BDS|15101475239262726107</stp>
        <tr r="I673" s="2"/>
      </tp>
      <tp t="s">
        <v>#N/A Requesting Data...3884136697</v>
        <stp/>
        <stp>BDP|11772446036145619280</stp>
        <tr r="S1114" s="2"/>
      </tp>
      <tp t="s">
        <v>#N/A Requesting Data...3881649678</v>
        <stp/>
        <stp>BDP|12755698726514514368</stp>
        <tr r="N2518" s="2"/>
      </tp>
      <tp t="b">
        <v>0</v>
        <stp/>
        <stp>BDS|17773108134736210298</stp>
        <tr r="I2282" s="2"/>
      </tp>
      <tp t="s">
        <v>#N/A Requesting Data...3882954649</v>
        <stp/>
        <stp>BDP|10210801239542745870</stp>
        <tr r="M1624" s="2"/>
      </tp>
      <tp t="s">
        <v>#N/A Requesting Data...3899065177</v>
        <stp/>
        <stp>BDP|11142590572922047018</stp>
        <tr r="R1969" s="2"/>
      </tp>
      <tp t="b">
        <v>0</v>
        <stp/>
        <stp>BDS|10578452789474474956</stp>
        <tr r="I2478" s="2"/>
      </tp>
      <tp t="s">
        <v>#N/A Requesting Data...3848468967</v>
        <stp/>
        <stp>BDP|14211584511685767475</stp>
        <tr r="M1125" s="2"/>
      </tp>
      <tp t="s">
        <v>#N/A Requesting Data...4031387790</v>
        <stp/>
        <stp>BDP|13854669616540493570</stp>
        <tr r="K392" s="2"/>
      </tp>
      <tp t="s">
        <v>#N/A Requesting Data...3613859061</v>
        <stp/>
        <stp>BDP|11513797011812794417</stp>
        <tr r="R1293" s="2"/>
      </tp>
      <tp t="s">
        <v>#N/A Requesting Data...4165176661</v>
        <stp/>
        <stp>BDP|15042768771375884147</stp>
        <tr r="Q45" s="2"/>
      </tp>
      <tp t="b">
        <v>0</v>
        <stp/>
        <stp>BDS|14321180159935895422</stp>
        <tr r="I201" s="2"/>
      </tp>
      <tp t="s">
        <v>#N/A Requesting Data...3990742590</v>
        <stp/>
        <stp>BDP|16866364262370472236</stp>
        <tr r="H724" s="2"/>
      </tp>
      <tp t="s">
        <v>#N/A Requesting Data...4245521377</v>
        <stp/>
        <stp>BDP|13537879713853355897</stp>
        <tr r="E1192" s="2"/>
      </tp>
      <tp t="s">
        <v>#N/A Requesting Data...4138213048</v>
        <stp/>
        <stp>BDP|13222987421848450148</stp>
        <tr r="J2205" s="2"/>
      </tp>
      <tp t="s">
        <v>#N/A Requesting Data...3724934602</v>
        <stp/>
        <stp>BDP|16679964208057177923</stp>
        <tr r="J1433" s="2"/>
      </tp>
      <tp t="s">
        <v>#N/A Requesting Data...3658095623</v>
        <stp/>
        <stp>BDP|10079240747040011781</stp>
        <tr r="S2029" s="2"/>
      </tp>
      <tp t="s">
        <v>#N/A Requesting Data...4254682133</v>
        <stp/>
        <stp>BDP|17921709628451988230</stp>
        <tr r="R868" s="2"/>
      </tp>
      <tp t="s">
        <v>#N/A Requesting Data...3808707818</v>
        <stp/>
        <stp>BDP|10625531510454640184</stp>
        <tr r="F105" s="2"/>
      </tp>
      <tp t="s">
        <v>#N/A Requesting Data...3655519203</v>
        <stp/>
        <stp>BDP|11221161527844854709</stp>
        <tr r="N1965" s="2"/>
      </tp>
      <tp t="s">
        <v>#N/A Requesting Data...4115145957</v>
        <stp/>
        <stp>BDP|18142494383730782578</stp>
        <tr r="E1829" s="2"/>
      </tp>
      <tp t="s">
        <v>#N/A Requesting Data...3963995607</v>
        <stp/>
        <stp>BDP|11267086571645175216</stp>
        <tr r="K1497" s="2"/>
      </tp>
      <tp t="s">
        <v>#N/A Requesting Data...3777011491</v>
        <stp/>
        <stp>BDP|11447327518575467717</stp>
        <tr r="M1551" s="2"/>
      </tp>
      <tp t="s">
        <v>#N/A Requesting Data...3768600035</v>
        <stp/>
        <stp>BDP|10977327170214719175</stp>
        <tr r="N2335" s="2"/>
      </tp>
      <tp t="s">
        <v>#N/A Requesting Data...3873774815</v>
        <stp/>
        <stp>BDP|14052083924840104768</stp>
        <tr r="T1946" s="2"/>
      </tp>
      <tp t="b">
        <v>0</v>
        <stp/>
        <stp>BDS|14731337382377774996</stp>
        <tr r="I1123" s="2"/>
      </tp>
      <tp t="s">
        <v>#N/A Requesting Data...3695576958</v>
        <stp/>
        <stp>BDP|11900457847972530258</stp>
        <tr r="N1612" s="2"/>
      </tp>
      <tp t="s">
        <v>#N/A Requesting Data...4070131953</v>
        <stp/>
        <stp>BDP|14550677642190340782</stp>
        <tr r="F1924" s="2"/>
      </tp>
      <tp t="s">
        <v>#N/A Requesting Data...3752296966</v>
        <stp/>
        <stp>BDP|15941546551090112466</stp>
        <tr r="T1791" s="2"/>
      </tp>
      <tp t="s">
        <v>#N/A Requesting Data...4075245014</v>
        <stp/>
        <stp>BDP|14029356019225332240</stp>
        <tr r="O565" s="2"/>
      </tp>
      <tp t="s">
        <v>#N/A Requesting Data...3971857305</v>
        <stp/>
        <stp>BDP|14303081843918551968</stp>
        <tr r="O1205" s="2"/>
      </tp>
      <tp t="b">
        <v>0</v>
        <stp/>
        <stp>BDS|17612396646346474756</stp>
        <tr r="I1154" s="2"/>
      </tp>
      <tp t="s">
        <v>#N/A Requesting Data...3874289876</v>
        <stp/>
        <stp>BDP|15347328884907698889</stp>
        <tr r="H2389" s="2"/>
      </tp>
      <tp t="s">
        <v>#N/A Requesting Data...4073652037</v>
        <stp/>
        <stp>BDP|14062126735273944453</stp>
        <tr r="S69" s="2"/>
      </tp>
      <tp t="s">
        <v>#N/A Requesting Data...4030861719</v>
        <stp/>
        <stp>BDP|16023062371045954550</stp>
        <tr r="A1520" s="2"/>
      </tp>
      <tp t="s">
        <v>#N/A Requesting Data...4080880899</v>
        <stp/>
        <stp>BDP|11532990153408710433</stp>
        <tr r="T1207" s="2"/>
      </tp>
      <tp t="s">
        <v>#N/A Requesting Data...4169063850</v>
        <stp/>
        <stp>BDP|11114789666979170852</stp>
        <tr r="A59" s="2"/>
      </tp>
      <tp t="s">
        <v>#N/A Requesting Data...4265673389</v>
        <stp/>
        <stp>BDP|10088794977130196140</stp>
        <tr r="S2199" s="2"/>
      </tp>
      <tp t="s">
        <v>#N/A Requesting Data...4280020720</v>
        <stp/>
        <stp>BDP|12690894434960416841</stp>
        <tr r="D1406" s="2"/>
      </tp>
      <tp t="s">
        <v>#N/A Requesting Data...3789364080</v>
        <stp/>
        <stp>BDP|17022363251224433484</stp>
        <tr r="T2157" s="2"/>
      </tp>
      <tp t="s">
        <v>#N/A Requesting Data...4076543642</v>
        <stp/>
        <stp>BDP|16582581666837857380</stp>
        <tr r="T2373" s="2"/>
      </tp>
      <tp t="s">
        <v>#N/A Requesting Data...3869215797</v>
        <stp/>
        <stp>BDP|16757793556180518562</stp>
        <tr r="S2352" s="2"/>
      </tp>
      <tp t="s">
        <v>#N/A Requesting Data...4135651252</v>
        <stp/>
        <stp>BDP|10255612727815916075</stp>
        <tr r="K503" s="2"/>
      </tp>
      <tp t="s">
        <v>#N/A Requesting Data...3786628115</v>
        <stp/>
        <stp>BDP|15286348248946475505</stp>
        <tr r="O1354" s="2"/>
      </tp>
      <tp t="s">
        <v>#N/A Requesting Data...3929205340</v>
        <stp/>
        <stp>BDP|11641652915270988757</stp>
        <tr r="E1655" s="2"/>
      </tp>
      <tp t="s">
        <v>#N/A Requesting Data...3910490829</v>
        <stp/>
        <stp>BDP|10245680640763600069</stp>
        <tr r="T1679" s="2"/>
      </tp>
      <tp t="s">
        <v>#N/A Requesting Data...4116225004</v>
        <stp/>
        <stp>BDP|12100308614809781882</stp>
        <tr r="R2395" s="2"/>
      </tp>
      <tp t="s">
        <v>#N/A Requesting Data...4147032556</v>
        <stp/>
        <stp>BDP|17172841509926253840</stp>
        <tr r="D54" s="2"/>
      </tp>
      <tp t="s">
        <v>#N/A Requesting Data...3814276818</v>
        <stp/>
        <stp>BDP|18371800376770995663</stp>
        <tr r="S435" s="2"/>
      </tp>
      <tp t="s">
        <v>#N/A Requesting Data...3799445987</v>
        <stp/>
        <stp>BDP|10177779718720267766</stp>
        <tr r="Q324" s="2"/>
      </tp>
      <tp t="s">
        <v>#N/A Requesting Data...4010002009</v>
        <stp/>
        <stp>BDP|11200272100016694492</stp>
        <tr r="E1506" s="2"/>
      </tp>
      <tp t="s">
        <v>#N/A Requesting Data...4185898429</v>
        <stp/>
        <stp>BDP|16966886285901896669</stp>
        <tr r="M1054" s="2"/>
      </tp>
      <tp t="s">
        <v>#N/A Requesting Data...3900171771</v>
        <stp/>
        <stp>BDP|10594115224863898125</stp>
        <tr r="K516" s="2"/>
      </tp>
      <tp t="s">
        <v>#N/A Requesting Data...4022099627</v>
        <stp/>
        <stp>BDP|13742445685677878948</stp>
        <tr r="E1024" s="2"/>
      </tp>
      <tp t="s">
        <v>#N/A Requesting Data...4253341759</v>
        <stp/>
        <stp>BDP|14575027541880913151</stp>
        <tr r="S1231" s="2"/>
      </tp>
      <tp t="s">
        <v>#N/A Requesting Data...4105533898</v>
        <stp/>
        <stp>BDP|12026344543370481495</stp>
        <tr r="O588" s="2"/>
      </tp>
      <tp t="s">
        <v>#N/A Requesting Data...3719318698</v>
        <stp/>
        <stp>BDP|15795881709008451485</stp>
        <tr r="Q531" s="2"/>
      </tp>
      <tp t="s">
        <v>#N/A Requesting Data...3740588735</v>
        <stp/>
        <stp>BDP|12904401650033713148</stp>
        <tr r="N633" s="2"/>
      </tp>
      <tp t="s">
        <v>#N/A Requesting Data...4252602491</v>
        <stp/>
        <stp>BDP|14395049033783617589</stp>
        <tr r="K195" s="2"/>
      </tp>
      <tp t="s">
        <v>#N/A Requesting Data...3899515781</v>
        <stp/>
        <stp>BDP|15572443330835954626</stp>
        <tr r="K1327" s="2"/>
      </tp>
      <tp t="s">
        <v>#N/A Requesting Data...4160741233</v>
        <stp/>
        <stp>BDP|10927344945786687046</stp>
        <tr r="A1969" s="2"/>
      </tp>
      <tp t="s">
        <v>#N/A Requesting Data...3892506001</v>
        <stp/>
        <stp>BDP|17543279636314855364</stp>
        <tr r="N2157" s="2"/>
      </tp>
      <tp t="s">
        <v>#N/A Requesting Data...4228404112</v>
        <stp/>
        <stp>BDP|14094552704536872636</stp>
        <tr r="C1757" s="2"/>
      </tp>
      <tp t="s">
        <v>#N/A Requesting Data...3823097551</v>
        <stp/>
        <stp>BDP|16312417701836058595</stp>
        <tr r="O1970" s="2"/>
      </tp>
      <tp t="s">
        <v>#N/A Requesting Data...3819228501</v>
        <stp/>
        <stp>BDP|18124570558070681924</stp>
        <tr r="O2373" s="2"/>
      </tp>
      <tp t="s">
        <v>#N/A Requesting Data...3755602368</v>
        <stp/>
        <stp>BDP|13078603897914403993</stp>
        <tr r="C1961" s="2"/>
      </tp>
      <tp t="s">
        <v>#N/A Requesting Data...4134647307</v>
        <stp/>
        <stp>BDP|14619609019567702520</stp>
        <tr r="T401" s="2"/>
      </tp>
      <tp t="b">
        <v>0</v>
        <stp/>
        <stp>BDS|15866422674077605019</stp>
        <tr r="I497" s="2"/>
      </tp>
      <tp t="s">
        <v>#N/A Requesting Data...4280758436</v>
        <stp/>
        <stp>BDP|12626804412662689884</stp>
        <tr r="K1400" s="2"/>
      </tp>
      <tp t="s">
        <v>#N/A Requesting Data...3908876210</v>
        <stp/>
        <stp>BDP|11950554825816156120</stp>
        <tr r="R2407" s="2"/>
      </tp>
      <tp t="s">
        <v>#N/A Requesting Data...3922166562</v>
        <stp/>
        <stp>BDP|16369659619393398369</stp>
        <tr r="J373" s="2"/>
      </tp>
      <tp t="s">
        <v>#N/A Requesting Data...3812334740</v>
        <stp/>
        <stp>BDP|15585794878406937277</stp>
        <tr r="P2476" s="2"/>
      </tp>
      <tp t="s">
        <v>#N/A Requesting Data...4235177559</v>
        <stp/>
        <stp>BDP|17788244828294763264</stp>
        <tr r="R2374" s="2"/>
      </tp>
      <tp t="s">
        <v>#N/A Requesting Data...3923713657</v>
        <stp/>
        <stp>BDP|12146993793547494457</stp>
        <tr r="K219" s="2"/>
      </tp>
      <tp t="s">
        <v>#N/A Requesting Data...3880949725</v>
        <stp/>
        <stp>BDP|15410212195068368796</stp>
        <tr r="G1586" s="2"/>
      </tp>
      <tp t="s">
        <v>#N/A Requesting Data...3977242816</v>
        <stp/>
        <stp>BDP|17533559989638676358</stp>
        <tr r="T947" s="2"/>
      </tp>
      <tp t="s">
        <v>#N/A Requesting Data...4176595017</v>
        <stp/>
        <stp>BDP|11323434398268128535</stp>
        <tr r="Q729" s="2"/>
      </tp>
      <tp t="s">
        <v>#N/A Requesting Data...4276605447</v>
        <stp/>
        <stp>BDP|14471191961326172471</stp>
        <tr r="E1299" s="2"/>
      </tp>
      <tp t="s">
        <v>#N/A Requesting Data...4294049813</v>
        <stp/>
        <stp>BDP|17354325035696607085</stp>
        <tr r="A153" s="2"/>
      </tp>
      <tp t="s">
        <v>#N/A Requesting Data...4209404637</v>
        <stp/>
        <stp>BDP|14013118148845047536</stp>
        <tr r="E1610" s="2"/>
      </tp>
      <tp t="s">
        <v>#N/A Requesting Data...3911903784</v>
        <stp/>
        <stp>BDP|11300719725064591183</stp>
        <tr r="F1127" s="2"/>
      </tp>
      <tp t="s">
        <v>#N/A Requesting Data...4081004234</v>
        <stp/>
        <stp>BDP|13299357408128596904</stp>
        <tr r="J1343" s="2"/>
      </tp>
      <tp t="s">
        <v>#N/A Requesting Data...4146386709</v>
        <stp/>
        <stp>BDP|11668500874662962014</stp>
        <tr r="G2155" s="2"/>
      </tp>
      <tp t="s">
        <v>#N/A Requesting Data...4252381269</v>
        <stp/>
        <stp>BDP|16272757802367878776</stp>
        <tr r="S1891" s="2"/>
      </tp>
      <tp t="s">
        <v>#N/A Requesting Data...4002735085</v>
        <stp/>
        <stp>BDP|13103084675116357352</stp>
        <tr r="R2340" s="2"/>
      </tp>
      <tp t="s">
        <v>#N/A Requesting Data...4233731867</v>
        <stp/>
        <stp>BDP|12426699876554784667</stp>
        <tr r="F746" s="2"/>
      </tp>
      <tp t="s">
        <v>#N/A Requesting Data...4131344672</v>
        <stp/>
        <stp>BDP|11023362258786427004</stp>
        <tr r="M1666" s="2"/>
      </tp>
      <tp t="s">
        <v>#N/A Requesting Data...4165439706</v>
        <stp/>
        <stp>BDP|11296209297488622397</stp>
        <tr r="E1709" s="2"/>
      </tp>
      <tp t="s">
        <v>#N/A Requesting Data...4236684539</v>
        <stp/>
        <stp>BDP|18350471542520979957</stp>
        <tr r="D1116" s="2"/>
      </tp>
      <tp t="s">
        <v>#N/A Requesting Data...3881282778</v>
        <stp/>
        <stp>BDP|17919143306916591143</stp>
        <tr r="J742" s="2"/>
      </tp>
      <tp t="s">
        <v>#N/A Requesting Data...4262864100</v>
        <stp/>
        <stp>BDP|18066865648252780738</stp>
        <tr r="P2369" s="2"/>
      </tp>
      <tp t="s">
        <v>#N/A Requesting Data...4035651561</v>
        <stp/>
        <stp>BDP|16436635308907276679</stp>
        <tr r="P1068" s="2"/>
      </tp>
      <tp t="s">
        <v>#N/A Requesting Data...4082482105</v>
        <stp/>
        <stp>BDP|16615459008251883293</stp>
        <tr r="E2165" s="2"/>
      </tp>
      <tp t="s">
        <v>#N/A Requesting Data...4106948870</v>
        <stp/>
        <stp>BDP|15980623747593063568</stp>
        <tr r="H993" s="2"/>
      </tp>
      <tp t="s">
        <v>#N/A Requesting Data...4063193630</v>
        <stp/>
        <stp>BDP|11619073303740136096</stp>
        <tr r="S1237" s="2"/>
      </tp>
      <tp t="s">
        <v>#N/A Requesting Data...4252047744</v>
        <stp/>
        <stp>BDP|12121451005221215690</stp>
        <tr r="H1040" s="2"/>
      </tp>
      <tp t="s">
        <v>#N/A Requesting Data...3845368022</v>
        <stp/>
        <stp>BDP|15123222380017887918</stp>
        <tr r="A366" s="2"/>
      </tp>
      <tp t="s">
        <v>#N/A Requesting Data...4245924363</v>
        <stp/>
        <stp>BDP|16631042600516860102</stp>
        <tr r="A853" s="2"/>
      </tp>
      <tp t="s">
        <v>#N/A Requesting Data...4193858348</v>
        <stp/>
        <stp>BDP|16830811655342403821</stp>
        <tr r="F1875" s="2"/>
      </tp>
      <tp t="s">
        <v>#N/A Requesting Data...4058402220</v>
        <stp/>
        <stp>BDP|17521438738773191254</stp>
        <tr r="S1864" s="2"/>
      </tp>
      <tp t="s">
        <v>#N/A Requesting Data...4202324217</v>
        <stp/>
        <stp>BDP|18009681187321536606</stp>
        <tr r="S699" s="2"/>
      </tp>
      <tp t="s">
        <v>#N/A Requesting Data...4058440695</v>
        <stp/>
        <stp>BDP|16452442274697830365</stp>
        <tr r="K596" s="2"/>
      </tp>
      <tp t="s">
        <v>#N/A Requesting Data...4123481244</v>
        <stp/>
        <stp>BDP|16769880425365530851</stp>
        <tr r="T2501" s="2"/>
      </tp>
      <tp t="s">
        <v>#N/A Requesting Data...4089983530</v>
        <stp/>
        <stp>BDP|17952618873542365529</stp>
        <tr r="A663" s="2"/>
      </tp>
      <tp t="s">
        <v>#N/A Requesting Data...4181362460</v>
        <stp/>
        <stp>BDP|12831436534496127244</stp>
        <tr r="R1670" s="2"/>
      </tp>
      <tp t="s">
        <v>#N/A Requesting Data...4240428368</v>
        <stp/>
        <stp>BDP|14050087045126358741</stp>
        <tr r="M225" s="2"/>
      </tp>
      <tp t="s">
        <v>#N/A Requesting Data...4098733198</v>
        <stp/>
        <stp>BDP|17796498435706494758</stp>
        <tr r="J308" s="2"/>
      </tp>
      <tp t="s">
        <v>#N/A Requesting Data...4173047685</v>
        <stp/>
        <stp>BDP|10733483143869185877</stp>
        <tr r="M2153" s="2"/>
      </tp>
      <tp t="s">
        <v>#N/A Requesting Data...4022244181</v>
        <stp/>
        <stp>BDP|13430593003073107457</stp>
        <tr r="K1821" s="2"/>
      </tp>
      <tp t="s">
        <v>#N/A Requesting Data...4143636523</v>
        <stp/>
        <stp>BDP|13320027519631104234</stp>
        <tr r="T1379" s="2"/>
      </tp>
      <tp t="s">
        <v>#N/A Requesting Data...4132082454</v>
        <stp/>
        <stp>BDP|18373681720488358521</stp>
        <tr r="T1647" s="2"/>
      </tp>
      <tp t="s">
        <v>#N/A Requesting Data...3999201438</v>
        <stp/>
        <stp>BDP|15187700005743815068</stp>
        <tr r="S2296" s="2"/>
      </tp>
      <tp t="s">
        <v>#N/A Requesting Data...4281841245</v>
        <stp/>
        <stp>BDP|12502176006133870166</stp>
        <tr r="D1744" s="2"/>
      </tp>
      <tp t="s">
        <v>#N/A Requesting Data...4158955389</v>
        <stp/>
        <stp>BDP|10685297527413092224</stp>
        <tr r="E1305" s="2"/>
      </tp>
      <tp t="s">
        <v>#N/A Requesting Data...4151361807</v>
        <stp/>
        <stp>BDP|14182611619285697757</stp>
        <tr r="K1574" s="2"/>
      </tp>
      <tp t="s">
        <v>#N/A Requesting Data...4253065381</v>
        <stp/>
        <stp>BDP|15142902965098819362</stp>
        <tr r="O672" s="2"/>
      </tp>
      <tp t="s">
        <v>#N/A Requesting Data...4010271278</v>
        <stp/>
        <stp>BDP|10900098601955937427</stp>
        <tr r="N1315" s="2"/>
      </tp>
      <tp t="s">
        <v>#N/A Requesting Data...3900063617</v>
        <stp/>
        <stp>BDP|16329402713772808022</stp>
        <tr r="C1039" s="2"/>
      </tp>
      <tp t="s">
        <v>#N/A Requesting Data...4244712109</v>
        <stp/>
        <stp>BDP|17813677451303277667</stp>
        <tr r="N1943" s="2"/>
      </tp>
      <tp t="s">
        <v>#N/A Requesting Data...4026310265</v>
        <stp/>
        <stp>BDP|17880225720824375237</stp>
        <tr r="N1676" s="2"/>
      </tp>
      <tp t="s">
        <v>#N/A Requesting Data...3949736977</v>
        <stp/>
        <stp>BDP|11139372922019728897</stp>
        <tr r="J1883" s="2"/>
      </tp>
      <tp t="s">
        <v>#N/A Requesting Data...3941976688</v>
        <stp/>
        <stp>BDP|14039852333028810644</stp>
        <tr r="K2319" s="2"/>
      </tp>
      <tp t="s">
        <v>#N/A Requesting Data...4044863049</v>
        <stp/>
        <stp>BDP|16295795716182602319</stp>
        <tr r="A1685" s="2"/>
      </tp>
      <tp t="s">
        <v>#N/A Requesting Data...4006102024</v>
        <stp/>
        <stp>BDP|16572819887223082490</stp>
        <tr r="K830" s="2"/>
      </tp>
      <tp t="s">
        <v>#N/A Requesting Data...3951384185</v>
        <stp/>
        <stp>BDP|11853714174516526622</stp>
        <tr r="M1703" s="2"/>
      </tp>
      <tp t="b">
        <v>0</v>
        <stp/>
        <stp>BDS|12731482371326776601</stp>
        <tr r="I1698" s="2"/>
      </tp>
      <tp t="s">
        <v>#N/A Requesting Data...4146153618</v>
        <stp/>
        <stp>BDP|10052443535651951721</stp>
        <tr r="A212" s="2"/>
      </tp>
      <tp t="s">
        <v>#N/A Requesting Data...3967524370</v>
        <stp/>
        <stp>BDP|13178283900466538618</stp>
        <tr r="M1263" s="2"/>
      </tp>
      <tp t="s">
        <v>#N/A Requesting Data...4082965019</v>
        <stp/>
        <stp>BDP|10925641881978583749</stp>
        <tr r="A1418" s="2"/>
      </tp>
      <tp t="s">
        <v>#N/A Requesting Data...3995348606</v>
        <stp/>
        <stp>BDP|16504279888655351841</stp>
        <tr r="J412" s="2"/>
      </tp>
      <tp t="s">
        <v>#N/A Requesting Data...4237879865</v>
        <stp/>
        <stp>BDP|15916591313487766799</stp>
        <tr r="K2098" s="2"/>
      </tp>
      <tp t="s">
        <v>#N/A Requesting Data...4123791599</v>
        <stp/>
        <stp>BDP|17839335559670736089</stp>
        <tr r="M904" s="2"/>
      </tp>
      <tp t="s">
        <v>#N/A Requesting Data...4117008662</v>
        <stp/>
        <stp>BDP|14325003268691082265</stp>
        <tr r="Q2447" s="2"/>
      </tp>
      <tp t="s">
        <v>#N/A Requesting Data...3940396863</v>
        <stp/>
        <stp>BDP|10783044919409204952</stp>
        <tr r="P1860" s="2"/>
      </tp>
      <tp t="s">
        <v>#N/A Requesting Data...4279831726</v>
        <stp/>
        <stp>BDP|17928528823498170943</stp>
        <tr r="R841" s="2"/>
      </tp>
      <tp t="s">
        <v>#N/A Requesting Data...4006842221</v>
        <stp/>
        <stp>BDP|13422327765261849669</stp>
        <tr r="M778" s="2"/>
      </tp>
      <tp t="b">
        <v>0</v>
        <stp/>
        <stp>BDS|18131169109031636963</stp>
        <tr r="I1355" s="2"/>
      </tp>
      <tp t="s">
        <v>#N/A Requesting Data...4276443238</v>
        <stp/>
        <stp>BDP|10492139249605184124</stp>
        <tr r="Q1717" s="2"/>
      </tp>
      <tp t="s">
        <v>#N/A Requesting Data...3999578799</v>
        <stp/>
        <stp>BDP|13296758759799783947</stp>
        <tr r="E1068" s="2"/>
      </tp>
      <tp t="s">
        <v>#N/A Requesting Data...4158905147</v>
        <stp/>
        <stp>BDP|16981089231857983348</stp>
        <tr r="D1722" s="2"/>
      </tp>
      <tp t="s">
        <v>#N/A Requesting Data...3974556148</v>
        <stp/>
        <stp>BDP|14405429939023678147</stp>
        <tr r="T537" s="2"/>
      </tp>
      <tp t="s">
        <v>#N/A Requesting Data...4196384662</v>
        <stp/>
        <stp>BDP|12404962182203804159</stp>
        <tr r="H1261" s="2"/>
      </tp>
      <tp t="s">
        <v>#N/A Requesting Data...4008437444</v>
        <stp/>
        <stp>BDP|14599598031205995692</stp>
        <tr r="R986" s="2"/>
      </tp>
      <tp t="s">
        <v>#N/A Requesting Data...4286949077</v>
        <stp/>
        <stp>BDP|18087352924530566891</stp>
        <tr r="P342" s="2"/>
      </tp>
      <tp t="s">
        <v>#N/A Requesting Data...4151247232</v>
        <stp/>
        <stp>BDP|15633723465545449089</stp>
        <tr r="H103" s="2"/>
      </tp>
      <tp t="s">
        <v>#N/A Requesting Data...4007993917</v>
        <stp/>
        <stp>BDP|18412966703295996554</stp>
        <tr r="C1042" s="2"/>
      </tp>
      <tp t="s">
        <v>#N/A Requesting Data...3998819024</v>
        <stp/>
        <stp>BDP|10987611304317923080</stp>
        <tr r="O310" s="2"/>
      </tp>
      <tp t="s">
        <v>#N/A Requesting Data...4231826691</v>
        <stp/>
        <stp>BDP|15779780261903382609</stp>
        <tr r="H10" s="2"/>
      </tp>
      <tp t="s">
        <v>#N/A Requesting Data...4186864597</v>
        <stp/>
        <stp>BDP|17421788807451227043</stp>
        <tr r="G944" s="2"/>
      </tp>
      <tp t="b">
        <v>0</v>
        <stp/>
        <stp>BDS|11275203259943508402</stp>
        <tr r="I2048" s="2"/>
      </tp>
      <tp t="s">
        <v>#N/A Requesting Data...4149925445</v>
        <stp/>
        <stp>BDP|14595800388757752274</stp>
        <tr r="N766" s="2"/>
      </tp>
      <tp t="s">
        <v>#N/A Requesting Data...4251388774</v>
        <stp/>
        <stp>BDP|12102941449216350828</stp>
        <tr r="M1394" s="2"/>
      </tp>
      <tp t="s">
        <v>#N/A Requesting Data...4041466167</v>
        <stp/>
        <stp>BDP|10011052748157983294</stp>
        <tr r="F2170" s="2"/>
      </tp>
      <tp t="s">
        <v>#N/A Requesting Data...4029144958</v>
        <stp/>
        <stp>BDP|12048348933072815123</stp>
        <tr r="Q2441" s="2"/>
      </tp>
      <tp t="s">
        <v>#N/A Requesting Data...4050353215</v>
        <stp/>
        <stp>BDP|17701363179966755421</stp>
        <tr r="F1546" s="2"/>
      </tp>
      <tp t="s">
        <v>#N/A Requesting Data...4123313802</v>
        <stp/>
        <stp>BDP|14995177445159411923</stp>
        <tr r="C875" s="2"/>
      </tp>
      <tp t="b">
        <v>0</v>
        <stp/>
        <stp>BDS|18423020342258251588</stp>
        <tr r="I34" s="2"/>
      </tp>
      <tp t="s">
        <v>#N/A Requesting Data...4092972431</v>
        <stp/>
        <stp>BDP|14491058519203583706</stp>
        <tr r="P1277" s="2"/>
      </tp>
      <tp t="s">
        <v>#N/A Requesting Data...4014161240</v>
        <stp/>
        <stp>BDP|11605711203695888212</stp>
        <tr r="P2091" s="2"/>
      </tp>
      <tp t="s">
        <v>#N/A Requesting Data...4052574452</v>
        <stp/>
        <stp>BDP|15452809598785119007</stp>
        <tr r="T1263" s="2"/>
      </tp>
      <tp t="s">
        <v>#N/A Requesting Data...4233994586</v>
        <stp/>
        <stp>BDP|17718364458941509111</stp>
        <tr r="S495" s="2"/>
      </tp>
      <tp t="s">
        <v>#N/A Requesting Data...4249416486</v>
        <stp/>
        <stp>BDP|14856129742040119041</stp>
        <tr r="G2300" s="2"/>
      </tp>
      <tp t="s">
        <v>#N/A Requesting Data...4164124330</v>
        <stp/>
        <stp>BDP|14770921328756788875</stp>
        <tr r="H730" s="2"/>
      </tp>
      <tp t="s">
        <v>#N/A Requesting Data...4235202783</v>
        <stp/>
        <stp>BDP|15799275409545710334</stp>
        <tr r="F552" s="2"/>
      </tp>
      <tp t="s">
        <v>#N/A Requesting Data...4278121330</v>
        <stp/>
        <stp>BDP|17529070566940932004</stp>
        <tr r="Q2507" s="2"/>
      </tp>
      <tp t="s">
        <v>#N/A Requesting Data...4097628959</v>
        <stp/>
        <stp>BDP|14144784647825505364</stp>
        <tr r="H1551" s="2"/>
      </tp>
      <tp t="s">
        <v>#N/A Requesting Data...4272215420</v>
        <stp/>
        <stp>BDP|13649612819964540167</stp>
        <tr r="D692" s="2"/>
      </tp>
      <tp t="s">
        <v>#N/A Requesting Data...4109888150</v>
        <stp/>
        <stp>BDP|10873846779618994612</stp>
        <tr r="C731" s="2"/>
      </tp>
      <tp t="s">
        <v>#N/A Requesting Data...4053655854</v>
        <stp/>
        <stp>BDP|16014741329826214425</stp>
        <tr r="G430" s="2"/>
      </tp>
      <tp t="s">
        <v>#N/A Requesting Data...4255255062</v>
        <stp/>
        <stp>BDP|11300120718268382876</stp>
        <tr r="H143" s="2"/>
      </tp>
      <tp t="s">
        <v>#N/A Requesting Data...4044543106</v>
        <stp/>
        <stp>BDP|12699111746347919156</stp>
        <tr r="D408" s="2"/>
      </tp>
      <tp t="s">
        <v>#N/A Requesting Data...4199795605</v>
        <stp/>
        <stp>BDP|12060060271376948232</stp>
        <tr r="Q17" s="2"/>
      </tp>
      <tp t="s">
        <v>#N/A Requesting Data...4291663216</v>
        <stp/>
        <stp>BDP|13987593843814853765</stp>
        <tr r="E1591" s="2"/>
      </tp>
      <tp t="s">
        <v>#N/A Requesting Data...4050287084</v>
        <stp/>
        <stp>BDP|11978450032022112525</stp>
        <tr r="O456" s="2"/>
      </tp>
      <tp t="s">
        <v>#N/A Requesting Data...4105826007</v>
        <stp/>
        <stp>BDP|18433524155310948973</stp>
        <tr r="P1982" s="2"/>
      </tp>
      <tp t="s">
        <v>#N/A Requesting Data...4139180267</v>
        <stp/>
        <stp>BDP|13730022535975983443</stp>
        <tr r="C207" s="2"/>
      </tp>
      <tp t="s">
        <v>#N/A Requesting Data...4141931289</v>
        <stp/>
        <stp>BDP|14652373069773138340</stp>
        <tr r="R479" s="2"/>
      </tp>
      <tp t="b">
        <v>0</v>
        <stp/>
        <stp>BDS|14548134205606566282</stp>
        <tr r="I809" s="2"/>
      </tp>
      <tp t="s">
        <v>#N/A Requesting Data...4151715229</v>
        <stp/>
        <stp>BDP|10220150544887799391</stp>
        <tr r="S477" s="2"/>
      </tp>
      <tp t="s">
        <v>#N/A Requesting Data...4265497006</v>
        <stp/>
        <stp>BDP|12179010731188962852</stp>
        <tr r="P2449" s="2"/>
      </tp>
      <tp t="s">
        <v>#N/A Requesting Data...4102403153</v>
        <stp/>
        <stp>BDP|14697188243422840283</stp>
        <tr r="S232" s="2"/>
      </tp>
      <tp t="s">
        <v>#N/A Requesting Data...4214707494</v>
        <stp/>
        <stp>BDP|17942433802286674430</stp>
        <tr r="A1849" s="2"/>
      </tp>
      <tp t="s">
        <v>#N/A Requesting Data...4089636803</v>
        <stp/>
        <stp>BDP|13266858961285276999</stp>
        <tr r="A1454" s="2"/>
      </tp>
      <tp t="s">
        <v>#N/A Requesting Data...4117751629</v>
        <stp/>
        <stp>BDP|14689208049686530577</stp>
        <tr r="Q804" s="2"/>
      </tp>
      <tp t="s">
        <v>#N/A Requesting Data...4246059094</v>
        <stp/>
        <stp>BDP|11782138059500752472</stp>
        <tr r="T2313" s="2"/>
      </tp>
      <tp t="s">
        <v>#N/A Requesting Data...4123892623</v>
        <stp/>
        <stp>BDP|10440912298997959698</stp>
        <tr r="O2506" s="2"/>
      </tp>
      <tp t="s">
        <v>#N/A Requesting Data...4250843476</v>
        <stp/>
        <stp>BDP|13853054409407033597</stp>
        <tr r="A1031" s="2"/>
      </tp>
      <tp t="b">
        <v>0</v>
        <stp/>
        <stp>BDS|10952862185083425205</stp>
        <tr r="I2527" s="2"/>
      </tp>
      <tp t="s">
        <v>#N/A Requesting Data...4254508107</v>
        <stp/>
        <stp>BDP|14275971940140140893</stp>
        <tr r="F1081" s="2"/>
      </tp>
      <tp t="s">
        <v>#N/A Requesting Data...4104913069</v>
        <stp/>
        <stp>BDP|15131188122951170675</stp>
        <tr r="H655" s="2"/>
      </tp>
      <tp t="s">
        <v>#N/A Requesting Data...4174162893</v>
        <stp/>
        <stp>BDP|16730744957774839113</stp>
        <tr r="D1123" s="2"/>
      </tp>
      <tp t="s">
        <v>#N/A Requesting Data...4207309542</v>
        <stp/>
        <stp>BDP|17661945473539520194</stp>
        <tr r="K1031" s="2"/>
      </tp>
      <tp t="s">
        <v>#N/A Requesting Data...4229640568</v>
        <stp/>
        <stp>BDP|12754182493302900984</stp>
        <tr r="K1114" s="2"/>
      </tp>
      <tp t="s">
        <v>#N/A Requesting Data...4288634914</v>
        <stp/>
        <stp>BDP|13017572304395973270</stp>
        <tr r="A449" s="2"/>
      </tp>
      <tp t="s">
        <v>#N/A Requesting Data...4278757034</v>
        <stp/>
        <stp>BDP|10565693157383605101</stp>
        <tr r="R2243" s="2"/>
      </tp>
      <tp t="s">
        <v>#N/A Requesting Data...4151234454</v>
        <stp/>
        <stp>BDP|18229031979027406914</stp>
        <tr r="D2494" s="2"/>
      </tp>
      <tp t="s">
        <v>#N/A Requesting Data...4237211799</v>
        <stp/>
        <stp>BDP|10028716076628869923</stp>
        <tr r="T1006" s="2"/>
      </tp>
      <tp t="s">
        <v>#N/A Requesting Data...4192675254</v>
        <stp/>
        <stp>BDP|18127669030675992933</stp>
        <tr r="G2516" s="2"/>
      </tp>
      <tp t="s">
        <v>#N/A Requesting Data...4145149540</v>
        <stp/>
        <stp>BDP|16162989720485783935</stp>
        <tr r="A310" s="2"/>
      </tp>
      <tp t="s">
        <v>#N/A Requesting Data...4246102436</v>
        <stp/>
        <stp>BDP|13786087970301094423</stp>
        <tr r="G2147" s="2"/>
      </tp>
      <tp t="s">
        <v>#N/A Requesting Data...4224942394</v>
        <stp/>
        <stp>BDP|16040187242195361742</stp>
        <tr r="F2329" s="2"/>
      </tp>
      <tp t="s">
        <v>#N/A Requesting Data...4141938316</v>
        <stp/>
        <stp>BDP|17325462173314800135</stp>
        <tr r="T1599" s="2"/>
      </tp>
      <tp t="s">
        <v>#N/A Requesting Data...4162993897</v>
        <stp/>
        <stp>BDP|10972154311504015501</stp>
        <tr r="C1433" s="2"/>
      </tp>
      <tp t="s">
        <v>#N/A Requesting Data...4180840616</v>
        <stp/>
        <stp>BDP|12831416546714771753</stp>
        <tr r="J1728" s="2"/>
      </tp>
      <tp t="s">
        <v>#N/A Requesting Data...4259394025</v>
        <stp/>
        <stp>BDP|15796747204815894629</stp>
        <tr r="D1265" s="2"/>
      </tp>
      <tp t="s">
        <v>#N/A Requesting Data...4281987476</v>
        <stp/>
        <stp>BDP|10308915441025933973</stp>
        <tr r="T2450" s="2"/>
      </tp>
      <tp t="s">
        <v>#N/A Requesting Data...4258635221</v>
        <stp/>
        <stp>BDP|17313587545290015730</stp>
        <tr r="A2096" s="2"/>
      </tp>
      <tp t="s">
        <v>#N/A Requesting Data...4276635517</v>
        <stp/>
        <stp>BDP|12967961188041235381</stp>
        <tr r="Q1376" s="2"/>
      </tp>
      <tp t="s">
        <v>#N/A Requesting Data...4269190883</v>
        <stp/>
        <stp>BDP|14605081627642671525</stp>
        <tr r="C1455" s="2"/>
      </tp>
      <tp t="b">
        <v>0</v>
        <stp/>
        <stp>BDS|13247186514645936792</stp>
        <tr r="I65" s="2"/>
      </tp>
      <tp t="s">
        <v>#N/A Requesting Data...4289342219</v>
        <stp/>
        <stp>BDP|12190355007076895660</stp>
        <tr r="M31" s="2"/>
      </tp>
      <tp t="s">
        <v>#N/A Requesting Data...4284070750</v>
        <stp/>
        <stp>BDP|12251250904388928970</stp>
        <tr r="K2244" s="2"/>
      </tp>
      <tp t="s">
        <v>#N/A Requesting Data...4238254399</v>
        <stp/>
        <stp>BDP|18328641775160772881</stp>
        <tr r="G224" s="2"/>
      </tp>
      <tp t="s">
        <v>#N/A Requesting Data...4215974506</v>
        <stp/>
        <stp>BDP|10026415641501505086</stp>
        <tr r="R2354" s="2"/>
      </tp>
      <tp t="s">
        <v>#N/A Requesting Data...4254958741</v>
        <stp/>
        <stp>BDP|14378073808437376223</stp>
        <tr r="N1637" s="2"/>
      </tp>
      <tp t="s">
        <v>#N/A Requesting Data...4213438363</v>
        <stp/>
        <stp>BDP|14602113149667362707</stp>
        <tr r="A1627" s="2"/>
      </tp>
      <tp t="s">
        <v>#N/A Requesting Data...4160815361</v>
        <stp/>
        <stp>BDP|11807767022997828298</stp>
        <tr r="E2314" s="2"/>
      </tp>
      <tp t="s">
        <v>#N/A Requesting Data...4170731666</v>
        <stp/>
        <stp>BDP|14984661046943741430</stp>
        <tr r="S1020" s="2"/>
      </tp>
      <tp t="s">
        <v>#N/A Requesting Data...4209582838</v>
        <stp/>
        <stp>BDP|14366135310327417295</stp>
        <tr r="A336" s="2"/>
      </tp>
      <tp t="s">
        <v>#N/A Requesting Data...4188312651</v>
        <stp/>
        <stp>BDP|17652688470100396701</stp>
        <tr r="G1462" s="2"/>
      </tp>
      <tp t="s">
        <v>#N/A Requesting Data...4181101790</v>
        <stp/>
        <stp>BDP|17194608318958591915</stp>
        <tr r="G1602" s="2"/>
      </tp>
      <tp t="s">
        <v>#N/A Requesting Data...4174089288</v>
        <stp/>
        <stp>BDP|15839707522584699503</stp>
        <tr r="T1900" s="2"/>
      </tp>
      <tp t="s">
        <v>#N/A Requesting Data...4185307060</v>
        <stp/>
        <stp>BDP|17657612576666929148</stp>
        <tr r="C2525" s="2"/>
      </tp>
      <tp t="s">
        <v>#N/A Requesting Data...4265287447</v>
        <stp/>
        <stp>BDP|10326467426185962269</stp>
        <tr r="F280" s="2"/>
      </tp>
      <tp t="s">
        <v>#N/A Requesting Data...4273092565</v>
        <stp/>
        <stp>BDP|15227423738254580710</stp>
        <tr r="A2350" s="2"/>
      </tp>
      <tp t="s">
        <v>#N/A Requesting Data...4228671936</v>
        <stp/>
        <stp>BDP|15165093296939649442</stp>
        <tr r="T73" s="2"/>
      </tp>
      <tp t="b">
        <v>0</v>
        <stp/>
        <stp>BDS|12351075373973909713</stp>
        <tr r="I1372" s="2"/>
      </tp>
      <tp t="s">
        <v>#N/A Requesting Data...4209805401</v>
        <stp/>
        <stp>BDP|10380799443985463717</stp>
        <tr r="K2252" s="2"/>
      </tp>
      <tp t="s">
        <v>#N/A Requesting Data...4267540510</v>
        <stp/>
        <stp>BDP|16521239275481804376</stp>
        <tr r="Q529" s="2"/>
      </tp>
      <tp t="s">
        <v>#N/A Requesting Data...4219206376</v>
        <stp/>
        <stp>BDP|17287723612058931871</stp>
        <tr r="F229" s="2"/>
      </tp>
      <tp t="s">
        <v>#N/A Requesting Data...4265255648</v>
        <stp/>
        <stp>BDP|14827908507108636451</stp>
        <tr r="K367" s="2"/>
      </tp>
      <tp t="s">
        <v>#N/A Requesting Data...4197762166</v>
        <stp/>
        <stp>BDP|10391539902816951275</stp>
        <tr r="M556" s="2"/>
      </tp>
      <tp t="s">
        <v>#N/A Requesting Data...4290185724</v>
        <stp/>
        <stp>BDP|10493395530085666472</stp>
        <tr r="K1274" s="2"/>
      </tp>
      <tp t="s">
        <v>#N/A Requesting Data...4237574581</v>
        <stp/>
        <stp>BDP|13788128199828273227</stp>
        <tr r="F1257" s="2"/>
      </tp>
      <tp t="s">
        <v>#N/A Requesting Data...4246638495</v>
        <stp/>
        <stp>BDP|16730297847837350661</stp>
        <tr r="H2375" s="2"/>
      </tp>
      <tp t="s">
        <v>#N/A Requesting Data...4214243113</v>
        <stp/>
        <stp>BDP|16969394072955948677</stp>
        <tr r="O1753" s="2"/>
      </tp>
      <tp t="s">
        <v>#N/A Requesting Data...4269431985</v>
        <stp/>
        <stp>BDP|11366902009061087864</stp>
        <tr r="C1861" s="2"/>
      </tp>
      <tp t="s">
        <v>#N/A Requesting Data...4278533641</v>
        <stp/>
        <stp>BDP|14902679620218064925</stp>
        <tr r="Q1042" s="2"/>
      </tp>
      <tp t="s">
        <v>#N/A Requesting Data...4241262291</v>
        <stp/>
        <stp>BDP|16396951746302423881</stp>
        <tr r="O717" s="2"/>
      </tp>
      <tp t="s">
        <v>#N/A Requesting Data...4231356879</v>
        <stp/>
        <stp>BDP|17921346770984268634</stp>
        <tr r="M1118" s="2"/>
      </tp>
      <tp t="s">
        <v>#N/A Requesting Data...4235291025</v>
        <stp/>
        <stp>BDP|14416602670140949418</stp>
        <tr r="G52" s="2"/>
      </tp>
      <tp t="s">
        <v>#N/A Requesting Data...4260327615</v>
        <stp/>
        <stp>BDP|10361911152824519990</stp>
        <tr r="F1441" s="2"/>
      </tp>
      <tp t="s">
        <v>#N/A Requesting Data...4286887335</v>
        <stp/>
        <stp>BDP|11983057572292558576</stp>
        <tr r="Q2" s="2"/>
      </tp>
      <tp t="s">
        <v>#N/A Requesting Data...4249644026</v>
        <stp/>
        <stp>BDP|12403618127460618780</stp>
        <tr r="O2297" s="2"/>
      </tp>
      <tp t="s">
        <v>#N/A Requesting Data...4263234205</v>
        <stp/>
        <stp>BDP|10748671441703573088</stp>
        <tr r="P402" s="2"/>
      </tp>
      <tp t="s">
        <v>#N/A Requesting Data...4245772100</v>
        <stp/>
        <stp>BDP|12737168443382714494</stp>
        <tr r="Q1438" s="2"/>
      </tp>
      <tp t="s">
        <v>#N/A Requesting Data...4251896021</v>
        <stp/>
        <stp>BDP|17148138416570914615</stp>
        <tr r="K1025" s="2"/>
      </tp>
      <tp t="s">
        <v>#N/A Requesting Data...4268373115</v>
        <stp/>
        <stp>BDP|15498096322365473376</stp>
        <tr r="D878" s="2"/>
      </tp>
      <tp t="s">
        <v>#N/A Requesting Data...4247012854</v>
        <stp/>
        <stp>BDP|16549115639057180204</stp>
        <tr r="R733" s="2"/>
      </tp>
      <tp t="s">
        <v>#N/A Requesting Data...4259545357</v>
        <stp/>
        <stp>BDP|13846767706174583117</stp>
        <tr r="E240" s="2"/>
      </tp>
      <tp t="s">
        <v>#N/A Requesting Data...4276540748</v>
        <stp/>
        <stp>BDP|17792259341079650998</stp>
        <tr r="A461" s="2"/>
      </tp>
      <tp t="s">
        <v>#N/A Requesting Data...4277073457</v>
        <stp/>
        <stp>BDP|15836439688430871874</stp>
        <tr r="C587" s="2"/>
      </tp>
      <tp t="s">
        <v>#N/A Requesting Data...4287371081</v>
        <stp/>
        <stp>BDP|16153645474996473092</stp>
        <tr r="E390" s="2"/>
      </tp>
      <tp t="s">
        <v>#N/A Requesting Data...4291374612</v>
        <stp/>
        <stp>BDP|11805546153949608953</stp>
        <tr r="K2068" s="2"/>
      </tp>
      <tp t="s">
        <v>#N/A Requesting Data...4268141740</v>
        <stp/>
        <stp>BDP|16152172865764884474</stp>
        <tr r="K802" s="2"/>
      </tp>
      <tp t="s">
        <v>#N/A Requesting Data...4286501807</v>
        <stp/>
        <stp>BDP|15483984194713577710</stp>
        <tr r="E2036" s="2"/>
      </tp>
      <tp t="s">
        <v>#N/A Requesting Data...4275514124</v>
        <stp/>
        <stp>BDP|12934317715006913789</stp>
        <tr r="N2125" s="2"/>
      </tp>
      <tp t="s">
        <v>#N/A Requesting Data...4275693670</v>
        <stp/>
        <stp>BDP|17374646874894675392</stp>
        <tr r="A2435" s="2"/>
      </tp>
      <tp t="s">
        <v>#N/A Requesting Data...4285737637</v>
        <stp/>
        <stp>BDP|17128771728623321014</stp>
        <tr r="O1626" s="2"/>
      </tp>
      <tp t="s">
        <v>#N/A Requesting Data...4281221662</v>
        <stp/>
        <stp>BDP|10303692110613559532</stp>
        <tr r="T1547" s="2"/>
      </tp>
      <tp t="s">
        <v>#N/A Requesting Data...4280107543</v>
        <stp/>
        <stp>BDP|10246864129239207231</stp>
        <tr r="G796" s="2"/>
      </tp>
      <tp t="s">
        <v>#N/A Requesting Data...4291903715</v>
        <stp/>
        <stp>BDP|13037019890859849255</stp>
        <tr r="D1617" s="2"/>
      </tp>
      <tp t="s">
        <v>#N/A Requesting Data...4290419639</v>
        <stp/>
        <stp>BDP|14916689279182222669</stp>
        <tr r="H1010" s="2"/>
      </tp>
      <tp t="s">
        <v>#N/A Requesting Data...4291570056</v>
        <stp/>
        <stp>BDP|11179591165462877197</stp>
        <tr r="Q1975" s="2"/>
      </tp>
      <tp t="s">
        <v>#N/A Requesting Data...4291556218</v>
        <stp/>
        <stp>BDP|17763433199669091218</stp>
        <tr r="J1129" s="2"/>
      </tp>
      <tp t="s">
        <v>#N/A Requesting Data...4292904163</v>
        <stp/>
        <stp>BDP|12870923321620176867</stp>
        <tr r="E339" s="2"/>
      </tp>
      <tp t="s">
        <v>#N/A Requesting Data...2674964232</v>
        <stp/>
        <stp>BDP|14829121237843419458</stp>
        <tr r="J1319" s="2"/>
      </tp>
      <tp t="s">
        <v>#N/A Requesting Data...1413965129</v>
        <stp/>
        <stp>BDP|10734440945813335299</stp>
        <tr r="O2499" s="2"/>
      </tp>
      <tp t="s">
        <v>#N/A Requesting Data...3004055687</v>
        <stp/>
        <stp>BDP|12249159501675992733</stp>
        <tr r="E2043" s="2"/>
      </tp>
      <tp t="s">
        <v>#N/A Requesting Data...3876461177</v>
        <stp/>
        <stp>BDP|11704292639087342687</stp>
        <tr r="O792" s="2"/>
      </tp>
      <tp t="s">
        <v>#N/A Requesting Data...198668114</v>
        <stp/>
        <stp>BDP|17548372688615255844</stp>
        <tr r="G1499" s="2"/>
      </tp>
      <tp t="s">
        <v>#N/A Requesting Data...2145157378</v>
        <stp/>
        <stp>BDP|11930483034074914300</stp>
        <tr r="S748" s="2"/>
      </tp>
      <tp t="s">
        <v>#N/A Requesting Data...3598665223</v>
        <stp/>
        <stp>BDP|14171280159846486486</stp>
        <tr r="J2230" s="2"/>
      </tp>
      <tp t="s">
        <v>#N/A Requesting Data...4090218918</v>
        <stp/>
        <stp>BDP|16891560523818947884</stp>
        <tr r="C1012" s="2"/>
      </tp>
      <tp t="s">
        <v>#N/A Requesting Data...1516874625</v>
        <stp/>
        <stp>BDP|13022061765430841473</stp>
        <tr r="O550" s="2"/>
      </tp>
      <tp t="b">
        <v>0</v>
        <stp/>
        <stp>BDS|14844571123501157325</stp>
        <tr r="I1751" s="2"/>
      </tp>
      <tp t="s">
        <v>#N/A Requesting Data...350028893</v>
        <stp/>
        <stp>BDP|11895602162420608008</stp>
        <tr r="C1483" s="2"/>
      </tp>
      <tp t="s">
        <v>#N/A Requesting Data...2996425941</v>
        <stp/>
        <stp>BDP|13980037227828189808</stp>
        <tr r="P568" s="2"/>
      </tp>
      <tp t="s">
        <v>#N/A Requesting Data...2972553186</v>
        <stp/>
        <stp>BDP|15268420874223027481</stp>
        <tr r="S1677" s="2"/>
      </tp>
      <tp t="s">
        <v>#N/A Requesting Data...1742727212</v>
        <stp/>
        <stp>BDP|17643846473558577187</stp>
        <tr r="D1033" s="2"/>
      </tp>
      <tp t="s">
        <v>#N/A Requesting Data...2998512168</v>
        <stp/>
        <stp>BDP|11167323709732255140</stp>
        <tr r="R1598" s="2"/>
      </tp>
      <tp t="s">
        <v>#N/A Requesting Data...3931251955</v>
        <stp/>
        <stp>BDP|12667983642058165614</stp>
        <tr r="H2517" s="2"/>
      </tp>
      <tp t="s">
        <v>#N/A Requesting Data...1331550769</v>
        <stp/>
        <stp>BDP|17736277290459461481</stp>
        <tr r="H1107" s="2"/>
      </tp>
      <tp t="s">
        <v>#N/A Requesting Data...579316692</v>
        <stp/>
        <stp>BDP|17979526230120734005</stp>
        <tr r="N900" s="2"/>
      </tp>
      <tp t="s">
        <v>#N/A Requesting Data...3879635633</v>
        <stp/>
        <stp>BDP|17929864367331437900</stp>
        <tr r="Q1328" s="2"/>
      </tp>
      <tp t="s">
        <v>#N/A Requesting Data...2350438584</v>
        <stp/>
        <stp>BDP|13567366454427838331</stp>
        <tr r="S1542" s="2"/>
      </tp>
      <tp t="s">
        <v>#N/A Requesting Data...3903879038</v>
        <stp/>
        <stp>BDP|14137607821723564293</stp>
        <tr r="F2092" s="2"/>
      </tp>
      <tp t="b">
        <v>0</v>
        <stp/>
        <stp>BDS|13729331037512854046</stp>
        <tr r="I494" s="2"/>
      </tp>
      <tp t="s">
        <v>#N/A Requesting Data...4172339588</v>
        <stp/>
        <stp>BDP|16822627481409619015</stp>
        <tr r="A657" s="2"/>
      </tp>
      <tp t="s">
        <v>#N/A Requesting Data...2229371934</v>
        <stp/>
        <stp>BDP|13327084917332383138</stp>
        <tr r="T374" s="2"/>
      </tp>
      <tp t="s">
        <v>#N/A Requesting Data...1096470758</v>
        <stp/>
        <stp>BDP|16464773486531868913</stp>
        <tr r="N1431" s="2"/>
      </tp>
      <tp t="s">
        <v>#N/A Requesting Data...2708501441</v>
        <stp/>
        <stp>BDP|14641043149596403737</stp>
        <tr r="Q2029" s="2"/>
      </tp>
      <tp t="s">
        <v>#N/A Requesting Data...3441553701</v>
        <stp/>
        <stp>BDP|17587523540037275099</stp>
        <tr r="J1182" s="2"/>
      </tp>
      <tp t="b">
        <v>0</v>
        <stp/>
        <stp>BDS|16645391375934613738</stp>
        <tr r="I2474" s="2"/>
      </tp>
      <tp t="s">
        <v>#N/A Requesting Data...3865286267</v>
        <stp/>
        <stp>BDP|13860169664133195672</stp>
        <tr r="G222" s="2"/>
      </tp>
      <tp t="s">
        <v>#N/A Requesting Data...3433213398</v>
        <stp/>
        <stp>BDP|14992058061967769455</stp>
        <tr r="D966" s="2"/>
      </tp>
      <tp t="s">
        <v>#N/A Requesting Data...985330395</v>
        <stp/>
        <stp>BDP|17113931322685748889</stp>
        <tr r="S2132" s="2"/>
      </tp>
      <tp t="s">
        <v>#N/A Requesting Data...3406051418</v>
        <stp/>
        <stp>BDP|15016343938561254518</stp>
        <tr r="Q1681" s="2"/>
      </tp>
      <tp t="s">
        <v>#N/A Requesting Data...2671641311</v>
        <stp/>
        <stp>BDP|10182311326465137584</stp>
        <tr r="Q1858" s="2"/>
      </tp>
      <tp t="s">
        <v>#N/A Requesting Data...843127886</v>
        <stp/>
        <stp>BDP|12941528400662728431</stp>
        <tr r="N2096" s="2"/>
      </tp>
      <tp t="s">
        <v>#N/A Requesting Data...2022539964</v>
        <stp/>
        <stp>BDP|16361873694342796486</stp>
        <tr r="K2181" s="2"/>
      </tp>
      <tp t="s">
        <v>#N/A Requesting Data...1073246524</v>
        <stp/>
        <stp>BDP|13290920591636750493</stp>
        <tr r="Q651" s="2"/>
      </tp>
      <tp t="s">
        <v>#N/A Requesting Data...1835632301</v>
        <stp/>
        <stp>BDP|13603037385968766281</stp>
        <tr r="D2208" s="2"/>
      </tp>
      <tp t="s">
        <v>#N/A Requesting Data...1188413720</v>
        <stp/>
        <stp>BDP|14426160184419072599</stp>
        <tr r="H293" s="2"/>
      </tp>
      <tp t="s">
        <v>#N/A Requesting Data...1796214911</v>
        <stp/>
        <stp>BDP|11302330633153486381</stp>
        <tr r="P298" s="2"/>
      </tp>
      <tp t="s">
        <v>#N/A Requesting Data...1858072637</v>
        <stp/>
        <stp>BDP|14822130131903102443</stp>
        <tr r="N2367" s="2"/>
      </tp>
      <tp t="b">
        <v>0</v>
        <stp/>
        <stp>BDS|15228360148502916199</stp>
        <tr r="I2406" s="2"/>
      </tp>
      <tp t="s">
        <v>#N/A Requesting Data...733616419</v>
        <stp/>
        <stp>BDP|17148679699671367832</stp>
        <tr r="A1483" s="2"/>
      </tp>
      <tp t="s">
        <v>#N/A Requesting Data...4122929718</v>
        <stp/>
        <stp>BDP|17726548084092951910</stp>
        <tr r="O67" s="2"/>
      </tp>
      <tp t="b">
        <v>0</v>
        <stp/>
        <stp>BDS|13471189944434663323</stp>
        <tr r="I1384" s="2"/>
      </tp>
      <tp t="s">
        <v>#N/A Requesting Data...1643190558</v>
        <stp/>
        <stp>BDP|13292447839190766576</stp>
        <tr r="G1956" s="2"/>
      </tp>
      <tp t="s">
        <v>#N/A Requesting Data...1986362720</v>
        <stp/>
        <stp>BDP|17431785000833185229</stp>
        <tr r="P129" s="2"/>
      </tp>
      <tp t="s">
        <v>#N/A Requesting Data...3870533272</v>
        <stp/>
        <stp>BDP|10043993322909522313</stp>
        <tr r="K16" s="2"/>
      </tp>
      <tp t="s">
        <v>#N/A Requesting Data...1979524667</v>
        <stp/>
        <stp>BDP|14292031949238337947</stp>
        <tr r="P1546" s="2"/>
      </tp>
      <tp t="s">
        <v>#N/A Requesting Data...733598316</v>
        <stp/>
        <stp>BDP|15926301037861719564</stp>
        <tr r="H1080" s="2"/>
      </tp>
      <tp t="s">
        <v>#N/A Requesting Data...2602347458</v>
        <stp/>
        <stp>BDP|17961530601794796736</stp>
        <tr r="D1983" s="2"/>
      </tp>
      <tp t="s">
        <v>#N/A Requesting Data...3235301610</v>
        <stp/>
        <stp>BDP|10039181517958062903</stp>
        <tr r="T229" s="2"/>
      </tp>
      <tp t="b">
        <v>0</v>
        <stp/>
        <stp>BDS|13417409838715912093</stp>
        <tr r="I422" s="2"/>
      </tp>
      <tp t="s">
        <v>#N/A Requesting Data...3233752580</v>
        <stp/>
        <stp>BDP|11394151804522570387</stp>
        <tr r="E1971" s="2"/>
      </tp>
      <tp t="s">
        <v>#N/A Requesting Data...2812493927</v>
        <stp/>
        <stp>BDP|16577499977661030546</stp>
        <tr r="S1072" s="2"/>
      </tp>
      <tp t="s">
        <v>#N/A Requesting Data...3905797505</v>
        <stp/>
        <stp>BDP|12683082360710211531</stp>
        <tr r="R2280" s="2"/>
      </tp>
      <tp t="s">
        <v>#N/A Requesting Data...2512459833</v>
        <stp/>
        <stp>BDP|16936498518230600214</stp>
        <tr r="Q1583" s="2"/>
      </tp>
      <tp t="s">
        <v>#N/A Requesting Data...582315278</v>
        <stp/>
        <stp>BDP|12782767571081833270</stp>
        <tr r="P1487" s="2"/>
      </tp>
      <tp t="s">
        <v>#N/A Requesting Data...3923655209</v>
        <stp/>
        <stp>BDP|10440642477166937618</stp>
        <tr r="O329" s="2"/>
      </tp>
      <tp t="s">
        <v>#N/A Requesting Data...2255370974</v>
        <stp/>
        <stp>BDP|15318714323047689681</stp>
        <tr r="K1213" s="2"/>
      </tp>
      <tp t="s">
        <v>#N/A Requesting Data...1898138442</v>
        <stp/>
        <stp>BDP|16018578298032519954</stp>
        <tr r="K2084" s="2"/>
      </tp>
      <tp t="s">
        <v>#N/A Requesting Data...2741703406</v>
        <stp/>
        <stp>BDP|14404643768762008777</stp>
        <tr r="F204" s="2"/>
      </tp>
      <tp t="s">
        <v>#N/A Requesting Data...1472044522</v>
        <stp/>
        <stp>BDP|11242764772387913701</stp>
        <tr r="P400" s="2"/>
      </tp>
      <tp t="s">
        <v>#N/A Requesting Data...2774362905</v>
        <stp/>
        <stp>BDP|10547718129217585375</stp>
        <tr r="O2365" s="2"/>
      </tp>
      <tp t="s">
        <v>#N/A Requesting Data...2733536928</v>
        <stp/>
        <stp>BDP|14242519953510687592</stp>
        <tr r="H50" s="2"/>
      </tp>
      <tp t="s">
        <v>#N/A Requesting Data...3001776983</v>
        <stp/>
        <stp>BDP|10139983773008040756</stp>
        <tr r="R798" s="2"/>
      </tp>
      <tp t="s">
        <v>#N/A Requesting Data...1004097286</v>
        <stp/>
        <stp>BDP|17809178004912406503</stp>
        <tr r="Q2409" s="2"/>
      </tp>
      <tp t="s">
        <v>#N/A Requesting Data...2683891817</v>
        <stp/>
        <stp>BDP|16067115336723109695</stp>
        <tr r="M519" s="2"/>
      </tp>
      <tp t="b">
        <v>0</v>
        <stp/>
        <stp>BDS|13258092421536149677</stp>
        <tr r="I2403" s="2"/>
      </tp>
      <tp t="s">
        <v>#N/A Requesting Data...840667563</v>
        <stp/>
        <stp>BDP|17135787989371907867</stp>
        <tr r="R1469" s="2"/>
      </tp>
      <tp t="s">
        <v>#N/A Requesting Data...2627683674</v>
        <stp/>
        <stp>BDP|13273995883256464536</stp>
        <tr r="O1713" s="2"/>
      </tp>
      <tp t="s">
        <v>#N/A Requesting Data...1928459027</v>
        <stp/>
        <stp>BDP|18228919934633147099</stp>
        <tr r="J1656" s="2"/>
      </tp>
      <tp t="s">
        <v>#N/A Requesting Data...3961319201</v>
        <stp/>
        <stp>BDP|16774586734877690620</stp>
        <tr r="P1373" s="2"/>
      </tp>
      <tp t="s">
        <v>#N/A Requesting Data...2470639747</v>
        <stp/>
        <stp>BDP|17601487232503022230</stp>
        <tr r="C422" s="2"/>
      </tp>
      <tp t="s">
        <v>#N/A Requesting Data...4147147373</v>
        <stp/>
        <stp>BDP|12795174173611936458</stp>
        <tr r="S278" s="2"/>
      </tp>
      <tp t="s">
        <v>#N/A Requesting Data...2069676662</v>
        <stp/>
        <stp>BDP|15227690547495157324</stp>
        <tr r="K851" s="2"/>
      </tp>
      <tp t="b">
        <v>0</v>
        <stp/>
        <stp>BDS|16597710638135388637</stp>
        <tr r="I1505" s="2"/>
      </tp>
      <tp t="s">
        <v>#N/A Requesting Data...1066291329</v>
        <stp/>
        <stp>BDP|10312246005866511589</stp>
        <tr r="H2241" s="2"/>
      </tp>
      <tp t="s">
        <v>#N/A Requesting Data...4021786302</v>
        <stp/>
        <stp>BDP|14734607251693850511</stp>
        <tr r="O1443" s="2"/>
      </tp>
      <tp t="s">
        <v>#N/A Requesting Data...380188341</v>
        <stp/>
        <stp>BDP|13760173658895027379</stp>
        <tr r="Q451" s="2"/>
      </tp>
      <tp t="s">
        <v>#N/A Requesting Data...1997544594</v>
        <stp/>
        <stp>BDP|13958078028168835819</stp>
        <tr r="D536" s="2"/>
      </tp>
      <tp t="b">
        <v>0</v>
        <stp/>
        <stp>BDS|15515506978121845794</stp>
        <tr r="I1907" s="2"/>
      </tp>
      <tp t="s">
        <v>#N/A Requesting Data...3288402159</v>
        <stp/>
        <stp>BDP|17244910748438565310</stp>
        <tr r="C1395" s="2"/>
      </tp>
      <tp t="b">
        <v>0</v>
        <stp/>
        <stp>BDS|12801566587619368763</stp>
        <tr r="I1667" s="2"/>
      </tp>
      <tp t="s">
        <v>#N/A Requesting Data...696656500</v>
        <stp/>
        <stp>BDP|12844013180689032267</stp>
        <tr r="T2041" s="2"/>
      </tp>
      <tp t="b">
        <v>0</v>
        <stp/>
        <stp>BDS|11929168070964710247</stp>
        <tr r="I2017" s="2"/>
      </tp>
      <tp t="s">
        <v>#N/A Requesting Data...749661896</v>
        <stp/>
        <stp>BDP|14103859899051650549</stp>
        <tr r="Q1007" s="2"/>
      </tp>
      <tp t="s">
        <v>#N/A Requesting Data...1625060625</v>
        <stp/>
        <stp>BDP|10253497575186975481</stp>
        <tr r="M812" s="2"/>
      </tp>
      <tp t="s">
        <v>#N/A Requesting Data...1418453693</v>
        <stp/>
        <stp>BDP|11565015867384963253</stp>
        <tr r="N1453" s="2"/>
      </tp>
      <tp t="s">
        <v>#N/A Requesting Data...2999334850</v>
        <stp/>
        <stp>BDP|17001980221274512936</stp>
        <tr r="A895" s="2"/>
      </tp>
      <tp t="s">
        <v>#N/A Requesting Data...1769914474</v>
        <stp/>
        <stp>BDP|13956194027860151199</stp>
        <tr r="F1383" s="2"/>
      </tp>
      <tp t="s">
        <v>#N/A Requesting Data...2993548768</v>
        <stp/>
        <stp>BDP|13870144811010459263</stp>
        <tr r="F1467" s="2"/>
      </tp>
      <tp t="s">
        <v>#N/A Requesting Data...1622063229</v>
        <stp/>
        <stp>BDP|14078646336580581089</stp>
        <tr r="P341" s="2"/>
      </tp>
      <tp t="s">
        <v>#N/A Requesting Data...686366486</v>
        <stp/>
        <stp>BDP|12605683304697657234</stp>
        <tr r="Q2407" s="2"/>
      </tp>
      <tp t="s">
        <v>#N/A Requesting Data...1684065180</v>
        <stp/>
        <stp>BDP|11591018613484198598</stp>
        <tr r="T2402" s="2"/>
      </tp>
      <tp t="s">
        <v>#N/A Requesting Data...1865316324</v>
        <stp/>
        <stp>BDP|11030453300431266586</stp>
        <tr r="F1688" s="2"/>
      </tp>
      <tp t="s">
        <v>#N/A Requesting Data...2717040243</v>
        <stp/>
        <stp>BDP|15307053122672862437</stp>
        <tr r="D201" s="2"/>
      </tp>
      <tp t="s">
        <v>#N/A Requesting Data...3829327597</v>
        <stp/>
        <stp>BDP|10366464140918894926</stp>
        <tr r="F1888" s="2"/>
      </tp>
      <tp t="s">
        <v>#N/A Requesting Data...1865356784</v>
        <stp/>
        <stp>BDP|13780690697455481820</stp>
        <tr r="P392" s="2"/>
      </tp>
      <tp t="s">
        <v>#N/A Requesting Data...2602549614</v>
        <stp/>
        <stp>BDP|13759314158916061205</stp>
        <tr r="C2159" s="2"/>
      </tp>
      <tp t="s">
        <v>#N/A Requesting Data...2605555922</v>
        <stp/>
        <stp>BDP|10227696121351246468</stp>
        <tr r="D808" s="2"/>
      </tp>
      <tp t="s">
        <v>#N/A Requesting Data...1290918076</v>
        <stp/>
        <stp>BDP|11135776479556590642</stp>
        <tr r="S1134" s="2"/>
      </tp>
      <tp t="s">
        <v>#N/A Requesting Data...1882422228</v>
        <stp/>
        <stp>BDP|10565502418573691653</stp>
        <tr r="N1236" s="2"/>
      </tp>
      <tp t="b">
        <v>0</v>
        <stp/>
        <stp>BDS|11472019352611222481</stp>
        <tr r="I1614" s="2"/>
      </tp>
      <tp t="s">
        <v>#N/A Requesting Data...2573656923</v>
        <stp/>
        <stp>BDP|14740489455457304373</stp>
        <tr r="D2118" s="2"/>
      </tp>
      <tp t="s">
        <v>#N/A Requesting Data...2368977167</v>
        <stp/>
        <stp>BDP|18347203216869814334</stp>
        <tr r="T2338" s="2"/>
      </tp>
      <tp t="b">
        <v>0</v>
        <stp/>
        <stp>BDS|16960079707782438501</stp>
        <tr r="I1215" s="2"/>
      </tp>
      <tp t="s">
        <v>#N/A Requesting Data...1671413969</v>
        <stp/>
        <stp>BDP|10041387600835084769</stp>
        <tr r="N2047" s="2"/>
      </tp>
      <tp t="s">
        <v>#N/A Requesting Data...1152959718</v>
        <stp/>
        <stp>BDP|11915280109893632103</stp>
        <tr r="J2364" s="2"/>
      </tp>
      <tp t="s">
        <v>#N/A Requesting Data...3844231903</v>
        <stp/>
        <stp>BDP|16795983386002779404</stp>
        <tr r="R917" s="2"/>
      </tp>
      <tp t="s">
        <v>#N/A Requesting Data...3836253034</v>
        <stp/>
        <stp>BDP|13898142727338682939</stp>
        <tr r="A1134" s="2"/>
      </tp>
      <tp t="s">
        <v>#N/A Requesting Data...1499575135</v>
        <stp/>
        <stp>BDP|10449487355917412732</stp>
        <tr r="A1944" s="2"/>
      </tp>
      <tp t="s">
        <v>#N/A Requesting Data...2775379376</v>
        <stp/>
        <stp>BDP|13186925238488485018</stp>
        <tr r="G429" s="2"/>
      </tp>
      <tp t="s">
        <v>#N/A Requesting Data...4204122921</v>
        <stp/>
        <stp>BDP|12394179150566994135</stp>
        <tr r="F982" s="2"/>
      </tp>
      <tp t="s">
        <v>#N/A Requesting Data...2982978826</v>
        <stp/>
        <stp>BDP|15926493543911574586</stp>
        <tr r="R1423" s="2"/>
      </tp>
      <tp t="b">
        <v>0</v>
        <stp/>
        <stp>BDS|10681503650252252395</stp>
        <tr r="I1450" s="2"/>
      </tp>
      <tp t="s">
        <v>#N/A Requesting Data...756783678</v>
        <stp/>
        <stp>BDP|11460439947533638380</stp>
        <tr r="R404" s="2"/>
      </tp>
      <tp t="s">
        <v>#N/A Requesting Data...3937173864</v>
        <stp/>
        <stp>BDP|12658078523578968957</stp>
        <tr r="F880" s="2"/>
      </tp>
      <tp t="s">
        <v>#N/A Requesting Data...2062803516</v>
        <stp/>
        <stp>BDP|12254599379491522092</stp>
        <tr r="Q19" s="2"/>
      </tp>
      <tp t="s">
        <v>#N/A Requesting Data...508584708</v>
        <stp/>
        <stp>BDP|12378134559823360445</stp>
        <tr r="G1387" s="2"/>
      </tp>
      <tp t="b">
        <v>0</v>
        <stp/>
        <stp>BDS|12050875040768266789</stp>
        <tr r="I2118" s="2"/>
      </tp>
      <tp t="s">
        <v>#N/A Requesting Data...3580239724</v>
        <stp/>
        <stp>BDP|12476777572033883070</stp>
        <tr r="S592" s="2"/>
      </tp>
      <tp t="s">
        <v>#N/A Requesting Data...2213507248</v>
        <stp/>
        <stp>BDP|11245398313234084669</stp>
        <tr r="M1203" s="2"/>
      </tp>
      <tp t="s">
        <v>#N/A Requesting Data...2629321569</v>
        <stp/>
        <stp>BDP|10697491250296841690</stp>
        <tr r="H1515" s="2"/>
      </tp>
      <tp t="s">
        <v>#N/A Requesting Data...3633945854</v>
        <stp/>
        <stp>BDP|16884774075444645322</stp>
        <tr r="F192" s="2"/>
      </tp>
      <tp t="s">
        <v>#N/A Requesting Data...1602075025</v>
        <stp/>
        <stp>BDP|14060622545860874715</stp>
        <tr r="G1660" s="2"/>
      </tp>
      <tp t="s">
        <v>#N/A Requesting Data...3989946065</v>
        <stp/>
        <stp>BDP|14440089768234968734</stp>
        <tr r="C1144" s="2"/>
      </tp>
      <tp t="s">
        <v>#N/A Requesting Data...2349608187</v>
        <stp/>
        <stp>BDP|17512651757425193080</stp>
        <tr r="S741" s="2"/>
      </tp>
      <tp t="s">
        <v>#N/A Requesting Data...732625332</v>
        <stp/>
        <stp>BDP|14596080626746602133</stp>
        <tr r="T1009" s="2"/>
      </tp>
      <tp t="s">
        <v>#N/A Requesting Data...1091920424</v>
        <stp/>
        <stp>BDP|12489496002705519245</stp>
        <tr r="M1170" s="2"/>
      </tp>
      <tp t="s">
        <v>#N/A Requesting Data...2481415003</v>
        <stp/>
        <stp>BDP|10504054306531949019</stp>
        <tr r="G1825" s="2"/>
      </tp>
      <tp t="s">
        <v>#N/A Requesting Data...1097545697</v>
        <stp/>
        <stp>BDP|12930417091888525622</stp>
        <tr r="D1713" s="2"/>
      </tp>
      <tp t="s">
        <v>#N/A Requesting Data...569136030</v>
        <stp/>
        <stp>BDP|11183148950763835738</stp>
        <tr r="H1908" s="2"/>
      </tp>
      <tp t="s">
        <v>#N/A Requesting Data...2853108238</v>
        <stp/>
        <stp>BDP|12999371095518043155</stp>
        <tr r="J1432" s="2"/>
      </tp>
      <tp t="s">
        <v>#N/A Requesting Data...2956098674</v>
        <stp/>
        <stp>BDP|12795383194130752922</stp>
        <tr r="P157" s="2"/>
      </tp>
      <tp t="s">
        <v>#N/A Requesting Data...1082286552</v>
        <stp/>
        <stp>BDP|16891166685118043656</stp>
        <tr r="Q1997" s="2"/>
      </tp>
      <tp t="s">
        <v>#N/A Requesting Data...1569116338</v>
        <stp/>
        <stp>BDP|15493691643340877680</stp>
        <tr r="G305" s="2"/>
      </tp>
      <tp t="s">
        <v>#N/A Requesting Data...1247988992</v>
        <stp/>
        <stp>BDP|15939110540230451127</stp>
        <tr r="C322" s="2"/>
      </tp>
      <tp t="s">
        <v>#N/A Requesting Data...1232129776</v>
        <stp/>
        <stp>BDP|13998677674151582214</stp>
        <tr r="T901" s="2"/>
      </tp>
      <tp t="s">
        <v>#N/A Requesting Data...580401058</v>
        <stp/>
        <stp>BDP|16769495432048723852</stp>
        <tr r="T585" s="2"/>
      </tp>
      <tp t="s">
        <v>#N/A Requesting Data...2212870995</v>
        <stp/>
        <stp>BDP|11428392060093420671</stp>
        <tr r="S182" s="2"/>
      </tp>
      <tp t="s">
        <v>#N/A Requesting Data...1637064228</v>
        <stp/>
        <stp>BDP|17772850357233312887</stp>
        <tr r="E288" s="2"/>
      </tp>
      <tp t="s">
        <v>#N/A Requesting Data...1564875365</v>
        <stp/>
        <stp>BDP|13980453672354790572</stp>
        <tr r="J101" s="2"/>
      </tp>
      <tp t="s">
        <v>#N/A Requesting Data...468325608</v>
        <stp/>
        <stp>BDP|10767937073409838614</stp>
        <tr r="N961" s="2"/>
      </tp>
      <tp t="s">
        <v>#N/A Requesting Data...1236352293</v>
        <stp/>
        <stp>BDP|11794834591604398580</stp>
        <tr r="C2035" s="2"/>
      </tp>
      <tp t="s">
        <v>#N/A Requesting Data...769981703</v>
        <stp/>
        <stp>BDP|17833728510769485906</stp>
        <tr r="D261" s="2"/>
      </tp>
      <tp t="s">
        <v>#N/A Requesting Data...638029477</v>
        <stp/>
        <stp>BDP|13397786340034250578</stp>
        <tr r="T2479" s="2"/>
      </tp>
      <tp t="s">
        <v>#N/A Requesting Data...684197917</v>
        <stp/>
        <stp>BDP|14964434338427855541</stp>
        <tr r="D1844" s="2"/>
      </tp>
      <tp t="s">
        <v>#N/A Requesting Data...1112804882</v>
        <stp/>
        <stp>BDP|16205415389739447204</stp>
        <tr r="R2105" s="2"/>
      </tp>
      <tp t="s">
        <v>#N/A Requesting Data...3232388997</v>
        <stp/>
        <stp>BDP|10923336238142878343</stp>
        <tr r="N865" s="2"/>
      </tp>
      <tp t="s">
        <v>#N/A Requesting Data...3038468465</v>
        <stp/>
        <stp>BDP|12832542229746879230</stp>
        <tr r="M1143" s="2"/>
      </tp>
      <tp t="s">
        <v>#N/A Requesting Data...3943533275</v>
        <stp/>
        <stp>BDP|17302627446285051191</stp>
        <tr r="A2511" s="2"/>
      </tp>
      <tp t="s">
        <v>#N/A Requesting Data...4024975650</v>
        <stp/>
        <stp>BDP|17522492546893215568</stp>
        <tr r="D670" s="2"/>
      </tp>
      <tp t="s">
        <v>#N/A Requesting Data...3017445173</v>
        <stp/>
        <stp>BDP|12776162741070645680</stp>
        <tr r="J1820" s="2"/>
      </tp>
      <tp t="s">
        <v>#N/A Requesting Data...3485100541</v>
        <stp/>
        <stp>BDP|10166588260264586624</stp>
        <tr r="J637" s="2"/>
      </tp>
      <tp t="s">
        <v>#N/A Requesting Data...2680357482</v>
        <stp/>
        <stp>BDP|13525882834091162866</stp>
        <tr r="A672" s="2"/>
      </tp>
      <tp t="s">
        <v>#N/A Requesting Data...1222694432</v>
        <stp/>
        <stp>BDP|15879218022570098453</stp>
        <tr r="A2224" s="2"/>
      </tp>
      <tp t="s">
        <v>#N/A Requesting Data...3010869004</v>
        <stp/>
        <stp>BDP|16141935141708511287</stp>
        <tr r="T2449" s="2"/>
      </tp>
      <tp t="s">
        <v>#N/A Requesting Data...1591119803</v>
        <stp/>
        <stp>BDP|16330857293104822237</stp>
        <tr r="S1234" s="2"/>
      </tp>
      <tp t="s">
        <v>#N/A Requesting Data...1358512579</v>
        <stp/>
        <stp>BDP|17355088381718435609</stp>
        <tr r="R858" s="2"/>
      </tp>
      <tp t="s">
        <v>#N/A Requesting Data...3103292882</v>
        <stp/>
        <stp>BDP|10138310698673450827</stp>
        <tr r="J2163" s="2"/>
      </tp>
      <tp t="s">
        <v>#N/A Requesting Data...2257067756</v>
        <stp/>
        <stp>BDP|18148129734963133880</stp>
        <tr r="C1245" s="2"/>
      </tp>
      <tp t="s">
        <v>#N/A Requesting Data...3828275329</v>
        <stp/>
        <stp>BDP|10444137678671073615</stp>
        <tr r="F68" s="2"/>
      </tp>
      <tp t="s">
        <v>#N/A Requesting Data...587734049</v>
        <stp/>
        <stp>BDP|11237363938758448864</stp>
        <tr r="T1240" s="2"/>
      </tp>
      <tp t="s">
        <v>#N/A Requesting Data...4159602736</v>
        <stp/>
        <stp>BDP|15503578789979560000</stp>
        <tr r="F254" s="2"/>
      </tp>
      <tp t="b">
        <v>0</v>
        <stp/>
        <stp>BDS|11321750370172946220</stp>
        <tr r="I815" s="2"/>
      </tp>
      <tp t="s">
        <v>#N/A Requesting Data...2753817743</v>
        <stp/>
        <stp>BDP|12587662195499903518</stp>
        <tr r="S1463" s="2"/>
      </tp>
      <tp t="s">
        <v>#N/A Requesting Data...2736202158</v>
        <stp/>
        <stp>BDP|12275102235582901306</stp>
        <tr r="A1773" s="2"/>
      </tp>
      <tp t="s">
        <v>#N/A Requesting Data...2858904074</v>
        <stp/>
        <stp>BDP|17301594954924481243</stp>
        <tr r="S1526" s="2"/>
      </tp>
      <tp t="s">
        <v>#N/A Requesting Data...3081179316</v>
        <stp/>
        <stp>BDP|11862014737276278521</stp>
        <tr r="G816" s="2"/>
      </tp>
      <tp t="s">
        <v>#N/A Requesting Data...2547068686</v>
        <stp/>
        <stp>BDP|17329197164050608163</stp>
        <tr r="S444" s="2"/>
      </tp>
      <tp t="s">
        <v>#N/A Requesting Data...678507034</v>
        <stp/>
        <stp>BDP|15343556800349929815</stp>
        <tr r="T2273" s="2"/>
      </tp>
      <tp t="s">
        <v>#N/A Requesting Data...3062249107</v>
        <stp/>
        <stp>BDP|10826138101652731239</stp>
        <tr r="T392" s="2"/>
      </tp>
      <tp t="s">
        <v>#N/A Requesting Data...1809799739</v>
        <stp/>
        <stp>BDP|18042788181925562325</stp>
        <tr r="J2168" s="2"/>
      </tp>
      <tp t="s">
        <v>#N/A Requesting Data...1128426368</v>
        <stp/>
        <stp>BDP|10127165928750934286</stp>
        <tr r="Q2253" s="2"/>
      </tp>
      <tp t="s">
        <v>#N/A Requesting Data...3948940691</v>
        <stp/>
        <stp>BDP|13367714845852975308</stp>
        <tr r="F294" s="2"/>
      </tp>
      <tp t="s">
        <v>#N/A Requesting Data...1343654124</v>
        <stp/>
        <stp>BDP|12410571128163611735</stp>
        <tr r="N541" s="2"/>
      </tp>
      <tp t="s">
        <v>#N/A Requesting Data...4161986365</v>
        <stp/>
        <stp>BDP|14889193133212988554</stp>
        <tr r="C2263" s="2"/>
      </tp>
      <tp t="s">
        <v>#N/A Requesting Data...1459226848</v>
        <stp/>
        <stp>BDP|14659405778546503051</stp>
        <tr r="N1729" s="2"/>
      </tp>
      <tp t="s">
        <v>#N/A Requesting Data...620247418</v>
        <stp/>
        <stp>BDP|10038805487301057094</stp>
        <tr r="A203" s="2"/>
      </tp>
      <tp t="s">
        <v>#N/A Requesting Data...2959922716</v>
        <stp/>
        <stp>BDP|15018211101134821267</stp>
        <tr r="D506" s="2"/>
      </tp>
      <tp t="b">
        <v>0</v>
        <stp/>
        <stp>BDS|13131206349753362760</stp>
        <tr r="I2311" s="2"/>
      </tp>
      <tp t="s">
        <v>#N/A Requesting Data...923336134</v>
        <stp/>
        <stp>BDP|11919706847214573756</stp>
        <tr r="T858" s="2"/>
      </tp>
      <tp t="s">
        <v>#N/A Requesting Data...1419436270</v>
        <stp/>
        <stp>BDP|12174065648062027514</stp>
        <tr r="K2343" s="2"/>
      </tp>
      <tp t="s">
        <v>#N/A Requesting Data...1447378432</v>
        <stp/>
        <stp>BDP|15119742165037658282</stp>
        <tr r="E943" s="2"/>
      </tp>
      <tp t="s">
        <v>#N/A Requesting Data...3455473406</v>
        <stp/>
        <stp>BDP|17670517524940558177</stp>
        <tr r="K1900" s="2"/>
      </tp>
      <tp t="s">
        <v>#N/A Requesting Data...3766037642</v>
        <stp/>
        <stp>BDP|17291852293130215770</stp>
        <tr r="D46" s="2"/>
      </tp>
      <tp t="s">
        <v>#N/A Requesting Data...3306545013</v>
        <stp/>
        <stp>BDP|12634981640206892872</stp>
        <tr r="S1033" s="2"/>
      </tp>
      <tp t="s">
        <v>#N/A Requesting Data...3013355254</v>
        <stp/>
        <stp>BDP|11746360771973675771</stp>
        <tr r="S1347" s="2"/>
      </tp>
      <tp t="s">
        <v>#N/A Requesting Data...3417126654</v>
        <stp/>
        <stp>BDP|10169649651172414015</stp>
        <tr r="T496" s="2"/>
      </tp>
      <tp t="s">
        <v>#N/A Requesting Data...2707870790</v>
        <stp/>
        <stp>BDP|14548059346358036977</stp>
        <tr r="O2345" s="2"/>
      </tp>
      <tp t="s">
        <v>#N/A Requesting Data...3302463123</v>
        <stp/>
        <stp>BDP|10288762049362875044</stp>
        <tr r="C1901" s="2"/>
      </tp>
      <tp t="s">
        <v>#N/A Requesting Data...2738218588</v>
        <stp/>
        <stp>BDP|17347643624933344110</stp>
        <tr r="F691" s="2"/>
      </tp>
      <tp t="s">
        <v>#N/A Requesting Data...612234575</v>
        <stp/>
        <stp>BDP|16768666764972719532</stp>
        <tr r="Q514" s="2"/>
      </tp>
      <tp t="s">
        <v>#N/A Requesting Data...1829897832</v>
        <stp/>
        <stp>BDP|10524926265977332904</stp>
        <tr r="E215" s="2"/>
      </tp>
      <tp t="s">
        <v>#N/A Requesting Data...3089763738</v>
        <stp/>
        <stp>BDP|11734151874203703509</stp>
        <tr r="G2415" s="2"/>
      </tp>
      <tp t="s">
        <v>#N/A Requesting Data...1483537403</v>
        <stp/>
        <stp>BDP|13128329669410928724</stp>
        <tr r="F470" s="2"/>
      </tp>
      <tp t="s">
        <v>#N/A Requesting Data...3233825483</v>
        <stp/>
        <stp>BDP|17684120193808011669</stp>
        <tr r="F201" s="2"/>
      </tp>
      <tp t="s">
        <v>#N/A Requesting Data...2994033356</v>
        <stp/>
        <stp>BDP|13531653462663074139</stp>
        <tr r="C1260" s="2"/>
      </tp>
      <tp t="s">
        <v>#N/A Requesting Data...2655571256</v>
        <stp/>
        <stp>BDP|14712659160610305506</stp>
        <tr r="G617" s="2"/>
      </tp>
      <tp t="s">
        <v>#N/A Requesting Data...2386820358</v>
        <stp/>
        <stp>BDP|16427878395257646114</stp>
        <tr r="H1033" s="2"/>
      </tp>
      <tp t="s">
        <v>#N/A Requesting Data...2054552832</v>
        <stp/>
        <stp>BDP|13081343756250343405</stp>
        <tr r="S1320" s="2"/>
      </tp>
      <tp t="s">
        <v>#N/A Requesting Data...2776054003</v>
        <stp/>
        <stp>BDP|15725465577931341642</stp>
        <tr r="Q2437" s="2"/>
      </tp>
      <tp t="s">
        <v>#N/A Requesting Data...2169343016</v>
        <stp/>
        <stp>BDP|16970602115949967942</stp>
        <tr r="J1382" s="2"/>
      </tp>
      <tp t="s">
        <v>#N/A Requesting Data...1403433259</v>
        <stp/>
        <stp>BDP|11693993638083576932</stp>
        <tr r="H1622" s="2"/>
      </tp>
      <tp t="s">
        <v>#N/A Requesting Data...1533895193</v>
        <stp/>
        <stp>BDP|14539040907785122069</stp>
        <tr r="T1482" s="2"/>
      </tp>
      <tp t="s">
        <v>#N/A Requesting Data...859539769</v>
        <stp/>
        <stp>BDP|17083901904079422615</stp>
        <tr r="O1245" s="2"/>
      </tp>
      <tp t="s">
        <v>#N/A Requesting Data...2410325382</v>
        <stp/>
        <stp>BDP|17028219090228234524</stp>
        <tr r="H1657" s="2"/>
      </tp>
      <tp t="s">
        <v>#N/A Requesting Data...2656165988</v>
        <stp/>
        <stp>BDP|13052548520630138545</stp>
        <tr r="Q46" s="2"/>
      </tp>
      <tp t="s">
        <v>#N/A Requesting Data...2848931232</v>
        <stp/>
        <stp>BDP|11262999000291875827</stp>
        <tr r="C580" s="2"/>
      </tp>
      <tp t="s">
        <v>#N/A Requesting Data...4291277823</v>
        <stp/>
        <stp>BDP|11893617858934493743</stp>
        <tr r="F2294" s="2"/>
      </tp>
      <tp t="s">
        <v>#N/A Requesting Data...3331653169</v>
        <stp/>
        <stp>BDP|13696337333694176662</stp>
        <tr r="N1882" s="2"/>
      </tp>
      <tp t="s">
        <v>#N/A Requesting Data...3049398144</v>
        <stp/>
        <stp>BDP|16030033610340485666</stp>
        <tr r="C371" s="2"/>
      </tp>
      <tp t="s">
        <v>#N/A Requesting Data...4254913162</v>
        <stp/>
        <stp>BDP|10821566368864035672</stp>
        <tr r="F297" s="2"/>
      </tp>
      <tp t="s">
        <v>#N/A Requesting Data...1325856043</v>
        <stp/>
        <stp>BDP|14491550345291677530</stp>
        <tr r="P2270" s="2"/>
      </tp>
      <tp t="s">
        <v>#N/A Requesting Data...3831403996</v>
        <stp/>
        <stp>BDP|11187575026792641572</stp>
        <tr r="E1097" s="2"/>
      </tp>
      <tp t="s">
        <v>#N/A Requesting Data...3407133503</v>
        <stp/>
        <stp>BDP|14061238754004349656</stp>
        <tr r="H2101" s="2"/>
      </tp>
      <tp t="s">
        <v>#N/A Requesting Data...3187881121</v>
        <stp/>
        <stp>BDP|11775921504998367135</stp>
        <tr r="F2106" s="2"/>
      </tp>
      <tp t="s">
        <v>#N/A Requesting Data...3547078324</v>
        <stp/>
        <stp>BDP|15682824498785936044</stp>
        <tr r="R947" s="2"/>
      </tp>
      <tp t="s">
        <v>#N/A Requesting Data...2418959487</v>
        <stp/>
        <stp>BDP|16377502439920899139</stp>
        <tr r="J1618" s="2"/>
      </tp>
      <tp t="s">
        <v>#N/A Requesting Data...1544529828</v>
        <stp/>
        <stp>BDP|12155897058877058913</stp>
        <tr r="K710" s="2"/>
      </tp>
      <tp t="s">
        <v>#N/A Requesting Data...3748089367</v>
        <stp/>
        <stp>BDP|17192583331008035895</stp>
        <tr r="M1043" s="2"/>
      </tp>
      <tp t="b">
        <v>0</v>
        <stp/>
        <stp>BDS|11777483732425653299</stp>
        <tr r="I1740" s="2"/>
      </tp>
      <tp t="s">
        <v>#N/A Requesting Data...912755816</v>
        <stp/>
        <stp>BDP|14336251376812680271</stp>
        <tr r="K969" s="2"/>
      </tp>
      <tp t="s">
        <v>#N/A Requesting Data...1565753731</v>
        <stp/>
        <stp>BDP|15538962241448319107</stp>
        <tr r="N1102" s="2"/>
      </tp>
      <tp t="s">
        <v>#N/A Requesting Data...856242900</v>
        <stp/>
        <stp>BDP|17376976472461124964</stp>
        <tr r="K1005" s="2"/>
      </tp>
      <tp t="s">
        <v>#N/A Requesting Data...2460819401</v>
        <stp/>
        <stp>BDP|13322923742218178736</stp>
        <tr r="D1624" s="2"/>
      </tp>
      <tp t="b">
        <v>0</v>
        <stp/>
        <stp>BDS|14542811050080322855</stp>
        <tr r="I1742" s="2"/>
      </tp>
      <tp t="s">
        <v>#N/A Requesting Data...4075682496</v>
        <stp/>
        <stp>BDP|16568317426017167125</stp>
        <tr r="T1055" s="2"/>
      </tp>
      <tp t="s">
        <v>#N/A Requesting Data...3378499504</v>
        <stp/>
        <stp>BDP|17050717301529824897</stp>
        <tr r="C1613" s="2"/>
      </tp>
      <tp t="s">
        <v>#N/A Requesting Data...3067582912</v>
        <stp/>
        <stp>BDP|14349045806676161313</stp>
        <tr r="F1404" s="2"/>
      </tp>
      <tp t="s">
        <v>#N/A Requesting Data...3805030629</v>
        <stp/>
        <stp>BDP|16270209963966439546</stp>
        <tr r="E1880" s="2"/>
      </tp>
      <tp t="s">
        <v>#N/A Requesting Data...3532436761</v>
        <stp/>
        <stp>BDP|13909737328081361603</stp>
        <tr r="P1114" s="2"/>
      </tp>
      <tp t="s">
        <v>#N/A Requesting Data...1227757400</v>
        <stp/>
        <stp>BDP|11813035329145666751</stp>
        <tr r="A487" s="2"/>
      </tp>
      <tp t="b">
        <v>0</v>
        <stp/>
        <stp>BDS|16120197159407253416</stp>
        <tr r="I782" s="2"/>
      </tp>
      <tp t="s">
        <v>#N/A Requesting Data...4217540221</v>
        <stp/>
        <stp>BDP|15425401819558915956</stp>
        <tr r="G1042" s="2"/>
      </tp>
      <tp t="s">
        <v>#N/A Requesting Data...1323098630</v>
        <stp/>
        <stp>BDP|16801330924804784291</stp>
        <tr r="K402" s="2"/>
      </tp>
      <tp t="s">
        <v>#N/A Requesting Data...3605420542</v>
        <stp/>
        <stp>BDP|12803788254778578909</stp>
        <tr r="M795" s="2"/>
      </tp>
      <tp t="s">
        <v>#N/A Requesting Data...3356989438</v>
        <stp/>
        <stp>BDP|16196654780901569803</stp>
        <tr r="R1265" s="2"/>
      </tp>
      <tp t="s">
        <v>#N/A Requesting Data...3028768739</v>
        <stp/>
        <stp>BDP|16268941280614621212</stp>
        <tr r="R2391" s="2"/>
      </tp>
      <tp t="s">
        <v>#N/A Requesting Data...4147626892</v>
        <stp/>
        <stp>BDP|17329029834925149057</stp>
        <tr r="N876" s="2"/>
      </tp>
      <tp t="s">
        <v>#N/A Requesting Data...1355307801</v>
        <stp/>
        <stp>BDP|13183514312971142720</stp>
        <tr r="R505" s="2"/>
      </tp>
      <tp t="s">
        <v>#N/A Requesting Data...1949855278</v>
        <stp/>
        <stp>BDP|13625362686220376944</stp>
        <tr r="Q24" s="2"/>
      </tp>
      <tp t="s">
        <v>#N/A Requesting Data...4196117095</v>
        <stp/>
        <stp>BDP|13242404496566176943</stp>
        <tr r="N602" s="2"/>
      </tp>
      <tp t="s">
        <v>#N/A Requesting Data...3283674970</v>
        <stp/>
        <stp>BDP|14887250189069500609</stp>
        <tr r="M299" s="2"/>
      </tp>
      <tp t="s">
        <v>#N/A Requesting Data...2075772626</v>
        <stp/>
        <stp>BDP|12912792716061309443</stp>
        <tr r="T1583" s="2"/>
      </tp>
      <tp t="s">
        <v>#N/A Requesting Data...2061838080</v>
        <stp/>
        <stp>BDP|16027160806320918680</stp>
        <tr r="Q1985" s="2"/>
      </tp>
      <tp t="s">
        <v>#N/A Requesting Data...1382571428</v>
        <stp/>
        <stp>BDP|12702423422155405022</stp>
        <tr r="A1310" s="2"/>
      </tp>
      <tp t="s">
        <v>#N/A Requesting Data...3327516960</v>
        <stp/>
        <stp>BDP|11232809231802440966</stp>
        <tr r="H1000" s="2"/>
      </tp>
      <tp t="s">
        <v>#N/A Requesting Data...3539218016</v>
        <stp/>
        <stp>BDP|17570520122404762535</stp>
        <tr r="H1842" s="2"/>
      </tp>
      <tp t="s">
        <v>#N/A Requesting Data...3091807722</v>
        <stp/>
        <stp>BDP|10624752073711229032</stp>
        <tr r="T1784" s="2"/>
      </tp>
      <tp t="s">
        <v>#N/A Requesting Data...3547132439</v>
        <stp/>
        <stp>BDP|10449686129377216267</stp>
        <tr r="F1569" s="2"/>
      </tp>
      <tp t="s">
        <v>#N/A Requesting Data...3434165513</v>
        <stp/>
        <stp>BDP|10017698700914879300</stp>
        <tr r="H1620" s="2"/>
      </tp>
      <tp t="s">
        <v>#N/A Requesting Data...1409729726</v>
        <stp/>
        <stp>BDP|11894542928960763723</stp>
        <tr r="P34" s="2"/>
      </tp>
      <tp t="s">
        <v>#N/A Requesting Data...1409907964</v>
        <stp/>
        <stp>BDP|11758561111474425055</stp>
        <tr r="M1146" s="2"/>
      </tp>
      <tp t="s">
        <v>#N/A Requesting Data...1446330327</v>
        <stp/>
        <stp>BDP|16216463479025825147</stp>
        <tr r="M881" s="2"/>
      </tp>
      <tp t="s">
        <v>#N/A Requesting Data...3412431813</v>
        <stp/>
        <stp>BDP|10565274040366174121</stp>
        <tr r="P2301" s="2"/>
      </tp>
      <tp t="s">
        <v>#N/A Requesting Data...1938118562</v>
        <stp/>
        <stp>BDP|15799346817962750424</stp>
        <tr r="R1187" s="2"/>
      </tp>
      <tp t="s">
        <v>#N/A Requesting Data...2690290853</v>
        <stp/>
        <stp>BDP|15088478270250429727</stp>
        <tr r="K2040" s="2"/>
      </tp>
      <tp t="s">
        <v>#N/A Requesting Data...3541480347</v>
        <stp/>
        <stp>BDP|12535348061254570249</stp>
        <tr r="Q1000" s="2"/>
      </tp>
      <tp t="s">
        <v>#N/A Requesting Data...2805586707</v>
        <stp/>
        <stp>BDP|17544722865976088130</stp>
        <tr r="N815" s="2"/>
      </tp>
      <tp t="s">
        <v>#N/A Requesting Data...1227061218</v>
        <stp/>
        <stp>BDP|11265021870451665673</stp>
        <tr r="N1736" s="2"/>
      </tp>
      <tp t="s">
        <v>#N/A Requesting Data...4086135783</v>
        <stp/>
        <stp>BDP|12070591316795706297</stp>
        <tr r="O1214" s="2"/>
      </tp>
      <tp t="s">
        <v>#N/A Requesting Data...3244980080</v>
        <stp/>
        <stp>BDP|13805046854713000497</stp>
        <tr r="O2340" s="2"/>
      </tp>
      <tp t="s">
        <v>#N/A Requesting Data...2878959665</v>
        <stp/>
        <stp>BDP|17881450938833727234</stp>
        <tr r="P1340" s="2"/>
      </tp>
      <tp t="s">
        <v>#N/A Requesting Data...3692584579</v>
        <stp/>
        <stp>BDP|17375273100457009356</stp>
        <tr r="R2430" s="2"/>
      </tp>
      <tp t="s">
        <v>#N/A Requesting Data...1557896146</v>
        <stp/>
        <stp>BDP|17434201027034510275</stp>
        <tr r="A1834" s="2"/>
      </tp>
      <tp t="s">
        <v>#N/A Requesting Data...1570306506</v>
        <stp/>
        <stp>BDP|12821663439514132271</stp>
        <tr r="O544" s="2"/>
      </tp>
      <tp t="b">
        <v>0</v>
        <stp/>
        <stp>BDS|12180669214673524743</stp>
        <tr r="I1749" s="2"/>
      </tp>
      <tp t="s">
        <v>#N/A Requesting Data...4273792089</v>
        <stp/>
        <stp>BDP|16467870618406201884</stp>
        <tr r="R925" s="2"/>
      </tp>
      <tp t="s">
        <v>#N/A Requesting Data...1353140860</v>
        <stp/>
        <stp>BDP|11243411472342371137</stp>
        <tr r="T1465" s="2"/>
      </tp>
      <tp t="s">
        <v>#N/A Requesting Data...1979838311</v>
        <stp/>
        <stp>BDP|16656053217304178247</stp>
        <tr r="A804" s="2"/>
      </tp>
      <tp t="s">
        <v>#N/A Requesting Data...2926464126</v>
        <stp/>
        <stp>BDP|15589039927686517053</stp>
        <tr r="K2255" s="2"/>
      </tp>
      <tp t="s">
        <v>#N/A Requesting Data...4185187766</v>
        <stp/>
        <stp>BDP|16030173245252109027</stp>
        <tr r="O1895" s="2"/>
      </tp>
      <tp t="s">
        <v>#N/A Requesting Data...3013992021</v>
        <stp/>
        <stp>BDP|17785450667295064149</stp>
        <tr r="M1649" s="2"/>
      </tp>
      <tp t="s">
        <v>#N/A Requesting Data...3422293000</v>
        <stp/>
        <stp>BDP|11654438960646470409</stp>
        <tr r="D1241" s="2"/>
      </tp>
      <tp t="s">
        <v>#N/A Requesting Data...3752398703</v>
        <stp/>
        <stp>BDP|16448814538079472582</stp>
        <tr r="P1945" s="2"/>
      </tp>
      <tp t="s">
        <v>#N/A Requesting Data...2417226124</v>
        <stp/>
        <stp>BDP|12130380558867198217</stp>
        <tr r="E805" s="2"/>
      </tp>
      <tp t="s">
        <v>#N/A Requesting Data...3234350268</v>
        <stp/>
        <stp>BDP|14204197555164963565</stp>
        <tr r="A198" s="2"/>
      </tp>
      <tp t="s">
        <v>#N/A Requesting Data...2049536332</v>
        <stp/>
        <stp>BDP|14434183439423526413</stp>
        <tr r="J350" s="2"/>
      </tp>
      <tp t="s">
        <v>#N/A Requesting Data...3490683632</v>
        <stp/>
        <stp>BDP|17454348177922431022</stp>
        <tr r="C182" s="2"/>
      </tp>
      <tp t="s">
        <v>#N/A Requesting Data...2346921673</v>
        <stp/>
        <stp>BDP|11107094178020344725</stp>
        <tr r="P274" s="2"/>
      </tp>
      <tp t="s">
        <v>#N/A Requesting Data...1852280016</v>
        <stp/>
        <stp>BDP|16769330383028324450</stp>
        <tr r="Q574" s="2"/>
      </tp>
      <tp t="s">
        <v>#N/A Requesting Data...3900896167</v>
        <stp/>
        <stp>BDP|14829433447767825250</stp>
        <tr r="E2222" s="2"/>
      </tp>
      <tp t="s">
        <v>#N/A Requesting Data...3175801854</v>
        <stp/>
        <stp>BDP|13019441847283753153</stp>
        <tr r="G597" s="2"/>
      </tp>
      <tp t="s">
        <v>#N/A Requesting Data...4028042299</v>
        <stp/>
        <stp>BDP|17204479610975740630</stp>
        <tr r="E1991" s="2"/>
      </tp>
      <tp t="s">
        <v>#N/A Requesting Data...1929139706</v>
        <stp/>
        <stp>BDP|12608648402777889293</stp>
        <tr r="H732" s="2"/>
      </tp>
      <tp t="s">
        <v>#N/A Requesting Data...1852627431</v>
        <stp/>
        <stp>BDP|18038702644859336371</stp>
        <tr r="D2282" s="2"/>
      </tp>
      <tp t="s">
        <v>#N/A Requesting Data...1887015388</v>
        <stp/>
        <stp>BDP|17936382050881336121</stp>
        <tr r="T2264" s="2"/>
      </tp>
      <tp t="s">
        <v>#N/A Requesting Data...1047278505</v>
        <stp/>
        <stp>BDP|11032776759446684482</stp>
        <tr r="C726" s="2"/>
      </tp>
      <tp t="s">
        <v>#N/A Requesting Data...1555519138</v>
        <stp/>
        <stp>BDP|15712502095871502970</stp>
        <tr r="P391" s="2"/>
      </tp>
      <tp t="s">
        <v>#N/A Requesting Data...3205501007</v>
        <stp/>
        <stp>BDP|11418605984887368931</stp>
        <tr r="J946" s="2"/>
      </tp>
      <tp t="s">
        <v>#N/A Requesting Data...2401425360</v>
        <stp/>
        <stp>BDP|16674733156662402779</stp>
        <tr r="R1180" s="2"/>
      </tp>
      <tp t="s">
        <v>#N/A Requesting Data...2854048779</v>
        <stp/>
        <stp>BDP|17832376382349554488</stp>
        <tr r="N558" s="2"/>
      </tp>
      <tp t="s">
        <v>#N/A Requesting Data...1848507295</v>
        <stp/>
        <stp>BDP|10385527802597784349</stp>
        <tr r="S314" s="2"/>
      </tp>
      <tp t="s">
        <v>#N/A Requesting Data...2430712784</v>
        <stp/>
        <stp>BDP|12993869470738844478</stp>
        <tr r="N2014" s="2"/>
      </tp>
      <tp t="s">
        <v>#N/A Requesting Data...2923834037</v>
        <stp/>
        <stp>BDP|15281230181206080809</stp>
        <tr r="E1458" s="2"/>
      </tp>
      <tp t="b">
        <v>0</v>
        <stp/>
        <stp>BDS|11061548322152774523</stp>
        <tr r="I281" s="2"/>
      </tp>
      <tp t="s">
        <v>#N/A Requesting Data...2167640865</v>
        <stp/>
        <stp>BDP|12737337490978436105</stp>
        <tr r="P613" s="2"/>
      </tp>
      <tp t="s">
        <v>#N/A Requesting Data...2691282316</v>
        <stp/>
        <stp>BDP|10899404434406560095</stp>
        <tr r="T1335" s="2"/>
      </tp>
      <tp t="s">
        <v>#N/A Requesting Data...3846419584</v>
        <stp/>
        <stp>BDP|16729436421671504008</stp>
        <tr r="K1171" s="2"/>
      </tp>
      <tp t="s">
        <v>#N/A Requesting Data...3497746795</v>
        <stp/>
        <stp>BDP|11030823070316402969</stp>
        <tr r="A363" s="2"/>
      </tp>
      <tp t="s">
        <v>#N/A Requesting Data...3400734760</v>
        <stp/>
        <stp>BDP|12343170760803377771</stp>
        <tr r="P1767" s="2"/>
      </tp>
      <tp t="s">
        <v>#N/A Requesting Data...926299171</v>
        <stp/>
        <stp>BDP|10894892155009097548</stp>
        <tr r="C744" s="2"/>
      </tp>
      <tp t="s">
        <v>#N/A Requesting Data...1162397157</v>
        <stp/>
        <stp>BDP|11266211279345287085</stp>
        <tr r="N1055" s="2"/>
      </tp>
      <tp t="s">
        <v>#N/A Requesting Data...2159257772</v>
        <stp/>
        <stp>BDP|12361613464923350050</stp>
        <tr r="H1145" s="2"/>
      </tp>
      <tp t="s">
        <v>#N/A Requesting Data...1018065638</v>
        <stp/>
        <stp>BDP|12027916464828777422</stp>
        <tr r="A322" s="2"/>
      </tp>
      <tp t="s">
        <v>#N/A Requesting Data...3989661119</v>
        <stp/>
        <stp>BDP|15556905710645783927</stp>
        <tr r="S1623" s="2"/>
      </tp>
      <tp t="s">
        <v>#N/A Requesting Data...3928068413</v>
        <stp/>
        <stp>BDP|18078032986932764323</stp>
        <tr r="C1710" s="2"/>
      </tp>
      <tp t="s">
        <v>#N/A Requesting Data...3793957994</v>
        <stp/>
        <stp>BDP|12740667372726382405</stp>
        <tr r="N1207" s="2"/>
      </tp>
      <tp t="s">
        <v>#N/A Requesting Data...2388545398</v>
        <stp/>
        <stp>BDP|12959418724993894644</stp>
        <tr r="O636" s="2"/>
      </tp>
      <tp t="s">
        <v>#N/A Requesting Data...2543426369</v>
        <stp/>
        <stp>BDP|18280966823634258654</stp>
        <tr r="T2073" s="2"/>
      </tp>
      <tp t="s">
        <v>#N/A Requesting Data...2913549151</v>
        <stp/>
        <stp>BDP|17545595311784970649</stp>
        <tr r="N1523" s="2"/>
      </tp>
      <tp t="s">
        <v>#N/A Requesting Data...2201321369</v>
        <stp/>
        <stp>BDP|15387179310932372677</stp>
        <tr r="J193" s="2"/>
      </tp>
      <tp t="s">
        <v>#N/A Requesting Data...1121024989</v>
        <stp/>
        <stp>BDP|11242670504914920287</stp>
        <tr r="F2275" s="2"/>
      </tp>
      <tp t="s">
        <v>#N/A Requesting Data...2599463001</v>
        <stp/>
        <stp>BDP|18054946505338394821</stp>
        <tr r="J1934" s="2"/>
      </tp>
      <tp t="b">
        <v>0</v>
        <stp/>
        <stp>BDS|13825016969945439176</stp>
        <tr r="I100" s="2"/>
      </tp>
      <tp t="b">
        <v>0</v>
        <stp/>
        <stp>BDS|17489497358120419727</stp>
        <tr r="I1903" s="2"/>
      </tp>
      <tp t="s">
        <v>#N/A Requesting Data...2118580637</v>
        <stp/>
        <stp>BDP|13070574230320210459</stp>
        <tr r="A1442" s="2"/>
      </tp>
      <tp t="b">
        <v>0</v>
        <stp/>
        <stp>BDS|13656040284128386264</stp>
        <tr r="I902" s="2"/>
      </tp>
      <tp t="s">
        <v>#N/A Requesting Data...1789598305</v>
        <stp/>
        <stp>BDP|17106576584119291206</stp>
        <tr r="K1844" s="2"/>
      </tp>
      <tp t="s">
        <v>#N/A Requesting Data...3252512570</v>
        <stp/>
        <stp>BDP|12698121115516045516</stp>
        <tr r="G1683" s="2"/>
      </tp>
      <tp t="s">
        <v>#N/A Requesting Data...2657259061</v>
        <stp/>
        <stp>BDP|16939418912647849526</stp>
        <tr r="J2268" s="2"/>
      </tp>
      <tp t="s">
        <v>#N/A Requesting Data...3626530881</v>
        <stp/>
        <stp>BDP|13937108917251861360</stp>
        <tr r="A1016" s="2"/>
      </tp>
      <tp t="s">
        <v>#N/A Requesting Data...1755802579</v>
        <stp/>
        <stp>BDP|13654345176246496004</stp>
        <tr r="A1548" s="2"/>
      </tp>
      <tp t="s">
        <v>#N/A Requesting Data...2065239324</v>
        <stp/>
        <stp>BDP|14224609133146340621</stp>
        <tr r="S406" s="2"/>
      </tp>
      <tp t="s">
        <v>#N/A Requesting Data...1567148159</v>
        <stp/>
        <stp>BDP|16822486890963922991</stp>
        <tr r="M646" s="2"/>
      </tp>
      <tp t="s">
        <v>#N/A Requesting Data...2385001762</v>
        <stp/>
        <stp>BDP|10295708070285045429</stp>
        <tr r="H1488" s="2"/>
      </tp>
      <tp t="s">
        <v>#N/A Requesting Data...3319547616</v>
        <stp/>
        <stp>BDP|16698754146361477517</stp>
        <tr r="G1511" s="2"/>
      </tp>
      <tp t="s">
        <v>#N/A Requesting Data...2294305592</v>
        <stp/>
        <stp>BDP|14622979443900192835</stp>
        <tr r="J194" s="2"/>
      </tp>
      <tp t="s">
        <v>#N/A Requesting Data...2806223744</v>
        <stp/>
        <stp>BDP|10146509101656912294</stp>
        <tr r="J2422" s="2"/>
      </tp>
      <tp t="s">
        <v>#N/A Requesting Data...1883213100</v>
        <stp/>
        <stp>BDP|13587522092456021852</stp>
        <tr r="R1866" s="2"/>
      </tp>
      <tp t="b">
        <v>0</v>
        <stp/>
        <stp>BDS|15086367116346369007</stp>
        <tr r="I1644" s="2"/>
      </tp>
      <tp t="s">
        <v>#N/A Requesting Data...1149212709</v>
        <stp/>
        <stp>BDP|14391965182515555121</stp>
        <tr r="H1262" s="2"/>
      </tp>
      <tp t="s">
        <v>#N/A Requesting Data...4091607584</v>
        <stp/>
        <stp>BDP|15995106476924697692</stp>
        <tr r="M1084" s="2"/>
      </tp>
      <tp t="b">
        <v>0</v>
        <stp/>
        <stp>BDS|11696049112420312108</stp>
        <tr r="I605" s="2"/>
      </tp>
      <tp t="s">
        <v>#N/A Requesting Data...1461101531</v>
        <stp/>
        <stp>BDP|12283348876693983493</stp>
        <tr r="T125" s="2"/>
      </tp>
      <tp t="s">
        <v>#N/A Requesting Data...2680547061</v>
        <stp/>
        <stp>BDP|15857733838480565069</stp>
        <tr r="A2349" s="2"/>
      </tp>
      <tp t="s">
        <v>#N/A Requesting Data...3649697989</v>
        <stp/>
        <stp>BDP|10453730956263482053</stp>
        <tr r="H1976" s="2"/>
      </tp>
      <tp t="s">
        <v>#N/A Requesting Data...2893502266</v>
        <stp/>
        <stp>BDP|17882778109913237246</stp>
        <tr r="R1907" s="2"/>
      </tp>
      <tp t="s">
        <v>#N/A Requesting Data...2537001207</v>
        <stp/>
        <stp>BDP|13140358199749501187</stp>
        <tr r="N1752" s="2"/>
      </tp>
      <tp t="s">
        <v>#N/A Requesting Data...1332317824</v>
        <stp/>
        <stp>BDP|14646716172045065058</stp>
        <tr r="D1968" s="2"/>
      </tp>
      <tp t="s">
        <v>#N/A Requesting Data...1249086699</v>
        <stp/>
        <stp>BDP|17893005335602850753</stp>
        <tr r="D268" s="2"/>
      </tp>
      <tp t="s">
        <v>#N/A Requesting Data...1107009210</v>
        <stp/>
        <stp>BDP|11546878037343530800</stp>
        <tr r="H313" s="2"/>
      </tp>
      <tp t="s">
        <v>#N/A Requesting Data...4169389057</v>
        <stp/>
        <stp>BDP|14007678425988770955</stp>
        <tr r="A2124" s="2"/>
      </tp>
      <tp t="s">
        <v>#N/A Requesting Data...3991827447</v>
        <stp/>
        <stp>BDP|15469623863260260472</stp>
        <tr r="S622" s="2"/>
      </tp>
      <tp t="s">
        <v>#N/A Requesting Data...2357047053</v>
        <stp/>
        <stp>BDP|12969941530559409091</stp>
        <tr r="N991" s="2"/>
      </tp>
      <tp t="s">
        <v>#N/A Requesting Data...1132352972</v>
        <stp/>
        <stp>BDP|14585104832961338645</stp>
        <tr r="A840" s="2"/>
      </tp>
      <tp t="b">
        <v>0</v>
        <stp/>
        <stp>BDS|10939541655058387988</stp>
        <tr r="I2008" s="2"/>
      </tp>
      <tp t="s">
        <v>#N/A Requesting Data...3939674792</v>
        <stp/>
        <stp>BDP|17104900394295744324</stp>
        <tr r="O19" s="2"/>
      </tp>
      <tp t="s">
        <v>#N/A Requesting Data...4098761003</v>
        <stp/>
        <stp>BDP|12755643300862495775</stp>
        <tr r="D514" s="2"/>
      </tp>
      <tp t="b">
        <v>0</v>
        <stp/>
        <stp>BDS|11762321122411215060</stp>
        <tr r="I175" s="2"/>
      </tp>
      <tp t="s">
        <v>#N/A Requesting Data...3389577590</v>
        <stp/>
        <stp>BDP|12424534306505456354</stp>
        <tr r="H206" s="2"/>
      </tp>
      <tp t="s">
        <v>#N/A Requesting Data...1688024397</v>
        <stp/>
        <stp>BDP|17617614929191925374</stp>
        <tr r="G910" s="2"/>
      </tp>
      <tp t="s">
        <v>#N/A Requesting Data...2155286890</v>
        <stp/>
        <stp>BDP|14594805897893058720</stp>
        <tr r="E2457" s="2"/>
      </tp>
      <tp t="s">
        <v>#N/A Requesting Data...3131732460</v>
        <stp/>
        <stp>BDP|14651374001943918598</stp>
        <tr r="N1115" s="2"/>
      </tp>
      <tp t="s">
        <v>#N/A Requesting Data...2768342343</v>
        <stp/>
        <stp>BDP|17934083672204716542</stp>
        <tr r="O448" s="2"/>
      </tp>
      <tp t="s">
        <v>#N/A Requesting Data...2683577382</v>
        <stp/>
        <stp>BDP|16198768274940292711</stp>
        <tr r="C784" s="2"/>
      </tp>
      <tp t="s">
        <v>#N/A Requesting Data...3288478787</v>
        <stp/>
        <stp>BDP|10010737443153379130</stp>
        <tr r="Q1077" s="2"/>
      </tp>
      <tp t="s">
        <v>#N/A Requesting Data...3815238410</v>
        <stp/>
        <stp>BDP|14022740326713204305</stp>
        <tr r="Q2179" s="2"/>
      </tp>
      <tp t="s">
        <v>#N/A Requesting Data...3385869634</v>
        <stp/>
        <stp>BDP|18389808563411019605</stp>
        <tr r="G267" s="2"/>
      </tp>
      <tp t="s">
        <v>#N/A Requesting Data...3389310378</v>
        <stp/>
        <stp>BDP|17762907587241952696</stp>
        <tr r="T1639" s="2"/>
      </tp>
      <tp t="s">
        <v>#N/A Requesting Data...2497252177</v>
        <stp/>
        <stp>BDP|12609287560047805060</stp>
        <tr r="T1045" s="2"/>
      </tp>
      <tp t="s">
        <v>#N/A Requesting Data...2927774135</v>
        <stp/>
        <stp>BDP|10332214700196455564</stp>
        <tr r="F593" s="2"/>
      </tp>
      <tp t="s">
        <v>#N/A Requesting Data...3980789014</v>
        <stp/>
        <stp>BDP|16206261976315566773</stp>
        <tr r="J713" s="2"/>
      </tp>
      <tp t="s">
        <v>#N/A Requesting Data...1429459288</v>
        <stp/>
        <stp>BDP|12429876095594617607</stp>
        <tr r="E2391" s="2"/>
      </tp>
      <tp t="s">
        <v>#N/A Requesting Data...3587330570</v>
        <stp/>
        <stp>BDP|17073326266970287367</stp>
        <tr r="S1166" s="2"/>
      </tp>
      <tp t="s">
        <v>#N/A Requesting Data...3600680600</v>
        <stp/>
        <stp>BDP|15378250737306362324</stp>
        <tr r="K1736" s="2"/>
      </tp>
      <tp t="s">
        <v>#N/A Requesting Data...2350164199</v>
        <stp/>
        <stp>BDP|13910649668906679430</stp>
        <tr r="S1595" s="2"/>
      </tp>
      <tp t="s">
        <v>#N/A Requesting Data...3627213163</v>
        <stp/>
        <stp>BDP|17071682544631909555</stp>
        <tr r="M2184" s="2"/>
      </tp>
      <tp t="s">
        <v>#N/A Requesting Data...2707997988</v>
        <stp/>
        <stp>BDP|17295339870365422757</stp>
        <tr r="R1126" s="2"/>
      </tp>
      <tp t="s">
        <v>#N/A Requesting Data...2229370694</v>
        <stp/>
        <stp>BDP|12147725963415117712</stp>
        <tr r="A1234" s="2"/>
      </tp>
      <tp t="s">
        <v>#N/A Requesting Data...1518786605</v>
        <stp/>
        <stp>BDP|14858337005564995278</stp>
        <tr r="C248" s="2"/>
      </tp>
      <tp t="s">
        <v>#N/A Requesting Data...2641485858</v>
        <stp/>
        <stp>BDP|15067232071753559270</stp>
        <tr r="O1148" s="2"/>
      </tp>
      <tp t="s">
        <v>#N/A Requesting Data...3528920374</v>
        <stp/>
        <stp>BDP|11601342712933542159</stp>
        <tr r="A1408" s="2"/>
      </tp>
      <tp t="s">
        <v>#N/A Requesting Data...2073765785</v>
        <stp/>
        <stp>BDP|13551729515354091020</stp>
        <tr r="D1354" s="2"/>
      </tp>
      <tp t="s">
        <v>#N/A Requesting Data...1707476570</v>
        <stp/>
        <stp>BDP|14916106029155533353</stp>
        <tr r="S1373" s="2"/>
      </tp>
      <tp t="s">
        <v>#N/A Requesting Data...1328384414</v>
        <stp/>
        <stp>BDP|15550941767449040262</stp>
        <tr r="H949" s="2"/>
      </tp>
      <tp t="s">
        <v>#N/A Requesting Data...3843713559</v>
        <stp/>
        <stp>BDP|18350455980487502232</stp>
        <tr r="T1526" s="2"/>
      </tp>
      <tp t="s">
        <v>#N/A Requesting Data...3701843367</v>
        <stp/>
        <stp>BDP|18288803575063266558</stp>
        <tr r="E1860" s="2"/>
      </tp>
      <tp t="s">
        <v>#N/A Requesting Data...3291157261</v>
        <stp/>
        <stp>BDP|15221214896436123945</stp>
        <tr r="N819" s="2"/>
      </tp>
      <tp t="s">
        <v>#N/A Requesting Data...1590265750</v>
        <stp/>
        <stp>BDP|15693777953475775358</stp>
        <tr r="R2154" s="2"/>
      </tp>
      <tp t="s">
        <v>#N/A Requesting Data...3988766976</v>
        <stp/>
        <stp>BDP|15848175230191747781</stp>
        <tr r="M629" s="2"/>
      </tp>
      <tp t="s">
        <v>#N/A Requesting Data...1359977296</v>
        <stp/>
        <stp>BDP|17624085959731139266</stp>
        <tr r="P1192" s="2"/>
      </tp>
      <tp t="s">
        <v>#N/A Requesting Data...4101315910</v>
        <stp/>
        <stp>BDP|17574607061725166354</stp>
        <tr r="J339" s="2"/>
      </tp>
      <tp t="s">
        <v>#N/A Requesting Data...1385814490</v>
        <stp/>
        <stp>BDP|15293629164255459103</stp>
        <tr r="Q2451" s="2"/>
      </tp>
      <tp t="s">
        <v>#N/A Requesting Data...3942569417</v>
        <stp/>
        <stp>BDP|12109554264448966892</stp>
        <tr r="S1245" s="2"/>
      </tp>
      <tp t="s">
        <v>#N/A Requesting Data...3346734011</v>
        <stp/>
        <stp>BDP|10977516534705448286</stp>
        <tr r="M1759" s="2"/>
      </tp>
      <tp t="s">
        <v>#N/A Requesting Data...2065521331</v>
        <stp/>
        <stp>BDP|12083072753767507119</stp>
        <tr r="E1699" s="2"/>
      </tp>
      <tp t="s">
        <v>#N/A Requesting Data...3448953541</v>
        <stp/>
        <stp>BDP|12130925375709557430</stp>
        <tr r="F445" s="2"/>
      </tp>
      <tp t="s">
        <v>#N/A Requesting Data...2162342305</v>
        <stp/>
        <stp>BDP|15440287228152001646</stp>
        <tr r="H492" s="2"/>
      </tp>
      <tp t="s">
        <v>#N/A Requesting Data...1532377561</v>
        <stp/>
        <stp>BDP|15621713553321415707</stp>
        <tr r="E758" s="2"/>
      </tp>
      <tp t="s">
        <v>#N/A Requesting Data...1254665689</v>
        <stp/>
        <stp>BDP|13331879142399314763</stp>
        <tr r="C1643" s="2"/>
      </tp>
      <tp t="s">
        <v>#N/A Requesting Data...3148433997</v>
        <stp/>
        <stp>BDP|10663928364936558869</stp>
        <tr r="O244" s="2"/>
      </tp>
      <tp t="s">
        <v>#N/A Requesting Data...3645155318</v>
        <stp/>
        <stp>BDP|16829793413429884896</stp>
        <tr r="K1195" s="2"/>
      </tp>
      <tp t="s">
        <v>#N/A Requesting Data...3502730388</v>
        <stp/>
        <stp>BDP|12205876687974273733</stp>
        <tr r="Q977" s="2"/>
      </tp>
      <tp t="s">
        <v>#N/A Requesting Data...1984915819</v>
        <stp/>
        <stp>BDP|12892327550453853614</stp>
        <tr r="P1958" s="2"/>
      </tp>
      <tp t="s">
        <v>#N/A Requesting Data...3992651185</v>
        <stp/>
        <stp>BDP|15190766587663733841</stp>
        <tr r="N205" s="2"/>
      </tp>
      <tp t="s">
        <v>#N/A Requesting Data...3449182429</v>
        <stp/>
        <stp>BDP|17349239919627211281</stp>
        <tr r="D1906" s="2"/>
      </tp>
      <tp t="s">
        <v>#N/A Requesting Data...2017087782</v>
        <stp/>
        <stp>BDP|13069561165989272822</stp>
        <tr r="A996" s="2"/>
      </tp>
      <tp t="s">
        <v>#N/A Requesting Data...1563833332</v>
        <stp/>
        <stp>BDP|15419229074212487358</stp>
        <tr r="D412" s="2"/>
      </tp>
      <tp t="s">
        <v>#N/A Requesting Data...4207324343</v>
        <stp/>
        <stp>BDP|10337820667829479616</stp>
        <tr r="C2205" s="2"/>
      </tp>
      <tp t="s">
        <v>#N/A Requesting Data...2285433645</v>
        <stp/>
        <stp>BDP|12874837301839014293</stp>
        <tr r="K1942" s="2"/>
      </tp>
      <tp t="s">
        <v>#N/A Requesting Data...1921376977</v>
        <stp/>
        <stp>BDP|18319149172646723915</stp>
        <tr r="R370" s="2"/>
      </tp>
      <tp t="s">
        <v>#N/A Requesting Data...2683516372</v>
        <stp/>
        <stp>BDP|15959664026895959535</stp>
        <tr r="F1111" s="2"/>
      </tp>
      <tp t="s">
        <v>#N/A Requesting Data...1564129156</v>
        <stp/>
        <stp>BDP|11496253615735658611</stp>
        <tr r="N1997" s="2"/>
      </tp>
      <tp t="s">
        <v>#N/A Requesting Data...1329853344</v>
        <stp/>
        <stp>BDP|13008310152864314030</stp>
        <tr r="O266" s="2"/>
      </tp>
      <tp t="s">
        <v>#N/A Requesting Data...2699584799</v>
        <stp/>
        <stp>BDP|15731717094569012319</stp>
        <tr r="H489" s="2"/>
      </tp>
      <tp t="s">
        <v>#N/A Requesting Data...1316373888</v>
        <stp/>
        <stp>BDP|15538911933469083747</stp>
        <tr r="D1208" s="2"/>
      </tp>
      <tp t="s">
        <v>#N/A Requesting Data...2729976610</v>
        <stp/>
        <stp>BDP|12183512625046170274</stp>
        <tr r="J1381" s="2"/>
      </tp>
      <tp t="s">
        <v>#N/A Requesting Data...3962540231</v>
        <stp/>
        <stp>BDP|10969715513844875304</stp>
        <tr r="G1172" s="2"/>
      </tp>
      <tp t="s">
        <v>#N/A Requesting Data...2343691584</v>
        <stp/>
        <stp>BDP|18412097388992445323</stp>
        <tr r="N1386" s="2"/>
      </tp>
      <tp t="s">
        <v>#N/A Requesting Data...2405420538</v>
        <stp/>
        <stp>BDP|14923777071772491783</stp>
        <tr r="M1151" s="2"/>
      </tp>
      <tp t="s">
        <v>#N/A Requesting Data...2039893028</v>
        <stp/>
        <stp>BDP|16536549111776415574</stp>
        <tr r="H1216" s="2"/>
      </tp>
      <tp t="s">
        <v>#N/A Requesting Data...2539648633</v>
        <stp/>
        <stp>BDP|12526410750103026179</stp>
        <tr r="R72" s="2"/>
      </tp>
      <tp t="s">
        <v>#N/A Requesting Data...2046589553</v>
        <stp/>
        <stp>BDP|17116076567803504377</stp>
        <tr r="S2203" s="2"/>
      </tp>
      <tp t="s">
        <v>#N/A Requesting Data...3014047648</v>
        <stp/>
        <stp>BDP|14487068075034494601</stp>
        <tr r="A2248" s="2"/>
      </tp>
      <tp t="s">
        <v>#N/A Requesting Data...1927856009</v>
        <stp/>
        <stp>BDP|10559255647953733435</stp>
        <tr r="S988" s="2"/>
      </tp>
      <tp t="s">
        <v>#N/A Requesting Data...3746140309</v>
        <stp/>
        <stp>BDP|11980781361019246812</stp>
        <tr r="F709" s="2"/>
      </tp>
      <tp t="s">
        <v>#N/A Requesting Data...1359583311</v>
        <stp/>
        <stp>BDP|15445768036034332440</stp>
        <tr r="A609" s="2"/>
      </tp>
      <tp t="s">
        <v>#N/A Requesting Data...1852752608</v>
        <stp/>
        <stp>BDP|15810086074373283053</stp>
        <tr r="P1165" s="2"/>
      </tp>
      <tp t="s">
        <v>#N/A Requesting Data...3239644879</v>
        <stp/>
        <stp>BDP|14975016759149070928</stp>
        <tr r="N1586" s="2"/>
      </tp>
      <tp t="s">
        <v>#N/A Requesting Data...2451568065</v>
        <stp/>
        <stp>BDP|17994046770551627087</stp>
        <tr r="D1804" s="2"/>
      </tp>
      <tp t="s">
        <v>#N/A Requesting Data...2358116079</v>
        <stp/>
        <stp>BDP|18063662705709095605</stp>
        <tr r="A1500" s="2"/>
      </tp>
      <tp t="s">
        <v>#N/A Requesting Data...4137085109</v>
        <stp/>
        <stp>BDP|14462507756635814099</stp>
        <tr r="N139" s="2"/>
      </tp>
      <tp t="s">
        <v>#N/A Requesting Data...1536938174</v>
        <stp/>
        <stp>BDP|10945244906052075189</stp>
        <tr r="G1133" s="2"/>
      </tp>
      <tp t="s">
        <v>#N/A Requesting Data...2271510078</v>
        <stp/>
        <stp>BDP|15013668047387502174</stp>
        <tr r="E462" s="2"/>
      </tp>
      <tp t="s">
        <v>#N/A Requesting Data...1520627919</v>
        <stp/>
        <stp>BDP|16419696774367223188</stp>
        <tr r="K1271" s="2"/>
      </tp>
      <tp t="s">
        <v>#N/A Requesting Data...2904349947</v>
        <stp/>
        <stp>BDP|13461577673530580062</stp>
        <tr r="P210" s="2"/>
      </tp>
      <tp t="s">
        <v>#N/A Requesting Data...3546981827</v>
        <stp/>
        <stp>BDP|12615110523941735105</stp>
        <tr r="O2209" s="2"/>
      </tp>
      <tp t="s">
        <v>#N/A Requesting Data...3770206787</v>
        <stp/>
        <stp>BDP|13207625054435684417</stp>
        <tr r="M305" s="2"/>
      </tp>
      <tp t="s">
        <v>#N/A Requesting Data...2780178794</v>
        <stp/>
        <stp>BDP|15776849691443826696</stp>
        <tr r="T1209" s="2"/>
      </tp>
      <tp t="s">
        <v>#N/A Requesting Data...1443871199</v>
        <stp/>
        <stp>BDP|13887234408468809885</stp>
        <tr r="A1700" s="2"/>
      </tp>
      <tp t="s">
        <v>#N/A Requesting Data...3953641649</v>
        <stp/>
        <stp>BDP|11241200503784087626</stp>
        <tr r="K958" s="2"/>
      </tp>
      <tp t="s">
        <v>#N/A Requesting Data...1369444285</v>
        <stp/>
        <stp>BDP|11541238223356577635</stp>
        <tr r="T50" s="2"/>
      </tp>
      <tp t="b">
        <v>0</v>
        <stp/>
        <stp>BDS|16416695060320496793</stp>
        <tr r="I173" s="2"/>
      </tp>
      <tp t="s">
        <v>#N/A Requesting Data...3957109282</v>
        <stp/>
        <stp>BDP|10035778634182407746</stp>
        <tr r="O1414" s="2"/>
      </tp>
      <tp t="b">
        <v>0</v>
        <stp/>
        <stp>BDS|10061306274650034549</stp>
        <tr r="I1226" s="2"/>
      </tp>
      <tp t="s">
        <v>#N/A Requesting Data...3676147666</v>
        <stp/>
        <stp>BDP|12725041241411718665</stp>
        <tr r="E2054" s="2"/>
      </tp>
      <tp t="s">
        <v>#N/A Requesting Data...4240074082</v>
        <stp/>
        <stp>BDP|11227391241756909107</stp>
        <tr r="O519" s="2"/>
      </tp>
      <tp t="s">
        <v>#N/A Requesting Data...1667551430</v>
        <stp/>
        <stp>BDP|16119140853242116141</stp>
        <tr r="D1383" s="2"/>
      </tp>
      <tp t="s">
        <v>#N/A Requesting Data...2731021243</v>
        <stp/>
        <stp>BDP|12230563807233199518</stp>
        <tr r="Q1373" s="2"/>
      </tp>
      <tp t="s">
        <v>#N/A Requesting Data...2457149813</v>
        <stp/>
        <stp>BDP|11677373546677459005</stp>
        <tr r="A1719" s="2"/>
      </tp>
      <tp t="s">
        <v>#N/A Requesting Data...2345879400</v>
        <stp/>
        <stp>BDP|13086773497889146525</stp>
        <tr r="D1499" s="2"/>
      </tp>
      <tp t="s">
        <v>#N/A Requesting Data...2159935726</v>
        <stp/>
        <stp>BDP|15864231768689857986</stp>
        <tr r="D2464" s="2"/>
      </tp>
      <tp t="s">
        <v>#N/A Requesting Data...1828964690</v>
        <stp/>
        <stp>BDP|10980854678197396946</stp>
        <tr r="S1508" s="2"/>
      </tp>
      <tp t="b">
        <v>0</v>
        <stp/>
        <stp>BDS|12053933064308566421</stp>
        <tr r="I678" s="2"/>
      </tp>
      <tp t="s">
        <v>#N/A Requesting Data...1981766551</v>
        <stp/>
        <stp>BDP|10474188242170840458</stp>
        <tr r="K1369" s="2"/>
      </tp>
      <tp t="s">
        <v>#N/A Requesting Data...1664745035</v>
        <stp/>
        <stp>BDP|13960936109508040303</stp>
        <tr r="K926" s="2"/>
      </tp>
      <tp t="s">
        <v>#N/A Requesting Data...2533033477</v>
        <stp/>
        <stp>BDP|16444025132107244356</stp>
        <tr r="N2041" s="2"/>
      </tp>
      <tp t="s">
        <v>#N/A Requesting Data...3363063298</v>
        <stp/>
        <stp>BDP|15594317145650222308</stp>
        <tr r="C496" s="2"/>
      </tp>
      <tp t="s">
        <v>#N/A Requesting Data...4018071183</v>
        <stp/>
        <stp>BDP|14479772397668527320</stp>
        <tr r="N1677" s="2"/>
      </tp>
      <tp t="s">
        <v>#N/A Requesting Data...3845463060</v>
        <stp/>
        <stp>BDP|13061320413151124134</stp>
        <tr r="S538" s="2"/>
      </tp>
      <tp t="s">
        <v>#N/A Requesting Data...4101298297</v>
        <stp/>
        <stp>BDP|12301496076208676892</stp>
        <tr r="A1096" s="2"/>
      </tp>
      <tp t="s">
        <v>#N/A Requesting Data...3875275650</v>
        <stp/>
        <stp>BDP|15440970716205330954</stp>
        <tr r="O1394" s="2"/>
      </tp>
      <tp t="s">
        <v>#N/A Requesting Data...2303464301</v>
        <stp/>
        <stp>BDP|18071804220133060035</stp>
        <tr r="M1559" s="2"/>
      </tp>
      <tp t="s">
        <v>#N/A Requesting Data...1985248103</v>
        <stp/>
        <stp>BDP|16811286878225309784</stp>
        <tr r="T2299" s="2"/>
      </tp>
      <tp t="s">
        <v>#N/A Requesting Data...1778126468</v>
        <stp/>
        <stp>BDP|14292876692924629024</stp>
        <tr r="T70" s="2"/>
      </tp>
      <tp t="s">
        <v>#N/A Requesting Data...1685012705</v>
        <stp/>
        <stp>BDP|10588344734339765819</stp>
        <tr r="K2214" s="2"/>
      </tp>
      <tp t="s">
        <v>#N/A Requesting Data...2237991984</v>
        <stp/>
        <stp>BDP|16032092473393975305</stp>
        <tr r="J2022" s="2"/>
      </tp>
      <tp t="s">
        <v>#N/A Requesting Data...1897549153</v>
        <stp/>
        <stp>BDP|12972308929817753545</stp>
        <tr r="G1339" s="2"/>
      </tp>
      <tp t="s">
        <v>#N/A Requesting Data...2023784333</v>
        <stp/>
        <stp>BDP|15700724410060578235</stp>
        <tr r="F514" s="2"/>
      </tp>
      <tp t="s">
        <v>#N/A Requesting Data...4021381548</v>
        <stp/>
        <stp>BDP|15172569040825273067</stp>
        <tr r="N403" s="2"/>
      </tp>
      <tp t="s">
        <v>#N/A Requesting Data...3775877097</v>
        <stp/>
        <stp>BDP|17152390317417932354</stp>
        <tr r="F2250" s="2"/>
      </tp>
      <tp t="s">
        <v>#N/A Requesting Data...2925285394</v>
        <stp/>
        <stp>BDP|12220115181643649970</stp>
        <tr r="N335" s="2"/>
      </tp>
      <tp t="s">
        <v>#N/A Requesting Data...3386927384</v>
        <stp/>
        <stp>BDP|18380217391174928699</stp>
        <tr r="S1678" s="2"/>
      </tp>
      <tp t="s">
        <v>#N/A Requesting Data...3391456008</v>
        <stp/>
        <stp>BDP|16042020346563349040</stp>
        <tr r="M1987" s="2"/>
      </tp>
      <tp t="s">
        <v>#N/A Requesting Data...4061769276</v>
        <stp/>
        <stp>BDP|11732817067117029922</stp>
        <tr r="N2529" s="2"/>
      </tp>
      <tp t="s">
        <v>#N/A Requesting Data...2402246446</v>
        <stp/>
        <stp>BDP|12158301154464769113</stp>
        <tr r="N810" s="2"/>
      </tp>
      <tp t="s">
        <v>#N/A Requesting Data...3819728289</v>
        <stp/>
        <stp>BDP|16722480679112545602</stp>
        <tr r="N618" s="2"/>
      </tp>
      <tp t="s">
        <v>#N/A Requesting Data...4042360728</v>
        <stp/>
        <stp>BDP|14638795569072729621</stp>
        <tr r="O1929" s="2"/>
      </tp>
      <tp t="s">
        <v>#N/A Requesting Data...1762479174</v>
        <stp/>
        <stp>BDP|16180484799548640258</stp>
        <tr r="M947" s="2"/>
      </tp>
      <tp t="s">
        <v>#N/A Requesting Data...2218813651</v>
        <stp/>
        <stp>BDP|11776515373444453626</stp>
        <tr r="P2211" s="2"/>
      </tp>
      <tp t="b">
        <v>0</v>
        <stp/>
        <stp>BDS|16033985776368990179</stp>
        <tr r="I2469" s="2"/>
      </tp>
      <tp t="s">
        <v>#N/A Requesting Data...1940650772</v>
        <stp/>
        <stp>BDP|10846904893358817906</stp>
        <tr r="D124" s="2"/>
      </tp>
      <tp t="s">
        <v>#N/A Requesting Data...1825042245</v>
        <stp/>
        <stp>BDP|16966485364982363758</stp>
        <tr r="G2193" s="2"/>
      </tp>
      <tp t="s">
        <v>#N/A Requesting Data...3637387980</v>
        <stp/>
        <stp>BDP|10378062596040650864</stp>
        <tr r="C953" s="2"/>
      </tp>
      <tp t="s">
        <v>#N/A Requesting Data...3056184226</v>
        <stp/>
        <stp>BDP|15563463710692665361</stp>
        <tr r="F737" s="2"/>
      </tp>
      <tp t="b">
        <v>0</v>
        <stp/>
        <stp>BDS|13722324926276019531</stp>
        <tr r="I1626" s="2"/>
      </tp>
      <tp t="s">
        <v>#N/A Requesting Data...2136221210</v>
        <stp/>
        <stp>BDP|17810713482609145094</stp>
        <tr r="C2076" s="2"/>
      </tp>
      <tp t="s">
        <v>#N/A Requesting Data...3862580876</v>
        <stp/>
        <stp>BDP|14117954719494739996</stp>
        <tr r="H891" s="2"/>
      </tp>
      <tp t="s">
        <v>#N/A Requesting Data...3946150069</v>
        <stp/>
        <stp>BDP|11365717661402430342</stp>
        <tr r="K568" s="2"/>
      </tp>
      <tp t="s">
        <v>#N/A Requesting Data...1414959351</v>
        <stp/>
        <stp>BDP|12717046530402200227</stp>
        <tr r="K870" s="2"/>
      </tp>
      <tp t="s">
        <v>#N/A Requesting Data...2458554726</v>
        <stp/>
        <stp>BDP|14060344989968812671</stp>
        <tr r="R1542" s="2"/>
      </tp>
      <tp t="s">
        <v>#N/A Requesting Data...3399182206</v>
        <stp/>
        <stp>BDP|15199203477015141455</stp>
        <tr r="J2320" s="2"/>
      </tp>
      <tp t="s">
        <v>#N/A Requesting Data...3025413573</v>
        <stp/>
        <stp>BDP|10218923112329027008</stp>
        <tr r="P1026" s="2"/>
      </tp>
      <tp t="s">
        <v>#N/A Requesting Data...3879784715</v>
        <stp/>
        <stp>BDP|14534975963723096933</stp>
        <tr r="H1014" s="2"/>
      </tp>
      <tp t="s">
        <v>#N/A Requesting Data...2868940135</v>
        <stp/>
        <stp>BDP|10045248859672659494</stp>
        <tr r="F1187" s="2"/>
      </tp>
      <tp t="s">
        <v>#N/A Requesting Data...1616714065</v>
        <stp/>
        <stp>BDP|13134378813315535521</stp>
        <tr r="N593" s="2"/>
      </tp>
      <tp t="s">
        <v>#N/A Requesting Data...2459030239</v>
        <stp/>
        <stp>BDP|14808455233854565691</stp>
        <tr r="J645" s="2"/>
      </tp>
      <tp t="s">
        <v>#N/A Requesting Data...2129706747</v>
        <stp/>
        <stp>BDP|12734240150926982288</stp>
        <tr r="D945" s="2"/>
      </tp>
      <tp t="s">
        <v>#N/A Requesting Data...2213768923</v>
        <stp/>
        <stp>BDP|13197596452531121392</stp>
        <tr r="D425" s="2"/>
      </tp>
      <tp t="s">
        <v>#N/A Requesting Data...2900436378</v>
        <stp/>
        <stp>BDP|11314798211182882419</stp>
        <tr r="S795" s="2"/>
      </tp>
      <tp t="s">
        <v>#N/A Requesting Data...4006549742</v>
        <stp/>
        <stp>BDP|11694760641306569565</stp>
        <tr r="M743" s="2"/>
      </tp>
      <tp t="s">
        <v>#N/A Requesting Data...2175906955</v>
        <stp/>
        <stp>BDP|16227315540982340223</stp>
        <tr r="N1228" s="2"/>
      </tp>
      <tp t="s">
        <v>#N/A Requesting Data...3882689254</v>
        <stp/>
        <stp>BDP|11396957502019623005</stp>
        <tr r="Q2281" s="2"/>
      </tp>
      <tp t="s">
        <v>#N/A Requesting Data...4250293005</v>
        <stp/>
        <stp>BDP|13431077742460011638</stp>
        <tr r="M680" s="2"/>
      </tp>
      <tp t="s">
        <v>#N/A Requesting Data...1753480039</v>
        <stp/>
        <stp>BDP|12251298589311247823</stp>
        <tr r="O2174" s="2"/>
      </tp>
      <tp t="s">
        <v>#N/A Requesting Data...2160666530</v>
        <stp/>
        <stp>BDP|12581916696055470640</stp>
        <tr r="J943" s="2"/>
      </tp>
      <tp t="s">
        <v>#N/A Requesting Data...1844779973</v>
        <stp/>
        <stp>BDP|16048029645862584105</stp>
        <tr r="D515" s="2"/>
      </tp>
      <tp t="s">
        <v>#N/A Requesting Data...2890562372</v>
        <stp/>
        <stp>BDP|11421906606618039109</stp>
        <tr r="O1024" s="2"/>
      </tp>
      <tp t="s">
        <v>#N/A Requesting Data...2158232484</v>
        <stp/>
        <stp>BDP|14593188656996874717</stp>
        <tr r="D2480" s="2"/>
      </tp>
      <tp t="s">
        <v>#N/A Requesting Data...2250976611</v>
        <stp/>
        <stp>BDP|14284553311138766934</stp>
        <tr r="C267" s="2"/>
      </tp>
      <tp t="s">
        <v>#N/A Requesting Data...3111474654</v>
        <stp/>
        <stp>BDP|11520062117157368658</stp>
        <tr r="P967" s="2"/>
      </tp>
      <tp t="s">
        <v>#N/A Requesting Data...3013021781</v>
        <stp/>
        <stp>BDP|12865728923966916029</stp>
        <tr r="R1201" s="2"/>
      </tp>
      <tp t="s">
        <v>#N/A Requesting Data...1867303203</v>
        <stp/>
        <stp>BDP|10722125332574389765</stp>
        <tr r="G146" s="2"/>
      </tp>
      <tp t="s">
        <v>#N/A Requesting Data...1662504904</v>
        <stp/>
        <stp>BDP|12705862692291875398</stp>
        <tr r="Q917" s="2"/>
      </tp>
      <tp t="s">
        <v>#N/A Requesting Data...4231046148</v>
        <stp/>
        <stp>BDP|14503368804621571706</stp>
        <tr r="D2401" s="2"/>
      </tp>
      <tp t="s">
        <v>#N/A Requesting Data...3335702803</v>
        <stp/>
        <stp>BDP|17415506965202194723</stp>
        <tr r="N2499" s="2"/>
      </tp>
      <tp t="s">
        <v>#N/A Requesting Data...4002126484</v>
        <stp/>
        <stp>BDP|13136502862328999984</stp>
        <tr r="J706" s="2"/>
      </tp>
      <tp t="s">
        <v>#N/A Requesting Data...4219374653</v>
        <stp/>
        <stp>BDP|10957198884128759016</stp>
        <tr r="Q1005" s="2"/>
      </tp>
      <tp t="s">
        <v>#N/A Requesting Data...1764256661</v>
        <stp/>
        <stp>BDP|12058486775134980464</stp>
        <tr r="F1410" s="2"/>
      </tp>
      <tp t="s">
        <v>#N/A Requesting Data...4061711450</v>
        <stp/>
        <stp>BDP|14688475086651163843</stp>
        <tr r="A1630" s="2"/>
      </tp>
      <tp t="s">
        <v>#N/A Requesting Data...2553281157</v>
        <stp/>
        <stp>BDP|16871575218966122547</stp>
        <tr r="D1218" s="2"/>
      </tp>
      <tp t="s">
        <v>#N/A Requesting Data...2573097342</v>
        <stp/>
        <stp>BDP|11526433742073490326</stp>
        <tr r="N2102" s="2"/>
      </tp>
      <tp t="s">
        <v>#N/A Requesting Data...4269122769</v>
        <stp/>
        <stp>BDP|11173878716328629143</stp>
        <tr r="F1511" s="2"/>
      </tp>
      <tp t="b">
        <v>0</v>
        <stp/>
        <stp>BDS|14490502231106324575</stp>
        <tr r="I144" s="2"/>
      </tp>
      <tp t="s">
        <v>#N/A Requesting Data...2598870569</v>
        <stp/>
        <stp>BDP|12445061076866150275</stp>
        <tr r="F290" s="2"/>
      </tp>
      <tp t="b">
        <v>0</v>
        <stp/>
        <stp>BDS|12137106016475192675</stp>
        <tr r="I1153" s="2"/>
      </tp>
      <tp t="s">
        <v>#N/A Requesting Data...1681402115</v>
        <stp/>
        <stp>BDP|11846433375611891244</stp>
        <tr r="H2292" s="2"/>
      </tp>
      <tp t="s">
        <v>#N/A Requesting Data...3117392086</v>
        <stp/>
        <stp>BDP|16092816283213077406</stp>
        <tr r="T132" s="2"/>
      </tp>
      <tp t="s">
        <v>#N/A Requesting Data...2528523563</v>
        <stp/>
        <stp>BDP|15581634963594031076</stp>
        <tr r="H1031" s="2"/>
      </tp>
      <tp t="s">
        <v>#N/A Requesting Data...3019909248</v>
        <stp/>
        <stp>BDP|16496177938197115282</stp>
        <tr r="E1966" s="2"/>
      </tp>
      <tp t="s">
        <v>#N/A Requesting Data...4225121865</v>
        <stp/>
        <stp>BDP|12619554834485316063</stp>
        <tr r="G2237" s="2"/>
      </tp>
      <tp t="s">
        <v>#N/A Requesting Data...3870613770</v>
        <stp/>
        <stp>BDP|11547965194481725124</stp>
        <tr r="S1567" s="2"/>
      </tp>
      <tp t="s">
        <v>#N/A Requesting Data...2259522463</v>
        <stp/>
        <stp>BDP|12913751948559074961</stp>
        <tr r="A484" s="2"/>
      </tp>
      <tp t="b">
        <v>0</v>
        <stp/>
        <stp>BDS|16418212658069812941</stp>
        <tr r="I1511" s="2"/>
      </tp>
      <tp t="s">
        <v>#N/A Requesting Data...3267654473</v>
        <stp/>
        <stp>BDP|10433206556073404546</stp>
        <tr r="K1037" s="2"/>
      </tp>
      <tp t="s">
        <v>#N/A Requesting Data...2486064623</v>
        <stp/>
        <stp>BDP|14648729964311140539</stp>
        <tr r="P1882" s="2"/>
      </tp>
      <tp t="s">
        <v>#N/A Requesting Data...3747094578</v>
        <stp/>
        <stp>BDP|10214731436700023556</stp>
        <tr r="G2291" s="2"/>
      </tp>
      <tp t="s">
        <v>#N/A Requesting Data...2535503062</v>
        <stp/>
        <stp>BDP|10289799741366961416</stp>
        <tr r="N2029" s="2"/>
      </tp>
      <tp t="s">
        <v>#N/A Requesting Data...2265553495</v>
        <stp/>
        <stp>BDP|12002227645442098758</stp>
        <tr r="J2522" s="2"/>
      </tp>
      <tp t="s">
        <v>#N/A Requesting Data...1801953030</v>
        <stp/>
        <stp>BDP|11629356941685442244</stp>
        <tr r="H2011" s="2"/>
      </tp>
      <tp t="s">
        <v>#N/A Requesting Data...4044371167</v>
        <stp/>
        <stp>BDP|12932557346363964113</stp>
        <tr r="F32" s="2"/>
      </tp>
      <tp t="s">
        <v>#N/A Requesting Data...1876309036</v>
        <stp/>
        <stp>BDP|14101740037202882388</stp>
        <tr r="E1667" s="2"/>
      </tp>
      <tp t="s">
        <v>#N/A Requesting Data...3534968571</v>
        <stp/>
        <stp>BDP|17165259334636586173</stp>
        <tr r="E865" s="2"/>
      </tp>
      <tp t="s">
        <v>#N/A Requesting Data...3744779492</v>
        <stp/>
        <stp>BDP|18167541351231244843</stp>
        <tr r="C2126" s="2"/>
      </tp>
      <tp t="s">
        <v>#N/A Requesting Data...1584752694</v>
        <stp/>
        <stp>BDP|10872043987430937902</stp>
        <tr r="P794" s="2"/>
      </tp>
      <tp t="s">
        <v>#N/A Requesting Data...2363612665</v>
        <stp/>
        <stp>BDP|11174411070242004125</stp>
        <tr r="S1938" s="2"/>
      </tp>
      <tp t="b">
        <v>0</v>
        <stp/>
        <stp>BDS|17728466950637705073</stp>
        <tr r="I611" s="2"/>
      </tp>
      <tp t="s">
        <v>#N/A Requesting Data...4083923533</v>
        <stp/>
        <stp>BDP|12079822787186720507</stp>
        <tr r="A2327" s="2"/>
      </tp>
      <tp t="s">
        <v>#N/A Requesting Data...2150780895</v>
        <stp/>
        <stp>BDP|12360921583466725470</stp>
        <tr r="M2073" s="2"/>
      </tp>
      <tp t="s">
        <v>#N/A Requesting Data...2424387135</v>
        <stp/>
        <stp>BDP|17358424565981194570</stp>
        <tr r="R1567" s="2"/>
      </tp>
      <tp t="s">
        <v>#N/A Requesting Data...4228436696</v>
        <stp/>
        <stp>BDP|10934021458493873791</stp>
        <tr r="R1666" s="2"/>
      </tp>
      <tp t="s">
        <v>#N/A Requesting Data...3249809782</v>
        <stp/>
        <stp>BDP|17268402952466663146</stp>
        <tr r="R1784" s="2"/>
      </tp>
      <tp t="s">
        <v>#N/A Requesting Data...2460119905</v>
        <stp/>
        <stp>BDP|13963627259176727772</stp>
        <tr r="G2294" s="2"/>
      </tp>
      <tp t="s">
        <v>#N/A Requesting Data...4192086494</v>
        <stp/>
        <stp>BDP|14915157872055439685</stp>
        <tr r="G679" s="2"/>
      </tp>
      <tp t="s">
        <v>#N/A Requesting Data...3034102496</v>
        <stp/>
        <stp>BDP|18064973469940594695</stp>
        <tr r="E583" s="2"/>
      </tp>
      <tp t="s">
        <v>#N/A Requesting Data...2868602771</v>
        <stp/>
        <stp>BDP|16101447328792774380</stp>
        <tr r="P2232" s="2"/>
      </tp>
      <tp t="s">
        <v>#N/A Requesting Data...1745074034</v>
        <stp/>
        <stp>BDP|13900375648917499202</stp>
        <tr r="N2277" s="2"/>
      </tp>
      <tp t="s">
        <v>#N/A Requesting Data...1900216061</v>
        <stp/>
        <stp>BDP|10866007350535265185</stp>
        <tr r="M1798" s="2"/>
      </tp>
      <tp t="s">
        <v>#N/A Requesting Data...3291969654</v>
        <stp/>
        <stp>BDP|18408106812778079140</stp>
        <tr r="D951" s="2"/>
      </tp>
      <tp t="s">
        <v>#N/A Requesting Data...1773931845</v>
        <stp/>
        <stp>BDP|14532016908624640181</stp>
        <tr r="T1389" s="2"/>
      </tp>
      <tp t="s">
        <v>#N/A Requesting Data...1845778318</v>
        <stp/>
        <stp>BDP|17032828603489388701</stp>
        <tr r="O28" s="2"/>
      </tp>
      <tp t="s">
        <v>#N/A Requesting Data...3218851379</v>
        <stp/>
        <stp>BDP|17827788524400282340</stp>
        <tr r="A1264" s="2"/>
      </tp>
      <tp t="s">
        <v>#N/A Requesting Data...2853721942</v>
        <stp/>
        <stp>BDP|17641146872422567275</stp>
        <tr r="T548" s="2"/>
      </tp>
      <tp t="s">
        <v>#N/A Requesting Data...2197196785</v>
        <stp/>
        <stp>BDP|11550072454754129157</stp>
        <tr r="H426" s="2"/>
      </tp>
      <tp t="s">
        <v>#N/A Requesting Data...3188558262</v>
        <stp/>
        <stp>BDP|11739726201140347755</stp>
        <tr r="H503" s="2"/>
      </tp>
      <tp t="s">
        <v>#N/A Requesting Data...2754598999</v>
        <stp/>
        <stp>BDP|14752713725873038318</stp>
        <tr r="J2199" s="2"/>
      </tp>
      <tp t="s">
        <v>#N/A Requesting Data...4197710632</v>
        <stp/>
        <stp>BDP|16143734367592194468</stp>
        <tr r="N53" s="2"/>
      </tp>
      <tp t="s">
        <v>#N/A Requesting Data...3336944007</v>
        <stp/>
        <stp>BDP|17120715865345741204</stp>
        <tr r="C46" s="2"/>
      </tp>
      <tp t="s">
        <v>#N/A Requesting Data...3524175269</v>
        <stp/>
        <stp>BDP|16253293818343286739</stp>
        <tr r="G275" s="2"/>
      </tp>
      <tp t="b">
        <v>0</v>
        <stp/>
        <stp>BDS|14069766232783648237</stp>
        <tr r="I1935" s="2"/>
      </tp>
      <tp t="s">
        <v>#N/A Requesting Data...3803237455</v>
        <stp/>
        <stp>BDP|12632785969475359763</stp>
        <tr r="O1495" s="2"/>
      </tp>
      <tp t="s">
        <v>#N/A Requesting Data...2344436977</v>
        <stp/>
        <stp>BDP|16093596252130997703</stp>
        <tr r="H396" s="2"/>
      </tp>
      <tp t="s">
        <v>#N/A Requesting Data...2630398827</v>
        <stp/>
        <stp>BDP|11714809964409243743</stp>
        <tr r="T1426" s="2"/>
      </tp>
      <tp t="s">
        <v>#N/A Requesting Data...3321661997</v>
        <stp/>
        <stp>BDP|14927459800241102082</stp>
        <tr r="O1194" s="2"/>
      </tp>
      <tp t="b">
        <v>0</v>
        <stp/>
        <stp>BDS|16679046376916152636</stp>
        <tr r="I606" s="2"/>
      </tp>
      <tp t="s">
        <v>#N/A Requesting Data...2207924574</v>
        <stp/>
        <stp>BDP|10530878960838711709</stp>
        <tr r="E1725" s="2"/>
      </tp>
      <tp t="b">
        <v>0</v>
        <stp/>
        <stp>BDS|12994487177077548751</stp>
        <tr r="I2160" s="2"/>
      </tp>
      <tp t="s">
        <v>#N/A Requesting Data...3077458987</v>
        <stp/>
        <stp>BDP|12628814547018289775</stp>
        <tr r="Q1464" s="2"/>
      </tp>
      <tp t="s">
        <v>#N/A Requesting Data...4274461214</v>
        <stp/>
        <stp>BDP|14684223355061284368</stp>
        <tr r="T684" s="2"/>
      </tp>
      <tp t="s">
        <v>#N/A Requesting Data...3283980428</v>
        <stp/>
        <stp>BDP|10519047452905409124</stp>
        <tr r="M179" s="2"/>
      </tp>
      <tp t="s">
        <v>#N/A Requesting Data...1679999493</v>
        <stp/>
        <stp>BDP|12757651436153772569</stp>
        <tr r="K1601" s="2"/>
      </tp>
      <tp t="s">
        <v>#N/A Requesting Data...2397951935</v>
        <stp/>
        <stp>BDP|17457671561934345242</stp>
        <tr r="A704" s="2"/>
      </tp>
      <tp t="s">
        <v>#N/A Requesting Data...3704177338</v>
        <stp/>
        <stp>BDP|17620379130950485601</stp>
        <tr r="O1738" s="2"/>
      </tp>
      <tp t="s">
        <v>#N/A Requesting Data...2732805474</v>
        <stp/>
        <stp>BDP|13020358120772416147</stp>
        <tr r="T1384" s="2"/>
      </tp>
      <tp t="s">
        <v>#N/A Requesting Data...2656516314</v>
        <stp/>
        <stp>BDP|15210049623047051106</stp>
        <tr r="M1064" s="2"/>
      </tp>
      <tp t="s">
        <v>#N/A Requesting Data...4267915639</v>
        <stp/>
        <stp>BDP|10196920735202723942</stp>
        <tr r="M1202" s="2"/>
      </tp>
      <tp t="s">
        <v>#N/A Requesting Data...2201449994</v>
        <stp/>
        <stp>BDP|17444179237312645671</stp>
        <tr r="F456" s="2"/>
      </tp>
      <tp t="s">
        <v>#N/A Requesting Data...1753255198</v>
        <stp/>
        <stp>BDP|13791447937425196009</stp>
        <tr r="S927" s="2"/>
      </tp>
      <tp t="s">
        <v>#N/A Requesting Data...3275411642</v>
        <stp/>
        <stp>BDP|16098771545851394543</stp>
        <tr r="M574" s="2"/>
      </tp>
      <tp t="s">
        <v>#N/A Requesting Data...1991816066</v>
        <stp/>
        <stp>BDP|16292544640701278717</stp>
        <tr r="K2139" s="2"/>
      </tp>
      <tp t="s">
        <v>#N/A Requesting Data...3895455102</v>
        <stp/>
        <stp>BDP|10676965682609278959</stp>
        <tr r="R1696" s="2"/>
      </tp>
      <tp t="s">
        <v>#N/A Requesting Data...3073311032</v>
        <stp/>
        <stp>BDP|13057407177485054429</stp>
        <tr r="C1326" s="2"/>
      </tp>
      <tp t="s">
        <v>#N/A Requesting Data...4063770845</v>
        <stp/>
        <stp>BDP|16297239345369588841</stp>
        <tr r="N430" s="2"/>
      </tp>
      <tp t="s">
        <v>#N/A Requesting Data...2755879131</v>
        <stp/>
        <stp>BDP|12014292386929895029</stp>
        <tr r="C836" s="2"/>
      </tp>
      <tp t="s">
        <v>#N/A Requesting Data...3702041424</v>
        <stp/>
        <stp>BDP|14468558736480594379</stp>
        <tr r="T1069" s="2"/>
      </tp>
      <tp t="s">
        <v>#N/A Requesting Data...1934412412</v>
        <stp/>
        <stp>BDP|15233091645245232599</stp>
        <tr r="O1644" s="2"/>
      </tp>
      <tp t="s">
        <v>#N/A Requesting Data...2945531882</v>
        <stp/>
        <stp>BDP|17965488525620541046</stp>
        <tr r="D240" s="2"/>
      </tp>
      <tp t="s">
        <v>#N/A Requesting Data...3144287454</v>
        <stp/>
        <stp>BDP|10091551377182376147</stp>
        <tr r="T1003" s="2"/>
      </tp>
      <tp t="s">
        <v>#N/A Requesting Data...4048376331</v>
        <stp/>
        <stp>BDP|11268702571540117079</stp>
        <tr r="R569" s="2"/>
      </tp>
      <tp t="s">
        <v>#N/A Requesting Data...2453165941</v>
        <stp/>
        <stp>BDP|10619018647875391061</stp>
        <tr r="T1125" s="2"/>
      </tp>
      <tp t="s">
        <v>#N/A Requesting Data...2619652343</v>
        <stp/>
        <stp>BDP|12178048248692038583</stp>
        <tr r="E167" s="2"/>
      </tp>
      <tp t="s">
        <v>#N/A Requesting Data...3578438762</v>
        <stp/>
        <stp>BDP|11707023843907345307</stp>
        <tr r="S9" s="2"/>
      </tp>
      <tp t="s">
        <v>#N/A Requesting Data...2756295959</v>
        <stp/>
        <stp>BDP|10804646398308050619</stp>
        <tr r="N2347" s="2"/>
      </tp>
      <tp t="s">
        <v>#N/A Requesting Data...3582290674</v>
        <stp/>
        <stp>BDP|12090521153147494409</stp>
        <tr r="R600" s="2"/>
      </tp>
      <tp t="s">
        <v>#N/A Requesting Data...3001932424</v>
        <stp/>
        <stp>BDP|14883314621455541185</stp>
        <tr r="S1532" s="2"/>
      </tp>
      <tp t="s">
        <v>#N/A Requesting Data...3921154875</v>
        <stp/>
        <stp>BDP|17407534442723390433</stp>
        <tr r="Q1796" s="2"/>
      </tp>
      <tp t="s">
        <v>#N/A Requesting Data...2402332945</v>
        <stp/>
        <stp>BDP|12718113370822509763</stp>
        <tr r="S1754" s="2"/>
      </tp>
      <tp t="s">
        <v>#N/A Requesting Data...3783382292</v>
        <stp/>
        <stp>BDP|11567429334407336051</stp>
        <tr r="N1926" s="2"/>
      </tp>
      <tp t="s">
        <v>#N/A Requesting Data...3633621262</v>
        <stp/>
        <stp>BDP|10240170906382698206</stp>
        <tr r="A2292" s="2"/>
      </tp>
      <tp t="s">
        <v>#N/A Requesting Data...1935425470</v>
        <stp/>
        <stp>BDP|12028089446995233299</stp>
        <tr r="Q2018" s="2"/>
      </tp>
      <tp t="s">
        <v>#N/A Requesting Data...3587286143</v>
        <stp/>
        <stp>BDP|15494649456783517469</stp>
        <tr r="J602" s="2"/>
      </tp>
      <tp t="s">
        <v>#N/A Requesting Data...2443065358</v>
        <stp/>
        <stp>BDP|16627362557462120339</stp>
        <tr r="F2088" s="2"/>
      </tp>
      <tp t="s">
        <v>#N/A Requesting Data...3930702751</v>
        <stp/>
        <stp>BDP|11209067466197417138</stp>
        <tr r="M1626" s="2"/>
      </tp>
      <tp t="s">
        <v>#N/A Requesting Data...1923172550</v>
        <stp/>
        <stp>BDP|12713769546535016523</stp>
        <tr r="N1433" s="2"/>
      </tp>
      <tp t="s">
        <v>#N/A Requesting Data...1831481463</v>
        <stp/>
        <stp>BDP|15455142934585547349</stp>
        <tr r="O661" s="2"/>
      </tp>
      <tp t="s">
        <v>#N/A Requesting Data...1894277523</v>
        <stp/>
        <stp>BDP|12725795758847014631</stp>
        <tr r="R677" s="2"/>
      </tp>
      <tp t="s">
        <v>#N/A Requesting Data...2995830250</v>
        <stp/>
        <stp>BDP|10359282560861772496</stp>
        <tr r="Q2426" s="2"/>
      </tp>
      <tp t="s">
        <v>#N/A Requesting Data...2435360011</v>
        <stp/>
        <stp>BDP|10308520074640897381</stp>
        <tr r="S2026" s="2"/>
      </tp>
      <tp t="s">
        <v>#N/A Requesting Data...3706809148</v>
        <stp/>
        <stp>BDP|15864199113593477733</stp>
        <tr r="R670" s="2"/>
      </tp>
      <tp t="s">
        <v>#N/A Requesting Data...2430072972</v>
        <stp/>
        <stp>BDP|10020267204535786606</stp>
        <tr r="R508" s="2"/>
      </tp>
      <tp t="s">
        <v>#N/A Requesting Data...4110007557</v>
        <stp/>
        <stp>BDP|10895314578660521517</stp>
        <tr r="P2121" s="2"/>
      </tp>
      <tp t="s">
        <v>#N/A Requesting Data...1846614356</v>
        <stp/>
        <stp>BDP|18284739583697019178</stp>
        <tr r="O2173" s="2"/>
      </tp>
      <tp t="s">
        <v>#N/A Requesting Data...2897601988</v>
        <stp/>
        <stp>BDP|17000249024834480217</stp>
        <tr r="E1841" s="2"/>
      </tp>
      <tp t="s">
        <v>#N/A Requesting Data...3588035881</v>
        <stp/>
        <stp>BDP|17226612474764306319</stp>
        <tr r="M616" s="2"/>
      </tp>
      <tp t="s">
        <v>#N/A Requesting Data...3318914827</v>
        <stp/>
        <stp>BDP|10038830375779302709</stp>
        <tr r="Q1295" s="2"/>
      </tp>
      <tp t="s">
        <v>#N/A Requesting Data...4177097945</v>
        <stp/>
        <stp>BDP|17200738117079318904</stp>
        <tr r="K706" s="2"/>
      </tp>
      <tp t="s">
        <v>#N/A Requesting Data...2220097898</v>
        <stp/>
        <stp>BDP|10392728612987676002</stp>
        <tr r="H2454" s="2"/>
      </tp>
      <tp t="s">
        <v>#N/A Requesting Data...3778001590</v>
        <stp/>
        <stp>BDP|18425708174210620937</stp>
        <tr r="P1660" s="2"/>
      </tp>
      <tp t="s">
        <v>#N/A Requesting Data...2768143165</v>
        <stp/>
        <stp>BDP|16825585696253507868</stp>
        <tr r="J414" s="2"/>
      </tp>
      <tp t="s">
        <v>#N/A Requesting Data...4091187293</v>
        <stp/>
        <stp>BDP|14020226576856823693</stp>
        <tr r="H2220" s="2"/>
      </tp>
      <tp t="s">
        <v>#N/A Requesting Data...3875974770</v>
        <stp/>
        <stp>BDP|15074036339322977568</stp>
        <tr r="R1769" s="2"/>
      </tp>
      <tp t="s">
        <v>#N/A Requesting Data...3111025596</v>
        <stp/>
        <stp>BDP|12459011627476085774</stp>
        <tr r="O2049" s="2"/>
      </tp>
      <tp t="s">
        <v>#N/A Requesting Data...2000140638</v>
        <stp/>
        <stp>BDP|17692634377386021170</stp>
        <tr r="M1130" s="2"/>
      </tp>
      <tp t="s">
        <v>#N/A Requesting Data...3716161388</v>
        <stp/>
        <stp>BDP|10163112639852585198</stp>
        <tr r="D1662" s="2"/>
      </tp>
      <tp t="s">
        <v>#N/A Requesting Data...1870482121</v>
        <stp/>
        <stp>BDP|11502959764637203833</stp>
        <tr r="D265" s="2"/>
      </tp>
      <tp t="s">
        <v>#N/A Requesting Data...2962954965</v>
        <stp/>
        <stp>BDP|11466650065299908988</stp>
        <tr r="J1116" s="2"/>
      </tp>
      <tp t="s">
        <v>#N/A Requesting Data...2828974578</v>
        <stp/>
        <stp>BDP|11555117122935566661</stp>
        <tr r="J1130" s="2"/>
      </tp>
      <tp t="s">
        <v>#N/A Requesting Data...2479299727</v>
        <stp/>
        <stp>BDP|14536777160902136662</stp>
        <tr r="P1247" s="2"/>
      </tp>
      <tp t="s">
        <v>#N/A Requesting Data...3233015719</v>
        <stp/>
        <stp>BDP|13971457428831666572</stp>
        <tr r="M2500" s="2"/>
      </tp>
      <tp t="s">
        <v>#N/A Requesting Data...2395434448</v>
        <stp/>
        <stp>BDP|17993262520731816721</stp>
        <tr r="O677" s="2"/>
      </tp>
      <tp t="s">
        <v>#N/A Requesting Data...3522657876</v>
        <stp/>
        <stp>BDP|14232962294150487514</stp>
        <tr r="O2503" s="2"/>
      </tp>
      <tp t="s">
        <v>#N/A Requesting Data...3085857899</v>
        <stp/>
        <stp>BDP|10690574620583723539</stp>
        <tr r="R2300" s="2"/>
      </tp>
      <tp t="s">
        <v>#N/A Requesting Data...4240564198</v>
        <stp/>
        <stp>BDP|15969760133570134083</stp>
        <tr r="S2109" s="2"/>
      </tp>
      <tp t="s">
        <v>#N/A Requesting Data...3921189213</v>
        <stp/>
        <stp>BDP|16138567441327424176</stp>
        <tr r="G2145" s="2"/>
      </tp>
      <tp t="s">
        <v>#N/A Requesting Data...3939487049</v>
        <stp/>
        <stp>BDP|17596738672273313521</stp>
        <tr r="Q1898" s="2"/>
      </tp>
      <tp t="s">
        <v>#N/A Requesting Data...2830682876</v>
        <stp/>
        <stp>BDP|16576198160917951700</stp>
        <tr r="D161" s="2"/>
      </tp>
      <tp t="s">
        <v>#N/A Requesting Data...3269318371</v>
        <stp/>
        <stp>BDP|10647415447731066053</stp>
        <tr r="P846" s="2"/>
      </tp>
      <tp t="s">
        <v>#N/A Requesting Data...3926370810</v>
        <stp/>
        <stp>BDP|13807863999230065325</stp>
        <tr r="R1137" s="2"/>
      </tp>
      <tp t="s">
        <v>#N/A Requesting Data...2996209616</v>
        <stp/>
        <stp>BDP|17015816241213410916</stp>
        <tr r="Q941" s="2"/>
      </tp>
      <tp t="s">
        <v>#N/A Requesting Data...3937890729</v>
        <stp/>
        <stp>BDP|12003350070402843582</stp>
        <tr r="T2322" s="2"/>
      </tp>
      <tp t="s">
        <v>#N/A Requesting Data...3469565623</v>
        <stp/>
        <stp>BDP|12456411620265273020</stp>
        <tr r="T979" s="2"/>
      </tp>
      <tp t="b">
        <v>0</v>
        <stp/>
        <stp>BDS|17919890873781630835</stp>
        <tr r="I1066" s="2"/>
      </tp>
      <tp t="s">
        <v>#N/A Requesting Data...2526158673</v>
        <stp/>
        <stp>BDP|16840289221923435407</stp>
        <tr r="Q1593" s="2"/>
      </tp>
      <tp t="s">
        <v>#N/A Requesting Data...4041754584</v>
        <stp/>
        <stp>BDP|11220312737175554544</stp>
        <tr r="O1159" s="2"/>
      </tp>
      <tp t="s">
        <v>#N/A Requesting Data...2857599624</v>
        <stp/>
        <stp>BDP|12322246202538357934</stp>
        <tr r="K1219" s="2"/>
      </tp>
      <tp t="s">
        <v>#N/A Requesting Data...4215264015</v>
        <stp/>
        <stp>BDP|10185553304640741429</stp>
        <tr r="E2356" s="2"/>
      </tp>
      <tp t="s">
        <v>#N/A Requesting Data...4172680219</v>
        <stp/>
        <stp>BDP|13126123432394113454</stp>
        <tr r="O1835" s="2"/>
      </tp>
      <tp t="s">
        <v>#N/A Requesting Data...3858733146</v>
        <stp/>
        <stp>BDP|13806082346927042138</stp>
        <tr r="C1010" s="2"/>
      </tp>
      <tp t="s">
        <v>#N/A Requesting Data...3270535282</v>
        <stp/>
        <stp>BDP|10252962961098913691</stp>
        <tr r="S1828" s="2"/>
      </tp>
      <tp t="s">
        <v>#N/A Requesting Data...3748513977</v>
        <stp/>
        <stp>BDP|14273146604495413132</stp>
        <tr r="T2493" s="2"/>
      </tp>
      <tp t="s">
        <v>#N/A Requesting Data...2644277029</v>
        <stp/>
        <stp>BDP|10427036826255193659</stp>
        <tr r="K1690" s="2"/>
      </tp>
      <tp t="b">
        <v>0</v>
        <stp/>
        <stp>BDS|12095628149517540686</stp>
        <tr r="I1385" s="2"/>
      </tp>
      <tp t="s">
        <v>#N/A Requesting Data...3820057524</v>
        <stp/>
        <stp>BDP|13841574438194458062</stp>
        <tr r="P538" s="2"/>
      </tp>
      <tp t="s">
        <v>#N/A Requesting Data...2741236462</v>
        <stp/>
        <stp>BDP|15765343433434714026</stp>
        <tr r="G1397" s="2"/>
      </tp>
      <tp t="s">
        <v>#N/A Requesting Data...3516515058</v>
        <stp/>
        <stp>BDP|10310572929720165697</stp>
        <tr r="E1071" s="2"/>
      </tp>
      <tp t="s">
        <v>#N/A Requesting Data...1968586688</v>
        <stp/>
        <stp>BDP|10827397246382203403</stp>
        <tr r="T1795" s="2"/>
      </tp>
      <tp t="s">
        <v>#N/A Requesting Data...2592231993</v>
        <stp/>
        <stp>BDP|15974898622126380843</stp>
        <tr r="R859" s="2"/>
      </tp>
      <tp t="s">
        <v>#N/A Requesting Data...2990816058</v>
        <stp/>
        <stp>BDP|13321056266000290478</stp>
        <tr r="C2143" s="2"/>
      </tp>
      <tp t="s">
        <v>#N/A Requesting Data...2360150293</v>
        <stp/>
        <stp>BDP|17579801127839038578</stp>
        <tr r="N2077" s="2"/>
      </tp>
      <tp t="s">
        <v>#N/A Requesting Data...4075177656</v>
        <stp/>
        <stp>BDP|12450414528271140492</stp>
        <tr r="T1800" s="2"/>
      </tp>
      <tp t="s">
        <v>#N/A Requesting Data...3392063804</v>
        <stp/>
        <stp>BDP|17954060434083714690</stp>
        <tr r="Q172" s="2"/>
      </tp>
      <tp t="s">
        <v>#N/A Requesting Data...3411427897</v>
        <stp/>
        <stp>BDP|11302424140781653122</stp>
        <tr r="M534" s="2"/>
      </tp>
      <tp t="s">
        <v>#N/A Requesting Data...3415530788</v>
        <stp/>
        <stp>BDP|12204211737497170506</stp>
        <tr r="T1154" s="2"/>
      </tp>
      <tp t="s">
        <v>#N/A Requesting Data...1996446129</v>
        <stp/>
        <stp>BDP|10501181419126372723</stp>
        <tr r="N2151" s="2"/>
      </tp>
      <tp t="s">
        <v>#N/A Requesting Data...2995824991</v>
        <stp/>
        <stp>BDP|12351844579409930522</stp>
        <tr r="R173" s="2"/>
      </tp>
      <tp t="s">
        <v>#N/A Requesting Data...1953529346</v>
        <stp/>
        <stp>BDP|17375020033311485438</stp>
        <tr r="H476" s="2"/>
      </tp>
      <tp t="s">
        <v>#N/A Requesting Data...3183052237</v>
        <stp/>
        <stp>BDP|14163939225077358901</stp>
        <tr r="F405" s="2"/>
      </tp>
      <tp t="b">
        <v>0</v>
        <stp/>
        <stp>BDS|11752622800811470763</stp>
        <tr r="I1503" s="2"/>
      </tp>
      <tp t="s">
        <v>#N/A Requesting Data...3948802493</v>
        <stp/>
        <stp>BDP|15289707714761464364</stp>
        <tr r="G357" s="2"/>
      </tp>
      <tp t="s">
        <v>#N/A Requesting Data...2646557730</v>
        <stp/>
        <stp>BDP|14942576857802521782</stp>
        <tr r="F2515" s="2"/>
      </tp>
      <tp t="s">
        <v>#N/A Requesting Data...3444633566</v>
        <stp/>
        <stp>BDP|15221509567086969187</stp>
        <tr r="E453" s="2"/>
      </tp>
      <tp t="s">
        <v>#N/A Requesting Data...3329687398</v>
        <stp/>
        <stp>BDP|14096066308065274082</stp>
        <tr r="O2143" s="2"/>
      </tp>
      <tp t="s">
        <v>#N/A Requesting Data...2252973190</v>
        <stp/>
        <stp>BDP|16277131217373395416</stp>
        <tr r="J941" s="2"/>
      </tp>
      <tp t="s">
        <v>#N/A Requesting Data...2261987294</v>
        <stp/>
        <stp>BDP|17408058926392325600</stp>
        <tr r="J2345" s="2"/>
      </tp>
      <tp t="s">
        <v>#N/A Requesting Data...3300853661</v>
        <stp/>
        <stp>BDP|10895797827704786058</stp>
        <tr r="T1667" s="2"/>
      </tp>
      <tp t="s">
        <v>#N/A Requesting Data...3979093897</v>
        <stp/>
        <stp>BDP|15819348969657530645</stp>
        <tr r="J1158" s="2"/>
      </tp>
      <tp t="s">
        <v>#N/A Requesting Data...3260590387</v>
        <stp/>
        <stp>BDP|17475132982979218634</stp>
        <tr r="T428" s="2"/>
      </tp>
      <tp t="s">
        <v>#N/A Requesting Data...2949182875</v>
        <stp/>
        <stp>BDP|10517272843993544407</stp>
        <tr r="J613" s="2"/>
      </tp>
      <tp t="s">
        <v>#N/A Requesting Data...3782801489</v>
        <stp/>
        <stp>BDP|11286366837236049670</stp>
        <tr r="R1528" s="2"/>
      </tp>
      <tp t="s">
        <v>#N/A Requesting Data...2639653494</v>
        <stp/>
        <stp>BDP|15557521011013442368</stp>
        <tr r="M544" s="2"/>
      </tp>
      <tp t="s">
        <v>#N/A Requesting Data...4229226024</v>
        <stp/>
        <stp>BDP|10418621454280627208</stp>
        <tr r="O1470" s="2"/>
      </tp>
      <tp t="s">
        <v>#N/A Requesting Data...3385492271</v>
        <stp/>
        <stp>BDP|17049504606107290407</stp>
        <tr r="S1413" s="2"/>
      </tp>
      <tp t="s">
        <v>#N/A Requesting Data...2183701657</v>
        <stp/>
        <stp>BDP|15300512608495716498</stp>
        <tr r="C1304" s="2"/>
      </tp>
      <tp t="s">
        <v>#N/A Requesting Data...4214352815</v>
        <stp/>
        <stp>BDP|12577654003033080674</stp>
        <tr r="Q1779" s="2"/>
      </tp>
      <tp t="s">
        <v>#N/A Requesting Data...2236997920</v>
        <stp/>
        <stp>BDP|14314759915516707503</stp>
        <tr r="F111" s="2"/>
      </tp>
      <tp t="s">
        <v>#N/A Requesting Data...2048208798</v>
        <stp/>
        <stp>BDP|10834697289758857748</stp>
        <tr r="N1709" s="2"/>
      </tp>
      <tp t="s">
        <v>#N/A Requesting Data...2109093011</v>
        <stp/>
        <stp>BDP|11049519438992992443</stp>
        <tr r="K1492" s="2"/>
      </tp>
      <tp t="s">
        <v>#N/A Requesting Data...2750146818</v>
        <stp/>
        <stp>BDP|17507474966181627569</stp>
        <tr r="D362" s="2"/>
      </tp>
      <tp t="s">
        <v>#N/A Requesting Data...2104549558</v>
        <stp/>
        <stp>BDP|12172744001663836788</stp>
        <tr r="A830" s="2"/>
      </tp>
      <tp t="s">
        <v>#N/A Requesting Data...2827067576</v>
        <stp/>
        <stp>BDP|15511766951827532131</stp>
        <tr r="T1943" s="2"/>
      </tp>
      <tp t="s">
        <v>#N/A Requesting Data...2865831964</v>
        <stp/>
        <stp>BDP|10471334034812337345</stp>
        <tr r="S229" s="2"/>
      </tp>
      <tp t="s">
        <v>#N/A Requesting Data...3645904166</v>
        <stp/>
        <stp>BDP|16032748443473561764</stp>
        <tr r="R676" s="2"/>
      </tp>
      <tp t="s">
        <v>#N/A Requesting Data...2124428335</v>
        <stp/>
        <stp>BDP|16962641869874160315</stp>
        <tr r="G1665" s="2"/>
      </tp>
      <tp t="s">
        <v>#N/A Requesting Data...2341197956</v>
        <stp/>
        <stp>BDP|17610484524483951378</stp>
        <tr r="J2037" s="2"/>
      </tp>
      <tp t="s">
        <v>#N/A Requesting Data...3598580452</v>
        <stp/>
        <stp>BDP|14575126463387470549</stp>
        <tr r="S528" s="2"/>
      </tp>
      <tp t="s">
        <v>#N/A Requesting Data...3652068094</v>
        <stp/>
        <stp>BDP|15942693820940126050</stp>
        <tr r="K1528" s="2"/>
      </tp>
      <tp t="s">
        <v>#N/A Requesting Data...2382791546</v>
        <stp/>
        <stp>BDP|16194212931027607137</stp>
        <tr r="K1737" s="2"/>
      </tp>
      <tp t="s">
        <v>#N/A Requesting Data...4080763840</v>
        <stp/>
        <stp>BDP|11330558835672298458</stp>
        <tr r="R2305" s="2"/>
      </tp>
      <tp t="s">
        <v>#N/A Requesting Data...3636436291</v>
        <stp/>
        <stp>BDP|11544018531480968382</stp>
        <tr r="C1269" s="2"/>
      </tp>
      <tp t="s">
        <v>#N/A Requesting Data...2776179282</v>
        <stp/>
        <stp>BDP|10699710014081743601</stp>
        <tr r="T1007" s="2"/>
      </tp>
      <tp t="s">
        <v>#N/A Requesting Data...3667220479</v>
        <stp/>
        <stp>BDP|15241708602430539318</stp>
        <tr r="R2022" s="2"/>
      </tp>
      <tp t="s">
        <v>#N/A Requesting Data...3505308606</v>
        <stp/>
        <stp>BDP|17771003330593625650</stp>
        <tr r="O1130" s="2"/>
      </tp>
      <tp t="s">
        <v>#N/A Requesting Data...3939651133</v>
        <stp/>
        <stp>BDP|10460278460977478233</stp>
        <tr r="S164" s="2"/>
      </tp>
      <tp t="s">
        <v>#N/A Requesting Data...3700088276</v>
        <stp/>
        <stp>BDP|14663021575327454512</stp>
        <tr r="N1568" s="2"/>
      </tp>
      <tp t="s">
        <v>#N/A Requesting Data...3809348500</v>
        <stp/>
        <stp>BDP|15031863172323138812</stp>
        <tr r="R1249" s="2"/>
      </tp>
      <tp t="s">
        <v>#N/A Requesting Data...2182417145</v>
        <stp/>
        <stp>BDP|12544811865818689537</stp>
        <tr r="R69" s="2"/>
      </tp>
      <tp t="s">
        <v>#N/A Requesting Data...3207925151</v>
        <stp/>
        <stp>BDP|13995547000840840710</stp>
        <tr r="D361" s="2"/>
      </tp>
      <tp t="s">
        <v>#N/A Requesting Data...3724716492</v>
        <stp/>
        <stp>BDP|17127386468226660532</stp>
        <tr r="O1692" s="2"/>
      </tp>
      <tp t="s">
        <v>#N/A Requesting Data...2906617966</v>
        <stp/>
        <stp>BDP|16392653833237129508</stp>
        <tr r="A1661" s="2"/>
      </tp>
      <tp t="s">
        <v>#N/A Requesting Data...2096982167</v>
        <stp/>
        <stp>BDP|17869082751282201177</stp>
        <tr r="N2520" s="2"/>
      </tp>
      <tp t="s">
        <v>#N/A Requesting Data...2400880449</v>
        <stp/>
        <stp>BDP|14467115143399783958</stp>
        <tr r="D171" s="2"/>
      </tp>
      <tp t="s">
        <v>#N/A Requesting Data...2184307232</v>
        <stp/>
        <stp>BDP|16589446231934374470</stp>
        <tr r="R449" s="2"/>
      </tp>
      <tp t="s">
        <v>#N/A Requesting Data...4167464340</v>
        <stp/>
        <stp>BDP|10400144801415530503</stp>
        <tr r="N1713" s="2"/>
      </tp>
      <tp t="s">
        <v>#N/A Requesting Data...3936202100</v>
        <stp/>
        <stp>BDP|11854533159669446924</stp>
        <tr r="F535" s="2"/>
      </tp>
      <tp t="s">
        <v>#N/A Requesting Data...3698952005</v>
        <stp/>
        <stp>BDP|17213470657312000562</stp>
        <tr r="G925" s="2"/>
      </tp>
      <tp t="s">
        <v>#N/A Requesting Data...4179463194</v>
        <stp/>
        <stp>BDP|10360118817887616677</stp>
        <tr r="M2492" s="2"/>
      </tp>
      <tp t="s">
        <v>#N/A Requesting Data...2699632782</v>
        <stp/>
        <stp>BDP|10277783168650568033</stp>
        <tr r="S976" s="2"/>
      </tp>
      <tp t="s">
        <v>#N/A Requesting Data...2135766848</v>
        <stp/>
        <stp>BDP|12977657404483970654</stp>
        <tr r="D1763" s="2"/>
      </tp>
      <tp t="s">
        <v>#N/A Requesting Data...3796144944</v>
        <stp/>
        <stp>BDP|14082176267962303070</stp>
        <tr r="A1671" s="2"/>
      </tp>
      <tp t="s">
        <v>#N/A Requesting Data...3533375288</v>
        <stp/>
        <stp>BDP|11911170464516664185</stp>
        <tr r="E2323" s="2"/>
      </tp>
      <tp t="s">
        <v>#N/A Requesting Data...3295888119</v>
        <stp/>
        <stp>BDP|15750117163301561240</stp>
        <tr r="H570" s="2"/>
      </tp>
      <tp t="s">
        <v>#N/A Requesting Data...2612049661</v>
        <stp/>
        <stp>BDP|12546642905265415043</stp>
        <tr r="G1946" s="2"/>
      </tp>
      <tp t="s">
        <v>#N/A Requesting Data...3987024630</v>
        <stp/>
        <stp>BDP|13108304042157513222</stp>
        <tr r="S625" s="2"/>
      </tp>
      <tp t="s">
        <v>#N/A Requesting Data...2929439124</v>
        <stp/>
        <stp>BDP|13147324267570769775</stp>
        <tr r="Q1591" s="2"/>
      </tp>
      <tp t="s">
        <v>#N/A Requesting Data...3939813023</v>
        <stp/>
        <stp>BDP|11270908585324380502</stp>
        <tr r="S193" s="2"/>
      </tp>
      <tp t="s">
        <v>#N/A Requesting Data...3501494938</v>
        <stp/>
        <stp>BDP|15383650057191669639</stp>
        <tr r="Q2014" s="2"/>
      </tp>
      <tp t="s">
        <v>#N/A Requesting Data...2627283830</v>
        <stp/>
        <stp>BDP|15696601102551281323</stp>
        <tr r="T1473" s="2"/>
      </tp>
      <tp t="s">
        <v>#N/A Requesting Data...3755717348</v>
        <stp/>
        <stp>BDP|17453142402301604602</stp>
        <tr r="E1444" s="2"/>
      </tp>
      <tp t="s">
        <v>#N/A Requesting Data...2724720521</v>
        <stp/>
        <stp>BDP|18069310965529910594</stp>
        <tr r="R222" s="2"/>
      </tp>
      <tp t="s">
        <v>#N/A Requesting Data...2648798000</v>
        <stp/>
        <stp>BDP|10036685982377604880</stp>
        <tr r="A264" s="2"/>
      </tp>
      <tp t="s">
        <v>#N/A Requesting Data...2933233420</v>
        <stp/>
        <stp>BDP|17672163827727614257</stp>
        <tr r="O744" s="2"/>
      </tp>
      <tp t="s">
        <v>#N/A Requesting Data...4121991801</v>
        <stp/>
        <stp>BDP|16697561864762886682</stp>
        <tr r="H270" s="2"/>
      </tp>
      <tp t="s">
        <v>#N/A Requesting Data...3271945057</v>
        <stp/>
        <stp>BDP|17725855861169715102</stp>
        <tr r="C521" s="2"/>
      </tp>
      <tp t="b">
        <v>0</v>
        <stp/>
        <stp>BDS|10170486101015669092</stp>
        <tr r="I461" s="2"/>
      </tp>
      <tp t="s">
        <v>#N/A Requesting Data...3701006409</v>
        <stp/>
        <stp>BDP|14331992399080772503</stp>
        <tr r="M2402" s="2"/>
      </tp>
      <tp t="s">
        <v>#N/A Requesting Data...4002953203</v>
        <stp/>
        <stp>BDP|15982929821298838765</stp>
        <tr r="E2468" s="2"/>
      </tp>
      <tp t="s">
        <v>#N/A Requesting Data...3159237319</v>
        <stp/>
        <stp>BDP|14096049441036855790</stp>
        <tr r="Q1793" s="2"/>
      </tp>
      <tp t="s">
        <v>#N/A Requesting Data...2648373482</v>
        <stp/>
        <stp>BDP|15913300134620067494</stp>
        <tr r="H317" s="2"/>
      </tp>
      <tp t="s">
        <v>#N/A Requesting Data...2901315615</v>
        <stp/>
        <stp>BDP|12914640852187922727</stp>
        <tr r="N2160" s="2"/>
      </tp>
      <tp t="s">
        <v>#N/A Requesting Data...2829819242</v>
        <stp/>
        <stp>BDP|16742103552666112505</stp>
        <tr r="M2202" s="2"/>
      </tp>
      <tp t="s">
        <v>#N/A Requesting Data...3664551551</v>
        <stp/>
        <stp>BDP|14409153325470719672</stp>
        <tr r="H1873" s="2"/>
      </tp>
      <tp t="s">
        <v>#N/A Requesting Data...2876936941</v>
        <stp/>
        <stp>BDP|10942426187475833801</stp>
        <tr r="R2121" s="2"/>
      </tp>
      <tp t="s">
        <v>#N/A Requesting Data...2446476197</v>
        <stp/>
        <stp>BDP|12599574730302022757</stp>
        <tr r="S2118" s="2"/>
      </tp>
      <tp t="s">
        <v>#N/A Requesting Data...3130642809</v>
        <stp/>
        <stp>BDP|13116820180966322471</stp>
        <tr r="K1013" s="2"/>
      </tp>
      <tp t="s">
        <v>#N/A Requesting Data...3579541886</v>
        <stp/>
        <stp>BDP|12249273265826450130</stp>
        <tr r="N1653" s="2"/>
      </tp>
      <tp t="s">
        <v>#N/A Requesting Data...2208105830</v>
        <stp/>
        <stp>BDP|10377417734832339421</stp>
        <tr r="N1994" s="2"/>
      </tp>
      <tp t="s">
        <v>#N/A Requesting Data...2472576468</v>
        <stp/>
        <stp>BDP|11807420817123399692</stp>
        <tr r="K1879" s="2"/>
      </tp>
      <tp t="s">
        <v>#N/A Requesting Data...3052648126</v>
        <stp/>
        <stp>BDP|17813294463772114049</stp>
        <tr r="Q1340" s="2"/>
      </tp>
      <tp t="s">
        <v>#N/A Requesting Data...3146658430</v>
        <stp/>
        <stp>BDP|18004017912920248860</stp>
        <tr r="K747" s="2"/>
      </tp>
      <tp t="s">
        <v>#N/A Requesting Data...3097710750</v>
        <stp/>
        <stp>BDP|15095004754746207710</stp>
        <tr r="N2526" s="2"/>
      </tp>
      <tp t="s">
        <v>#N/A Requesting Data...3779660957</v>
        <stp/>
        <stp>BDP|17446773756125742158</stp>
        <tr r="S1047" s="2"/>
      </tp>
      <tp t="s">
        <v>#N/A Requesting Data...3094560720</v>
        <stp/>
        <stp>BDP|12081444043557807483</stp>
        <tr r="Q957" s="2"/>
      </tp>
      <tp t="s">
        <v>#N/A Requesting Data...3812449645</v>
        <stp/>
        <stp>BDP|14073327639701846449</stp>
        <tr r="A2467" s="2"/>
      </tp>
      <tp t="s">
        <v>#N/A Requesting Data...2630380891</v>
        <stp/>
        <stp>BDP|18444553298722836769</stp>
        <tr r="A286" s="2"/>
      </tp>
      <tp t="s">
        <v>#N/A Requesting Data...3010370857</v>
        <stp/>
        <stp>BDP|17969297113430486504</stp>
        <tr r="O547" s="2"/>
      </tp>
      <tp t="s">
        <v>#N/A Requesting Data...3051451144</v>
        <stp/>
        <stp>BDP|11930290575923038620</stp>
        <tr r="D2334" s="2"/>
      </tp>
      <tp t="s">
        <v>#N/A Requesting Data...3853823435</v>
        <stp/>
        <stp>BDP|13496652406556738274</stp>
        <tr r="M884" s="2"/>
      </tp>
      <tp t="s">
        <v>#N/A Requesting Data...4204631759</v>
        <stp/>
        <stp>BDP|12818464922434211199</stp>
        <tr r="M990" s="2"/>
      </tp>
      <tp t="s">
        <v>#N/A Requesting Data...2503849760</v>
        <stp/>
        <stp>BDP|10699622697129660724</stp>
        <tr r="M1933" s="2"/>
      </tp>
      <tp t="s">
        <v>#N/A Requesting Data...3698433659</v>
        <stp/>
        <stp>BDP|11411264701790293263</stp>
        <tr r="S231" s="2"/>
      </tp>
      <tp t="s">
        <v>#N/A Requesting Data...3826358653</v>
        <stp/>
        <stp>BDP|12932481900206584130</stp>
        <tr r="M925" s="2"/>
      </tp>
      <tp t="s">
        <v>#N/A Requesting Data...3086771982</v>
        <stp/>
        <stp>BDP|12361693918621292572</stp>
        <tr r="J402" s="2"/>
      </tp>
      <tp t="s">
        <v>#N/A Requesting Data...4085185388</v>
        <stp/>
        <stp>BDP|12741212220964150702</stp>
        <tr r="A1874" s="2"/>
      </tp>
      <tp t="s">
        <v>#N/A Requesting Data...2349997784</v>
        <stp/>
        <stp>BDP|10563162381331383967</stp>
        <tr r="K1485" s="2"/>
      </tp>
      <tp t="s">
        <v>#N/A Requesting Data...2462369882</v>
        <stp/>
        <stp>BDP|12725590959025487645</stp>
        <tr r="R675" s="2"/>
      </tp>
      <tp t="s">
        <v>#N/A Requesting Data...2924845295</v>
        <stp/>
        <stp>BDP|12769229457570561403</stp>
        <tr r="C150" s="2"/>
      </tp>
      <tp t="s">
        <v>#N/A Requesting Data...3728374253</v>
        <stp/>
        <stp>BDP|17353573527852514310</stp>
        <tr r="E306" s="2"/>
      </tp>
      <tp t="s">
        <v>#N/A Requesting Data...2663656763</v>
        <stp/>
        <stp>BDP|14772769015721601256</stp>
        <tr r="H831" s="2"/>
      </tp>
      <tp t="s">
        <v>#N/A Requesting Data...3339995656</v>
        <stp/>
        <stp>BDP|10144028201058433910</stp>
        <tr r="P315" s="2"/>
      </tp>
      <tp t="s">
        <v>#N/A Requesting Data...3556070863</v>
        <stp/>
        <stp>BDP|16894197721355616113</stp>
        <tr r="J526" s="2"/>
      </tp>
      <tp t="b">
        <v>0</v>
        <stp/>
        <stp>BDS|15592350742433116073</stp>
        <tr r="I349" s="2"/>
      </tp>
      <tp t="s">
        <v>#N/A Requesting Data...4271505390</v>
        <stp/>
        <stp>BDP|13268645011983262623</stp>
        <tr r="D1814" s="2"/>
      </tp>
      <tp t="s">
        <v>#N/A Requesting Data...2640568686</v>
        <stp/>
        <stp>BDP|16443612441183100629</stp>
        <tr r="A2170" s="2"/>
      </tp>
      <tp t="s">
        <v>#N/A Requesting Data...3967667242</v>
        <stp/>
        <stp>BDP|17891683637596464547</stp>
        <tr r="E1777" s="2"/>
      </tp>
      <tp t="s">
        <v>#N/A Requesting Data...3355234780</v>
        <stp/>
        <stp>BDP|14257639652760462603</stp>
        <tr r="P952" s="2"/>
      </tp>
      <tp t="s">
        <v>#N/A Requesting Data...2776920427</v>
        <stp/>
        <stp>BDP|16556406705917467432</stp>
        <tr r="C212" s="2"/>
      </tp>
      <tp t="s">
        <v>#N/A Requesting Data...3281301286</v>
        <stp/>
        <stp>BDP|14816154149655784545</stp>
        <tr r="K188" s="2"/>
      </tp>
      <tp t="s">
        <v>#N/A Requesting Data...2389458564</v>
        <stp/>
        <stp>BDP|17340210561046027448</stp>
        <tr r="H1533" s="2"/>
      </tp>
      <tp t="s">
        <v>#N/A Requesting Data...3655793313</v>
        <stp/>
        <stp>BDP|14820611966091042489</stp>
        <tr r="D43" s="2"/>
      </tp>
      <tp t="b">
        <v>0</v>
        <stp/>
        <stp>BDS|17925779089221635854</stp>
        <tr r="I1463" s="2"/>
      </tp>
      <tp t="s">
        <v>#N/A Requesting Data...2732775929</v>
        <stp/>
        <stp>BDP|14136338855865795677</stp>
        <tr r="N592" s="2"/>
      </tp>
      <tp t="s">
        <v>#N/A Requesting Data...2681823336</v>
        <stp/>
        <stp>BDP|15191276048205118781</stp>
        <tr r="E823" s="2"/>
      </tp>
      <tp t="s">
        <v>#N/A Requesting Data...2423558359</v>
        <stp/>
        <stp>BDP|10689263394908462279</stp>
        <tr r="C2462" s="2"/>
      </tp>
      <tp t="s">
        <v>#N/A Requesting Data...3511343209</v>
        <stp/>
        <stp>BDP|11695350252692176475</stp>
        <tr r="H1157" s="2"/>
      </tp>
      <tp t="s">
        <v>#N/A Requesting Data...2987556515</v>
        <stp/>
        <stp>BDP|14701318370649659877</stp>
        <tr r="Q1491" s="2"/>
      </tp>
      <tp t="s">
        <v>#N/A Requesting Data...3494115869</v>
        <stp/>
        <stp>BDP|16482570804376235424</stp>
        <tr r="T1772" s="2"/>
      </tp>
      <tp t="s">
        <v>#N/A Requesting Data...4075370164</v>
        <stp/>
        <stp>BDP|11134361563923639654</stp>
        <tr r="C607" s="2"/>
      </tp>
      <tp t="s">
        <v>#N/A Requesting Data...2922262250</v>
        <stp/>
        <stp>BDP|15344958662609258213</stp>
        <tr r="J2335" s="2"/>
      </tp>
      <tp t="s">
        <v>#N/A Requesting Data...3994921937</v>
        <stp/>
        <stp>BDP|17692076555065117622</stp>
        <tr r="C1777" s="2"/>
      </tp>
      <tp t="s">
        <v>#N/A Requesting Data...2864918786</v>
        <stp/>
        <stp>BDP|14330866696742785639</stp>
        <tr r="P462" s="2"/>
      </tp>
      <tp t="s">
        <v>#N/A Requesting Data...3756446232</v>
        <stp/>
        <stp>BDP|14992416104820356181</stp>
        <tr r="C2007" s="2"/>
      </tp>
      <tp t="s">
        <v>#N/A Requesting Data...3885504234</v>
        <stp/>
        <stp>BDP|15826096522427751136</stp>
        <tr r="P1246" s="2"/>
      </tp>
      <tp t="s">
        <v>#N/A Requesting Data...3585243226</v>
        <stp/>
        <stp>BDP|17225203038007476095</stp>
        <tr r="O536" s="2"/>
      </tp>
      <tp t="s">
        <v>#N/A Requesting Data...3342460171</v>
        <stp/>
        <stp>BDP|12511339247813530730</stp>
        <tr r="Q114" s="2"/>
      </tp>
      <tp t="s">
        <v>#N/A Requesting Data...3943709838</v>
        <stp/>
        <stp>BDP|16295423825974727553</stp>
        <tr r="M29" s="2"/>
      </tp>
      <tp t="s">
        <v>#N/A Requesting Data...2930842923</v>
        <stp/>
        <stp>BDP|16219588956871308683</stp>
        <tr r="D1454" s="2"/>
      </tp>
      <tp t="s">
        <v>#N/A Requesting Data...3011009151</v>
        <stp/>
        <stp>BDP|17407900999763257580</stp>
        <tr r="R932" s="2"/>
      </tp>
      <tp t="s">
        <v>#N/A Requesting Data...3504762625</v>
        <stp/>
        <stp>BDP|10718523864651361350</stp>
        <tr r="G717" s="2"/>
      </tp>
      <tp t="s">
        <v>#N/A Requesting Data...3339955450</v>
        <stp/>
        <stp>BDP|10425694038117335316</stp>
        <tr r="C2050" s="2"/>
      </tp>
      <tp t="s">
        <v>#N/A Requesting Data...3293728249</v>
        <stp/>
        <stp>BDP|11326843837699274252</stp>
        <tr r="M1136" s="2"/>
      </tp>
      <tp t="s">
        <v>#N/A Requesting Data...3046599006</v>
        <stp/>
        <stp>BDP|12371668593925434957</stp>
        <tr r="N264" s="2"/>
      </tp>
      <tp t="s">
        <v>#N/A Requesting Data...2438607071</v>
        <stp/>
        <stp>BDP|12790539875003503231</stp>
        <tr r="T339" s="2"/>
      </tp>
      <tp t="s">
        <v>#N/A Requesting Data...2839136467</v>
        <stp/>
        <stp>BDP|13468040804095372700</stp>
        <tr r="E1634" s="2"/>
      </tp>
      <tp t="s">
        <v>#N/A Requesting Data...2406207283</v>
        <stp/>
        <stp>BDP|12574175946313449574</stp>
        <tr r="O854" s="2"/>
      </tp>
      <tp t="s">
        <v>#N/A Requesting Data...3241061334</v>
        <stp/>
        <stp>BDP|12477733461744613673</stp>
        <tr r="M463" s="2"/>
      </tp>
      <tp t="s">
        <v>#N/A Requesting Data...2626805011</v>
        <stp/>
        <stp>BDP|17131774608058876911</stp>
        <tr r="J1918" s="2"/>
      </tp>
      <tp t="b">
        <v>0</v>
        <stp/>
        <stp>BDS|12529336348192262682</stp>
        <tr r="I2453" s="2"/>
      </tp>
      <tp t="s">
        <v>#N/A Requesting Data...3483757659</v>
        <stp/>
        <stp>BDP|13070867766139134563</stp>
        <tr r="O1987" s="2"/>
      </tp>
      <tp t="s">
        <v>#N/A Requesting Data...4178485413</v>
        <stp/>
        <stp>BDP|17640224117913012649</stp>
        <tr r="E2510" s="2"/>
      </tp>
      <tp t="s">
        <v>#N/A Requesting Data...3856204102</v>
        <stp/>
        <stp>BDP|15192689939072303340</stp>
        <tr r="N203" s="2"/>
      </tp>
      <tp t="s">
        <v>#N/A Requesting Data...3837982278</v>
        <stp/>
        <stp>BDP|16811168877476640789</stp>
        <tr r="O1633" s="2"/>
      </tp>
      <tp t="s">
        <v>#N/A Requesting Data...3319749407</v>
        <stp/>
        <stp>BDP|11960146809463546260</stp>
        <tr r="Q721" s="2"/>
      </tp>
      <tp t="s">
        <v>#N/A Requesting Data...4202722861</v>
        <stp/>
        <stp>BDP|13745723360796717551</stp>
        <tr r="M2241" s="2"/>
      </tp>
      <tp t="s">
        <v>#N/A Requesting Data...3525708807</v>
        <stp/>
        <stp>BDP|11405761431130170457</stp>
        <tr r="J1163" s="2"/>
      </tp>
      <tp t="s">
        <v>#N/A Requesting Data...2531692718</v>
        <stp/>
        <stp>BDP|18323940550542910796</stp>
        <tr r="S2174" s="2"/>
      </tp>
      <tp t="s">
        <v>#N/A Requesting Data...3089106331</v>
        <stp/>
        <stp>BDP|13598627224836376076</stp>
        <tr r="F2530" s="2"/>
      </tp>
      <tp t="s">
        <v>#N/A Requesting Data...3401332145</v>
        <stp/>
        <stp>BDP|14684214829210093590</stp>
        <tr r="T1499" s="2"/>
      </tp>
      <tp t="s">
        <v>#N/A Requesting Data...3426431561</v>
        <stp/>
        <stp>BDP|15755683835541407094</stp>
        <tr r="G175" s="2"/>
      </tp>
      <tp t="s">
        <v>#N/A Requesting Data...3321613921</v>
        <stp/>
        <stp>BDP|16817644109313149235</stp>
        <tr r="R920" s="2"/>
      </tp>
      <tp t="s">
        <v>#N/A Requesting Data...2434909396</v>
        <stp/>
        <stp>BDP|17354763965620265751</stp>
        <tr r="Q2298" s="2"/>
      </tp>
      <tp t="s">
        <v>#N/A Requesting Data...3094667996</v>
        <stp/>
        <stp>BDP|15054055723026931084</stp>
        <tr r="J1010" s="2"/>
      </tp>
      <tp t="s">
        <v>#N/A Requesting Data...2530127641</v>
        <stp/>
        <stp>BDP|11163135805739410843</stp>
        <tr r="K2183" s="2"/>
      </tp>
      <tp t="b">
        <v>0</v>
        <stp/>
        <stp>BDS|12549451663523775201</stp>
        <tr r="I291" s="2"/>
      </tp>
      <tp t="s">
        <v>#N/A Requesting Data...3533196302</v>
        <stp/>
        <stp>BDP|11258733125040406570</stp>
        <tr r="A47" s="2"/>
      </tp>
      <tp t="s">
        <v>#N/A Requesting Data...3176529935</v>
        <stp/>
        <stp>BDP|17602239224144191277</stp>
        <tr r="Q1380" s="2"/>
      </tp>
      <tp t="s">
        <v>#N/A Requesting Data...2975410874</v>
        <stp/>
        <stp>BDP|11090005070655595225</stp>
        <tr r="D2390" s="2"/>
      </tp>
      <tp t="s">
        <v>#N/A Requesting Data...4179553732</v>
        <stp/>
        <stp>BDP|14041028067856327510</stp>
        <tr r="J2246" s="2"/>
      </tp>
      <tp t="s">
        <v>#N/A Requesting Data...4243206732</v>
        <stp/>
        <stp>BDP|14944741565021970564</stp>
        <tr r="P339" s="2"/>
      </tp>
      <tp t="s">
        <v>#N/A Requesting Data...2664539114</v>
        <stp/>
        <stp>BDP|17264801413416473922</stp>
        <tr r="J1687" s="2"/>
      </tp>
      <tp t="s">
        <v>#N/A Requesting Data...3386467816</v>
        <stp/>
        <stp>BDP|12913357617437459682</stp>
        <tr r="O726" s="2"/>
      </tp>
      <tp t="s">
        <v>#N/A Requesting Data...3981001699</v>
        <stp/>
        <stp>BDP|13826587133190021443</stp>
        <tr r="J807" s="2"/>
      </tp>
      <tp t="s">
        <v>#N/A Requesting Data...2599292130</v>
        <stp/>
        <stp>BDP|13210891824340132895</stp>
        <tr r="G895" s="2"/>
      </tp>
      <tp t="s">
        <v>#N/A Requesting Data...3668899351</v>
        <stp/>
        <stp>BDP|15882070109073451758</stp>
        <tr r="P1301" s="2"/>
      </tp>
      <tp t="s">
        <v>#N/A Requesting Data...4077721316</v>
        <stp/>
        <stp>BDP|17186751986679598003</stp>
        <tr r="M2511" s="2"/>
      </tp>
      <tp t="s">
        <v>#N/A Requesting Data...3102950412</v>
        <stp/>
        <stp>BDP|11320509935296992085</stp>
        <tr r="K1667" s="2"/>
      </tp>
      <tp t="s">
        <v>#N/A Requesting Data...3935110546</v>
        <stp/>
        <stp>BDP|11716331035467692708</stp>
        <tr r="P1538" s="2"/>
      </tp>
      <tp t="s">
        <v>#N/A Requesting Data...3698871240</v>
        <stp/>
        <stp>BDP|12333231935422136031</stp>
        <tr r="E809" s="2"/>
      </tp>
      <tp t="s">
        <v>#N/A Requesting Data...2621884814</v>
        <stp/>
        <stp>BDP|13529754344304214510</stp>
        <tr r="D113" s="2"/>
      </tp>
      <tp t="s">
        <v>#N/A Requesting Data...2653456926</v>
        <stp/>
        <stp>BDP|12272770914716112375</stp>
        <tr r="P877" s="2"/>
      </tp>
      <tp t="b">
        <v>0</v>
        <stp/>
        <stp>BDS|15788325142847106421</stp>
        <tr r="I1904" s="2"/>
      </tp>
      <tp t="s">
        <v>#N/A Requesting Data...3517501215</v>
        <stp/>
        <stp>BDP|17413475930565216464</stp>
        <tr r="M1123" s="2"/>
      </tp>
      <tp t="s">
        <v>#N/A Requesting Data...3872861365</v>
        <stp/>
        <stp>BDP|13059361803064522572</stp>
        <tr r="N1695" s="2"/>
      </tp>
      <tp t="s">
        <v>#N/A Requesting Data...3839414122</v>
        <stp/>
        <stp>BDP|13733547427014575167</stp>
        <tr r="T2020" s="2"/>
      </tp>
      <tp t="s">
        <v>#N/A Requesting Data...3067342483</v>
        <stp/>
        <stp>BDP|10752770503721088751</stp>
        <tr r="T2492" s="2"/>
      </tp>
      <tp t="s">
        <v>#N/A Requesting Data...3327280825</v>
        <stp/>
        <stp>BDP|13736612170482990197</stp>
        <tr r="A1422" s="2"/>
      </tp>
      <tp t="s">
        <v>#N/A Requesting Data...4140078073</v>
        <stp/>
        <stp>BDP|14151545125752540038</stp>
        <tr r="C1196" s="2"/>
      </tp>
      <tp t="s">
        <v>#N/A Requesting Data...2760874459</v>
        <stp/>
        <stp>BDP|16412675781129263068</stp>
        <tr r="H474" s="2"/>
      </tp>
      <tp t="s">
        <v>#N/A Requesting Data...2560104069</v>
        <stp/>
        <stp>BDP|10432471396699069539</stp>
        <tr r="P556" s="2"/>
      </tp>
      <tp t="s">
        <v>#N/A Requesting Data...3179318053</v>
        <stp/>
        <stp>BDP|10747004498791997904</stp>
        <tr r="P946" s="2"/>
      </tp>
      <tp t="s">
        <v>#N/A Requesting Data...4286142776</v>
        <stp/>
        <stp>BDP|11029886684459897923</stp>
        <tr r="R132" s="2"/>
      </tp>
      <tp t="s">
        <v>#N/A Requesting Data...2967235132</v>
        <stp/>
        <stp>BDP|15007920295271406558</stp>
        <tr r="E1803" s="2"/>
      </tp>
      <tp t="s">
        <v>#N/A Requesting Data...2734924704</v>
        <stp/>
        <stp>BDP|10727375716735530659</stp>
        <tr r="C449" s="2"/>
      </tp>
      <tp t="s">
        <v>#N/A Requesting Data...3779185449</v>
        <stp/>
        <stp>BDP|12039700427952406453</stp>
        <tr r="F1916" s="2"/>
      </tp>
      <tp t="s">
        <v>#N/A Requesting Data...3942567671</v>
        <stp/>
        <stp>BDP|13565760081228659528</stp>
        <tr r="N269" s="2"/>
      </tp>
      <tp t="s">
        <v>#N/A Requesting Data...4253083280</v>
        <stp/>
        <stp>BDP|15010383950190928278</stp>
        <tr r="H1326" s="2"/>
      </tp>
      <tp t="s">
        <v>#N/A Requesting Data...3896750273</v>
        <stp/>
        <stp>BDP|17196505962470703521</stp>
        <tr r="P1648" s="2"/>
      </tp>
      <tp t="s">
        <v>#N/A Requesting Data...3101092370</v>
        <stp/>
        <stp>BDP|14001267771926920685</stp>
        <tr r="E272" s="2"/>
      </tp>
      <tp t="s">
        <v>#N/A Requesting Data...3281689711</v>
        <stp/>
        <stp>BDP|13388554503971689654</stp>
        <tr r="K1978" s="2"/>
      </tp>
      <tp t="s">
        <v>#N/A Requesting Data...3364242268</v>
        <stp/>
        <stp>BDP|11058764425037406219</stp>
        <tr r="A972" s="2"/>
      </tp>
      <tp t="b">
        <v>0</v>
        <stp/>
        <stp>BDS|12520486036130845469</stp>
        <tr r="I2047" s="2"/>
      </tp>
      <tp t="s">
        <v>#N/A Requesting Data...3191117721</v>
        <stp/>
        <stp>BDP|13074442200274461269</stp>
        <tr r="R1148" s="2"/>
      </tp>
      <tp t="s">
        <v>#N/A Requesting Data...3199033033</v>
        <stp/>
        <stp>BDP|10545752053960210376</stp>
        <tr r="Q1465" s="2"/>
      </tp>
      <tp t="b">
        <v>0</v>
        <stp/>
        <stp>BDS|12734085592909972310</stp>
        <tr r="I1959" s="2"/>
      </tp>
      <tp t="s">
        <v>#N/A Requesting Data...2827361744</v>
        <stp/>
        <stp>BDP|18199221054056672870</stp>
        <tr r="A621" s="2"/>
      </tp>
      <tp t="s">
        <v>#N/A Requesting Data...3458475091</v>
        <stp/>
        <stp>BDP|10978144719274292507</stp>
        <tr r="S735" s="2"/>
      </tp>
      <tp t="s">
        <v>#N/A Requesting Data...2621693315</v>
        <stp/>
        <stp>BDP|13122427664675759569</stp>
        <tr r="J1045" s="2"/>
      </tp>
      <tp t="s">
        <v>#N/A Requesting Data...3959214650</v>
        <stp/>
        <stp>BDP|18000868876351667702</stp>
        <tr r="K299" s="2"/>
      </tp>
      <tp t="s">
        <v>#N/A Requesting Data...3625334039</v>
        <stp/>
        <stp>BDP|10634957735863310832</stp>
        <tr r="J1681" s="2"/>
      </tp>
      <tp t="s">
        <v>#N/A Requesting Data...3502568766</v>
        <stp/>
        <stp>BDP|12971432364923965215</stp>
        <tr r="J2269" s="2"/>
      </tp>
      <tp t="s">
        <v>#N/A Requesting Data...3571769784</v>
        <stp/>
        <stp>BDP|13648436875765526438</stp>
        <tr r="F851" s="2"/>
      </tp>
      <tp t="s">
        <v>#N/A Requesting Data...4061598523</v>
        <stp/>
        <stp>BDP|16417657232187510508</stp>
        <tr r="N112" s="2"/>
      </tp>
      <tp t="s">
        <v>#N/A Requesting Data...2595764770</v>
        <stp/>
        <stp>BDP|15067608801585219754</stp>
        <tr r="T1010" s="2"/>
      </tp>
      <tp t="b">
        <v>0</v>
        <stp/>
        <stp>BDS|14214450046905051043</stp>
        <tr r="I264" s="2"/>
      </tp>
      <tp t="s">
        <v>#N/A Requesting Data...3086040910</v>
        <stp/>
        <stp>BDP|14763045465337873489</stp>
        <tr r="R205" s="2"/>
      </tp>
      <tp t="s">
        <v>#N/A Requesting Data...2931584103</v>
        <stp/>
        <stp>BDP|10588342984253012937</stp>
        <tr r="K1147" s="2"/>
      </tp>
      <tp t="s">
        <v>#N/A Requesting Data...3717816598</v>
        <stp/>
        <stp>BDP|12777050576011202509</stp>
        <tr r="A2056" s="2"/>
      </tp>
      <tp t="s">
        <v>#N/A Requesting Data...3195478669</v>
        <stp/>
        <stp>BDP|17157664535436120559</stp>
        <tr r="K1162" s="2"/>
      </tp>
      <tp t="s">
        <v>#N/A Requesting Data...3462090099</v>
        <stp/>
        <stp>BDP|11274759890237484959</stp>
        <tr r="F1035" s="2"/>
      </tp>
      <tp t="s">
        <v>#N/A Requesting Data...2928510304</v>
        <stp/>
        <stp>BDP|15305909091294738035</stp>
        <tr r="S109" s="2"/>
      </tp>
      <tp t="s">
        <v>#N/A Requesting Data...2922994759</v>
        <stp/>
        <stp>BDP|16461493478356786243</stp>
        <tr r="O406" s="2"/>
      </tp>
      <tp t="s">
        <v>#N/A Requesting Data...3440517988</v>
        <stp/>
        <stp>BDP|12747024329462981331</stp>
        <tr r="C660" s="2"/>
      </tp>
      <tp t="s">
        <v>#N/A Requesting Data...4172853100</v>
        <stp/>
        <stp>BDP|14434758177185360030</stp>
        <tr r="F856" s="2"/>
      </tp>
      <tp t="s">
        <v>#N/A Requesting Data...3789531665</v>
        <stp/>
        <stp>BDP|15169218592258125752</stp>
        <tr r="A1210" s="2"/>
      </tp>
      <tp t="s">
        <v>#N/A Requesting Data...4021067344</v>
        <stp/>
        <stp>BDP|10167639345623059010</stp>
        <tr r="C2043" s="2"/>
      </tp>
      <tp t="s">
        <v>#N/A Requesting Data...2685422190</v>
        <stp/>
        <stp>BDP|13267293038405188645</stp>
        <tr r="O586" s="2"/>
      </tp>
      <tp t="s">
        <v>#N/A Requesting Data...2867018457</v>
        <stp/>
        <stp>BDP|11749380224766988747</stp>
        <tr r="S2252" s="2"/>
      </tp>
      <tp t="s">
        <v>#N/A Requesting Data...2803000492</v>
        <stp/>
        <stp>BDP|14625655568464581187</stp>
        <tr r="F2144" s="2"/>
      </tp>
      <tp t="s">
        <v>#N/A Requesting Data...3947841331</v>
        <stp/>
        <stp>BDP|15213181075370195286</stp>
        <tr r="R220" s="2"/>
      </tp>
      <tp t="s">
        <v>#N/A Requesting Data...4098694352</v>
        <stp/>
        <stp>BDP|15878716865287927232</stp>
        <tr r="O552" s="2"/>
      </tp>
      <tp t="s">
        <v>#N/A Requesting Data...3208289151</v>
        <stp/>
        <stp>BDP|14755808316495181962</stp>
        <tr r="G2358" s="2"/>
      </tp>
      <tp t="s">
        <v>#N/A Requesting Data...3273955194</v>
        <stp/>
        <stp>BDP|17615278340874768404</stp>
        <tr r="Q1893" s="2"/>
      </tp>
      <tp t="s">
        <v>#N/A Requesting Data...2652553418</v>
        <stp/>
        <stp>BDP|17443738673362348418</stp>
        <tr r="J1573" s="2"/>
      </tp>
      <tp t="s">
        <v>#N/A Requesting Data...3260265750</v>
        <stp/>
        <stp>BDP|17493889680260322693</stp>
        <tr r="M355" s="2"/>
      </tp>
      <tp t="s">
        <v>#N/A Requesting Data...3280152744</v>
        <stp/>
        <stp>BDP|14675541363807299155</stp>
        <tr r="P1315" s="2"/>
      </tp>
      <tp t="s">
        <v>#N/A Requesting Data...3839152036</v>
        <stp/>
        <stp>BDP|16374517328480450083</stp>
        <tr r="P89" s="2"/>
      </tp>
      <tp t="s">
        <v>#N/A Requesting Data...2804280025</v>
        <stp/>
        <stp>BDP|15261041215537498219</stp>
        <tr r="G1104" s="2"/>
      </tp>
      <tp t="s">
        <v>#N/A Requesting Data...2880788005</v>
        <stp/>
        <stp>BDP|10679077429206686588</stp>
        <tr r="M2447" s="2"/>
      </tp>
      <tp t="s">
        <v>#N/A Requesting Data...3998550416</v>
        <stp/>
        <stp>BDP|13234416163154365450</stp>
        <tr r="M755" s="2"/>
      </tp>
      <tp t="s">
        <v>#N/A Requesting Data...4045359803</v>
        <stp/>
        <stp>BDP|14195467726102254158</stp>
        <tr r="K709" s="2"/>
      </tp>
      <tp t="s">
        <v>#N/A Requesting Data...3876334662</v>
        <stp/>
        <stp>BDP|13077420714107321036</stp>
        <tr r="G1268" s="2"/>
      </tp>
      <tp t="s">
        <v>#N/A Requesting Data...2930851672</v>
        <stp/>
        <stp>BDP|12675419975743200368</stp>
        <tr r="F1140" s="2"/>
      </tp>
      <tp t="s">
        <v>#N/A Requesting Data...3134558000</v>
        <stp/>
        <stp>BDP|11821890888033901363</stp>
        <tr r="C882" s="2"/>
      </tp>
      <tp t="s">
        <v>#N/A Requesting Data...4291039947</v>
        <stp/>
        <stp>BDP|11204191938637564500</stp>
        <tr r="P1563" s="2"/>
      </tp>
      <tp t="s">
        <v>#N/A Requesting Data...3113996744</v>
        <stp/>
        <stp>BDP|13902039563335681193</stp>
        <tr r="P823" s="2"/>
      </tp>
      <tp t="s">
        <v>#N/A Requesting Data...3639582664</v>
        <stp/>
        <stp>BDP|13008677937551143677</stp>
        <tr r="J1780" s="2"/>
      </tp>
      <tp t="s">
        <v>#N/A Requesting Data...4056708856</v>
        <stp/>
        <stp>BDP|15554478843894013075</stp>
        <tr r="M1676" s="2"/>
      </tp>
      <tp t="s">
        <v>#N/A Requesting Data...4199493816</v>
        <stp/>
        <stp>BDP|16658326268181360395</stp>
        <tr r="H416" s="2"/>
      </tp>
      <tp t="s">
        <v>#N/A Requesting Data...3758869312</v>
        <stp/>
        <stp>BDP|15774669118895842672</stp>
        <tr r="K800" s="2"/>
      </tp>
      <tp t="s">
        <v>#N/A Requesting Data...2855893943</v>
        <stp/>
        <stp>BDP|13667634306501061551</stp>
        <tr r="K838" s="2"/>
      </tp>
      <tp t="s">
        <v>#N/A Requesting Data...3776094405</v>
        <stp/>
        <stp>BDP|10433052456754165000</stp>
        <tr r="F2048" s="2"/>
      </tp>
      <tp t="s">
        <v>#N/A Requesting Data...2721208309</v>
        <stp/>
        <stp>BDP|12252952636078104167</stp>
        <tr r="M2195" s="2"/>
      </tp>
      <tp t="s">
        <v>#N/A Requesting Data...3903628369</v>
        <stp/>
        <stp>BDP|12318340120193601170</stp>
        <tr r="C574" s="2"/>
      </tp>
      <tp t="s">
        <v>#N/A Requesting Data...3925968330</v>
        <stp/>
        <stp>BDP|15398319698179578796</stp>
        <tr r="H424" s="2"/>
      </tp>
      <tp t="s">
        <v>#N/A Requesting Data...4222946836</v>
        <stp/>
        <stp>BDP|17967452003102174082</stp>
        <tr r="M1914" s="2"/>
      </tp>
      <tp t="s">
        <v>#N/A Requesting Data...3949156684</v>
        <stp/>
        <stp>BDP|12003326666591460762</stp>
        <tr r="P1500" s="2"/>
      </tp>
      <tp t="s">
        <v>#N/A Requesting Data...3008706675</v>
        <stp/>
        <stp>BDP|12201305022453508136</stp>
        <tr r="G2463" s="2"/>
      </tp>
      <tp t="s">
        <v>#N/A Requesting Data...2741747236</v>
        <stp/>
        <stp>BDP|18301339184001169338</stp>
        <tr r="A1251" s="2"/>
      </tp>
      <tp t="s">
        <v>#N/A Requesting Data...3081110377</v>
        <stp/>
        <stp>BDP|10849678511503967518</stp>
        <tr r="G698" s="2"/>
      </tp>
      <tp t="s">
        <v>#N/A Requesting Data...4258227617</v>
        <stp/>
        <stp>BDP|12440337022391662351</stp>
        <tr r="S1733" s="2"/>
      </tp>
      <tp t="s">
        <v>#N/A Requesting Data...3010829100</v>
        <stp/>
        <stp>BDP|11932394310601354353</stp>
        <tr r="A341" s="2"/>
      </tp>
      <tp t="s">
        <v>#N/A Requesting Data...2933415634</v>
        <stp/>
        <stp>BDP|14356255751276403455</stp>
        <tr r="P1649" s="2"/>
      </tp>
      <tp t="s">
        <v>#N/A Requesting Data...4144291345</v>
        <stp/>
        <stp>BDP|17879942876450900856</stp>
        <tr r="T2454" s="2"/>
      </tp>
      <tp t="s">
        <v>#N/A Requesting Data...3454690002</v>
        <stp/>
        <stp>BDP|14622003424220347770</stp>
        <tr r="F681" s="2"/>
      </tp>
      <tp t="b">
        <v>0</v>
        <stp/>
        <stp>BDS|15122202755617158405</stp>
        <tr r="I91" s="2"/>
      </tp>
      <tp t="s">
        <v>#N/A Requesting Data...3429069430</v>
        <stp/>
        <stp>BDP|17856745448492675745</stp>
        <tr r="P908" s="2"/>
      </tp>
      <tp t="s">
        <v>#N/A Requesting Data...3858868183</v>
        <stp/>
        <stp>BDP|10142406491299367550</stp>
        <tr r="E313" s="2"/>
      </tp>
      <tp t="s">
        <v>#N/A Requesting Data...3441370566</v>
        <stp/>
        <stp>BDP|10394368396533020850</stp>
        <tr r="P188" s="2"/>
      </tp>
      <tp t="s">
        <v>#N/A Requesting Data...4035998101</v>
        <stp/>
        <stp>BDP|14994618649305265252</stp>
        <tr r="R2459" s="2"/>
      </tp>
      <tp t="s">
        <v>#N/A Requesting Data...2857261557</v>
        <stp/>
        <stp>BDP|15710235027462117647</stp>
        <tr r="N1187" s="2"/>
      </tp>
      <tp t="s">
        <v>#N/A Requesting Data...3001696822</v>
        <stp/>
        <stp>BDP|17023657517545252463</stp>
        <tr r="J1466" s="2"/>
      </tp>
      <tp t="s">
        <v>#N/A Requesting Data...4051943566</v>
        <stp/>
        <stp>BDP|14061118816174282132</stp>
        <tr r="S2364" s="2"/>
      </tp>
      <tp t="s">
        <v>#N/A Requesting Data...3661451585</v>
        <stp/>
        <stp>BDP|15824496927512152011</stp>
        <tr r="D1969" s="2"/>
      </tp>
      <tp t="s">
        <v>#N/A Requesting Data...3210751677</v>
        <stp/>
        <stp>BDP|17823747868533011424</stp>
        <tr r="C2238" s="2"/>
      </tp>
      <tp t="s">
        <v>#N/A Requesting Data...2951660211</v>
        <stp/>
        <stp>BDP|16755476751486052077</stp>
        <tr r="G306" s="2"/>
      </tp>
      <tp t="s">
        <v>#N/A Requesting Data...2957615516</v>
        <stp/>
        <stp>BDP|13509099239205381406</stp>
        <tr r="R861" s="2"/>
      </tp>
      <tp t="s">
        <v>#N/A Requesting Data...2827077363</v>
        <stp/>
        <stp>BDP|13602692404040935444</stp>
        <tr r="G983" s="2"/>
      </tp>
      <tp t="s">
        <v>#N/A Requesting Data...3823260578</v>
        <stp/>
        <stp>BDP|14485919713429221422</stp>
        <tr r="Q86" s="2"/>
      </tp>
      <tp t="s">
        <v>#N/A Requesting Data...2944663893</v>
        <stp/>
        <stp>BDP|12115027582043258857</stp>
        <tr r="N1722" s="2"/>
      </tp>
      <tp t="s">
        <v>#N/A Requesting Data...4239785798</v>
        <stp/>
        <stp>BDP|16578708626922179045</stp>
        <tr r="Q1573" s="2"/>
      </tp>
      <tp t="s">
        <v>#N/A Requesting Data...2807942683</v>
        <stp/>
        <stp>BDP|17519159887936735966</stp>
        <tr r="N2152" s="2"/>
      </tp>
      <tp t="s">
        <v>#N/A Requesting Data...3639007041</v>
        <stp/>
        <stp>BDP|17612143601521665635</stp>
        <tr r="A2285" s="2"/>
      </tp>
      <tp t="s">
        <v>#N/A Requesting Data...3259681510</v>
        <stp/>
        <stp>BDP|13188683515310230270</stp>
        <tr r="S1624" s="2"/>
      </tp>
      <tp t="s">
        <v>#N/A Requesting Data...4133324522</v>
        <stp/>
        <stp>BDP|18384934100465127281</stp>
        <tr r="S2470" s="2"/>
      </tp>
      <tp t="s">
        <v>#N/A Requesting Data...3931643439</v>
        <stp/>
        <stp>BDP|13982151763775254740</stp>
        <tr r="R1911" s="2"/>
      </tp>
      <tp t="s">
        <v>#N/A Requesting Data...3191917133</v>
        <stp/>
        <stp>BDP|13295576937143329087</stp>
        <tr r="T1444" s="2"/>
      </tp>
      <tp t="s">
        <v>#N/A Requesting Data...4077330621</v>
        <stp/>
        <stp>BDP|12173123630937275181</stp>
        <tr r="C1531" s="2"/>
      </tp>
      <tp t="s">
        <v>#N/A Requesting Data...2818610712</v>
        <stp/>
        <stp>BDP|12021022909103395712</stp>
        <tr r="K1924" s="2"/>
      </tp>
      <tp t="s">
        <v>#N/A Requesting Data...3718752450</v>
        <stp/>
        <stp>BDP|10770682500539399953</stp>
        <tr r="R2298" s="2"/>
      </tp>
      <tp t="s">
        <v>#N/A Requesting Data...2815783264</v>
        <stp/>
        <stp>BDP|17078404761871900211</stp>
        <tr r="P1285" s="2"/>
      </tp>
      <tp t="s">
        <v>#N/A Requesting Data...3648623734</v>
        <stp/>
        <stp>BDP|16304513572096003499</stp>
        <tr r="G539" s="2"/>
      </tp>
      <tp t="s">
        <v>#N/A Requesting Data...3562344610</v>
        <stp/>
        <stp>BDP|13371350453744924758</stp>
        <tr r="A206" s="2"/>
      </tp>
      <tp t="s">
        <v>#N/A Requesting Data...2807125876</v>
        <stp/>
        <stp>BDP|16921508042077663646</stp>
        <tr r="G552" s="2"/>
      </tp>
      <tp t="s">
        <v>#N/A Requesting Data...2809291318</v>
        <stp/>
        <stp>BDP|13726720052134612388</stp>
        <tr r="G8" s="2"/>
      </tp>
      <tp t="s">
        <v>#N/A Requesting Data...2862644202</v>
        <stp/>
        <stp>BDP|16134982472487244908</stp>
        <tr r="J1077" s="2"/>
      </tp>
      <tp t="s">
        <v>#N/A Requesting Data...4157669500</v>
        <stp/>
        <stp>BDP|15597190578184594188</stp>
        <tr r="S848" s="2"/>
      </tp>
      <tp t="s">
        <v>#N/A Requesting Data...3303946289</v>
        <stp/>
        <stp>BDP|14418566817842451483</stp>
        <tr r="E2345" s="2"/>
      </tp>
      <tp t="s">
        <v>#N/A Requesting Data...4111033091</v>
        <stp/>
        <stp>BDP|12088338341925839633</stp>
        <tr r="Q1503" s="2"/>
      </tp>
      <tp t="s">
        <v>#N/A Requesting Data...2926044662</v>
        <stp/>
        <stp>BDP|15506488976752777250</stp>
        <tr r="O356" s="2"/>
      </tp>
      <tp t="s">
        <v>#N/A Requesting Data...3128060566</v>
        <stp/>
        <stp>BDP|13261471662425793292</stp>
        <tr r="E1726" s="2"/>
      </tp>
      <tp t="s">
        <v>#N/A Requesting Data...4262230483</v>
        <stp/>
        <stp>BDP|10403508363815900078</stp>
        <tr r="R1322" s="2"/>
      </tp>
      <tp t="s">
        <v>#N/A Requesting Data...4033740061</v>
        <stp/>
        <stp>BDP|10861519294339731337</stp>
        <tr r="H2420" s="2"/>
      </tp>
      <tp t="s">
        <v>#N/A Requesting Data...4293199989</v>
        <stp/>
        <stp>BDP|12713378394487925940</stp>
        <tr r="M2119" s="2"/>
      </tp>
      <tp t="s">
        <v>#N/A Requesting Data...3603437481</v>
        <stp/>
        <stp>BDP|13922271895269184736</stp>
        <tr r="J387" s="2"/>
      </tp>
      <tp t="s">
        <v>#N/A Requesting Data...3077399298</v>
        <stp/>
        <stp>BDP|12519573888639323009</stp>
        <tr r="N688" s="2"/>
      </tp>
      <tp t="s">
        <v>#N/A Requesting Data...3373376411</v>
        <stp/>
        <stp>BDP|16301198689769380098</stp>
        <tr r="J438" s="2"/>
      </tp>
      <tp t="s">
        <v>#N/A Requesting Data...3951551395</v>
        <stp/>
        <stp>BDP|10744553677491558599</stp>
        <tr r="G1214" s="2"/>
      </tp>
      <tp t="s">
        <v>#N/A Requesting Data...4163748292</v>
        <stp/>
        <stp>BDP|13738655370725260199</stp>
        <tr r="E698" s="2"/>
      </tp>
      <tp t="s">
        <v>#N/A Requesting Data...3231477787</v>
        <stp/>
        <stp>BDP|18284713499827158728</stp>
        <tr r="T361" s="2"/>
      </tp>
      <tp t="s">
        <v>#N/A Requesting Data...3451143320</v>
        <stp/>
        <stp>BDP|12995523367730170744</stp>
        <tr r="K735" s="2"/>
      </tp>
      <tp t="s">
        <v>#N/A Requesting Data...3674244481</v>
        <stp/>
        <stp>BDP|15890251902666348754</stp>
        <tr r="K615" s="2"/>
      </tp>
      <tp t="s">
        <v>#N/A Requesting Data...3932742776</v>
        <stp/>
        <stp>BDP|13107553770106483194</stp>
        <tr r="K357" s="2"/>
      </tp>
      <tp t="s">
        <v>#N/A Requesting Data...4220106819</v>
        <stp/>
        <stp>BDP|16011210247886722086</stp>
        <tr r="S849" s="2"/>
      </tp>
      <tp t="s">
        <v>#N/A Requesting Data...4186849612</v>
        <stp/>
        <stp>BDP|15966059629654550591</stp>
        <tr r="D1817" s="2"/>
      </tp>
      <tp t="b">
        <v>0</v>
        <stp/>
        <stp>BDS|12531978623638363786</stp>
        <tr r="I1389" s="2"/>
      </tp>
      <tp t="s">
        <v>#N/A Requesting Data...3414018278</v>
        <stp/>
        <stp>BDP|13900634747124393371</stp>
        <tr r="T2522" s="2"/>
      </tp>
      <tp t="s">
        <v>#N/A Requesting Data...3666084748</v>
        <stp/>
        <stp>BDP|17920946127243523969</stp>
        <tr r="R902" s="2"/>
      </tp>
      <tp t="s">
        <v>#N/A Requesting Data...2972967831</v>
        <stp/>
        <stp>BDP|17619837293979910962</stp>
        <tr r="D2062" s="2"/>
      </tp>
      <tp t="s">
        <v>#N/A Requesting Data...3715982362</v>
        <stp/>
        <stp>BDP|11203242169882505136</stp>
        <tr r="N113" s="2"/>
      </tp>
      <tp t="s">
        <v>#N/A Requesting Data...3553763496</v>
        <stp/>
        <stp>BDP|12031517069990433752</stp>
        <tr r="F2309" s="2"/>
      </tp>
      <tp t="s">
        <v>#N/A Requesting Data...3549937391</v>
        <stp/>
        <stp>BDP|13608928622116639896</stp>
        <tr r="R1468" s="2"/>
      </tp>
      <tp t="s">
        <v>#N/A Requesting Data...3148612882</v>
        <stp/>
        <stp>BDP|15063797727926300044</stp>
        <tr r="Q1468" s="2"/>
      </tp>
      <tp t="s">
        <v>#N/A Requesting Data...4212985576</v>
        <stp/>
        <stp>BDP|15962751072970063374</stp>
        <tr r="J228" s="2"/>
      </tp>
      <tp t="s">
        <v>#N/A Requesting Data...3658230841</v>
        <stp/>
        <stp>BDP|11996603039405017793</stp>
        <tr r="A1983" s="2"/>
      </tp>
      <tp t="s">
        <v>#N/A Requesting Data...3398992946</v>
        <stp/>
        <stp>BDP|13444164168137629550</stp>
        <tr r="E2430" s="2"/>
      </tp>
      <tp t="s">
        <v>#N/A Requesting Data...3654448201</v>
        <stp/>
        <stp>BDP|10849572044401447665</stp>
        <tr r="E1368" s="2"/>
      </tp>
      <tp t="s">
        <v>#N/A Requesting Data...4153801023</v>
        <stp/>
        <stp>BDP|11839232349321200091</stp>
        <tr r="E2411" s="2"/>
      </tp>
      <tp t="s">
        <v>#N/A Requesting Data...3418265586</v>
        <stp/>
        <stp>BDP|14443663871704353796</stp>
        <tr r="Q2274" s="2"/>
      </tp>
      <tp t="s">
        <v>#N/A Requesting Data...3297560106</v>
        <stp/>
        <stp>BDP|17983750540236604439</stp>
        <tr r="Q619" s="2"/>
      </tp>
      <tp t="s">
        <v>#N/A Requesting Data...3455908081</v>
        <stp/>
        <stp>BDP|11647495750461655703</stp>
        <tr r="T1106" s="2"/>
      </tp>
      <tp t="s">
        <v>#N/A Requesting Data...3625060625</v>
        <stp/>
        <stp>BDP|17593945288974075401</stp>
        <tr r="F633" s="2"/>
      </tp>
      <tp t="s">
        <v>#N/A Requesting Data...3552247932</v>
        <stp/>
        <stp>BDP|16107691399507016886</stp>
        <tr r="M2248" s="2"/>
      </tp>
      <tp t="s">
        <v>#N/A Requesting Data...3674885571</v>
        <stp/>
        <stp>BDP|13926109644940228062</stp>
        <tr r="K374" s="2"/>
      </tp>
      <tp t="s">
        <v>#N/A Requesting Data...3241057124</v>
        <stp/>
        <stp>BDP|16903513704666624335</stp>
        <tr r="A84" s="2"/>
      </tp>
      <tp t="s">
        <v>#N/A Requesting Data...3590297729</v>
        <stp/>
        <stp>BDP|12887880279803234821</stp>
        <tr r="P2134" s="2"/>
      </tp>
      <tp t="s">
        <v>#N/A Requesting Data...3806318161</v>
        <stp/>
        <stp>BDP|10536330059003256344</stp>
        <tr r="K388" s="2"/>
      </tp>
      <tp t="s">
        <v>#N/A Requesting Data...3006758193</v>
        <stp/>
        <stp>BDP|17886656339255872159</stp>
        <tr r="H1313" s="2"/>
      </tp>
      <tp t="s">
        <v>#N/A Requesting Data...4217846938</v>
        <stp/>
        <stp>BDP|15957526345490770201</stp>
        <tr r="P236" s="2"/>
      </tp>
      <tp t="s">
        <v>#N/A Requesting Data...3645792700</v>
        <stp/>
        <stp>BDP|13571308707544339288</stp>
        <tr r="R232" s="2"/>
      </tp>
      <tp t="s">
        <v>#N/A Requesting Data...4119880452</v>
        <stp/>
        <stp>BDP|18159911952363861130</stp>
        <tr r="P288" s="2"/>
      </tp>
      <tp t="s">
        <v>#N/A Requesting Data...3182845038</v>
        <stp/>
        <stp>BDP|10801862578319656094</stp>
        <tr r="F1289" s="2"/>
      </tp>
      <tp t="s">
        <v>#N/A Requesting Data...3675625401</v>
        <stp/>
        <stp>BDP|15065343970371915640</stp>
        <tr r="J1175" s="2"/>
      </tp>
      <tp t="s">
        <v>#N/A Requesting Data...3909653346</v>
        <stp/>
        <stp>BDP|16197201922995929534</stp>
        <tr r="R186" s="2"/>
      </tp>
      <tp t="s">
        <v>#N/A Requesting Data...3799662979</v>
        <stp/>
        <stp>BDP|15487943499984202725</stp>
        <tr r="T2163" s="2"/>
      </tp>
      <tp t="s">
        <v>#N/A Requesting Data...3175019494</v>
        <stp/>
        <stp>BDP|16959444165615893799</stp>
        <tr r="M1659" s="2"/>
      </tp>
      <tp t="s">
        <v>#N/A Requesting Data...2962840895</v>
        <stp/>
        <stp>BDP|12482237459672066178</stp>
        <tr r="P1962" s="2"/>
      </tp>
      <tp t="s">
        <v>#N/A Requesting Data...3057248320</v>
        <stp/>
        <stp>BDP|10017193884358318777</stp>
        <tr r="H538" s="2"/>
      </tp>
      <tp t="s">
        <v>#N/A Requesting Data...3643603702</v>
        <stp/>
        <stp>BDP|11633043661642923333</stp>
        <tr r="K1257" s="2"/>
      </tp>
      <tp t="s">
        <v>#N/A Requesting Data...4108451801</v>
        <stp/>
        <stp>BDP|12056095157055060471</stp>
        <tr r="S2140" s="2"/>
      </tp>
      <tp t="s">
        <v>#N/A Requesting Data...3917916179</v>
        <stp/>
        <stp>BDP|13584388264436668664</stp>
        <tr r="F2497" s="2"/>
      </tp>
      <tp t="s">
        <v>#N/A Requesting Data...3689964939</v>
        <stp/>
        <stp>BDP|15317043565347379280</stp>
        <tr r="D1082" s="2"/>
      </tp>
      <tp t="b">
        <v>0</v>
        <stp/>
        <stp>BDS|14845710832272931483</stp>
        <tr r="I712" s="2"/>
      </tp>
      <tp t="s">
        <v>#N/A Requesting Data...4256819216</v>
        <stp/>
        <stp>BDP|11902720974736502131</stp>
        <tr r="S612" s="2"/>
      </tp>
      <tp t="s">
        <v>#N/A Requesting Data...3297919424</v>
        <stp/>
        <stp>BDP|15195389503919594966</stp>
        <tr r="M2342" s="2"/>
      </tp>
      <tp t="s">
        <v>#N/A Requesting Data...3286948457</v>
        <stp/>
        <stp>BDP|17898413838645091383</stp>
        <tr r="T2377" s="2"/>
      </tp>
      <tp t="s">
        <v>#N/A Requesting Data...4097058718</v>
        <stp/>
        <stp>BDP|11941059435535061108</stp>
        <tr r="G105" s="2"/>
      </tp>
      <tp t="s">
        <v>#N/A Requesting Data...3985835281</v>
        <stp/>
        <stp>BDP|17514361918783462067</stp>
        <tr r="N596" s="2"/>
      </tp>
      <tp t="s">
        <v>#N/A Requesting Data...3458382970</v>
        <stp/>
        <stp>BDP|16512377213955903719</stp>
        <tr r="N39" s="2"/>
      </tp>
      <tp t="s">
        <v>#N/A Requesting Data...3948277896</v>
        <stp/>
        <stp>BDP|11529029433043548789</stp>
        <tr r="A226" s="2"/>
      </tp>
      <tp t="s">
        <v>#N/A Requesting Data...4001029788</v>
        <stp/>
        <stp>BDP|15777819943398489780</stp>
        <tr r="T490" s="2"/>
      </tp>
      <tp t="s">
        <v>#N/A Requesting Data...3310981479</v>
        <stp/>
        <stp>BDP|13153791451467308035</stp>
        <tr r="P2302" s="2"/>
      </tp>
      <tp t="s">
        <v>#N/A Requesting Data...3230141175</v>
        <stp/>
        <stp>BDP|13242190927222751426</stp>
        <tr r="T1435" s="2"/>
      </tp>
      <tp t="s">
        <v>#N/A Requesting Data...4293582953</v>
        <stp/>
        <stp>BDP|15358836708292053911</stp>
        <tr r="J954" s="2"/>
      </tp>
      <tp t="s">
        <v>#N/A Requesting Data...3408632686</v>
        <stp/>
        <stp>BDP|12242777562224743190</stp>
        <tr r="H2481" s="2"/>
      </tp>
      <tp t="s">
        <v>#N/A Requesting Data...3527388248</v>
        <stp/>
        <stp>BDP|17880615701312535548</stp>
        <tr r="G1016" s="2"/>
      </tp>
      <tp t="s">
        <v>#N/A Requesting Data...3978214782</v>
        <stp/>
        <stp>BDP|11997555332562286355</stp>
        <tr r="Q195" s="2"/>
      </tp>
      <tp t="s">
        <v>#N/A Requesting Data...3325162049</v>
        <stp/>
        <stp>BDP|15243672479073527100</stp>
        <tr r="D434" s="2"/>
      </tp>
      <tp t="s">
        <v>#N/A Requesting Data...3936532942</v>
        <stp/>
        <stp>BDP|16075029235212696181</stp>
        <tr r="K2351" s="2"/>
      </tp>
      <tp t="s">
        <v>#N/A Requesting Data...3465883303</v>
        <stp/>
        <stp>BDP|13604084664111441275</stp>
        <tr r="Q2075" s="2"/>
      </tp>
      <tp t="s">
        <v>#N/A Requesting Data...3440292365</v>
        <stp/>
        <stp>BDP|16056691465699506919</stp>
        <tr r="G1201" s="2"/>
      </tp>
      <tp t="s">
        <v>#N/A Requesting Data...3070564883</v>
        <stp/>
        <stp>BDP|17273499139641959736</stp>
        <tr r="M1172" s="2"/>
      </tp>
      <tp t="s">
        <v>#N/A Requesting Data...3435080062</v>
        <stp/>
        <stp>BDP|13183792552145077227</stp>
        <tr r="H2052" s="2"/>
      </tp>
      <tp t="s">
        <v>#N/A Requesting Data...3343129780</v>
        <stp/>
        <stp>BDP|13830932363872203822</stp>
        <tr r="J1522" s="2"/>
      </tp>
      <tp t="s">
        <v>#N/A Requesting Data...4200544141</v>
        <stp/>
        <stp>BDP|14937763078714795685</stp>
        <tr r="G1540" s="2"/>
      </tp>
      <tp t="s">
        <v>#N/A Requesting Data...4018119020</v>
        <stp/>
        <stp>BDP|13388091063504715767</stp>
        <tr r="F760" s="2"/>
      </tp>
      <tp t="s">
        <v>#N/A Requesting Data...3640627866</v>
        <stp/>
        <stp>BDP|15565424148511799204</stp>
        <tr r="A714" s="2"/>
      </tp>
      <tp t="s">
        <v>#N/A Requesting Data...3591182227</v>
        <stp/>
        <stp>BDP|14905119206751255241</stp>
        <tr r="P661" s="2"/>
      </tp>
      <tp t="s">
        <v>#N/A Requesting Data...3602436804</v>
        <stp/>
        <stp>BDP|10385674444460816403</stp>
        <tr r="M588" s="2"/>
      </tp>
      <tp t="s">
        <v>#N/A Requesting Data...3577654758</v>
        <stp/>
        <stp>BDP|10093834626468853456</stp>
        <tr r="M2256" s="2"/>
      </tp>
      <tp t="s">
        <v>#N/A Requesting Data...4047494645</v>
        <stp/>
        <stp>BDP|15708569285379930750</stp>
        <tr r="Q344" s="2"/>
      </tp>
      <tp t="s">
        <v>#N/A Requesting Data...3137630238</v>
        <stp/>
        <stp>BDP|12377876019389780423</stp>
        <tr r="S203" s="2"/>
      </tp>
      <tp t="s">
        <v>#N/A Requesting Data...4011878877</v>
        <stp/>
        <stp>BDP|18080357040968490196</stp>
        <tr r="D1255" s="2"/>
      </tp>
      <tp t="s">
        <v>#N/A Requesting Data...3856650805</v>
        <stp/>
        <stp>BDP|11680066834301438587</stp>
        <tr r="E312" s="2"/>
      </tp>
      <tp t="s">
        <v>#N/A Requesting Data...3207497368</v>
        <stp/>
        <stp>BDP|12979193194825823946</stp>
        <tr r="T1200" s="2"/>
      </tp>
      <tp t="s">
        <v>#N/A Requesting Data...3820979568</v>
        <stp/>
        <stp>BDP|11728691126195525658</stp>
        <tr r="D995" s="2"/>
      </tp>
      <tp t="s">
        <v>#N/A Requesting Data...3167604874</v>
        <stp/>
        <stp>BDP|16362070738806070541</stp>
        <tr r="G1348" s="2"/>
      </tp>
      <tp t="s">
        <v>#N/A Requesting Data...3991382424</v>
        <stp/>
        <stp>BDP|17024411937893660585</stp>
        <tr r="R1199" s="2"/>
      </tp>
      <tp t="s">
        <v>#N/A Requesting Data...3147354776</v>
        <stp/>
        <stp>BDP|15902057174330586454</stp>
        <tr r="C2019" s="2"/>
      </tp>
      <tp t="s">
        <v>#N/A Requesting Data...4224323608</v>
        <stp/>
        <stp>BDP|10719146824632610798</stp>
        <tr r="O114" s="2"/>
      </tp>
      <tp t="s">
        <v>#N/A Requesting Data...4243713383</v>
        <stp/>
        <stp>BDP|15957234441736418378</stp>
        <tr r="H251" s="2"/>
      </tp>
      <tp t="s">
        <v>#N/A Requesting Data...3784702480</v>
        <stp/>
        <stp>BDP|15733085956067417158</stp>
        <tr r="E830" s="2"/>
      </tp>
      <tp t="s">
        <v>#N/A Requesting Data...3624550664</v>
        <stp/>
        <stp>BDP|12963491683388887033</stp>
        <tr r="G1509" s="2"/>
      </tp>
      <tp t="s">
        <v>#N/A Requesting Data...3645899556</v>
        <stp/>
        <stp>BDP|13994324446047405512</stp>
        <tr r="G1932" s="2"/>
      </tp>
      <tp t="b">
        <v>0</v>
        <stp/>
        <stp>BDS|11908264395695540949</stp>
        <tr r="I2509" s="2"/>
      </tp>
      <tp t="b">
        <v>0</v>
        <stp/>
        <stp>BDS|10049608319402263300</stp>
        <tr r="I2346" s="2"/>
      </tp>
      <tp t="s">
        <v>#N/A Requesting Data...3923636164</v>
        <stp/>
        <stp>BDP|11519581903914044663</stp>
        <tr r="A1918" s="2"/>
      </tp>
      <tp t="s">
        <v>#N/A Requesting Data...4077708559</v>
        <stp/>
        <stp>BDP|16877319124717730624</stp>
        <tr r="E1172" s="2"/>
      </tp>
      <tp t="s">
        <v>#N/A Requesting Data...3474855645</v>
        <stp/>
        <stp>BDP|17891623123344453152</stp>
        <tr r="Q1654" s="2"/>
      </tp>
      <tp t="s">
        <v>#N/A Requesting Data...3816512335</v>
        <stp/>
        <stp>BDP|17374100535095696683</stp>
        <tr r="H1688" s="2"/>
      </tp>
      <tp t="s">
        <v>#N/A Requesting Data...3533068287</v>
        <stp/>
        <stp>BDP|10980935082030877787</stp>
        <tr r="T2291" s="2"/>
      </tp>
      <tp t="s">
        <v>#N/A Requesting Data...3363767904</v>
        <stp/>
        <stp>BDP|11891517031570830185</stp>
        <tr r="M1807" s="2"/>
      </tp>
      <tp t="s">
        <v>#N/A Requesting Data...3213901626</v>
        <stp/>
        <stp>BDP|13921261420945222055</stp>
        <tr r="O2068" s="2"/>
      </tp>
      <tp t="s">
        <v>#N/A Requesting Data...4183756769</v>
        <stp/>
        <stp>BDP|13780290657625806793</stp>
        <tr r="D1107" s="2"/>
      </tp>
      <tp t="s">
        <v>#N/A Requesting Data...4292675318</v>
        <stp/>
        <stp>BDP|15495849908859933297</stp>
        <tr r="T2024" s="2"/>
      </tp>
      <tp t="s">
        <v>#N/A Requesting Data...3611091482</v>
        <stp/>
        <stp>BDP|17985333255157118067</stp>
        <tr r="M815" s="2"/>
      </tp>
      <tp t="s">
        <v>#N/A Requesting Data...3945272661</v>
        <stp/>
        <stp>BDP|11612117937003917614</stp>
        <tr r="E2230" s="2"/>
      </tp>
      <tp t="s">
        <v>#N/A Requesting Data...3669644805</v>
        <stp/>
        <stp>BDP|10134454111595453694</stp>
        <tr r="O734" s="2"/>
      </tp>
      <tp t="s">
        <v>#N/A Requesting Data...3434080076</v>
        <stp/>
        <stp>BDP|16196635654840963371</stp>
        <tr r="S321" s="2"/>
      </tp>
      <tp t="s">
        <v>#N/A Requesting Data...3140082749</v>
        <stp/>
        <stp>BDP|14136431939487721247</stp>
        <tr r="G939" s="2"/>
      </tp>
      <tp t="s">
        <v>#N/A Requesting Data...3817542106</v>
        <stp/>
        <stp>BDP|10406368433246917008</stp>
        <tr r="O825" s="2"/>
      </tp>
      <tp t="s">
        <v>#N/A Requesting Data...3449617299</v>
        <stp/>
        <stp>BDP|12695005013954573181</stp>
        <tr r="F1464" s="2"/>
      </tp>
      <tp t="b">
        <v>0</v>
        <stp/>
        <stp>BDS|17559016237673853102</stp>
        <tr r="I1840" s="2"/>
      </tp>
      <tp t="s">
        <v>#N/A Requesting Data...4127715600</v>
        <stp/>
        <stp>BDP|16518662569778424864</stp>
        <tr r="G124" s="2"/>
      </tp>
      <tp t="s">
        <v>#N/A Requesting Data...3551542467</v>
        <stp/>
        <stp>BDP|14163041917264354792</stp>
        <tr r="M1452" s="2"/>
      </tp>
      <tp t="s">
        <v>#N/A Requesting Data...3448452844</v>
        <stp/>
        <stp>BDP|13290005613082179689</stp>
        <tr r="G1165" s="2"/>
      </tp>
      <tp t="s">
        <v>#N/A Requesting Data...3258501412</v>
        <stp/>
        <stp>BDP|15022096550304230236</stp>
        <tr r="A1561" s="2"/>
      </tp>
      <tp t="s">
        <v>#N/A Requesting Data...4164915849</v>
        <stp/>
        <stp>BDP|12137911738027894989</stp>
        <tr r="T2099" s="2"/>
      </tp>
      <tp t="s">
        <v>#N/A Requesting Data...3853647988</v>
        <stp/>
        <stp>BDP|12976262764374750441</stp>
        <tr r="T126" s="2"/>
      </tp>
      <tp t="s">
        <v>#N/A Requesting Data...3346779293</v>
        <stp/>
        <stp>BDP|11650565114037570495</stp>
        <tr r="P988" s="2"/>
      </tp>
      <tp t="s">
        <v>#N/A Requesting Data...4051218534</v>
        <stp/>
        <stp>BDP|14044766708307069266</stp>
        <tr r="M1108" s="2"/>
      </tp>
      <tp t="s">
        <v>#N/A Requesting Data...3670865642</v>
        <stp/>
        <stp>BDP|17661195822183634130</stp>
        <tr r="T705" s="2"/>
      </tp>
      <tp t="s">
        <v>#N/A Requesting Data...3811111428</v>
        <stp/>
        <stp>BDP|13606361524392829641</stp>
        <tr r="D496" s="2"/>
      </tp>
      <tp t="s">
        <v>#N/A Requesting Data...4261738306</v>
        <stp/>
        <stp>BDP|10827781588098519153</stp>
        <tr r="K1997" s="2"/>
      </tp>
      <tp t="s">
        <v>#N/A Requesting Data...3401724100</v>
        <stp/>
        <stp>BDP|16339485107452506612</stp>
        <tr r="R1235" s="2"/>
      </tp>
      <tp t="s">
        <v>#N/A Requesting Data...3697057829</v>
        <stp/>
        <stp>BDP|15927123970793242612</stp>
        <tr r="G1538" s="2"/>
      </tp>
      <tp t="s">
        <v>#N/A Requesting Data...3701827510</v>
        <stp/>
        <stp>BDP|10519105813290884669</stp>
        <tr r="S2432" s="2"/>
      </tp>
      <tp t="b">
        <v>0</v>
        <stp/>
        <stp>BDS|18219101647363615885</stp>
        <tr r="I1853" s="2"/>
      </tp>
      <tp t="s">
        <v>#N/A Requesting Data...3353273495</v>
        <stp/>
        <stp>BDP|15367017944205704294</stp>
        <tr r="D480" s="2"/>
      </tp>
      <tp t="s">
        <v>#N/A Requesting Data...3281506901</v>
        <stp/>
        <stp>BDP|16696786164940595178</stp>
        <tr r="Q1214" s="2"/>
      </tp>
      <tp t="s">
        <v>#N/A Requesting Data...3970343773</v>
        <stp/>
        <stp>BDP|15121704510657131284</stp>
        <tr r="S842" s="2"/>
      </tp>
      <tp t="s">
        <v>#N/A Requesting Data...3709917065</v>
        <stp/>
        <stp>BDP|15973881688775122604</stp>
        <tr r="K2380" s="2"/>
      </tp>
      <tp t="s">
        <v>#N/A Requesting Data...3667790374</v>
        <stp/>
        <stp>BDP|16339387232550733064</stp>
        <tr r="R1082" s="2"/>
      </tp>
      <tp t="s">
        <v>#N/A Requesting Data...3370040113</v>
        <stp/>
        <stp>BDP|14341434482399263783</stp>
        <tr r="T79" s="2"/>
      </tp>
      <tp t="s">
        <v>#N/A Requesting Data...3202933018</v>
        <stp/>
        <stp>BDP|17947001423293603041</stp>
        <tr r="E1451" s="2"/>
      </tp>
      <tp t="b">
        <v>0</v>
        <stp/>
        <stp>BDS|16033751135632238691</stp>
        <tr r="I1623" s="2"/>
      </tp>
      <tp t="s">
        <v>#N/A Requesting Data...3428375133</v>
        <stp/>
        <stp>BDP|11021144349772300067</stp>
        <tr r="K2136" s="2"/>
      </tp>
      <tp t="s">
        <v>#N/A Requesting Data...3472505268</v>
        <stp/>
        <stp>BDP|11374574438769461804</stp>
        <tr r="C1119" s="2"/>
      </tp>
      <tp t="s">
        <v>#N/A Requesting Data...3227816155</v>
        <stp/>
        <stp>BDP|18359684797275075441</stp>
        <tr r="M1067" s="2"/>
      </tp>
      <tp t="b">
        <v>0</v>
        <stp/>
        <stp>BDS|14615847948148204632</stp>
        <tr r="I2026" s="2"/>
      </tp>
      <tp t="s">
        <v>#N/A Requesting Data...3596104423</v>
        <stp/>
        <stp>BDP|15874310497461349852</stp>
        <tr r="H2124" s="2"/>
      </tp>
      <tp t="s">
        <v>#N/A Requesting Data...3464659114</v>
        <stp/>
        <stp>BDP|17907426829704855321</stp>
        <tr r="P904" s="2"/>
      </tp>
      <tp t="s">
        <v>#N/A Requesting Data...3323566208</v>
        <stp/>
        <stp>BDP|10974391808786446340</stp>
        <tr r="J2232" s="2"/>
      </tp>
      <tp t="s">
        <v>#N/A Requesting Data...4283777418</v>
        <stp/>
        <stp>BDP|14550525776320867010</stp>
        <tr r="O124" s="2"/>
      </tp>
      <tp t="s">
        <v>#N/A Requesting Data...4259925697</v>
        <stp/>
        <stp>BDP|12604132245663195299</stp>
        <tr r="O1820" s="2"/>
      </tp>
      <tp t="s">
        <v>#N/A Requesting Data...3931081676</v>
        <stp/>
        <stp>BDP|15128969391582985172</stp>
        <tr r="O1577" s="2"/>
      </tp>
      <tp t="s">
        <v>#N/A Requesting Data...4268404903</v>
        <stp/>
        <stp>BDP|12973249345007033509</stp>
        <tr r="F1433" s="2"/>
      </tp>
      <tp t="s">
        <v>#N/A Requesting Data...3980007249</v>
        <stp/>
        <stp>BDP|13280541908865590503</stp>
        <tr r="A1215" s="2"/>
      </tp>
      <tp t="s">
        <v>#N/A Requesting Data...3985083728</v>
        <stp/>
        <stp>BDP|17671978117581806851</stp>
        <tr r="E59" s="2"/>
      </tp>
      <tp t="s">
        <v>#N/A Requesting Data...3616299318</v>
        <stp/>
        <stp>BDP|13958039250652026213</stp>
        <tr r="S2398" s="2"/>
      </tp>
      <tp t="s">
        <v>#N/A Requesting Data...4256756797</v>
        <stp/>
        <stp>BDP|14420297011940061171</stp>
        <tr r="K1356" s="2"/>
      </tp>
      <tp t="s">
        <v>#N/A Requesting Data...4206509336</v>
        <stp/>
        <stp>BDP|14125975198593199140</stp>
        <tr r="G1647" s="2"/>
      </tp>
      <tp t="s">
        <v>#N/A Requesting Data...3598462882</v>
        <stp/>
        <stp>BDP|13163583539940354382</stp>
        <tr r="E1140" s="2"/>
      </tp>
      <tp t="s">
        <v>#N/A Requesting Data...3633325300</v>
        <stp/>
        <stp>BDP|14898231856500046562</stp>
        <tr r="J1992" s="2"/>
      </tp>
      <tp t="s">
        <v>#N/A Requesting Data...3407125790</v>
        <stp/>
        <stp>BDP|16130331259573053509</stp>
        <tr r="J1983" s="2"/>
      </tp>
      <tp t="s">
        <v>#N/A Requesting Data...3551301032</v>
        <stp/>
        <stp>BDP|16713337326074995504</stp>
        <tr r="A1764" s="2"/>
      </tp>
      <tp t="s">
        <v>#N/A Requesting Data...3426662512</v>
        <stp/>
        <stp>BDP|12731003349882673235</stp>
        <tr r="E710" s="2"/>
      </tp>
      <tp t="s">
        <v>#N/A Requesting Data...3368878797</v>
        <stp/>
        <stp>BDP|17268165561455991374</stp>
        <tr r="Q292" s="2"/>
      </tp>
      <tp t="s">
        <v>#N/A Requesting Data...3977867366</v>
        <stp/>
        <stp>BDP|10553613453171445489</stp>
        <tr r="Q982" s="2"/>
      </tp>
      <tp t="s">
        <v>#N/A Requesting Data...3269226100</v>
        <stp/>
        <stp>BDP|10244306060901077296</stp>
        <tr r="N96" s="2"/>
      </tp>
      <tp t="s">
        <v>#N/A Requesting Data...3666843956</v>
        <stp/>
        <stp>BDP|11586384004224309017</stp>
        <tr r="C1219" s="2"/>
      </tp>
      <tp t="s">
        <v>#N/A Requesting Data...3940192949</v>
        <stp/>
        <stp>BDP|12564041969723194120</stp>
        <tr r="P1815" s="2"/>
      </tp>
      <tp t="s">
        <v>#N/A Requesting Data...3503423837</v>
        <stp/>
        <stp>BDP|11794230744901287091</stp>
        <tr r="T1543" s="2"/>
      </tp>
      <tp t="s">
        <v>#N/A Requesting Data...4114567551</v>
        <stp/>
        <stp>BDP|10854131771933320326</stp>
        <tr r="A2190" s="2"/>
      </tp>
      <tp t="s">
        <v>#N/A Requesting Data...3759358042</v>
        <stp/>
        <stp>BDP|17640142223141395397</stp>
        <tr r="M2250" s="2"/>
      </tp>
      <tp t="s">
        <v>#N/A Requesting Data...3955276629</v>
        <stp/>
        <stp>BDP|15468581262366483614</stp>
        <tr r="O1904" s="2"/>
      </tp>
      <tp t="s">
        <v>#N/A Requesting Data...4148012007</v>
        <stp/>
        <stp>BDP|12036768128382755325</stp>
        <tr r="S2450" s="2"/>
      </tp>
      <tp t="s">
        <v>#N/A Requesting Data...4144826220</v>
        <stp/>
        <stp>BDP|16666898480606448604</stp>
        <tr r="G1164" s="2"/>
      </tp>
      <tp t="s">
        <v>#N/A Requesting Data...4021844607</v>
        <stp/>
        <stp>BDP|17960709245631101361</stp>
        <tr r="K337" s="2"/>
      </tp>
      <tp t="s">
        <v>#N/A Requesting Data...4215041843</v>
        <stp/>
        <stp>BDP|17059247568853246651</stp>
        <tr r="J607" s="2"/>
      </tp>
      <tp t="s">
        <v>#N/A Requesting Data...3999408614</v>
        <stp/>
        <stp>BDP|10338038749106675442</stp>
        <tr r="M1974" s="2"/>
      </tp>
      <tp t="s">
        <v>#N/A Requesting Data...3785723005</v>
        <stp/>
        <stp>BDP|16147363632382628289</stp>
        <tr r="O289" s="2"/>
      </tp>
      <tp t="b">
        <v>0</v>
        <stp/>
        <stp>BDS|15685383406364200426</stp>
        <tr r="I1676" s="2"/>
      </tp>
      <tp t="s">
        <v>#N/A Requesting Data...4223028972</v>
        <stp/>
        <stp>BDP|15055201164374982361</stp>
        <tr r="O2403" s="2"/>
      </tp>
      <tp t="s">
        <v>#N/A Requesting Data...4024680531</v>
        <stp/>
        <stp>BDP|11748216418850435414</stp>
        <tr r="D1390" s="2"/>
      </tp>
      <tp t="s">
        <v>#N/A Requesting Data...3419161201</v>
        <stp/>
        <stp>BDP|15777753868501980384</stp>
        <tr r="C2305" s="2"/>
      </tp>
      <tp t="s">
        <v>#N/A Requesting Data...3589038247</v>
        <stp/>
        <stp>BDP|14895443118563606492</stp>
        <tr r="H172" s="2"/>
      </tp>
      <tp t="s">
        <v>#N/A Requesting Data...3818279177</v>
        <stp/>
        <stp>BDP|11708098630153568702</stp>
        <tr r="T1098" s="2"/>
      </tp>
      <tp t="s">
        <v>#N/A Requesting Data...3962035645</v>
        <stp/>
        <stp>BDP|10642113250276585490</stp>
        <tr r="M1934" s="2"/>
      </tp>
      <tp t="s">
        <v>#N/A Requesting Data...3428694999</v>
        <stp/>
        <stp>BDP|13066790712811752276</stp>
        <tr r="J1452" s="2"/>
      </tp>
      <tp t="s">
        <v>#N/A Requesting Data...3704027517</v>
        <stp/>
        <stp>BDP|16842303852196237039</stp>
        <tr r="S1031" s="2"/>
      </tp>
      <tp t="s">
        <v>#N/A Requesting Data...3793542737</v>
        <stp/>
        <stp>BDP|16285083790651831892</stp>
        <tr r="H1487" s="2"/>
      </tp>
      <tp t="s">
        <v>#N/A Requesting Data...3461758986</v>
        <stp/>
        <stp>BDP|10233493345781039758</stp>
        <tr r="H2530" s="2"/>
      </tp>
      <tp t="s">
        <v>#N/A Requesting Data...3807157069</v>
        <stp/>
        <stp>BDP|10350925678810628849</stp>
        <tr r="J208" s="2"/>
      </tp>
      <tp t="s">
        <v>#N/A Requesting Data...4177558821</v>
        <stp/>
        <stp>BDP|16342232311580880328</stp>
        <tr r="G1583" s="2"/>
      </tp>
      <tp t="s">
        <v>#N/A Requesting Data...4008029531</v>
        <stp/>
        <stp>BDP|17267477566535808607</stp>
        <tr r="K1105" s="2"/>
      </tp>
      <tp t="s">
        <v>#N/A Requesting Data...3650804916</v>
        <stp/>
        <stp>BDP|10142050197126869900</stp>
        <tr r="A1124" s="2"/>
      </tp>
      <tp t="s">
        <v>#N/A Requesting Data...3724005778</v>
        <stp/>
        <stp>BDP|11559520009134442613</stp>
        <tr r="E440" s="2"/>
      </tp>
      <tp t="b">
        <v>0</v>
        <stp/>
        <stp>BDS|15614697595845643949</stp>
        <tr r="I566" s="2"/>
      </tp>
      <tp t="s">
        <v>#N/A Requesting Data...3821855318</v>
        <stp/>
        <stp>BDP|11827403768743854630</stp>
        <tr r="F49" s="2"/>
      </tp>
      <tp t="s">
        <v>#N/A Requesting Data...4292876400</v>
        <stp/>
        <stp>BDP|11729511164307904302</stp>
        <tr r="A401" s="2"/>
      </tp>
      <tp t="s">
        <v>#N/A Requesting Data...3987961694</v>
        <stp/>
        <stp>BDP|10881074044870302236</stp>
        <tr r="C1676" s="2"/>
      </tp>
      <tp t="s">
        <v>#N/A Requesting Data...4043769232</v>
        <stp/>
        <stp>BDP|17655540149777457745</stp>
        <tr r="C708" s="2"/>
      </tp>
      <tp t="s">
        <v>#N/A Requesting Data...3973945051</v>
        <stp/>
        <stp>BDP|16025588105214334159</stp>
        <tr r="S2338" s="2"/>
      </tp>
      <tp t="b">
        <v>0</v>
        <stp/>
        <stp>BDS|11107090715823492513</stp>
        <tr r="I1293" s="2"/>
      </tp>
      <tp t="s">
        <v>#N/A Requesting Data...3737311613</v>
        <stp/>
        <stp>BDP|13047361685058817606</stp>
        <tr r="N1979" s="2"/>
      </tp>
      <tp t="s">
        <v>#N/A Requesting Data...4196148701</v>
        <stp/>
        <stp>BDP|14800021283118598278</stp>
        <tr r="E1177" s="2"/>
      </tp>
      <tp t="s">
        <v>#N/A Requesting Data...3729073130</v>
        <stp/>
        <stp>BDP|12160855190034726180</stp>
        <tr r="S1960" s="2"/>
      </tp>
      <tp t="s">
        <v>#N/A Requesting Data...4040993807</v>
        <stp/>
        <stp>BDP|16773077055291748497</stp>
        <tr r="K372" s="2"/>
      </tp>
      <tp t="s">
        <v>#N/A Requesting Data...4183980296</v>
        <stp/>
        <stp>BDP|13396339741716239484</stp>
        <tr r="K2200" s="2"/>
      </tp>
      <tp t="s">
        <v>#N/A Requesting Data...3896342530</v>
        <stp/>
        <stp>BDP|17693577212823008686</stp>
        <tr r="M1614" s="2"/>
      </tp>
      <tp t="s">
        <v>#N/A Requesting Data...3905944996</v>
        <stp/>
        <stp>BDP|15142405859353365104</stp>
        <tr r="C1193" s="2"/>
      </tp>
      <tp t="s">
        <v>#N/A Requesting Data...4172904040</v>
        <stp/>
        <stp>BDP|10303188461751764069</stp>
        <tr r="C1931" s="2"/>
      </tp>
      <tp t="s">
        <v>#N/A Requesting Data...4168423512</v>
        <stp/>
        <stp>BDP|11670663191428820022</stp>
        <tr r="N1108" s="2"/>
      </tp>
      <tp t="s">
        <v>#N/A Requesting Data...3507219964</v>
        <stp/>
        <stp>BDP|11053744979053422424</stp>
        <tr r="K1977" s="2"/>
      </tp>
      <tp t="s">
        <v>#N/A Requesting Data...3876377374</v>
        <stp/>
        <stp>BDP|16147120025281510280</stp>
        <tr r="G1119" s="2"/>
      </tp>
      <tp t="s">
        <v>#N/A Requesting Data...3999009814</v>
        <stp/>
        <stp>BDP|12933565446356026320</stp>
        <tr r="F1456" s="2"/>
      </tp>
      <tp t="s">
        <v>#N/A Requesting Data...3807186891</v>
        <stp/>
        <stp>BDP|14802030806111528334</stp>
        <tr r="H112" s="2"/>
      </tp>
      <tp t="s">
        <v>#N/A Requesting Data...3739665055</v>
        <stp/>
        <stp>BDP|14552053334761949063</stp>
        <tr r="A513" s="2"/>
      </tp>
      <tp t="s">
        <v>#N/A Requesting Data...3763102208</v>
        <stp/>
        <stp>BDP|17145574336883264498</stp>
        <tr r="N2395" s="2"/>
      </tp>
      <tp t="s">
        <v>#N/A Requesting Data...3686442472</v>
        <stp/>
        <stp>BDP|14503756187715835844</stp>
        <tr r="P174" s="2"/>
      </tp>
      <tp t="b">
        <v>0</v>
        <stp/>
        <stp>BDS|17132155028332551016</stp>
        <tr r="I2323" s="2"/>
      </tp>
      <tp t="s">
        <v>#N/A Requesting Data...3895180384</v>
        <stp/>
        <stp>BDP|17465583945557775752</stp>
        <tr r="D686" s="2"/>
      </tp>
      <tp t="s">
        <v>#N/A Requesting Data...3684649431</v>
        <stp/>
        <stp>BDP|14325850410179948242</stp>
        <tr r="A342" s="2"/>
      </tp>
      <tp t="s">
        <v>#N/A Requesting Data...3569736063</v>
        <stp/>
        <stp>BDP|15028495614344002261</stp>
        <tr r="G2301" s="2"/>
      </tp>
      <tp t="s">
        <v>#N/A Requesting Data...4020548990</v>
        <stp/>
        <stp>BDP|18162853447021963316</stp>
        <tr r="T992" s="2"/>
      </tp>
      <tp t="s">
        <v>#N/A Requesting Data...3517876907</v>
        <stp/>
        <stp>BDP|11107536931262059384</stp>
        <tr r="M711" s="2"/>
      </tp>
      <tp t="s">
        <v>#N/A Requesting Data...4056060663</v>
        <stp/>
        <stp>BDP|16069166837216821425</stp>
        <tr r="K2357" s="2"/>
      </tp>
      <tp t="b">
        <v>0</v>
        <stp/>
        <stp>BDS|15263987653319475650</stp>
        <tr r="I76" s="2"/>
      </tp>
      <tp t="s">
        <v>#N/A Requesting Data...3880829036</v>
        <stp/>
        <stp>BDP|10803060376443467277</stp>
        <tr r="C1720" s="2"/>
      </tp>
      <tp t="s">
        <v>#N/A Requesting Data...3886260516</v>
        <stp/>
        <stp>BDP|14780666201877236390</stp>
        <tr r="Q1469" s="2"/>
      </tp>
      <tp t="s">
        <v>#N/A Requesting Data...3461048883</v>
        <stp/>
        <stp>BDP|15775341717561637095</stp>
        <tr r="O1487" s="2"/>
      </tp>
      <tp t="s">
        <v>#N/A Requesting Data...4058647854</v>
        <stp/>
        <stp>BDP|13514314440152958065</stp>
        <tr r="M405" s="2"/>
      </tp>
      <tp t="s">
        <v>#N/A Requesting Data...3514394196</v>
        <stp/>
        <stp>BDP|10988249293308154543</stp>
        <tr r="K1923" s="2"/>
      </tp>
      <tp t="s">
        <v>#N/A Requesting Data...3912263049</v>
        <stp/>
        <stp>BDP|12354197755751311170</stp>
        <tr r="H631" s="2"/>
      </tp>
      <tp t="s">
        <v>#N/A Requesting Data...3970553216</v>
        <stp/>
        <stp>BDP|13368185867273030176</stp>
        <tr r="K701" s="2"/>
      </tp>
      <tp t="s">
        <v>#N/A Requesting Data...3773335338</v>
        <stp/>
        <stp>BDP|16860244818261918265</stp>
        <tr r="T1949" s="2"/>
      </tp>
      <tp t="s">
        <v>#N/A Requesting Data...3857562406</v>
        <stp/>
        <stp>BDP|18367725608989188036</stp>
        <tr r="G442" s="2"/>
      </tp>
      <tp t="s">
        <v>#N/A Requesting Data...3496773882</v>
        <stp/>
        <stp>BDP|18288918201901866604</stp>
        <tr r="Q1204" s="2"/>
      </tp>
      <tp t="s">
        <v>#N/A Requesting Data...3915635675</v>
        <stp/>
        <stp>BDP|14571751098275688947</stp>
        <tr r="E1741" s="2"/>
      </tp>
      <tp t="s">
        <v>#N/A Requesting Data...3718184849</v>
        <stp/>
        <stp>BDP|17245994427469762319</stp>
        <tr r="G1021" s="2"/>
      </tp>
      <tp t="b">
        <v>0</v>
        <stp/>
        <stp>BDS|13903170291375485820</stp>
        <tr r="I572" s="2"/>
      </tp>
      <tp t="s">
        <v>#N/A Requesting Data...3828004793</v>
        <stp/>
        <stp>BDP|16071158216576048694</stp>
        <tr r="R278" s="2"/>
      </tp>
      <tp t="s">
        <v>#N/A Requesting Data...4065979090</v>
        <stp/>
        <stp>BDP|10697537966163156680</stp>
        <tr r="C1838" s="2"/>
      </tp>
      <tp t="s">
        <v>#N/A Requesting Data...3513677252</v>
        <stp/>
        <stp>BDP|17765335573935867056</stp>
        <tr r="R240" s="2"/>
      </tp>
      <tp t="s">
        <v>#N/A Requesting Data...3944026079</v>
        <stp/>
        <stp>BDP|17861478234274849291</stp>
        <tr r="J2239" s="2"/>
      </tp>
      <tp t="s">
        <v>#N/A Requesting Data...3831724588</v>
        <stp/>
        <stp>BDP|16999506797748525413</stp>
        <tr r="J919" s="2"/>
      </tp>
      <tp t="s">
        <v>#N/A Requesting Data...4005495541</v>
        <stp/>
        <stp>BDP|14262477923271498583</stp>
        <tr r="F153" s="2"/>
      </tp>
      <tp t="s">
        <v>#N/A Requesting Data...4226104058</v>
        <stp/>
        <stp>BDP|15405065328436302738</stp>
        <tr r="R1643" s="2"/>
      </tp>
      <tp t="b">
        <v>0</v>
        <stp/>
        <stp>BDS|11237024330135964109</stp>
        <tr r="I534" s="2"/>
      </tp>
      <tp t="s">
        <v>#N/A Requesting Data...3494652337</v>
        <stp/>
        <stp>BDP|15002807860575926838</stp>
        <tr r="F2424" s="2"/>
      </tp>
      <tp t="s">
        <v>#N/A Requesting Data...3569734537</v>
        <stp/>
        <stp>BDP|17017062140236980351</stp>
        <tr r="G2176" s="2"/>
      </tp>
      <tp t="s">
        <v>#N/A Requesting Data...3906508451</v>
        <stp/>
        <stp>BDP|11297059534650963408</stp>
        <tr r="A897" s="2"/>
      </tp>
      <tp t="s">
        <v>#N/A Requesting Data...3942639037</v>
        <stp/>
        <stp>BDP|13006078218950696430</stp>
        <tr r="P1359" s="2"/>
      </tp>
      <tp t="s">
        <v>#N/A Requesting Data...4016891383</v>
        <stp/>
        <stp>BDP|14995543292936682833</stp>
        <tr r="R1291" s="2"/>
      </tp>
      <tp t="s">
        <v>#N/A Requesting Data...3598472379</v>
        <stp/>
        <stp>BDP|18360571179909507526</stp>
        <tr r="R614" s="2"/>
      </tp>
      <tp t="s">
        <v>#N/A Requesting Data...3997092341</v>
        <stp/>
        <stp>BDP|18201085495226397166</stp>
        <tr r="D414" s="2"/>
      </tp>
      <tp t="s">
        <v>#N/A Requesting Data...3814051879</v>
        <stp/>
        <stp>BDP|14659293603898574831</stp>
        <tr r="S299" s="2"/>
      </tp>
      <tp t="s">
        <v>#N/A Requesting Data...3788343329</v>
        <stp/>
        <stp>BDP|16885342637025668573</stp>
        <tr r="Q647" s="2"/>
      </tp>
      <tp t="s">
        <v>#N/A Requesting Data...3898617074</v>
        <stp/>
        <stp>BDP|15689884760328374577</stp>
        <tr r="Q700" s="2"/>
      </tp>
      <tp t="s">
        <v>#N/A Requesting Data...4269188679</v>
        <stp/>
        <stp>BDP|15542068327118635981</stp>
        <tr r="M2411" s="2"/>
      </tp>
      <tp t="s">
        <v>#N/A Requesting Data...4134739670</v>
        <stp/>
        <stp>BDP|14766212069775295375</stp>
        <tr r="T1442" s="2"/>
      </tp>
      <tp t="s">
        <v>#N/A Requesting Data...4272752219</v>
        <stp/>
        <stp>BDP|12837462067522692452</stp>
        <tr r="O450" s="2"/>
      </tp>
      <tp t="b">
        <v>0</v>
        <stp/>
        <stp>BDS|10663258243101107180</stp>
        <tr r="I952" s="2"/>
      </tp>
      <tp t="s">
        <v>#N/A Requesting Data...3811994745</v>
        <stp/>
        <stp>BDP|11861283771885273794</stp>
        <tr r="S1272" s="2"/>
      </tp>
      <tp t="s">
        <v>#N/A Requesting Data...3687013917</v>
        <stp/>
        <stp>BDP|16713648825045942153</stp>
        <tr r="O2200" s="2"/>
      </tp>
      <tp t="s">
        <v>#N/A Requesting Data...4025368044</v>
        <stp/>
        <stp>BDP|14100336888659581056</stp>
        <tr r="C1001" s="2"/>
      </tp>
      <tp t="s">
        <v>#N/A Requesting Data...4163003127</v>
        <stp/>
        <stp>BDP|10892989688985023225</stp>
        <tr r="G1663" s="2"/>
      </tp>
      <tp t="s">
        <v>#N/A Requesting Data...3758406130</v>
        <stp/>
        <stp>BDP|16726768808111245611</stp>
        <tr r="S1745" s="2"/>
      </tp>
      <tp t="s">
        <v>#N/A Requesting Data...3987552536</v>
        <stp/>
        <stp>BDP|16873794119410789651</stp>
        <tr r="E2501" s="2"/>
      </tp>
      <tp t="s">
        <v>#N/A Requesting Data...4126336333</v>
        <stp/>
        <stp>BDP|10128070683399793786</stp>
        <tr r="S767" s="2"/>
      </tp>
      <tp t="b">
        <v>0</v>
        <stp/>
        <stp>BDS|15159650630415588387</stp>
        <tr r="I1624" s="2"/>
      </tp>
      <tp t="s">
        <v>#N/A Requesting Data...4234889553</v>
        <stp/>
        <stp>BDP|13050796777121555419</stp>
        <tr r="H261" s="2"/>
      </tp>
      <tp t="s">
        <v>#N/A Requesting Data...3596255811</v>
        <stp/>
        <stp>BDP|14817633090425489853</stp>
        <tr r="H1274" s="2"/>
      </tp>
      <tp t="s">
        <v>#N/A Requesting Data...4241149248</v>
        <stp/>
        <stp>BDP|13879017072946705464</stp>
        <tr r="J6" s="2"/>
      </tp>
      <tp t="s">
        <v>#N/A Requesting Data...3693627062</v>
        <stp/>
        <stp>BDP|17579497565365662658</stp>
        <tr r="K1707" s="2"/>
      </tp>
      <tp t="s">
        <v>#N/A Requesting Data...3982382343</v>
        <stp/>
        <stp>BDP|10976265104983968780</stp>
        <tr r="C1000" s="2"/>
      </tp>
      <tp t="s">
        <v>#N/A Requesting Data...3909720274</v>
        <stp/>
        <stp>BDP|14754177954804609286</stp>
        <tr r="E1931" s="2"/>
      </tp>
      <tp t="s">
        <v>#N/A Requesting Data...3924504797</v>
        <stp/>
        <stp>BDP|12326789140354603374</stp>
        <tr r="G1445" s="2"/>
      </tp>
      <tp t="s">
        <v>#N/A Requesting Data...4027568744</v>
        <stp/>
        <stp>BDP|15348045318674243670</stp>
        <tr r="E528" s="2"/>
      </tp>
      <tp t="s">
        <v>#N/A Requesting Data...3871313836</v>
        <stp/>
        <stp>BDP|12112418802946905613</stp>
        <tr r="A1155" s="2"/>
      </tp>
      <tp t="s">
        <v>#N/A Requesting Data...3872507494</v>
        <stp/>
        <stp>BDP|13642526455173394689</stp>
        <tr r="J73" s="2"/>
      </tp>
      <tp t="s">
        <v>#N/A Requesting Data...4180300403</v>
        <stp/>
        <stp>BDP|15264592365157323774</stp>
        <tr r="K486" s="2"/>
      </tp>
      <tp t="s">
        <v>#N/A Requesting Data...3635751559</v>
        <stp/>
        <stp>BDP|13111325435441942457</stp>
        <tr r="T163" s="2"/>
      </tp>
      <tp t="s">
        <v>#N/A Requesting Data...3732312853</v>
        <stp/>
        <stp>BDP|11726442748932090513</stp>
        <tr r="R431" s="2"/>
      </tp>
      <tp t="s">
        <v>#N/A Requesting Data...4087718421</v>
        <stp/>
        <stp>BDP|18224380051780802897</stp>
        <tr r="G1880" s="2"/>
      </tp>
      <tp t="s">
        <v>#N/A Requesting Data...4017609905</v>
        <stp/>
        <stp>BDP|13123593008601346191</stp>
        <tr r="D203" s="2"/>
      </tp>
      <tp t="s">
        <v>#N/A Requesting Data...3702956454</v>
        <stp/>
        <stp>BDP|11873334247268164875</stp>
        <tr r="A2258" s="2"/>
      </tp>
      <tp t="s">
        <v>#N/A Requesting Data...4267376943</v>
        <stp/>
        <stp>BDP|10187810748733781955</stp>
        <tr r="G2306" s="2"/>
      </tp>
      <tp t="s">
        <v>#N/A Requesting Data...3690793009</v>
        <stp/>
        <stp>BDP|11131195913501277635</stp>
        <tr r="T1462" s="2"/>
      </tp>
      <tp t="s">
        <v>#N/A Requesting Data...4180696043</v>
        <stp/>
        <stp>BDP|14813287571781960626</stp>
        <tr r="K2169" s="2"/>
      </tp>
      <tp t="s">
        <v>#N/A Requesting Data...4277225269</v>
        <stp/>
        <stp>BDP|15964560291397171853</stp>
        <tr r="D946" s="2"/>
      </tp>
      <tp t="s">
        <v>#N/A Requesting Data...3665011651</v>
        <stp/>
        <stp>BDP|11152625926076787589</stp>
        <tr r="M1194" s="2"/>
      </tp>
      <tp t="s">
        <v>#N/A Requesting Data...4000323572</v>
        <stp/>
        <stp>BDP|12402105202127426287</stp>
        <tr r="A970" s="2"/>
      </tp>
      <tp t="s">
        <v>#N/A Requesting Data...3909652877</v>
        <stp/>
        <stp>BDP|17528599827883708562</stp>
        <tr r="J1893" s="2"/>
      </tp>
      <tp t="s">
        <v>#N/A Requesting Data...4224152450</v>
        <stp/>
        <stp>BDP|14366557485056120983</stp>
        <tr r="G2379" s="2"/>
      </tp>
      <tp t="s">
        <v>#N/A Requesting Data...4162605425</v>
        <stp/>
        <stp>BDP|16581396310940217246</stp>
        <tr r="D706" s="2"/>
      </tp>
      <tp t="s">
        <v>#N/A Requesting Data...3909505866</v>
        <stp/>
        <stp>BDP|17799706308713599501</stp>
        <tr r="T2280" s="2"/>
      </tp>
      <tp t="b">
        <v>0</v>
        <stp/>
        <stp>BDS|15092210320985927615</stp>
        <tr r="I193" s="2"/>
      </tp>
      <tp t="s">
        <v>#N/A Requesting Data...4044975964</v>
        <stp/>
        <stp>BDP|10967692616089853846</stp>
        <tr r="Q1821" s="2"/>
      </tp>
      <tp t="b">
        <v>0</v>
        <stp/>
        <stp>BDS|16783642244202996076</stp>
        <tr r="I1461" s="2"/>
      </tp>
      <tp t="s">
        <v>#N/A Requesting Data...4005889831</v>
        <stp/>
        <stp>BDP|17997104650170395502</stp>
        <tr r="P998" s="2"/>
      </tp>
      <tp t="s">
        <v>#N/A Requesting Data...3722120114</v>
        <stp/>
        <stp>BDP|12758488011726594716</stp>
        <tr r="C778" s="2"/>
      </tp>
      <tp t="s">
        <v>#N/A Requesting Data...3779618373</v>
        <stp/>
        <stp>BDP|16320076743167837353</stp>
        <tr r="F1068" s="2"/>
      </tp>
      <tp t="s">
        <v>#N/A Requesting Data...4019766255</v>
        <stp/>
        <stp>BDP|11166236249504367526</stp>
        <tr r="D2296" s="2"/>
      </tp>
      <tp t="s">
        <v>#N/A Requesting Data...4198414829</v>
        <stp/>
        <stp>BDP|13430465827230704380</stp>
        <tr r="Q682" s="2"/>
      </tp>
      <tp t="s">
        <v>#N/A Requesting Data...4112665509</v>
        <stp/>
        <stp>BDP|15229064430907832768</stp>
        <tr r="D2348" s="2"/>
      </tp>
      <tp t="s">
        <v>#N/A Requesting Data...4115550246</v>
        <stp/>
        <stp>BDP|16549266910441032291</stp>
        <tr r="Q1620" s="2"/>
      </tp>
      <tp t="b">
        <v>0</v>
        <stp/>
        <stp>BDS|17542801304631913816</stp>
        <tr r="I2409" s="2"/>
      </tp>
      <tp t="s">
        <v>#N/A Requesting Data...3726530436</v>
        <stp/>
        <stp>BDP|12288352169691300078</stp>
        <tr r="O1063" s="2"/>
      </tp>
      <tp t="s">
        <v>#N/A Requesting Data...3973154245</v>
        <stp/>
        <stp>BDP|14938113912150336236</stp>
        <tr r="A1855" s="2"/>
      </tp>
      <tp t="s">
        <v>#N/A Requesting Data...3963865986</v>
        <stp/>
        <stp>BDP|15269746768476264419</stp>
        <tr r="J2402" s="2"/>
      </tp>
      <tp t="s">
        <v>#N/A Requesting Data...4019856849</v>
        <stp/>
        <stp>BDP|11493530711260288398</stp>
        <tr r="E1934" s="2"/>
      </tp>
      <tp t="s">
        <v>#N/A Requesting Data...4131269191</v>
        <stp/>
        <stp>BDP|12892279860185288502</stp>
        <tr r="R1122" s="2"/>
      </tp>
      <tp t="s">
        <v>#N/A Requesting Data...3970970169</v>
        <stp/>
        <stp>BDP|17789201158320155635</stp>
        <tr r="E864" s="2"/>
      </tp>
      <tp t="s">
        <v>#N/A Requesting Data...4130994601</v>
        <stp/>
        <stp>BDP|11106168821543831734</stp>
        <tr r="E1298" s="2"/>
      </tp>
      <tp t="s">
        <v>#N/A Requesting Data...3789529754</v>
        <stp/>
        <stp>BDP|14766111919964753651</stp>
        <tr r="H2364" s="2"/>
      </tp>
      <tp t="s">
        <v>#N/A Requesting Data...3905419239</v>
        <stp/>
        <stp>BDP|17697562949600234064</stp>
        <tr r="G2244" s="2"/>
      </tp>
      <tp t="s">
        <v>#N/A Requesting Data...3798803090</v>
        <stp/>
        <stp>BDP|15381397217367833685</stp>
        <tr r="H516" s="2"/>
      </tp>
      <tp t="s">
        <v>#N/A Requesting Data...3935223927</v>
        <stp/>
        <stp>BDP|17922922683955442517</stp>
        <tr r="P1691" s="2"/>
      </tp>
      <tp t="s">
        <v>#N/A Requesting Data...3733372597</v>
        <stp/>
        <stp>BDP|13293216134430913430</stp>
        <tr r="J827" s="2"/>
      </tp>
      <tp t="s">
        <v>#N/A Requesting Data...4062926115</v>
        <stp/>
        <stp>BDP|17110273418926494478</stp>
        <tr r="F56" s="2"/>
      </tp>
      <tp t="s">
        <v>#N/A Requesting Data...3918377709</v>
        <stp/>
        <stp>BDP|16993234846532330422</stp>
        <tr r="R1776" s="2"/>
      </tp>
      <tp t="s">
        <v>#N/A Requesting Data...4046655704</v>
        <stp/>
        <stp>BDP|17696352170255878067</stp>
        <tr r="P1852" s="2"/>
      </tp>
      <tp t="s">
        <v>#N/A Requesting Data...3952635063</v>
        <stp/>
        <stp>BDP|15526208735994838659</stp>
        <tr r="P2404" s="2"/>
      </tp>
      <tp t="s">
        <v>#N/A Requesting Data...4170267936</v>
        <stp/>
        <stp>BDP|17775252529166784715</stp>
        <tr r="G1744" s="2"/>
      </tp>
      <tp t="s">
        <v>#N/A Requesting Data...3845206457</v>
        <stp/>
        <stp>BDP|17214659432586002285</stp>
        <tr r="M2480" s="2"/>
      </tp>
      <tp t="s">
        <v>#N/A Requesting Data...3914796961</v>
        <stp/>
        <stp>BDP|15082696545477231631</stp>
        <tr r="K2398" s="2"/>
      </tp>
      <tp t="s">
        <v>#N/A Requesting Data...3795922533</v>
        <stp/>
        <stp>BDP|10073021903016985051</stp>
        <tr r="E185" s="2"/>
      </tp>
      <tp t="s">
        <v>#N/A Requesting Data...4178779797</v>
        <stp/>
        <stp>BDP|13996245703783607454</stp>
        <tr r="C1521" s="2"/>
      </tp>
      <tp t="s">
        <v>#N/A Requesting Data...4254769290</v>
        <stp/>
        <stp>BDP|12300256436320492593</stp>
        <tr r="J1238" s="2"/>
      </tp>
      <tp t="s">
        <v>#N/A Requesting Data...4283095999</v>
        <stp/>
        <stp>BDP|15596017628774363520</stp>
        <tr r="Q2232" s="2"/>
      </tp>
      <tp t="s">
        <v>#N/A Requesting Data...4221159953</v>
        <stp/>
        <stp>BDP|14575724392515807909</stp>
        <tr r="T445" s="2"/>
      </tp>
      <tp t="s">
        <v>#N/A Requesting Data...4127127054</v>
        <stp/>
        <stp>BDP|13485467308506534726</stp>
        <tr r="S515" s="2"/>
      </tp>
      <tp t="s">
        <v>#N/A Requesting Data...4083656429</v>
        <stp/>
        <stp>BDP|16740189313285799569</stp>
        <tr r="Q84" s="2"/>
      </tp>
      <tp t="s">
        <v>#N/A Requesting Data...3789448517</v>
        <stp/>
        <stp>BDP|17481818244599528498</stp>
        <tr r="F118" s="2"/>
      </tp>
      <tp t="s">
        <v>#N/A Requesting Data...3807471069</v>
        <stp/>
        <stp>BDP|13913399952847973469</stp>
        <tr r="P880" s="2"/>
      </tp>
      <tp t="s">
        <v>#N/A Requesting Data...3962003355</v>
        <stp/>
        <stp>BDP|10998378670710213219</stp>
        <tr r="K2035" s="2"/>
      </tp>
      <tp t="s">
        <v>#N/A Requesting Data...3790003555</v>
        <stp/>
        <stp>BDP|14969609706584218005</stp>
        <tr r="H337" s="2"/>
      </tp>
      <tp t="s">
        <v>#N/A Requesting Data...3902841832</v>
        <stp/>
        <stp>BDP|14436308128464072716</stp>
        <tr r="F696" s="2"/>
      </tp>
      <tp t="s">
        <v>#N/A Requesting Data...4103957419</v>
        <stp/>
        <stp>BDP|17331325354867017081</stp>
        <tr r="Q726" s="2"/>
      </tp>
      <tp t="s">
        <v>#N/A Requesting Data...4209690880</v>
        <stp/>
        <stp>BDP|12851070808577843329</stp>
        <tr r="C1924" s="2"/>
      </tp>
      <tp t="s">
        <v>#N/A Requesting Data...3781451359</v>
        <stp/>
        <stp>BDP|10695405624092676296</stp>
        <tr r="Q2088" s="2"/>
      </tp>
      <tp t="s">
        <v>#N/A Requesting Data...4147969159</v>
        <stp/>
        <stp>BDP|15886701745109228927</stp>
        <tr r="Q111" s="2"/>
      </tp>
      <tp t="s">
        <v>#N/A Requesting Data...3931648300</v>
        <stp/>
        <stp>BDP|14999145470491931596</stp>
        <tr r="N889" s="2"/>
      </tp>
      <tp t="s">
        <v>#N/A Requesting Data...3815950933</v>
        <stp/>
        <stp>BDP|11506518351547156095</stp>
        <tr r="D2096" s="2"/>
      </tp>
      <tp t="s">
        <v>#N/A Requesting Data...3949987768</v>
        <stp/>
        <stp>BDP|11606464569737087246</stp>
        <tr r="M1909" s="2"/>
      </tp>
      <tp t="s">
        <v>#N/A Requesting Data...4195892449</v>
        <stp/>
        <stp>BDP|10199016892776739987</stp>
        <tr r="M1232" s="2"/>
      </tp>
      <tp t="s">
        <v>#N/A Requesting Data...4136208989</v>
        <stp/>
        <stp>BDP|15714559932502553784</stp>
        <tr r="P208" s="2"/>
      </tp>
      <tp t="s">
        <v>#N/A Requesting Data...3975983321</v>
        <stp/>
        <stp>BDP|12294422605696072686</stp>
        <tr r="T271" s="2"/>
      </tp>
      <tp t="s">
        <v>#N/A Requesting Data...3998647779</v>
        <stp/>
        <stp>BDP|12997290829427724333</stp>
        <tr r="A1868" s="2"/>
      </tp>
      <tp t="s">
        <v>#N/A Requesting Data...4246614881</v>
        <stp/>
        <stp>BDP|10561147071101481194</stp>
        <tr r="T1819" s="2"/>
      </tp>
      <tp t="s">
        <v>#N/A Requesting Data...4045474930</v>
        <stp/>
        <stp>BDP|17217432959686784621</stp>
        <tr r="D974" s="2"/>
      </tp>
      <tp t="b">
        <v>0</v>
        <stp/>
        <stp>BDS|10579959516938051681</stp>
        <tr r="I861" s="2"/>
      </tp>
      <tp t="s">
        <v>#N/A Requesting Data...4292623564</v>
        <stp/>
        <stp>BDP|11198708643506875270</stp>
        <tr r="J256" s="2"/>
      </tp>
      <tp t="s">
        <v>#N/A Requesting Data...3912225109</v>
        <stp/>
        <stp>BDP|15014787627481140735</stp>
        <tr r="G2283" s="2"/>
      </tp>
      <tp t="b">
        <v>0</v>
        <stp/>
        <stp>BDS|16502234663755925122</stp>
        <tr r="I1896" s="2"/>
      </tp>
      <tp t="s">
        <v>#N/A Requesting Data...4182753383</v>
        <stp/>
        <stp>BDP|17711128480028096083</stp>
        <tr r="Q779" s="2"/>
      </tp>
      <tp t="s">
        <v>#N/A Requesting Data...3940683355</v>
        <stp/>
        <stp>BDP|11555921638149609447</stp>
        <tr r="Q458" s="2"/>
      </tp>
      <tp t="s">
        <v>#N/A Requesting Data...4092361040</v>
        <stp/>
        <stp>BDP|13323683620659228847</stp>
        <tr r="S1887" s="2"/>
      </tp>
      <tp t="s">
        <v>#N/A Requesting Data...3912537740</v>
        <stp/>
        <stp>BDP|11866493389258551300</stp>
        <tr r="E1771" s="2"/>
      </tp>
      <tp t="s">
        <v>#N/A Requesting Data...3962744976</v>
        <stp/>
        <stp>BDP|15781180431965543467</stp>
        <tr r="H1202" s="2"/>
      </tp>
      <tp t="s">
        <v>#N/A Requesting Data...4224325512</v>
        <stp/>
        <stp>BDP|15095707984034896816</stp>
        <tr r="T1405" s="2"/>
      </tp>
      <tp t="s">
        <v>#N/A Requesting Data...4132755851</v>
        <stp/>
        <stp>BDP|13878750526880391057</stp>
        <tr r="Q693" s="2"/>
      </tp>
      <tp t="s">
        <v>#N/A Requesting Data...4280875769</v>
        <stp/>
        <stp>BDP|15948557861156851687</stp>
        <tr r="J1309" s="2"/>
      </tp>
      <tp t="s">
        <v>#N/A Requesting Data...4224853847</v>
        <stp/>
        <stp>BDP|14127997497004200605</stp>
        <tr r="M1708" s="2"/>
      </tp>
      <tp t="s">
        <v>#N/A Requesting Data...4065241320</v>
        <stp/>
        <stp>BDP|16766191630084545664</stp>
        <tr r="C1927" s="2"/>
      </tp>
      <tp t="s">
        <v>#N/A Requesting Data...3928582563</v>
        <stp/>
        <stp>BDP|12521186916795749110</stp>
        <tr r="C85" s="2"/>
      </tp>
      <tp t="s">
        <v>#N/A Requesting Data...4170282936</v>
        <stp/>
        <stp>BDP|12106526016438060883</stp>
        <tr r="H1246" s="2"/>
      </tp>
      <tp t="s">
        <v>#N/A Requesting Data...3935636222</v>
        <stp/>
        <stp>BDP|11330538749241565718</stp>
        <tr r="P1910" s="2"/>
      </tp>
      <tp t="s">
        <v>#N/A Requesting Data...4212132800</v>
        <stp/>
        <stp>BDP|15278731628687347173</stp>
        <tr r="P1436" s="2"/>
      </tp>
      <tp t="s">
        <v>#N/A Requesting Data...4105684884</v>
        <stp/>
        <stp>BDP|16376169359856551244</stp>
        <tr r="N953" s="2"/>
      </tp>
      <tp t="s">
        <v>#N/A Requesting Data...3963293035</v>
        <stp/>
        <stp>BDP|10893661152835931084</stp>
        <tr r="C593" s="2"/>
      </tp>
      <tp t="s">
        <v>#N/A Requesting Data...3962551724</v>
        <stp/>
        <stp>BDP|15018479462767118699</stp>
        <tr r="K2515" s="2"/>
      </tp>
      <tp t="s">
        <v>#N/A Requesting Data...4231671869</v>
        <stp/>
        <stp>BDP|15562742845259820912</stp>
        <tr r="D2038" s="2"/>
      </tp>
      <tp t="s">
        <v>#N/A Requesting Data...4173876875</v>
        <stp/>
        <stp>BDP|17127403478403218162</stp>
        <tr r="F2406" s="2"/>
      </tp>
      <tp t="s">
        <v>#N/A Requesting Data...3879331540</v>
        <stp/>
        <stp>BDP|12320634823188896868</stp>
        <tr r="C170" s="2"/>
      </tp>
      <tp t="s">
        <v>#N/A Requesting Data...4076942556</v>
        <stp/>
        <stp>BDP|17304794213573751432</stp>
        <tr r="M1115" s="2"/>
      </tp>
      <tp t="s">
        <v>#N/A Requesting Data...4068238136</v>
        <stp/>
        <stp>BDP|16717097060235616353</stp>
        <tr r="D2322" s="2"/>
      </tp>
      <tp t="s">
        <v>#N/A Requesting Data...4181999314</v>
        <stp/>
        <stp>BDP|15707987967269244574</stp>
        <tr r="C1849" s="2"/>
      </tp>
      <tp t="s">
        <v>#N/A Requesting Data...3896218428</v>
        <stp/>
        <stp>BDP|15467008718122589042</stp>
        <tr r="E1050" s="2"/>
      </tp>
      <tp t="s">
        <v>#N/A Requesting Data...3976253894</v>
        <stp/>
        <stp>BDP|11804306141286198658</stp>
        <tr r="S784" s="2"/>
      </tp>
      <tp t="s">
        <v>#N/A Requesting Data...4037125507</v>
        <stp/>
        <stp>BDP|11952500755471536647</stp>
        <tr r="G1381" s="2"/>
      </tp>
      <tp t="s">
        <v>#N/A Requesting Data...3948263983</v>
        <stp/>
        <stp>BDP|17012490114070970493</stp>
        <tr r="J2317" s="2"/>
      </tp>
      <tp t="s">
        <v>#N/A Requesting Data...3987872923</v>
        <stp/>
        <stp>BDP|15558666319283725706</stp>
        <tr r="M61" s="2"/>
      </tp>
      <tp t="s">
        <v>#N/A Requesting Data...4013870044</v>
        <stp/>
        <stp>BDP|18128241879728093318</stp>
        <tr r="N1787" s="2"/>
      </tp>
      <tp t="b">
        <v>0</v>
        <stp/>
        <stp>BDS|14280619435092153590</stp>
        <tr r="I1810" s="2"/>
      </tp>
      <tp t="s">
        <v>#N/A Requesting Data...3979777619</v>
        <stp/>
        <stp>BDP|14923332243084101154</stp>
        <tr r="A1957" s="2"/>
      </tp>
      <tp t="s">
        <v>#N/A Requesting Data...4083948856</v>
        <stp/>
        <stp>BDP|12770212055446830566</stp>
        <tr r="Q1673" s="2"/>
      </tp>
      <tp t="s">
        <v>#N/A Requesting Data...4130117566</v>
        <stp/>
        <stp>BDP|14066320617045830501</stp>
        <tr r="H1954" s="2"/>
      </tp>
      <tp t="s">
        <v>#N/A Requesting Data...4235921219</v>
        <stp/>
        <stp>BDP|12977376220655477074</stp>
        <tr r="R2343" s="2"/>
      </tp>
      <tp t="s">
        <v>#N/A Requesting Data...4278276564</v>
        <stp/>
        <stp>BDP|17950536453116322774</stp>
        <tr r="G818" s="2"/>
      </tp>
      <tp t="s">
        <v>#N/A Requesting Data...4035020444</v>
        <stp/>
        <stp>BDP|13517404708521653061</stp>
        <tr r="C2396" s="2"/>
      </tp>
      <tp t="s">
        <v>#N/A Requesting Data...4115750638</v>
        <stp/>
        <stp>BDP|17165394682869574329</stp>
        <tr r="C2338" s="2"/>
      </tp>
      <tp t="s">
        <v>#N/A Requesting Data...4029606198</v>
        <stp/>
        <stp>BDP|10877046763108300814</stp>
        <tr r="G2353" s="2"/>
      </tp>
      <tp t="s">
        <v>#N/A Requesting Data...3975633077</v>
        <stp/>
        <stp>BDP|10032540868910406541</stp>
        <tr r="T216" s="2"/>
      </tp>
      <tp t="s">
        <v>#N/A Requesting Data...4198171064</v>
        <stp/>
        <stp>BDP|13844564638781395295</stp>
        <tr r="P202" s="2"/>
      </tp>
      <tp t="s">
        <v>#N/A Requesting Data...4122856727</v>
        <stp/>
        <stp>BDP|11057781915893211236</stp>
        <tr r="C1019" s="2"/>
      </tp>
      <tp t="s">
        <v>#N/A Requesting Data...4160907270</v>
        <stp/>
        <stp>BDP|16859771243996731575</stp>
        <tr r="A243" s="2"/>
      </tp>
      <tp t="s">
        <v>#N/A Requesting Data...4191828510</v>
        <stp/>
        <stp>BDP|18217233296437985225</stp>
        <tr r="G1625" s="2"/>
      </tp>
      <tp t="s">
        <v>#N/A Requesting Data...4279575125</v>
        <stp/>
        <stp>BDP|12023896790286251379</stp>
        <tr r="D589" s="2"/>
      </tp>
      <tp t="s">
        <v>#N/A Requesting Data...4086983419</v>
        <stp/>
        <stp>BDP|17425693066815578424</stp>
        <tr r="Q1542" s="2"/>
      </tp>
      <tp t="s">
        <v>#N/A Requesting Data...3976922979</v>
        <stp/>
        <stp>BDP|17052352463982827626</stp>
        <tr r="A1436" s="2"/>
      </tp>
      <tp t="s">
        <v>#N/A Requesting Data...4002787115</v>
        <stp/>
        <stp>BDP|13756793810437185430</stp>
        <tr r="T2315" s="2"/>
      </tp>
      <tp t="s">
        <v>#N/A Requesting Data...4005743782</v>
        <stp/>
        <stp>BDP|15553362728577198561</stp>
        <tr r="K1270" s="2"/>
      </tp>
      <tp t="s">
        <v>#N/A Requesting Data...4136364768</v>
        <stp/>
        <stp>BDP|10435487830134189517</stp>
        <tr r="S2067" s="2"/>
      </tp>
      <tp t="s">
        <v>#N/A Requesting Data...4146342170</v>
        <stp/>
        <stp>BDP|15092077739452387218</stp>
        <tr r="C2393" s="2"/>
      </tp>
      <tp t="s">
        <v>#N/A Requesting Data...4186613182</v>
        <stp/>
        <stp>BDP|15367153168811371510</stp>
        <tr r="S450" s="2"/>
      </tp>
      <tp t="s">
        <v>#N/A Requesting Data...4008847640</v>
        <stp/>
        <stp>BDP|15291385046162874680</stp>
        <tr r="T2307" s="2"/>
      </tp>
      <tp t="s">
        <v>#N/A Requesting Data...3997303294</v>
        <stp/>
        <stp>BDP|14491970581397703493</stp>
        <tr r="O306" s="2"/>
      </tp>
      <tp t="s">
        <v>#N/A Requesting Data...4028002483</v>
        <stp/>
        <stp>BDP|15591625677714921650</stp>
        <tr r="M1309" s="2"/>
      </tp>
      <tp t="s">
        <v>#N/A Requesting Data...4042116101</v>
        <stp/>
        <stp>BDP|17480467303255541080</stp>
        <tr r="Q1118" s="2"/>
      </tp>
      <tp t="s">
        <v>#N/A Requesting Data...4226129912</v>
        <stp/>
        <stp>BDP|12377768054562401493</stp>
        <tr r="G505" s="2"/>
      </tp>
      <tp t="s">
        <v>#N/A Requesting Data...4241252309</v>
        <stp/>
        <stp>BDP|16713981121899529273</stp>
        <tr r="Q1021" s="2"/>
      </tp>
      <tp t="s">
        <v>#N/A Requesting Data...4253914144</v>
        <stp/>
        <stp>BDP|13202298940471462232</stp>
        <tr r="C2424" s="2"/>
      </tp>
      <tp t="s">
        <v>#N/A Requesting Data...4145056674</v>
        <stp/>
        <stp>BDP|12665699154882367549</stp>
        <tr r="J1004" s="2"/>
      </tp>
      <tp t="s">
        <v>#N/A Requesting Data...4198296016</v>
        <stp/>
        <stp>BDP|12295010436256973104</stp>
        <tr r="E1607" s="2"/>
      </tp>
      <tp t="s">
        <v>#N/A Requesting Data...3999323957</v>
        <stp/>
        <stp>BDP|13266528554560075584</stp>
        <tr r="C845" s="2"/>
      </tp>
      <tp t="s">
        <v>#N/A Requesting Data...4123767657</v>
        <stp/>
        <stp>BDP|13306680329805807460</stp>
        <tr r="H958" s="2"/>
      </tp>
      <tp t="s">
        <v>#N/A Requesting Data...4212323369</v>
        <stp/>
        <stp>BDP|12959689311423565091</stp>
        <tr r="M1479" s="2"/>
      </tp>
      <tp t="s">
        <v>#N/A Requesting Data...4286190976</v>
        <stp/>
        <stp>BDP|15210318135584820721</stp>
        <tr r="Q1623" s="2"/>
      </tp>
      <tp t="s">
        <v>#N/A Requesting Data...4014306232</v>
        <stp/>
        <stp>BDP|15418263244796937339</stp>
        <tr r="Q2506" s="2"/>
      </tp>
      <tp t="s">
        <v>#N/A Requesting Data...4270168327</v>
        <stp/>
        <stp>BDP|10612763208829775832</stp>
        <tr r="J1765" s="2"/>
      </tp>
      <tp t="s">
        <v>#N/A Requesting Data...4066410318</v>
        <stp/>
        <stp>BDP|18054158194341487799</stp>
        <tr r="H1339" s="2"/>
      </tp>
      <tp t="b">
        <v>0</v>
        <stp/>
        <stp>BDS|12214935638868732610</stp>
        <tr r="I514" s="2"/>
      </tp>
      <tp t="s">
        <v>#N/A Requesting Data...4105200282</v>
        <stp/>
        <stp>BDP|12554487950416303328</stp>
        <tr r="C565" s="2"/>
      </tp>
      <tp t="s">
        <v>#N/A Requesting Data...4175434487</v>
        <stp/>
        <stp>BDP|13857223086206299923</stp>
        <tr r="A909" s="2"/>
      </tp>
      <tp t="s">
        <v>#N/A Requesting Data...4072478654</v>
        <stp/>
        <stp>BDP|11142764480378343089</stp>
        <tr r="E1862" s="2"/>
      </tp>
      <tp t="s">
        <v>#N/A Requesting Data...4033843751</v>
        <stp/>
        <stp>BDP|15331974579805219833</stp>
        <tr r="P2330" s="2"/>
      </tp>
      <tp t="s">
        <v>#N/A Requesting Data...4113193369</v>
        <stp/>
        <stp>BDP|10812363316890472400</stp>
        <tr r="P1113" s="2"/>
      </tp>
      <tp t="s">
        <v>#N/A Requesting Data...4141512239</v>
        <stp/>
        <stp>BDP|14890411947347337515</stp>
        <tr r="K1536" s="2"/>
      </tp>
      <tp t="s">
        <v>#N/A Requesting Data...4291076676</v>
        <stp/>
        <stp>BDP|13925209666561220011</stp>
        <tr r="P2394" s="2"/>
      </tp>
      <tp t="s">
        <v>#N/A Requesting Data...4097247881</v>
        <stp/>
        <stp>BDP|16575365300797609498</stp>
        <tr r="M1882" s="2"/>
      </tp>
      <tp t="s">
        <v>#N/A Requesting Data...4059210173</v>
        <stp/>
        <stp>BDP|17875513274870896398</stp>
        <tr r="H840" s="2"/>
      </tp>
      <tp t="s">
        <v>#N/A Requesting Data...4056567713</v>
        <stp/>
        <stp>BDP|12186116946057869625</stp>
        <tr r="C353" s="2"/>
      </tp>
      <tp t="s">
        <v>#N/A Requesting Data...4292953736</v>
        <stp/>
        <stp>BDP|16897862500309741151</stp>
        <tr r="S2207" s="2"/>
      </tp>
      <tp t="s">
        <v>#N/A Requesting Data...4124664620</v>
        <stp/>
        <stp>BDP|10335052409891754740</stp>
        <tr r="C34" s="2"/>
      </tp>
      <tp t="s">
        <v>#N/A Requesting Data...4147387376</v>
        <stp/>
        <stp>BDP|16729568502742921763</stp>
        <tr r="M1713" s="2"/>
      </tp>
      <tp t="s">
        <v>#N/A Requesting Data...4042194192</v>
        <stp/>
        <stp>BDP|12070246356676921579</stp>
        <tr r="A1556" s="2"/>
      </tp>
      <tp t="s">
        <v>#N/A Requesting Data...4083852571</v>
        <stp/>
        <stp>BDP|11576372942834828443</stp>
        <tr r="E483" s="2"/>
      </tp>
      <tp t="s">
        <v>#N/A Requesting Data...4213268569</v>
        <stp/>
        <stp>BDP|15312079908292551153</stp>
        <tr r="C821" s="2"/>
      </tp>
      <tp t="s">
        <v>#N/A Requesting Data...4249771964</v>
        <stp/>
        <stp>BDP|14478509608573214429</stp>
        <tr r="E510" s="2"/>
      </tp>
      <tp t="s">
        <v>#N/A Requesting Data...4056096305</v>
        <stp/>
        <stp>BDP|14738061557723862420</stp>
        <tr r="G852" s="2"/>
      </tp>
      <tp t="s">
        <v>#N/A Requesting Data...4107461478</v>
        <stp/>
        <stp>BDP|13390110916965973014</stp>
        <tr r="E234" s="2"/>
      </tp>
      <tp t="s">
        <v>#N/A Requesting Data...4268563723</v>
        <stp/>
        <stp>BDP|10872117975570013007</stp>
        <tr r="K274" s="2"/>
      </tp>
      <tp t="s">
        <v>#N/A Requesting Data...4257711192</v>
        <stp/>
        <stp>BDP|15169271436043462182</stp>
        <tr r="A50" s="2"/>
      </tp>
      <tp t="s">
        <v>#N/A Requesting Data...4109995051</v>
        <stp/>
        <stp>BDP|17952626549257949476</stp>
        <tr r="T1910" s="2"/>
      </tp>
      <tp t="s">
        <v>#N/A Requesting Data...4189476070</v>
        <stp/>
        <stp>BDP|15901770609072973624</stp>
        <tr r="M408" s="2"/>
      </tp>
      <tp t="s">
        <v>#N/A Requesting Data...4270680452</v>
        <stp/>
        <stp>BDP|13663041508337227245</stp>
        <tr r="F3" s="2"/>
      </tp>
      <tp t="s">
        <v>#N/A Requesting Data...4229943274</v>
        <stp/>
        <stp>BDP|13827841341609926084</stp>
        <tr r="T724" s="2"/>
      </tp>
      <tp t="s">
        <v>#N/A Requesting Data...4151919888</v>
        <stp/>
        <stp>BDP|17975277526161439000</stp>
        <tr r="G1562" s="2"/>
      </tp>
      <tp t="s">
        <v>#N/A Requesting Data...4198283102</v>
        <stp/>
        <stp>BDP|15804076927160323177</stp>
        <tr r="T2210" s="2"/>
      </tp>
      <tp t="s">
        <v>#N/A Requesting Data...4205519460</v>
        <stp/>
        <stp>BDP|13649121609544440056</stp>
        <tr r="F1447" s="2"/>
      </tp>
      <tp t="s">
        <v>#N/A Requesting Data...4264686285</v>
        <stp/>
        <stp>BDP|15906391362762709494</stp>
        <tr r="K582" s="2"/>
      </tp>
      <tp t="s">
        <v>#N/A Requesting Data...4091314670</v>
        <stp/>
        <stp>BDP|13739845994331904527</stp>
        <tr r="K2011" s="2"/>
      </tp>
      <tp t="s">
        <v>#N/A Requesting Data...4171342846</v>
        <stp/>
        <stp>BDP|17506534094004751993</stp>
        <tr r="P1310" s="2"/>
      </tp>
      <tp t="s">
        <v>#N/A Requesting Data...4222823849</v>
        <stp/>
        <stp>BDP|18014890622406634214</stp>
        <tr r="F910" s="2"/>
      </tp>
      <tp t="s">
        <v>#N/A Requesting Data...4275243868</v>
        <stp/>
        <stp>BDP|11911731962497013147</stp>
        <tr r="F1620" s="2"/>
      </tp>
      <tp t="s">
        <v>#N/A Requesting Data...4267964241</v>
        <stp/>
        <stp>BDP|14439732689708701557</stp>
        <tr r="H1819" s="2"/>
      </tp>
      <tp t="s">
        <v>#N/A Requesting Data...4182554446</v>
        <stp/>
        <stp>BDP|14008811894227067494</stp>
        <tr r="O2091" s="2"/>
      </tp>
      <tp t="s">
        <v>#N/A Requesting Data...4134821755</v>
        <stp/>
        <stp>BDP|18304869977089905878</stp>
        <tr r="J1994" s="2"/>
      </tp>
      <tp t="s">
        <v>#N/A Requesting Data...4289306455</v>
        <stp/>
        <stp>BDP|11832011273054708412</stp>
        <tr r="C783" s="2"/>
      </tp>
      <tp t="s">
        <v>#N/A Requesting Data...4118246805</v>
        <stp/>
        <stp>BDP|17312072111036128681</stp>
        <tr r="D2411" s="2"/>
      </tp>
      <tp t="s">
        <v>#N/A Requesting Data...4282992525</v>
        <stp/>
        <stp>BDP|16120638871999634890</stp>
        <tr r="M1613" s="2"/>
      </tp>
      <tp t="s">
        <v>#N/A Requesting Data...4135886430</v>
        <stp/>
        <stp>BDP|16939613050590631326</stp>
        <tr r="M980" s="2"/>
      </tp>
      <tp t="s">
        <v>#N/A Requesting Data...4276148997</v>
        <stp/>
        <stp>BDP|15418234488041744846</stp>
        <tr r="R17" s="2"/>
      </tp>
      <tp t="s">
        <v>#N/A Requesting Data...4215317256</v>
        <stp/>
        <stp>BDP|13627297585087135871</stp>
        <tr r="O1643" s="2"/>
      </tp>
      <tp t="s">
        <v>#N/A Requesting Data...4249988164</v>
        <stp/>
        <stp>BDP|14026023965176366281</stp>
        <tr r="R664" s="2"/>
      </tp>
      <tp t="s">
        <v>#N/A Requesting Data...4138900177</v>
        <stp/>
        <stp>BDP|17167558178995591659</stp>
        <tr r="T254" s="2"/>
      </tp>
      <tp t="s">
        <v>#N/A Requesting Data...4256757242</v>
        <stp/>
        <stp>BDP|14880372078873331586</stp>
        <tr r="M1467" s="2"/>
      </tp>
      <tp t="s">
        <v>#N/A Requesting Data...4189533875</v>
        <stp/>
        <stp>BDP|13219602398118756211</stp>
        <tr r="T2346" s="2"/>
      </tp>
      <tp t="s">
        <v>#N/A Requesting Data...4226810772</v>
        <stp/>
        <stp>BDP|16397147338781599366</stp>
        <tr r="C1559" s="2"/>
      </tp>
      <tp t="b">
        <v>0</v>
        <stp/>
        <stp>BDS|10587687545912437633</stp>
        <tr r="I1657" s="2"/>
      </tp>
      <tp t="s">
        <v>#N/A Requesting Data...4228975527</v>
        <stp/>
        <stp>BDP|12037779845813918475</stp>
        <tr r="P2094" s="2"/>
      </tp>
      <tp t="s">
        <v>#N/A Requesting Data...4151071892</v>
        <stp/>
        <stp>BDP|13498473551180979479</stp>
        <tr r="F1790" s="2"/>
      </tp>
      <tp t="s">
        <v>#N/A Requesting Data...4220272556</v>
        <stp/>
        <stp>BDP|13211522509578224871</stp>
        <tr r="R754" s="2"/>
      </tp>
      <tp t="s">
        <v>#N/A Requesting Data...4292249007</v>
        <stp/>
        <stp>BDP|17551077172974491287</stp>
        <tr r="N1772" s="2"/>
      </tp>
      <tp t="s">
        <v>#N/A Requesting Data...4181191224</v>
        <stp/>
        <stp>BDP|14718722849311843081</stp>
        <tr r="T1305" s="2"/>
      </tp>
      <tp t="s">
        <v>#N/A Requesting Data...4215891924</v>
        <stp/>
        <stp>BDP|14002235979834193370</stp>
        <tr r="R2423" s="2"/>
      </tp>
      <tp t="s">
        <v>#N/A Requesting Data...4215409345</v>
        <stp/>
        <stp>BDP|16946262093253209820</stp>
        <tr r="D2313" s="2"/>
      </tp>
      <tp t="s">
        <v>#N/A Requesting Data...4282016599</v>
        <stp/>
        <stp>BDP|14408619798485282831</stp>
        <tr r="E1443" s="2"/>
      </tp>
      <tp t="s">
        <v>#N/A Requesting Data...4253415053</v>
        <stp/>
        <stp>BDP|16656790447735322674</stp>
        <tr r="K77" s="2"/>
      </tp>
      <tp t="s">
        <v>#N/A Requesting Data...4194084738</v>
        <stp/>
        <stp>BDP|13871452585200389944</stp>
        <tr r="C221" s="2"/>
      </tp>
      <tp t="s">
        <v>#N/A Requesting Data...4294407699</v>
        <stp/>
        <stp>BDP|14514659531542679581</stp>
        <tr r="C195" s="2"/>
      </tp>
      <tp t="s">
        <v>#N/A Requesting Data...4286841450</v>
        <stp/>
        <stp>BDP|14150809878674447925</stp>
        <tr r="M1163" s="2"/>
      </tp>
      <tp t="s">
        <v>#N/A Requesting Data...4197358976</v>
        <stp/>
        <stp>BDP|11515365225343088594</stp>
        <tr r="Q1441" s="2"/>
      </tp>
      <tp t="s">
        <v>#N/A Requesting Data...4230311700</v>
        <stp/>
        <stp>BDP|17292656414474461286</stp>
        <tr r="A94" s="2"/>
      </tp>
      <tp t="s">
        <v>#N/A Requesting Data...4231304094</v>
        <stp/>
        <stp>BDP|12885922771229172354</stp>
        <tr r="P1515" s="2"/>
      </tp>
      <tp t="s">
        <v>#N/A Requesting Data...4248068058</v>
        <stp/>
        <stp>BDP|17582435457032667280</stp>
        <tr r="Q1556" s="2"/>
      </tp>
      <tp t="s">
        <v>#N/A Requesting Data...4217188423</v>
        <stp/>
        <stp>BDP|17106009006399086888</stp>
        <tr r="R2124" s="2"/>
      </tp>
      <tp t="s">
        <v>#N/A Requesting Data...4209572342</v>
        <stp/>
        <stp>BDP|13902931392171230459</stp>
        <tr r="K2485" s="2"/>
      </tp>
      <tp t="b">
        <v>0</v>
        <stp/>
        <stp>BDS|11476089364676444706</stp>
        <tr r="I1977" s="2"/>
      </tp>
      <tp t="s">
        <v>#N/A Requesting Data...4242168382</v>
        <stp/>
        <stp>BDP|10857351254895760513</stp>
        <tr r="A971" s="2"/>
      </tp>
      <tp t="s">
        <v>#N/A Requesting Data...4265665175</v>
        <stp/>
        <stp>BDP|14923042857242380563</stp>
        <tr r="M1694" s="2"/>
      </tp>
      <tp t="s">
        <v>#N/A Requesting Data...4261994978</v>
        <stp/>
        <stp>BDP|15324144399389980284</stp>
        <tr r="M35" s="2"/>
      </tp>
      <tp t="s">
        <v>#N/A Requesting Data...4270449095</v>
        <stp/>
        <stp>BDP|16780667945412821030</stp>
        <tr r="H1617" s="2"/>
      </tp>
      <tp t="s">
        <v>#N/A Requesting Data...4226731560</v>
        <stp/>
        <stp>BDP|10435485915524436729</stp>
        <tr r="G833" s="2"/>
      </tp>
      <tp t="s">
        <v>#N/A Requesting Data...4274228152</v>
        <stp/>
        <stp>BDP|18182396720347134867</stp>
        <tr r="F437" s="2"/>
      </tp>
      <tp t="s">
        <v>#N/A Requesting Data...4282928693</v>
        <stp/>
        <stp>BDP|13974332179829926856</stp>
        <tr r="E2487" s="2"/>
      </tp>
      <tp t="s">
        <v>#N/A Requesting Data...4294444178</v>
        <stp/>
        <stp>BDP|11255494831046089650</stp>
        <tr r="C889" s="2"/>
      </tp>
      <tp t="s">
        <v>#N/A Requesting Data...4239112639</v>
        <stp/>
        <stp>BDP|13170398769121921174</stp>
        <tr r="E519" s="2"/>
      </tp>
      <tp t="s">
        <v>#N/A Requesting Data...4266719903</v>
        <stp/>
        <stp>BDP|12400289554620306347</stp>
        <tr r="S2431" s="2"/>
      </tp>
      <tp t="s">
        <v>#N/A Requesting Data...4285795433</v>
        <stp/>
        <stp>BDP|15096004532656854656</stp>
        <tr r="N2141" s="2"/>
      </tp>
      <tp t="s">
        <v>#N/A Requesting Data...4251535975</v>
        <stp/>
        <stp>BDP|18039923624710087590</stp>
        <tr r="E396" s="2"/>
      </tp>
      <tp t="s">
        <v>#N/A Requesting Data...4247379610</v>
        <stp/>
        <stp>BDP|15364670459704268408</stp>
        <tr r="N2506" s="2"/>
      </tp>
      <tp t="s">
        <v>#N/A Requesting Data...4255077206</v>
        <stp/>
        <stp>BDP|12196591286960769968</stp>
        <tr r="O830" s="2"/>
      </tp>
      <tp t="s">
        <v>#N/A Requesting Data...4267326774</v>
        <stp/>
        <stp>BDP|15899624911031267564</stp>
        <tr r="T1096" s="2"/>
      </tp>
      <tp t="s">
        <v>#N/A Requesting Data...4291241921</v>
        <stp/>
        <stp>BDP|16644704226835802077</stp>
        <tr r="E672" s="2"/>
      </tp>
      <tp t="s">
        <v>#N/A Requesting Data...4280985416</v>
        <stp/>
        <stp>BDP|11881527230435040450</stp>
        <tr r="T39" s="2"/>
      </tp>
      <tp t="s">
        <v>#N/A Requesting Data...4292960701</v>
        <stp/>
        <stp>BDP|14978390216249035998</stp>
        <tr r="M188" s="2"/>
      </tp>
      <tp t="s">
        <v>#N/A Requesting Data...4268492227</v>
        <stp/>
        <stp>BDP|10589487232059894888</stp>
        <tr r="J359" s="2"/>
      </tp>
      <tp t="s">
        <v>#N/A Requesting Data...4271767992</v>
        <stp/>
        <stp>BDP|10255780670225517308</stp>
        <tr r="F1619" s="2"/>
      </tp>
      <tp t="b">
        <v>0</v>
        <stp/>
        <stp>BDS|15373208205395978435</stp>
        <tr r="I99" s="2"/>
      </tp>
      <tp t="s">
        <v>#N/A Requesting Data...4293080662</v>
        <stp/>
        <stp>BDP|17749045849902433715</stp>
        <tr r="F245" s="2"/>
      </tp>
      <tp t="s">
        <v>#N/A Requesting Data...4283857609</v>
        <stp/>
        <stp>BDP|10929180130306887264</stp>
        <tr r="F931" s="2"/>
      </tp>
      <tp t="s">
        <v>#N/A Requesting Data...4280093068</v>
        <stp/>
        <stp>BDP|14919280111851747080</stp>
        <tr r="C1470" s="2"/>
      </tp>
      <tp t="s">
        <v>#N/A Requesting Data...4293001133</v>
        <stp/>
        <stp>BDP|10934328133410030671</stp>
        <tr r="E535" s="2"/>
      </tp>
      <tp t="s">
        <v>#N/A Requesting Data...4291077694</v>
        <stp/>
        <stp>BDP|14133588563529430810</stp>
        <tr r="T1719" s="2"/>
      </tp>
      <tp t="s">
        <v>#N/A Requesting Data...4293160170</v>
        <stp/>
        <stp>BDP|10709266949705082574</stp>
        <tr r="C556" s="2"/>
      </tp>
      <tp t="b">
        <v>0</v>
        <stp/>
        <stp>BDS|12529812684663524798</stp>
        <tr r="I1404" s="2"/>
      </tp>
      <tp t="s">
        <v>#N/A Requesting Data...4291740613</v>
        <stp/>
        <stp>BDP|11557854115916216885</stp>
        <tr r="D1634" s="2"/>
      </tp>
      <tp t="s">
        <v>#N/A Requesting Data...4294152478</v>
        <stp/>
        <stp>BDP|14610154678433184755</stp>
        <tr r="T122" s="2"/>
      </tp>
      <tp t="s">
        <v>#N/A Requesting Data...595707962</v>
        <stp/>
        <stp>BDP|10925353967050049349</stp>
        <tr r="J787" s="2"/>
      </tp>
      <tp t="b">
        <v>0</v>
        <stp/>
        <stp>BDS|13895355102541372702</stp>
        <tr r="I2053" s="2"/>
      </tp>
      <tp t="s">
        <v>#N/A Requesting Data...1713590107</v>
        <stp/>
        <stp>BDP|13651400203634338593</stp>
        <tr r="P2127" s="2"/>
      </tp>
      <tp t="s">
        <v>#N/A Requesting Data...4251043521</v>
        <stp/>
        <stp>BDP|13769327523330124483</stp>
        <tr r="M1912" s="2"/>
      </tp>
      <tp t="s">
        <v>#N/A Requesting Data...4003209667</v>
        <stp/>
        <stp>BDP|13752806821807000898</stp>
        <tr r="M2280" s="2"/>
      </tp>
      <tp t="s">
        <v>#N/A Requesting Data...3254522337</v>
        <stp/>
        <stp>BDP|14837514913583002551</stp>
        <tr r="E1628" s="2"/>
      </tp>
      <tp t="s">
        <v>#N/A Requesting Data...530008640</v>
        <stp/>
        <stp>BDP|10102666659727341226</stp>
        <tr r="A2011" s="2"/>
      </tp>
      <tp t="s">
        <v>#N/A Requesting Data...3113607506</v>
        <stp/>
        <stp>BDP|13506139247943700393</stp>
        <tr r="Q2404" s="2"/>
      </tp>
      <tp t="s">
        <v>#N/A Requesting Data...1890236094</v>
        <stp/>
        <stp>BDP|11377301014124976113</stp>
        <tr r="C2458" s="2"/>
      </tp>
      <tp t="s">
        <v>#N/A Requesting Data...1910898132</v>
        <stp/>
        <stp>BDP|16945424820074209263</stp>
        <tr r="M1528" s="2"/>
      </tp>
      <tp t="s">
        <v>#N/A Requesting Data...3457774336</v>
        <stp/>
        <stp>BDP|14766161960044819165</stp>
        <tr r="M2320" s="2"/>
      </tp>
      <tp t="s">
        <v>#N/A Requesting Data...220061825</v>
        <stp/>
        <stp>BDP|10722249210817406281</stp>
        <tr r="S760" s="2"/>
      </tp>
      <tp t="s">
        <v>#N/A Requesting Data...1367900512</v>
        <stp/>
        <stp>BDP|17305510147071344196</stp>
        <tr r="T2011" s="2"/>
      </tp>
      <tp t="s">
        <v>#N/A Requesting Data...3371207802</v>
        <stp/>
        <stp>BDP|16949637743491511334</stp>
        <tr r="A489" s="2"/>
      </tp>
      <tp t="s">
        <v>#N/A Requesting Data...606725762</v>
        <stp/>
        <stp>BDP|12260792115774755664</stp>
        <tr r="C2509" s="2"/>
      </tp>
      <tp t="s">
        <v>#N/A Requesting Data...1964837944</v>
        <stp/>
        <stp>BDP|15633766159438262945</stp>
        <tr r="E817" s="2"/>
      </tp>
      <tp t="s">
        <v>#N/A Requesting Data...2801301850</v>
        <stp/>
        <stp>BDP|15870767883678202407</stp>
        <tr r="T2489" s="2"/>
      </tp>
      <tp t="s">
        <v>#N/A Requesting Data...560406435</v>
        <stp/>
        <stp>BDP|14081121335062101298</stp>
        <tr r="S1207" s="2"/>
      </tp>
      <tp t="s">
        <v>#N/A Requesting Data...3990861662</v>
        <stp/>
        <stp>BDP|11095858895104659294</stp>
        <tr r="J2347" s="2"/>
      </tp>
      <tp t="s">
        <v>#N/A Requesting Data...951368862</v>
        <stp/>
        <stp>BDP|10580557307110195396</stp>
        <tr r="E2038" s="2"/>
      </tp>
      <tp t="s">
        <v>#N/A Requesting Data...2553874531</v>
        <stp/>
        <stp>BDP|15005737533146804177</stp>
        <tr r="E900" s="2"/>
      </tp>
      <tp t="s">
        <v>#N/A Requesting Data...3506280697</v>
        <stp/>
        <stp>BDP|15271413865085871412</stp>
        <tr r="F838" s="2"/>
      </tp>
      <tp t="s">
        <v>#N/A Requesting Data...2181081606</v>
        <stp/>
        <stp>BDP|18008773129798723367</stp>
        <tr r="N1109" s="2"/>
      </tp>
      <tp t="s">
        <v>#N/A Requesting Data...3438755324</v>
        <stp/>
        <stp>BDP|17068504119206154375</stp>
        <tr r="R1771" s="2"/>
      </tp>
      <tp t="s">
        <v>#N/A Requesting Data...1717633474</v>
        <stp/>
        <stp>BDP|12124247448363018127</stp>
        <tr r="J611" s="2"/>
      </tp>
      <tp t="s">
        <v>#N/A Requesting Data...285450956</v>
        <stp/>
        <stp>BDP|12369607204320117293</stp>
        <tr r="C858" s="2"/>
      </tp>
      <tp t="s">
        <v>#N/A Requesting Data...889626042</v>
        <stp/>
        <stp>BDP|15772100567567735381</stp>
        <tr r="O2485" s="2"/>
      </tp>
      <tp t="s">
        <v>#N/A Requesting Data...3614369229</v>
        <stp/>
        <stp>BDP|17850175605663236375</stp>
        <tr r="K1202" s="2"/>
      </tp>
      <tp t="s">
        <v>#N/A Requesting Data...705761218</v>
        <stp/>
        <stp>BDP|11259142241970802209</stp>
        <tr r="P2413" s="2"/>
      </tp>
      <tp t="s">
        <v>#N/A Requesting Data...1201095925</v>
        <stp/>
        <stp>BDP|11429195801011098739</stp>
        <tr r="G1497" s="2"/>
      </tp>
      <tp t="s">
        <v>#N/A Requesting Data...3177705125</v>
        <stp/>
        <stp>BDP|15178086218054607686</stp>
        <tr r="P48" s="2"/>
      </tp>
      <tp t="s">
        <v>#N/A Requesting Data...880307977</v>
        <stp/>
        <stp>BDP|14741007569491886598</stp>
        <tr r="J423" s="2"/>
      </tp>
      <tp t="s">
        <v>#N/A Requesting Data...3908761031</v>
        <stp/>
        <stp>BDP|17573350007603979111</stp>
        <tr r="T1847" s="2"/>
      </tp>
      <tp t="s">
        <v>#N/A Requesting Data...1848868213</v>
        <stp/>
        <stp>BDP|10991047294018007769</stp>
        <tr r="M2433" s="2"/>
      </tp>
      <tp t="s">
        <v>#N/A Requesting Data...2056765286</v>
        <stp/>
        <stp>BDP|15082884361375481820</stp>
        <tr r="R1194" s="2"/>
      </tp>
      <tp t="s">
        <v>#N/A Requesting Data...2381553681</v>
        <stp/>
        <stp>BDP|10969839801936134852</stp>
        <tr r="C2108" s="2"/>
      </tp>
      <tp t="s">
        <v>#N/A Requesting Data...3224294939</v>
        <stp/>
        <stp>BDP|14406092521217244713</stp>
        <tr r="A1450" s="2"/>
      </tp>
      <tp t="s">
        <v>#N/A Requesting Data...1058862740</v>
        <stp/>
        <stp>BDP|11776476167335165093</stp>
        <tr r="R57" s="2"/>
      </tp>
      <tp t="b">
        <v>0</v>
        <stp/>
        <stp>BDS|17247300746231900711</stp>
        <tr r="I1782" s="2"/>
      </tp>
      <tp t="s">
        <v>#N/A Requesting Data...2453485641</v>
        <stp/>
        <stp>BDP|15853155032414630560</stp>
        <tr r="N1543" s="2"/>
      </tp>
      <tp t="s">
        <v>#N/A Requesting Data...4069264153</v>
        <stp/>
        <stp>BDP|14064251954322640786</stp>
        <tr r="C2275" s="2"/>
      </tp>
      <tp t="s">
        <v>#N/A Requesting Data...3627062915</v>
        <stp/>
        <stp>BDP|16152021204799051980</stp>
        <tr r="A2363" s="2"/>
      </tp>
      <tp t="s">
        <v>#N/A Requesting Data...2702086165</v>
        <stp/>
        <stp>BDP|17929602162669176857</stp>
        <tr r="P1618" s="2"/>
      </tp>
      <tp t="s">
        <v>#N/A Requesting Data...2506439644</v>
        <stp/>
        <stp>BDP|10571357144621206090</stp>
        <tr r="O1492" s="2"/>
      </tp>
      <tp t="s">
        <v>#N/A Requesting Data...3953333951</v>
        <stp/>
        <stp>BDP|17820336253850797703</stp>
        <tr r="K510" s="2"/>
      </tp>
      <tp t="s">
        <v>#N/A Requesting Data...1742777914</v>
        <stp/>
        <stp>BDP|12928701646815462248</stp>
        <tr r="P407" s="2"/>
      </tp>
      <tp t="s">
        <v>#N/A Requesting Data...4203760410</v>
        <stp/>
        <stp>BDP|12339919485973934615</stp>
        <tr r="Q1566" s="2"/>
      </tp>
      <tp t="s">
        <v>#N/A Requesting Data...2972481540</v>
        <stp/>
        <stp>BDP|14223848018898074310</stp>
        <tr r="M2507" s="2"/>
      </tp>
      <tp t="s">
        <v>#N/A Requesting Data...3931392692</v>
        <stp/>
        <stp>BDP|11209239377971977302</stp>
        <tr r="K1490" s="2"/>
      </tp>
      <tp t="s">
        <v>#N/A Requesting Data...1143350663</v>
        <stp/>
        <stp>BDP|17821968136033589827</stp>
        <tr r="C506" s="2"/>
      </tp>
      <tp t="s">
        <v>#N/A Requesting Data...3598042382</v>
        <stp/>
        <stp>BDP|13647777439776760707</stp>
        <tr r="K2375" s="2"/>
      </tp>
      <tp t="s">
        <v>#N/A Requesting Data...2861881505</v>
        <stp/>
        <stp>BDP|10429261574540028391</stp>
        <tr r="O2420" s="2"/>
      </tp>
      <tp t="s">
        <v>#N/A Requesting Data...1210990507</v>
        <stp/>
        <stp>BDP|17696098310904855488</stp>
        <tr r="K675" s="2"/>
      </tp>
      <tp t="s">
        <v>#N/A Requesting Data...2984108303</v>
        <stp/>
        <stp>BDP|15138982776839685465</stp>
        <tr r="D112" s="2"/>
      </tp>
      <tp t="s">
        <v>#N/A Requesting Data...2471057914</v>
        <stp/>
        <stp>BDP|10596161334103951718</stp>
        <tr r="G1718" s="2"/>
      </tp>
      <tp t="s">
        <v>#N/A Requesting Data...3012773937</v>
        <stp/>
        <stp>BDP|13368048849989459856</stp>
        <tr r="E1884" s="2"/>
      </tp>
      <tp t="s">
        <v>#N/A Requesting Data...3566321481</v>
        <stp/>
        <stp>BDP|12334991190155650132</stp>
        <tr r="K908" s="2"/>
      </tp>
      <tp t="s">
        <v>#N/A Requesting Data...2474900666</v>
        <stp/>
        <stp>BDP|13462587817214069541</stp>
        <tr r="T1686" s="2"/>
      </tp>
      <tp t="s">
        <v>#N/A Requesting Data...3387939744</v>
        <stp/>
        <stp>BDP|14976535435962151605</stp>
        <tr r="P59" s="2"/>
      </tp>
      <tp t="s">
        <v>#N/A Requesting Data...2601210865</v>
        <stp/>
        <stp>BDP|11945603339722899063</stp>
        <tr r="A1620" s="2"/>
      </tp>
      <tp t="s">
        <v>#N/A Requesting Data...491642508</v>
        <stp/>
        <stp>BDP|15230514905874823207</stp>
        <tr r="C852" s="2"/>
      </tp>
      <tp t="s">
        <v>#N/A Requesting Data...3209362310</v>
        <stp/>
        <stp>BDP|17287299717134588672</stp>
        <tr r="E1597" s="2"/>
      </tp>
      <tp t="s">
        <v>#N/A Requesting Data...4167657999</v>
        <stp/>
        <stp>BDP|13255471728932014136</stp>
        <tr r="C2464" s="2"/>
      </tp>
      <tp t="s">
        <v>#N/A Requesting Data...3118429280</v>
        <stp/>
        <stp>BDP|16106854160856357893</stp>
        <tr r="S2080" s="2"/>
      </tp>
      <tp t="s">
        <v>#N/A Requesting Data...581500419</v>
        <stp/>
        <stp>BDP|13087304154662324192</stp>
        <tr r="Q1091" s="2"/>
      </tp>
      <tp t="s">
        <v>#N/A Requesting Data...3684607263</v>
        <stp/>
        <stp>BDP|17322440742064912529</stp>
        <tr r="D914" s="2"/>
      </tp>
      <tp t="s">
        <v>#N/A Requesting Data...2876014787</v>
        <stp/>
        <stp>BDP|14789097306021534335</stp>
        <tr r="D1666" s="2"/>
      </tp>
      <tp t="s">
        <v>#N/A Requesting Data...2308845119</v>
        <stp/>
        <stp>BDP|11901000919901846764</stp>
        <tr r="P259" s="2"/>
      </tp>
      <tp t="s">
        <v>#N/A Requesting Data...3564175840</v>
        <stp/>
        <stp>BDP|10458545356161019789</stp>
        <tr r="S1291" s="2"/>
      </tp>
      <tp t="s">
        <v>#N/A Requesting Data...2470159326</v>
        <stp/>
        <stp>BDP|14240833352837866850</stp>
        <tr r="S1709" s="2"/>
      </tp>
      <tp t="s">
        <v>#N/A Requesting Data...698811397</v>
        <stp/>
        <stp>BDP|14138748658590038035</stp>
        <tr r="D2061" s="2"/>
      </tp>
      <tp t="s">
        <v>#N/A Requesting Data...2660593573</v>
        <stp/>
        <stp>BDP|15695494373616239600</stp>
        <tr r="O1552" s="2"/>
      </tp>
      <tp t="s">
        <v>#N/A Requesting Data...2681842764</v>
        <stp/>
        <stp>BDP|16055333367786290380</stp>
        <tr r="M443" s="2"/>
      </tp>
      <tp t="s">
        <v>#N/A Requesting Data...588102503</v>
        <stp/>
        <stp>BDP|11948496162165837048</stp>
        <tr r="G1859" s="2"/>
      </tp>
      <tp t="s">
        <v>#N/A Requesting Data...1608919779</v>
        <stp/>
        <stp>BDP|13341392983517622919</stp>
        <tr r="O1132" s="2"/>
      </tp>
      <tp t="s">
        <v>#N/A Requesting Data...802322402</v>
        <stp/>
        <stp>BDP|12843910052818044050</stp>
        <tr r="A1817" s="2"/>
      </tp>
      <tp t="s">
        <v>#N/A Requesting Data...1392451741</v>
        <stp/>
        <stp>BDP|17095582966546859483</stp>
        <tr r="J1772" s="2"/>
      </tp>
      <tp t="s">
        <v>#N/A Requesting Data...1519105785</v>
        <stp/>
        <stp>BDP|15988171346813588531</stp>
        <tr r="D495" s="2"/>
      </tp>
      <tp t="s">
        <v>#N/A Requesting Data...800943943</v>
        <stp/>
        <stp>BDP|10978730552373086763</stp>
        <tr r="K2230" s="2"/>
      </tp>
      <tp t="s">
        <v>#N/A Requesting Data...2142571879</v>
        <stp/>
        <stp>BDP|11873173925806375274</stp>
        <tr r="Q992" s="2"/>
      </tp>
      <tp t="s">
        <v>#N/A Requesting Data...554036816</v>
        <stp/>
        <stp>BDP|14853819796381495259</stp>
        <tr r="K2299" s="2"/>
      </tp>
      <tp t="s">
        <v>#N/A Requesting Data...2041251757</v>
        <stp/>
        <stp>BDP|17520722018390492755</stp>
        <tr r="M1245" s="2"/>
      </tp>
      <tp t="s">
        <v>#N/A Requesting Data...3238470528</v>
        <stp/>
        <stp>BDP|16349389192703312944</stp>
        <tr r="E152" s="2"/>
      </tp>
      <tp t="s">
        <v>#N/A Requesting Data...3958106244</v>
        <stp/>
        <stp>BDP|16597861309328712035</stp>
        <tr r="J823" s="2"/>
      </tp>
      <tp t="s">
        <v>#N/A Requesting Data...1284880019</v>
        <stp/>
        <stp>BDP|13771965671153744898</stp>
        <tr r="F900" s="2"/>
      </tp>
      <tp t="s">
        <v>#N/A Requesting Data...4231725715</v>
        <stp/>
        <stp>BDP|13377951249369921188</stp>
        <tr r="C1237" s="2"/>
      </tp>
      <tp t="s">
        <v>#N/A Requesting Data...3049056459</v>
        <stp/>
        <stp>BDP|17931104101417155778</stp>
        <tr r="G2165" s="2"/>
      </tp>
      <tp t="s">
        <v>#N/A Requesting Data...3707560711</v>
        <stp/>
        <stp>BDP|10171410521672784287</stp>
        <tr r="M353" s="2"/>
      </tp>
      <tp t="s">
        <v>#N/A Requesting Data...3391389937</v>
        <stp/>
        <stp>BDP|10940480267932050686</stp>
        <tr r="G367" s="2"/>
      </tp>
      <tp t="s">
        <v>#N/A Requesting Data...4006913971</v>
        <stp/>
        <stp>BDP|11595089468796997723</stp>
        <tr r="D2177" s="2"/>
      </tp>
      <tp t="s">
        <v>#N/A Requesting Data...3899445290</v>
        <stp/>
        <stp>BDP|12930760547754789311</stp>
        <tr r="A1404" s="2"/>
      </tp>
      <tp t="s">
        <v>#N/A Requesting Data...2748595514</v>
        <stp/>
        <stp>BDP|17330329972455417092</stp>
        <tr r="N1490" s="2"/>
      </tp>
      <tp t="s">
        <v>#N/A Requesting Data...3530063382</v>
        <stp/>
        <stp>BDP|17819568218466146394</stp>
        <tr r="H893" s="2"/>
      </tp>
      <tp t="s">
        <v>#N/A Requesting Data...914884723</v>
        <stp/>
        <stp>BDP|12192142519353767753</stp>
        <tr r="N1271" s="2"/>
      </tp>
      <tp t="s">
        <v>#N/A Requesting Data...1979553335</v>
        <stp/>
        <stp>BDP|16965202021334133479</stp>
        <tr r="G1951" s="2"/>
      </tp>
      <tp t="s">
        <v>#N/A Requesting Data...733238314</v>
        <stp/>
        <stp>BDP|11521157643773976148</stp>
        <tr r="E2110" s="2"/>
      </tp>
      <tp t="s">
        <v>#N/A Requesting Data...3732894599</v>
        <stp/>
        <stp>BDP|14436198016763220173</stp>
        <tr r="D1848" s="2"/>
      </tp>
      <tp t="s">
        <v>#N/A Requesting Data...739818706</v>
        <stp/>
        <stp>BDP|10072303081808961567</stp>
        <tr r="H2130" s="2"/>
      </tp>
      <tp t="s">
        <v>#N/A Requesting Data...1843862806</v>
        <stp/>
        <stp>BDP|10667051858331710229</stp>
        <tr r="N1589" s="2"/>
      </tp>
      <tp t="s">
        <v>#N/A Requesting Data...2957858208</v>
        <stp/>
        <stp>BDP|10106724810257992743</stp>
        <tr r="E311" s="2"/>
      </tp>
      <tp t="s">
        <v>#N/A Requesting Data...3272200706</v>
        <stp/>
        <stp>BDP|12140389354384432671</stp>
        <tr r="H2061" s="2"/>
      </tp>
      <tp t="s">
        <v>#N/A Requesting Data...3030997808</v>
        <stp/>
        <stp>BDP|10349435556240060789</stp>
        <tr r="O1452" s="2"/>
      </tp>
      <tp t="s">
        <v>#N/A Requesting Data...1746455258</v>
        <stp/>
        <stp>BDP|16924039177194746342</stp>
        <tr r="S1226" s="2"/>
      </tp>
      <tp t="s">
        <v>#N/A Requesting Data...334066169</v>
        <stp/>
        <stp>BDP|12837610365837467361</stp>
        <tr r="O1316" s="2"/>
      </tp>
      <tp t="s">
        <v>#N/A Requesting Data...1039974799</v>
        <stp/>
        <stp>BDP|11837010467232153318</stp>
        <tr r="N966" s="2"/>
      </tp>
      <tp t="s">
        <v>#N/A Requesting Data...3513520185</v>
        <stp/>
        <stp>BDP|16277688774455066401</stp>
        <tr r="H963" s="2"/>
      </tp>
      <tp t="s">
        <v>#N/A Requesting Data...529588592</v>
        <stp/>
        <stp>BDP|10020784204699649848</stp>
        <tr r="D1531" s="2"/>
      </tp>
      <tp t="s">
        <v>#N/A Requesting Data...1588497856</v>
        <stp/>
        <stp>BDP|10490172640924409791</stp>
        <tr r="O1101" s="2"/>
      </tp>
      <tp t="s">
        <v>#N/A Requesting Data...2778547432</v>
        <stp/>
        <stp>BDP|10416248009614758009</stp>
        <tr r="N1716" s="2"/>
      </tp>
      <tp t="s">
        <v>#N/A Requesting Data...2976627633</v>
        <stp/>
        <stp>BDP|15151582748462839073</stp>
        <tr r="G1766" s="2"/>
      </tp>
      <tp t="s">
        <v>#N/A Requesting Data...1930492705</v>
        <stp/>
        <stp>BDP|11170978995584585381</stp>
        <tr r="Q222" s="2"/>
      </tp>
      <tp t="s">
        <v>#N/A Requesting Data...2484805980</v>
        <stp/>
        <stp>BDP|14864369262177696044</stp>
        <tr r="O934" s="2"/>
      </tp>
      <tp t="s">
        <v>#N/A Requesting Data...4249415979</v>
        <stp/>
        <stp>BDP|14997777745845106445</stp>
        <tr r="O774" s="2"/>
      </tp>
      <tp t="s">
        <v>#N/A Requesting Data...2806725794</v>
        <stp/>
        <stp>BDP|10908752332167108511</stp>
        <tr r="H376" s="2"/>
      </tp>
      <tp t="s">
        <v>#N/A Requesting Data...1173137904</v>
        <stp/>
        <stp>BDP|12550992705534291959</stp>
        <tr r="J1144" s="2"/>
      </tp>
      <tp t="s">
        <v>#N/A Requesting Data...2312742456</v>
        <stp/>
        <stp>BDP|17721269259602266449</stp>
        <tr r="O571" s="2"/>
      </tp>
      <tp t="s">
        <v>#N/A Requesting Data...1342479388</v>
        <stp/>
        <stp>BDP|13074827980734978152</stp>
        <tr r="G155" s="2"/>
      </tp>
      <tp t="b">
        <v>0</v>
        <stp/>
        <stp>BDS|12967930886311518446</stp>
        <tr r="I1606" s="2"/>
      </tp>
      <tp t="s">
        <v>#N/A Requesting Data...2161107090</v>
        <stp/>
        <stp>BDP|13727072819296417231</stp>
        <tr r="T2499" s="2"/>
      </tp>
      <tp t="s">
        <v>#N/A Requesting Data...2640744555</v>
        <stp/>
        <stp>BDP|12745064605563325795</stp>
        <tr r="C2115" s="2"/>
      </tp>
      <tp t="s">
        <v>#N/A Requesting Data...2676848906</v>
        <stp/>
        <stp>BDP|12629280634347084248</stp>
        <tr r="S306" s="2"/>
      </tp>
      <tp t="b">
        <v>0</v>
        <stp/>
        <stp>BDS|12744737834257401790</stp>
        <tr r="I1137" s="2"/>
      </tp>
      <tp t="s">
        <v>#N/A Requesting Data...1322004740</v>
        <stp/>
        <stp>BDP|16521722675429953950</stp>
        <tr r="Q878" s="2"/>
      </tp>
      <tp t="b">
        <v>0</v>
        <stp/>
        <stp>BDS|15584173614042226198</stp>
        <tr r="I1872" s="2"/>
      </tp>
      <tp t="s">
        <v>#N/A Requesting Data...2901708433</v>
        <stp/>
        <stp>BDP|17815214610641564324</stp>
        <tr r="R1689" s="2"/>
      </tp>
      <tp t="s">
        <v>#N/A Requesting Data...1147770765</v>
        <stp/>
        <stp>BDP|14311363157747530396</stp>
        <tr r="G1888" s="2"/>
      </tp>
      <tp t="s">
        <v>#N/A Requesting Data...2184557433</v>
        <stp/>
        <stp>BDP|16683156124855833615</stp>
        <tr r="C1692" s="2"/>
      </tp>
      <tp t="s">
        <v>#N/A Requesting Data...1765432845</v>
        <stp/>
        <stp>BDP|17609988184821258165</stp>
        <tr r="K520" s="2"/>
      </tp>
      <tp t="s">
        <v>#N/A Requesting Data...448251733</v>
        <stp/>
        <stp>BDP|13108297721853601618</stp>
        <tr r="D1160" s="2"/>
      </tp>
      <tp t="s">
        <v>#N/A Requesting Data...2734086407</v>
        <stp/>
        <stp>BDP|13842624472780695409</stp>
        <tr r="R1339" s="2"/>
      </tp>
      <tp t="s">
        <v>#N/A Requesting Data...1704653505</v>
        <stp/>
        <stp>BDP|12522684738266876734</stp>
        <tr r="Q1945" s="2"/>
      </tp>
      <tp t="s">
        <v>#N/A Requesting Data...1572234415</v>
        <stp/>
        <stp>BDP|15820974841636949893</stp>
        <tr r="F2446" s="2"/>
      </tp>
      <tp t="s">
        <v>#N/A Requesting Data...1191426972</v>
        <stp/>
        <stp>BDP|10970297817637822212</stp>
        <tr r="Q1729" s="2"/>
      </tp>
      <tp t="s">
        <v>#N/A Requesting Data...1665466270</v>
        <stp/>
        <stp>BDP|16372270656096415180</stp>
        <tr r="M127" s="2"/>
      </tp>
      <tp t="s">
        <v>#N/A Requesting Data...428829428</v>
        <stp/>
        <stp>BDP|10562431618231426241</stp>
        <tr r="G2414" s="2"/>
      </tp>
      <tp t="s">
        <v>#N/A Requesting Data...3391658429</v>
        <stp/>
        <stp>BDP|12933456131861397202</stp>
        <tr r="O1997" s="2"/>
      </tp>
      <tp t="s">
        <v>#N/A Requesting Data...3274259382</v>
        <stp/>
        <stp>BDP|16336087311400419104</stp>
        <tr r="P1007" s="2"/>
      </tp>
      <tp t="s">
        <v>#N/A Requesting Data...1283123568</v>
        <stp/>
        <stp>BDP|10428377171355555796</stp>
        <tr r="P1121" s="2"/>
      </tp>
      <tp t="s">
        <v>#N/A Requesting Data...704393964</v>
        <stp/>
        <stp>BDP|12045597134747069537</stp>
        <tr r="F2344" s="2"/>
      </tp>
      <tp t="s">
        <v>#N/A Requesting Data...3641220845</v>
        <stp/>
        <stp>BDP|13212917431176518993</stp>
        <tr r="J1552" s="2"/>
      </tp>
      <tp t="s">
        <v>#N/A Requesting Data...1218147205</v>
        <stp/>
        <stp>BDP|12907626117401602247</stp>
        <tr r="S1471" s="2"/>
      </tp>
      <tp t="s">
        <v>#N/A Requesting Data...3635745716</v>
        <stp/>
        <stp>BDP|18200132786491929601</stp>
        <tr r="G1066" s="2"/>
      </tp>
      <tp t="s">
        <v>#N/A Requesting Data...3035178548</v>
        <stp/>
        <stp>BDP|13518162408987786327</stp>
        <tr r="Q2461" s="2"/>
      </tp>
      <tp t="b">
        <v>0</v>
        <stp/>
        <stp>BDS|11767456578673167765</stp>
        <tr r="I1191" s="2"/>
      </tp>
      <tp t="s">
        <v>#N/A Requesting Data...2409181142</v>
        <stp/>
        <stp>BDP|16159090219631656092</stp>
        <tr r="H2403" s="2"/>
      </tp>
      <tp t="s">
        <v>#N/A Requesting Data...630740593</v>
        <stp/>
        <stp>BDP|10653512518355068716</stp>
        <tr r="O1825" s="2"/>
      </tp>
      <tp t="s">
        <v>#N/A Requesting Data...769344441</v>
        <stp/>
        <stp>BDP|16957415259215651493</stp>
        <tr r="T1552" s="2"/>
      </tp>
      <tp t="s">
        <v>#N/A Requesting Data...2846108836</v>
        <stp/>
        <stp>BDP|12726095752133504272</stp>
        <tr r="O1584" s="2"/>
      </tp>
      <tp t="s">
        <v>#N/A Requesting Data...1033705553</v>
        <stp/>
        <stp>BDP|18213858371279881807</stp>
        <tr r="H406" s="2"/>
      </tp>
      <tp t="s">
        <v>#N/A Requesting Data...2828265066</v>
        <stp/>
        <stp>BDP|10588700372931979702</stp>
        <tr r="K396" s="2"/>
      </tp>
      <tp t="s">
        <v>#N/A Requesting Data...2765396015</v>
        <stp/>
        <stp>BDP|16646553020221984649</stp>
        <tr r="N2091" s="2"/>
      </tp>
      <tp t="s">
        <v>#N/A Requesting Data...3769200091</v>
        <stp/>
        <stp>BDP|10320012385158875612</stp>
        <tr r="E2154" s="2"/>
      </tp>
      <tp t="s">
        <v>#N/A Requesting Data...1369630798</v>
        <stp/>
        <stp>BDP|11478496205306658503</stp>
        <tr r="O655" s="2"/>
      </tp>
      <tp t="s">
        <v>#N/A Requesting Data...2166822016</v>
        <stp/>
        <stp>BDP|17036220243281286622</stp>
        <tr r="N1018" s="2"/>
      </tp>
      <tp t="s">
        <v>#N/A Requesting Data...1599672779</v>
        <stp/>
        <stp>BDP|10686703425206316513</stp>
        <tr r="R814" s="2"/>
      </tp>
      <tp t="s">
        <v>#N/A Requesting Data...2966685329</v>
        <stp/>
        <stp>BDP|15036218045172546705</stp>
        <tr r="K1293" s="2"/>
      </tp>
      <tp t="s">
        <v>#N/A Requesting Data...3559711212</v>
        <stp/>
        <stp>BDP|16432844515281168858</stp>
        <tr r="G234" s="2"/>
      </tp>
      <tp t="s">
        <v>#N/A Requesting Data...1265739897</v>
        <stp/>
        <stp>BDP|12165595438976915480</stp>
        <tr r="M789" s="2"/>
      </tp>
      <tp t="s">
        <v>#N/A Requesting Data...1564023681</v>
        <stp/>
        <stp>BDP|16078854642305393953</stp>
        <tr r="Q1163" s="2"/>
      </tp>
      <tp t="s">
        <v>#N/A Requesting Data...2874148297</v>
        <stp/>
        <stp>BDP|14660736244226689760</stp>
        <tr r="E751" s="2"/>
      </tp>
      <tp t="s">
        <v>#N/A Requesting Data...1066080981</v>
        <stp/>
        <stp>BDP|17095079794489381116</stp>
        <tr r="R2130" s="2"/>
      </tp>
      <tp t="s">
        <v>#N/A Requesting Data...3755007272</v>
        <stp/>
        <stp>BDP|11038026618523986522</stp>
        <tr r="F1460" s="2"/>
      </tp>
      <tp t="s">
        <v>#N/A Requesting Data...1955917138</v>
        <stp/>
        <stp>BDP|16946825138623593874</stp>
        <tr r="H445" s="2"/>
      </tp>
      <tp t="s">
        <v>#N/A Requesting Data...3307292751</v>
        <stp/>
        <stp>BDP|11000750191808570105</stp>
        <tr r="N188" s="2"/>
      </tp>
      <tp t="s">
        <v>#N/A Requesting Data...1043086342</v>
        <stp/>
        <stp>BDP|15207742766961269334</stp>
        <tr r="H1789" s="2"/>
      </tp>
      <tp t="b">
        <v>0</v>
        <stp/>
        <stp>BDS|13326366966290769069</stp>
        <tr r="I2155" s="2"/>
      </tp>
      <tp t="s">
        <v>#N/A Requesting Data...2751692461</v>
        <stp/>
        <stp>BDP|12730365536195176179</stp>
        <tr r="S354" s="2"/>
      </tp>
      <tp t="s">
        <v>#N/A Requesting Data...2262778522</v>
        <stp/>
        <stp>BDP|11939487702604439768</stp>
        <tr r="Q539" s="2"/>
      </tp>
      <tp t="s">
        <v>#N/A Requesting Data...3052951588</v>
        <stp/>
        <stp>BDP|12778159212656798268</stp>
        <tr r="K1458" s="2"/>
      </tp>
      <tp t="s">
        <v>#N/A Requesting Data...571031995</v>
        <stp/>
        <stp>BDP|10511575381542617949</stp>
        <tr r="E2274" s="2"/>
      </tp>
      <tp t="s">
        <v>#N/A Requesting Data...2708213108</v>
        <stp/>
        <stp>BDP|12780770322268757946</stp>
        <tr r="D923" s="2"/>
      </tp>
      <tp t="s">
        <v>#N/A Requesting Data...2686175413</v>
        <stp/>
        <stp>BDP|12445690053252799587</stp>
        <tr r="O2260" s="2"/>
      </tp>
      <tp t="s">
        <v>#N/A Requesting Data...1726488600</v>
        <stp/>
        <stp>BDP|14631333675507181105</stp>
        <tr r="D1273" s="2"/>
      </tp>
      <tp t="s">
        <v>#N/A Requesting Data...2355726228</v>
        <stp/>
        <stp>BDP|17987454012470636493</stp>
        <tr r="T348" s="2"/>
      </tp>
      <tp t="s">
        <v>#N/A Requesting Data...3605792792</v>
        <stp/>
        <stp>BDP|18205004268941305985</stp>
        <tr r="F1446" s="2"/>
      </tp>
      <tp t="s">
        <v>#N/A Requesting Data...2162460871</v>
        <stp/>
        <stp>BDP|11041781392209963029</stp>
        <tr r="J2050" s="2"/>
      </tp>
      <tp t="s">
        <v>#N/A Requesting Data...3639573521</v>
        <stp/>
        <stp>BDP|16097536640001020025</stp>
        <tr r="Q1599" s="2"/>
      </tp>
      <tp t="s">
        <v>#N/A Requesting Data...4001360380</v>
        <stp/>
        <stp>BDP|14032362323610773338</stp>
        <tr r="R1072" s="2"/>
      </tp>
      <tp t="s">
        <v>#N/A Requesting Data...3294135281</v>
        <stp/>
        <stp>BDP|17107299676143718786</stp>
        <tr r="N1335" s="2"/>
      </tp>
      <tp t="s">
        <v>#N/A Requesting Data...1141406248</v>
        <stp/>
        <stp>BDP|15725787170886623580</stp>
        <tr r="K2216" s="2"/>
      </tp>
      <tp t="s">
        <v>#N/A Requesting Data...2059649228</v>
        <stp/>
        <stp>BDP|17729674051217527559</stp>
        <tr r="S1088" s="2"/>
      </tp>
      <tp t="s">
        <v>#N/A Requesting Data...1049231771</v>
        <stp/>
        <stp>BDP|13618349757074110756</stp>
        <tr r="S697" s="2"/>
      </tp>
      <tp t="s">
        <v>#N/A Requesting Data...3311153726</v>
        <stp/>
        <stp>BDP|10072458054094471347</stp>
        <tr r="F683" s="2"/>
      </tp>
      <tp t="s">
        <v>#N/A Requesting Data...3717857718</v>
        <stp/>
        <stp>BDP|11552790248356493210</stp>
        <tr r="G2264" s="2"/>
      </tp>
      <tp t="s">
        <v>#N/A Requesting Data...3156880089</v>
        <stp/>
        <stp>BDP|15050019878424974011</stp>
        <tr r="O541" s="2"/>
      </tp>
      <tp t="s">
        <v>#N/A Requesting Data...3166329127</v>
        <stp/>
        <stp>BDP|17065238576471649520</stp>
        <tr r="Q218" s="2"/>
      </tp>
      <tp t="s">
        <v>#N/A Requesting Data...1559070251</v>
        <stp/>
        <stp>BDP|11706147124880287449</stp>
        <tr r="H1522" s="2"/>
      </tp>
      <tp t="s">
        <v>#N/A Requesting Data...677293014</v>
        <stp/>
        <stp>BDP|14960369144524806124</stp>
        <tr r="T2227" s="2"/>
      </tp>
      <tp t="s">
        <v>#N/A Requesting Data...3400136159</v>
        <stp/>
        <stp>BDP|11509269854776631603</stp>
        <tr r="F247" s="2"/>
      </tp>
      <tp t="s">
        <v>#N/A Requesting Data...2313099417</v>
        <stp/>
        <stp>BDP|16071554115974440050</stp>
        <tr r="S1466" s="2"/>
      </tp>
      <tp t="s">
        <v>#N/A Requesting Data...1016283213</v>
        <stp/>
        <stp>BDP|11512131257873436045</stp>
        <tr r="J612" s="2"/>
      </tp>
      <tp t="s">
        <v>#N/A Requesting Data...1498537191</v>
        <stp/>
        <stp>BDP|15289125350302058515</stp>
        <tr r="H527" s="2"/>
      </tp>
      <tp t="s">
        <v>#N/A Requesting Data...4218150180</v>
        <stp/>
        <stp>BDP|17561054557652023668</stp>
        <tr r="A1203" s="2"/>
      </tp>
      <tp t="s">
        <v>#N/A Requesting Data...3603223608</v>
        <stp/>
        <stp>BDP|16195273840770566626</stp>
        <tr r="H738" s="2"/>
      </tp>
      <tp t="s">
        <v>#N/A Requesting Data...3436311095</v>
        <stp/>
        <stp>BDP|17872697263848308905</stp>
        <tr r="Q2364" s="2"/>
      </tp>
      <tp t="s">
        <v>#N/A Requesting Data...2983807817</v>
        <stp/>
        <stp>BDP|15698717587214365827</stp>
        <tr r="Q920" s="2"/>
      </tp>
      <tp t="s">
        <v>#N/A Requesting Data...3720673978</v>
        <stp/>
        <stp>BDP|12099376751331675316</stp>
        <tr r="D1650" s="2"/>
      </tp>
      <tp t="s">
        <v>#N/A Requesting Data...841182162</v>
        <stp/>
        <stp>BDP|15665311156173526659</stp>
        <tr r="F1225" s="2"/>
      </tp>
      <tp t="s">
        <v>#N/A Requesting Data...2775976843</v>
        <stp/>
        <stp>BDP|10690553490303555971</stp>
        <tr r="K212" s="2"/>
      </tp>
      <tp t="s">
        <v>#N/A Requesting Data...1456796853</v>
        <stp/>
        <stp>BDP|10422519021727012650</stp>
        <tr r="R489" s="2"/>
      </tp>
      <tp t="s">
        <v>#N/A Requesting Data...3390806887</v>
        <stp/>
        <stp>BDP|15621864814092582803</stp>
        <tr r="N1609" s="2"/>
      </tp>
      <tp t="s">
        <v>#N/A Requesting Data...654228036</v>
        <stp/>
        <stp>BDP|14170259974550932784</stp>
        <tr r="P1986" s="2"/>
      </tp>
      <tp t="s">
        <v>#N/A Requesting Data...593572831</v>
        <stp/>
        <stp>BDP|10345780505237893673</stp>
        <tr r="N394" s="2"/>
      </tp>
      <tp t="s">
        <v>#N/A Requesting Data...1783621256</v>
        <stp/>
        <stp>BDP|18168571057709633760</stp>
        <tr r="F1597" s="2"/>
      </tp>
      <tp t="s">
        <v>#N/A Requesting Data...2112900795</v>
        <stp/>
        <stp>BDP|12278415184029081169</stp>
        <tr r="N2269" s="2"/>
      </tp>
      <tp t="s">
        <v>#N/A Requesting Data...1286629893</v>
        <stp/>
        <stp>BDP|11982164576955005486</stp>
        <tr r="S407" s="2"/>
      </tp>
      <tp t="s">
        <v>#N/A Requesting Data...1723874647</v>
        <stp/>
        <stp>BDP|17506576254217233654</stp>
        <tr r="J1568" s="2"/>
      </tp>
      <tp t="s">
        <v>#N/A Requesting Data...3862549240</v>
        <stp/>
        <stp>BDP|12741009173197776429</stp>
        <tr r="K209" s="2"/>
      </tp>
      <tp t="s">
        <v>#N/A Requesting Data...962676429</v>
        <stp/>
        <stp>BDP|15522272315792247241</stp>
        <tr r="F455" s="2"/>
      </tp>
      <tp t="s">
        <v>#N/A Requesting Data...3074011473</v>
        <stp/>
        <stp>BDP|16427696875646095799</stp>
        <tr r="J1744" s="2"/>
      </tp>
      <tp t="b">
        <v>0</v>
        <stp/>
        <stp>BDS|10969327933191867724</stp>
        <tr r="I141" s="2"/>
      </tp>
      <tp t="s">
        <v>#N/A Requesting Data...776382882</v>
        <stp/>
        <stp>BDP|17598673997979723733</stp>
        <tr r="Q2402" s="2"/>
      </tp>
      <tp t="s">
        <v>#N/A Requesting Data...3615025526</v>
        <stp/>
        <stp>BDP|10287868626779157520</stp>
        <tr r="T168" s="2"/>
      </tp>
      <tp t="s">
        <v>#N/A Requesting Data...2113788353</v>
        <stp/>
        <stp>BDP|14191594071297098784</stp>
        <tr r="C590" s="2"/>
      </tp>
      <tp t="s">
        <v>#N/A Requesting Data...4167913614</v>
        <stp/>
        <stp>BDP|14014673440851096161</stp>
        <tr r="Q2249" s="2"/>
      </tp>
      <tp t="s">
        <v>#N/A Requesting Data...1733626748</v>
        <stp/>
        <stp>BDP|11984514587942757892</stp>
        <tr r="K1208" s="2"/>
      </tp>
      <tp t="s">
        <v>#N/A Requesting Data...2309561664</v>
        <stp/>
        <stp>BDP|13071803623039158630</stp>
        <tr r="O2374" s="2"/>
      </tp>
      <tp t="s">
        <v>#N/A Requesting Data...1026821369</v>
        <stp/>
        <stp>BDP|14133693998708274531</stp>
        <tr r="N349" s="2"/>
      </tp>
      <tp t="s">
        <v>#N/A Requesting Data...2227101749</v>
        <stp/>
        <stp>BDP|14747468806433192570</stp>
        <tr r="A988" s="2"/>
      </tp>
      <tp t="s">
        <v>#N/A Requesting Data...1217743803</v>
        <stp/>
        <stp>BDP|16278104271350167637</stp>
        <tr r="E515" s="2"/>
      </tp>
      <tp t="s">
        <v>#N/A Requesting Data...2004274523</v>
        <stp/>
        <stp>BDP|10745798436580992201</stp>
        <tr r="J727" s="2"/>
      </tp>
      <tp t="b">
        <v>0</v>
        <stp/>
        <stp>BDS|16661446854191344074</stp>
        <tr r="I2080" s="2"/>
      </tp>
      <tp t="s">
        <v>#N/A Requesting Data...3343371035</v>
        <stp/>
        <stp>BDP|17109742131087547207</stp>
        <tr r="A1870" s="2"/>
      </tp>
      <tp t="s">
        <v>#N/A Requesting Data...767697760</v>
        <stp/>
        <stp>BDP|12396411626823173146</stp>
        <tr r="O1913" s="2"/>
      </tp>
      <tp t="s">
        <v>#N/A Requesting Data...3457587363</v>
        <stp/>
        <stp>BDP|11421328764956751447</stp>
        <tr r="K100" s="2"/>
      </tp>
      <tp t="s">
        <v>#N/A Requesting Data...3515469604</v>
        <stp/>
        <stp>BDP|13609018862346587512</stp>
        <tr r="O606" s="2"/>
      </tp>
      <tp t="s">
        <v>#N/A Requesting Data...1697708925</v>
        <stp/>
        <stp>BDP|16178249960886764230</stp>
        <tr r="J1965" s="2"/>
      </tp>
      <tp t="s">
        <v>#N/A Requesting Data...1697649738</v>
        <stp/>
        <stp>BDP|11443107764699677972</stp>
        <tr r="O1288" s="2"/>
      </tp>
      <tp t="s">
        <v>#N/A Requesting Data...4265352112</v>
        <stp/>
        <stp>BDP|17698140994599182064</stp>
        <tr r="C2511" s="2"/>
      </tp>
      <tp t="s">
        <v>#N/A Requesting Data...2638170131</v>
        <stp/>
        <stp>BDP|10074731453066033215</stp>
        <tr r="G868" s="2"/>
      </tp>
      <tp t="s">
        <v>#N/A Requesting Data...2177786705</v>
        <stp/>
        <stp>BDP|10563510675573624761</stp>
        <tr r="F993" s="2"/>
      </tp>
      <tp t="s">
        <v>#N/A Requesting Data...890094780</v>
        <stp/>
        <stp>BDP|15724665313294318004</stp>
        <tr r="K1883" s="2"/>
      </tp>
      <tp t="b">
        <v>0</v>
        <stp/>
        <stp>BDS|10696333709350904579</stp>
        <tr r="I714" s="2"/>
      </tp>
      <tp t="s">
        <v>#N/A Requesting Data...969067303</v>
        <stp/>
        <stp>BDP|16190589042961315098</stp>
        <tr r="A2503" s="2"/>
      </tp>
      <tp t="s">
        <v>#N/A Requesting Data...2732360475</v>
        <stp/>
        <stp>BDP|17140458458227864758</stp>
        <tr r="N1120" s="2"/>
      </tp>
      <tp t="s">
        <v>#N/A Requesting Data...2420189350</v>
        <stp/>
        <stp>BDP|17998171036102877119</stp>
        <tr r="H2147" s="2"/>
      </tp>
      <tp t="s">
        <v>#N/A Requesting Data...1577415486</v>
        <stp/>
        <stp>BDP|11511190133793662687</stp>
        <tr r="K1399" s="2"/>
      </tp>
      <tp t="s">
        <v>#N/A Requesting Data...3969977233</v>
        <stp/>
        <stp>BDP|11281010603841774660</stp>
        <tr r="E2481" s="2"/>
      </tp>
      <tp t="s">
        <v>#N/A Requesting Data...983700458</v>
        <stp/>
        <stp>BDP|17127541271967794424</stp>
        <tr r="Q2261" s="2"/>
      </tp>
      <tp t="s">
        <v>#N/A Requesting Data...899730200</v>
        <stp/>
        <stp>BDP|15066761214131187429</stp>
        <tr r="P1334" s="2"/>
      </tp>
      <tp t="s">
        <v>#N/A Requesting Data...2573995065</v>
        <stp/>
        <stp>BDP|14456216284528804081</stp>
        <tr r="F1362" s="2"/>
      </tp>
      <tp t="s">
        <v>#N/A Requesting Data...2305667296</v>
        <stp/>
        <stp>BDP|15587764340436465669</stp>
        <tr r="O1236" s="2"/>
      </tp>
      <tp t="s">
        <v>#N/A Requesting Data...1905523469</v>
        <stp/>
        <stp>BDP|17379106055561552427</stp>
        <tr r="A1952" s="2"/>
      </tp>
      <tp t="s">
        <v>#N/A Requesting Data...2072686150</v>
        <stp/>
        <stp>BDP|18144934636454358067</stp>
        <tr r="O2203" s="2"/>
      </tp>
      <tp t="s">
        <v>#N/A Requesting Data...3811186414</v>
        <stp/>
        <stp>BDP|15098230724812460121</stp>
        <tr r="K1841" s="2"/>
      </tp>
      <tp t="s">
        <v>#N/A Requesting Data...1310457596</v>
        <stp/>
        <stp>BDP|13208363456835296614</stp>
        <tr r="G1723" s="2"/>
      </tp>
      <tp t="s">
        <v>#N/A Requesting Data...1728542529</v>
        <stp/>
        <stp>BDP|13248879428276591990</stp>
        <tr r="S1143" s="2"/>
      </tp>
      <tp t="s">
        <v>#N/A Requesting Data...4139942882</v>
        <stp/>
        <stp>BDP|15382273240473691630</stp>
        <tr r="D197" s="2"/>
      </tp>
      <tp t="s">
        <v>#N/A Requesting Data...4149921480</v>
        <stp/>
        <stp>BDP|16609382378582423633</stp>
        <tr r="M2225" s="2"/>
      </tp>
      <tp t="s">
        <v>#N/A Requesting Data...3189377802</v>
        <stp/>
        <stp>BDP|13307053437112821486</stp>
        <tr r="O2154" s="2"/>
      </tp>
      <tp t="b">
        <v>0</v>
        <stp/>
        <stp>BDS|14166822602733061933</stp>
        <tr r="I143" s="2"/>
      </tp>
      <tp t="s">
        <v>#N/A Requesting Data...2013696126</v>
        <stp/>
        <stp>BDP|10262004935706422322</stp>
        <tr r="F1190" s="2"/>
      </tp>
      <tp t="s">
        <v>#N/A Requesting Data...3420710615</v>
        <stp/>
        <stp>BDP|11029405530231166106</stp>
        <tr r="O1019" s="2"/>
      </tp>
      <tp t="s">
        <v>#N/A Requesting Data...2414619935</v>
        <stp/>
        <stp>BDP|11113731704219013976</stp>
        <tr r="N522" s="2"/>
      </tp>
      <tp t="s">
        <v>#N/A Requesting Data...1216872731</v>
        <stp/>
        <stp>BDP|10228386962195859615</stp>
        <tr r="Q990" s="2"/>
      </tp>
      <tp t="s">
        <v>#N/A Requesting Data...3709004602</v>
        <stp/>
        <stp>BDP|10384711810644134428</stp>
        <tr r="E261" s="2"/>
      </tp>
      <tp t="s">
        <v>#N/A Requesting Data...2107477653</v>
        <stp/>
        <stp>BDP|14485863632919547042</stp>
        <tr r="M2375" s="2"/>
      </tp>
      <tp t="s">
        <v>#N/A Requesting Data...1853908498</v>
        <stp/>
        <stp>BDP|11079501793688277303</stp>
        <tr r="G1074" s="2"/>
      </tp>
      <tp t="b">
        <v>0</v>
        <stp/>
        <stp>BDS|10664275413487478244</stp>
        <tr r="I2466" s="2"/>
      </tp>
      <tp t="s">
        <v>#N/A Requesting Data...1025047682</v>
        <stp/>
        <stp>BDP|13531065042274934593</stp>
        <tr r="M810" s="2"/>
      </tp>
      <tp t="s">
        <v>#N/A Requesting Data...975313616</v>
        <stp/>
        <stp>BDP|12299616633126720777</stp>
        <tr r="P551" s="2"/>
      </tp>
      <tp t="s">
        <v>#N/A Requesting Data...1783902516</v>
        <stp/>
        <stp>BDP|10557394245411178089</stp>
        <tr r="H1498" s="2"/>
      </tp>
      <tp t="s">
        <v>#N/A Requesting Data...2842418490</v>
        <stp/>
        <stp>BDP|16910219736021949077</stp>
        <tr r="A1091" s="2"/>
      </tp>
      <tp t="s">
        <v>#N/A Requesting Data...2244339010</v>
        <stp/>
        <stp>BDP|13651845281844202113</stp>
        <tr r="H1060" s="2"/>
      </tp>
      <tp t="s">
        <v>#N/A Requesting Data...3247296560</v>
        <stp/>
        <stp>BDP|17539610459780591286</stp>
        <tr r="F122" s="2"/>
      </tp>
      <tp t="s">
        <v>#N/A Requesting Data...3779213103</v>
        <stp/>
        <stp>BDP|14223719661602232105</stp>
        <tr r="K465" s="2"/>
      </tp>
      <tp t="b">
        <v>0</v>
        <stp/>
        <stp>BDS|12486206420753737701</stp>
        <tr r="I1151" s="2"/>
      </tp>
      <tp t="s">
        <v>#N/A Requesting Data...1800661339</v>
        <stp/>
        <stp>BDP|15439770287748480406</stp>
        <tr r="D820" s="2"/>
      </tp>
      <tp t="s">
        <v>#N/A Requesting Data...1747419599</v>
        <stp/>
        <stp>BDP|12035233060314703449</stp>
        <tr r="M1334" s="2"/>
      </tp>
      <tp t="s">
        <v>#N/A Requesting Data...2140921877</v>
        <stp/>
        <stp>BDP|13771229760080169142</stp>
        <tr r="T1273" s="2"/>
      </tp>
      <tp t="s">
        <v>#N/A Requesting Data...1251970658</v>
        <stp/>
        <stp>BDP|14674620140537207768</stp>
        <tr r="A982" s="2"/>
      </tp>
      <tp t="s">
        <v>#N/A Requesting Data...1137952830</v>
        <stp/>
        <stp>BDP|15069231686551187843</stp>
        <tr r="E2053" s="2"/>
      </tp>
      <tp t="s">
        <v>#N/A Requesting Data...2191235273</v>
        <stp/>
        <stp>BDP|17189140022357405532</stp>
        <tr r="G599" s="2"/>
      </tp>
      <tp t="s">
        <v>#N/A Requesting Data...3470407808</v>
        <stp/>
        <stp>BDP|18085780592825309599</stp>
        <tr r="Q740" s="2"/>
      </tp>
      <tp t="s">
        <v>#N/A Requesting Data...3442276314</v>
        <stp/>
        <stp>BDP|12393232849891927308</stp>
        <tr r="R472" s="2"/>
      </tp>
      <tp t="s">
        <v>#N/A Requesting Data...1208419170</v>
        <stp/>
        <stp>BDP|17015603643651342209</stp>
        <tr r="H2441" s="2"/>
      </tp>
      <tp t="b">
        <v>0</v>
        <stp/>
        <stp>BDS|10192401965695735104</stp>
        <tr r="I152" s="2"/>
      </tp>
      <tp t="s">
        <v>#N/A Requesting Data...2494798795</v>
        <stp/>
        <stp>BDP|14242378715812795274</stp>
        <tr r="T587" s="2"/>
      </tp>
      <tp t="s">
        <v>#N/A Requesting Data...2781513211</v>
        <stp/>
        <stp>BDP|16633020600468073849</stp>
        <tr r="C2397" s="2"/>
      </tp>
      <tp t="s">
        <v>#N/A Requesting Data...2414484178</v>
        <stp/>
        <stp>BDP|16508491755848097998</stp>
        <tr r="Q1905" s="2"/>
      </tp>
      <tp t="s">
        <v>#N/A Requesting Data...2626366502</v>
        <stp/>
        <stp>BDP|17378566154967145604</stp>
        <tr r="D823" s="2"/>
      </tp>
      <tp t="s">
        <v>#N/A Requesting Data...2341622513</v>
        <stp/>
        <stp>BDP|17392950144425524977</stp>
        <tr r="E1541" s="2"/>
      </tp>
      <tp t="s">
        <v>#N/A Requesting Data...965544175</v>
        <stp/>
        <stp>BDP|16524786505640834709</stp>
        <tr r="G2320" s="2"/>
      </tp>
      <tp t="s">
        <v>#N/A Requesting Data...2243952274</v>
        <stp/>
        <stp>BDP|12245744158256822068</stp>
        <tr r="P1380" s="2"/>
      </tp>
      <tp t="s">
        <v>#N/A Requesting Data...3659820592</v>
        <stp/>
        <stp>BDP|15388885098635237717</stp>
        <tr r="G753" s="2"/>
      </tp>
      <tp t="s">
        <v>#N/A Requesting Data...3258661319</v>
        <stp/>
        <stp>BDP|10339337561093536048</stp>
        <tr r="T1095" s="2"/>
      </tp>
      <tp t="s">
        <v>#N/A Requesting Data...4274244328</v>
        <stp/>
        <stp>BDP|14137068086869693375</stp>
        <tr r="Q2210" s="2"/>
      </tp>
      <tp t="s">
        <v>#N/A Requesting Data...1159226017</v>
        <stp/>
        <stp>BDP|12288758534574406478</stp>
        <tr r="C940" s="2"/>
      </tp>
      <tp t="s">
        <v>#N/A Requesting Data...1122222995</v>
        <stp/>
        <stp>BDP|17695767454981521218</stp>
        <tr r="R621" s="2"/>
      </tp>
      <tp t="s">
        <v>#N/A Requesting Data...2153478974</v>
        <stp/>
        <stp>BDP|14889143307455374685</stp>
        <tr r="A21" s="2"/>
      </tp>
      <tp t="b">
        <v>0</v>
        <stp/>
        <stp>BDS|16793843895831393066</stp>
        <tr r="I1217" s="2"/>
      </tp>
      <tp t="s">
        <v>#N/A Requesting Data...3446529081</v>
        <stp/>
        <stp>BDP|14449611015092384730</stp>
        <tr r="P1085" s="2"/>
      </tp>
      <tp t="b">
        <v>0</v>
        <stp/>
        <stp>BDS|17170358931595424425</stp>
        <tr r="I1945" s="2"/>
      </tp>
      <tp t="s">
        <v>#N/A Requesting Data...4026565655</v>
        <stp/>
        <stp>BDP|13916525404605692596</stp>
        <tr r="R1136" s="2"/>
      </tp>
      <tp t="s">
        <v>#N/A Requesting Data...3873423498</v>
        <stp/>
        <stp>BDP|12503499660432585498</stp>
        <tr r="T164" s="2"/>
      </tp>
      <tp t="s">
        <v>#N/A Requesting Data...2260111894</v>
        <stp/>
        <stp>BDP|10363094106417481183</stp>
        <tr r="G1545" s="2"/>
      </tp>
      <tp t="s">
        <v>#N/A Requesting Data...2797702518</v>
        <stp/>
        <stp>BDP|16173193668034314338</stp>
        <tr r="H1694" s="2"/>
      </tp>
      <tp t="s">
        <v>#N/A Requesting Data...4199381804</v>
        <stp/>
        <stp>BDP|11785733809258875852</stp>
        <tr r="N849" s="2"/>
      </tp>
      <tp t="s">
        <v>#N/A Requesting Data...3324697638</v>
        <stp/>
        <stp>BDP|11256833991005293323</stp>
        <tr r="C768" s="2"/>
      </tp>
      <tp t="s">
        <v>#N/A Requesting Data...1841437075</v>
        <stp/>
        <stp>BDP|12218237777830520130</stp>
        <tr r="N1178" s="2"/>
      </tp>
      <tp t="s">
        <v>#N/A Requesting Data...2552149234</v>
        <stp/>
        <stp>BDP|16667446310164294104</stp>
        <tr r="S915" s="2"/>
      </tp>
      <tp t="b">
        <v>0</v>
        <stp/>
        <stp>BDS|18377968005752641550</stp>
        <tr r="I1398" s="2"/>
      </tp>
      <tp t="s">
        <v>#N/A Requesting Data...2276750908</v>
        <stp/>
        <stp>BDP|18122191442189264287</stp>
        <tr r="D771" s="2"/>
      </tp>
      <tp t="s">
        <v>#N/A Requesting Data...1384160418</v>
        <stp/>
        <stp>BDP|15084459178781958140</stp>
        <tr r="E2286" s="2"/>
      </tp>
      <tp t="s">
        <v>#N/A Requesting Data...2872877927</v>
        <stp/>
        <stp>BDP|16621507610420131471</stp>
        <tr r="C501" s="2"/>
      </tp>
      <tp t="s">
        <v>#N/A Requesting Data...3440708436</v>
        <stp/>
        <stp>BDP|14341972676269056522</stp>
        <tr r="M1881" s="2"/>
      </tp>
      <tp t="s">
        <v>#N/A Requesting Data...1891248463</v>
        <stp/>
        <stp>BDP|16165983067177933874</stp>
        <tr r="M440" s="2"/>
      </tp>
      <tp t="s">
        <v>#N/A Requesting Data...2731275262</v>
        <stp/>
        <stp>BDP|11595772862824456244</stp>
        <tr r="H242" s="2"/>
      </tp>
      <tp t="s">
        <v>#N/A Requesting Data...2263204002</v>
        <stp/>
        <stp>BDP|11581914586820612647</stp>
        <tr r="C854" s="2"/>
      </tp>
      <tp t="b">
        <v>0</v>
        <stp/>
        <stp>BDS|13968628929476592741</stp>
        <tr r="I1587" s="2"/>
      </tp>
      <tp t="s">
        <v>#N/A Requesting Data...2537358891</v>
        <stp/>
        <stp>BDP|14757401073846784736</stp>
        <tr r="O1664" s="2"/>
      </tp>
      <tp t="b">
        <v>0</v>
        <stp/>
        <stp>BDS|10218629444850648416</stp>
        <tr r="I168" s="2"/>
      </tp>
      <tp t="s">
        <v>#N/A Requesting Data...1513966643</v>
        <stp/>
        <stp>BDP|11814801629734312924</stp>
        <tr r="H632" s="2"/>
      </tp>
      <tp t="b">
        <v>0</v>
        <stp/>
        <stp>BDS|13537276278676081699</stp>
        <tr r="I39" s="2"/>
      </tp>
      <tp t="s">
        <v>#N/A Requesting Data...3086213541</v>
        <stp/>
        <stp>BDP|15855405302331908632</stp>
        <tr r="G1620" s="2"/>
      </tp>
      <tp t="s">
        <v>#N/A Requesting Data...3300118586</v>
        <stp/>
        <stp>BDP|18070749818529495183</stp>
        <tr r="A308" s="2"/>
      </tp>
      <tp t="s">
        <v>#N/A Requesting Data...1281272502</v>
        <stp/>
        <stp>BDP|17595313356903728450</stp>
        <tr r="P2012" s="2"/>
      </tp>
      <tp t="b">
        <v>0</v>
        <stp/>
        <stp>BDS|14043031340694727270</stp>
        <tr r="I768" s="2"/>
      </tp>
      <tp t="s">
        <v>#N/A Requesting Data...2522745849</v>
        <stp/>
        <stp>BDP|13503513595608931187</stp>
        <tr r="G1887" s="2"/>
      </tp>
      <tp t="s">
        <v>#N/A Requesting Data...2862167498</v>
        <stp/>
        <stp>BDP|18248564825120405950</stp>
        <tr r="T983" s="2"/>
      </tp>
      <tp t="s">
        <v>#N/A Requesting Data...3362961348</v>
        <stp/>
        <stp>BDP|11554508605251694367</stp>
        <tr r="A1787" s="2"/>
      </tp>
      <tp t="s">
        <v>#N/A Requesting Data...3573253183</v>
        <stp/>
        <stp>BDP|14982629258542458371</stp>
        <tr r="K375" s="2"/>
      </tp>
      <tp t="s">
        <v>#N/A Requesting Data...2648056987</v>
        <stp/>
        <stp>BDP|17398530021832584449</stp>
        <tr r="P1841" s="2"/>
      </tp>
      <tp t="s">
        <v>#N/A Requesting Data...1668373983</v>
        <stp/>
        <stp>BDP|15100564032436068356</stp>
        <tr r="H252" s="2"/>
      </tp>
      <tp t="b">
        <v>0</v>
        <stp/>
        <stp>BDS|11697443606905009674</stp>
        <tr r="I1756" s="2"/>
      </tp>
      <tp t="s">
        <v>#N/A Requesting Data...975682456</v>
        <stp/>
        <stp>BDP|11797093549746592523</stp>
        <tr r="T603" s="2"/>
      </tp>
      <tp t="s">
        <v>#N/A Requesting Data...4073775819</v>
        <stp/>
        <stp>BDP|17057997748475913980</stp>
        <tr r="S1616" s="2"/>
      </tp>
      <tp t="s">
        <v>#N/A Requesting Data...4101493964</v>
        <stp/>
        <stp>BDP|15410285838562210066</stp>
        <tr r="H174" s="2"/>
      </tp>
      <tp t="b">
        <v>0</v>
        <stp/>
        <stp>BDS|15173400106171750635</stp>
        <tr r="I2" s="2"/>
      </tp>
      <tp t="s">
        <v>#N/A Requesting Data...3107593092</v>
        <stp/>
        <stp>BDP|11145926447212344872</stp>
        <tr r="G2211" s="2"/>
      </tp>
      <tp t="s">
        <v>#N/A Requesting Data...2654683656</v>
        <stp/>
        <stp>BDP|12003757902263718002</stp>
        <tr r="A2436" s="2"/>
      </tp>
      <tp t="s">
        <v>#N/A Requesting Data...3163444010</v>
        <stp/>
        <stp>BDP|16596269305357244541</stp>
        <tr r="A878" s="2"/>
      </tp>
      <tp t="b">
        <v>0</v>
        <stp/>
        <stp>BDS|17802431854770499089</stp>
        <tr r="I509" s="2"/>
      </tp>
      <tp t="s">
        <v>#N/A Requesting Data...4101327044</v>
        <stp/>
        <stp>BDP|14376165703155175672</stp>
        <tr r="N106" s="2"/>
      </tp>
      <tp t="s">
        <v>#N/A Requesting Data...3470961073</v>
        <stp/>
        <stp>BDP|16431341540754560355</stp>
        <tr r="D1823" s="2"/>
      </tp>
      <tp t="s">
        <v>#N/A Requesting Data...1851039070</v>
        <stp/>
        <stp>BDP|14050364721557062474</stp>
        <tr r="J1890" s="2"/>
      </tp>
      <tp t="s">
        <v>#N/A Requesting Data...3697438914</v>
        <stp/>
        <stp>BDP|16237441169410655295</stp>
        <tr r="P3" s="2"/>
      </tp>
      <tp t="s">
        <v>#N/A Requesting Data...2748187777</v>
        <stp/>
        <stp>BDP|16914763637310801407</stp>
        <tr r="C1172" s="2"/>
      </tp>
      <tp t="s">
        <v>#N/A Requesting Data...2705709653</v>
        <stp/>
        <stp>BDP|17051900092994311518</stp>
        <tr r="R649" s="2"/>
      </tp>
      <tp t="s">
        <v>#N/A Requesting Data...4040267142</v>
        <stp/>
        <stp>BDP|12429725719607946560</stp>
        <tr r="R2137" s="2"/>
      </tp>
      <tp t="s">
        <v>#N/A Requesting Data...2321085881</v>
        <stp/>
        <stp>BDP|14130477062407178752</stp>
        <tr r="Q2137" s="2"/>
      </tp>
      <tp t="s">
        <v>#N/A Requesting Data...2323811911</v>
        <stp/>
        <stp>BDP|15460475053695152715</stp>
        <tr r="G2090" s="2"/>
      </tp>
      <tp t="s">
        <v>#N/A Requesting Data...1222958475</v>
        <stp/>
        <stp>BDP|15270570332712656710</stp>
        <tr r="S2465" s="2"/>
      </tp>
      <tp t="s">
        <v>#N/A Requesting Data...1630149910</v>
        <stp/>
        <stp>BDP|11857949521085505988</stp>
        <tr r="F1723" s="2"/>
      </tp>
      <tp t="s">
        <v>#N/A Requesting Data...2970625572</v>
        <stp/>
        <stp>BDP|11198447373285287140</stp>
        <tr r="O1365" s="2"/>
      </tp>
      <tp t="s">
        <v>#N/A Requesting Data...3808470542</v>
        <stp/>
        <stp>BDP|13695543077560427719</stp>
        <tr r="T469" s="2"/>
      </tp>
      <tp t="s">
        <v>#N/A Requesting Data...2276747601</v>
        <stp/>
        <stp>BDP|15324914363344185809</stp>
        <tr r="S814" s="2"/>
      </tp>
      <tp t="s">
        <v>#N/A Requesting Data...3841062644</v>
        <stp/>
        <stp>BDP|13077368562961764134</stp>
        <tr r="F2467" s="2"/>
      </tp>
      <tp t="s">
        <v>#N/A Requesting Data...3247525330</v>
        <stp/>
        <stp>BDP|17242246532836664628</stp>
        <tr r="P961" s="2"/>
      </tp>
      <tp t="s">
        <v>#N/A Requesting Data...4127736676</v>
        <stp/>
        <stp>BDP|11475297020155862253</stp>
        <tr r="A953" s="2"/>
      </tp>
      <tp t="s">
        <v>#N/A Requesting Data...1973661164</v>
        <stp/>
        <stp>BDP|14603530474747531740</stp>
        <tr r="R1545" s="2"/>
      </tp>
      <tp t="s">
        <v>#N/A Requesting Data...2222403712</v>
        <stp/>
        <stp>BDP|11399012476635550523</stp>
        <tr r="E573" s="2"/>
      </tp>
      <tp t="s">
        <v>#N/A Requesting Data...1889220096</v>
        <stp/>
        <stp>BDP|14765065134981457024</stp>
        <tr r="D1655" s="2"/>
      </tp>
      <tp t="s">
        <v>#N/A Requesting Data...3504346218</v>
        <stp/>
        <stp>BDP|12485785998193459933</stp>
        <tr r="J945" s="2"/>
      </tp>
      <tp t="s">
        <v>#N/A Requesting Data...3746370273</v>
        <stp/>
        <stp>BDP|15671938008582606880</stp>
        <tr r="N356" s="2"/>
      </tp>
      <tp t="s">
        <v>#N/A Requesting Data...2524332722</v>
        <stp/>
        <stp>BDP|10752995504268908708</stp>
        <tr r="A1999" s="2"/>
      </tp>
      <tp t="s">
        <v>#N/A Requesting Data...2184035546</v>
        <stp/>
        <stp>BDP|17552247953293628578</stp>
        <tr r="R1927" s="2"/>
      </tp>
      <tp t="s">
        <v>#N/A Requesting Data...1803861206</v>
        <stp/>
        <stp>BDP|15267964698123687091</stp>
        <tr r="A1968" s="2"/>
      </tp>
      <tp t="s">
        <v>#N/A Requesting Data...1071691836</v>
        <stp/>
        <stp>BDP|11798910065018449047</stp>
        <tr r="S2162" s="2"/>
      </tp>
      <tp t="s">
        <v>#N/A Requesting Data...1067552734</v>
        <stp/>
        <stp>BDP|10637060163840328030</stp>
        <tr r="P2287" s="2"/>
      </tp>
      <tp t="s">
        <v>#N/A Requesting Data...3131463199</v>
        <stp/>
        <stp>BDP|14185045325465134523</stp>
        <tr r="F2131" s="2"/>
      </tp>
      <tp t="s">
        <v>#N/A Requesting Data...3736998852</v>
        <stp/>
        <stp>BDP|10930541482229590290</stp>
        <tr r="E2017" s="2"/>
      </tp>
      <tp t="s">
        <v>#N/A Requesting Data...2894223387</v>
        <stp/>
        <stp>BDP|15566251601379384815</stp>
        <tr r="F1711" s="2"/>
      </tp>
      <tp t="s">
        <v>#N/A Requesting Data...3555424219</v>
        <stp/>
        <stp>BDP|10760243323797686152</stp>
        <tr r="J2491" s="2"/>
      </tp>
      <tp t="s">
        <v>#N/A Requesting Data...4087773631</v>
        <stp/>
        <stp>BDP|11800334919642681772</stp>
        <tr r="M493" s="2"/>
      </tp>
      <tp t="s">
        <v>#N/A Requesting Data...2792876366</v>
        <stp/>
        <stp>BDP|16471351901815121624</stp>
        <tr r="C1129" s="2"/>
      </tp>
      <tp t="s">
        <v>#N/A Requesting Data...3916206074</v>
        <stp/>
        <stp>BDP|17496019194800242804</stp>
        <tr r="K2135" s="2"/>
      </tp>
      <tp t="s">
        <v>#N/A Requesting Data...2265398594</v>
        <stp/>
        <stp>BDP|12124648667370903481</stp>
        <tr r="N1184" s="2"/>
      </tp>
      <tp t="s">
        <v>#N/A Requesting Data...2859499836</v>
        <stp/>
        <stp>BDP|10141689984190662882</stp>
        <tr r="S1248" s="2"/>
      </tp>
      <tp t="s">
        <v>#N/A Requesting Data...3729695637</v>
        <stp/>
        <stp>BDP|17529512002811465511</stp>
        <tr r="R2497" s="2"/>
      </tp>
      <tp t="s">
        <v>#N/A Requesting Data...3671937016</v>
        <stp/>
        <stp>BDP|17107339537157573630</stp>
        <tr r="H358" s="2"/>
      </tp>
      <tp t="s">
        <v>#N/A Requesting Data...2661163049</v>
        <stp/>
        <stp>BDP|17975848184355975434</stp>
        <tr r="F964" s="2"/>
      </tp>
      <tp t="s">
        <v>#N/A Requesting Data...2541079305</v>
        <stp/>
        <stp>BDP|11984674439994698623</stp>
        <tr r="P186" s="2"/>
      </tp>
      <tp t="s">
        <v>#N/A Requesting Data...1844649671</v>
        <stp/>
        <stp>BDP|17322063104658216909</stp>
        <tr r="P1725" s="2"/>
      </tp>
      <tp t="s">
        <v>#N/A Requesting Data...4126015779</v>
        <stp/>
        <stp>BDP|10152104314696680001</stp>
        <tr r="F679" s="2"/>
      </tp>
      <tp t="s">
        <v>#N/A Requesting Data...2504550530</v>
        <stp/>
        <stp>BDP|16498414332081565615</stp>
        <tr r="H176" s="2"/>
      </tp>
      <tp t="s">
        <v>#N/A Requesting Data...2977308499</v>
        <stp/>
        <stp>BDP|10643901450878373264</stp>
        <tr r="E605" s="2"/>
      </tp>
      <tp t="s">
        <v>#N/A Requesting Data...3380879576</v>
        <stp/>
        <stp>BDP|11153523231424541548</stp>
        <tr r="Q2474" s="2"/>
      </tp>
      <tp t="s">
        <v>#N/A Requesting Data...1844352836</v>
        <stp/>
        <stp>BDP|17065054421995555623</stp>
        <tr r="F291" s="2"/>
      </tp>
      <tp t="s">
        <v>#N/A Requesting Data...3767122020</v>
        <stp/>
        <stp>BDP|14852807593243989015</stp>
        <tr r="R1709" s="2"/>
      </tp>
      <tp t="s">
        <v>#N/A Requesting Data...2802176748</v>
        <stp/>
        <stp>BDP|18321915201162831588</stp>
        <tr r="T645" s="2"/>
      </tp>
      <tp t="s">
        <v>#N/A Requesting Data...2895889616</v>
        <stp/>
        <stp>BDP|15260462056427782565</stp>
        <tr r="J610" s="2"/>
      </tp>
      <tp t="s">
        <v>#N/A Requesting Data...1829037345</v>
        <stp/>
        <stp>BDP|11101853115496491862</stp>
        <tr r="T251" s="2"/>
      </tp>
      <tp t="s">
        <v>#N/A Requesting Data...2023817094</v>
        <stp/>
        <stp>BDP|10673493071963550684</stp>
        <tr r="E195" s="2"/>
      </tp>
      <tp t="s">
        <v>#N/A Requesting Data...2747266828</v>
        <stp/>
        <stp>BDP|16646612402135584333</stp>
        <tr r="G684" s="2"/>
      </tp>
      <tp t="s">
        <v>#N/A Requesting Data...4110420586</v>
        <stp/>
        <stp>BDP|13243076378755811768</stp>
        <tr r="Q1388" s="2"/>
      </tp>
      <tp t="s">
        <v>#N/A Requesting Data...1784355649</v>
        <stp/>
        <stp>BDP|12670923546858317121</stp>
        <tr r="F1171" s="2"/>
      </tp>
      <tp t="s">
        <v>#N/A Requesting Data...1397182676</v>
        <stp/>
        <stp>BDP|14027047300585155766</stp>
        <tr r="P2364" s="2"/>
      </tp>
      <tp t="s">
        <v>#N/A Requesting Data...4123955130</v>
        <stp/>
        <stp>BDP|15623344924206511406</stp>
        <tr r="F1830" s="2"/>
      </tp>
      <tp t="s">
        <v>#N/A Requesting Data...1782023085</v>
        <stp/>
        <stp>BDP|15281109530167827691</stp>
        <tr r="C1013" s="2"/>
      </tp>
      <tp t="s">
        <v>#N/A Requesting Data...1516853606</v>
        <stp/>
        <stp>BDP|16443051440465045126</stp>
        <tr r="C916" s="2"/>
      </tp>
      <tp t="s">
        <v>#N/A Requesting Data...2290311409</v>
        <stp/>
        <stp>BDP|18337736108660902920</stp>
        <tr r="T2138" s="2"/>
      </tp>
      <tp t="s">
        <v>#N/A Requesting Data...3894929869</v>
        <stp/>
        <stp>BDP|18420647487753273366</stp>
        <tr r="F531" s="2"/>
      </tp>
      <tp t="s">
        <v>#N/A Requesting Data...3221782276</v>
        <stp/>
        <stp>BDP|17316434965025226645</stp>
        <tr r="G1389" s="2"/>
      </tp>
      <tp t="s">
        <v>#N/A Requesting Data...2911535655</v>
        <stp/>
        <stp>BDP|11466116278366817760</stp>
        <tr r="C13" s="2"/>
      </tp>
      <tp t="s">
        <v>#N/A Requesting Data...1542973521</v>
        <stp/>
        <stp>BDP|10247451568096441280</stp>
        <tr r="M425" s="2"/>
      </tp>
      <tp t="s">
        <v>#N/A Requesting Data...2353975997</v>
        <stp/>
        <stp>BDP|16945556248256424733</stp>
        <tr r="O843" s="2"/>
      </tp>
      <tp t="s">
        <v>#N/A Requesting Data...2332124694</v>
        <stp/>
        <stp>BDP|12014005401867586375</stp>
        <tr r="O2271" s="2"/>
      </tp>
      <tp t="s">
        <v>#N/A Requesting Data...3353353101</v>
        <stp/>
        <stp>BDP|12398559874757555143</stp>
        <tr r="A34" s="2"/>
      </tp>
      <tp t="s">
        <v>#N/A Requesting Data...2936081711</v>
        <stp/>
        <stp>BDP|10189541516850835282</stp>
        <tr r="K182" s="2"/>
      </tp>
      <tp t="s">
        <v>#N/A Requesting Data...3427209642</v>
        <stp/>
        <stp>BDP|17502510981024461826</stp>
        <tr r="K1901" s="2"/>
      </tp>
      <tp t="s">
        <v>#N/A Requesting Data...2538273224</v>
        <stp/>
        <stp>BDP|17684138923527434516</stp>
        <tr r="A2278" s="2"/>
      </tp>
      <tp t="s">
        <v>#N/A Requesting Data...3635711522</v>
        <stp/>
        <stp>BDP|11126654128363745081</stp>
        <tr r="E1666" s="2"/>
      </tp>
      <tp t="s">
        <v>#N/A Requesting Data...3437947968</v>
        <stp/>
        <stp>BDP|11916718125350686282</stp>
        <tr r="N34" s="2"/>
      </tp>
      <tp t="s">
        <v>#N/A Requesting Data...3334475665</v>
        <stp/>
        <stp>BDP|12781608369957401399</stp>
        <tr r="H556" s="2"/>
      </tp>
      <tp t="s">
        <v>#N/A Requesting Data...3152749289</v>
        <stp/>
        <stp>BDP|10984773242507865278</stp>
        <tr r="E2146" s="2"/>
      </tp>
      <tp t="s">
        <v>#N/A Requesting Data...3725259541</v>
        <stp/>
        <stp>BDP|17180556063915742733</stp>
        <tr r="C2038" s="2"/>
      </tp>
      <tp t="s">
        <v>#N/A Requesting Data...1297312231</v>
        <stp/>
        <stp>BDP|10583366407171062479</stp>
        <tr r="M1287" s="2"/>
      </tp>
      <tp t="s">
        <v>#N/A Requesting Data...2815207106</v>
        <stp/>
        <stp>BDP|13732010420353241474</stp>
        <tr r="C1799" s="2"/>
      </tp>
      <tp t="s">
        <v>#N/A Requesting Data...4053808413</v>
        <stp/>
        <stp>BDP|16439255103061321323</stp>
        <tr r="D1807" s="2"/>
      </tp>
      <tp t="s">
        <v>#N/A Requesting Data...3397808096</v>
        <stp/>
        <stp>BDP|14117861164064718876</stp>
        <tr r="M1052" s="2"/>
      </tp>
      <tp t="s">
        <v>#N/A Requesting Data...3221078635</v>
        <stp/>
        <stp>BDP|13716310479955470488</stp>
        <tr r="G1264" s="2"/>
      </tp>
      <tp t="s">
        <v>#N/A Requesting Data...3094806708</v>
        <stp/>
        <stp>BDP|13328044642256724710</stp>
        <tr r="D1018" s="2"/>
      </tp>
      <tp t="s">
        <v>#N/A Requesting Data...2310416451</v>
        <stp/>
        <stp>BDP|15420068585992512914</stp>
        <tr r="A1511" s="2"/>
      </tp>
      <tp t="s">
        <v>#N/A Requesting Data...1875054955</v>
        <stp/>
        <stp>BDP|12813541459270359451</stp>
        <tr r="P1384" s="2"/>
      </tp>
      <tp t="s">
        <v>#N/A Requesting Data...4040261352</v>
        <stp/>
        <stp>BDP|12284646002140718208</stp>
        <tr r="F1526" s="2"/>
      </tp>
      <tp t="s">
        <v>#N/A Requesting Data...4286342639</v>
        <stp/>
        <stp>BDP|12388525353917202332</stp>
        <tr r="K105" s="2"/>
      </tp>
      <tp t="s">
        <v>#N/A Requesting Data...3497546223</v>
        <stp/>
        <stp>BDP|13302409742963216607</stp>
        <tr r="O2383" s="2"/>
      </tp>
      <tp t="s">
        <v>#N/A Requesting Data...4088174138</v>
        <stp/>
        <stp>BDP|11552525161020635435</stp>
        <tr r="M2266" s="2"/>
      </tp>
      <tp t="s">
        <v>#N/A Requesting Data...3702269440</v>
        <stp/>
        <stp>BDP|15261974796012066102</stp>
        <tr r="E1632" s="2"/>
      </tp>
      <tp t="s">
        <v>#N/A Requesting Data...3943323368</v>
        <stp/>
        <stp>BDP|13876716354545862264</stp>
        <tr r="R1792" s="2"/>
      </tp>
      <tp t="s">
        <v>#N/A Requesting Data...1919088725</v>
        <stp/>
        <stp>BDP|14576619177432787174</stp>
        <tr r="H1153" s="2"/>
      </tp>
      <tp t="s">
        <v>#N/A Requesting Data...1719784495</v>
        <stp/>
        <stp>BDP|14745629907305287133</stp>
        <tr r="O1010" s="2"/>
      </tp>
      <tp t="s">
        <v>#N/A Requesting Data...3655682025</v>
        <stp/>
        <stp>BDP|12919902603818884516</stp>
        <tr r="S1865" s="2"/>
      </tp>
      <tp t="s">
        <v>#N/A Requesting Data...2524053465</v>
        <stp/>
        <stp>BDP|17397159260653444517</stp>
        <tr r="H1761" s="2"/>
      </tp>
      <tp t="s">
        <v>#N/A Requesting Data...2733088056</v>
        <stp/>
        <stp>BDP|10163689764623680584</stp>
        <tr r="K1481" s="2"/>
      </tp>
      <tp t="s">
        <v>#N/A Requesting Data...3620527785</v>
        <stp/>
        <stp>BDP|18353950076513234316</stp>
        <tr r="Q1772" s="2"/>
      </tp>
      <tp t="s">
        <v>#N/A Requesting Data...3180919792</v>
        <stp/>
        <stp>BDP|12236322722327833294</stp>
        <tr r="R1827" s="2"/>
      </tp>
      <tp t="s">
        <v>#N/A Requesting Data...1201048622</v>
        <stp/>
        <stp>BDP|10001636763477712146</stp>
        <tr r="R1313" s="2"/>
      </tp>
      <tp t="s">
        <v>#N/A Requesting Data...1576998253</v>
        <stp/>
        <stp>BDP|17391867506618387135</stp>
        <tr r="G168" s="2"/>
      </tp>
      <tp t="s">
        <v>#N/A Requesting Data...2656456225</v>
        <stp/>
        <stp>BDP|17680919629078853251</stp>
        <tr r="H2032" s="2"/>
      </tp>
      <tp t="s">
        <v>#N/A Requesting Data...1371008927</v>
        <stp/>
        <stp>BDP|12059432120062012002</stp>
        <tr r="M1875" s="2"/>
      </tp>
      <tp t="s">
        <v>#N/A Requesting Data...1405408759</v>
        <stp/>
        <stp>BDP|17605123319136950773</stp>
        <tr r="F187" s="2"/>
      </tp>
      <tp t="s">
        <v>#N/A Requesting Data...3853615064</v>
        <stp/>
        <stp>BDP|16359763277296286638</stp>
        <tr r="D2052" s="2"/>
      </tp>
      <tp t="s">
        <v>#N/A Requesting Data...2201554429</v>
        <stp/>
        <stp>BDP|12431431702672206240</stp>
        <tr r="N869" s="2"/>
      </tp>
      <tp t="s">
        <v>#N/A Requesting Data...1317159412</v>
        <stp/>
        <stp>BDP|15384644340390688123</stp>
        <tr r="S1636" s="2"/>
      </tp>
      <tp t="s">
        <v>#N/A Requesting Data...2428361493</v>
        <stp/>
        <stp>BDP|11825487643085309231</stp>
        <tr r="J1838" s="2"/>
      </tp>
      <tp t="s">
        <v>#N/A Requesting Data...1766624162</v>
        <stp/>
        <stp>BDP|14019868280944337678</stp>
        <tr r="C260" s="2"/>
      </tp>
      <tp t="s">
        <v>#N/A Requesting Data...3634239765</v>
        <stp/>
        <stp>BDP|15393333840051776556</stp>
        <tr r="S2354" s="2"/>
      </tp>
      <tp t="s">
        <v>#N/A Requesting Data...2134230296</v>
        <stp/>
        <stp>BDP|18149558030258306055</stp>
        <tr r="S2084" s="2"/>
      </tp>
      <tp t="s">
        <v>#N/A Requesting Data...2178842138</v>
        <stp/>
        <stp>BDP|12996696525361240153</stp>
        <tr r="O715" s="2"/>
      </tp>
      <tp t="s">
        <v>#N/A Requesting Data...3239489221</v>
        <stp/>
        <stp>BDP|15588855103688644374</stp>
        <tr r="F1768" s="2"/>
      </tp>
      <tp t="s">
        <v>#N/A Requesting Data...2059074003</v>
        <stp/>
        <stp>BDP|11642531821533236349</stp>
        <tr r="T140" s="2"/>
      </tp>
      <tp t="s">
        <v>#N/A Requesting Data...3640189194</v>
        <stp/>
        <stp>BDP|13998583763076477047</stp>
        <tr r="R993" s="2"/>
      </tp>
      <tp t="s">
        <v>#N/A Requesting Data...2103580853</v>
        <stp/>
        <stp>BDP|15379409525701765435</stp>
        <tr r="N1311" s="2"/>
      </tp>
      <tp t="s">
        <v>#N/A Requesting Data...3400725237</v>
        <stp/>
        <stp>BDP|10691162800611562671</stp>
        <tr r="F1075" s="2"/>
      </tp>
      <tp t="s">
        <v>#N/A Requesting Data...3334654365</v>
        <stp/>
        <stp>BDP|14320279817771015017</stp>
        <tr r="M1896" s="2"/>
      </tp>
      <tp t="s">
        <v>#N/A Requesting Data...1820697879</v>
        <stp/>
        <stp>BDP|17397411352006361614</stp>
        <tr r="S1098" s="2"/>
      </tp>
      <tp t="s">
        <v>#N/A Requesting Data...3067182793</v>
        <stp/>
        <stp>BDP|11958269057154919436</stp>
        <tr r="M2154" s="2"/>
      </tp>
      <tp t="s">
        <v>#N/A Requesting Data...3932894166</v>
        <stp/>
        <stp>BDP|17724151176717170079</stp>
        <tr r="A2050" s="2"/>
      </tp>
      <tp t="s">
        <v>#N/A Requesting Data...3161268663</v>
        <stp/>
        <stp>BDP|17430069846686107376</stp>
        <tr r="M1283" s="2"/>
      </tp>
      <tp t="s">
        <v>#N/A Requesting Data...2669928889</v>
        <stp/>
        <stp>BDP|13761636235616382604</stp>
        <tr r="F1938" s="2"/>
      </tp>
      <tp t="s">
        <v>#N/A Requesting Data...3277917610</v>
        <stp/>
        <stp>BDP|13076656806902032112</stp>
        <tr r="M331" s="2"/>
      </tp>
      <tp t="s">
        <v>#N/A Requesting Data...3279959900</v>
        <stp/>
        <stp>BDP|10246494624725889556</stp>
        <tr r="A1101" s="2"/>
      </tp>
      <tp t="s">
        <v>#N/A Requesting Data...3894400919</v>
        <stp/>
        <stp>BDP|18125436303552519869</stp>
        <tr r="C1819" s="2"/>
      </tp>
      <tp t="s">
        <v>#N/A Requesting Data...2799389742</v>
        <stp/>
        <stp>BDP|10122791035150983263</stp>
        <tr r="S1335" s="2"/>
      </tp>
      <tp t="s">
        <v>#N/A Requesting Data...3060734418</v>
        <stp/>
        <stp>BDP|13392837718588209482</stp>
        <tr r="J286" s="2"/>
      </tp>
      <tp t="s">
        <v>#N/A Requesting Data...3040621212</v>
        <stp/>
        <stp>BDP|12772994186816351397</stp>
        <tr r="O2479" s="2"/>
      </tp>
      <tp t="s">
        <v>#N/A Requesting Data...2641206347</v>
        <stp/>
        <stp>BDP|16637479842331594148</stp>
        <tr r="A819" s="2"/>
      </tp>
      <tp t="s">
        <v>#N/A Requesting Data...1309304555</v>
        <stp/>
        <stp>BDP|10140716812991024101</stp>
        <tr r="O90" s="2"/>
      </tp>
      <tp t="s">
        <v>#N/A Requesting Data...2764302563</v>
        <stp/>
        <stp>BDP|10531094041720684290</stp>
        <tr r="P1437" s="2"/>
      </tp>
      <tp t="s">
        <v>#N/A Requesting Data...3863391927</v>
        <stp/>
        <stp>BDP|10135888114688661794</stp>
        <tr r="E681" s="2"/>
      </tp>
      <tp t="s">
        <v>#N/A Requesting Data...2150501475</v>
        <stp/>
        <stp>BDP|15798960103659141314</stp>
        <tr r="A402" s="2"/>
      </tp>
      <tp t="s">
        <v>#N/A Requesting Data...2753033099</v>
        <stp/>
        <stp>BDP|12079669345666844093</stp>
        <tr r="J2403" s="2"/>
      </tp>
      <tp t="s">
        <v>#N/A Requesting Data...3883122118</v>
        <stp/>
        <stp>BDP|10742002962763279359</stp>
        <tr r="A649" s="2"/>
      </tp>
      <tp t="s">
        <v>#N/A Requesting Data...3893036064</v>
        <stp/>
        <stp>BDP|11544128972082321341</stp>
        <tr r="M2386" s="2"/>
      </tp>
      <tp t="s">
        <v>#N/A Requesting Data...3378238524</v>
        <stp/>
        <stp>BDP|13439209776330819087</stp>
        <tr r="R1483" s="2"/>
      </tp>
      <tp t="s">
        <v>#N/A Requesting Data...2192475716</v>
        <stp/>
        <stp>BDP|12953897628766822828</stp>
        <tr r="R683" s="2"/>
      </tp>
      <tp t="s">
        <v>#N/A Requesting Data...4231706649</v>
        <stp/>
        <stp>BDP|17982637081837880810</stp>
        <tr r="P1307" s="2"/>
      </tp>
      <tp t="s">
        <v>#N/A Requesting Data...1779646599</v>
        <stp/>
        <stp>BDP|16476804710770084963</stp>
        <tr r="F1618" s="2"/>
      </tp>
      <tp t="s">
        <v>#N/A Requesting Data...2677642537</v>
        <stp/>
        <stp>BDP|11899453012260902246</stp>
        <tr r="J29" s="2"/>
      </tp>
      <tp t="s">
        <v>#N/A Requesting Data...1955664373</v>
        <stp/>
        <stp>BDP|15844678803176747397</stp>
        <tr r="A1794" s="2"/>
      </tp>
      <tp t="s">
        <v>#N/A Requesting Data...3508068168</v>
        <stp/>
        <stp>BDP|13129647679545764198</stp>
        <tr r="D707" s="2"/>
      </tp>
      <tp t="s">
        <v>#N/A Requesting Data...3038276902</v>
        <stp/>
        <stp>BDP|18208527585420181365</stp>
        <tr r="A2106" s="2"/>
      </tp>
      <tp t="s">
        <v>#N/A Requesting Data...1632312765</v>
        <stp/>
        <stp>BDP|16096390988733089838</stp>
        <tr r="N759" s="2"/>
      </tp>
      <tp t="s">
        <v>#N/A Requesting Data...1322036626</v>
        <stp/>
        <stp>BDP|10215669322676601420</stp>
        <tr r="G497" s="2"/>
      </tp>
      <tp t="s">
        <v>#N/A Requesting Data...3270921194</v>
        <stp/>
        <stp>BDP|10445744945252381747</stp>
        <tr r="A1554" s="2"/>
      </tp>
      <tp t="b">
        <v>0</v>
        <stp/>
        <stp>BDS|17004971393184545509</stp>
        <tr r="I2071" s="2"/>
      </tp>
      <tp t="s">
        <v>#N/A Requesting Data...3004942053</v>
        <stp/>
        <stp>BDP|14631216626793473179</stp>
        <tr r="C1529" s="2"/>
      </tp>
      <tp t="s">
        <v>#N/A Requesting Data...2658843174</v>
        <stp/>
        <stp>BDP|10122407858801986629</stp>
        <tr r="M611" s="2"/>
      </tp>
      <tp t="s">
        <v>#N/A Requesting Data...2882191086</v>
        <stp/>
        <stp>BDP|10858845973468892151</stp>
        <tr r="E2228" s="2"/>
      </tp>
      <tp t="s">
        <v>#N/A Requesting Data...3250532029</v>
        <stp/>
        <stp>BDP|11601643527414231758</stp>
        <tr r="E2078" s="2"/>
      </tp>
      <tp t="s">
        <v>#N/A Requesting Data...1556294747</v>
        <stp/>
        <stp>BDP|12028907683381625478</stp>
        <tr r="R1360" s="2"/>
      </tp>
      <tp t="s">
        <v>#N/A Requesting Data...4275124424</v>
        <stp/>
        <stp>BDP|12469931917659649546</stp>
        <tr r="F2264" s="2"/>
      </tp>
      <tp t="s">
        <v>#N/A Requesting Data...4000172316</v>
        <stp/>
        <stp>BDP|17278789078938655961</stp>
        <tr r="O1080" s="2"/>
      </tp>
      <tp t="s">
        <v>#N/A Requesting Data...3091337144</v>
        <stp/>
        <stp>BDP|18343979984327656848</stp>
        <tr r="J280" s="2"/>
      </tp>
      <tp t="s">
        <v>#N/A Requesting Data...2546462202</v>
        <stp/>
        <stp>BDP|14397337306442206369</stp>
        <tr r="Q1155" s="2"/>
      </tp>
      <tp t="s">
        <v>#N/A Requesting Data...1655587041</v>
        <stp/>
        <stp>BDP|14311763156123062316</stp>
        <tr r="A260" s="2"/>
      </tp>
      <tp t="s">
        <v>#N/A Requesting Data...2331825112</v>
        <stp/>
        <stp>BDP|16961422798534715963</stp>
        <tr r="G2523" s="2"/>
      </tp>
      <tp t="s">
        <v>#N/A Requesting Data...4020808190</v>
        <stp/>
        <stp>BDP|14449055857532010546</stp>
        <tr r="R335" s="2"/>
      </tp>
      <tp t="s">
        <v>#N/A Requesting Data...4070216154</v>
        <stp/>
        <stp>BDP|14556883610048976362</stp>
        <tr r="O1578" s="2"/>
      </tp>
      <tp t="s">
        <v>#N/A Requesting Data...1708714905</v>
        <stp/>
        <stp>BDP|11777205165024358735</stp>
        <tr r="N1081" s="2"/>
      </tp>
      <tp t="s">
        <v>#N/A Requesting Data...2159189092</v>
        <stp/>
        <stp>BDP|10376453820759000941</stp>
        <tr r="R1223" s="2"/>
      </tp>
      <tp t="s">
        <v>#N/A Requesting Data...2863269826</v>
        <stp/>
        <stp>BDP|10814195641867081426</stp>
        <tr r="E2076" s="2"/>
      </tp>
      <tp t="s">
        <v>#N/A Requesting Data...2202289013</v>
        <stp/>
        <stp>BDP|13136334748462043085</stp>
        <tr r="O2248" s="2"/>
      </tp>
      <tp t="s">
        <v>#N/A Requesting Data...2716637184</v>
        <stp/>
        <stp>BDP|17587269325969583812</stp>
        <tr r="R2185" s="2"/>
      </tp>
      <tp t="s">
        <v>#N/A Requesting Data...2219922081</v>
        <stp/>
        <stp>BDP|15669328896078396135</stp>
        <tr r="J2226" s="2"/>
      </tp>
      <tp t="s">
        <v>#N/A Requesting Data...2899712823</v>
        <stp/>
        <stp>BDP|14253641321317213174</stp>
        <tr r="H61" s="2"/>
      </tp>
      <tp t="s">
        <v>#N/A Requesting Data...3387878262</v>
        <stp/>
        <stp>BDP|11365801483093615447</stp>
        <tr r="O2484" s="2"/>
      </tp>
      <tp t="s">
        <v>#N/A Requesting Data...3749116633</v>
        <stp/>
        <stp>BDP|15056240378044615285</stp>
        <tr r="E1148" s="2"/>
      </tp>
      <tp t="s">
        <v>#N/A Requesting Data...2032131994</v>
        <stp/>
        <stp>BDP|12734330455395498778</stp>
        <tr r="K904" s="2"/>
      </tp>
      <tp t="s">
        <v>#N/A Requesting Data...3791727028</v>
        <stp/>
        <stp>BDP|15890536849902918096</stp>
        <tr r="O324" s="2"/>
      </tp>
      <tp t="s">
        <v>#N/A Requesting Data...4151101334</v>
        <stp/>
        <stp>BDP|18258964496759001706</stp>
        <tr r="P721" s="2"/>
      </tp>
      <tp t="s">
        <v>#N/A Requesting Data...3189665831</v>
        <stp/>
        <stp>BDP|12400450490021403870</stp>
        <tr r="O702" s="2"/>
      </tp>
      <tp t="s">
        <v>#N/A Requesting Data...3701684309</v>
        <stp/>
        <stp>BDP|15427361502201533172</stp>
        <tr r="T111" s="2"/>
      </tp>
      <tp t="s">
        <v>#N/A Requesting Data...4056563526</v>
        <stp/>
        <stp>BDP|11428845175181231955</stp>
        <tr r="D618" s="2"/>
      </tp>
      <tp t="s">
        <v>#N/A Requesting Data...3232543306</v>
        <stp/>
        <stp>BDP|12241488809521398120</stp>
        <tr r="J1896" s="2"/>
      </tp>
      <tp t="s">
        <v>#N/A Requesting Data...1991131488</v>
        <stp/>
        <stp>BDP|14584278886098417021</stp>
        <tr r="A572" s="2"/>
      </tp>
      <tp t="s">
        <v>#N/A Requesting Data...2807334277</v>
        <stp/>
        <stp>BDP|13214635969507351293</stp>
        <tr r="C296" s="2"/>
      </tp>
      <tp t="s">
        <v>#N/A Requesting Data...3628615065</v>
        <stp/>
        <stp>BDP|10591334763895640616</stp>
        <tr r="G166" s="2"/>
      </tp>
      <tp t="s">
        <v>#N/A Requesting Data...1964460165</v>
        <stp/>
        <stp>BDP|15191399257085945043</stp>
        <tr r="D735" s="2"/>
      </tp>
      <tp t="s">
        <v>#N/A Requesting Data...3539775663</v>
        <stp/>
        <stp>BDP|13407708262822332674</stp>
        <tr r="H1013" s="2"/>
      </tp>
      <tp t="s">
        <v>#N/A Requesting Data...4044945061</v>
        <stp/>
        <stp>BDP|16942115624154857762</stp>
        <tr r="C733" s="2"/>
      </tp>
      <tp t="s">
        <v>#N/A Requesting Data...3829334065</v>
        <stp/>
        <stp>BDP|10983739346444715193</stp>
        <tr r="N1212" s="2"/>
      </tp>
      <tp t="s">
        <v>#N/A Requesting Data...2047543810</v>
        <stp/>
        <stp>BDP|11095866682810120772</stp>
        <tr r="A943" s="2"/>
      </tp>
      <tp t="s">
        <v>#N/A Requesting Data...3514132416</v>
        <stp/>
        <stp>BDP|14518688748993204357</stp>
        <tr r="G1628" s="2"/>
      </tp>
      <tp t="s">
        <v>#N/A Requesting Data...3932348461</v>
        <stp/>
        <stp>BDP|10774472645997196163</stp>
        <tr r="C489" s="2"/>
      </tp>
      <tp t="s">
        <v>#N/A Requesting Data...3070136206</v>
        <stp/>
        <stp>BDP|17066237815717262566</stp>
        <tr r="N1995" s="2"/>
      </tp>
      <tp t="s">
        <v>#N/A Requesting Data...2115256700</v>
        <stp/>
        <stp>BDP|12522113748296653780</stp>
        <tr r="D1521" s="2"/>
      </tp>
      <tp t="s">
        <v>#N/A Requesting Data...2200299940</v>
        <stp/>
        <stp>BDP|11219752334176856591</stp>
        <tr r="K1230" s="2"/>
      </tp>
      <tp t="s">
        <v>#N/A Requesting Data...1994017663</v>
        <stp/>
        <stp>BDP|11443605611291617114</stp>
        <tr r="A659" s="2"/>
      </tp>
      <tp t="s">
        <v>#N/A Requesting Data...3654751704</v>
        <stp/>
        <stp>BDP|13595447826773091056</stp>
        <tr r="R409" s="2"/>
      </tp>
      <tp t="s">
        <v>#N/A Requesting Data...4101805887</v>
        <stp/>
        <stp>BDP|17946640761533648283</stp>
        <tr r="K1703" s="2"/>
      </tp>
      <tp t="s">
        <v>#N/A Requesting Data...2652523298</v>
        <stp/>
        <stp>BDP|10624683048330662422</stp>
        <tr r="D1872" s="2"/>
      </tp>
      <tp t="s">
        <v>#N/A Requesting Data...2930942344</v>
        <stp/>
        <stp>BDP|16809879393897756692</stp>
        <tr r="P427" s="2"/>
      </tp>
      <tp t="s">
        <v>#N/A Requesting Data...3244128238</v>
        <stp/>
        <stp>BDP|16619241100763789179</stp>
        <tr r="C997" s="2"/>
      </tp>
      <tp t="s">
        <v>#N/A Requesting Data...3061597903</v>
        <stp/>
        <stp>BDP|13140813190242544677</stp>
        <tr r="K1477" s="2"/>
      </tp>
      <tp t="s">
        <v>#N/A Requesting Data...3532682051</v>
        <stp/>
        <stp>BDP|10065423655036062155</stp>
        <tr r="P2157" s="2"/>
      </tp>
      <tp t="s">
        <v>#N/A Requesting Data...3919512629</v>
        <stp/>
        <stp>BDP|17201035962352502543</stp>
        <tr r="G1539" s="2"/>
      </tp>
      <tp t="s">
        <v>#N/A Requesting Data...3875621029</v>
        <stp/>
        <stp>BDP|13298033520100688756</stp>
        <tr r="Q971" s="2"/>
      </tp>
      <tp t="s">
        <v>#N/A Requesting Data...2876347749</v>
        <stp/>
        <stp>BDP|11618758534985553600</stp>
        <tr r="R163" s="2"/>
      </tp>
      <tp t="s">
        <v>#N/A Requesting Data...4257376385</v>
        <stp/>
        <stp>BDP|11502900583700716633</stp>
        <tr r="G154" s="2"/>
      </tp>
      <tp t="s">
        <v>#N/A Requesting Data...2468360576</v>
        <stp/>
        <stp>BDP|12438560730952276029</stp>
        <tr r="M2335" s="2"/>
      </tp>
      <tp t="s">
        <v>#N/A Requesting Data...2540979743</v>
        <stp/>
        <stp>BDP|11233001912020401666</stp>
        <tr r="E708" s="2"/>
      </tp>
      <tp t="s">
        <v>#N/A Requesting Data...1547522211</v>
        <stp/>
        <stp>BDP|10274463661714718006</stp>
        <tr r="R623" s="2"/>
      </tp>
      <tp t="s">
        <v>#N/A Requesting Data...1705961613</v>
        <stp/>
        <stp>BDP|11206993509789771777</stp>
        <tr r="Q213" s="2"/>
      </tp>
      <tp t="s">
        <v>#N/A Requesting Data...3337972326</v>
        <stp/>
        <stp>BDP|17001564185858781460</stp>
        <tr r="E578" s="2"/>
      </tp>
      <tp t="s">
        <v>#N/A Requesting Data...2190191672</v>
        <stp/>
        <stp>BDP|17113237054552401407</stp>
        <tr r="Q161" s="2"/>
      </tp>
      <tp t="b">
        <v>0</v>
        <stp/>
        <stp>BDS|11892062556293189185</stp>
        <tr r="I591" s="2"/>
      </tp>
      <tp t="s">
        <v>#N/A Requesting Data...3066333494</v>
        <stp/>
        <stp>BDP|15049675874341344322</stp>
        <tr r="C55" s="2"/>
      </tp>
      <tp t="s">
        <v>#N/A Requesting Data...3309194976</v>
        <stp/>
        <stp>BDP|18358900181728939795</stp>
        <tr r="G1879" s="2"/>
      </tp>
      <tp t="s">
        <v>#N/A Requesting Data...3383570891</v>
        <stp/>
        <stp>BDP|13351468125191706227</stp>
        <tr r="G411" s="2"/>
      </tp>
      <tp t="s">
        <v>#N/A Requesting Data...3942130357</v>
        <stp/>
        <stp>BDP|18443162100888603715</stp>
        <tr r="A1666" s="2"/>
      </tp>
      <tp t="s">
        <v>#N/A Requesting Data...3111451366</v>
        <stp/>
        <stp>BDP|18279018786246631065</stp>
        <tr r="F1288" s="2"/>
      </tp>
      <tp t="s">
        <v>#N/A Requesting Data...2259721729</v>
        <stp/>
        <stp>BDP|14200324730477625539</stp>
        <tr r="F490" s="2"/>
      </tp>
      <tp t="s">
        <v>#N/A Requesting Data...1992567036</v>
        <stp/>
        <stp>BDP|16541469713086253372</stp>
        <tr r="Q1943" s="2"/>
      </tp>
      <tp t="s">
        <v>#N/A Requesting Data...4017247736</v>
        <stp/>
        <stp>BDP|12869837795830867535</stp>
        <tr r="Q93" s="2"/>
      </tp>
      <tp t="s">
        <v>#N/A Requesting Data...2416618698</v>
        <stp/>
        <stp>BDP|10894793749813506688</stp>
        <tr r="S1345" s="2"/>
      </tp>
      <tp t="s">
        <v>#N/A Requesting Data...2056393187</v>
        <stp/>
        <stp>BDP|12710156013971041540</stp>
        <tr r="A82" s="2"/>
      </tp>
      <tp t="s">
        <v>#N/A Requesting Data...2304418424</v>
        <stp/>
        <stp>BDP|15056644212926250217</stp>
        <tr r="P487" s="2"/>
      </tp>
      <tp t="b">
        <v>0</v>
        <stp/>
        <stp>BDS|15680544505047967180</stp>
        <tr r="I2468" s="2"/>
      </tp>
      <tp t="s">
        <v>#N/A Requesting Data...3028705938</v>
        <stp/>
        <stp>BDP|16641576129402892555</stp>
        <tr r="K1264" s="2"/>
      </tp>
      <tp t="s">
        <v>#N/A Requesting Data...2792377349</v>
        <stp/>
        <stp>BDP|14759138689262955913</stp>
        <tr r="T2202" s="2"/>
      </tp>
      <tp t="s">
        <v>#N/A Requesting Data...3122860897</v>
        <stp/>
        <stp>BDP|12178720920629188870</stp>
        <tr r="H303" s="2"/>
      </tp>
      <tp t="b">
        <v>0</v>
        <stp/>
        <stp>BDS|14136641088839834530</stp>
        <tr r="I798" s="2"/>
      </tp>
      <tp t="s">
        <v>#N/A Requesting Data...1870359218</v>
        <stp/>
        <stp>BDP|10946965386865521292</stp>
        <tr r="Q2525" s="2"/>
      </tp>
      <tp t="s">
        <v>#N/A Requesting Data...1982683375</v>
        <stp/>
        <stp>BDP|11482074626526114311</stp>
        <tr r="R1114" s="2"/>
      </tp>
      <tp t="b">
        <v>0</v>
        <stp/>
        <stp>BDS|13833951783393913718</stp>
        <tr r="I129" s="2"/>
      </tp>
      <tp t="s">
        <v>#N/A Requesting Data...4062437642</v>
        <stp/>
        <stp>BDP|10641169244135364622</stp>
        <tr r="E882" s="2"/>
      </tp>
      <tp t="s">
        <v>#N/A Requesting Data...3027580315</v>
        <stp/>
        <stp>BDP|14314312796001797962</stp>
        <tr r="S668" s="2"/>
      </tp>
      <tp t="s">
        <v>#N/A Requesting Data...3176623966</v>
        <stp/>
        <stp>BDP|16561419019055827005</stp>
        <tr r="C2342" s="2"/>
      </tp>
      <tp t="s">
        <v>#N/A Requesting Data...1576583058</v>
        <stp/>
        <stp>BDP|11548041376237514779</stp>
        <tr r="P122" s="2"/>
      </tp>
      <tp t="s">
        <v>#N/A Requesting Data...1748930416</v>
        <stp/>
        <stp>BDP|13113651195872330874</stp>
        <tr r="P73" s="2"/>
      </tp>
      <tp t="s">
        <v>#N/A Requesting Data...3449675118</v>
        <stp/>
        <stp>BDP|12289133834770642667</stp>
        <tr r="J2190" s="2"/>
      </tp>
      <tp t="s">
        <v>#N/A Requesting Data...1924912100</v>
        <stp/>
        <stp>BDP|16256969494541256173</stp>
        <tr r="G510" s="2"/>
      </tp>
      <tp t="s">
        <v>#N/A Requesting Data...3149330327</v>
        <stp/>
        <stp>BDP|17698705552317983489</stp>
        <tr r="D2068" s="2"/>
      </tp>
      <tp t="s">
        <v>#N/A Requesting Data...1766167859</v>
        <stp/>
        <stp>BDP|13815029146925098496</stp>
        <tr r="C1429" s="2"/>
      </tp>
      <tp t="b">
        <v>0</v>
        <stp/>
        <stp>BDS|16633505003587093234</stp>
        <tr r="I839" s="2"/>
      </tp>
      <tp t="s">
        <v>#N/A Requesting Data...2797006941</v>
        <stp/>
        <stp>BDP|16119887358429142458</stp>
        <tr r="F1644" s="2"/>
      </tp>
      <tp t="s">
        <v>#N/A Requesting Data...3853870453</v>
        <stp/>
        <stp>BDP|12069539832347563514</stp>
        <tr r="Q1632" s="2"/>
      </tp>
      <tp t="s">
        <v>#N/A Requesting Data...4011552675</v>
        <stp/>
        <stp>BDP|11417051304795189212</stp>
        <tr r="O481" s="2"/>
      </tp>
      <tp t="s">
        <v>#N/A Requesting Data...2314610540</v>
        <stp/>
        <stp>BDP|12112207965162199203</stp>
        <tr r="R736" s="2"/>
      </tp>
      <tp t="s">
        <v>#N/A Requesting Data...2600291501</v>
        <stp/>
        <stp>BDP|16025207332170515128</stp>
        <tr r="R2382" s="2"/>
      </tp>
      <tp t="s">
        <v>#N/A Requesting Data...2702247641</v>
        <stp/>
        <stp>BDP|13576478758754773082</stp>
        <tr r="M99" s="2"/>
      </tp>
      <tp t="s">
        <v>#N/A Requesting Data...3553863851</v>
        <stp/>
        <stp>BDP|13835828121529841667</stp>
        <tr r="J793" s="2"/>
      </tp>
      <tp t="s">
        <v>#N/A Requesting Data...3261174692</v>
        <stp/>
        <stp>BDP|14908638812592969747</stp>
        <tr r="O393" s="2"/>
      </tp>
      <tp t="s">
        <v>#N/A Requesting Data...3229118198</v>
        <stp/>
        <stp>BDP|17860134935153851035</stp>
        <tr r="H1036" s="2"/>
      </tp>
      <tp t="s">
        <v>#N/A Requesting Data...2917779099</v>
        <stp/>
        <stp>BDP|11508636026121133247</stp>
        <tr r="J2326" s="2"/>
      </tp>
      <tp t="s">
        <v>#N/A Requesting Data...1854461828</v>
        <stp/>
        <stp>BDP|10863650610810840109</stp>
        <tr r="N1325" s="2"/>
      </tp>
      <tp t="s">
        <v>#N/A Requesting Data...2040421345</v>
        <stp/>
        <stp>BDP|12015015812692182779</stp>
        <tr r="K320" s="2"/>
      </tp>
      <tp t="s">
        <v>#N/A Requesting Data...3790876672</v>
        <stp/>
        <stp>BDP|12978266972568111996</stp>
        <tr r="G1281" s="2"/>
      </tp>
      <tp t="s">
        <v>#N/A Requesting Data...4055715704</v>
        <stp/>
        <stp>BDP|12284381176325897510</stp>
        <tr r="P1550" s="2"/>
      </tp>
      <tp t="s">
        <v>#N/A Requesting Data...3640865617</v>
        <stp/>
        <stp>BDP|16581748676361632143</stp>
        <tr r="H1185" s="2"/>
      </tp>
      <tp t="s">
        <v>#N/A Requesting Data...3343980479</v>
        <stp/>
        <stp>BDP|17300753739445310095</stp>
        <tr r="N1909" s="2"/>
      </tp>
      <tp t="s">
        <v>#N/A Requesting Data...2650504047</v>
        <stp/>
        <stp>BDP|10644125135505038145</stp>
        <tr r="T619" s="2"/>
      </tp>
      <tp t="s">
        <v>#N/A Requesting Data...2272122003</v>
        <stp/>
        <stp>BDP|16429489862963228192</stp>
        <tr r="D961" s="2"/>
      </tp>
      <tp t="s">
        <v>#N/A Requesting Data...2498167021</v>
        <stp/>
        <stp>BDP|17497460080214208959</stp>
        <tr r="N874" s="2"/>
      </tp>
      <tp t="s">
        <v>#N/A Requesting Data...4077768885</v>
        <stp/>
        <stp>BDP|10090149837734372052</stp>
        <tr r="D75" s="2"/>
      </tp>
      <tp t="s">
        <v>#N/A Requesting Data...2621661389</v>
        <stp/>
        <stp>BDP|17057238104894567771</stp>
        <tr r="S1375" s="2"/>
      </tp>
      <tp t="s">
        <v>#N/A Requesting Data...2336519533</v>
        <stp/>
        <stp>BDP|10168422119637930463</stp>
        <tr r="M377" s="2"/>
      </tp>
      <tp t="s">
        <v>#N/A Requesting Data...2214081732</v>
        <stp/>
        <stp>BDP|12765398770627885732</stp>
        <tr r="J1507" s="2"/>
      </tp>
      <tp t="s">
        <v>#N/A Requesting Data...3952450505</v>
        <stp/>
        <stp>BDP|12056428218993749282</stp>
        <tr r="G213" s="2"/>
      </tp>
      <tp t="s">
        <v>#N/A Requesting Data...1843138816</v>
        <stp/>
        <stp>BDP|17469859580348369978</stp>
        <tr r="C592" s="2"/>
      </tp>
      <tp t="s">
        <v>#N/A Requesting Data...2596485554</v>
        <stp/>
        <stp>BDP|13495116934283766439</stp>
        <tr r="E2237" s="2"/>
      </tp>
      <tp t="s">
        <v>#N/A Requesting Data...2047554592</v>
        <stp/>
        <stp>BDP|15269515959701912267</stp>
        <tr r="P1941" s="2"/>
      </tp>
      <tp t="s">
        <v>#N/A Requesting Data...3373252522</v>
        <stp/>
        <stp>BDP|12041153267492764104</stp>
        <tr r="S61" s="2"/>
      </tp>
      <tp t="s">
        <v>#N/A Requesting Data...2257367855</v>
        <stp/>
        <stp>BDP|17446473581295721806</stp>
        <tr r="K1580" s="2"/>
      </tp>
      <tp t="s">
        <v>#N/A Requesting Data...2172607617</v>
        <stp/>
        <stp>BDP|14372846187201379365</stp>
        <tr r="R213" s="2"/>
      </tp>
      <tp t="s">
        <v>#N/A Requesting Data...1892376845</v>
        <stp/>
        <stp>BDP|17879025212683977342</stp>
        <tr r="T838" s="2"/>
      </tp>
      <tp t="b">
        <v>0</v>
        <stp/>
        <stp>BDS|15203512203157540136</stp>
        <tr r="I2196" s="2"/>
      </tp>
      <tp t="b">
        <v>0</v>
        <stp/>
        <stp>BDS|10547687323503923115</stp>
        <tr r="I418" s="2"/>
      </tp>
      <tp t="s">
        <v>#N/A Requesting Data...2977257383</v>
        <stp/>
        <stp>BDP|14593735507001156458</stp>
        <tr r="C1659" s="2"/>
      </tp>
      <tp t="s">
        <v>#N/A Requesting Data...3033315000</v>
        <stp/>
        <stp>BDP|15764542062551581118</stp>
        <tr r="H2342" s="2"/>
      </tp>
      <tp t="s">
        <v>#N/A Requesting Data...4019704739</v>
        <stp/>
        <stp>BDP|18084558267569530427</stp>
        <tr r="N2203" s="2"/>
      </tp>
      <tp t="s">
        <v>#N/A Requesting Data...3439732689</v>
        <stp/>
        <stp>BDP|15283770651706367728</stp>
        <tr r="E223" s="2"/>
      </tp>
      <tp t="s">
        <v>#N/A Requesting Data...3661559328</v>
        <stp/>
        <stp>BDP|17874299481758689331</stp>
        <tr r="E1100" s="2"/>
      </tp>
      <tp t="s">
        <v>#N/A Requesting Data...2376656170</v>
        <stp/>
        <stp>BDP|14126566477587754724</stp>
        <tr r="M2252" s="2"/>
      </tp>
      <tp t="s">
        <v>#N/A Requesting Data...2745175093</v>
        <stp/>
        <stp>BDP|16139367977794600033</stp>
        <tr r="J865" s="2"/>
      </tp>
      <tp t="s">
        <v>#N/A Requesting Data...2334782592</v>
        <stp/>
        <stp>BDP|12190222286596760878</stp>
        <tr r="O246" s="2"/>
      </tp>
      <tp t="b">
        <v>0</v>
        <stp/>
        <stp>BDS|13077314267453025305</stp>
        <tr r="I996" s="2"/>
      </tp>
      <tp t="s">
        <v>#N/A Requesting Data...2329316421</v>
        <stp/>
        <stp>BDP|14992403149622695035</stp>
        <tr r="A1133" s="2"/>
      </tp>
      <tp t="s">
        <v>#N/A Requesting Data...3869609068</v>
        <stp/>
        <stp>BDP|12727302304637666000</stp>
        <tr r="D1910" s="2"/>
      </tp>
      <tp t="s">
        <v>#N/A Requesting Data...3145830026</v>
        <stp/>
        <stp>BDP|13622096279832283014</stp>
        <tr r="K707" s="2"/>
      </tp>
      <tp t="s">
        <v>#N/A Requesting Data...1907325124</v>
        <stp/>
        <stp>BDP|18260362423678650747</stp>
        <tr r="C169" s="2"/>
      </tp>
      <tp t="s">
        <v>#N/A Requesting Data...3574153770</v>
        <stp/>
        <stp>BDP|14436435383187451955</stp>
        <tr r="E1714" s="2"/>
      </tp>
      <tp t="b">
        <v>0</v>
        <stp/>
        <stp>BDS|14371302231437258563</stp>
        <tr r="I162" s="2"/>
      </tp>
      <tp t="s">
        <v>#N/A Requesting Data...3706101144</v>
        <stp/>
        <stp>BDP|17525867475198772644</stp>
        <tr r="K927" s="2"/>
      </tp>
      <tp t="s">
        <v>#N/A Requesting Data...1909826573</v>
        <stp/>
        <stp>BDP|13179955675392241962</stp>
        <tr r="R546" s="2"/>
      </tp>
      <tp t="s">
        <v>#N/A Requesting Data...3571086644</v>
        <stp/>
        <stp>BDP|11876753419520816197</stp>
        <tr r="S280" s="2"/>
      </tp>
      <tp t="s">
        <v>#N/A Requesting Data...3809639656</v>
        <stp/>
        <stp>BDP|15719162202400268246</stp>
        <tr r="K1967" s="2"/>
      </tp>
      <tp t="s">
        <v>#N/A Requesting Data...3886618042</v>
        <stp/>
        <stp>BDP|10603274564170623260</stp>
        <tr r="O2054" s="2"/>
      </tp>
      <tp t="b">
        <v>0</v>
        <stp/>
        <stp>BDS|18039741724793169875</stp>
        <tr r="I2086" s="2"/>
      </tp>
      <tp t="s">
        <v>#N/A Requesting Data...1728241170</v>
        <stp/>
        <stp>BDP|17872724451367815467</stp>
        <tr r="O1774" s="2"/>
      </tp>
      <tp t="s">
        <v>#N/A Requesting Data...2448071742</v>
        <stp/>
        <stp>BDP|12241460025607075543</stp>
        <tr r="S536" s="2"/>
      </tp>
      <tp t="s">
        <v>#N/A Requesting Data...1836216048</v>
        <stp/>
        <stp>BDP|14658739270796687465</stp>
        <tr r="E2299" s="2"/>
      </tp>
      <tp t="s">
        <v>#N/A Requesting Data...2189111607</v>
        <stp/>
        <stp>BDP|17751775693407723810</stp>
        <tr r="K2260" s="2"/>
      </tp>
      <tp t="s">
        <v>#N/A Requesting Data...2138572685</v>
        <stp/>
        <stp>BDP|14934699087704392812</stp>
        <tr r="T1879" s="2"/>
      </tp>
      <tp t="s">
        <v>#N/A Requesting Data...2043210026</v>
        <stp/>
        <stp>BDP|18353676612968783144</stp>
        <tr r="F855" s="2"/>
      </tp>
      <tp t="s">
        <v>#N/A Requesting Data...2491666396</v>
        <stp/>
        <stp>BDP|15753955113522532910</stp>
        <tr r="J1251" s="2"/>
      </tp>
      <tp t="s">
        <v>#N/A Requesting Data...3534311634</v>
        <stp/>
        <stp>BDP|10282888919507794819</stp>
        <tr r="T1215" s="2"/>
      </tp>
      <tp t="s">
        <v>#N/A Requesting Data...3261118249</v>
        <stp/>
        <stp>BDP|13079636262680227560</stp>
        <tr r="O807" s="2"/>
      </tp>
      <tp t="s">
        <v>#N/A Requesting Data...3779314012</v>
        <stp/>
        <stp>BDP|10250716533257120546</stp>
        <tr r="T369" s="2"/>
      </tp>
      <tp t="s">
        <v>#N/A Requesting Data...3003776138</v>
        <stp/>
        <stp>BDP|10360823987290570665</stp>
        <tr r="S1597" s="2"/>
      </tp>
      <tp t="s">
        <v>#N/A Requesting Data...2180623405</v>
        <stp/>
        <stp>BDP|10434668512047789627</stp>
        <tr r="O2071" s="2"/>
      </tp>
      <tp t="s">
        <v>#N/A Requesting Data...1800826888</v>
        <stp/>
        <stp>BDP|15761540575677354601</stp>
        <tr r="H1115" s="2"/>
      </tp>
      <tp t="s">
        <v>#N/A Requesting Data...2410732202</v>
        <stp/>
        <stp>BDP|14473620532130153707</stp>
        <tr r="R1951" s="2"/>
      </tp>
      <tp t="s">
        <v>#N/A Requesting Data...4263211923</v>
        <stp/>
        <stp>BDP|12325645697093169845</stp>
        <tr r="M1291" s="2"/>
      </tp>
      <tp t="s">
        <v>#N/A Requesting Data...3998656980</v>
        <stp/>
        <stp>BDP|16344632218171502683</stp>
        <tr r="D1511" s="2"/>
      </tp>
      <tp t="s">
        <v>#N/A Requesting Data...1950820453</v>
        <stp/>
        <stp>BDP|12565135011531474565</stp>
        <tr r="H2018" s="2"/>
      </tp>
      <tp t="s">
        <v>#N/A Requesting Data...2497723365</v>
        <stp/>
        <stp>BDP|13013414307855518477</stp>
        <tr r="K1744" s="2"/>
      </tp>
      <tp t="s">
        <v>#N/A Requesting Data...2645318616</v>
        <stp/>
        <stp>BDP|11699135737737095269</stp>
        <tr r="E22" s="2"/>
      </tp>
      <tp t="s">
        <v>#N/A Requesting Data...2063052733</v>
        <stp/>
        <stp>BDP|18169957096416063868</stp>
        <tr r="J734" s="2"/>
      </tp>
      <tp t="s">
        <v>#N/A Requesting Data...2679252585</v>
        <stp/>
        <stp>BDP|10200100023863273674</stp>
        <tr r="P412" s="2"/>
      </tp>
      <tp t="s">
        <v>#N/A Requesting Data...3034461681</v>
        <stp/>
        <stp>BDP|17201908586626340631</stp>
        <tr r="O1513" s="2"/>
      </tp>
      <tp t="s">
        <v>#N/A Requesting Data...3938437843</v>
        <stp/>
        <stp>BDP|14340153543801054611</stp>
        <tr r="G113" s="2"/>
      </tp>
      <tp t="s">
        <v>#N/A Requesting Data...3636719019</v>
        <stp/>
        <stp>BDP|13624089637811881750</stp>
        <tr r="N1413" s="2"/>
      </tp>
      <tp t="s">
        <v>#N/A Requesting Data...4193298410</v>
        <stp/>
        <stp>BDP|15358126134064912588</stp>
        <tr r="K1543" s="2"/>
      </tp>
      <tp t="s">
        <v>#N/A Requesting Data...3924726163</v>
        <stp/>
        <stp>BDP|11285155130691263417</stp>
        <tr r="K977" s="2"/>
      </tp>
      <tp t="s">
        <v>#N/A Requesting Data...3708323519</v>
        <stp/>
        <stp>BDP|12105729513291521313</stp>
        <tr r="E338" s="2"/>
      </tp>
      <tp t="s">
        <v>#N/A Requesting Data...3879811711</v>
        <stp/>
        <stp>BDP|16297721105281426652</stp>
        <tr r="S476" s="2"/>
      </tp>
      <tp t="s">
        <v>#N/A Requesting Data...3004700866</v>
        <stp/>
        <stp>BDP|11417058139781815545</stp>
        <tr r="E774" s="2"/>
      </tp>
      <tp t="s">
        <v>#N/A Requesting Data...2396906430</v>
        <stp/>
        <stp>BDP|13133128370003325043</stp>
        <tr r="F1398" s="2"/>
      </tp>
      <tp t="s">
        <v>#N/A Requesting Data...4262991864</v>
        <stp/>
        <stp>BDP|14114849477138246547</stp>
        <tr r="J2044" s="2"/>
      </tp>
      <tp t="s">
        <v>#N/A Requesting Data...3767737975</v>
        <stp/>
        <stp>BDP|15427356446740214418</stp>
        <tr r="K803" s="2"/>
      </tp>
      <tp t="s">
        <v>#N/A Requesting Data...1994679801</v>
        <stp/>
        <stp>BDP|15298770471296777576</stp>
        <tr r="J2515" s="2"/>
      </tp>
      <tp t="s">
        <v>#N/A Requesting Data...3700439077</v>
        <stp/>
        <stp>BDP|12878149121663822413</stp>
        <tr r="Q1115" s="2"/>
      </tp>
      <tp t="s">
        <v>#N/A Requesting Data...2061897398</v>
        <stp/>
        <stp>BDP|14191804824541500941</stp>
        <tr r="N1499" s="2"/>
      </tp>
      <tp t="s">
        <v>#N/A Requesting Data...4081060975</v>
        <stp/>
        <stp>BDP|13928589189178972054</stp>
        <tr r="H351" s="2"/>
      </tp>
      <tp t="s">
        <v>#N/A Requesting Data...3506410139</v>
        <stp/>
        <stp>BDP|12218429431507313465</stp>
        <tr r="M1791" s="2"/>
      </tp>
      <tp t="s">
        <v>#N/A Requesting Data...3429305254</v>
        <stp/>
        <stp>BDP|10029614131836745533</stp>
        <tr r="Q2456" s="2"/>
      </tp>
      <tp t="s">
        <v>#N/A Requesting Data...2635324076</v>
        <stp/>
        <stp>BDP|11138132254941215200</stp>
        <tr r="D230" s="2"/>
      </tp>
      <tp t="s">
        <v>#N/A Requesting Data...4187165050</v>
        <stp/>
        <stp>BDP|17275833179567919959</stp>
        <tr r="Q998" s="2"/>
      </tp>
      <tp t="s">
        <v>#N/A Requesting Data...2657138891</v>
        <stp/>
        <stp>BDP|10962373532186055088</stp>
        <tr r="M1416" s="2"/>
      </tp>
      <tp t="s">
        <v>#N/A Requesting Data...2525346468</v>
        <stp/>
        <stp>BDP|12361622718672495192</stp>
        <tr r="C946" s="2"/>
      </tp>
      <tp t="s">
        <v>#N/A Requesting Data...2647890457</v>
        <stp/>
        <stp>BDP|10225896209116691805</stp>
        <tr r="T2310" s="2"/>
      </tp>
      <tp t="s">
        <v>#N/A Requesting Data...2060746586</v>
        <stp/>
        <stp>BDP|11567844707236294900</stp>
        <tr r="C381" s="2"/>
      </tp>
      <tp t="s">
        <v>#N/A Requesting Data...3084180026</v>
        <stp/>
        <stp>BDP|12123807647119552178</stp>
        <tr r="K2168" s="2"/>
      </tp>
      <tp t="s">
        <v>#N/A Requesting Data...3727638074</v>
        <stp/>
        <stp>BDP|12891397436261452570</stp>
        <tr r="F1310" s="2"/>
      </tp>
      <tp t="s">
        <v>#N/A Requesting Data...4241410540</v>
        <stp/>
        <stp>BDP|16277175731546695467</stp>
        <tr r="N826" s="2"/>
      </tp>
      <tp t="s">
        <v>#N/A Requesting Data...2883746389</v>
        <stp/>
        <stp>BDP|17494538064011108369</stp>
        <tr r="M2419" s="2"/>
      </tp>
      <tp t="s">
        <v>#N/A Requesting Data...3742865876</v>
        <stp/>
        <stp>BDP|11118069364274505522</stp>
        <tr r="J531" s="2"/>
      </tp>
      <tp t="s">
        <v>#N/A Requesting Data...3284734475</v>
        <stp/>
        <stp>BDP|15992316546395825126</stp>
        <tr r="M1577" s="2"/>
      </tp>
      <tp t="s">
        <v>#N/A Requesting Data...3211378202</v>
        <stp/>
        <stp>BDP|11148774335113509029</stp>
        <tr r="G1678" s="2"/>
      </tp>
      <tp t="s">
        <v>#N/A Requesting Data...4076440560</v>
        <stp/>
        <stp>BDP|17102800827372582974</stp>
        <tr r="S2421" s="2"/>
      </tp>
      <tp t="s">
        <v>#N/A Requesting Data...3110246945</v>
        <stp/>
        <stp>BDP|16795617263592937287</stp>
        <tr r="T351" s="2"/>
      </tp>
      <tp t="s">
        <v>#N/A Requesting Data...3875000819</v>
        <stp/>
        <stp>BDP|10700790369964673351</stp>
        <tr r="P485" s="2"/>
      </tp>
      <tp t="s">
        <v>#N/A Requesting Data...2228792897</v>
        <stp/>
        <stp>BDP|16529361743312460508</stp>
        <tr r="R1781" s="2"/>
      </tp>
      <tp t="s">
        <v>#N/A Requesting Data...3619514805</v>
        <stp/>
        <stp>BDP|17517144801155195553</stp>
        <tr r="E921" s="2"/>
      </tp>
      <tp t="s">
        <v>#N/A Requesting Data...1911054573</v>
        <stp/>
        <stp>BDP|13709300193427980892</stp>
        <tr r="R90" s="2"/>
      </tp>
      <tp t="s">
        <v>#N/A Requesting Data...3393627580</v>
        <stp/>
        <stp>BDP|13553357305150898697</stp>
        <tr r="Q1004" s="2"/>
      </tp>
      <tp t="s">
        <v>#N/A Requesting Data...3522785299</v>
        <stp/>
        <stp>BDP|16373041577991570615</stp>
        <tr r="N732" s="2"/>
      </tp>
      <tp t="s">
        <v>#N/A Requesting Data...3188731779</v>
        <stp/>
        <stp>BDP|14522141078887963340</stp>
        <tr r="M2084" s="2"/>
      </tp>
      <tp t="b">
        <v>0</v>
        <stp/>
        <stp>BDS|18185961541627109402</stp>
        <tr r="I1131" s="2"/>
      </tp>
      <tp t="s">
        <v>#N/A Requesting Data...2771023519</v>
        <stp/>
        <stp>BDP|14158161335588387854</stp>
        <tr r="M1640" s="2"/>
      </tp>
      <tp t="s">
        <v>#N/A Requesting Data...3106956821</v>
        <stp/>
        <stp>BDP|16784861190135441411</stp>
        <tr r="O2106" s="2"/>
      </tp>
      <tp t="s">
        <v>#N/A Requesting Data...2551152028</v>
        <stp/>
        <stp>BDP|16528783966840878172</stp>
        <tr r="G2012" s="2"/>
      </tp>
      <tp t="s">
        <v>#N/A Requesting Data...2679944324</v>
        <stp/>
        <stp>BDP|11946235865861251290</stp>
        <tr r="D924" s="2"/>
      </tp>
      <tp t="s">
        <v>#N/A Requesting Data...3382080297</v>
        <stp/>
        <stp>BDP|17097225312301471304</stp>
        <tr r="K1068" s="2"/>
      </tp>
      <tp t="s">
        <v>#N/A Requesting Data...1947653346</v>
        <stp/>
        <stp>BDP|10697097469547753752</stp>
        <tr r="F1522" s="2"/>
      </tp>
      <tp t="s">
        <v>#N/A Requesting Data...3752342964</v>
        <stp/>
        <stp>BDP|16684990756529855554</stp>
        <tr r="D2466" s="2"/>
      </tp>
      <tp t="s">
        <v>#N/A Requesting Data...3542032047</v>
        <stp/>
        <stp>BDP|10771947504866570963</stp>
        <tr r="J1877" s="2"/>
      </tp>
      <tp t="s">
        <v>#N/A Requesting Data...3491996079</v>
        <stp/>
        <stp>BDP|14279348244100793514</stp>
        <tr r="F708" s="2"/>
      </tp>
      <tp t="s">
        <v>#N/A Requesting Data...3565603833</v>
        <stp/>
        <stp>BDP|15965045489439966292</stp>
        <tr r="Q2366" s="2"/>
      </tp>
      <tp t="s">
        <v>#N/A Requesting Data...2714251921</v>
        <stp/>
        <stp>BDP|12841087301715053152</stp>
        <tr r="F355" s="2"/>
      </tp>
      <tp t="s">
        <v>#N/A Requesting Data...3168245981</v>
        <stp/>
        <stp>BDP|13160757311162416152</stp>
        <tr r="Q42" s="2"/>
      </tp>
      <tp t="s">
        <v>#N/A Requesting Data...3628143637</v>
        <stp/>
        <stp>BDP|12041588537812308086</stp>
        <tr r="D1726" s="2"/>
      </tp>
      <tp t="s">
        <v>#N/A Requesting Data...2107083076</v>
        <stp/>
        <stp>BDP|10040776885431154871</stp>
        <tr r="P1614" s="2"/>
      </tp>
      <tp t="s">
        <v>#N/A Requesting Data...2882495302</v>
        <stp/>
        <stp>BDP|14474855586865018739</stp>
        <tr r="Q1611" s="2"/>
      </tp>
      <tp t="s">
        <v>#N/A Requesting Data...3649512935</v>
        <stp/>
        <stp>BDP|17211117086789643177</stp>
        <tr r="S875" s="2"/>
      </tp>
      <tp t="s">
        <v>#N/A Requesting Data...3021492117</v>
        <stp/>
        <stp>BDP|14778900053146308834</stp>
        <tr r="M642" s="2"/>
      </tp>
      <tp t="s">
        <v>#N/A Requesting Data...2372067651</v>
        <stp/>
        <stp>BDP|16434308219855017790</stp>
        <tr r="K1466" s="2"/>
      </tp>
      <tp t="s">
        <v>#N/A Requesting Data...2138935823</v>
        <stp/>
        <stp>BDP|10104626498070966962</stp>
        <tr r="M977" s="2"/>
      </tp>
      <tp t="b">
        <v>0</v>
        <stp/>
        <stp>BDS|14647514272261133133</stp>
        <tr r="I177" s="2"/>
      </tp>
      <tp t="s">
        <v>#N/A Requesting Data...3505650924</v>
        <stp/>
        <stp>BDP|14422930662938585541</stp>
        <tr r="S1806" s="2"/>
      </tp>
      <tp t="s">
        <v>#N/A Requesting Data...3516001554</v>
        <stp/>
        <stp>BDP|13825601779090336461</stp>
        <tr r="T680" s="2"/>
      </tp>
      <tp t="s">
        <v>#N/A Requesting Data...3366662156</v>
        <stp/>
        <stp>BDP|10097711272986183068</stp>
        <tr r="A1864" s="2"/>
      </tp>
      <tp t="s">
        <v>#N/A Requesting Data...2338545535</v>
        <stp/>
        <stp>BDP|13412874011545363957</stp>
        <tr r="H1468" s="2"/>
      </tp>
      <tp t="s">
        <v>#N/A Requesting Data...3810861368</v>
        <stp/>
        <stp>BDP|11262037612931406739</stp>
        <tr r="N700" s="2"/>
      </tp>
      <tp t="s">
        <v>#N/A Requesting Data...3717865945</v>
        <stp/>
        <stp>BDP|14311042747741121757</stp>
        <tr r="D2069" s="2"/>
      </tp>
      <tp t="s">
        <v>#N/A Requesting Data...4021484065</v>
        <stp/>
        <stp>BDP|17921071303226138782</stp>
        <tr r="G1152" s="2"/>
      </tp>
      <tp t="s">
        <v>#N/A Requesting Data...2126288507</v>
        <stp/>
        <stp>BDP|16844000704940050088</stp>
        <tr r="M2169" s="2"/>
      </tp>
      <tp t="s">
        <v>#N/A Requesting Data...2477478995</v>
        <stp/>
        <stp>BDP|17861617064079171886</stp>
        <tr r="R2068" s="2"/>
      </tp>
      <tp t="s">
        <v>#N/A Requesting Data...4210771004</v>
        <stp/>
        <stp>BDP|18049048430894923996</stp>
        <tr r="S657" s="2"/>
      </tp>
      <tp t="s">
        <v>#N/A Requesting Data...2224444402</v>
        <stp/>
        <stp>BDP|12794089217571843441</stp>
        <tr r="H1801" s="2"/>
      </tp>
      <tp t="s">
        <v>#N/A Requesting Data...2460969580</v>
        <stp/>
        <stp>BDP|12255894433478842746</stp>
        <tr r="T2074" s="2"/>
      </tp>
      <tp t="s">
        <v>#N/A Requesting Data...3827995071</v>
        <stp/>
        <stp>BDP|15520052392543143976</stp>
        <tr r="S1837" s="2"/>
      </tp>
      <tp t="s">
        <v>#N/A Requesting Data...3966917905</v>
        <stp/>
        <stp>BDP|10652071371656064743</stp>
        <tr r="H1414" s="2"/>
      </tp>
      <tp t="s">
        <v>#N/A Requesting Data...2719617556</v>
        <stp/>
        <stp>BDP|12721283025405644187</stp>
        <tr r="T409" s="2"/>
      </tp>
      <tp t="s">
        <v>#N/A Requesting Data...2878854092</v>
        <stp/>
        <stp>BDP|17317674134187527313</stp>
        <tr r="S113" s="2"/>
      </tp>
      <tp t="s">
        <v>#N/A Requesting Data...3822393477</v>
        <stp/>
        <stp>BDP|16290585938044595230</stp>
        <tr r="F2326" s="2"/>
      </tp>
      <tp t="s">
        <v>#N/A Requesting Data...3212801219</v>
        <stp/>
        <stp>BDP|16561792127364946166</stp>
        <tr r="R865" s="2"/>
      </tp>
      <tp t="b">
        <v>0</v>
        <stp/>
        <stp>BDS|11870702328061056375</stp>
        <tr r="I805" s="2"/>
      </tp>
      <tp t="s">
        <v>#N/A Requesting Data...3201332294</v>
        <stp/>
        <stp>BDP|14810512800750470797</stp>
        <tr r="S719" s="2"/>
      </tp>
      <tp t="s">
        <v>#N/A Requesting Data...3256811656</v>
        <stp/>
        <stp>BDP|18331514870534657803</stp>
        <tr r="F620" s="2"/>
      </tp>
      <tp t="s">
        <v>#N/A Requesting Data...4056654104</v>
        <stp/>
        <stp>BDP|11954620714128968826</stp>
        <tr r="M1024" s="2"/>
      </tp>
      <tp t="b">
        <v>0</v>
        <stp/>
        <stp>BDS|15204447664039206873</stp>
        <tr r="I2351" s="2"/>
      </tp>
      <tp t="s">
        <v>#N/A Requesting Data...3170493176</v>
        <stp/>
        <stp>BDP|14743352555086778245</stp>
        <tr r="D2503" s="2"/>
      </tp>
      <tp t="s">
        <v>#N/A Requesting Data...2847412331</v>
        <stp/>
        <stp>BDP|13637045641449016877</stp>
        <tr r="S357" s="2"/>
      </tp>
      <tp t="s">
        <v>#N/A Requesting Data...2376117435</v>
        <stp/>
        <stp>BDP|12752756629815578497</stp>
        <tr r="C2422" s="2"/>
      </tp>
      <tp t="s">
        <v>#N/A Requesting Data...3283132200</v>
        <stp/>
        <stp>BDP|17449036587989489038</stp>
        <tr r="J2375" s="2"/>
      </tp>
      <tp t="b">
        <v>0</v>
        <stp/>
        <stp>BDS|10315072644994686629</stp>
        <tr r="I1605" s="2"/>
      </tp>
      <tp t="s">
        <v>#N/A Requesting Data...3132393853</v>
        <stp/>
        <stp>BDP|11781380829617406155</stp>
        <tr r="T650" s="2"/>
      </tp>
      <tp t="s">
        <v>#N/A Requesting Data...3467131249</v>
        <stp/>
        <stp>BDP|12812418199458752103</stp>
        <tr r="F1143" s="2"/>
      </tp>
      <tp t="s">
        <v>#N/A Requesting Data...3404971625</v>
        <stp/>
        <stp>BDP|12268760247284475308</stp>
        <tr r="G805" s="2"/>
      </tp>
      <tp t="s">
        <v>#N/A Requesting Data...2084793752</v>
        <stp/>
        <stp>BDP|16122446157631216078</stp>
        <tr r="Q1631" s="2"/>
      </tp>
      <tp t="s">
        <v>#N/A Requesting Data...3126363033</v>
        <stp/>
        <stp>BDP|15027214512240075048</stp>
        <tr r="M841" s="2"/>
      </tp>
      <tp t="s">
        <v>#N/A Requesting Data...3797354085</v>
        <stp/>
        <stp>BDP|10375444128807979716</stp>
        <tr r="D2300" s="2"/>
      </tp>
      <tp t="s">
        <v>#N/A Requesting Data...3245199567</v>
        <stp/>
        <stp>BDP|15835599424283021720</stp>
        <tr r="H1781" s="2"/>
      </tp>
      <tp t="b">
        <v>0</v>
        <stp/>
        <stp>BDS|11785647615302034225</stp>
        <tr r="I335" s="2"/>
      </tp>
      <tp t="s">
        <v>#N/A Requesting Data...2825219525</v>
        <stp/>
        <stp>BDP|14724658752903505229</stp>
        <tr r="Q834" s="2"/>
      </tp>
      <tp t="s">
        <v>#N/A Requesting Data...3582377267</v>
        <stp/>
        <stp>BDP|10833431985828958205</stp>
        <tr r="M2367" s="2"/>
      </tp>
      <tp t="s">
        <v>#N/A Requesting Data...2376410473</v>
        <stp/>
        <stp>BDP|13028149044368511820</stp>
        <tr r="E1313" s="2"/>
      </tp>
      <tp t="s">
        <v>#N/A Requesting Data...2925364480</v>
        <stp/>
        <stp>BDP|10402296358993576271</stp>
        <tr r="E1232" s="2"/>
      </tp>
      <tp t="s">
        <v>#N/A Requesting Data...2181171798</v>
        <stp/>
        <stp>BDP|15108378959295166095</stp>
        <tr r="S215" s="2"/>
      </tp>
      <tp t="s">
        <v>#N/A Requesting Data...3571175748</v>
        <stp/>
        <stp>BDP|17626318172087216202</stp>
        <tr r="K541" s="2"/>
      </tp>
      <tp t="s">
        <v>#N/A Requesting Data...2149116694</v>
        <stp/>
        <stp>BDP|13018810182643286666</stp>
        <tr r="G1948" s="2"/>
      </tp>
      <tp t="s">
        <v>#N/A Requesting Data...3038901848</v>
        <stp/>
        <stp>BDP|15991522203081730781</stp>
        <tr r="J449" s="2"/>
      </tp>
      <tp t="s">
        <v>#N/A Requesting Data...2646245666</v>
        <stp/>
        <stp>BDP|12217128229506901175</stp>
        <tr r="J1979" s="2"/>
      </tp>
      <tp t="s">
        <v>#N/A Requesting Data...4121858156</v>
        <stp/>
        <stp>BDP|11180504101874380645</stp>
        <tr r="H1704" s="2"/>
      </tp>
      <tp t="s">
        <v>#N/A Requesting Data...4091893313</v>
        <stp/>
        <stp>BDP|11820386934174258319</stp>
        <tr r="F2322" s="2"/>
      </tp>
      <tp t="s">
        <v>#N/A Requesting Data...3673361183</v>
        <stp/>
        <stp>BDP|13037093963081597280</stp>
        <tr r="M2221" s="2"/>
      </tp>
      <tp t="s">
        <v>#N/A Requesting Data...3358541998</v>
        <stp/>
        <stp>BDP|14297906541859765638</stp>
        <tr r="S1502" s="2"/>
      </tp>
      <tp t="s">
        <v>#N/A Requesting Data...2980211204</v>
        <stp/>
        <stp>BDP|10651578235299215916</stp>
        <tr r="K127" s="2"/>
      </tp>
      <tp t="s">
        <v>#N/A Requesting Data...3159043414</v>
        <stp/>
        <stp>BDP|14070267532881583268</stp>
        <tr r="O868" s="2"/>
      </tp>
      <tp t="b">
        <v>0</v>
        <stp/>
        <stp>BDS|10268034071078094943</stp>
        <tr r="I1343" s="2"/>
      </tp>
      <tp t="s">
        <v>#N/A Requesting Data...3449505595</v>
        <stp/>
        <stp>BDP|14390714424925581244</stp>
        <tr r="N1383" s="2"/>
      </tp>
      <tp t="s">
        <v>#N/A Requesting Data...2736697056</v>
        <stp/>
        <stp>BDP|11802458100591865224</stp>
        <tr r="A2028" s="2"/>
      </tp>
      <tp t="s">
        <v>#N/A Requesting Data...2313465203</v>
        <stp/>
        <stp>BDP|11691568716380787365</stp>
        <tr r="S1723" s="2"/>
      </tp>
      <tp t="s">
        <v>#N/A Requesting Data...3814525521</v>
        <stp/>
        <stp>BDP|10458189476234544485</stp>
        <tr r="H1272" s="2"/>
      </tp>
      <tp t="s">
        <v>#N/A Requesting Data...2758042180</v>
        <stp/>
        <stp>BDP|10267527284823050833</stp>
        <tr r="P677" s="2"/>
      </tp>
      <tp t="s">
        <v>#N/A Requesting Data...2504998038</v>
        <stp/>
        <stp>BDP|11351149066389695908</stp>
        <tr r="F321" s="2"/>
      </tp>
      <tp t="s">
        <v>#N/A Requesting Data...4016815060</v>
        <stp/>
        <stp>BDP|13734383633091882436</stp>
        <tr r="Q2314" s="2"/>
      </tp>
      <tp t="s">
        <v>#N/A Requesting Data...4065518324</v>
        <stp/>
        <stp>BDP|12721648355011468652</stp>
        <tr r="E392" s="2"/>
      </tp>
      <tp t="b">
        <v>0</v>
        <stp/>
        <stp>BDS|13941443018441380125</stp>
        <tr r="I2292" s="2"/>
      </tp>
      <tp t="s">
        <v>#N/A Requesting Data...4202880004</v>
        <stp/>
        <stp>BDP|14372388719556140640</stp>
        <tr r="E203" s="2"/>
      </tp>
      <tp t="s">
        <v>#N/A Requesting Data...3973416712</v>
        <stp/>
        <stp>BDP|13700841945908646171</stp>
        <tr r="E1241" s="2"/>
      </tp>
      <tp t="s">
        <v>#N/A Requesting Data...2430546885</v>
        <stp/>
        <stp>BDP|17693000890701352926</stp>
        <tr r="P370" s="2"/>
      </tp>
      <tp t="s">
        <v>#N/A Requesting Data...3693909473</v>
        <stp/>
        <stp>BDP|11883175143016379487</stp>
        <tr r="F1002" s="2"/>
      </tp>
      <tp t="s">
        <v>#N/A Requesting Data...3270303963</v>
        <stp/>
        <stp>BDP|15390513449296557490</stp>
        <tr r="D602" s="2"/>
      </tp>
      <tp t="s">
        <v>#N/A Requesting Data...3283312612</v>
        <stp/>
        <stp>BDP|13624057474904594658</stp>
        <tr r="M2150" s="2"/>
      </tp>
      <tp t="s">
        <v>#N/A Requesting Data...3002115322</v>
        <stp/>
        <stp>BDP|14426408673411725071</stp>
        <tr r="O287" s="2"/>
      </tp>
      <tp t="s">
        <v>#N/A Requesting Data...3696863090</v>
        <stp/>
        <stp>BDP|17487707956796433516</stp>
        <tr r="N2204" s="2"/>
      </tp>
      <tp t="s">
        <v>#N/A Requesting Data...2241372716</v>
        <stp/>
        <stp>BDP|16099966308299920002</stp>
        <tr r="A307" s="2"/>
      </tp>
      <tp t="s">
        <v>#N/A Requesting Data...3303607153</v>
        <stp/>
        <stp>BDP|17502912592051381027</stp>
        <tr r="J2223" s="2"/>
      </tp>
      <tp t="s">
        <v>#N/A Requesting Data...3499292515</v>
        <stp/>
        <stp>BDP|13297101835256752173</stp>
        <tr r="T1505" s="2"/>
      </tp>
      <tp t="s">
        <v>#N/A Requesting Data...2565595223</v>
        <stp/>
        <stp>BDP|17348756472992334304</stp>
        <tr r="D87" s="2"/>
      </tp>
      <tp t="s">
        <v>#N/A Requesting Data...3004827183</v>
        <stp/>
        <stp>BDP|17941508238720351752</stp>
        <tr r="G2267" s="2"/>
      </tp>
      <tp t="s">
        <v>#N/A Requesting Data...2530503987</v>
        <stp/>
        <stp>BDP|11524456427775194416</stp>
        <tr r="O2321" s="2"/>
      </tp>
      <tp t="s">
        <v>#N/A Requesting Data...3596534957</v>
        <stp/>
        <stp>BDP|13886621559365566310</stp>
        <tr r="S144" s="2"/>
      </tp>
      <tp t="s">
        <v>#N/A Requesting Data...3144138349</v>
        <stp/>
        <stp>BDP|12426643570115380044</stp>
        <tr r="A1974" s="2"/>
      </tp>
      <tp t="s">
        <v>#N/A Requesting Data...4038583484</v>
        <stp/>
        <stp>BDP|17364164903423872392</stp>
        <tr r="D1024" s="2"/>
      </tp>
      <tp t="s">
        <v>#N/A Requesting Data...3591706330</v>
        <stp/>
        <stp>BDP|17344745264094463404</stp>
        <tr r="A195" s="2"/>
      </tp>
      <tp t="s">
        <v>#N/A Requesting Data...3818268945</v>
        <stp/>
        <stp>BDP|11143955793293405440</stp>
        <tr r="R2091" s="2"/>
      </tp>
      <tp t="s">
        <v>#N/A Requesting Data...3597105561</v>
        <stp/>
        <stp>BDP|17523347496498316333</stp>
        <tr r="A1082" s="2"/>
      </tp>
      <tp t="s">
        <v>#N/A Requesting Data...3908194240</v>
        <stp/>
        <stp>BDP|13204364955417279444</stp>
        <tr r="D1654" s="2"/>
      </tp>
      <tp t="s">
        <v>#N/A Requesting Data...4257436948</v>
        <stp/>
        <stp>BDP|14413220047400230445</stp>
        <tr r="G2206" s="2"/>
      </tp>
      <tp t="s">
        <v>#N/A Requesting Data...2419489103</v>
        <stp/>
        <stp>BDP|10740045123450026474</stp>
        <tr r="R702" s="2"/>
      </tp>
      <tp t="s">
        <v>#N/A Requesting Data...2974202381</v>
        <stp/>
        <stp>BDP|16053910262396317975</stp>
        <tr r="A311" s="2"/>
      </tp>
      <tp t="s">
        <v>#N/A Requesting Data...4123831300</v>
        <stp/>
        <stp>BDP|10082608914506115726</stp>
        <tr r="C39" s="2"/>
      </tp>
      <tp t="s">
        <v>#N/A Requesting Data...3674268147</v>
        <stp/>
        <stp>BDP|17433702818781337687</stp>
        <tr r="R800" s="2"/>
      </tp>
      <tp t="s">
        <v>#N/A Requesting Data...3073670812</v>
        <stp/>
        <stp>BDP|10628174035183177722</stp>
        <tr r="M2408" s="2"/>
      </tp>
      <tp t="s">
        <v>#N/A Requesting Data...2455743595</v>
        <stp/>
        <stp>BDP|11934884100836391954</stp>
        <tr r="S1011" s="2"/>
      </tp>
      <tp t="s">
        <v>#N/A Requesting Data...2463148401</v>
        <stp/>
        <stp>BDP|10036527815664954696</stp>
        <tr r="O922" s="2"/>
      </tp>
      <tp t="s">
        <v>#N/A Requesting Data...3268941164</v>
        <stp/>
        <stp>BDP|11070154881509346703</stp>
        <tr r="J358" s="2"/>
      </tp>
      <tp t="s">
        <v>#N/A Requesting Data...3250006342</v>
        <stp/>
        <stp>BDP|12968552030246234494</stp>
        <tr r="T1751" s="2"/>
      </tp>
      <tp t="s">
        <v>#N/A Requesting Data...2898308215</v>
        <stp/>
        <stp>BDP|17928215178547205353</stp>
        <tr r="R1101" s="2"/>
      </tp>
      <tp t="s">
        <v>#N/A Requesting Data...3472114683</v>
        <stp/>
        <stp>BDP|15149210420922444138</stp>
        <tr r="P1429" s="2"/>
      </tp>
      <tp t="s">
        <v>#N/A Requesting Data...2601353655</v>
        <stp/>
        <stp>BDP|10472249963876726435</stp>
        <tr r="H2151" s="2"/>
      </tp>
      <tp t="s">
        <v>#N/A Requesting Data...3354521343</v>
        <stp/>
        <stp>BDP|11232814286531613642</stp>
        <tr r="T426" s="2"/>
      </tp>
      <tp t="s">
        <v>#N/A Requesting Data...3375440616</v>
        <stp/>
        <stp>BDP|11628792837051906261</stp>
        <tr r="G591" s="2"/>
      </tp>
      <tp t="s">
        <v>#N/A Requesting Data...3482700763</v>
        <stp/>
        <stp>BDP|14336338427174126719</stp>
        <tr r="P1127" s="2"/>
      </tp>
      <tp t="s">
        <v>#N/A Requesting Data...3684513060</v>
        <stp/>
        <stp>BDP|15358527442992437009</stp>
        <tr r="O2121" s="2"/>
      </tp>
      <tp t="s">
        <v>#N/A Requesting Data...2877566023</v>
        <stp/>
        <stp>BDP|16124696456712873115</stp>
        <tr r="P1451" s="2"/>
      </tp>
      <tp t="s">
        <v>#N/A Requesting Data...3542467341</v>
        <stp/>
        <stp>BDP|16440644809527873162</stp>
        <tr r="D753" s="2"/>
      </tp>
      <tp t="s">
        <v>#N/A Requesting Data...2374063374</v>
        <stp/>
        <stp>BDP|17753112652592304702</stp>
        <tr r="H1753" s="2"/>
      </tp>
      <tp t="s">
        <v>#N/A Requesting Data...2324866841</v>
        <stp/>
        <stp>BDP|10744202002975688147</stp>
        <tr r="R1333" s="2"/>
      </tp>
      <tp t="b">
        <v>0</v>
        <stp/>
        <stp>BDS|16490138945512403724</stp>
        <tr r="I1221" s="2"/>
      </tp>
      <tp t="s">
        <v>#N/A Requesting Data...4041357076</v>
        <stp/>
        <stp>BDP|18282560341947490868</stp>
        <tr r="A1377" s="2"/>
      </tp>
      <tp t="s">
        <v>#N/A Requesting Data...2914680521</v>
        <stp/>
        <stp>BDP|14471192829587355605</stp>
        <tr r="F1643" s="2"/>
      </tp>
      <tp t="s">
        <v>#N/A Requesting Data...3120051832</v>
        <stp/>
        <stp>BDP|14651616132160160734</stp>
        <tr r="S1682" s="2"/>
      </tp>
      <tp t="b">
        <v>0</v>
        <stp/>
        <stp>BDS|10726714662053133415</stp>
        <tr r="I322" s="2"/>
      </tp>
      <tp t="s">
        <v>#N/A Requesting Data...2906467945</v>
        <stp/>
        <stp>BDP|10823774438966470448</stp>
        <tr r="H842" s="2"/>
      </tp>
      <tp t="s">
        <v>#N/A Requesting Data...2453763257</v>
        <stp/>
        <stp>BDP|12010245584478283658</stp>
        <tr r="D1013" s="2"/>
      </tp>
      <tp t="s">
        <v>#N/A Requesting Data...2549843348</v>
        <stp/>
        <stp>BDP|16716555646462645354</stp>
        <tr r="Q1921" s="2"/>
      </tp>
      <tp t="s">
        <v>#N/A Requesting Data...4273082866</v>
        <stp/>
        <stp>BDP|15109276495820703839</stp>
        <tr r="P217" s="2"/>
      </tp>
      <tp t="s">
        <v>#N/A Requesting Data...3066445016</v>
        <stp/>
        <stp>BDP|11315414846672311505</stp>
        <tr r="M805" s="2"/>
      </tp>
      <tp t="s">
        <v>#N/A Requesting Data...2463776390</v>
        <stp/>
        <stp>BDP|18001979515241585704</stp>
        <tr r="K1939" s="2"/>
      </tp>
      <tp t="s">
        <v>#N/A Requesting Data...3374288346</v>
        <stp/>
        <stp>BDP|11131023109323446490</stp>
        <tr r="E1191" s="2"/>
      </tp>
      <tp t="s">
        <v>#N/A Requesting Data...3880881198</v>
        <stp/>
        <stp>BDP|13200554829452959002</stp>
        <tr r="P2219" s="2"/>
      </tp>
      <tp t="s">
        <v>#N/A Requesting Data...2432931601</v>
        <stp/>
        <stp>BDP|16607534152723343330</stp>
        <tr r="M950" s="2"/>
      </tp>
      <tp t="s">
        <v>#N/A Requesting Data...3356323278</v>
        <stp/>
        <stp>BDP|17527113203909093906</stp>
        <tr r="K1386" s="2"/>
      </tp>
      <tp t="s">
        <v>#N/A Requesting Data...2487436047</v>
        <stp/>
        <stp>BDP|12554384749473325000</stp>
        <tr r="T1585" s="2"/>
      </tp>
      <tp t="s">
        <v>#N/A Requesting Data...3337414087</v>
        <stp/>
        <stp>BDP|14159767384264107956</stp>
        <tr r="C1268" s="2"/>
      </tp>
      <tp t="s">
        <v>#N/A Requesting Data...2592625680</v>
        <stp/>
        <stp>BDP|16109323598009836346</stp>
        <tr r="K1146" s="2"/>
      </tp>
      <tp t="s">
        <v>#N/A Requesting Data...3369673195</v>
        <stp/>
        <stp>BDP|12477394210003910534</stp>
        <tr r="R1536" s="2"/>
      </tp>
      <tp t="s">
        <v>#N/A Requesting Data...3010233827</v>
        <stp/>
        <stp>BDP|15863399415336623758</stp>
        <tr r="F2478" s="2"/>
      </tp>
      <tp t="s">
        <v>#N/A Requesting Data...3536294861</v>
        <stp/>
        <stp>BDP|17887441048928252913</stp>
        <tr r="G316" s="2"/>
      </tp>
      <tp t="s">
        <v>#N/A Requesting Data...3485828840</v>
        <stp/>
        <stp>BDP|10387713120125197645</stp>
        <tr r="O899" s="2"/>
      </tp>
      <tp t="s">
        <v>#N/A Requesting Data...2434630946</v>
        <stp/>
        <stp>BDP|11081607250425092174</stp>
        <tr r="T1097" s="2"/>
      </tp>
      <tp t="s">
        <v>#N/A Requesting Data...3390637605</v>
        <stp/>
        <stp>BDP|11226837056053610962</stp>
        <tr r="P1929" s="2"/>
      </tp>
      <tp t="s">
        <v>#N/A Requesting Data...2473288342</v>
        <stp/>
        <stp>BDP|15012732555617245637</stp>
        <tr r="J57" s="2"/>
      </tp>
      <tp t="s">
        <v>#N/A Requesting Data...4116655042</v>
        <stp/>
        <stp>BDP|13004749837970055140</stp>
        <tr r="P578" s="2"/>
      </tp>
      <tp t="s">
        <v>#N/A Requesting Data...2601827012</v>
        <stp/>
        <stp>BDP|10301473833213333237</stp>
        <tr r="T2318" s="2"/>
      </tp>
      <tp t="s">
        <v>#N/A Requesting Data...4203801367</v>
        <stp/>
        <stp>BDP|14184710915312277609</stp>
        <tr r="M1349" s="2"/>
      </tp>
      <tp t="s">
        <v>#N/A Requesting Data...2804702475</v>
        <stp/>
        <stp>BDP|14889795764310385313</stp>
        <tr r="R1037" s="2"/>
      </tp>
      <tp t="s">
        <v>#N/A Requesting Data...3488488839</v>
        <stp/>
        <stp>BDP|13863059251625284594</stp>
        <tr r="C464" s="2"/>
      </tp>
      <tp t="s">
        <v>#N/A Requesting Data...2666268186</v>
        <stp/>
        <stp>BDP|12197027235067893092</stp>
        <tr r="G629" s="2"/>
      </tp>
      <tp t="s">
        <v>#N/A Requesting Data...3855478118</v>
        <stp/>
        <stp>BDP|10428437233298001932</stp>
        <tr r="R2386" s="2"/>
      </tp>
      <tp t="s">
        <v>#N/A Requesting Data...4116390219</v>
        <stp/>
        <stp>BDP|12212487918452455313</stp>
        <tr r="P2471" s="2"/>
      </tp>
      <tp t="s">
        <v>#N/A Requesting Data...2523866145</v>
        <stp/>
        <stp>BDP|14485472359392589185</stp>
        <tr r="Q1453" s="2"/>
      </tp>
      <tp t="s">
        <v>#N/A Requesting Data...2513745439</v>
        <stp/>
        <stp>BDP|17612090417227825775</stp>
        <tr r="O760" s="2"/>
      </tp>
      <tp t="s">
        <v>#N/A Requesting Data...3836875904</v>
        <stp/>
        <stp>BDP|10850560238323903382</stp>
        <tr r="C1350" s="2"/>
      </tp>
      <tp t="s">
        <v>#N/A Requesting Data...2524896517</v>
        <stp/>
        <stp>BDP|14975989607309770271</stp>
        <tr r="K2459" s="2"/>
      </tp>
      <tp t="s">
        <v>#N/A Requesting Data...3565326101</v>
        <stp/>
        <stp>BDP|18192075101958198606</stp>
        <tr r="P1150" s="2"/>
      </tp>
      <tp t="s">
        <v>#N/A Requesting Data...3714341238</v>
        <stp/>
        <stp>BDP|18050964589477996806</stp>
        <tr r="G71" s="2"/>
      </tp>
      <tp t="s">
        <v>#N/A Requesting Data...3345404504</v>
        <stp/>
        <stp>BDP|18396764013780703873</stp>
        <tr r="A1109" s="2"/>
      </tp>
      <tp t="s">
        <v>#N/A Requesting Data...3168477959</v>
        <stp/>
        <stp>BDP|11453529846613730510</stp>
        <tr r="S1391" s="2"/>
      </tp>
      <tp t="s">
        <v>#N/A Requesting Data...3967713083</v>
        <stp/>
        <stp>BDP|16017769721272942787</stp>
        <tr r="T1227" s="2"/>
      </tp>
      <tp t="s">
        <v>#N/A Requesting Data...2782275889</v>
        <stp/>
        <stp>BDP|14252608768270455283</stp>
        <tr r="K597" s="2"/>
      </tp>
      <tp t="s">
        <v>#N/A Requesting Data...3787184265</v>
        <stp/>
        <stp>BDP|14711719711743055713</stp>
        <tr r="N1165" s="2"/>
      </tp>
      <tp t="s">
        <v>#N/A Requesting Data...2723147436</v>
        <stp/>
        <stp>BDP|10023745411994733445</stp>
        <tr r="K380" s="2"/>
      </tp>
      <tp t="s">
        <v>#N/A Requesting Data...3034781460</v>
        <stp/>
        <stp>BDP|13733371294947169835</stp>
        <tr r="O508" s="2"/>
      </tp>
      <tp t="s">
        <v>#N/A Requesting Data...2395528837</v>
        <stp/>
        <stp>BDP|12887697214947199427</stp>
        <tr r="A1531" s="2"/>
      </tp>
      <tp t="s">
        <v>#N/A Requesting Data...2443462046</v>
        <stp/>
        <stp>BDP|10618279570095191669</stp>
        <tr r="R1741" s="2"/>
      </tp>
      <tp t="s">
        <v>#N/A Requesting Data...3178117267</v>
        <stp/>
        <stp>BDP|13193846697317270363</stp>
        <tr r="G1401" s="2"/>
      </tp>
      <tp t="s">
        <v>#N/A Requesting Data...3644472979</v>
        <stp/>
        <stp>BDP|11254256407555676009</stp>
        <tr r="F1472" s="2"/>
      </tp>
      <tp t="s">
        <v>#N/A Requesting Data...2755941157</v>
        <stp/>
        <stp>BDP|10426685218205698443</stp>
        <tr r="D2107" s="2"/>
      </tp>
      <tp t="s">
        <v>#N/A Requesting Data...3910164780</v>
        <stp/>
        <stp>BDP|12539061632261275658</stp>
        <tr r="M128" s="2"/>
      </tp>
      <tp t="s">
        <v>#N/A Requesting Data...3273467900</v>
        <stp/>
        <stp>BDP|15803279813082305296</stp>
        <tr r="P640" s="2"/>
      </tp>
      <tp t="s">
        <v>#N/A Requesting Data...2861860281</v>
        <stp/>
        <stp>BDP|15512347672811636632</stp>
        <tr r="E297" s="2"/>
      </tp>
      <tp t="s">
        <v>#N/A Requesting Data...3605698330</v>
        <stp/>
        <stp>BDP|10592645230655079673</stp>
        <tr r="P2406" s="2"/>
      </tp>
      <tp t="s">
        <v>#N/A Requesting Data...4076482005</v>
        <stp/>
        <stp>BDP|17715608566714325542</stp>
        <tr r="O946" s="2"/>
      </tp>
      <tp t="s">
        <v>#N/A Requesting Data...3530662009</v>
        <stp/>
        <stp>BDP|17001139108103850353</stp>
        <tr r="T1538" s="2"/>
      </tp>
      <tp t="s">
        <v>#N/A Requesting Data...3434818304</v>
        <stp/>
        <stp>BDP|11690231165525760615</stp>
        <tr r="M528" s="2"/>
      </tp>
      <tp t="s">
        <v>#N/A Requesting Data...2679024050</v>
        <stp/>
        <stp>BDP|15518279412097516737</stp>
        <tr r="E106" s="2"/>
      </tp>
      <tp t="s">
        <v>#N/A Requesting Data...3784638206</v>
        <stp/>
        <stp>BDP|16633398480372919904</stp>
        <tr r="C159" s="2"/>
      </tp>
      <tp t="s">
        <v>#N/A Requesting Data...3393370081</v>
        <stp/>
        <stp>BDP|16371661550890377304</stp>
        <tr r="A1934" s="2"/>
      </tp>
      <tp t="s">
        <v>#N/A Requesting Data...3483273127</v>
        <stp/>
        <stp>BDP|17641753436396698350</stp>
        <tr r="H2157" s="2"/>
      </tp>
      <tp t="s">
        <v>#N/A Requesting Data...3285646590</v>
        <stp/>
        <stp>BDP|16975220129906562615</stp>
        <tr r="J2400" s="2"/>
      </tp>
      <tp t="s">
        <v>#N/A Requesting Data...3566966514</v>
        <stp/>
        <stp>BDP|12138416190711074869</stp>
        <tr r="G731" s="2"/>
      </tp>
      <tp t="s">
        <v>#N/A Requesting Data...3146917700</v>
        <stp/>
        <stp>BDP|11477503012607762478</stp>
        <tr r="E2114" s="2"/>
      </tp>
      <tp t="s">
        <v>#N/A Requesting Data...3973629732</v>
        <stp/>
        <stp>BDP|12550451614814292509</stp>
        <tr r="F96" s="2"/>
      </tp>
      <tp t="s">
        <v>#N/A Requesting Data...4060807563</v>
        <stp/>
        <stp>BDP|11857778270823080491</stp>
        <tr r="A2053" s="2"/>
      </tp>
      <tp t="s">
        <v>#N/A Requesting Data...3070325515</v>
        <stp/>
        <stp>BDP|16947291377331337429</stp>
        <tr r="K1128" s="2"/>
      </tp>
      <tp t="s">
        <v>#N/A Requesting Data...2954007499</v>
        <stp/>
        <stp>BDP|12446348656582135019</stp>
        <tr r="C2088" s="2"/>
      </tp>
      <tp t="s">
        <v>#N/A Requesting Data...3811253214</v>
        <stp/>
        <stp>BDP|15086322810148694921</stp>
        <tr r="Q1526" s="2"/>
      </tp>
      <tp t="s">
        <v>#N/A Requesting Data...4052064277</v>
        <stp/>
        <stp>BDP|12938369090318190683</stp>
        <tr r="T1033" s="2"/>
      </tp>
      <tp t="s">
        <v>#N/A Requesting Data...3729813166</v>
        <stp/>
        <stp>BDP|11555680739441252307</stp>
        <tr r="P2522" s="2"/>
      </tp>
      <tp t="s">
        <v>#N/A Requesting Data...3525832445</v>
        <stp/>
        <stp>BDP|11675532779772238783</stp>
        <tr r="D146" s="2"/>
      </tp>
      <tp t="s">
        <v>#N/A Requesting Data...2880881417</v>
        <stp/>
        <stp>BDP|12688121243000686173</stp>
        <tr r="J668" s="2"/>
      </tp>
      <tp t="s">
        <v>#N/A Requesting Data...4276555336</v>
        <stp/>
        <stp>BDP|11629795179443383439</stp>
        <tr r="J128" s="2"/>
      </tp>
      <tp t="s">
        <v>#N/A Requesting Data...3471931436</v>
        <stp/>
        <stp>BDP|18391603438829429292</stp>
        <tr r="D1162" s="2"/>
      </tp>
      <tp t="s">
        <v>#N/A Requesting Data...3649914253</v>
        <stp/>
        <stp>BDP|15635914938900054999</stp>
        <tr r="M1359" s="2"/>
      </tp>
      <tp t="s">
        <v>#N/A Requesting Data...3396996030</v>
        <stp/>
        <stp>BDP|15956740792139867410</stp>
        <tr r="Q455" s="2"/>
      </tp>
      <tp t="s">
        <v>#N/A Requesting Data...3837107962</v>
        <stp/>
        <stp>BDP|10974362245503407282</stp>
        <tr r="D1908" s="2"/>
      </tp>
      <tp t="s">
        <v>#N/A Requesting Data...2726082670</v>
        <stp/>
        <stp>BDP|14351790472470933270</stp>
        <tr r="R49" s="2"/>
      </tp>
      <tp t="s">
        <v>#N/A Requesting Data...3225643650</v>
        <stp/>
        <stp>BDP|12786107311157850389</stp>
        <tr r="J190" s="2"/>
      </tp>
      <tp t="s">
        <v>#N/A Requesting Data...4014832632</v>
        <stp/>
        <stp>BDP|13110915377738730362</stp>
        <tr r="N466" s="2"/>
      </tp>
      <tp t="s">
        <v>#N/A Requesting Data...4090298977</v>
        <stp/>
        <stp>BDP|13924641149472432566</stp>
        <tr r="K1612" s="2"/>
      </tp>
      <tp t="s">
        <v>#N/A Requesting Data...2820206077</v>
        <stp/>
        <stp>BDP|10599283865805692789</stp>
        <tr r="N2035" s="2"/>
      </tp>
      <tp t="s">
        <v>#N/A Requesting Data...3446585135</v>
        <stp/>
        <stp>BDP|15849643978033620147</stp>
        <tr r="O1074" s="2"/>
      </tp>
      <tp t="s">
        <v>#N/A Requesting Data...3341440648</v>
        <stp/>
        <stp>BDP|14508446637184814184</stp>
        <tr r="N1052" s="2"/>
      </tp>
      <tp t="s">
        <v>#N/A Requesting Data...2938999042</v>
        <stp/>
        <stp>BDP|18235167999017201195</stp>
        <tr r="N2304" s="2"/>
      </tp>
      <tp t="s">
        <v>#N/A Requesting Data...3470975972</v>
        <stp/>
        <stp>BDP|12561232329186924206</stp>
        <tr r="M1959" s="2"/>
      </tp>
      <tp t="s">
        <v>#N/A Requesting Data...3452399255</v>
        <stp/>
        <stp>BDP|13631355066962669258</stp>
        <tr r="S396" s="2"/>
      </tp>
      <tp t="s">
        <v>#N/A Requesting Data...2548883179</v>
        <stp/>
        <stp>BDP|15139751345346426632</stp>
        <tr r="G110" s="2"/>
      </tp>
      <tp t="s">
        <v>#N/A Requesting Data...2746069324</v>
        <stp/>
        <stp>BDP|13713738888898242284</stp>
        <tr r="F724" s="2"/>
      </tp>
      <tp t="s">
        <v>#N/A Requesting Data...3007008904</v>
        <stp/>
        <stp>BDP|18235807336134577173</stp>
        <tr r="C1475" s="2"/>
      </tp>
      <tp t="b">
        <v>0</v>
        <stp/>
        <stp>BDS|14806082661576075241</stp>
        <tr r="I1702" s="2"/>
      </tp>
      <tp t="s">
        <v>#N/A Requesting Data...2889700810</v>
        <stp/>
        <stp>BDP|13750077561133579024</stp>
        <tr r="Q1969" s="2"/>
      </tp>
      <tp t="s">
        <v>#N/A Requesting Data...3260404854</v>
        <stp/>
        <stp>BDP|15779999871194877918</stp>
        <tr r="O1961" s="2"/>
      </tp>
      <tp t="s">
        <v>#N/A Requesting Data...3582125120</v>
        <stp/>
        <stp>BDP|12307728344895674257</stp>
        <tr r="F1228" s="2"/>
      </tp>
      <tp t="b">
        <v>0</v>
        <stp/>
        <stp>BDS|11239565990293830897</stp>
        <tr r="I813" s="2"/>
      </tp>
      <tp t="s">
        <v>#N/A Requesting Data...2924670279</v>
        <stp/>
        <stp>BDP|16256477072165758666</stp>
        <tr r="P1446" s="2"/>
      </tp>
      <tp t="s">
        <v>#N/A Requesting Data...4072550915</v>
        <stp/>
        <stp>BDP|11467400634156620605</stp>
        <tr r="F2510" s="2"/>
      </tp>
      <tp t="s">
        <v>#N/A Requesting Data...4042342632</v>
        <stp/>
        <stp>BDP|16697031655591297443</stp>
        <tr r="D2532" s="2"/>
      </tp>
      <tp t="s">
        <v>#N/A Requesting Data...3776399589</v>
        <stp/>
        <stp>BDP|10633340704773958696</stp>
        <tr r="C1228" s="2"/>
      </tp>
      <tp t="s">
        <v>#N/A Requesting Data...4006173157</v>
        <stp/>
        <stp>BDP|16224350586742544926</stp>
        <tr r="H2245" s="2"/>
      </tp>
      <tp t="s">
        <v>#N/A Requesting Data...3250040274</v>
        <stp/>
        <stp>BDP|16937557193058171484</stp>
        <tr r="T2237" s="2"/>
      </tp>
      <tp t="s">
        <v>#N/A Requesting Data...3965597645</v>
        <stp/>
        <stp>BDP|17154721057706109535</stp>
        <tr r="E1342" s="2"/>
      </tp>
      <tp t="s">
        <v>#N/A Requesting Data...2877171218</v>
        <stp/>
        <stp>BDP|17977646900434213392</stp>
        <tr r="F815" s="2"/>
      </tp>
      <tp t="s">
        <v>#N/A Requesting Data...3816070485</v>
        <stp/>
        <stp>BDP|15848587225697359306</stp>
        <tr r="R100" s="2"/>
      </tp>
      <tp t="s">
        <v>#N/A Requesting Data...3993671740</v>
        <stp/>
        <stp>BDP|12811276306792838475</stp>
        <tr r="J1114" s="2"/>
      </tp>
      <tp t="s">
        <v>#N/A Requesting Data...2606269694</v>
        <stp/>
        <stp>BDP|16950487215213537676</stp>
        <tr r="F871" s="2"/>
      </tp>
      <tp t="s">
        <v>#N/A Requesting Data...2748704126</v>
        <stp/>
        <stp>BDP|10147272868303009180</stp>
        <tr r="F1759" s="2"/>
      </tp>
      <tp t="s">
        <v>#N/A Requesting Data...3268059638</v>
        <stp/>
        <stp>BDP|18133173072401232902</stp>
        <tr r="D338" s="2"/>
      </tp>
      <tp t="s">
        <v>#N/A Requesting Data...2838598610</v>
        <stp/>
        <stp>BDP|12402218405410404629</stp>
        <tr r="J2237" s="2"/>
      </tp>
      <tp t="s">
        <v>#N/A Requesting Data...3972363186</v>
        <stp/>
        <stp>BDP|12430175345550704176</stp>
        <tr r="F664" s="2"/>
      </tp>
      <tp t="s">
        <v>#N/A Requesting Data...2914827893</v>
        <stp/>
        <stp>BDP|15506577157073462074</stp>
        <tr r="T1948" s="2"/>
      </tp>
      <tp t="s">
        <v>#N/A Requesting Data...4059414884</v>
        <stp/>
        <stp>BDP|16971155299789179127</stp>
        <tr r="M902" s="2"/>
      </tp>
      <tp t="s">
        <v>#N/A Requesting Data...3608711501</v>
        <stp/>
        <stp>BDP|12711781878642171605</stp>
        <tr r="R1079" s="2"/>
      </tp>
      <tp t="s">
        <v>#N/A Requesting Data...2723427986</v>
        <stp/>
        <stp>BDP|12890092542894543403</stp>
        <tr r="A862" s="2"/>
      </tp>
      <tp t="s">
        <v>#N/A Requesting Data...3072990763</v>
        <stp/>
        <stp>BDP|10289319765522302130</stp>
        <tr r="C108" s="2"/>
      </tp>
      <tp t="s">
        <v>#N/A Requesting Data...3406851383</v>
        <stp/>
        <stp>BDP|12071003237256108102</stp>
        <tr r="D975" s="2"/>
      </tp>
      <tp t="s">
        <v>#N/A Requesting Data...2880670877</v>
        <stp/>
        <stp>BDP|16417659191299577639</stp>
        <tr r="O1153" s="2"/>
      </tp>
      <tp t="s">
        <v>#N/A Requesting Data...4265655744</v>
        <stp/>
        <stp>BDP|13124658100256055529</stp>
        <tr r="S496" s="2"/>
      </tp>
      <tp t="s">
        <v>#N/A Requesting Data...3889318951</v>
        <stp/>
        <stp>BDP|13596551086248666068</stp>
        <tr r="P1463" s="2"/>
      </tp>
      <tp t="s">
        <v>#N/A Requesting Data...3345711138</v>
        <stp/>
        <stp>BDP|12139140018773060649</stp>
        <tr r="J2097" s="2"/>
      </tp>
      <tp t="s">
        <v>#N/A Requesting Data...3469715469</v>
        <stp/>
        <stp>BDP|12516378004672639497</stp>
        <tr r="S555" s="2"/>
      </tp>
      <tp t="s">
        <v>#N/A Requesting Data...4173805940</v>
        <stp/>
        <stp>BDP|12887755551135664231</stp>
        <tr r="J469" s="2"/>
      </tp>
      <tp t="s">
        <v>#N/A Requesting Data...2936427312</v>
        <stp/>
        <stp>BDP|18102436688627224419</stp>
        <tr r="F2300" s="2"/>
      </tp>
      <tp t="s">
        <v>#N/A Requesting Data...3189918561</v>
        <stp/>
        <stp>BDP|14499252641410052590</stp>
        <tr r="T1808" s="2"/>
      </tp>
      <tp t="s">
        <v>#N/A Requesting Data...3201251826</v>
        <stp/>
        <stp>BDP|16512309231245885458</stp>
        <tr r="P1508" s="2"/>
      </tp>
      <tp t="s">
        <v>#N/A Requesting Data...3677615040</v>
        <stp/>
        <stp>BDP|15844470733266455319</stp>
        <tr r="Q2235" s="2"/>
      </tp>
      <tp t="s">
        <v>#N/A Requesting Data...3802534869</v>
        <stp/>
        <stp>BDP|16057788027407389358</stp>
        <tr r="K1776" s="2"/>
      </tp>
      <tp t="s">
        <v>#N/A Requesting Data...2712940030</v>
        <stp/>
        <stp>BDP|14630692374687060528</stp>
        <tr r="O564" s="2"/>
      </tp>
      <tp t="s">
        <v>#N/A Requesting Data...3344921347</v>
        <stp/>
        <stp>BDP|16567474693359882500</stp>
        <tr r="F1413" s="2"/>
      </tp>
      <tp t="s">
        <v>#N/A Requesting Data...4002271713</v>
        <stp/>
        <stp>BDP|17158484397448159569</stp>
        <tr r="P2015" s="2"/>
      </tp>
      <tp t="s">
        <v>#N/A Requesting Data...2948584164</v>
        <stp/>
        <stp>BDP|16838573981948255455</stp>
        <tr r="D68" s="2"/>
      </tp>
      <tp t="s">
        <v>#N/A Requesting Data...3629169278</v>
        <stp/>
        <stp>BDP|11984840060750233865</stp>
        <tr r="E2329" s="2"/>
      </tp>
      <tp t="s">
        <v>#N/A Requesting Data...3036023283</v>
        <stp/>
        <stp>BDP|13829720261942023721</stp>
        <tr r="P387" s="2"/>
      </tp>
      <tp t="s">
        <v>#N/A Requesting Data...2861775932</v>
        <stp/>
        <stp>BDP|18206090970808163036</stp>
        <tr r="K1464" s="2"/>
      </tp>
      <tp t="b">
        <v>0</v>
        <stp/>
        <stp>BDS|15141019266104514095</stp>
        <tr r="I1823" s="2"/>
      </tp>
      <tp t="s">
        <v>#N/A Requesting Data...4241211962</v>
        <stp/>
        <stp>BDP|12010521749916097228</stp>
        <tr r="Q394" s="2"/>
      </tp>
      <tp t="s">
        <v>#N/A Requesting Data...4157636538</v>
        <stp/>
        <stp>BDP|14527321314857323691</stp>
        <tr r="J9" s="2"/>
      </tp>
      <tp t="s">
        <v>#N/A Requesting Data...2687398924</v>
        <stp/>
        <stp>BDP|18025482234290242879</stp>
        <tr r="N2513" s="2"/>
      </tp>
      <tp t="s">
        <v>#N/A Requesting Data...3191633246</v>
        <stp/>
        <stp>BDP|11511889884603942595</stp>
        <tr r="S1704" s="2"/>
      </tp>
      <tp t="s">
        <v>#N/A Requesting Data...3550009805</v>
        <stp/>
        <stp>BDP|16027095556902679606</stp>
        <tr r="G2086" s="2"/>
      </tp>
      <tp t="s">
        <v>#N/A Requesting Data...4149151110</v>
        <stp/>
        <stp>BDP|11693825155382140994</stp>
        <tr r="M2473" s="2"/>
      </tp>
      <tp t="b">
        <v>0</v>
        <stp/>
        <stp>BDS|16414718126491859517</stp>
        <tr r="I2029" s="2"/>
      </tp>
      <tp t="s">
        <v>#N/A Requesting Data...4240195119</v>
        <stp/>
        <stp>BDP|13825596513351801138</stp>
        <tr r="F1357" s="2"/>
      </tp>
      <tp t="s">
        <v>#N/A Requesting Data...4009976021</v>
        <stp/>
        <stp>BDP|16380297092538744261</stp>
        <tr r="A2473" s="2"/>
      </tp>
      <tp t="s">
        <v>#N/A Requesting Data...2690593094</v>
        <stp/>
        <stp>BDP|10983597248625445352</stp>
        <tr r="R1906" s="2"/>
      </tp>
      <tp t="s">
        <v>#N/A Requesting Data...3611615867</v>
        <stp/>
        <stp>BDP|16560356633816231784</stp>
        <tr r="R2232" s="2"/>
      </tp>
      <tp t="b">
        <v>0</v>
        <stp/>
        <stp>BDS|12552070192978246487</stp>
        <tr r="I194" s="2"/>
      </tp>
      <tp t="s">
        <v>#N/A Requesting Data...3200885629</v>
        <stp/>
        <stp>BDP|13415807041291534999</stp>
        <tr r="O991" s="2"/>
      </tp>
      <tp t="s">
        <v>#N/A Requesting Data...3838670456</v>
        <stp/>
        <stp>BDP|11842652203985512520</stp>
        <tr r="F707" s="2"/>
      </tp>
      <tp t="s">
        <v>#N/A Requesting Data...3100835313</v>
        <stp/>
        <stp>BDP|13154292111724792377</stp>
        <tr r="G2231" s="2"/>
      </tp>
      <tp t="s">
        <v>#N/A Requesting Data...2764114514</v>
        <stp/>
        <stp>BDP|10712255108571370408</stp>
        <tr r="M1246" s="2"/>
      </tp>
      <tp t="s">
        <v>#N/A Requesting Data...4218482665</v>
        <stp/>
        <stp>BDP|10476593178947834240</stp>
        <tr r="K921" s="2"/>
      </tp>
      <tp t="b">
        <v>0</v>
        <stp/>
        <stp>BDS|10414115692646854959</stp>
        <tr r="I1141" s="2"/>
      </tp>
      <tp t="s">
        <v>#N/A Requesting Data...3924515804</v>
        <stp/>
        <stp>BDP|10645629366481975623</stp>
        <tr r="R1694" s="2"/>
      </tp>
      <tp t="s">
        <v>#N/A Requesting Data...3879551127</v>
        <stp/>
        <stp>BDP|17302856641685799994</stp>
        <tr r="O2407" s="2"/>
      </tp>
      <tp t="s">
        <v>#N/A Requesting Data...3238118723</v>
        <stp/>
        <stp>BDP|13255957582291545498</stp>
        <tr r="P2173" s="2"/>
      </tp>
      <tp t="s">
        <v>#N/A Requesting Data...3344328023</v>
        <stp/>
        <stp>BDP|16789370806155618794</stp>
        <tr r="P692" s="2"/>
      </tp>
      <tp t="s">
        <v>#N/A Requesting Data...3108417422</v>
        <stp/>
        <stp>BDP|15950578385286564975</stp>
        <tr r="F466" s="2"/>
      </tp>
      <tp t="s">
        <v>#N/A Requesting Data...2820551855</v>
        <stp/>
        <stp>BDP|11686860890606170185</stp>
        <tr r="M1047" s="2"/>
      </tp>
      <tp t="s">
        <v>#N/A Requesting Data...4028656431</v>
        <stp/>
        <stp>BDP|13920521252094316031</stp>
        <tr r="S242" s="2"/>
      </tp>
      <tp t="s">
        <v>#N/A Requesting Data...2843449802</v>
        <stp/>
        <stp>BDP|10533206869495123640</stp>
        <tr r="F1321" s="2"/>
      </tp>
      <tp t="s">
        <v>#N/A Requesting Data...3432991495</v>
        <stp/>
        <stp>BDP|14434609118925615131</stp>
        <tr r="F1708" s="2"/>
      </tp>
      <tp t="s">
        <v>#N/A Requesting Data...4192219767</v>
        <stp/>
        <stp>BDP|11211974065091004897</stp>
        <tr r="R483" s="2"/>
      </tp>
      <tp t="s">
        <v>#N/A Requesting Data...3385571843</v>
        <stp/>
        <stp>BDP|13806576527062319125</stp>
        <tr r="N881" s="2"/>
      </tp>
      <tp t="s">
        <v>#N/A Requesting Data...4007304211</v>
        <stp/>
        <stp>BDP|17639176604252443381</stp>
        <tr r="E1947" s="2"/>
      </tp>
      <tp t="s">
        <v>#N/A Requesting Data...2757211122</v>
        <stp/>
        <stp>BDP|16273555472297524490</stp>
        <tr r="N2480" s="2"/>
      </tp>
      <tp t="b">
        <v>0</v>
        <stp/>
        <stp>BDS|10570552559470744747</stp>
        <tr r="I535" s="2"/>
      </tp>
      <tp t="s">
        <v>#N/A Requesting Data...3908552556</v>
        <stp/>
        <stp>BDP|14202021141652036586</stp>
        <tr r="R2255" s="2"/>
      </tp>
      <tp t="s">
        <v>#N/A Requesting Data...4072876653</v>
        <stp/>
        <stp>BDP|15106889106022408828</stp>
        <tr r="C141" s="2"/>
      </tp>
      <tp t="s">
        <v>#N/A Requesting Data...3262336286</v>
        <stp/>
        <stp>BDP|16799998795002638343</stp>
        <tr r="J1759" s="2"/>
      </tp>
      <tp t="s">
        <v>#N/A Requesting Data...4107801983</v>
        <stp/>
        <stp>BDP|12001211277840996061</stp>
        <tr r="P1571" s="2"/>
      </tp>
      <tp t="s">
        <v>#N/A Requesting Data...3913167371</v>
        <stp/>
        <stp>BDP|16887790639273984683</stp>
        <tr r="N2010" s="2"/>
      </tp>
      <tp t="b">
        <v>0</v>
        <stp/>
        <stp>BDS|17222771751441623384</stp>
        <tr r="I511" s="2"/>
      </tp>
      <tp t="s">
        <v>#N/A Requesting Data...2763850401</v>
        <stp/>
        <stp>BDP|13143937984980798583</stp>
        <tr r="P1683" s="2"/>
      </tp>
      <tp t="s">
        <v>#N/A Requesting Data...3201953437</v>
        <stp/>
        <stp>BDP|17959243020142627225</stp>
        <tr r="M290" s="2"/>
      </tp>
      <tp t="s">
        <v>#N/A Requesting Data...3968676882</v>
        <stp/>
        <stp>BDP|17921461042734327476</stp>
        <tr r="O1199" s="2"/>
      </tp>
      <tp t="s">
        <v>#N/A Requesting Data...3086801075</v>
        <stp/>
        <stp>BDP|13295433463707345189</stp>
        <tr r="H1918" s="2"/>
      </tp>
      <tp t="s">
        <v>#N/A Requesting Data...3465386532</v>
        <stp/>
        <stp>BDP|15816774042753445206</stp>
        <tr r="K264" s="2"/>
      </tp>
      <tp t="s">
        <v>#N/A Requesting Data...3793103179</v>
        <stp/>
        <stp>BDP|13551866927087844950</stp>
        <tr r="S36" s="2"/>
      </tp>
      <tp t="s">
        <v>#N/A Requesting Data...3741595757</v>
        <stp/>
        <stp>BDP|17836508369902005185</stp>
        <tr r="C1463" s="2"/>
      </tp>
      <tp t="s">
        <v>#N/A Requesting Data...3401377682</v>
        <stp/>
        <stp>BDP|18104190186331415735</stp>
        <tr r="A655" s="2"/>
      </tp>
      <tp t="s">
        <v>#N/A Requesting Data...3594228683</v>
        <stp/>
        <stp>BDP|15951050828436517686</stp>
        <tr r="Q1251" s="2"/>
      </tp>
      <tp t="s">
        <v>#N/A Requesting Data...3673358728</v>
        <stp/>
        <stp>BDP|11479130314470321697</stp>
        <tr r="D2272" s="2"/>
      </tp>
      <tp t="b">
        <v>0</v>
        <stp/>
        <stp>BDS|11869054416683629470</stp>
        <tr r="I1452" s="2"/>
      </tp>
      <tp t="s">
        <v>#N/A Requesting Data...3716262406</v>
        <stp/>
        <stp>BDP|10501961524855794996</stp>
        <tr r="O1498" s="2"/>
      </tp>
      <tp t="s">
        <v>#N/A Requesting Data...3823446830</v>
        <stp/>
        <stp>BDP|11950732572125602370</stp>
        <tr r="Q1291" s="2"/>
      </tp>
      <tp t="s">
        <v>#N/A Requesting Data...3861745315</v>
        <stp/>
        <stp>BDP|17832573517384112007</stp>
        <tr r="E1307" s="2"/>
      </tp>
      <tp t="s">
        <v>#N/A Requesting Data...3056710039</v>
        <stp/>
        <stp>BDP|15188233539867765450</stp>
        <tr r="J2236" s="2"/>
      </tp>
      <tp t="s">
        <v>#N/A Requesting Data...3184628616</v>
        <stp/>
        <stp>BDP|11474480215731462243</stp>
        <tr r="J13" s="2"/>
      </tp>
      <tp t="s">
        <v>#N/A Requesting Data...3884394537</v>
        <stp/>
        <stp>BDP|15297782794909746503</stp>
        <tr r="E1137" s="2"/>
      </tp>
      <tp t="s">
        <v>#N/A Requesting Data...3606215850</v>
        <stp/>
        <stp>BDP|14234641616622870616</stp>
        <tr r="Q877" s="2"/>
      </tp>
      <tp t="s">
        <v>#N/A Requesting Data...4043795110</v>
        <stp/>
        <stp>BDP|13402121362261528285</stp>
        <tr r="C1356" s="2"/>
      </tp>
      <tp t="b">
        <v>0</v>
        <stp/>
        <stp>BDS|10751967491097865020</stp>
        <tr r="I878" s="2"/>
      </tp>
      <tp t="s">
        <v>#N/A Requesting Data...3993621563</v>
        <stp/>
        <stp>BDP|11642680810718451932</stp>
        <tr r="H2199" s="2"/>
      </tp>
      <tp t="s">
        <v>#N/A Requesting Data...4187072294</v>
        <stp/>
        <stp>BDP|14254602539706307014</stp>
        <tr r="N408" s="2"/>
      </tp>
      <tp t="b">
        <v>0</v>
        <stp/>
        <stp>BDS|10413623579661606730</stp>
        <tr r="I625" s="2"/>
      </tp>
      <tp t="s">
        <v>#N/A Requesting Data...3780568832</v>
        <stp/>
        <stp>BDP|14245778594029002488</stp>
        <tr r="P639" s="2"/>
      </tp>
      <tp t="s">
        <v>#N/A Requesting Data...3666812968</v>
        <stp/>
        <stp>BDP|17739491403681705530</stp>
        <tr r="C1291" s="2"/>
      </tp>
      <tp t="s">
        <v>#N/A Requesting Data...4100838459</v>
        <stp/>
        <stp>BDP|14710132079736660326</stp>
        <tr r="M921" s="2"/>
      </tp>
      <tp t="s">
        <v>#N/A Requesting Data...3409331365</v>
        <stp/>
        <stp>BDP|12690396867784774474</stp>
        <tr r="S343" s="2"/>
      </tp>
      <tp t="s">
        <v>#N/A Requesting Data...4009226283</v>
        <stp/>
        <stp>BDP|13815426230886268502</stp>
        <tr r="C190" s="2"/>
      </tp>
      <tp t="s">
        <v>#N/A Requesting Data...3768844571</v>
        <stp/>
        <stp>BDP|12880144877706497578</stp>
        <tr r="T1113" s="2"/>
      </tp>
      <tp t="s">
        <v>#N/A Requesting Data...3368342676</v>
        <stp/>
        <stp>BDP|13226682224997434720</stp>
        <tr r="Q2471" s="2"/>
      </tp>
      <tp t="s">
        <v>#N/A Requesting Data...3396021310</v>
        <stp/>
        <stp>BDP|13722561719576897685</stp>
        <tr r="C759" s="2"/>
      </tp>
      <tp t="s">
        <v>#N/A Requesting Data...2978910267</v>
        <stp/>
        <stp>BDP|17883113106448443931</stp>
        <tr r="O2107" s="2"/>
      </tp>
      <tp t="s">
        <v>#N/A Requesting Data...3790871800</v>
        <stp/>
        <stp>BDP|12908836780690337519</stp>
        <tr r="G276" s="2"/>
      </tp>
      <tp t="s">
        <v>#N/A Requesting Data...3784788900</v>
        <stp/>
        <stp>BDP|15851628769951281396</stp>
        <tr r="H148" s="2"/>
      </tp>
      <tp t="s">
        <v>#N/A Requesting Data...3196884588</v>
        <stp/>
        <stp>BDP|12801130936133100448</stp>
        <tr r="S200" s="2"/>
      </tp>
      <tp t="s">
        <v>#N/A Requesting Data...3062693802</v>
        <stp/>
        <stp>BDP|16994665216546499059</stp>
        <tr r="T1043" s="2"/>
      </tp>
      <tp t="s">
        <v>#N/A Requesting Data...3250723916</v>
        <stp/>
        <stp>BDP|11811122406813710433</stp>
        <tr r="T2081" s="2"/>
      </tp>
      <tp t="s">
        <v>#N/A Requesting Data...3985865275</v>
        <stp/>
        <stp>BDP|13497322371226770687</stp>
        <tr r="A465" s="2"/>
      </tp>
      <tp t="b">
        <v>0</v>
        <stp/>
        <stp>BDS|17619724505770897723</stp>
        <tr r="I722" s="2"/>
      </tp>
      <tp t="b">
        <v>0</v>
        <stp/>
        <stp>BDS|16936650639015729199</stp>
        <tr r="I209" s="2"/>
      </tp>
      <tp t="s">
        <v>#N/A Requesting Data...3618093638</v>
        <stp/>
        <stp>BDP|16534213559641770729</stp>
        <tr r="G438" s="2"/>
      </tp>
      <tp t="s">
        <v>#N/A Requesting Data...3819938604</v>
        <stp/>
        <stp>BDP|13261956685957813220</stp>
        <tr r="R2077" s="2"/>
      </tp>
      <tp t="s">
        <v>#N/A Requesting Data...3984131263</v>
        <stp/>
        <stp>BDP|17829903635883296978</stp>
        <tr r="E1822" s="2"/>
      </tp>
      <tp t="s">
        <v>#N/A Requesting Data...3724228581</v>
        <stp/>
        <stp>BDP|10884547619101400296</stp>
        <tr r="O1702" s="2"/>
      </tp>
      <tp t="s">
        <v>#N/A Requesting Data...3619877409</v>
        <stp/>
        <stp>BDP|13398393876195064542</stp>
        <tr r="T962" s="2"/>
      </tp>
      <tp t="s">
        <v>#N/A Requesting Data...3318390953</v>
        <stp/>
        <stp>BDP|14678536566974225495</stp>
        <tr r="P512" s="2"/>
      </tp>
      <tp t="s">
        <v>#N/A Requesting Data...3488505765</v>
        <stp/>
        <stp>BDP|18194993855371334265</stp>
        <tr r="D791" s="2"/>
      </tp>
      <tp t="s">
        <v>#N/A Requesting Data...2933682290</v>
        <stp/>
        <stp>BDP|14481405669643749220</stp>
        <tr r="E457" s="2"/>
      </tp>
      <tp t="s">
        <v>#N/A Requesting Data...3544989731</v>
        <stp/>
        <stp>BDP|11758443117985585698</stp>
        <tr r="M138" s="2"/>
      </tp>
      <tp t="s">
        <v>#N/A Requesting Data...3190590511</v>
        <stp/>
        <stp>BDP|11660012631980638581</stp>
        <tr r="N919" s="2"/>
      </tp>
      <tp t="s">
        <v>#N/A Requesting Data...3767112198</v>
        <stp/>
        <stp>BDP|13638593936330783264</stp>
        <tr r="K1813" s="2"/>
      </tp>
      <tp t="s">
        <v>#N/A Requesting Data...3720718344</v>
        <stp/>
        <stp>BDP|17272790341181189231</stp>
        <tr r="A752" s="2"/>
      </tp>
      <tp t="b">
        <v>0</v>
        <stp/>
        <stp>BDS|10870546476391586444</stp>
        <tr r="I2014" s="2"/>
      </tp>
      <tp t="s">
        <v>#N/A Requesting Data...3493098984</v>
        <stp/>
        <stp>BDP|11844008904494721234</stp>
        <tr r="K56" s="2"/>
      </tp>
      <tp t="b">
        <v>0</v>
        <stp/>
        <stp>BDS|11634781733637725518</stp>
        <tr r="I818" s="2"/>
      </tp>
      <tp t="b">
        <v>0</v>
        <stp/>
        <stp>BDS|16753537259939066863</stp>
        <tr r="I1382" s="2"/>
      </tp>
      <tp t="s">
        <v>#N/A Requesting Data...3731419211</v>
        <stp/>
        <stp>BDP|11773472359214806399</stp>
        <tr r="H885" s="2"/>
      </tp>
      <tp t="s">
        <v>#N/A Requesting Data...4153941423</v>
        <stp/>
        <stp>BDP|11836559417200404266</stp>
        <tr r="N2147" s="2"/>
      </tp>
      <tp t="b">
        <v>0</v>
        <stp/>
        <stp>BDS|11935387055219796981</stp>
        <tr r="I398" s="2"/>
      </tp>
      <tp t="s">
        <v>#N/A Requesting Data...4031264889</v>
        <stp/>
        <stp>BDP|13912530072980545651</stp>
        <tr r="J1999" s="2"/>
      </tp>
      <tp t="s">
        <v>#N/A Requesting Data...3361938606</v>
        <stp/>
        <stp>BDP|15393566702567808077</stp>
        <tr r="P1190" s="2"/>
      </tp>
      <tp t="s">
        <v>#N/A Requesting Data...3142716483</v>
        <stp/>
        <stp>BDP|12783181514247004236</stp>
        <tr r="J1318" s="2"/>
      </tp>
      <tp t="s">
        <v>#N/A Requesting Data...4019012492</v>
        <stp/>
        <stp>BDP|14706842278735511969</stp>
        <tr r="G302" s="2"/>
      </tp>
      <tp t="b">
        <v>0</v>
        <stp/>
        <stp>BDS|14912073404356641578</stp>
        <tr r="I807" s="2"/>
      </tp>
      <tp t="s">
        <v>#N/A Requesting Data...3803388813</v>
        <stp/>
        <stp>BDP|17006441552793723298</stp>
        <tr r="R772" s="2"/>
      </tp>
      <tp t="s">
        <v>#N/A Requesting Data...3865985949</v>
        <stp/>
        <stp>BDP|11275122809012204539</stp>
        <tr r="J2065" s="2"/>
      </tp>
      <tp t="s">
        <v>#N/A Requesting Data...3922569353</v>
        <stp/>
        <stp>BDP|13744788361662539735</stp>
        <tr r="Q1305" s="2"/>
      </tp>
      <tp t="s">
        <v>#N/A Requesting Data...3277344105</v>
        <stp/>
        <stp>BDP|17173598127307518021</stp>
        <tr r="S2280" s="2"/>
      </tp>
      <tp t="s">
        <v>#N/A Requesting Data...3468941448</v>
        <stp/>
        <stp>BDP|11568276258450598171</stp>
        <tr r="O1596" s="2"/>
      </tp>
      <tp t="s">
        <v>#N/A Requesting Data...3492785569</v>
        <stp/>
        <stp>BDP|15350499302034856285</stp>
        <tr r="E26" s="2"/>
      </tp>
      <tp t="s">
        <v>#N/A Requesting Data...3231952080</v>
        <stp/>
        <stp>BDP|12110288530870853498</stp>
        <tr r="N1308" s="2"/>
      </tp>
      <tp t="s">
        <v>#N/A Requesting Data...2987237715</v>
        <stp/>
        <stp>BDP|14828857622870459934</stp>
        <tr r="P319" s="2"/>
      </tp>
      <tp t="s">
        <v>#N/A Requesting Data...3792860536</v>
        <stp/>
        <stp>BDP|18367213899957299319</stp>
        <tr r="Q1230" s="2"/>
      </tp>
      <tp t="s">
        <v>#N/A Requesting Data...3907817742</v>
        <stp/>
        <stp>BDP|16839874197776322631</stp>
        <tr r="S1350" s="2"/>
      </tp>
      <tp t="s">
        <v>#N/A Requesting Data...4088369684</v>
        <stp/>
        <stp>BDP|16973342455760229723</stp>
        <tr r="Q791" s="2"/>
      </tp>
      <tp t="s">
        <v>#N/A Requesting Data...3306675770</v>
        <stp/>
        <stp>BDP|13288473668816765026</stp>
        <tr r="P1057" s="2"/>
      </tp>
      <tp t="s">
        <v>#N/A Requesting Data...4281308242</v>
        <stp/>
        <stp>BDP|10423350408681129505</stp>
        <tr r="K32" s="2"/>
      </tp>
      <tp t="s">
        <v>#N/A Requesting Data...3062322529</v>
        <stp/>
        <stp>BDP|12353382849295922734</stp>
        <tr r="N418" s="2"/>
      </tp>
      <tp t="s">
        <v>#N/A Requesting Data...3782579539</v>
        <stp/>
        <stp>BDP|15028866008628467226</stp>
        <tr r="C2297" s="2"/>
      </tp>
      <tp t="s">
        <v>#N/A Requesting Data...3429859269</v>
        <stp/>
        <stp>BDP|17027649850440554398</stp>
        <tr r="M1129" s="2"/>
      </tp>
      <tp t="b">
        <v>0</v>
        <stp/>
        <stp>BDS|10877300452489502841</stp>
        <tr r="I1949" s="2"/>
      </tp>
      <tp t="s">
        <v>#N/A Requesting Data...3325502346</v>
        <stp/>
        <stp>BDP|14706482904360161725</stp>
        <tr r="S1394" s="2"/>
      </tp>
      <tp t="s">
        <v>#N/A Requesting Data...3762362021</v>
        <stp/>
        <stp>BDP|11872646860343535513</stp>
        <tr r="E1520" s="2"/>
      </tp>
      <tp t="s">
        <v>#N/A Requesting Data...3270974079</v>
        <stp/>
        <stp>BDP|15264142441902680597</stp>
        <tr r="P1044" s="2"/>
      </tp>
      <tp t="s">
        <v>#N/A Requesting Data...2984333839</v>
        <stp/>
        <stp>BDP|11033393524507554002</stp>
        <tr r="T1607" s="2"/>
      </tp>
      <tp t="s">
        <v>#N/A Requesting Data...3089653932</v>
        <stp/>
        <stp>BDP|12603612878390740407</stp>
        <tr r="N1447" s="2"/>
      </tp>
      <tp t="s">
        <v>#N/A Requesting Data...3481118036</v>
        <stp/>
        <stp>BDP|16644121568357148153</stp>
        <tr r="K623" s="2"/>
      </tp>
      <tp t="s">
        <v>#N/A Requesting Data...4071933541</v>
        <stp/>
        <stp>BDP|16099308747450974663</stp>
        <tr r="F2180" s="2"/>
      </tp>
      <tp t="s">
        <v>#N/A Requesting Data...3051460012</v>
        <stp/>
        <stp>BDP|12972089923853869421</stp>
        <tr r="T2027" s="2"/>
      </tp>
      <tp t="s">
        <v>#N/A Requesting Data...3963960940</v>
        <stp/>
        <stp>BDP|10693168291069091699</stp>
        <tr r="S1182" s="2"/>
      </tp>
      <tp t="s">
        <v>#N/A Requesting Data...3913032171</v>
        <stp/>
        <stp>BDP|14921132715017417430</stp>
        <tr r="T1252" s="2"/>
      </tp>
      <tp t="s">
        <v>#N/A Requesting Data...3814777717</v>
        <stp/>
        <stp>BDP|10664654638993686153</stp>
        <tr r="M811" s="2"/>
      </tp>
      <tp t="s">
        <v>#N/A Requesting Data...3482559089</v>
        <stp/>
        <stp>BDP|10599797777785398200</stp>
        <tr r="C1117" s="2"/>
      </tp>
      <tp t="s">
        <v>#N/A Requesting Data...3762343641</v>
        <stp/>
        <stp>BDP|13982333821844307103</stp>
        <tr r="E114" s="2"/>
      </tp>
      <tp t="s">
        <v>#N/A Requesting Data...4140770401</v>
        <stp/>
        <stp>BDP|10467291237311000724</stp>
        <tr r="Q1020" s="2"/>
      </tp>
      <tp t="s">
        <v>#N/A Requesting Data...4200040817</v>
        <stp/>
        <stp>BDP|12563677269047012230</stp>
        <tr r="A770" s="2"/>
      </tp>
      <tp t="s">
        <v>#N/A Requesting Data...3701915539</v>
        <stp/>
        <stp>BDP|13714199923921188649</stp>
        <tr r="D1316" s="2"/>
      </tp>
      <tp t="b">
        <v>0</v>
        <stp/>
        <stp>BDS|10206565125169243980</stp>
        <tr r="I161" s="2"/>
      </tp>
      <tp t="s">
        <v>#N/A Requesting Data...3043319327</v>
        <stp/>
        <stp>BDP|11164871859379464235</stp>
        <tr r="G221" s="2"/>
      </tp>
      <tp t="s">
        <v>#N/A Requesting Data...4153776695</v>
        <stp/>
        <stp>BDP|13591408729792350074</stp>
        <tr r="S918" s="2"/>
      </tp>
      <tp t="s">
        <v>#N/A Requesting Data...3109566243</v>
        <stp/>
        <stp>BDP|12691231869061566019</stp>
        <tr r="R2410" s="2"/>
      </tp>
      <tp t="s">
        <v>#N/A Requesting Data...3580143824</v>
        <stp/>
        <stp>BDP|13986398648793077006</stp>
        <tr r="M1669" s="2"/>
      </tp>
      <tp t="s">
        <v>#N/A Requesting Data...4036180984</v>
        <stp/>
        <stp>BDP|10431750007589872967</stp>
        <tr r="K2054" s="2"/>
      </tp>
      <tp t="s">
        <v>#N/A Requesting Data...3699296901</v>
        <stp/>
        <stp>BDP|15731141569166438366</stp>
        <tr r="P1781" s="2"/>
      </tp>
      <tp t="s">
        <v>#N/A Requesting Data...3796830172</v>
        <stp/>
        <stp>BDP|15674708606800075586</stp>
        <tr r="O52" s="2"/>
      </tp>
      <tp t="b">
        <v>0</v>
        <stp/>
        <stp>BDS|11137904432375906912</stp>
        <tr r="I2018" s="2"/>
      </tp>
      <tp t="s">
        <v>#N/A Requesting Data...3356649124</v>
        <stp/>
        <stp>BDP|13429167778012742054</stp>
        <tr r="S906" s="2"/>
      </tp>
      <tp t="s">
        <v>#N/A Requesting Data...3733373512</v>
        <stp/>
        <stp>BDP|11591603205334048488</stp>
        <tr r="H2041" s="2"/>
      </tp>
      <tp t="s">
        <v>#N/A Requesting Data...3376217273</v>
        <stp/>
        <stp>BDP|13375594928323306095</stp>
        <tr r="F360" s="2"/>
      </tp>
      <tp t="s">
        <v>#N/A Requesting Data...3710985256</v>
        <stp/>
        <stp>BDP|12325496913626059612</stp>
        <tr r="A1672" s="2"/>
      </tp>
      <tp t="s">
        <v>#N/A Requesting Data...3738366077</v>
        <stp/>
        <stp>BDP|11985010376279790816</stp>
        <tr r="H2070" s="2"/>
      </tp>
      <tp t="s">
        <v>#N/A Requesting Data...3854796361</v>
        <stp/>
        <stp>BDP|12383016239461467779</stp>
        <tr r="D435" s="2"/>
      </tp>
      <tp t="s">
        <v>#N/A Requesting Data...3222199955</v>
        <stp/>
        <stp>BDP|14020783127216210057</stp>
        <tr r="M936" s="2"/>
      </tp>
      <tp t="s">
        <v>#N/A Requesting Data...3178881689</v>
        <stp/>
        <stp>BDP|17147946528468179345</stp>
        <tr r="R1030" s="2"/>
      </tp>
      <tp t="s">
        <v>#N/A Requesting Data...3080814506</v>
        <stp/>
        <stp>BDP|15327171547256229197</stp>
        <tr r="T535" s="2"/>
      </tp>
      <tp t="s">
        <v>#N/A Requesting Data...3812166438</v>
        <stp/>
        <stp>BDP|13708314608953392450</stp>
        <tr r="F1133" s="2"/>
      </tp>
      <tp t="s">
        <v>#N/A Requesting Data...3230180538</v>
        <stp/>
        <stp>BDP|18072351885021111593</stp>
        <tr r="G2391" s="2"/>
      </tp>
      <tp t="s">
        <v>#N/A Requesting Data...3529401735</v>
        <stp/>
        <stp>BDP|13870559925625381634</stp>
        <tr r="A2163" s="2"/>
      </tp>
      <tp t="s">
        <v>#N/A Requesting Data...3261900643</v>
        <stp/>
        <stp>BDP|16257302267634917044</stp>
        <tr r="J705" s="2"/>
      </tp>
      <tp t="s">
        <v>#N/A Requesting Data...3373892193</v>
        <stp/>
        <stp>BDP|16379930088310808080</stp>
        <tr r="A1176" s="2"/>
      </tp>
      <tp t="s">
        <v>#N/A Requesting Data...3450303748</v>
        <stp/>
        <stp>BDP|10511294318725912157</stp>
        <tr r="T873" s="2"/>
      </tp>
      <tp t="s">
        <v>#N/A Requesting Data...3206332346</v>
        <stp/>
        <stp>BDP|16583770479401501057</stp>
        <tr r="M1665" s="2"/>
      </tp>
      <tp t="s">
        <v>#N/A Requesting Data...3278751135</v>
        <stp/>
        <stp>BDP|17610331648073631408</stp>
        <tr r="S349" s="2"/>
      </tp>
      <tp t="s">
        <v>#N/A Requesting Data...3259916351</v>
        <stp/>
        <stp>BDP|16990735944661537303</stp>
        <tr r="Q1084" s="2"/>
      </tp>
      <tp t="s">
        <v>#N/A Requesting Data...4250518892</v>
        <stp/>
        <stp>BDP|12287827673118124296</stp>
        <tr r="A643" s="2"/>
      </tp>
      <tp t="s">
        <v>#N/A Requesting Data...4017793412</v>
        <stp/>
        <stp>BDP|12384662912406959451</stp>
        <tr r="A694" s="2"/>
      </tp>
      <tp t="s">
        <v>#N/A Requesting Data...3232904200</v>
        <stp/>
        <stp>BDP|12817810888897942237</stp>
        <tr r="F317" s="2"/>
      </tp>
      <tp t="s">
        <v>#N/A Requesting Data...3710305178</v>
        <stp/>
        <stp>BDP|13694620369535737115</stp>
        <tr r="F12" s="2"/>
      </tp>
      <tp t="s">
        <v>#N/A Requesting Data...3673027381</v>
        <stp/>
        <stp>BDP|16734624118751083762</stp>
        <tr r="K445" s="2"/>
      </tp>
      <tp t="s">
        <v>#N/A Requesting Data...3121725485</v>
        <stp/>
        <stp>BDP|17201318907036711580</stp>
        <tr r="R1506" s="2"/>
      </tp>
      <tp t="s">
        <v>#N/A Requesting Data...3727189796</v>
        <stp/>
        <stp>BDP|16350489154415505511</stp>
        <tr r="D1705" s="2"/>
      </tp>
      <tp t="b">
        <v>0</v>
        <stp/>
        <stp>BDS|14200308219026721743</stp>
        <tr r="I1124" s="2"/>
      </tp>
      <tp t="s">
        <v>#N/A Requesting Data...3961884228</v>
        <stp/>
        <stp>BDP|10914665876375676348</stp>
        <tr r="O1104" s="2"/>
      </tp>
      <tp t="s">
        <v>#N/A Requesting Data...3634199765</v>
        <stp/>
        <stp>BDP|16756468946500426182</stp>
        <tr r="A1489" s="2"/>
      </tp>
      <tp t="s">
        <v>#N/A Requesting Data...3743694680</v>
        <stp/>
        <stp>BDP|14549400085596887931</stp>
        <tr r="H970" s="2"/>
      </tp>
      <tp t="s">
        <v>#N/A Requesting Data...4007168522</v>
        <stp/>
        <stp>BDP|15980267597411623851</stp>
        <tr r="T38" s="2"/>
      </tp>
      <tp t="s">
        <v>#N/A Requesting Data...4056806971</v>
        <stp/>
        <stp>BDP|16791953649209197519</stp>
        <tr r="K423" s="2"/>
      </tp>
      <tp t="b">
        <v>0</v>
        <stp/>
        <stp>BDS|15128916999241665378</stp>
        <tr r="I382" s="2"/>
      </tp>
      <tp t="s">
        <v>#N/A Requesting Data...3601846099</v>
        <stp/>
        <stp>BDP|15189454648616323447</stp>
        <tr r="D715" s="2"/>
      </tp>
      <tp t="s">
        <v>#N/A Requesting Data...3204902325</v>
        <stp/>
        <stp>BDP|12725428330627758596</stp>
        <tr r="G1524" s="2"/>
      </tp>
      <tp t="s">
        <v>#N/A Requesting Data...3955518006</v>
        <stp/>
        <stp>BDP|12397153476563202090</stp>
        <tr r="K1315" s="2"/>
      </tp>
      <tp t="b">
        <v>0</v>
        <stp/>
        <stp>BDS|13597229636815967001</stp>
        <tr r="I1799" s="2"/>
      </tp>
      <tp t="s">
        <v>#N/A Requesting Data...3312595242</v>
        <stp/>
        <stp>BDP|13234206969231108118</stp>
        <tr r="H1841" s="2"/>
      </tp>
      <tp t="s">
        <v>#N/A Requesting Data...3290261869</v>
        <stp/>
        <stp>BDP|14034694244510041169</stp>
        <tr r="S938" s="2"/>
      </tp>
      <tp t="s">
        <v>#N/A Requesting Data...3882722809</v>
        <stp/>
        <stp>BDP|11267961474898919021</stp>
        <tr r="O882" s="2"/>
      </tp>
      <tp t="s">
        <v>#N/A Requesting Data...3939548165</v>
        <stp/>
        <stp>BDP|12130074351168518899</stp>
        <tr r="O777" s="2"/>
      </tp>
      <tp t="s">
        <v>#N/A Requesting Data...3169411736</v>
        <stp/>
        <stp>BDP|10426498276730679464</stp>
        <tr r="E1879" s="2"/>
      </tp>
      <tp t="s">
        <v>#N/A Requesting Data...3428584102</v>
        <stp/>
        <stp>BDP|12176188551357738641</stp>
        <tr r="G2339" s="2"/>
      </tp>
      <tp t="s">
        <v>#N/A Requesting Data...3767432827</v>
        <stp/>
        <stp>BDP|17802516040118219908</stp>
        <tr r="F1345" s="2"/>
      </tp>
      <tp t="s">
        <v>#N/A Requesting Data...3668148585</v>
        <stp/>
        <stp>BDP|10851901516426582906</stp>
        <tr r="E2135" s="2"/>
      </tp>
      <tp t="s">
        <v>#N/A Requesting Data...3953982593</v>
        <stp/>
        <stp>BDP|16324044449927301261</stp>
        <tr r="Q2191" s="2"/>
      </tp>
      <tp t="s">
        <v>#N/A Requesting Data...3727005600</v>
        <stp/>
        <stp>BDP|14898657366890190311</stp>
        <tr r="H2322" s="2"/>
      </tp>
      <tp t="b">
        <v>0</v>
        <stp/>
        <stp>BDS|10632840954598898262</stp>
        <tr r="I2032" s="2"/>
      </tp>
      <tp t="s">
        <v>#N/A Requesting Data...3272188459</v>
        <stp/>
        <stp>BDP|18117839330277176380</stp>
        <tr r="P806" s="2"/>
      </tp>
      <tp t="s">
        <v>#N/A Requesting Data...4135785950</v>
        <stp/>
        <stp>BDP|17667450658130834189</stp>
        <tr r="C15" s="2"/>
      </tp>
      <tp t="s">
        <v>#N/A Requesting Data...3998927021</v>
        <stp/>
        <stp>BDP|13854235745025282775</stp>
        <tr r="R2049" s="2"/>
      </tp>
      <tp t="s">
        <v>#N/A Requesting Data...4260664375</v>
        <stp/>
        <stp>BDP|10898652554535323110</stp>
        <tr r="G42" s="2"/>
      </tp>
      <tp t="s">
        <v>#N/A Requesting Data...3622283138</v>
        <stp/>
        <stp>BDP|16059644675312888226</stp>
        <tr r="C1264" s="2"/>
      </tp>
      <tp t="s">
        <v>#N/A Requesting Data...3603408943</v>
        <stp/>
        <stp>BDP|15475480272337495611</stp>
        <tr r="E84" s="2"/>
      </tp>
      <tp t="s">
        <v>#N/A Requesting Data...3194430175</v>
        <stp/>
        <stp>BDP|17806741401325681206</stp>
        <tr r="P2434" s="2"/>
      </tp>
      <tp t="s">
        <v>#N/A Requesting Data...3583496585</v>
        <stp/>
        <stp>BDP|13657875559251774849</stp>
        <tr r="N2095" s="2"/>
      </tp>
      <tp t="s">
        <v>#N/A Requesting Data...3651931664</v>
        <stp/>
        <stp>BDP|10628032238623454720</stp>
        <tr r="S1818" s="2"/>
      </tp>
      <tp t="s">
        <v>#N/A Requesting Data...3294982867</v>
        <stp/>
        <stp>BDP|17969623591859795667</stp>
        <tr r="A1762" s="2"/>
      </tp>
      <tp t="s">
        <v>#N/A Requesting Data...3355168124</v>
        <stp/>
        <stp>BDP|15476897730089507033</stp>
        <tr r="P1902" s="2"/>
      </tp>
      <tp t="s">
        <v>#N/A Requesting Data...3849359738</v>
        <stp/>
        <stp>BDP|16519764769300850090</stp>
        <tr r="K1518" s="2"/>
      </tp>
      <tp t="s">
        <v>#N/A Requesting Data...3657986643</v>
        <stp/>
        <stp>BDP|11192088561761316104</stp>
        <tr r="G1779" s="2"/>
      </tp>
      <tp t="s">
        <v>#N/A Requesting Data...3213512387</v>
        <stp/>
        <stp>BDP|13630605578613272674</stp>
        <tr r="C283" s="2"/>
      </tp>
      <tp t="s">
        <v>#N/A Requesting Data...3508930868</v>
        <stp/>
        <stp>BDP|15735366878631563777</stp>
        <tr r="R525" s="2"/>
      </tp>
      <tp t="s">
        <v>#N/A Requesting Data...4019926709</v>
        <stp/>
        <stp>BDP|12522413829251483229</stp>
        <tr r="D2076" s="2"/>
      </tp>
      <tp t="s">
        <v>#N/A Requesting Data...4136783606</v>
        <stp/>
        <stp>BDP|12698196282105751919</stp>
        <tr r="P1625" s="2"/>
      </tp>
      <tp t="s">
        <v>#N/A Requesting Data...3339935942</v>
        <stp/>
        <stp>BDP|11223703227984983772</stp>
        <tr r="R183" s="2"/>
      </tp>
      <tp t="s">
        <v>#N/A Requesting Data...3312758773</v>
        <stp/>
        <stp>BDP|17508568378087526558</stp>
        <tr r="E1126" s="2"/>
      </tp>
      <tp t="s">
        <v>#N/A Requesting Data...4000987088</v>
        <stp/>
        <stp>BDP|12931686732769857905</stp>
        <tr r="P1323" s="2"/>
      </tp>
      <tp t="s">
        <v>#N/A Requesting Data...3249259517</v>
        <stp/>
        <stp>BDP|14837577771355723427</stp>
        <tr r="T284" s="2"/>
      </tp>
      <tp t="s">
        <v>#N/A Requesting Data...4021538909</v>
        <stp/>
        <stp>BDP|12253122727177512195</stp>
        <tr r="R617" s="2"/>
      </tp>
      <tp t="s">
        <v>#N/A Requesting Data...4092997760</v>
        <stp/>
        <stp>BDP|15944956495607701556</stp>
        <tr r="J314" s="2"/>
      </tp>
      <tp t="s">
        <v>#N/A Requesting Data...3400625156</v>
        <stp/>
        <stp>BDP|17409632355747937407</stp>
        <tr r="K1713" s="2"/>
      </tp>
      <tp t="s">
        <v>#N/A Requesting Data...3421724723</v>
        <stp/>
        <stp>BDP|16568630431996861248</stp>
        <tr r="R1527" s="2"/>
      </tp>
      <tp t="s">
        <v>#N/A Requesting Data...3449754936</v>
        <stp/>
        <stp>BDP|13750382143511026271</stp>
        <tr r="Q1696" s="2"/>
      </tp>
      <tp t="s">
        <v>#N/A Requesting Data...3587915747</v>
        <stp/>
        <stp>BDP|11775698830674519709</stp>
        <tr r="N44" s="2"/>
      </tp>
      <tp t="s">
        <v>#N/A Requesting Data...3603744900</v>
        <stp/>
        <stp>BDP|11823361214131200533</stp>
        <tr r="O1798" s="2"/>
      </tp>
      <tp t="s">
        <v>#N/A Requesting Data...3823834187</v>
        <stp/>
        <stp>BDP|12264091547945277458</stp>
        <tr r="R982" s="2"/>
      </tp>
      <tp t="s">
        <v>#N/A Requesting Data...3570123780</v>
        <stp/>
        <stp>BDP|15822962592700435235</stp>
        <tr r="C451" s="2"/>
      </tp>
      <tp t="s">
        <v>#N/A Requesting Data...4037989674</v>
        <stp/>
        <stp>BDP|15588369778501942790</stp>
        <tr r="S1046" s="2"/>
      </tp>
      <tp t="s">
        <v>#N/A Requesting Data...4020720445</v>
        <stp/>
        <stp>BDP|16239322029354531471</stp>
        <tr r="S2114" s="2"/>
      </tp>
      <tp t="b">
        <v>0</v>
        <stp/>
        <stp>BDS|14046098823373775258</stp>
        <tr r="I1700" s="2"/>
      </tp>
      <tp t="s">
        <v>#N/A Requesting Data...4060315091</v>
        <stp/>
        <stp>BDP|15734767754506888669</stp>
        <tr r="O535" s="2"/>
      </tp>
      <tp t="s">
        <v>#N/A Requesting Data...3448002004</v>
        <stp/>
        <stp>BDP|12532480430134362654</stp>
        <tr r="A1113" s="2"/>
      </tp>
      <tp t="s">
        <v>#N/A Requesting Data...3479166528</v>
        <stp/>
        <stp>BDP|16944177274555222234</stp>
        <tr r="R419" s="2"/>
      </tp>
      <tp t="s">
        <v>#N/A Requesting Data...3664997092</v>
        <stp/>
        <stp>BDP|16560593494748063534</stp>
        <tr r="F167" s="2"/>
      </tp>
      <tp t="s">
        <v>#N/A Requesting Data...4183539645</v>
        <stp/>
        <stp>BDP|10848151737756024317</stp>
        <tr r="N2423" s="2"/>
      </tp>
      <tp t="s">
        <v>#N/A Requesting Data...4134296700</v>
        <stp/>
        <stp>BDP|14544585655480450377</stp>
        <tr r="K1985" s="2"/>
      </tp>
      <tp t="s">
        <v>#N/A Requesting Data...3387345016</v>
        <stp/>
        <stp>BDP|13836250390018340750</stp>
        <tr r="M211" s="2"/>
      </tp>
      <tp t="s">
        <v>#N/A Requesting Data...4049594612</v>
        <stp/>
        <stp>BDP|13317746145067036093</stp>
        <tr r="H243" s="2"/>
      </tp>
      <tp t="s">
        <v>#N/A Requesting Data...4130171766</v>
        <stp/>
        <stp>BDP|13655225577519857807</stp>
        <tr r="J40" s="2"/>
      </tp>
      <tp t="b">
        <v>0</v>
        <stp/>
        <stp>BDS|12991293255211964349</stp>
        <tr r="I2470" s="2"/>
      </tp>
      <tp t="s">
        <v>#N/A Requesting Data...3865499241</v>
        <stp/>
        <stp>BDP|10138915994142824572</stp>
        <tr r="M1512" s="2"/>
      </tp>
      <tp t="s">
        <v>#N/A Requesting Data...3294888686</v>
        <stp/>
        <stp>BDP|13764712428024250576</stp>
        <tr r="D1949" s="2"/>
      </tp>
      <tp t="s">
        <v>#N/A Requesting Data...3337862569</v>
        <stp/>
        <stp>BDP|14024410972360901017</stp>
        <tr r="E1650" s="2"/>
      </tp>
      <tp t="s">
        <v>#N/A Requesting Data...3412514103</v>
        <stp/>
        <stp>BDP|12483739708021105357</stp>
        <tr r="P1668" s="2"/>
      </tp>
      <tp t="s">
        <v>#N/A Requesting Data...4163155644</v>
        <stp/>
        <stp>BDP|13891202333121788477</stp>
        <tr r="F2330" s="2"/>
      </tp>
      <tp t="s">
        <v>#N/A Requesting Data...4163068546</v>
        <stp/>
        <stp>BDP|12955271265254078504</stp>
        <tr r="P1795" s="2"/>
      </tp>
      <tp t="s">
        <v>#N/A Requesting Data...3653721468</v>
        <stp/>
        <stp>BDP|16700371582269009396</stp>
        <tr r="F152" s="2"/>
      </tp>
      <tp t="s">
        <v>#N/A Requesting Data...3357726301</v>
        <stp/>
        <stp>BDP|10594882130154496826</stp>
        <tr r="M2040" s="2"/>
      </tp>
      <tp t="s">
        <v>#N/A Requesting Data...4074571909</v>
        <stp/>
        <stp>BDP|17297988793247205706</stp>
        <tr r="S910" s="2"/>
      </tp>
      <tp t="s">
        <v>#N/A Requesting Data...3445742043</v>
        <stp/>
        <stp>BDP|11486133599816211877</stp>
        <tr r="Q767" s="2"/>
      </tp>
      <tp t="s">
        <v>#N/A Requesting Data...3870680810</v>
        <stp/>
        <stp>BDP|15241375237032843010</stp>
        <tr r="C2439" s="2"/>
      </tp>
      <tp t="b">
        <v>0</v>
        <stp/>
        <stp>BDS|16212337556020816772</stp>
        <tr r="I944" s="2"/>
      </tp>
      <tp t="s">
        <v>#N/A Requesting Data...3774247980</v>
        <stp/>
        <stp>BDP|10342516105770518290</stp>
        <tr r="T1410" s="2"/>
      </tp>
      <tp t="s">
        <v>#N/A Requesting Data...4034061457</v>
        <stp/>
        <stp>BDP|10778917081240914657</stp>
        <tr r="M223" s="2"/>
      </tp>
      <tp t="s">
        <v>#N/A Requesting Data...3983084882</v>
        <stp/>
        <stp>BDP|11006502035779669987</stp>
        <tr r="T2115" s="2"/>
      </tp>
      <tp t="s">
        <v>#N/A Requesting Data...3474037054</v>
        <stp/>
        <stp>BDP|15972352264136655155</stp>
        <tr r="F2288" s="2"/>
      </tp>
      <tp t="s">
        <v>#N/A Requesting Data...3354855734</v>
        <stp/>
        <stp>BDP|15699072995782814966</stp>
        <tr r="A2520" s="2"/>
      </tp>
      <tp t="s">
        <v>#N/A Requesting Data...4130144278</v>
        <stp/>
        <stp>BDP|15746549873775277586</stp>
        <tr r="H1713" s="2"/>
      </tp>
      <tp t="s">
        <v>#N/A Requesting Data...3634389898</v>
        <stp/>
        <stp>BDP|15752065339317098621</stp>
        <tr r="E522" s="2"/>
      </tp>
      <tp t="b">
        <v>0</v>
        <stp/>
        <stp>BDS|10588590146345525362</stp>
        <tr r="I226" s="2"/>
      </tp>
      <tp t="b">
        <v>0</v>
        <stp/>
        <stp>BDS|13319064569332557008</stp>
        <tr r="I2150" s="2"/>
      </tp>
      <tp t="s">
        <v>#N/A Requesting Data...3581688851</v>
        <stp/>
        <stp>BDP|12386562965983280580</stp>
        <tr r="D748" s="2"/>
      </tp>
      <tp t="s">
        <v>#N/A Requesting Data...3964465160</v>
        <stp/>
        <stp>BDP|15428517711087680186</stp>
        <tr r="S1494" s="2"/>
      </tp>
      <tp t="s">
        <v>#N/A Requesting Data...4098308156</v>
        <stp/>
        <stp>BDP|13951881202644001899</stp>
        <tr r="C1771" s="2"/>
      </tp>
      <tp t="s">
        <v>#N/A Requesting Data...4247005736</v>
        <stp/>
        <stp>BDP|14833374077820733757</stp>
        <tr r="R2037" s="2"/>
      </tp>
      <tp t="b">
        <v>0</v>
        <stp/>
        <stp>BDS|13224856249071773908</stp>
        <tr r="I1073" s="2"/>
      </tp>
      <tp t="s">
        <v>#N/A Requesting Data...3950925976</v>
        <stp/>
        <stp>BDP|11459719723861972259</stp>
        <tr r="J677" s="2"/>
      </tp>
      <tp t="s">
        <v>#N/A Requesting Data...3748642262</v>
        <stp/>
        <stp>BDP|11489780191718264050</stp>
        <tr r="D335" s="2"/>
      </tp>
      <tp t="s">
        <v>#N/A Requesting Data...3439936388</v>
        <stp/>
        <stp>BDP|14686671985414872962</stp>
        <tr r="F492" s="2"/>
      </tp>
      <tp t="s">
        <v>#N/A Requesting Data...3627770727</v>
        <stp/>
        <stp>BDP|10712770616430991154</stp>
        <tr r="T1600" s="2"/>
      </tp>
      <tp t="s">
        <v>#N/A Requesting Data...4274481289</v>
        <stp/>
        <stp>BDP|17719510254293834308</stp>
        <tr r="Q886" s="2"/>
      </tp>
      <tp t="s">
        <v>#N/A Requesting Data...4279130665</v>
        <stp/>
        <stp>BDP|13275129430231911735</stp>
        <tr r="K2274" s="2"/>
      </tp>
      <tp t="s">
        <v>#N/A Requesting Data...3389981996</v>
        <stp/>
        <stp>BDP|14182055354652206483</stp>
        <tr r="O1278" s="2"/>
      </tp>
      <tp t="s">
        <v>#N/A Requesting Data...4138527256</v>
        <stp/>
        <stp>BDP|14294227543952096796</stp>
        <tr r="N906" s="2"/>
      </tp>
      <tp t="s">
        <v>#N/A Requesting Data...3655412446</v>
        <stp/>
        <stp>BDP|17337123229987029424</stp>
        <tr r="S2458" s="2"/>
      </tp>
      <tp t="s">
        <v>#N/A Requesting Data...4015311065</v>
        <stp/>
        <stp>BDP|13893190439200141630</stp>
        <tr r="P1177" s="2"/>
      </tp>
      <tp t="s">
        <v>#N/A Requesting Data...3839682679</v>
        <stp/>
        <stp>BDP|17750148268736110104</stp>
        <tr r="N654" s="2"/>
      </tp>
      <tp t="s">
        <v>#N/A Requesting Data...3689449809</v>
        <stp/>
        <stp>BDP|10277394721005853389</stp>
        <tr r="C162" s="2"/>
      </tp>
      <tp t="s">
        <v>#N/A Requesting Data...3628885012</v>
        <stp/>
        <stp>BDP|11779488950377355066</stp>
        <tr r="O344" s="2"/>
      </tp>
      <tp t="b">
        <v>0</v>
        <stp/>
        <stp>BDS|11516293478657880452</stp>
        <tr r="I1290" s="2"/>
      </tp>
      <tp t="s">
        <v>#N/A Requesting Data...3430981122</v>
        <stp/>
        <stp>BDP|13207384265167635638</stp>
        <tr r="G2375" s="2"/>
      </tp>
      <tp t="s">
        <v>#N/A Requesting Data...3847713146</v>
        <stp/>
        <stp>BDP|17900448702584770027</stp>
        <tr r="J1719" s="2"/>
      </tp>
      <tp t="s">
        <v>#N/A Requesting Data...3622982395</v>
        <stp/>
        <stp>BDP|13297864914619861420</stp>
        <tr r="D2108" s="2"/>
      </tp>
      <tp t="s">
        <v>#N/A Requesting Data...4292476945</v>
        <stp/>
        <stp>BDP|10857461654790761678</stp>
        <tr r="F2132" s="2"/>
      </tp>
      <tp t="s">
        <v>#N/A Requesting Data...3810970938</v>
        <stp/>
        <stp>BDP|11345254354562009388</stp>
        <tr r="Q1690" s="2"/>
      </tp>
      <tp t="s">
        <v>#N/A Requesting Data...3639372188</v>
        <stp/>
        <stp>BDP|12632483289031898854</stp>
        <tr r="K425" s="2"/>
      </tp>
      <tp t="s">
        <v>#N/A Requesting Data...4136644128</v>
        <stp/>
        <stp>BDP|10383531968380458462</stp>
        <tr r="H1571" s="2"/>
      </tp>
      <tp t="s">
        <v>#N/A Requesting Data...4065886399</v>
        <stp/>
        <stp>BDP|15750234909202693217</stp>
        <tr r="K238" s="2"/>
      </tp>
      <tp t="s">
        <v>#N/A Requesting Data...3570966623</v>
        <stp/>
        <stp>BDP|13134712229748237918</stp>
        <tr r="J1902" s="2"/>
      </tp>
      <tp t="s">
        <v>#N/A Requesting Data...3586558372</v>
        <stp/>
        <stp>BDP|12024260990917551992</stp>
        <tr r="S2402" s="2"/>
      </tp>
      <tp t="s">
        <v>#N/A Requesting Data...3885570970</v>
        <stp/>
        <stp>BDP|16014553809764696000</stp>
        <tr r="H1670" s="2"/>
      </tp>
      <tp t="s">
        <v>#N/A Requesting Data...3508840363</v>
        <stp/>
        <stp>BDP|18172781113089134019</stp>
        <tr r="S2172" s="2"/>
      </tp>
      <tp t="s">
        <v>#N/A Requesting Data...4117965551</v>
        <stp/>
        <stp>BDP|14352969603448444280</stp>
        <tr r="N2078" s="2"/>
      </tp>
      <tp t="s">
        <v>#N/A Requesting Data...4250262446</v>
        <stp/>
        <stp>BDP|12572306719113283444</stp>
        <tr r="E191" s="2"/>
      </tp>
      <tp t="s">
        <v>#N/A Requesting Data...3944868051</v>
        <stp/>
        <stp>BDP|16836458150158173861</stp>
        <tr r="F357" s="2"/>
      </tp>
      <tp t="s">
        <v>#N/A Requesting Data...3614215947</v>
        <stp/>
        <stp>BDP|13356506599168604061</stp>
        <tr r="N502" s="2"/>
      </tp>
      <tp t="s">
        <v>#N/A Requesting Data...3642355312</v>
        <stp/>
        <stp>BDP|13027863487852984622</stp>
        <tr r="T2314" s="2"/>
      </tp>
      <tp t="b">
        <v>0</v>
        <stp/>
        <stp>BDS|12776496059326759295</stp>
        <tr r="I2283" s="2"/>
      </tp>
      <tp t="s">
        <v>#N/A Requesting Data...3979360820</v>
        <stp/>
        <stp>BDP|13126962560858588382</stp>
        <tr r="D50" s="2"/>
      </tp>
      <tp t="s">
        <v>#N/A Requesting Data...3524161290</v>
        <stp/>
        <stp>BDP|17352297730197737672</stp>
        <tr r="K1644" s="2"/>
      </tp>
      <tp t="s">
        <v>#N/A Requesting Data...3817840676</v>
        <stp/>
        <stp>BDP|17273865872147475886</stp>
        <tr r="F418" s="2"/>
      </tp>
      <tp t="s">
        <v>#N/A Requesting Data...3854145331</v>
        <stp/>
        <stp>BDP|11424932838854129848</stp>
        <tr r="D1169" s="2"/>
      </tp>
      <tp t="s">
        <v>#N/A Requesting Data...3757272846</v>
        <stp/>
        <stp>BDP|12479881611578078476</stp>
        <tr r="D387" s="2"/>
      </tp>
      <tp t="s">
        <v>#N/A Requesting Data...4133320062</v>
        <stp/>
        <stp>BDP|13008749056647160198</stp>
        <tr r="K2285" s="2"/>
      </tp>
      <tp t="s">
        <v>#N/A Requesting Data...4050227215</v>
        <stp/>
        <stp>BDP|11447130418413226573</stp>
        <tr r="S729" s="2"/>
      </tp>
      <tp t="s">
        <v>#N/A Requesting Data...3745929482</v>
        <stp/>
        <stp>BDP|17588053789088123028</stp>
        <tr r="R1178" s="2"/>
      </tp>
      <tp t="s">
        <v>#N/A Requesting Data...3778179166</v>
        <stp/>
        <stp>BDP|12537696428372836364</stp>
        <tr r="G751" s="2"/>
      </tp>
      <tp t="s">
        <v>#N/A Requesting Data...3726567350</v>
        <stp/>
        <stp>BDP|15928619345511268159</stp>
        <tr r="K1299" s="2"/>
      </tp>
      <tp t="s">
        <v>#N/A Requesting Data...3667335290</v>
        <stp/>
        <stp>BDP|17062764459513515107</stp>
        <tr r="D1064" s="2"/>
      </tp>
      <tp t="s">
        <v>#N/A Requesting Data...3996859809</v>
        <stp/>
        <stp>BDP|11872001416623799439</stp>
        <tr r="O1857" s="2"/>
      </tp>
      <tp t="s">
        <v>#N/A Requesting Data...3855921136</v>
        <stp/>
        <stp>BDP|17858466287879728549</stp>
        <tr r="S811" s="2"/>
      </tp>
      <tp t="s">
        <v>#N/A Requesting Data...3790423571</v>
        <stp/>
        <stp>BDP|12327975847788190089</stp>
        <tr r="Q276" s="2"/>
      </tp>
      <tp t="s">
        <v>#N/A Requesting Data...4009820551</v>
        <stp/>
        <stp>BDP|13757807275218922312</stp>
        <tr r="G774" s="2"/>
      </tp>
      <tp t="s">
        <v>#N/A Requesting Data...3649654470</v>
        <stp/>
        <stp>BDP|13235447706949929938</stp>
        <tr r="D1537" s="2"/>
      </tp>
      <tp t="s">
        <v>#N/A Requesting Data...4280921629</v>
        <stp/>
        <stp>BDP|17016637782699317786</stp>
        <tr r="T2465" s="2"/>
      </tp>
      <tp t="s">
        <v>#N/A Requesting Data...3802517078</v>
        <stp/>
        <stp>BDP|14619466592768164691</stp>
        <tr r="O1646" s="2"/>
      </tp>
      <tp t="s">
        <v>#N/A Requesting Data...4088530991</v>
        <stp/>
        <stp>BDP|16045757198479598629</stp>
        <tr r="Q1314" s="2"/>
      </tp>
      <tp t="s">
        <v>#N/A Requesting Data...4115242960</v>
        <stp/>
        <stp>BDP|15860947960499144476</stp>
        <tr r="P2143" s="2"/>
      </tp>
      <tp t="s">
        <v>#N/A Requesting Data...3573723249</v>
        <stp/>
        <stp>BDP|12327139069335093736</stp>
        <tr r="E2322" s="2"/>
      </tp>
      <tp t="s">
        <v>#N/A Requesting Data...3767299283</v>
        <stp/>
        <stp>BDP|14064374272097708085</stp>
        <tr r="H2485" s="2"/>
      </tp>
      <tp t="b">
        <v>0</v>
        <stp/>
        <stp>BDS|10518743301148068892</stp>
        <tr r="I471" s="2"/>
      </tp>
      <tp t="s">
        <v>#N/A Requesting Data...4262973316</v>
        <stp/>
        <stp>BDP|15212311191448875004</stp>
        <tr r="K2501" s="2"/>
      </tp>
      <tp t="s">
        <v>#N/A Requesting Data...3716345114</v>
        <stp/>
        <stp>BDP|10877230347111769016</stp>
        <tr r="C2273" s="2"/>
      </tp>
      <tp t="b">
        <v>0</v>
        <stp/>
        <stp>BDS|12093189887678354455</stp>
        <tr r="I2487" s="2"/>
      </tp>
      <tp t="s">
        <v>#N/A Requesting Data...3834018545</v>
        <stp/>
        <stp>BDP|12226083933145250313</stp>
        <tr r="P1610" s="2"/>
      </tp>
      <tp t="s">
        <v>#N/A Requesting Data...4089076236</v>
        <stp/>
        <stp>BDP|12051205068734188539</stp>
        <tr r="C1652" s="2"/>
      </tp>
      <tp t="s">
        <v>#N/A Requesting Data...3943181792</v>
        <stp/>
        <stp>BDP|15874076945392940490</stp>
        <tr r="Q1800" s="2"/>
      </tp>
      <tp t="s">
        <v>#N/A Requesting Data...4213853402</v>
        <stp/>
        <stp>BDP|12211299011510526659</stp>
        <tr r="N1357" s="2"/>
      </tp>
      <tp t="s">
        <v>#N/A Requesting Data...4264788375</v>
        <stp/>
        <stp>BDP|16748594963187334547</stp>
        <tr r="S1436" s="2"/>
      </tp>
      <tp t="s">
        <v>#N/A Requesting Data...3795478986</v>
        <stp/>
        <stp>BDP|14727821996076926404</stp>
        <tr r="T547" s="2"/>
      </tp>
      <tp t="s">
        <v>#N/A Requesting Data...4114012132</v>
        <stp/>
        <stp>BDP|15482395012141586101</stp>
        <tr r="D384" s="2"/>
      </tp>
      <tp t="s">
        <v>#N/A Requesting Data...3684529276</v>
        <stp/>
        <stp>BDP|10030249924371944639</stp>
        <tr r="R1078" s="2"/>
      </tp>
      <tp t="s">
        <v>#N/A Requesting Data...4137236166</v>
        <stp/>
        <stp>BDP|14801822658726152894</stp>
        <tr r="A990" s="2"/>
      </tp>
      <tp t="s">
        <v>#N/A Requesting Data...4242150920</v>
        <stp/>
        <stp>BDP|13873498745421874568</stp>
        <tr r="S1267" s="2"/>
      </tp>
      <tp t="s">
        <v>#N/A Requesting Data...4202553090</v>
        <stp/>
        <stp>BDP|12395393290016778906</stp>
        <tr r="A1574" s="2"/>
      </tp>
      <tp t="s">
        <v>#N/A Requesting Data...3644603725</v>
        <stp/>
        <stp>BDP|10716703331282335188</stp>
        <tr r="T1564" s="2"/>
      </tp>
      <tp t="s">
        <v>#N/A Requesting Data...3626931060</v>
        <stp/>
        <stp>BDP|16048028469654106370</stp>
        <tr r="Q1353" s="2"/>
      </tp>
      <tp t="s">
        <v>#N/A Requesting Data...4245447353</v>
        <stp/>
        <stp>BDP|11321987858439831368</stp>
        <tr r="T488" s="2"/>
      </tp>
      <tp t="s">
        <v>#N/A Requesting Data...3943450567</v>
        <stp/>
        <stp>BDP|10977640712459190930</stp>
        <tr r="C335" s="2"/>
      </tp>
      <tp t="s">
        <v>#N/A Requesting Data...3848943043</v>
        <stp/>
        <stp>BDP|13883896894381826405</stp>
        <tr r="F1198" s="2"/>
      </tp>
      <tp t="s">
        <v>#N/A Requesting Data...3844077354</v>
        <stp/>
        <stp>BDP|12138514248986004254</stp>
        <tr r="M141" s="2"/>
      </tp>
      <tp t="s">
        <v>#N/A Requesting Data...4181220302</v>
        <stp/>
        <stp>BDP|15423260654276989321</stp>
        <tr r="K2155" s="2"/>
      </tp>
      <tp t="b">
        <v>0</v>
        <stp/>
        <stp>BDS|12418104592978071582</stp>
        <tr r="I1251" s="2"/>
      </tp>
      <tp t="s">
        <v>#N/A Requesting Data...4172590885</v>
        <stp/>
        <stp>BDP|11997326742108434904</stp>
        <tr r="N2306" s="2"/>
      </tp>
      <tp t="s">
        <v>#N/A Requesting Data...3835419903</v>
        <stp/>
        <stp>BDP|16814481423846713190</stp>
        <tr r="A1476" s="2"/>
      </tp>
      <tp t="s">
        <v>#N/A Requesting Data...3686533396</v>
        <stp/>
        <stp>BDP|14178113645281060789</stp>
        <tr r="J294" s="2"/>
      </tp>
      <tp t="s">
        <v>#N/A Requesting Data...4217589399</v>
        <stp/>
        <stp>BDP|15928115150823219577</stp>
        <tr r="A428" s="2"/>
      </tp>
      <tp t="s">
        <v>#N/A Requesting Data...4010893639</v>
        <stp/>
        <stp>BDP|11206116679895570521</stp>
        <tr r="S1997" s="2"/>
      </tp>
      <tp t="s">
        <v>#N/A Requesting Data...4260589773</v>
        <stp/>
        <stp>BDP|12185420298251557937</stp>
        <tr r="P778" s="2"/>
      </tp>
      <tp t="s">
        <v>#N/A Requesting Data...3972987817</v>
        <stp/>
        <stp>BDP|15825649204631671532</stp>
        <tr r="H1034" s="2"/>
      </tp>
      <tp t="s">
        <v>#N/A Requesting Data...4031707315</v>
        <stp/>
        <stp>BDP|15360934209849667224</stp>
        <tr r="H4" s="2"/>
      </tp>
      <tp t="s">
        <v>#N/A Requesting Data...4237547950</v>
        <stp/>
        <stp>BDP|13746564237375393782</stp>
        <tr r="N628" s="2"/>
      </tp>
      <tp t="s">
        <v>#N/A Requesting Data...4225352792</v>
        <stp/>
        <stp>BDP|16570899656765628914</stp>
        <tr r="H2314" s="2"/>
      </tp>
      <tp t="s">
        <v>#N/A Requesting Data...4010961803</v>
        <stp/>
        <stp>BDP|11960903284196739178</stp>
        <tr r="J2148" s="2"/>
      </tp>
      <tp t="s">
        <v>#N/A Requesting Data...4214339797</v>
        <stp/>
        <stp>BDP|16873494178883325177</stp>
        <tr r="D843" s="2"/>
      </tp>
      <tp t="s">
        <v>#N/A Requesting Data...4089887158</v>
        <stp/>
        <stp>BDP|17623343633424538498</stp>
        <tr r="O2502" s="2"/>
      </tp>
      <tp t="s">
        <v>#N/A Requesting Data...3631974954</v>
        <stp/>
        <stp>BDP|17167295416133358009</stp>
        <tr r="M1100" s="2"/>
      </tp>
      <tp t="s">
        <v>#N/A Requesting Data...4206265014</v>
        <stp/>
        <stp>BDP|12666459172402962453</stp>
        <tr r="G192" s="2"/>
      </tp>
      <tp t="s">
        <v>#N/A Requesting Data...3927237608</v>
        <stp/>
        <stp>BDP|14651089442396460154</stp>
        <tr r="P2237" s="2"/>
      </tp>
      <tp t="b">
        <v>0</v>
        <stp/>
        <stp>BDS|10385287978404408696</stp>
        <tr r="I883" s="2"/>
      </tp>
      <tp t="s">
        <v>#N/A Requesting Data...3997337381</v>
        <stp/>
        <stp>BDP|13314642709450325208</stp>
        <tr r="Q1036" s="2"/>
      </tp>
      <tp t="s">
        <v>#N/A Requesting Data...3719514433</v>
        <stp/>
        <stp>BDP|12219503629961303357</stp>
        <tr r="K1451" s="2"/>
      </tp>
      <tp t="s">
        <v>#N/A Requesting Data...4074100205</v>
        <stp/>
        <stp>BDP|18231888609363975473</stp>
        <tr r="C1646" s="2"/>
      </tp>
      <tp t="b">
        <v>0</v>
        <stp/>
        <stp>BDS|10036128968594537411</stp>
        <tr r="I2421" s="2"/>
      </tp>
      <tp t="b">
        <v>0</v>
        <stp/>
        <stp>BDS|17462189096980766833</stp>
        <tr r="I1087" s="2"/>
      </tp>
      <tp t="s">
        <v>#N/A Requesting Data...4001912894</v>
        <stp/>
        <stp>BDP|16465193781731570946</stp>
        <tr r="T395" s="2"/>
      </tp>
      <tp t="s">
        <v>#N/A Requesting Data...3749900808</v>
        <stp/>
        <stp>BDP|14876029458135881374</stp>
        <tr r="T2420" s="2"/>
      </tp>
      <tp t="s">
        <v>#N/A Requesting Data...4246974254</v>
        <stp/>
        <stp>BDP|10907790409662026247</stp>
        <tr r="T202" s="2"/>
      </tp>
      <tp t="s">
        <v>#N/A Requesting Data...3667149208</v>
        <stp/>
        <stp>BDP|11321589125755169428</stp>
        <tr r="A2384" s="2"/>
      </tp>
      <tp t="s">
        <v>#N/A Requesting Data...4227094271</v>
        <stp/>
        <stp>BDP|14244036104063057085</stp>
        <tr r="F627" s="2"/>
      </tp>
      <tp t="s">
        <v>#N/A Requesting Data...3937919943</v>
        <stp/>
        <stp>BDP|10815931052718055340</stp>
        <tr r="C215" s="2"/>
      </tp>
      <tp t="s">
        <v>#N/A Requesting Data...4182540566</v>
        <stp/>
        <stp>BDP|11984051157440392356</stp>
        <tr r="M1663" s="2"/>
      </tp>
      <tp t="s">
        <v>#N/A Requesting Data...4213445646</v>
        <stp/>
        <stp>BDP|16908456643752418362</stp>
        <tr r="T1598" s="2"/>
      </tp>
      <tp t="s">
        <v>#N/A Requesting Data...3770643279</v>
        <stp/>
        <stp>BDP|11285288228514930267</stp>
        <tr r="H1420" s="2"/>
      </tp>
      <tp t="s">
        <v>#N/A Requesting Data...4005703367</v>
        <stp/>
        <stp>BDP|16884913523102683812</stp>
        <tr r="M1009" s="2"/>
      </tp>
      <tp t="s">
        <v>#N/A Requesting Data...4092932701</v>
        <stp/>
        <stp>BDP|14570788427590281655</stp>
        <tr r="N1776" s="2"/>
      </tp>
      <tp t="s">
        <v>#N/A Requesting Data...4082145430</v>
        <stp/>
        <stp>BDP|17040010012421778090</stp>
        <tr r="G580" s="2"/>
      </tp>
      <tp t="s">
        <v>#N/A Requesting Data...4165742083</v>
        <stp/>
        <stp>BDP|15978916902639344244</stp>
        <tr r="K1898" s="2"/>
      </tp>
      <tp t="s">
        <v>#N/A Requesting Data...4178101560</v>
        <stp/>
        <stp>BDP|15221683746638635873</stp>
        <tr r="E2311" s="2"/>
      </tp>
      <tp t="s">
        <v>#N/A Requesting Data...4221574890</v>
        <stp/>
        <stp>BDP|17772898191526791754</stp>
        <tr r="E857" s="2"/>
      </tp>
      <tp t="s">
        <v>#N/A Requesting Data...3893076969</v>
        <stp/>
        <stp>BDP|16597232021605394493</stp>
        <tr r="C704" s="2"/>
      </tp>
      <tp t="s">
        <v>#N/A Requesting Data...4023901429</v>
        <stp/>
        <stp>BDP|12097835728866154976</stp>
        <tr r="E1174" s="2"/>
      </tp>
      <tp t="s">
        <v>#N/A Requesting Data...3716501402</v>
        <stp/>
        <stp>BDP|15076480321326665225</stp>
        <tr r="P604" s="2"/>
      </tp>
      <tp t="s">
        <v>#N/A Requesting Data...3804633335</v>
        <stp/>
        <stp>BDP|14519212671984192295</stp>
        <tr r="Q889" s="2"/>
      </tp>
      <tp t="s">
        <v>#N/A Requesting Data...3829101401</v>
        <stp/>
        <stp>BDP|16766593656814684533</stp>
        <tr r="M1007" s="2"/>
      </tp>
      <tp t="s">
        <v>#N/A Requesting Data...4025832906</v>
        <stp/>
        <stp>BDP|15742732210856915209</stp>
        <tr r="A228" s="2"/>
      </tp>
      <tp t="s">
        <v>#N/A Requesting Data...3915783261</v>
        <stp/>
        <stp>BDP|14695427949616045509</stp>
        <tr r="H2324" s="2"/>
      </tp>
      <tp t="s">
        <v>#N/A Requesting Data...3949602786</v>
        <stp/>
        <stp>BDP|18023388774582328928</stp>
        <tr r="R1405" s="2"/>
      </tp>
      <tp t="s">
        <v>#N/A Requesting Data...3698435385</v>
        <stp/>
        <stp>BDP|16221121405867884706</stp>
        <tr r="K1465" s="2"/>
      </tp>
      <tp t="s">
        <v>#N/A Requesting Data...4170928633</v>
        <stp/>
        <stp>BDP|15051947829339328036</stp>
        <tr r="R35" s="2"/>
      </tp>
      <tp t="s">
        <v>#N/A Requesting Data...4169590440</v>
        <stp/>
        <stp>BDP|12763574784230932807</stp>
        <tr r="C734" s="2"/>
      </tp>
      <tp t="s">
        <v>#N/A Requesting Data...3908108024</v>
        <stp/>
        <stp>BDP|18149906592998880767</stp>
        <tr r="D2515" s="2"/>
      </tp>
      <tp t="s">
        <v>#N/A Requesting Data...4190937262</v>
        <stp/>
        <stp>BDP|13302680567350325425</stp>
        <tr r="G795" s="2"/>
      </tp>
      <tp t="s">
        <v>#N/A Requesting Data...4051608986</v>
        <stp/>
        <stp>BDP|14859695623797792095</stp>
        <tr r="Q2358" s="2"/>
      </tp>
      <tp t="s">
        <v>#N/A Requesting Data...3833517503</v>
        <stp/>
        <stp>BDP|14590312729276769465</stp>
        <tr r="N386" s="2"/>
      </tp>
      <tp t="s">
        <v>#N/A Requesting Data...4016978149</v>
        <stp/>
        <stp>BDP|16209225116067987537</stp>
        <tr r="J628" s="2"/>
      </tp>
      <tp t="s">
        <v>#N/A Requesting Data...4165160588</v>
        <stp/>
        <stp>BDP|16564225256980998649</stp>
        <tr r="D913" s="2"/>
      </tp>
      <tp t="s">
        <v>#N/A Requesting Data...3804799262</v>
        <stp/>
        <stp>BDP|16338493309913773687</stp>
        <tr r="R2330" s="2"/>
      </tp>
      <tp t="b">
        <v>0</v>
        <stp/>
        <stp>BDS|17084477254932597396</stp>
        <tr r="I368" s="2"/>
      </tp>
      <tp t="s">
        <v>#N/A Requesting Data...3805234840</v>
        <stp/>
        <stp>BDP|12303376666201697185</stp>
        <tr r="P74" s="2"/>
      </tp>
      <tp t="s">
        <v>#N/A Requesting Data...4122382339</v>
        <stp/>
        <stp>BDP|13149263826886434293</stp>
        <tr r="R1426" s="2"/>
      </tp>
      <tp t="s">
        <v>#N/A Requesting Data...3982812111</v>
        <stp/>
        <stp>BDP|18408765889524796406</stp>
        <tr r="H710" s="2"/>
      </tp>
      <tp t="s">
        <v>#N/A Requesting Data...4066173992</v>
        <stp/>
        <stp>BDP|12925705115220325338</stp>
        <tr r="C601" s="2"/>
      </tp>
      <tp t="s">
        <v>#N/A Requesting Data...3917181790</v>
        <stp/>
        <stp>BDP|12220869071548189288</stp>
        <tr r="A377" s="2"/>
      </tp>
      <tp t="s">
        <v>#N/A Requesting Data...3963830340</v>
        <stp/>
        <stp>BDP|16102416064863948014</stp>
        <tr r="C1913" s="2"/>
      </tp>
      <tp t="s">
        <v>#N/A Requesting Data...3930091130</v>
        <stp/>
        <stp>BDP|10679528646003781599</stp>
        <tr r="S2466" s="2"/>
      </tp>
      <tp t="s">
        <v>#N/A Requesting Data...3748442775</v>
        <stp/>
        <stp>BDP|16006497435506648068</stp>
        <tr r="J1596" s="2"/>
      </tp>
      <tp t="s">
        <v>#N/A Requesting Data...3865712436</v>
        <stp/>
        <stp>BDP|17108479343674156484</stp>
        <tr r="J512" s="2"/>
      </tp>
      <tp t="s">
        <v>#N/A Requesting Data...4224683343</v>
        <stp/>
        <stp>BDP|11794130865637499698</stp>
        <tr r="C2373" s="2"/>
      </tp>
      <tp t="s">
        <v>#N/A Requesting Data...4062652369</v>
        <stp/>
        <stp>BDP|11066856682940307687</stp>
        <tr r="O1901" s="2"/>
      </tp>
      <tp t="s">
        <v>#N/A Requesting Data...4055452195</v>
        <stp/>
        <stp>BDP|16275131375230827708</stp>
        <tr r="C1870" s="2"/>
      </tp>
      <tp t="b">
        <v>0</v>
        <stp/>
        <stp>BDS|12699784690233508842</stp>
        <tr r="I891" s="2"/>
      </tp>
      <tp t="s">
        <v>#N/A Requesting Data...3957430311</v>
        <stp/>
        <stp>BDP|11107549672026812235</stp>
        <tr r="H964" s="2"/>
      </tp>
      <tp t="s">
        <v>#N/A Requesting Data...4258188772</v>
        <stp/>
        <stp>BDP|13045695216151451278</stp>
        <tr r="N2503" s="2"/>
      </tp>
      <tp t="s">
        <v>#N/A Requesting Data...4284685559</v>
        <stp/>
        <stp>BDP|10501296080819174415</stp>
        <tr r="R309" s="2"/>
      </tp>
      <tp t="b">
        <v>0</v>
        <stp/>
        <stp>BDS|16164631029226114358</stp>
        <tr r="I1261" s="2"/>
      </tp>
      <tp t="s">
        <v>#N/A Requesting Data...3771962458</v>
        <stp/>
        <stp>BDP|11386393544896104730</stp>
        <tr r="N1033" s="2"/>
      </tp>
      <tp t="s">
        <v>#N/A Requesting Data...3926583058</v>
        <stp/>
        <stp>BDP|12874054207182537732</stp>
        <tr r="R185" s="2"/>
      </tp>
      <tp t="s">
        <v>#N/A Requesting Data...3831703308</v>
        <stp/>
        <stp>BDP|11887248346097308753</stp>
        <tr r="K1805" s="2"/>
      </tp>
      <tp t="s">
        <v>#N/A Requesting Data...4241071332</v>
        <stp/>
        <stp>BDP|15192514263516935768</stp>
        <tr r="H1798" s="2"/>
      </tp>
      <tp t="s">
        <v>#N/A Requesting Data...4034562711</v>
        <stp/>
        <stp>BDP|17312527431353554593</stp>
        <tr r="H774" s="2"/>
      </tp>
      <tp t="s">
        <v>#N/A Requesting Data...4056985693</v>
        <stp/>
        <stp>BDP|10512626285150813964</stp>
        <tr r="F264" s="2"/>
      </tp>
      <tp t="s">
        <v>#N/A Requesting Data...4036003745</v>
        <stp/>
        <stp>BDP|11513495220560957097</stp>
        <tr r="N1365" s="2"/>
      </tp>
      <tp t="s">
        <v>#N/A Requesting Data...4260504860</v>
        <stp/>
        <stp>BDP|10883058504912134549</stp>
        <tr r="Q1699" s="2"/>
      </tp>
      <tp t="s">
        <v>#N/A Requesting Data...3993408622</v>
        <stp/>
        <stp>BDP|10670312691299812424</stp>
        <tr r="S914" s="2"/>
      </tp>
      <tp t="s">
        <v>#N/A Requesting Data...3936410678</v>
        <stp/>
        <stp>BDP|13071643240562118492</stp>
        <tr r="O1872" s="2"/>
      </tp>
      <tp t="s">
        <v>#N/A Requesting Data...4229036737</v>
        <stp/>
        <stp>BDP|12346189646987432755</stp>
        <tr r="R629" s="2"/>
      </tp>
      <tp t="s">
        <v>#N/A Requesting Data...4134856279</v>
        <stp/>
        <stp>BDP|14093773334831999669</stp>
        <tr r="T2220" s="2"/>
      </tp>
      <tp t="s">
        <v>#N/A Requesting Data...3899156581</v>
        <stp/>
        <stp>BDP|18180015199143660538</stp>
        <tr r="D178" s="2"/>
      </tp>
      <tp t="s">
        <v>#N/A Requesting Data...4056800059</v>
        <stp/>
        <stp>BDP|10551010736460754496</stp>
        <tr r="A1912" s="2"/>
      </tp>
      <tp t="s">
        <v>#N/A Requesting Data...3826366451</v>
        <stp/>
        <stp>BDP|10601245725633912420</stp>
        <tr r="Q2494" s="2"/>
      </tp>
      <tp t="s">
        <v>#N/A Requesting Data...3974241066</v>
        <stp/>
        <stp>BDP|17569254538588555910</stp>
        <tr r="O896" s="2"/>
      </tp>
      <tp t="s">
        <v>#N/A Requesting Data...3966456397</v>
        <stp/>
        <stp>BDP|17195179082460051983</stp>
        <tr r="G2089" s="2"/>
      </tp>
      <tp t="s">
        <v>#N/A Requesting Data...3971634286</v>
        <stp/>
        <stp>BDP|14975111429526826650</stp>
        <tr r="N1671" s="2"/>
      </tp>
      <tp t="s">
        <v>#N/A Requesting Data...4027495913</v>
        <stp/>
        <stp>BDP|12831174407215002144</stp>
        <tr r="E358" s="2"/>
      </tp>
      <tp t="s">
        <v>#N/A Requesting Data...3897950307</v>
        <stp/>
        <stp>BDP|16322221603945792692</stp>
        <tr r="K2468" s="2"/>
      </tp>
      <tp t="s">
        <v>#N/A Requesting Data...4028973325</v>
        <stp/>
        <stp>BDP|17026083530790727334</stp>
        <tr r="P1251" s="2"/>
      </tp>
      <tp t="s">
        <v>#N/A Requesting Data...4066659345</v>
        <stp/>
        <stp>BDP|11051477850204831333</stp>
        <tr r="M156" s="2"/>
      </tp>
      <tp t="s">
        <v>#N/A Requesting Data...3909423926</v>
        <stp/>
        <stp>BDP|17837514661285713634</stp>
        <tr r="E1379" s="2"/>
      </tp>
      <tp t="s">
        <v>#N/A Requesting Data...3936970276</v>
        <stp/>
        <stp>BDP|14957187045375996318</stp>
        <tr r="G95" s="2"/>
      </tp>
      <tp t="b">
        <v>0</v>
        <stp/>
        <stp>BDS|12186114564062255099</stp>
        <tr r="I1058" s="2"/>
      </tp>
      <tp t="s">
        <v>#N/A Requesting Data...4225172458</v>
        <stp/>
        <stp>BDP|12161445113071844127</stp>
        <tr r="P362" s="2"/>
      </tp>
      <tp t="s">
        <v>#N/A Requesting Data...4285741588</v>
        <stp/>
        <stp>BDP|16928627267235526452</stp>
        <tr r="H1030" s="2"/>
      </tp>
      <tp t="s">
        <v>#N/A Requesting Data...3876647535</v>
        <stp/>
        <stp>BDP|16167787805115906397</stp>
        <tr r="J709" s="2"/>
      </tp>
      <tp t="b">
        <v>0</v>
        <stp/>
        <stp>BDS|11226232429001479730</stp>
        <tr r="I104" s="2"/>
      </tp>
      <tp t="s">
        <v>#N/A Requesting Data...3874455626</v>
        <stp/>
        <stp>BDP|10990223002897324266</stp>
        <tr r="C1399" s="2"/>
      </tp>
      <tp t="s">
        <v>#N/A Requesting Data...4009466874</v>
        <stp/>
        <stp>BDP|11694341252632589290</stp>
        <tr r="H2473" s="2"/>
      </tp>
      <tp t="s">
        <v>#N/A Requesting Data...3968070972</v>
        <stp/>
        <stp>BDP|10069164808405398319</stp>
        <tr r="P2465" s="2"/>
      </tp>
      <tp t="s">
        <v>#N/A Requesting Data...4291269133</v>
        <stp/>
        <stp>BDP|17754705855413665184</stp>
        <tr r="F2411" s="2"/>
      </tp>
      <tp t="s">
        <v>#N/A Requesting Data...4051897492</v>
        <stp/>
        <stp>BDP|15785829469645401941</stp>
        <tr r="H2490" s="2"/>
      </tp>
      <tp t="s">
        <v>#N/A Requesting Data...3960586023</v>
        <stp/>
        <stp>BDP|14887314212845332441</stp>
        <tr r="C1717" s="2"/>
      </tp>
      <tp t="s">
        <v>#N/A Requesting Data...4289661169</v>
        <stp/>
        <stp>BDP|16201151154301913465</stp>
        <tr r="M474" s="2"/>
      </tp>
      <tp t="s">
        <v>#N/A Requesting Data...3916977248</v>
        <stp/>
        <stp>BDP|15969380171363861546</stp>
        <tr r="O2131" s="2"/>
      </tp>
      <tp t="s">
        <v>#N/A Requesting Data...3998177067</v>
        <stp/>
        <stp>BDP|10783059493566859854</stp>
        <tr r="T239" s="2"/>
      </tp>
      <tp t="s">
        <v>#N/A Requesting Data...4122650320</v>
        <stp/>
        <stp>BDP|15392048665497656385</stp>
        <tr r="J1055" s="2"/>
      </tp>
      <tp t="s">
        <v>#N/A Requesting Data...4049012078</v>
        <stp/>
        <stp>BDP|14217082703545074654</stp>
        <tr r="Q1891" s="2"/>
      </tp>
      <tp t="s">
        <v>#N/A Requesting Data...4225250815</v>
        <stp/>
        <stp>BDP|16659954189038718815</stp>
        <tr r="P953" s="2"/>
      </tp>
      <tp t="s">
        <v>#N/A Requesting Data...4210665918</v>
        <stp/>
        <stp>BDP|11925391269605695639</stp>
        <tr r="R987" s="2"/>
      </tp>
      <tp t="s">
        <v>#N/A Requesting Data...4077288194</v>
        <stp/>
        <stp>BDP|17281046362566189097</stp>
        <tr r="J36" s="2"/>
      </tp>
      <tp t="s">
        <v>#N/A Requesting Data...4125331382</v>
        <stp/>
        <stp>BDP|10511304069560663262</stp>
        <tr r="P1329" s="2"/>
      </tp>
      <tp t="s">
        <v>#N/A Requesting Data...3903137337</v>
        <stp/>
        <stp>BDP|13391179047876751789</stp>
        <tr r="R540" s="2"/>
      </tp>
      <tp t="s">
        <v>#N/A Requesting Data...4186297018</v>
        <stp/>
        <stp>BDP|11877003750560360373</stp>
        <tr r="A1695" s="2"/>
      </tp>
      <tp t="s">
        <v>#N/A Requesting Data...4199492211</v>
        <stp/>
        <stp>BDP|11375399336417478176</stp>
        <tr r="M2120" s="2"/>
      </tp>
      <tp t="s">
        <v>#N/A Requesting Data...4144619378</v>
        <stp/>
        <stp>BDP|12045982868913674993</stp>
        <tr r="O1350" s="2"/>
      </tp>
      <tp t="s">
        <v>#N/A Requesting Data...4153877093</v>
        <stp/>
        <stp>BDP|11475276739602696535</stp>
        <tr r="J781" s="2"/>
      </tp>
      <tp t="s">
        <v>#N/A Requesting Data...4278519414</v>
        <stp/>
        <stp>BDP|14260797754040182112</stp>
        <tr r="A1722" s="2"/>
      </tp>
      <tp t="s">
        <v>#N/A Requesting Data...4096825543</v>
        <stp/>
        <stp>BDP|18297436479364255852</stp>
        <tr r="K1012" s="2"/>
      </tp>
      <tp t="s">
        <v>#N/A Requesting Data...4012180621</v>
        <stp/>
        <stp>BDP|13062510476617080182</stp>
        <tr r="A798" s="2"/>
      </tp>
      <tp t="s">
        <v>#N/A Requesting Data...4243508686</v>
        <stp/>
        <stp>BDP|16498261631785557590</stp>
        <tr r="H1332" s="2"/>
      </tp>
      <tp t="s">
        <v>#N/A Requesting Data...4023100494</v>
        <stp/>
        <stp>BDP|13133655413732998111</stp>
        <tr r="O348" s="2"/>
      </tp>
      <tp t="s">
        <v>#N/A Requesting Data...3987165099</v>
        <stp/>
        <stp>BDP|10002947542988906207</stp>
        <tr r="Q371" s="2"/>
      </tp>
      <tp t="s">
        <v>#N/A Requesting Data...3962096289</v>
        <stp/>
        <stp>BDP|11006701450933888779</stp>
        <tr r="E956" s="2"/>
      </tp>
      <tp t="s">
        <v>#N/A Requesting Data...4008223288</v>
        <stp/>
        <stp>BDP|13073504243015524098</stp>
        <tr r="M781" s="2"/>
      </tp>
      <tp t="s">
        <v>#N/A Requesting Data...4144612700</v>
        <stp/>
        <stp>BDP|13329637834002345388</stp>
        <tr r="H2186" s="2"/>
      </tp>
      <tp t="s">
        <v>#N/A Requesting Data...4107720525</v>
        <stp/>
        <stp>BDP|16155006131361812378</stp>
        <tr r="O64" s="2"/>
      </tp>
      <tp t="s">
        <v>#N/A Requesting Data...4095343144</v>
        <stp/>
        <stp>BDP|13130759768560422574</stp>
        <tr r="K1217" s="2"/>
      </tp>
      <tp t="s">
        <v>#N/A Requesting Data...4268757847</v>
        <stp/>
        <stp>BDP|13497952048481433824</stp>
        <tr r="A2449" s="2"/>
      </tp>
      <tp t="s">
        <v>#N/A Requesting Data...3988191211</v>
        <stp/>
        <stp>BDP|14601047309656698520</stp>
        <tr r="T2058" s="2"/>
      </tp>
      <tp t="s">
        <v>#N/A Requesting Data...3970556312</v>
        <stp/>
        <stp>BDP|11041023373887964671</stp>
        <tr r="R1124" s="2"/>
      </tp>
      <tp t="s">
        <v>#N/A Requesting Data...4088603129</v>
        <stp/>
        <stp>BDP|10531976319919246660</stp>
        <tr r="M1523" s="2"/>
      </tp>
      <tp t="s">
        <v>#N/A Requesting Data...4098227731</v>
        <stp/>
        <stp>BDP|13009167949801627065</stp>
        <tr r="E1614" s="2"/>
      </tp>
      <tp t="s">
        <v>#N/A Requesting Data...4225339851</v>
        <stp/>
        <stp>BDP|11015319727866892111</stp>
        <tr r="S171" s="2"/>
      </tp>
      <tp t="s">
        <v>#N/A Requesting Data...4107279620</v>
        <stp/>
        <stp>BDP|16124920582061784192</stp>
        <tr r="C1380" s="2"/>
      </tp>
      <tp t="s">
        <v>#N/A Requesting Data...3972892689</v>
        <stp/>
        <stp>BDP|10440786169260215689</stp>
        <tr r="H1160" s="2"/>
      </tp>
      <tp t="s">
        <v>#N/A Requesting Data...4097667724</v>
        <stp/>
        <stp>BDP|10381567703196980409</stp>
        <tr r="T1259" s="2"/>
      </tp>
      <tp t="s">
        <v>#N/A Requesting Data...4252824054</v>
        <stp/>
        <stp>BDP|13295276872075010481</stp>
        <tr r="A2408" s="2"/>
      </tp>
      <tp t="s">
        <v>#N/A Requesting Data...4265540057</v>
        <stp/>
        <stp>BDP|12532779837604339590</stp>
        <tr r="A302" s="2"/>
      </tp>
      <tp t="s">
        <v>#N/A Requesting Data...4069087440</v>
        <stp/>
        <stp>BDP|12691558144817902316</stp>
        <tr r="F37" s="2"/>
      </tp>
      <tp t="s">
        <v>#N/A Requesting Data...4021842294</v>
        <stp/>
        <stp>BDP|15948714150541390142</stp>
        <tr r="R2532" s="2"/>
      </tp>
      <tp t="s">
        <v>#N/A Requesting Data...4057702389</v>
        <stp/>
        <stp>BDP|10296702722284711686</stp>
        <tr r="N1574" s="2"/>
      </tp>
      <tp t="s">
        <v>#N/A Requesting Data...4061674451</v>
        <stp/>
        <stp>BDP|13882500473493357577</stp>
        <tr r="Q1580" s="2"/>
      </tp>
      <tp t="s">
        <v>#N/A Requesting Data...4219318987</v>
        <stp/>
        <stp>BDP|12540910099567670248</stp>
        <tr r="K1173" s="2"/>
      </tp>
      <tp t="s">
        <v>#N/A Requesting Data...4062613944</v>
        <stp/>
        <stp>BDP|15330059554636456197</stp>
        <tr r="H1384" s="2"/>
      </tp>
      <tp t="s">
        <v>#N/A Requesting Data...4157681536</v>
        <stp/>
        <stp>BDP|16990343483449330323</stp>
        <tr r="Q783" s="2"/>
      </tp>
      <tp t="s">
        <v>#N/A Requesting Data...4137602551</v>
        <stp/>
        <stp>BDP|17392759526037697297</stp>
        <tr r="M2143" s="2"/>
      </tp>
      <tp t="s">
        <v>#N/A Requesting Data...4018416889</v>
        <stp/>
        <stp>BDP|14612784446916252654</stp>
        <tr r="K2309" s="2"/>
      </tp>
      <tp t="s">
        <v>#N/A Requesting Data...4042057922</v>
        <stp/>
        <stp>BDP|14873812024521257808</stp>
        <tr r="F1599" s="2"/>
      </tp>
      <tp t="s">
        <v>#N/A Requesting Data...4108621066</v>
        <stp/>
        <stp>BDP|11459345528972367543</stp>
        <tr r="S798" s="2"/>
      </tp>
      <tp t="s">
        <v>#N/A Requesting Data...4036330799</v>
        <stp/>
        <stp>BDP|17228463531533207488</stp>
        <tr r="C1918" s="2"/>
      </tp>
      <tp t="s">
        <v>#N/A Requesting Data...4156920983</v>
        <stp/>
        <stp>BDP|18168196216226271939</stp>
        <tr r="N1005" s="2"/>
      </tp>
      <tp t="s">
        <v>#N/A Requesting Data...4229158004</v>
        <stp/>
        <stp>BDP|12551088102086320333</stp>
        <tr r="N2522" s="2"/>
      </tp>
      <tp t="s">
        <v>#N/A Requesting Data...4250894179</v>
        <stp/>
        <stp>BDP|10552740566996864006</stp>
        <tr r="M510" s="2"/>
      </tp>
      <tp t="s">
        <v>#N/A Requesting Data...4039779645</v>
        <stp/>
        <stp>BDP|12340477713244945419</stp>
        <tr r="Q976" s="2"/>
      </tp>
      <tp t="s">
        <v>#N/A Requesting Data...4115752646</v>
        <stp/>
        <stp>BDP|13902852477459785232</stp>
        <tr r="C143" s="2"/>
      </tp>
      <tp t="s">
        <v>#N/A Requesting Data...4044485044</v>
        <stp/>
        <stp>BDP|12912622160934498100</stp>
        <tr r="H1800" s="2"/>
      </tp>
      <tp t="s">
        <v>#N/A Requesting Data...4247361369</v>
        <stp/>
        <stp>BDP|16628595103717033330</stp>
        <tr r="O338" s="2"/>
      </tp>
      <tp t="s">
        <v>#N/A Requesting Data...4090561742</v>
        <stp/>
        <stp>BDP|15028090072462444701</stp>
        <tr r="A1295" s="2"/>
      </tp>
      <tp t="s">
        <v>#N/A Requesting Data...4154784318</v>
        <stp/>
        <stp>BDP|16059055717410425095</stp>
        <tr r="N1466" s="2"/>
      </tp>
      <tp t="s">
        <v>#N/A Requesting Data...4173913837</v>
        <stp/>
        <stp>BDP|16770210310081001394</stp>
        <tr r="J22" s="2"/>
      </tp>
      <tp t="s">
        <v>#N/A Requesting Data...4259015941</v>
        <stp/>
        <stp>BDP|11646722211226243683</stp>
        <tr r="N687" s="2"/>
      </tp>
      <tp t="b">
        <v>0</v>
        <stp/>
        <stp>BDS|14580439491878986622</stp>
        <tr r="I2500" s="2"/>
      </tp>
      <tp t="s">
        <v>#N/A Requesting Data...4122310505</v>
        <stp/>
        <stp>BDP|11456567505123906010</stp>
        <tr r="K1226" s="2"/>
      </tp>
      <tp t="s">
        <v>#N/A Requesting Data...4214037871</v>
        <stp/>
        <stp>BDP|11759603561395902306</stp>
        <tr r="G2310" s="2"/>
      </tp>
      <tp t="s">
        <v>#N/A Requesting Data...4055269532</v>
        <stp/>
        <stp>BDP|13511453171544702394</stp>
        <tr r="F537" s="2"/>
      </tp>
      <tp t="s">
        <v>#N/A Requesting Data...4096410751</v>
        <stp/>
        <stp>BDP|15050823425381041983</stp>
        <tr r="O1867" s="2"/>
      </tp>
      <tp t="s">
        <v>#N/A Requesting Data...4203367955</v>
        <stp/>
        <stp>BDP|16679234212152801000</stp>
        <tr r="E567" s="2"/>
      </tp>
      <tp t="s">
        <v>#N/A Requesting Data...4092621192</v>
        <stp/>
        <stp>BDP|17725716111585143397</stp>
        <tr r="T552" s="2"/>
      </tp>
      <tp t="s">
        <v>#N/A Requesting Data...4210414459</v>
        <stp/>
        <stp>BDP|16636491961286613573</stp>
        <tr r="G328" s="2"/>
      </tp>
      <tp t="s">
        <v>#N/A Requesting Data...4190321440</v>
        <stp/>
        <stp>BDP|14234076755376773083</stp>
        <tr r="S1265" s="2"/>
      </tp>
      <tp t="s">
        <v>#N/A Requesting Data...4090498834</v>
        <stp/>
        <stp>BDP|17977537278304495698</stp>
        <tr r="R1902" s="2"/>
      </tp>
      <tp t="s">
        <v>#N/A Requesting Data...4227886916</v>
        <stp/>
        <stp>BDP|10881061574996611630</stp>
        <tr r="G725" s="2"/>
      </tp>
      <tp t="s">
        <v>#N/A Requesting Data...4288443875</v>
        <stp/>
        <stp>BDP|11758599691059147319</stp>
        <tr r="K2001" s="2"/>
      </tp>
      <tp t="s">
        <v>#N/A Requesting Data...4238038988</v>
        <stp/>
        <stp>BDP|13245235929306050276</stp>
        <tr r="A2333" s="2"/>
      </tp>
      <tp t="s">
        <v>#N/A Requesting Data...4107145492</v>
        <stp/>
        <stp>BDP|16653878998642795213</stp>
        <tr r="T861" s="2"/>
      </tp>
      <tp t="s">
        <v>#N/A Requesting Data...4171595992</v>
        <stp/>
        <stp>BDP|17043868838849855290</stp>
        <tr r="P2149" s="2"/>
      </tp>
      <tp t="s">
        <v>#N/A Requesting Data...4154752725</v>
        <stp/>
        <stp>BDP|10637781137424761711</stp>
        <tr r="P2090" s="2"/>
      </tp>
      <tp t="s">
        <v>#N/A Requesting Data...4215150509</v>
        <stp/>
        <stp>BDP|11932318227807416043</stp>
        <tr r="A1851" s="2"/>
      </tp>
      <tp t="s">
        <v>#N/A Requesting Data...4195544030</v>
        <stp/>
        <stp>BDP|12612139979121209218</stp>
        <tr r="J1471" s="2"/>
      </tp>
      <tp t="s">
        <v>#N/A Requesting Data...4175618166</v>
        <stp/>
        <stp>BDP|11275663737260828344</stp>
        <tr r="C594" s="2"/>
      </tp>
      <tp t="s">
        <v>#N/A Requesting Data...4291042154</v>
        <stp/>
        <stp>BDP|14876333901797608733</stp>
        <tr r="R34" s="2"/>
      </tp>
      <tp t="s">
        <v>#N/A Requesting Data...4219669783</v>
        <stp/>
        <stp>BDP|17728267075720254597</stp>
        <tr r="F336" s="2"/>
      </tp>
      <tp t="s">
        <v>#N/A Requesting Data...4191933127</v>
        <stp/>
        <stp>BDP|17625703253560908234</stp>
        <tr r="T1577" s="2"/>
      </tp>
      <tp t="s">
        <v>#N/A Requesting Data...4289752085</v>
        <stp/>
        <stp>BDP|17111421044572143291</stp>
        <tr r="S591" s="2"/>
      </tp>
      <tp t="s">
        <v>#N/A Requesting Data...4146904730</v>
        <stp/>
        <stp>BDP|14482104339975512474</stp>
        <tr r="A733" s="2"/>
      </tp>
      <tp t="s">
        <v>#N/A Requesting Data...4126380442</v>
        <stp/>
        <stp>BDP|12902356270545043437</stp>
        <tr r="E463" s="2"/>
      </tp>
      <tp t="b">
        <v>0</v>
        <stp/>
        <stp>BDS|14921780568944123649</stp>
        <tr r="I41" s="2"/>
      </tp>
      <tp t="s">
        <v>#N/A Requesting Data...4256993503</v>
        <stp/>
        <stp>BDP|13610229214921612690</stp>
        <tr r="K734" s="2"/>
      </tp>
      <tp t="s">
        <v>#N/A Requesting Data...4199843351</v>
        <stp/>
        <stp>BDP|18436967916201836632</stp>
        <tr r="H2529" s="2"/>
      </tp>
      <tp t="s">
        <v>#N/A Requesting Data...4220250121</v>
        <stp/>
        <stp>BDP|14584664615955027190</stp>
        <tr r="S482" s="2"/>
      </tp>
      <tp t="s">
        <v>#N/A Requesting Data...4243810824</v>
        <stp/>
        <stp>BDP|12626310505542513480</stp>
        <tr r="N94" s="2"/>
      </tp>
      <tp t="b">
        <v>0</v>
        <stp/>
        <stp>BDS|13462991202029551464</stp>
        <tr r="I1312" s="2"/>
      </tp>
      <tp t="s">
        <v>#N/A Requesting Data...4189952079</v>
        <stp/>
        <stp>BDP|11797872718087698817</stp>
        <tr r="S2018" s="2"/>
      </tp>
      <tp t="s">
        <v>#N/A Requesting Data...4227147692</v>
        <stp/>
        <stp>BDP|14823382882779500183</stp>
        <tr r="P1744" s="2"/>
      </tp>
      <tp t="s">
        <v>#N/A Requesting Data...4241007126</v>
        <stp/>
        <stp>BDP|10892337154739693864</stp>
        <tr r="A504" s="2"/>
      </tp>
      <tp t="s">
        <v>#N/A Requesting Data...4158609997</v>
        <stp/>
        <stp>BDP|11282245149913320332</stp>
        <tr r="J430" s="2"/>
      </tp>
      <tp t="s">
        <v>#N/A Requesting Data...4157346387</v>
        <stp/>
        <stp>BDP|11290851631779915415</stp>
        <tr r="E2201" s="2"/>
      </tp>
      <tp t="s">
        <v>#N/A Requesting Data...4289300805</v>
        <stp/>
        <stp>BDP|15830343065226186161</stp>
        <tr r="J525" s="2"/>
      </tp>
      <tp t="s">
        <v>#N/A Requesting Data...4288185823</v>
        <stp/>
        <stp>BDP|12365290585948925786</stp>
        <tr r="D1379" s="2"/>
      </tp>
      <tp t="s">
        <v>#N/A Requesting Data...4184020472</v>
        <stp/>
        <stp>BDP|16125261013384321698</stp>
        <tr r="Q1928" s="2"/>
      </tp>
      <tp t="s">
        <v>#N/A Requesting Data...4240702540</v>
        <stp/>
        <stp>BDP|17188323867117997239</stp>
        <tr r="F1006" s="2"/>
      </tp>
      <tp t="s">
        <v>#N/A Requesting Data...4194627648</v>
        <stp/>
        <stp>BDP|16744462438831662712</stp>
        <tr r="Q2023" s="2"/>
      </tp>
      <tp t="s">
        <v>#N/A Requesting Data...4220790082</v>
        <stp/>
        <stp>BDP|10415717522430083290</stp>
        <tr r="E1977" s="2"/>
      </tp>
      <tp t="s">
        <v>#N/A Requesting Data...4293939061</v>
        <stp/>
        <stp>BDP|15343585211040225669</stp>
        <tr r="Q2491" s="2"/>
      </tp>
      <tp t="s">
        <v>#N/A Requesting Data...4191333766</v>
        <stp/>
        <stp>BDP|14468179712065934665</stp>
        <tr r="S1457" s="2"/>
      </tp>
      <tp t="s">
        <v>#N/A Requesting Data...4178468738</v>
        <stp/>
        <stp>BDP|10093972450188017392</stp>
        <tr r="N531" s="2"/>
      </tp>
      <tp t="b">
        <v>0</v>
        <stp/>
        <stp>BDS|18261762659209780477</stp>
        <tr r="I79" s="2"/>
      </tp>
      <tp t="s">
        <v>#N/A Requesting Data...4202074908</v>
        <stp/>
        <stp>BDP|13073049607621851554</stp>
        <tr r="M551" s="2"/>
      </tp>
      <tp t="s">
        <v>#N/A Requesting Data...4263298661</v>
        <stp/>
        <stp>BDP|17384936125659221293</stp>
        <tr r="J794" s="2"/>
      </tp>
      <tp t="s">
        <v>#N/A Requesting Data...4245847909</v>
        <stp/>
        <stp>BDP|10332886286706122128</stp>
        <tr r="O2188" s="2"/>
      </tp>
      <tp t="s">
        <v>#N/A Requesting Data...4220640782</v>
        <stp/>
        <stp>BDP|11566950088066492127</stp>
        <tr r="J2182" s="2"/>
      </tp>
      <tp t="s">
        <v>#N/A Requesting Data...4287330757</v>
        <stp/>
        <stp>BDP|14523593101837238115</stp>
        <tr r="N1076" s="2"/>
      </tp>
      <tp t="s">
        <v>#N/A Requesting Data...4193513944</v>
        <stp/>
        <stp>BDP|16920531007014195025</stp>
        <tr r="O307" s="2"/>
      </tp>
      <tp t="s">
        <v>#N/A Requesting Data...4199138592</v>
        <stp/>
        <stp>BDP|10826999399965043269</stp>
        <tr r="S98" s="2"/>
      </tp>
      <tp t="s">
        <v>#N/A Requesting Data...4280268643</v>
        <stp/>
        <stp>BDP|10646540438723482204</stp>
        <tr r="F2001" s="2"/>
      </tp>
      <tp t="s">
        <v>#N/A Requesting Data...4257907536</v>
        <stp/>
        <stp>BDP|15899210691639599038</stp>
        <tr r="F2251" s="2"/>
      </tp>
      <tp t="b">
        <v>0</v>
        <stp/>
        <stp>BDS|15387501152914977659</stp>
        <tr r="I1919" s="2"/>
      </tp>
      <tp t="s">
        <v>#N/A Requesting Data...4247764436</v>
        <stp/>
        <stp>BDP|12960180971246982571</stp>
        <tr r="O1566" s="2"/>
      </tp>
      <tp t="s">
        <v>#N/A Requesting Data...4230406383</v>
        <stp/>
        <stp>BDP|10903102577698406949</stp>
        <tr r="N1094" s="2"/>
      </tp>
      <tp t="s">
        <v>#N/A Requesting Data...4265823259</v>
        <stp/>
        <stp>BDP|10410292611811547572</stp>
        <tr r="N354" s="2"/>
      </tp>
      <tp t="s">
        <v>#N/A Requesting Data...4223286386</v>
        <stp/>
        <stp>BDP|13567234877236955769</stp>
        <tr r="E2303" s="2"/>
      </tp>
      <tp t="s">
        <v>#N/A Requesting Data...4267215444</v>
        <stp/>
        <stp>BDP|17087076809420634065</stp>
        <tr r="T506" s="2"/>
      </tp>
      <tp t="s">
        <v>#N/A Requesting Data...4278811055</v>
        <stp/>
        <stp>BDP|14962324221681592311</stp>
        <tr r="A1177" s="2"/>
      </tp>
      <tp t="s">
        <v>#N/A Requesting Data...4232474099</v>
        <stp/>
        <stp>BDP|15717792870175968798</stp>
        <tr r="C716" s="2"/>
      </tp>
      <tp t="s">
        <v>#N/A Requesting Data...4251371588</v>
        <stp/>
        <stp>BDP|13388361957705442786</stp>
        <tr r="E2453" s="2"/>
      </tp>
      <tp t="s">
        <v>#N/A Requesting Data...4235870304</v>
        <stp/>
        <stp>BDP|15181165178046596248</stp>
        <tr r="F1043" s="2"/>
      </tp>
      <tp t="s">
        <v>#N/A Requesting Data...4253539903</v>
        <stp/>
        <stp>BDP|15085759518462053633</stp>
        <tr r="R1909" s="2"/>
      </tp>
      <tp t="b">
        <v>0</v>
        <stp/>
        <stp>BDS|11663759421233961068</stp>
        <tr r="I2312" s="2"/>
      </tp>
      <tp t="s">
        <v>#N/A Requesting Data...4241557641</v>
        <stp/>
        <stp>BDP|13297972796543893754</stp>
        <tr r="H789" s="2"/>
      </tp>
      <tp t="s">
        <v>#N/A Requesting Data...4276849300</v>
        <stp/>
        <stp>BDP|14285044602735290681</stp>
        <tr r="J1782" s="2"/>
      </tp>
      <tp t="s">
        <v>#N/A Requesting Data...4269208355</v>
        <stp/>
        <stp>BDP|12851175121396406041</stp>
        <tr r="H734" s="2"/>
      </tp>
      <tp t="s">
        <v>#N/A Requesting Data...4287456343</v>
        <stp/>
        <stp>BDP|14347732641880850079</stp>
        <tr r="S1608" s="2"/>
      </tp>
      <tp t="s">
        <v>#N/A Requesting Data...4259066535</v>
        <stp/>
        <stp>BDP|15469113217121553393</stp>
        <tr r="Q481" s="2"/>
      </tp>
      <tp t="s">
        <v>#N/A Requesting Data...4256479953</v>
        <stp/>
        <stp>BDP|18400398683064327038</stp>
        <tr r="N511" s="2"/>
      </tp>
      <tp t="s">
        <v>#N/A Requesting Data...4260537630</v>
        <stp/>
        <stp>BDP|10135387662566264475</stp>
        <tr r="F624" s="2"/>
      </tp>
      <tp t="s">
        <v>#N/A Requesting Data...4281506227</v>
        <stp/>
        <stp>BDP|15920743764235748606</stp>
        <tr r="Q119" s="2"/>
      </tp>
      <tp t="s">
        <v>#N/A Requesting Data...4276734487</v>
        <stp/>
        <stp>BDP|12293215574902129286</stp>
        <tr r="C1314" s="2"/>
      </tp>
      <tp t="s">
        <v>#N/A Requesting Data...4281524213</v>
        <stp/>
        <stp>BDP|15773592061918998984</stp>
        <tr r="A2458" s="2"/>
      </tp>
      <tp t="b">
        <v>0</v>
        <stp/>
        <stp>BDS|10407411729639864890</stp>
        <tr r="I295" s="2"/>
      </tp>
      <tp t="s">
        <v>#N/A Requesting Data...4286088661</v>
        <stp/>
        <stp>BDP|10624476788188069372</stp>
        <tr r="R16" s="2"/>
      </tp>
      <tp t="s">
        <v>#N/A Requesting Data...4275943473</v>
        <stp/>
        <stp>BDP|12345480418360539084</stp>
        <tr r="R1713" s="2"/>
      </tp>
      <tp t="s">
        <v>#N/A Requesting Data...4275771200</v>
        <stp/>
        <stp>BDP|17523272571510809555</stp>
        <tr r="P1236" s="2"/>
      </tp>
      <tp t="s">
        <v>#N/A Requesting Data...4270558411</v>
        <stp/>
        <stp>BDP|13937155766535016642</stp>
        <tr r="P189" s="2"/>
      </tp>
      <tp t="s">
        <v>#N/A Requesting Data...4272911976</v>
        <stp/>
        <stp>BDP|17766751186327924836</stp>
        <tr r="K491" s="2"/>
      </tp>
      <tp t="s">
        <v>#N/A Requesting Data...4282959630</v>
        <stp/>
        <stp>BDP|14502295045424203151</stp>
        <tr r="Q1013" s="2"/>
      </tp>
      <tp t="s">
        <v>#N/A Requesting Data...4282311642</v>
        <stp/>
        <stp>BDP|14227587637784135126</stp>
        <tr r="P1102" s="2"/>
      </tp>
      <tp t="s">
        <v>#N/A Requesting Data...4290584095</v>
        <stp/>
        <stp>BDP|17778650753683728084</stp>
        <tr r="K1569" s="2"/>
      </tp>
      <tp t="s">
        <v>#N/A Requesting Data...4287441229</v>
        <stp/>
        <stp>BDP|10432432663397353290</stp>
        <tr r="G2514" s="2"/>
      </tp>
      <tp t="s">
        <v>#N/A Requesting Data...4292246408</v>
        <stp/>
        <stp>BDP|18428898366631690032</stp>
        <tr r="T973" s="2"/>
      </tp>
      <tp t="s">
        <v>#N/A Requesting Data...4293423380</v>
        <stp/>
        <stp>BDP|10609345347095306582</stp>
        <tr r="A30" s="2"/>
      </tp>
      <tp t="s">
        <v>#N/A Requesting Data...4293875629</v>
        <stp/>
        <stp>BDP|10357818325369093490</stp>
        <tr r="F1782" s="2"/>
      </tp>
      <tp t="s">
        <v>#N/A Requesting Data...4294771262</v>
        <stp/>
        <stp>BDP|13025093057619168817</stp>
        <tr r="A63" s="2"/>
      </tp>
      <tp t="s">
        <v>#N/A Requesting Data...2494262796</v>
        <stp/>
        <stp>BDP|10961953884630751610</stp>
        <tr r="T2358" s="2"/>
      </tp>
      <tp t="s">
        <v>#N/A Requesting Data...2366502271</v>
        <stp/>
        <stp>BDP|16438642339805281157</stp>
        <tr r="R221" s="2"/>
      </tp>
      <tp t="s">
        <v>#N/A Requesting Data...44967951</v>
        <stp/>
        <stp>BDP|16969469964695395665</stp>
        <tr r="J2196" s="2"/>
      </tp>
      <tp t="s">
        <v>#N/A Requesting Data...1260949974</v>
        <stp/>
        <stp>BDP|13634848096927800227</stp>
        <tr r="Q2107" s="2"/>
      </tp>
      <tp t="s">
        <v>#N/A Requesting Data...4019028443</v>
        <stp/>
        <stp>BDP|11225718581318941158</stp>
        <tr r="Q176" s="2"/>
      </tp>
      <tp t="s">
        <v>#N/A Requesting Data...1287004212</v>
        <stp/>
        <stp>BDP|15831719356778388821</stp>
        <tr r="T1425" s="2"/>
      </tp>
      <tp t="s">
        <v>#N/A Requesting Data...2079171760</v>
        <stp/>
        <stp>BDP|11390039457596872516</stp>
        <tr r="N613" s="2"/>
      </tp>
      <tp t="s">
        <v>#N/A Requesting Data...2786353053</v>
        <stp/>
        <stp>BDP|11889129460704773535</stp>
        <tr r="O1848" s="2"/>
      </tp>
      <tp t="s">
        <v>#N/A Requesting Data...2356049709</v>
        <stp/>
        <stp>BDP|17019950459179304514</stp>
        <tr r="C263" s="2"/>
      </tp>
      <tp t="s">
        <v>#N/A Requesting Data...62762868</v>
        <stp/>
        <stp>BDP|18044056289330040721</stp>
        <tr r="R386" s="2"/>
      </tp>
      <tp t="s">
        <v>#N/A Requesting Data...4194792001</v>
        <stp/>
        <stp>BDP|12258686476282462663</stp>
        <tr r="N1113" s="2"/>
      </tp>
      <tp t="s">
        <v>#N/A Requesting Data...920409814</v>
        <stp/>
        <stp>BDP|12952694554957381194</stp>
        <tr r="E1357" s="2"/>
      </tp>
      <tp t="s">
        <v>#N/A Requesting Data...3115058025</v>
        <stp/>
        <stp>BDP|14120880466749913480</stp>
        <tr r="G2050" s="2"/>
      </tp>
      <tp t="s">
        <v>#N/A Requesting Data...2829003403</v>
        <stp/>
        <stp>BDP|15874153101310336310</stp>
        <tr r="H1065" s="2"/>
      </tp>
      <tp t="s">
        <v>#N/A Requesting Data...1576119236</v>
        <stp/>
        <stp>BDP|16728462075167490513</stp>
        <tr r="O2520" s="2"/>
      </tp>
      <tp t="s">
        <v>#N/A Requesting Data...152566010</v>
        <stp/>
        <stp>BDP|14220540446656086417</stp>
        <tr r="Q1788" s="2"/>
      </tp>
      <tp t="b">
        <v>0</v>
        <stp/>
        <stp>BDS|10140050793638604639</stp>
        <tr r="I1126" s="2"/>
      </tp>
      <tp t="s">
        <v>#N/A Requesting Data...3414300778</v>
        <stp/>
        <stp>BDP|12351429134675204761</stp>
        <tr r="O485" s="2"/>
      </tp>
      <tp t="s">
        <v>#N/A Requesting Data...2465900004</v>
        <stp/>
        <stp>BDP|13660335753590553229</stp>
        <tr r="Q1889" s="2"/>
      </tp>
      <tp t="s">
        <v>#N/A Requesting Data...1325641692</v>
        <stp/>
        <stp>BDP|12555071030100469679</stp>
        <tr r="G393" s="2"/>
      </tp>
      <tp t="s">
        <v>#N/A Requesting Data...2311474370</v>
        <stp/>
        <stp>BDP|14449378638960876328</stp>
        <tr r="D938" s="2"/>
      </tp>
      <tp t="s">
        <v>#N/A Requesting Data...2858657867</v>
        <stp/>
        <stp>BDP|11305360057998222811</stp>
        <tr r="F2157" s="2"/>
      </tp>
      <tp t="s">
        <v>#N/A Requesting Data...2310679662</v>
        <stp/>
        <stp>BDP|17157697705884561296</stp>
        <tr r="T798" s="2"/>
      </tp>
      <tp t="s">
        <v>#N/A Requesting Data...1593468034</v>
        <stp/>
        <stp>BDP|15097771784335009821</stp>
        <tr r="R1777" s="2"/>
      </tp>
      <tp t="s">
        <v>#N/A Requesting Data...3623551017</v>
        <stp/>
        <stp>BDP|14416620630330616619</stp>
        <tr r="M1032" s="2"/>
      </tp>
      <tp t="s">
        <v>#N/A Requesting Data...894794759</v>
        <stp/>
        <stp>BDP|16599556110544059115</stp>
        <tr r="C740" s="2"/>
      </tp>
      <tp t="b">
        <v>0</v>
        <stp/>
        <stp>BDS|16438770945177783530</stp>
        <tr r="I2445" s="2"/>
      </tp>
      <tp t="s">
        <v>#N/A Requesting Data...290574504</v>
        <stp/>
        <stp>BDP|11601607386950421856</stp>
        <tr r="K1249" s="2"/>
      </tp>
      <tp t="s">
        <v>#N/A Requesting Data...3934994629</v>
        <stp/>
        <stp>BDP|16112083018404590455</stp>
        <tr r="M1400" s="2"/>
      </tp>
      <tp t="s">
        <v>#N/A Requesting Data...1369609110</v>
        <stp/>
        <stp>BDP|18015054895977045111</stp>
        <tr r="T1148" s="2"/>
      </tp>
      <tp t="s">
        <v>#N/A Requesting Data...264874484</v>
        <stp/>
        <stp>BDP|15339855378439630498</stp>
        <tr r="O2287" s="2"/>
      </tp>
      <tp t="s">
        <v>#N/A Requesting Data...960250939</v>
        <stp/>
        <stp>BDP|17565157855347431308</stp>
        <tr r="F2286" s="2"/>
      </tp>
      <tp t="s">
        <v>#N/A Requesting Data...3643739019</v>
        <stp/>
        <stp>BDP|17071928309728354194</stp>
        <tr r="C1333" s="2"/>
      </tp>
      <tp t="s">
        <v>#N/A Requesting Data...1309316422</v>
        <stp/>
        <stp>BDP|10857249342778814973</stp>
        <tr r="P729" s="2"/>
      </tp>
      <tp t="s">
        <v>#N/A Requesting Data...1946175319</v>
        <stp/>
        <stp>BDP|16190319503243330118</stp>
        <tr r="Q583" s="2"/>
      </tp>
      <tp t="s">
        <v>#N/A Requesting Data...1933024618</v>
        <stp/>
        <stp>BDP|11695429394569493255</stp>
        <tr r="P2309" s="2"/>
      </tp>
      <tp t="s">
        <v>#N/A Requesting Data...2144682549</v>
        <stp/>
        <stp>BDP|17492783739142778634</stp>
        <tr r="R1994" s="2"/>
      </tp>
      <tp t="s">
        <v>#N/A Requesting Data...3963414238</v>
        <stp/>
        <stp>BDP|18346616262997446857</stp>
        <tr r="G1405" s="2"/>
      </tp>
      <tp t="b">
        <v>0</v>
        <stp/>
        <stp>BDS|11388575384629712252</stp>
        <tr r="I1516" s="2"/>
      </tp>
      <tp t="s">
        <v>#N/A Requesting Data...1590412772</v>
        <stp/>
        <stp>BDP|18238765652604494931</stp>
        <tr r="T1809" s="2"/>
      </tp>
      <tp t="s">
        <v>#N/A Requesting Data...3887135460</v>
        <stp/>
        <stp>BDP|15446240442320267419</stp>
        <tr r="Q2247" s="2"/>
      </tp>
      <tp t="s">
        <v>#N/A Requesting Data...2626667468</v>
        <stp/>
        <stp>BDP|15429183152291787783</stp>
        <tr r="A686" s="2"/>
      </tp>
      <tp t="s">
        <v>#N/A Requesting Data...3235461200</v>
        <stp/>
        <stp>BDP|10674651807986145743</stp>
        <tr r="R2201" s="2"/>
      </tp>
      <tp t="s">
        <v>#N/A Requesting Data...4140317161</v>
        <stp/>
        <stp>BDP|16072138514957791617</stp>
        <tr r="D679" s="2"/>
      </tp>
      <tp t="s">
        <v>#N/A Requesting Data...1672740490</v>
        <stp/>
        <stp>BDP|13558069221271571766</stp>
        <tr r="J1434" s="2"/>
      </tp>
      <tp t="s">
        <v>#N/A Requesting Data...878383098</v>
        <stp/>
        <stp>BDP|10233918990262339515</stp>
        <tr r="T2047" s="2"/>
      </tp>
      <tp t="s">
        <v>#N/A Requesting Data...159372309</v>
        <stp/>
        <stp>BDP|12547920594947673245</stp>
        <tr r="T162" s="2"/>
      </tp>
      <tp t="s">
        <v>#N/A Requesting Data...632603178</v>
        <stp/>
        <stp>BDP|18124096689154534359</stp>
        <tr r="N421" s="2"/>
      </tp>
      <tp t="s">
        <v>#N/A Requesting Data...3596824585</v>
        <stp/>
        <stp>BDP|13695962822139723646</stp>
        <tr r="T723" s="2"/>
      </tp>
      <tp t="s">
        <v>#N/A Requesting Data...1410888489</v>
        <stp/>
        <stp>BDP|11569138061842111379</stp>
        <tr r="T2394" s="2"/>
      </tp>
      <tp t="s">
        <v>#N/A Requesting Data...3774922546</v>
        <stp/>
        <stp>BDP|11452398279391453315</stp>
        <tr r="T1569" s="2"/>
      </tp>
      <tp t="s">
        <v>#N/A Requesting Data...4290960342</v>
        <stp/>
        <stp>BDP|10343361171757752429</stp>
        <tr r="O1794" s="2"/>
      </tp>
      <tp t="s">
        <v>#N/A Requesting Data...4145763381</v>
        <stp/>
        <stp>BDP|14408656239947153187</stp>
        <tr r="J1791" s="2"/>
      </tp>
      <tp t="s">
        <v>#N/A Requesting Data...3817023894</v>
        <stp/>
        <stp>BDP|10655961856713483836</stp>
        <tr r="J1443" s="2"/>
      </tp>
      <tp t="s">
        <v>#N/A Requesting Data...2841313057</v>
        <stp/>
        <stp>BDP|13328903222148087705</stp>
        <tr r="H1626" s="2"/>
      </tp>
      <tp t="s">
        <v>#N/A Requesting Data...2097024923</v>
        <stp/>
        <stp>BDP|14486150924908385874</stp>
        <tr r="P594" s="2"/>
      </tp>
      <tp t="s">
        <v>#N/A Requesting Data...718941599</v>
        <stp/>
        <stp>BDP|11405381357242387296</stp>
        <tr r="D2279" s="2"/>
      </tp>
      <tp t="s">
        <v>#N/A Requesting Data...3952122517</v>
        <stp/>
        <stp>BDP|17235885696030895152</stp>
        <tr r="C1917" s="2"/>
      </tp>
      <tp t="s">
        <v>#N/A Requesting Data...1293497714</v>
        <stp/>
        <stp>BDP|13311558668472924562</stp>
        <tr r="R2308" s="2"/>
      </tp>
      <tp t="s">
        <v>#N/A Requesting Data...3305418813</v>
        <stp/>
        <stp>BDP|11007293019265546048</stp>
        <tr r="C1663" s="2"/>
      </tp>
      <tp t="s">
        <v>#N/A Requesting Data...1224745374</v>
        <stp/>
        <stp>BDP|13471659321647430756</stp>
        <tr r="M1030" s="2"/>
      </tp>
      <tp t="s">
        <v>#N/A Requesting Data...597283279</v>
        <stp/>
        <stp>BDP|11180465022324723431</stp>
        <tr r="F2155" s="2"/>
      </tp>
      <tp t="s">
        <v>#N/A Requesting Data...1837898029</v>
        <stp/>
        <stp>BDP|16161918674756132947</stp>
        <tr r="T2146" s="2"/>
      </tp>
      <tp t="s">
        <v>#N/A Requesting Data...964513701</v>
        <stp/>
        <stp>BDP|15562714650123665338</stp>
        <tr r="O575" s="2"/>
      </tp>
      <tp t="s">
        <v>#N/A Requesting Data...3661389629</v>
        <stp/>
        <stp>BDP|17251066349497925359</stp>
        <tr r="E62" s="2"/>
      </tp>
      <tp t="s">
        <v>#N/A Requesting Data...2156829173</v>
        <stp/>
        <stp>BDP|13584304259554957640</stp>
        <tr r="D2260" s="2"/>
      </tp>
      <tp t="s">
        <v>#N/A Requesting Data...3832124984</v>
        <stp/>
        <stp>BDP|17395143074823783556</stp>
        <tr r="F1129" s="2"/>
      </tp>
      <tp t="s">
        <v>#N/A Requesting Data...845342357</v>
        <stp/>
        <stp>BDP|16287276309777555480</stp>
        <tr r="E52" s="2"/>
      </tp>
      <tp t="s">
        <v>#N/A Requesting Data...3658123267</v>
        <stp/>
        <stp>BDP|11603316363925472614</stp>
        <tr r="R376" s="2"/>
      </tp>
      <tp t="s">
        <v>#N/A Requesting Data...365297290</v>
        <stp/>
        <stp>BDP|17547357942944609356</stp>
        <tr r="M1762" s="2"/>
      </tp>
      <tp t="s">
        <v>#N/A Requesting Data...2525622729</v>
        <stp/>
        <stp>BDP|17535875229209215389</stp>
        <tr r="T2071" s="2"/>
      </tp>
      <tp t="s">
        <v>#N/A Requesting Data...2440149371</v>
        <stp/>
        <stp>BDP|16575543603167569360</stp>
        <tr r="S1609" s="2"/>
      </tp>
      <tp t="s">
        <v>#N/A Requesting Data...2897324009</v>
        <stp/>
        <stp>BDP|16371013663613529453</stp>
        <tr r="H1150" s="2"/>
      </tp>
      <tp t="s">
        <v>#N/A Requesting Data...627384892</v>
        <stp/>
        <stp>BDP|16549064412772273223</stp>
        <tr r="A19" s="2"/>
      </tp>
      <tp t="s">
        <v>#N/A Requesting Data...2860363339</v>
        <stp/>
        <stp>BDP|13623602635781528076</stp>
        <tr r="Q1192" s="2"/>
      </tp>
      <tp t="s">
        <v>#N/A Requesting Data...2664157683</v>
        <stp/>
        <stp>BDP|17067891864496813841</stp>
        <tr r="S269" s="2"/>
      </tp>
      <tp t="s">
        <v>#N/A Requesting Data...3175204784</v>
        <stp/>
        <stp>BDP|10588786713485801479</stp>
        <tr r="E2227" s="2"/>
      </tp>
      <tp t="s">
        <v>#N/A Requesting Data...736988671</v>
        <stp/>
        <stp>BDP|10734641594561216945</stp>
        <tr r="K1368" s="2"/>
      </tp>
      <tp t="s">
        <v>#N/A Requesting Data...1577928991</v>
        <stp/>
        <stp>BDP|13312777276403421773</stp>
        <tr r="Q698" s="2"/>
      </tp>
      <tp t="s">
        <v>#N/A Requesting Data...2563121837</v>
        <stp/>
        <stp>BDP|16434318615694489756</stp>
        <tr r="M1381" s="2"/>
      </tp>
      <tp t="s">
        <v>#N/A Requesting Data...3734950782</v>
        <stp/>
        <stp>BDP|12647094555442349282</stp>
        <tr r="Q1851" s="2"/>
      </tp>
      <tp t="s">
        <v>#N/A Requesting Data...3105238477</v>
        <stp/>
        <stp>BDP|14646496828422675703</stp>
        <tr r="M2116" s="2"/>
      </tp>
      <tp t="s">
        <v>#N/A Requesting Data...4014400530</v>
        <stp/>
        <stp>BDP|16691067577191184775</stp>
        <tr r="T752" s="2"/>
      </tp>
      <tp t="s">
        <v>#N/A Requesting Data...2089172860</v>
        <stp/>
        <stp>BDP|17117465126724504251</stp>
        <tr r="S419" s="2"/>
      </tp>
      <tp t="s">
        <v>#N/A Requesting Data...1497919824</v>
        <stp/>
        <stp>BDP|18095606665557604828</stp>
        <tr r="A1526" s="2"/>
      </tp>
      <tp t="s">
        <v>#N/A Requesting Data...3825443462</v>
        <stp/>
        <stp>BDP|12810437568000558772</stp>
        <tr r="C1654" s="2"/>
      </tp>
      <tp t="s">
        <v>#N/A Requesting Data...2545914493</v>
        <stp/>
        <stp>BDP|16732150914642602314</stp>
        <tr r="F1770" s="2"/>
      </tp>
      <tp t="s">
        <v>#N/A Requesting Data...2379901679</v>
        <stp/>
        <stp>BDP|18342005010378569675</stp>
        <tr r="C876" s="2"/>
      </tp>
      <tp t="s">
        <v>#N/A Requesting Data...985263259</v>
        <stp/>
        <stp>BDP|10620247660311040233</stp>
        <tr r="R1791" s="2"/>
      </tp>
      <tp t="s">
        <v>#N/A Requesting Data...928470271</v>
        <stp/>
        <stp>BDP|14173696098455904984</stp>
        <tr r="T2132" s="2"/>
      </tp>
      <tp t="s">
        <v>#N/A Requesting Data...1452673903</v>
        <stp/>
        <stp>BDP|10413870202696126915</stp>
        <tr r="D2425" s="2"/>
      </tp>
      <tp t="s">
        <v>#N/A Requesting Data...1152649391</v>
        <stp/>
        <stp>BDP|17659406952786246770</stp>
        <tr r="J1800" s="2"/>
      </tp>
      <tp t="s">
        <v>#N/A Requesting Data...1052959010</v>
        <stp/>
        <stp>BDP|14475117086999106339</stp>
        <tr r="E1793" s="2"/>
      </tp>
      <tp t="s">
        <v>#N/A Requesting Data...1425086028</v>
        <stp/>
        <stp>BDP|12646632338443825340</stp>
        <tr r="K1619" s="2"/>
      </tp>
      <tp t="s">
        <v>#N/A Requesting Data...877390713</v>
        <stp/>
        <stp>BDP|16104740663242042276</stp>
        <tr r="P464" s="2"/>
      </tp>
      <tp t="s">
        <v>#N/A Requesting Data...3207593083</v>
        <stp/>
        <stp>BDP|10164527512417867483</stp>
        <tr r="N547" s="2"/>
      </tp>
      <tp t="s">
        <v>#N/A Requesting Data...3218362763</v>
        <stp/>
        <stp>BDP|17744354535935015568</stp>
        <tr r="C2531" s="2"/>
      </tp>
      <tp t="s">
        <v>#N/A Requesting Data...1801504634</v>
        <stp/>
        <stp>BDP|13227189178847611552</stp>
        <tr r="E377" s="2"/>
      </tp>
      <tp t="b">
        <v>0</v>
        <stp/>
        <stp>BDS|16756132122992093040</stp>
        <tr r="I1053" s="2"/>
      </tp>
      <tp t="s">
        <v>#N/A Requesting Data...1559817023</v>
        <stp/>
        <stp>BDP|13834500245480567596</stp>
        <tr r="O2406" s="2"/>
      </tp>
      <tp t="s">
        <v>#N/A Requesting Data...2592355093</v>
        <stp/>
        <stp>BDP|17318911091646425663</stp>
        <tr r="G718" s="2"/>
      </tp>
      <tp t="s">
        <v>#N/A Requesting Data...1237884328</v>
        <stp/>
        <stp>BDP|16626410749007879672</stp>
        <tr r="E711" s="2"/>
      </tp>
      <tp t="b">
        <v>0</v>
        <stp/>
        <stp>BDS|17768234367274567041</stp>
        <tr r="I1233" s="2"/>
      </tp>
      <tp t="s">
        <v>#N/A Requesting Data...837176348</v>
        <stp/>
        <stp>BDP|14281223654401780520</stp>
        <tr r="T1857" s="2"/>
      </tp>
      <tp t="s">
        <v>#N/A Requesting Data...2025529925</v>
        <stp/>
        <stp>BDP|15346547137991999584</stp>
        <tr r="C1853" s="2"/>
      </tp>
      <tp t="s">
        <v>#N/A Requesting Data...2475169798</v>
        <stp/>
        <stp>BDP|11138811923129332517</stp>
        <tr r="M362" s="2"/>
      </tp>
      <tp t="s">
        <v>#N/A Requesting Data...508645032</v>
        <stp/>
        <stp>BDP|14914551868191364160</stp>
        <tr r="F584" s="2"/>
      </tp>
      <tp t="s">
        <v>#N/A Requesting Data...2260134845</v>
        <stp/>
        <stp>BDP|14281833302223063828</stp>
        <tr r="D452" s="2"/>
      </tp>
      <tp t="s">
        <v>#N/A Requesting Data...3773762939</v>
        <stp/>
        <stp>BDP|15072567347633791078</stp>
        <tr r="H2098" s="2"/>
      </tp>
      <tp t="s">
        <v>#N/A Requesting Data...3692013418</v>
        <stp/>
        <stp>BDP|12149539584768794005</stp>
        <tr r="D2247" s="2"/>
      </tp>
      <tp t="s">
        <v>#N/A Requesting Data...1447593065</v>
        <stp/>
        <stp>BDP|16396011318748888831</stp>
        <tr r="F2075" s="2"/>
      </tp>
      <tp t="s">
        <v>#N/A Requesting Data...1530535364</v>
        <stp/>
        <stp>BDP|18386543105969678353</stp>
        <tr r="G1079" s="2"/>
      </tp>
      <tp t="s">
        <v>#N/A Requesting Data...3538574108</v>
        <stp/>
        <stp>BDP|16488443641709334839</stp>
        <tr r="M1680" s="2"/>
      </tp>
      <tp t="s">
        <v>#N/A Requesting Data...769155491</v>
        <stp/>
        <stp>BDP|16922728551306874538</stp>
        <tr r="A2200" s="2"/>
      </tp>
      <tp t="s">
        <v>#N/A Requesting Data...787083699</v>
        <stp/>
        <stp>BDP|18165272394044371005</stp>
        <tr r="M861" s="2"/>
      </tp>
      <tp t="s">
        <v>#N/A Requesting Data...894902405</v>
        <stp/>
        <stp>BDP|14162134908170273291</stp>
        <tr r="O568" s="2"/>
      </tp>
      <tp t="s">
        <v>#N/A Requesting Data...4090495862</v>
        <stp/>
        <stp>BDP|17305063821536631430</stp>
        <tr r="R2295" s="2"/>
      </tp>
      <tp t="s">
        <v>#N/A Requesting Data...1670232940</v>
        <stp/>
        <stp>BDP|15088764525924541374</stp>
        <tr r="E1163" s="2"/>
      </tp>
      <tp t="s">
        <v>#N/A Requesting Data...1567354388</v>
        <stp/>
        <stp>BDP|14058196238171114016</stp>
        <tr r="G167" s="2"/>
      </tp>
      <tp t="s">
        <v>#N/A Requesting Data...3117629883</v>
        <stp/>
        <stp>BDP|12934285352142428060</stp>
        <tr r="N2130" s="2"/>
      </tp>
      <tp t="s">
        <v>#N/A Requesting Data...2986330248</v>
        <stp/>
        <stp>BDP|15041606921341766772</stp>
        <tr r="N503" s="2"/>
      </tp>
      <tp t="s">
        <v>#N/A Requesting Data...3453210728</v>
        <stp/>
        <stp>BDP|13171081621774157281</stp>
        <tr r="E379" s="2"/>
      </tp>
      <tp t="s">
        <v>#N/A Requesting Data...1632193066</v>
        <stp/>
        <stp>BDP|13244790417006437492</stp>
        <tr r="D567" s="2"/>
      </tp>
      <tp t="s">
        <v>#N/A Requesting Data...363742822</v>
        <stp/>
        <stp>BDP|13457961490060014430</stp>
        <tr r="R1415" s="2"/>
      </tp>
      <tp t="s">
        <v>#N/A Requesting Data...512515419</v>
        <stp/>
        <stp>BDP|12315473830250408215</stp>
        <tr r="H2424" s="2"/>
      </tp>
      <tp t="s">
        <v>#N/A Requesting Data...1562997662</v>
        <stp/>
        <stp>BDP|16514224042331637620</stp>
        <tr r="O1650" s="2"/>
      </tp>
      <tp t="s">
        <v>#N/A Requesting Data...3203925285</v>
        <stp/>
        <stp>BDP|11445623766304840295</stp>
        <tr r="D1296" s="2"/>
      </tp>
      <tp t="s">
        <v>#N/A Requesting Data...508168610</v>
        <stp/>
        <stp>BDP|14585469144430375357</stp>
        <tr r="T656" s="2"/>
      </tp>
      <tp t="s">
        <v>#N/A Requesting Data...2397433641</v>
        <stp/>
        <stp>BDP|17905891821709336331</stp>
        <tr r="R1296" s="2"/>
      </tp>
      <tp t="s">
        <v>#N/A Requesting Data...658495934</v>
        <stp/>
        <stp>BDP|10904286046127503633</stp>
        <tr r="H393" s="2"/>
      </tp>
      <tp t="s">
        <v>#N/A Requesting Data...1726945097</v>
        <stp/>
        <stp>BDP|16801917423248880239</stp>
        <tr r="Q2186" s="2"/>
      </tp>
      <tp t="s">
        <v>#N/A Requesting Data...2337245125</v>
        <stp/>
        <stp>BDP|16766363684328210263</stp>
        <tr r="K149" s="2"/>
      </tp>
      <tp t="s">
        <v>#N/A Requesting Data...3192616148</v>
        <stp/>
        <stp>BDP|10251246103285334069</stp>
        <tr r="J135" s="2"/>
      </tp>
      <tp t="b">
        <v>0</v>
        <stp/>
        <stp>BDS|13447699588348408225</stp>
        <tr r="I1055" s="2"/>
      </tp>
      <tp t="s">
        <v>#N/A Requesting Data...1360876738</v>
        <stp/>
        <stp>BDP|10190156272676530731</stp>
        <tr r="E2450" s="2"/>
      </tp>
      <tp t="s">
        <v>#N/A Requesting Data...2935467541</v>
        <stp/>
        <stp>BDP|13616678357044646306</stp>
        <tr r="C376" s="2"/>
      </tp>
      <tp t="b">
        <v>0</v>
        <stp/>
        <stp>BDS|16396781898359986699</stp>
        <tr r="I393" s="2"/>
      </tp>
      <tp t="b">
        <v>0</v>
        <stp/>
        <stp>BDS|13879949283154908155</stp>
        <tr r="I164" s="2"/>
      </tp>
      <tp t="s">
        <v>#N/A Requesting Data...1755858520</v>
        <stp/>
        <stp>BDP|13374350344942343110</stp>
        <tr r="J2209" s="2"/>
      </tp>
      <tp t="s">
        <v>#N/A Requesting Data...2510287254</v>
        <stp/>
        <stp>BDP|13371468049980564499</stp>
        <tr r="S1186" s="2"/>
      </tp>
      <tp t="s">
        <v>#N/A Requesting Data...831851862</v>
        <stp/>
        <stp>BDP|11390309971131406368</stp>
        <tr r="J492" s="2"/>
      </tp>
      <tp t="s">
        <v>#N/A Requesting Data...552797497</v>
        <stp/>
        <stp>BDP|12652242134681107578</stp>
        <tr r="O618" s="2"/>
      </tp>
      <tp t="s">
        <v>#N/A Requesting Data...1943535238</v>
        <stp/>
        <stp>BDP|13579804511044194953</stp>
        <tr r="M1518" s="2"/>
      </tp>
      <tp t="s">
        <v>#N/A Requesting Data...921906342</v>
        <stp/>
        <stp>BDP|14034912368768998406</stp>
        <tr r="N752" s="2"/>
      </tp>
      <tp t="s">
        <v>#N/A Requesting Data...3248848707</v>
        <stp/>
        <stp>BDP|15619140606201126258</stp>
        <tr r="M265" s="2"/>
      </tp>
      <tp t="s">
        <v>#N/A Requesting Data...2482870512</v>
        <stp/>
        <stp>BDP|12041062145673493270</stp>
        <tr r="F265" s="2"/>
      </tp>
      <tp t="s">
        <v>#N/A Requesting Data...2320084183</v>
        <stp/>
        <stp>BDP|16536533721951130763</stp>
        <tr r="Q339" s="2"/>
      </tp>
      <tp t="s">
        <v>#N/A Requesting Data...1927963844</v>
        <stp/>
        <stp>BDP|12496601716366411463</stp>
        <tr r="M1810" s="2"/>
      </tp>
      <tp t="s">
        <v>#N/A Requesting Data...1545370364</v>
        <stp/>
        <stp>BDP|17052410730153046419</stp>
        <tr r="O1880" s="2"/>
      </tp>
      <tp t="s">
        <v>#N/A Requesting Data...3180741674</v>
        <stp/>
        <stp>BDP|17110698456042921172</stp>
        <tr r="E1923" s="2"/>
      </tp>
      <tp t="s">
        <v>#N/A Requesting Data...1045920166</v>
        <stp/>
        <stp>BDP|13809483641773455759</stp>
        <tr r="T2242" s="2"/>
      </tp>
      <tp t="s">
        <v>#N/A Requesting Data...2527623817</v>
        <stp/>
        <stp>BDP|14387209688689886037</stp>
        <tr r="H1678" s="2"/>
      </tp>
      <tp t="s">
        <v>#N/A Requesting Data...2116324428</v>
        <stp/>
        <stp>BDP|10088269877964168606</stp>
        <tr r="H258" s="2"/>
      </tp>
      <tp t="b">
        <v>0</v>
        <stp/>
        <stp>BDS|10013347601442134679</stp>
        <tr r="I1397" s="2"/>
      </tp>
      <tp t="s">
        <v>#N/A Requesting Data...2859765186</v>
        <stp/>
        <stp>BDP|12776753264282568638</stp>
        <tr r="J1438" s="2"/>
      </tp>
      <tp t="s">
        <v>#N/A Requesting Data...478643163</v>
        <stp/>
        <stp>BDP|15133928166548457513</stp>
        <tr r="O887" s="2"/>
      </tp>
      <tp t="s">
        <v>#N/A Requesting Data...4237154668</v>
        <stp/>
        <stp>BDP|17753426234853844497</stp>
        <tr r="K80" s="2"/>
      </tp>
      <tp t="s">
        <v>#N/A Requesting Data...2378661381</v>
        <stp/>
        <stp>BDP|11144275647499834999</stp>
        <tr r="F1099" s="2"/>
      </tp>
      <tp t="s">
        <v>#N/A Requesting Data...1071976051</v>
        <stp/>
        <stp>BDP|11393014804323718510</stp>
        <tr r="C33" s="2"/>
      </tp>
      <tp t="b">
        <v>0</v>
        <stp/>
        <stp>BDS|10526345294849253445</stp>
        <tr r="I1288" s="2"/>
      </tp>
      <tp t="s">
        <v>#N/A Requesting Data...2433246028</v>
        <stp/>
        <stp>BDP|15649446164319266949</stp>
        <tr r="E2093" s="2"/>
      </tp>
      <tp t="s">
        <v>#N/A Requesting Data...3420773609</v>
        <stp/>
        <stp>BDP|14361079032194622402</stp>
        <tr r="C2135" s="2"/>
      </tp>
      <tp t="s">
        <v>#N/A Requesting Data...3428351628</v>
        <stp/>
        <stp>BDP|12064098640956182781</stp>
        <tr r="T2187" s="2"/>
      </tp>
      <tp t="b">
        <v>0</v>
        <stp/>
        <stp>BDS|17048852074196494960</stp>
        <tr r="I501" s="2"/>
      </tp>
      <tp t="s">
        <v>#N/A Requesting Data...1169290682</v>
        <stp/>
        <stp>BDP|17624744067731560009</stp>
        <tr r="K684" s="2"/>
      </tp>
      <tp t="s">
        <v>#N/A Requesting Data...4231017598</v>
        <stp/>
        <stp>BDP|13617040340600228008</stp>
        <tr r="F747" s="2"/>
      </tp>
      <tp t="s">
        <v>#N/A Requesting Data...1595255834</v>
        <stp/>
        <stp>BDP|16891614043243359097</stp>
        <tr r="P385" s="2"/>
      </tp>
      <tp t="b">
        <v>0</v>
        <stp/>
        <stp>BDS|16220077842187709239</stp>
        <tr r="I1324" s="2"/>
      </tp>
      <tp t="s">
        <v>#N/A Requesting Data...2937054916</v>
        <stp/>
        <stp>BDP|16483956587739040960</stp>
        <tr r="H824" s="2"/>
      </tp>
      <tp t="s">
        <v>#N/A Requesting Data...2827843648</v>
        <stp/>
        <stp>BDP|11132910740829533255</stp>
        <tr r="G1198" s="2"/>
      </tp>
      <tp t="s">
        <v>#N/A Requesting Data...821331785</v>
        <stp/>
        <stp>BDP|17751318329601656093</stp>
        <tr r="M371" s="2"/>
      </tp>
      <tp t="s">
        <v>#N/A Requesting Data...2999833552</v>
        <stp/>
        <stp>BDP|14071047675565307128</stp>
        <tr r="J1399" s="2"/>
      </tp>
      <tp t="s">
        <v>#N/A Requesting Data...3120646793</v>
        <stp/>
        <stp>BDP|14547224344312283716</stp>
        <tr r="G269" s="2"/>
      </tp>
      <tp t="s">
        <v>#N/A Requesting Data...2332642629</v>
        <stp/>
        <stp>BDP|11248418877073326673</stp>
        <tr r="M1730" s="2"/>
      </tp>
      <tp t="s">
        <v>#N/A Requesting Data...4112813731</v>
        <stp/>
        <stp>BDP|11414169977042269273</stp>
        <tr r="C1975" s="2"/>
      </tp>
      <tp t="s">
        <v>#N/A Requesting Data...840074868</v>
        <stp/>
        <stp>BDP|12295076956475409576</stp>
        <tr r="A684" s="2"/>
      </tp>
      <tp t="s">
        <v>#N/A Requesting Data...3104879560</v>
        <stp/>
        <stp>BDP|17454892171616888945</stp>
        <tr r="G2421" s="2"/>
      </tp>
      <tp t="s">
        <v>#N/A Requesting Data...1215979720</v>
        <stp/>
        <stp>BDP|11869023863381990103</stp>
        <tr r="H1177" s="2"/>
      </tp>
      <tp t="s">
        <v>#N/A Requesting Data...1504301491</v>
        <stp/>
        <stp>BDP|11481603717779794849</stp>
        <tr r="N928" s="2"/>
      </tp>
      <tp t="s">
        <v>#N/A Requesting Data...2986211811</v>
        <stp/>
        <stp>BDP|11247031848987813511</stp>
        <tr r="R1811" s="2"/>
      </tp>
      <tp t="s">
        <v>#N/A Requesting Data...1792485445</v>
        <stp/>
        <stp>BDP|16519964431852658944</stp>
        <tr r="M643" s="2"/>
      </tp>
      <tp t="s">
        <v>#N/A Requesting Data...3060590807</v>
        <stp/>
        <stp>BDP|12215519372516088116</stp>
        <tr r="P434" s="2"/>
      </tp>
      <tp t="s">
        <v>#N/A Requesting Data...1343514047</v>
        <stp/>
        <stp>BDP|15448133227829197815</stp>
        <tr r="S1711" s="2"/>
      </tp>
      <tp t="s">
        <v>#N/A Requesting Data...1732495138</v>
        <stp/>
        <stp>BDP|13436974802055443850</stp>
        <tr r="C1294" s="2"/>
      </tp>
      <tp t="s">
        <v>#N/A Requesting Data...664029784</v>
        <stp/>
        <stp>BDP|14493322920313693103</stp>
        <tr r="P2000" s="2"/>
      </tp>
      <tp t="s">
        <v>#N/A Requesting Data...2850178849</v>
        <stp/>
        <stp>BDP|16747164967147042167</stp>
        <tr r="K1498" s="2"/>
      </tp>
      <tp t="s">
        <v>#N/A Requesting Data...1988416597</v>
        <stp/>
        <stp>BDP|15207383866094503391</stp>
        <tr r="F1479" s="2"/>
      </tp>
      <tp t="s">
        <v>#N/A Requesting Data...1543510197</v>
        <stp/>
        <stp>BDP|11571028245446786451</stp>
        <tr r="S759" s="2"/>
      </tp>
      <tp t="s">
        <v>#N/A Requesting Data...1635483202</v>
        <stp/>
        <stp>BDP|13291298662115055597</stp>
        <tr r="M749" s="2"/>
      </tp>
      <tp t="s">
        <v>#N/A Requesting Data...2648478431</v>
        <stp/>
        <stp>BDP|10643041926414264166</stp>
        <tr r="R1241" s="2"/>
      </tp>
      <tp t="s">
        <v>#N/A Requesting Data...748728570</v>
        <stp/>
        <stp>BDP|16007503388189977514</stp>
        <tr r="M2337" s="2"/>
      </tp>
      <tp t="s">
        <v>#N/A Requesting Data...1736015031</v>
        <stp/>
        <stp>BDP|15992332159687251319</stp>
        <tr r="Q362" s="2"/>
      </tp>
      <tp t="s">
        <v>#N/A Requesting Data...1284102006</v>
        <stp/>
        <stp>BDP|14584708548654943443</stp>
        <tr r="H1818" s="2"/>
      </tp>
      <tp t="s">
        <v>#N/A Requesting Data...4223424354</v>
        <stp/>
        <stp>BDP|14388661965443783074</stp>
        <tr r="C1567" s="2"/>
      </tp>
      <tp t="s">
        <v>#N/A Requesting Data...1716848104</v>
        <stp/>
        <stp>BDP|14231406542250830385</stp>
        <tr r="K1322" s="2"/>
      </tp>
      <tp t="s">
        <v>#N/A Requesting Data...916466770</v>
        <stp/>
        <stp>BDP|12363232279165865512</stp>
        <tr r="K1708" s="2"/>
      </tp>
      <tp t="s">
        <v>#N/A Requesting Data...3964528342</v>
        <stp/>
        <stp>BDP|14849163498278611304</stp>
        <tr r="K1161" s="2"/>
      </tp>
      <tp t="s">
        <v>#N/A Requesting Data...2156570707</v>
        <stp/>
        <stp>BDP|11622427417027471472</stp>
        <tr r="T936" s="2"/>
      </tp>
      <tp t="s">
        <v>#N/A Requesting Data...2494474934</v>
        <stp/>
        <stp>BDP|16819224938163472363</stp>
        <tr r="R153" s="2"/>
      </tp>
      <tp t="s">
        <v>#N/A Requesting Data...2268464385</v>
        <stp/>
        <stp>BDP|15849963439639329143</stp>
        <tr r="C1354" s="2"/>
      </tp>
      <tp t="s">
        <v>#N/A Requesting Data...3873475957</v>
        <stp/>
        <stp>BDP|17373169241823545612</stp>
        <tr r="H1917" s="2"/>
      </tp>
      <tp t="s">
        <v>#N/A Requesting Data...772621494</v>
        <stp/>
        <stp>BDP|12626676620599614877</stp>
        <tr r="Q147" s="2"/>
      </tp>
      <tp t="s">
        <v>#N/A Requesting Data...2319665657</v>
        <stp/>
        <stp>BDP|14128405701312013502</stp>
        <tr r="G512" s="2"/>
      </tp>
      <tp t="s">
        <v>#N/A Requesting Data...3990083002</v>
        <stp/>
        <stp>BDP|16171769586786286836</stp>
        <tr r="T1102" s="2"/>
      </tp>
      <tp t="s">
        <v>#N/A Requesting Data...654673987</v>
        <stp/>
        <stp>BDP|10074250067590348311</stp>
        <tr r="N1036" s="2"/>
      </tp>
      <tp t="s">
        <v>#N/A Requesting Data...2153531781</v>
        <stp/>
        <stp>BDP|16203037240953691670</stp>
        <tr r="N982" s="2"/>
      </tp>
      <tp t="s">
        <v>#N/A Requesting Data...1548367111</v>
        <stp/>
        <stp>BDP|10024776613666043741</stp>
        <tr r="G515" s="2"/>
      </tp>
      <tp t="s">
        <v>#N/A Requesting Data...1344352311</v>
        <stp/>
        <stp>BDP|17742655343444526640</stp>
        <tr r="T175" s="2"/>
      </tp>
      <tp t="s">
        <v>#N/A Requesting Data...695563044</v>
        <stp/>
        <stp>BDP|17209155200835594422</stp>
        <tr r="E400" s="2"/>
      </tp>
      <tp t="s">
        <v>#N/A Requesting Data...895390464</v>
        <stp/>
        <stp>BDP|15022551154683534140</stp>
        <tr r="K1453" s="2"/>
      </tp>
      <tp t="s">
        <v>#N/A Requesting Data...3333744830</v>
        <stp/>
        <stp>BDP|13739917636336152814</stp>
        <tr r="J1973" s="2"/>
      </tp>
      <tp t="b">
        <v>0</v>
        <stp/>
        <stp>BDS|16271433741310543165</stp>
        <tr r="I779" s="2"/>
      </tp>
      <tp t="s">
        <v>#N/A Requesting Data...653035904</v>
        <stp/>
        <stp>BDP|12507447352634155022</stp>
        <tr r="N126" s="2"/>
      </tp>
      <tp t="s">
        <v>#N/A Requesting Data...2128939787</v>
        <stp/>
        <stp>BDP|10147379792188306579</stp>
        <tr r="S1794" s="2"/>
      </tp>
      <tp t="s">
        <v>#N/A Requesting Data...1421444203</v>
        <stp/>
        <stp>BDP|15436235251164018163</stp>
        <tr r="C2412" s="2"/>
      </tp>
      <tp t="b">
        <v>0</v>
        <stp/>
        <stp>BDS|12676214273789646915</stp>
        <tr r="I787" s="2"/>
      </tp>
      <tp t="b">
        <v>0</v>
        <stp/>
        <stp>BDS|17343545141152703324</stp>
        <tr r="I957" s="2"/>
      </tp>
      <tp t="s">
        <v>#N/A Requesting Data...1044271916</v>
        <stp/>
        <stp>BDP|11402228532177353078</stp>
        <tr r="D2312" s="2"/>
      </tp>
      <tp t="s">
        <v>#N/A Requesting Data...1724086097</v>
        <stp/>
        <stp>BDP|11306616777561389650</stp>
        <tr r="O1071" s="2"/>
      </tp>
      <tp t="s">
        <v>#N/A Requesting Data...2394315398</v>
        <stp/>
        <stp>BDP|10494101565677573772</stp>
        <tr r="J934" s="2"/>
      </tp>
      <tp t="s">
        <v>#N/A Requesting Data...1739387697</v>
        <stp/>
        <stp>BDP|12304562359107994261</stp>
        <tr r="H517" s="2"/>
      </tp>
      <tp t="s">
        <v>#N/A Requesting Data...897650008</v>
        <stp/>
        <stp>BDP|14618848390330904280</stp>
        <tr r="G2484" s="2"/>
      </tp>
      <tp t="s">
        <v>#N/A Requesting Data...1071196173</v>
        <stp/>
        <stp>BDP|16634233957122890492</stp>
        <tr r="E1323" s="2"/>
      </tp>
      <tp t="s">
        <v>#N/A Requesting Data...2454276751</v>
        <stp/>
        <stp>BDP|15334086753592222598</stp>
        <tr r="J1131" s="2"/>
      </tp>
      <tp t="s">
        <v>#N/A Requesting Data...1731505064</v>
        <stp/>
        <stp>BDP|14455979996433324050</stp>
        <tr r="G1782" s="2"/>
      </tp>
      <tp t="s">
        <v>#N/A Requesting Data...2068265507</v>
        <stp/>
        <stp>BDP|13213375484809162630</stp>
        <tr r="A2184" s="2"/>
      </tp>
      <tp t="s">
        <v>#N/A Requesting Data...2823075608</v>
        <stp/>
        <stp>BDP|13673155521077014019</stp>
        <tr r="H66" s="2"/>
      </tp>
      <tp t="b">
        <v>0</v>
        <stp/>
        <stp>BDS|15931092147165634319</stp>
        <tr r="I1027" s="2"/>
      </tp>
      <tp t="s">
        <v>#N/A Requesting Data...979858128</v>
        <stp/>
        <stp>BDP|17619798242023926072</stp>
        <tr r="G1969" s="2"/>
      </tp>
      <tp t="s">
        <v>#N/A Requesting Data...3802697426</v>
        <stp/>
        <stp>BDP|11350630778535800239</stp>
        <tr r="N197" s="2"/>
      </tp>
      <tp t="s">
        <v>#N/A Requesting Data...2298470803</v>
        <stp/>
        <stp>BDP|15193587536737402380</stp>
        <tr r="O1383" s="2"/>
      </tp>
      <tp t="s">
        <v>#N/A Requesting Data...1317801406</v>
        <stp/>
        <stp>BDP|16653178516540005141</stp>
        <tr r="E838" s="2"/>
      </tp>
      <tp t="s">
        <v>#N/A Requesting Data...1621763705</v>
        <stp/>
        <stp>BDP|13225663571225231049</stp>
        <tr r="C643" s="2"/>
      </tp>
      <tp t="s">
        <v>#N/A Requesting Data...1548224275</v>
        <stp/>
        <stp>BDP|15434155755743114569</stp>
        <tr r="O641" s="2"/>
      </tp>
      <tp t="s">
        <v>#N/A Requesting Data...2189715630</v>
        <stp/>
        <stp>BDP|15297109815987370576</stp>
        <tr r="F1135" s="2"/>
      </tp>
      <tp t="s">
        <v>#N/A Requesting Data...2479770367</v>
        <stp/>
        <stp>BDP|17231936103859473052</stp>
        <tr r="E2107" s="2"/>
      </tp>
      <tp t="s">
        <v>#N/A Requesting Data...2737794756</v>
        <stp/>
        <stp>BDP|10155559715061154231</stp>
        <tr r="G2526" s="2"/>
      </tp>
      <tp t="b">
        <v>0</v>
        <stp/>
        <stp>BDS|13854403150981163496</stp>
        <tr r="I2419" s="2"/>
      </tp>
      <tp t="s">
        <v>#N/A Requesting Data...3074787359</v>
        <stp/>
        <stp>BDP|12115828753099240112</stp>
        <tr r="R965" s="2"/>
      </tp>
      <tp t="s">
        <v>#N/A Requesting Data...2193848494</v>
        <stp/>
        <stp>BDP|10720801625904015914</stp>
        <tr r="J894" s="2"/>
      </tp>
      <tp t="s">
        <v>#N/A Requesting Data...3845418651</v>
        <stp/>
        <stp>BDP|11125625153320595562</stp>
        <tr r="P1565" s="2"/>
      </tp>
      <tp t="s">
        <v>#N/A Requesting Data...1660191248</v>
        <stp/>
        <stp>BDP|15355229015120674115</stp>
        <tr r="M42" s="2"/>
      </tp>
      <tp t="s">
        <v>#N/A Requesting Data...1299361601</v>
        <stp/>
        <stp>BDP|13960026289909850593</stp>
        <tr r="H1623" s="2"/>
      </tp>
      <tp t="s">
        <v>#N/A Requesting Data...2451050712</v>
        <stp/>
        <stp>BDP|15154062474860834583</stp>
        <tr r="S2069" s="2"/>
      </tp>
      <tp t="s">
        <v>#N/A Requesting Data...2377103308</v>
        <stp/>
        <stp>BDP|14108322261032841498</stp>
        <tr r="P954" s="2"/>
      </tp>
      <tp t="s">
        <v>#N/A Requesting Data...3311899606</v>
        <stp/>
        <stp>BDP|14895399517316359768</stp>
        <tr r="D1584" s="2"/>
      </tp>
      <tp t="s">
        <v>#N/A Requesting Data...2023809541</v>
        <stp/>
        <stp>BDP|14598548988278287685</stp>
        <tr r="P1826" s="2"/>
      </tp>
      <tp t="s">
        <v>#N/A Requesting Data...1973539952</v>
        <stp/>
        <stp>BDP|16082358722842453203</stp>
        <tr r="O1528" s="2"/>
      </tp>
      <tp t="s">
        <v>#N/A Requesting Data...3154414053</v>
        <stp/>
        <stp>BDP|12014587508109698953</stp>
        <tr r="S2020" s="2"/>
      </tp>
      <tp t="s">
        <v>#N/A Requesting Data...3302070543</v>
        <stp/>
        <stp>BDP|12243764603457699520</stp>
        <tr r="S402" s="2"/>
      </tp>
      <tp t="s">
        <v>#N/A Requesting Data...1634559252</v>
        <stp/>
        <stp>BDP|16591696208450536725</stp>
        <tr r="P267" s="2"/>
      </tp>
      <tp t="s">
        <v>#N/A Requesting Data...1331241585</v>
        <stp/>
        <stp>BDP|13929801671893964820</stp>
        <tr r="D1426" s="2"/>
      </tp>
      <tp t="s">
        <v>#N/A Requesting Data...1928410713</v>
        <stp/>
        <stp>BDP|14915652441967775690</stp>
        <tr r="M984" s="2"/>
      </tp>
      <tp t="s">
        <v>#N/A Requesting Data...1799540620</v>
        <stp/>
        <stp>BDP|10649739492300710933</stp>
        <tr r="R1701" s="2"/>
      </tp>
      <tp t="s">
        <v>#N/A Requesting Data...2259753963</v>
        <stp/>
        <stp>BDP|17779860245339300548</stp>
        <tr r="T396" s="2"/>
      </tp>
      <tp t="s">
        <v>#N/A Requesting Data...3206598337</v>
        <stp/>
        <stp>BDP|14179561364707650768</stp>
        <tr r="K2100" s="2"/>
      </tp>
      <tp t="s">
        <v>#N/A Requesting Data...3316251362</v>
        <stp/>
        <stp>BDP|11193575110576024457</stp>
        <tr r="D790" s="2"/>
      </tp>
      <tp t="s">
        <v>#N/A Requesting Data...3291832713</v>
        <stp/>
        <stp>BDP|11551545808335877627</stp>
        <tr r="M924" s="2"/>
      </tp>
      <tp t="s">
        <v>#N/A Requesting Data...2882489564</v>
        <stp/>
        <stp>BDP|14451141060352708644</stp>
        <tr r="T713" s="2"/>
      </tp>
      <tp t="s">
        <v>#N/A Requesting Data...3543394438</v>
        <stp/>
        <stp>BDP|11232623853472062701</stp>
        <tr r="O1307" s="2"/>
      </tp>
      <tp t="s">
        <v>#N/A Requesting Data...4039329721</v>
        <stp/>
        <stp>BDP|12167402743903299637</stp>
        <tr r="Q2432" s="2"/>
      </tp>
      <tp t="b">
        <v>0</v>
        <stp/>
        <stp>BDS|13441930223486633920</stp>
        <tr r="I2248" s="2"/>
      </tp>
      <tp t="s">
        <v>#N/A Requesting Data...2716513137</v>
        <stp/>
        <stp>BDP|14909497668288350983</stp>
        <tr r="E616" s="2"/>
      </tp>
      <tp t="s">
        <v>#N/A Requesting Data...2945703330</v>
        <stp/>
        <stp>BDP|10709694089301678823</stp>
        <tr r="J2191" s="2"/>
      </tp>
      <tp t="s">
        <v>#N/A Requesting Data...2421043863</v>
        <stp/>
        <stp>BDP|16830643322341597489</stp>
        <tr r="C697" s="2"/>
      </tp>
      <tp t="s">
        <v>#N/A Requesting Data...4002423424</v>
        <stp/>
        <stp>BDP|14379439731915673142</stp>
        <tr r="K472" s="2"/>
      </tp>
      <tp t="s">
        <v>#N/A Requesting Data...2512915073</v>
        <stp/>
        <stp>BDP|12875101333463808400</stp>
        <tr r="Q2315" s="2"/>
      </tp>
      <tp t="s">
        <v>#N/A Requesting Data...1940796068</v>
        <stp/>
        <stp>BDP|14570578063508317819</stp>
        <tr r="K1706" s="2"/>
      </tp>
      <tp t="s">
        <v>#N/A Requesting Data...2687375226</v>
        <stp/>
        <stp>BDP|13112257714506293118</stp>
        <tr r="J1355" s="2"/>
      </tp>
      <tp t="s">
        <v>#N/A Requesting Data...3758288652</v>
        <stp/>
        <stp>BDP|14639112967125041136</stp>
        <tr r="Q440" s="2"/>
      </tp>
      <tp t="s">
        <v>#N/A Requesting Data...1835822944</v>
        <stp/>
        <stp>BDP|16901044034287904537</stp>
        <tr r="P618" s="2"/>
      </tp>
      <tp t="s">
        <v>#N/A Requesting Data...1529931896</v>
        <stp/>
        <stp>BDP|13486638636246638740</stp>
        <tr r="K318" s="2"/>
      </tp>
      <tp t="s">
        <v>#N/A Requesting Data...2139572657</v>
        <stp/>
        <stp>BDP|16739017772042272452</stp>
        <tr r="M667" s="2"/>
      </tp>
      <tp t="s">
        <v>#N/A Requesting Data...3273410702</v>
        <stp/>
        <stp>BDP|18254498819023386924</stp>
        <tr r="J599" s="2"/>
      </tp>
      <tp t="s">
        <v>#N/A Requesting Data...1489087873</v>
        <stp/>
        <stp>BDP|14927073738872203278</stp>
        <tr r="C2432" s="2"/>
      </tp>
      <tp t="s">
        <v>#N/A Requesting Data...1910526083</v>
        <stp/>
        <stp>BDP|16833855837398865212</stp>
        <tr r="T899" s="2"/>
      </tp>
      <tp t="b">
        <v>0</v>
        <stp/>
        <stp>BDS|11286333032206201018</stp>
        <tr r="I2216" s="2"/>
      </tp>
      <tp t="s">
        <v>#N/A Requesting Data...1397951709</v>
        <stp/>
        <stp>BDP|12820285540670313301</stp>
        <tr r="N1482" s="2"/>
      </tp>
      <tp t="s">
        <v>#N/A Requesting Data...3662563594</v>
        <stp/>
        <stp>BDP|10725473002520417354</stp>
        <tr r="G593" s="2"/>
      </tp>
      <tp t="s">
        <v>#N/A Requesting Data...2160286502</v>
        <stp/>
        <stp>BDP|16089688411670877621</stp>
        <tr r="R1152" s="2"/>
      </tp>
      <tp t="s">
        <v>#N/A Requesting Data...3594123725</v>
        <stp/>
        <stp>BDP|12204900994512664733</stp>
        <tr r="T107" s="2"/>
      </tp>
      <tp t="s">
        <v>#N/A Requesting Data...4044629760</v>
        <stp/>
        <stp>BDP|14265549618883913446</stp>
        <tr r="D1496" s="2"/>
      </tp>
      <tp t="s">
        <v>#N/A Requesting Data...3861597419</v>
        <stp/>
        <stp>BDP|15630994376199302596</stp>
        <tr r="F1393" s="2"/>
      </tp>
      <tp t="s">
        <v>#N/A Requesting Data...3936681596</v>
        <stp/>
        <stp>BDP|16246875381322572325</stp>
        <tr r="G1231" s="2"/>
      </tp>
      <tp t="s">
        <v>#N/A Requesting Data...1789907082</v>
        <stp/>
        <stp>BDP|10247321616013777622</stp>
        <tr r="T1156" s="2"/>
      </tp>
      <tp t="s">
        <v>#N/A Requesting Data...1922863190</v>
        <stp/>
        <stp>BDP|17612628555571646248</stp>
        <tr r="A594" s="2"/>
      </tp>
      <tp t="s">
        <v>#N/A Requesting Data...3202376860</v>
        <stp/>
        <stp>BDP|18367038294103466539</stp>
        <tr r="T1242" s="2"/>
      </tp>
      <tp t="b">
        <v>0</v>
        <stp/>
        <stp>BDS|18118769405211651948</stp>
        <tr r="I1506" s="2"/>
      </tp>
      <tp t="s">
        <v>#N/A Requesting Data...3074240353</v>
        <stp/>
        <stp>BDP|11365498354982910541</stp>
        <tr r="F1444" s="2"/>
      </tp>
      <tp t="s">
        <v>#N/A Requesting Data...2898644994</v>
        <stp/>
        <stp>BDP|10520500545880154628</stp>
        <tr r="S341" s="2"/>
      </tp>
      <tp t="s">
        <v>#N/A Requesting Data...3008564253</v>
        <stp/>
        <stp>BDP|14782919530790466917</stp>
        <tr r="Q658" s="2"/>
      </tp>
      <tp t="s">
        <v>#N/A Requesting Data...3625511492</v>
        <stp/>
        <stp>BDP|15020622954674676536</stp>
        <tr r="S1551" s="2"/>
      </tp>
      <tp t="s">
        <v>#N/A Requesting Data...3622192719</v>
        <stp/>
        <stp>BDP|14500195040676852071</stp>
        <tr r="K25" s="2"/>
      </tp>
      <tp t="s">
        <v>#N/A Requesting Data...2709812021</v>
        <stp/>
        <stp>BDP|13830503750095859132</stp>
        <tr r="G902" s="2"/>
      </tp>
      <tp t="s">
        <v>#N/A Requesting Data...1934539159</v>
        <stp/>
        <stp>BDP|12607469904551789003</stp>
        <tr r="Q278" s="2"/>
      </tp>
      <tp t="s">
        <v>#N/A Requesting Data...3134717321</v>
        <stp/>
        <stp>BDP|13972224734953482685</stp>
        <tr r="J743" s="2"/>
      </tp>
      <tp t="s">
        <v>#N/A Requesting Data...1988074881</v>
        <stp/>
        <stp>BDP|13249155055756160606</stp>
        <tr r="H2134" s="2"/>
      </tp>
      <tp t="s">
        <v>#N/A Requesting Data...3759444686</v>
        <stp/>
        <stp>BDP|11967859757593056889</stp>
        <tr r="C365" s="2"/>
      </tp>
      <tp t="s">
        <v>#N/A Requesting Data...1350669961</v>
        <stp/>
        <stp>BDP|12003337841117274537</stp>
        <tr r="S1294" s="2"/>
      </tp>
      <tp t="s">
        <v>#N/A Requesting Data...2479281305</v>
        <stp/>
        <stp>BDP|13854482201769529974</stp>
        <tr r="C2020" s="2"/>
      </tp>
      <tp t="s">
        <v>#N/A Requesting Data...2006708398</v>
        <stp/>
        <stp>BDP|12161011910723270711</stp>
        <tr r="G1537" s="2"/>
      </tp>
      <tp t="s">
        <v>#N/A Requesting Data...3871788838</v>
        <stp/>
        <stp>BDP|15259551023370589529</stp>
        <tr r="A1501" s="2"/>
      </tp>
      <tp t="s">
        <v>#N/A Requesting Data...3858623554</v>
        <stp/>
        <stp>BDP|12633746207267328550</stp>
        <tr r="G1810" s="2"/>
      </tp>
      <tp t="s">
        <v>#N/A Requesting Data...1666331033</v>
        <stp/>
        <stp>BDP|14678591075987889612</stp>
        <tr r="J489" s="2"/>
      </tp>
      <tp t="s">
        <v>#N/A Requesting Data...1489257338</v>
        <stp/>
        <stp>BDP|17128349979135668199</stp>
        <tr r="N2149" s="2"/>
      </tp>
      <tp t="s">
        <v>#N/A Requesting Data...2878508588</v>
        <stp/>
        <stp>BDP|11623909567270644948</stp>
        <tr r="O1018" s="2"/>
      </tp>
      <tp t="s">
        <v>#N/A Requesting Data...3475132806</v>
        <stp/>
        <stp>BDP|14480064132917207710</stp>
        <tr r="Q295" s="2"/>
      </tp>
      <tp t="s">
        <v>#N/A Requesting Data...1628095378</v>
        <stp/>
        <stp>BDP|11965071401104567295</stp>
        <tr r="K308" s="2"/>
      </tp>
      <tp t="s">
        <v>#N/A Requesting Data...2621217663</v>
        <stp/>
        <stp>BDP|18114205870133409960</stp>
        <tr r="D2116" s="2"/>
      </tp>
      <tp t="s">
        <v>#N/A Requesting Data...2211557416</v>
        <stp/>
        <stp>BDP|10616337342630706035</stp>
        <tr r="S2165" s="2"/>
      </tp>
      <tp t="s">
        <v>#N/A Requesting Data...4019175673</v>
        <stp/>
        <stp>BDP|15029748873197568518</stp>
        <tr r="O893" s="2"/>
      </tp>
      <tp t="s">
        <v>#N/A Requesting Data...2628547726</v>
        <stp/>
        <stp>BDP|15327860430168525134</stp>
        <tr r="P868" s="2"/>
      </tp>
      <tp t="s">
        <v>#N/A Requesting Data...2507740134</v>
        <stp/>
        <stp>BDP|14783399969663662525</stp>
        <tr r="T2221" s="2"/>
      </tp>
      <tp t="s">
        <v>#N/A Requesting Data...1794796986</v>
        <stp/>
        <stp>BDP|15980389332633019102</stp>
        <tr r="S204" s="2"/>
      </tp>
      <tp t="b">
        <v>0</v>
        <stp/>
        <stp>BDS|12228617946515057251</stp>
        <tr r="I1939" s="2"/>
      </tp>
      <tp t="s">
        <v>#N/A Requesting Data...2214192118</v>
        <stp/>
        <stp>BDP|12688777555392712509</stp>
        <tr r="K96" s="2"/>
      </tp>
      <tp t="s">
        <v>#N/A Requesting Data...2263256932</v>
        <stp/>
        <stp>BDP|16612871624148611304</stp>
        <tr r="A723" s="2"/>
      </tp>
      <tp t="s">
        <v>#N/A Requesting Data...3717758496</v>
        <stp/>
        <stp>BDP|11328356238782920445</stp>
        <tr r="C226" s="2"/>
      </tp>
      <tp t="s">
        <v>#N/A Requesting Data...3983788870</v>
        <stp/>
        <stp>BDP|17607193971021892741</stp>
        <tr r="C2081" s="2"/>
      </tp>
      <tp t="s">
        <v>#N/A Requesting Data...3002839300</v>
        <stp/>
        <stp>BDP|13535695604201998336</stp>
        <tr r="D983" s="2"/>
      </tp>
      <tp t="s">
        <v>#N/A Requesting Data...1688292414</v>
        <stp/>
        <stp>BDP|13573098905084209094</stp>
        <tr r="C1497" s="2"/>
      </tp>
      <tp t="s">
        <v>#N/A Requesting Data...2722296153</v>
        <stp/>
        <stp>BDP|13386521901338418960</stp>
        <tr r="R1697" s="2"/>
      </tp>
      <tp t="s">
        <v>#N/A Requesting Data...4007521900</v>
        <stp/>
        <stp>BDP|16265109311093318225</stp>
        <tr r="S919" s="2"/>
      </tp>
      <tp t="s">
        <v>#N/A Requesting Data...1777614970</v>
        <stp/>
        <stp>BDP|17558084472797594084</stp>
        <tr r="E772" s="2"/>
      </tp>
      <tp t="s">
        <v>#N/A Requesting Data...1109412266</v>
        <stp/>
        <stp>BDP|13719262835836060366</stp>
        <tr r="P1757" s="2"/>
      </tp>
      <tp t="s">
        <v>#N/A Requesting Data...3441460456</v>
        <stp/>
        <stp>BDP|18144819675730288058</stp>
        <tr r="O1300" s="2"/>
      </tp>
      <tp t="s">
        <v>#N/A Requesting Data...2286061253</v>
        <stp/>
        <stp>BDP|16784367340473705541</stp>
        <tr r="H2433" s="2"/>
      </tp>
      <tp t="s">
        <v>#N/A Requesting Data...1336871067</v>
        <stp/>
        <stp>BDP|14004732757009112879</stp>
        <tr r="S438" s="2"/>
      </tp>
      <tp t="s">
        <v>#N/A Requesting Data...1090092655</v>
        <stp/>
        <stp>BDP|11226376902531191441</stp>
        <tr r="Q2128" s="2"/>
      </tp>
      <tp t="s">
        <v>#N/A Requesting Data...3697844892</v>
        <stp/>
        <stp>BDP|12454152856509680833</stp>
        <tr r="P2348" s="2"/>
      </tp>
      <tp t="s">
        <v>#N/A Requesting Data...3902369857</v>
        <stp/>
        <stp>BDP|16197536773205238617</stp>
        <tr r="Q1300" s="2"/>
      </tp>
      <tp t="s">
        <v>#N/A Requesting Data...1221997894</v>
        <stp/>
        <stp>BDP|17790812349625825956</stp>
        <tr r="P1595" s="2"/>
      </tp>
      <tp t="s">
        <v>#N/A Requesting Data...1372349856</v>
        <stp/>
        <stp>BDP|11204791379932147415</stp>
        <tr r="C323" s="2"/>
      </tp>
      <tp t="s">
        <v>#N/A Requesting Data...2360655077</v>
        <stp/>
        <stp>BDP|17822531912721254599</stp>
        <tr r="E723" s="2"/>
      </tp>
      <tp t="s">
        <v>#N/A Requesting Data...3211706434</v>
        <stp/>
        <stp>BDP|11894962977651314984</stp>
        <tr r="N1685" s="2"/>
      </tp>
      <tp t="s">
        <v>#N/A Requesting Data...2832323944</v>
        <stp/>
        <stp>BDP|10015550237885886489</stp>
        <tr r="G2356" s="2"/>
      </tp>
      <tp t="s">
        <v>#N/A Requesting Data...2763015651</v>
        <stp/>
        <stp>BDP|16930813785970768187</stp>
        <tr r="K682" s="2"/>
      </tp>
      <tp t="s">
        <v>#N/A Requesting Data...4005329060</v>
        <stp/>
        <stp>BDP|10338021206281413619</stp>
        <tr r="C2046" s="2"/>
      </tp>
      <tp t="s">
        <v>#N/A Requesting Data...3988094406</v>
        <stp/>
        <stp>BDP|11583456895632449934</stp>
        <tr r="P182" s="2"/>
      </tp>
      <tp t="s">
        <v>#N/A Requesting Data...1768028680</v>
        <stp/>
        <stp>BDP|17623352444726264179</stp>
        <tr r="O1189" s="2"/>
      </tp>
      <tp t="s">
        <v>#N/A Requesting Data...3596996911</v>
        <stp/>
        <stp>BDP|14588595508585108377</stp>
        <tr r="D1077" s="2"/>
      </tp>
      <tp t="s">
        <v>#N/A Requesting Data...3967768733</v>
        <stp/>
        <stp>BDP|17103367607293521078</stp>
        <tr r="G866" s="2"/>
      </tp>
      <tp t="s">
        <v>#N/A Requesting Data...1130661282</v>
        <stp/>
        <stp>BDP|16103565661640158259</stp>
        <tr r="A185" s="2"/>
      </tp>
      <tp t="b">
        <v>0</v>
        <stp/>
        <stp>BDS|17046830551589272419</stp>
        <tr r="I556" s="2"/>
      </tp>
      <tp t="s">
        <v>#N/A Requesting Data...2208104068</v>
        <stp/>
        <stp>BDP|10947239235880827658</stp>
        <tr r="O1082" s="2"/>
      </tp>
      <tp t="b">
        <v>0</v>
        <stp/>
        <stp>BDS|14163368577571430657</stp>
        <tr r="I94" s="2"/>
      </tp>
      <tp t="s">
        <v>#N/A Requesting Data...1785957246</v>
        <stp/>
        <stp>BDP|10911182537174743139</stp>
        <tr r="H1724" s="2"/>
      </tp>
      <tp t="s">
        <v>#N/A Requesting Data...2781433411</v>
        <stp/>
        <stp>BDP|16885246318311717313</stp>
        <tr r="E1941" s="2"/>
      </tp>
      <tp t="s">
        <v>#N/A Requesting Data...3197506591</v>
        <stp/>
        <stp>BDP|10395138512156386137</stp>
        <tr r="S1070" s="2"/>
      </tp>
      <tp t="s">
        <v>#N/A Requesting Data...3878255106</v>
        <stp/>
        <stp>BDP|10276624929152295195</stp>
        <tr r="N1899" s="2"/>
      </tp>
      <tp t="s">
        <v>#N/A Requesting Data...3073229018</v>
        <stp/>
        <stp>BDP|10339747533333510038</stp>
        <tr r="T281" s="2"/>
      </tp>
      <tp t="s">
        <v>#N/A Requesting Data...1412997006</v>
        <stp/>
        <stp>BDP|13399850607324452871</stp>
        <tr r="T1821" s="2"/>
      </tp>
      <tp t="s">
        <v>#N/A Requesting Data...3515495745</v>
        <stp/>
        <stp>BDP|16045084888519134038</stp>
        <tr r="J395" s="2"/>
      </tp>
      <tp t="s">
        <v>#N/A Requesting Data...3440540244</v>
        <stp/>
        <stp>BDP|13703541152754615059</stp>
        <tr r="K2184" s="2"/>
      </tp>
      <tp t="s">
        <v>#N/A Requesting Data...3051516042</v>
        <stp/>
        <stp>BDP|15647507900835433205</stp>
        <tr r="O192" s="2"/>
      </tp>
      <tp t="s">
        <v>#N/A Requesting Data...2721338613</v>
        <stp/>
        <stp>BDP|11728162770771031139</stp>
        <tr r="R870" s="2"/>
      </tp>
      <tp t="s">
        <v>#N/A Requesting Data...3913971009</v>
        <stp/>
        <stp>BDP|13756469062237045117</stp>
        <tr r="D2502" s="2"/>
      </tp>
      <tp t="s">
        <v>#N/A Requesting Data...3210691073</v>
        <stp/>
        <stp>BDP|17132428230044677371</stp>
        <tr r="M746" s="2"/>
      </tp>
      <tp t="s">
        <v>#N/A Requesting Data...1225052599</v>
        <stp/>
        <stp>BDP|14037797920446348089</stp>
        <tr r="D1171" s="2"/>
      </tp>
      <tp t="s">
        <v>#N/A Requesting Data...4003300005</v>
        <stp/>
        <stp>BDP|17585074917410556121</stp>
        <tr r="K2213" s="2"/>
      </tp>
      <tp t="s">
        <v>#N/A Requesting Data...4269211800</v>
        <stp/>
        <stp>BDP|12190711638437285688</stp>
        <tr r="D1365" s="2"/>
      </tp>
      <tp t="s">
        <v>#N/A Requesting Data...2340992544</v>
        <stp/>
        <stp>BDP|15287302258882920613</stp>
        <tr r="C1694" s="2"/>
      </tp>
      <tp t="s">
        <v>#N/A Requesting Data...4168354459</v>
        <stp/>
        <stp>BDP|10497848912716260823</stp>
        <tr r="T81" s="2"/>
      </tp>
      <tp t="s">
        <v>#N/A Requesting Data...2621056641</v>
        <stp/>
        <stp>BDP|18344953065892693275</stp>
        <tr r="Q715" s="2"/>
      </tp>
      <tp t="s">
        <v>#N/A Requesting Data...2188638322</v>
        <stp/>
        <stp>BDP|14604853614659776321</stp>
        <tr r="C2124" s="2"/>
      </tp>
      <tp t="s">
        <v>#N/A Requesting Data...3602168524</v>
        <stp/>
        <stp>BDP|16627797606654297299</stp>
        <tr r="S2043" s="2"/>
      </tp>
      <tp t="s">
        <v>#N/A Requesting Data...4018514464</v>
        <stp/>
        <stp>BDP|15611703358364456487</stp>
        <tr r="H778" s="2"/>
      </tp>
      <tp t="s">
        <v>#N/A Requesting Data...1542551738</v>
        <stp/>
        <stp>BDP|14800305068180775651</stp>
        <tr r="C1549" s="2"/>
      </tp>
      <tp t="s">
        <v>#N/A Requesting Data...2858882866</v>
        <stp/>
        <stp>BDP|17233771666709458852</stp>
        <tr r="G988" s="2"/>
      </tp>
      <tp t="s">
        <v>#N/A Requesting Data...2659504035</v>
        <stp/>
        <stp>BDP|12719470846753217665</stp>
        <tr r="P1424" s="2"/>
      </tp>
      <tp t="s">
        <v>#N/A Requesting Data...3440781255</v>
        <stp/>
        <stp>BDP|16908581872116103502</stp>
        <tr r="K1014" s="2"/>
      </tp>
      <tp t="s">
        <v>#N/A Requesting Data...3568596860</v>
        <stp/>
        <stp>BDP|17131199819238138829</stp>
        <tr r="P2081" s="2"/>
      </tp>
      <tp t="s">
        <v>#N/A Requesting Data...1062991598</v>
        <stp/>
        <stp>BDP|15947518964617892662</stp>
        <tr r="T2100" s="2"/>
      </tp>
      <tp t="s">
        <v>#N/A Requesting Data...3093019932</v>
        <stp/>
        <stp>BDP|16627824461259728607</stp>
        <tr r="A1023" s="2"/>
      </tp>
      <tp t="s">
        <v>#N/A Requesting Data...1796457330</v>
        <stp/>
        <stp>BDP|13385599169353169405</stp>
        <tr r="K2496" s="2"/>
      </tp>
      <tp t="s">
        <v>#N/A Requesting Data...1826093089</v>
        <stp/>
        <stp>BDP|18156900687606028840</stp>
        <tr r="K1190" s="2"/>
      </tp>
      <tp t="s">
        <v>#N/A Requesting Data...4104004114</v>
        <stp/>
        <stp>BDP|15412727495529703562</stp>
        <tr r="D1124" s="2"/>
      </tp>
      <tp t="s">
        <v>#N/A Requesting Data...2734702510</v>
        <stp/>
        <stp>BDP|15480569910076829082</stp>
        <tr r="E1007" s="2"/>
      </tp>
      <tp t="s">
        <v>#N/A Requesting Data...3504896490</v>
        <stp/>
        <stp>BDP|13625954844881164849</stp>
        <tr r="C741" s="2"/>
      </tp>
      <tp t="s">
        <v>#N/A Requesting Data...3008251755</v>
        <stp/>
        <stp>BDP|14512409029016982371</stp>
        <tr r="N1340" s="2"/>
      </tp>
      <tp t="s">
        <v>#N/A Requesting Data...3989379689</v>
        <stp/>
        <stp>BDP|14939425449623193019</stp>
        <tr r="M1368" s="2"/>
      </tp>
      <tp t="s">
        <v>#N/A Requesting Data...2082753259</v>
        <stp/>
        <stp>BDP|17798648840230048217</stp>
        <tr r="N2392" s="2"/>
      </tp>
      <tp t="s">
        <v>#N/A Requesting Data...2416308757</v>
        <stp/>
        <stp>BDP|16614269113615692777</stp>
        <tr r="C1332" s="2"/>
      </tp>
      <tp t="s">
        <v>#N/A Requesting Data...3809160379</v>
        <stp/>
        <stp>BDP|15047767631286198048</stp>
        <tr r="R2329" s="2"/>
      </tp>
      <tp t="s">
        <v>#N/A Requesting Data...3546576213</v>
        <stp/>
        <stp>BDP|17332062041973784710</stp>
        <tr r="G538" s="2"/>
      </tp>
      <tp t="s">
        <v>#N/A Requesting Data...1275584761</v>
        <stp/>
        <stp>BDP|18258500802512720852</stp>
        <tr r="P393" s="2"/>
      </tp>
      <tp t="s">
        <v>#N/A Requesting Data...2142451092</v>
        <stp/>
        <stp>BDP|11552803607236914895</stp>
        <tr r="Q1072" s="2"/>
      </tp>
      <tp t="s">
        <v>#N/A Requesting Data...2081998765</v>
        <stp/>
        <stp>BDP|17068902908781366892</stp>
        <tr r="T264" s="2"/>
      </tp>
      <tp t="s">
        <v>#N/A Requesting Data...3466847011</v>
        <stp/>
        <stp>BDP|10896449994512927830</stp>
        <tr r="F2085" s="2"/>
      </tp>
      <tp t="s">
        <v>#N/A Requesting Data...3576975749</v>
        <stp/>
        <stp>BDP|15539151446272041543</stp>
        <tr r="S1629" s="2"/>
      </tp>
      <tp t="b">
        <v>0</v>
        <stp/>
        <stp>BDS|16872680063749612846</stp>
        <tr r="I2042" s="2"/>
      </tp>
      <tp t="s">
        <v>#N/A Requesting Data...3641315922</v>
        <stp/>
        <stp>BDP|11162720636071085379</stp>
        <tr r="E1314" s="2"/>
      </tp>
      <tp t="s">
        <v>#N/A Requesting Data...2837591786</v>
        <stp/>
        <stp>BDP|10300691173635802330</stp>
        <tr r="G1938" s="2"/>
      </tp>
      <tp t="b">
        <v>0</v>
        <stp/>
        <stp>BDS|12236176896784438967</stp>
        <tr r="I2117" s="2"/>
      </tp>
      <tp t="s">
        <v>#N/A Requesting Data...2490915954</v>
        <stp/>
        <stp>BDP|16093803024548603309</stp>
        <tr r="Q1695" s="2"/>
      </tp>
      <tp t="s">
        <v>#N/A Requesting Data...1296934511</v>
        <stp/>
        <stp>BDP|18222859403973647400</stp>
        <tr r="R1862" s="2"/>
      </tp>
      <tp t="s">
        <v>#N/A Requesting Data...2382195709</v>
        <stp/>
        <stp>BDP|16135697267639915845</stp>
        <tr r="C952" s="2"/>
      </tp>
      <tp t="s">
        <v>#N/A Requesting Data...2391210049</v>
        <stp/>
        <stp>BDP|18346277127437594848</stp>
        <tr r="T519" s="2"/>
      </tp>
      <tp t="s">
        <v>#N/A Requesting Data...1442123410</v>
        <stp/>
        <stp>BDP|17311806232289019232</stp>
        <tr r="F1853" s="2"/>
      </tp>
      <tp t="s">
        <v>#N/A Requesting Data...1519438443</v>
        <stp/>
        <stp>BDP|18407804180878393753</stp>
        <tr r="F508" s="2"/>
      </tp>
      <tp t="s">
        <v>#N/A Requesting Data...1515920959</v>
        <stp/>
        <stp>BDP|11528921723689318451</stp>
        <tr r="O1696" s="2"/>
      </tp>
      <tp t="s">
        <v>#N/A Requesting Data...3786261125</v>
        <stp/>
        <stp>BDP|15229922826878399174</stp>
        <tr r="F653" s="2"/>
      </tp>
      <tp t="s">
        <v>#N/A Requesting Data...1163948232</v>
        <stp/>
        <stp>BDP|12689789525449013991</stp>
        <tr r="E2306" s="2"/>
      </tp>
      <tp t="s">
        <v>#N/A Requesting Data...1350435485</v>
        <stp/>
        <stp>BDP|18285852328811903447</stp>
        <tr r="A438" s="2"/>
      </tp>
      <tp t="s">
        <v>#N/A Requesting Data...4226287831</v>
        <stp/>
        <stp>BDP|13546611317723409056</stp>
        <tr r="N442" s="2"/>
      </tp>
      <tp t="s">
        <v>#N/A Requesting Data...3938137063</v>
        <stp/>
        <stp>BDP|10483978210696661974</stp>
        <tr r="S103" s="2"/>
      </tp>
      <tp t="s">
        <v>#N/A Requesting Data...1234161770</v>
        <stp/>
        <stp>BDP|16488701722862370672</stp>
        <tr r="R980" s="2"/>
      </tp>
      <tp t="s">
        <v>#N/A Requesting Data...3662506980</v>
        <stp/>
        <stp>BDP|17837262335799136881</stp>
        <tr r="R1454" s="2"/>
      </tp>
      <tp t="s">
        <v>#N/A Requesting Data...4025496976</v>
        <stp/>
        <stp>BDP|13027554377266325032</stp>
        <tr r="P1813" s="2"/>
      </tp>
      <tp t="s">
        <v>#N/A Requesting Data...3911036322</v>
        <stp/>
        <stp>BDP|15820431955721468286</stp>
        <tr r="O1560" s="2"/>
      </tp>
      <tp t="s">
        <v>#N/A Requesting Data...2307864211</v>
        <stp/>
        <stp>BDP|18155706324079302347</stp>
        <tr r="R1035" s="2"/>
      </tp>
      <tp t="s">
        <v>#N/A Requesting Data...2654327480</v>
        <stp/>
        <stp>BDP|16530540628755951325</stp>
        <tr r="M1889" s="2"/>
      </tp>
      <tp t="s">
        <v>#N/A Requesting Data...2040006972</v>
        <stp/>
        <stp>BDP|12132343347470568229</stp>
        <tr r="M2470" s="2"/>
      </tp>
      <tp t="s">
        <v>#N/A Requesting Data...3855857428</v>
        <stp/>
        <stp>BDP|10461240229191582694</stp>
        <tr r="G862" s="2"/>
      </tp>
      <tp t="s">
        <v>#N/A Requesting Data...2687701996</v>
        <stp/>
        <stp>BDP|11905026121650929469</stp>
        <tr r="K2415" s="2"/>
      </tp>
      <tp t="s">
        <v>#N/A Requesting Data...1835305423</v>
        <stp/>
        <stp>BDP|11233688252500934546</stp>
        <tr r="M928" s="2"/>
      </tp>
      <tp t="s">
        <v>#N/A Requesting Data...3553421498</v>
        <stp/>
        <stp>BDP|15799463720780742432</stp>
        <tr r="S2002" s="2"/>
      </tp>
      <tp t="s">
        <v>#N/A Requesting Data...1983017572</v>
        <stp/>
        <stp>BDP|11633996531389989525</stp>
        <tr r="A1842" s="2"/>
      </tp>
      <tp t="s">
        <v>#N/A Requesting Data...2883050077</v>
        <stp/>
        <stp>BDP|16475529055419792818</stp>
        <tr r="S1918" s="2"/>
      </tp>
      <tp t="s">
        <v>#N/A Requesting Data...3693186373</v>
        <stp/>
        <stp>BDP|16587236558063258591</stp>
        <tr r="P181" s="2"/>
      </tp>
      <tp t="s">
        <v>#N/A Requesting Data...2125511588</v>
        <stp/>
        <stp>BDP|17692823940029225532</stp>
        <tr r="N2438" s="2"/>
      </tp>
      <tp t="s">
        <v>#N/A Requesting Data...2270075359</v>
        <stp/>
        <stp>BDP|17898240340627815114</stp>
        <tr r="P1196" s="2"/>
      </tp>
      <tp t="s">
        <v>#N/A Requesting Data...3712506131</v>
        <stp/>
        <stp>BDP|17161002346641289500</stp>
        <tr r="C1628" s="2"/>
      </tp>
      <tp t="s">
        <v>#N/A Requesting Data...3990906662</v>
        <stp/>
        <stp>BDP|12502443904018082901</stp>
        <tr r="A2466" s="2"/>
      </tp>
      <tp t="s">
        <v>#N/A Requesting Data...1655937382</v>
        <stp/>
        <stp>BDP|13234630585208389223</stp>
        <tr r="S1056" s="2"/>
      </tp>
      <tp t="s">
        <v>#N/A Requesting Data...3988020357</v>
        <stp/>
        <stp>BDP|16457566064286094432</stp>
        <tr r="O739" s="2"/>
      </tp>
      <tp t="s">
        <v>#N/A Requesting Data...3502825293</v>
        <stp/>
        <stp>BDP|10984140774780441181</stp>
        <tr r="N1487" s="2"/>
      </tp>
      <tp t="s">
        <v>#N/A Requesting Data...2180255889</v>
        <stp/>
        <stp>BDP|13470604114836748525</stp>
        <tr r="D180" s="2"/>
      </tp>
      <tp t="s">
        <v>#N/A Requesting Data...1474944927</v>
        <stp/>
        <stp>BDP|16843076868602761558</stp>
        <tr r="M1570" s="2"/>
      </tp>
      <tp t="s">
        <v>#N/A Requesting Data...3256169495</v>
        <stp/>
        <stp>BDP|14686275561111555603</stp>
        <tr r="K645" s="2"/>
      </tp>
      <tp t="s">
        <v>#N/A Requesting Data...2125254566</v>
        <stp/>
        <stp>BDP|17896539487429867418</stp>
        <tr r="A1510" s="2"/>
      </tp>
      <tp t="s">
        <v>#N/A Requesting Data...4236232127</v>
        <stp/>
        <stp>BDP|11750213452306686777</stp>
        <tr r="G2479" s="2"/>
      </tp>
      <tp t="s">
        <v>#N/A Requesting Data...3059314410</v>
        <stp/>
        <stp>BDP|14656204242984380129</stp>
        <tr r="T2214" s="2"/>
      </tp>
      <tp t="s">
        <v>#N/A Requesting Data...3827548339</v>
        <stp/>
        <stp>BDP|17633570043486174769</stp>
        <tr r="T325" s="2"/>
      </tp>
      <tp t="s">
        <v>#N/A Requesting Data...1859542942</v>
        <stp/>
        <stp>BDP|16603469815402675663</stp>
        <tr r="T1814" s="2"/>
      </tp>
      <tp t="s">
        <v>#N/A Requesting Data...2524306545</v>
        <stp/>
        <stp>BDP|16782296548283467473</stp>
        <tr r="G2071" s="2"/>
      </tp>
      <tp t="s">
        <v>#N/A Requesting Data...1873660032</v>
        <stp/>
        <stp>BDP|13921544818201059108</stp>
        <tr r="T1486" s="2"/>
      </tp>
      <tp t="s">
        <v>#N/A Requesting Data...4112965172</v>
        <stp/>
        <stp>BDP|12426945030168189746</stp>
        <tr r="M1984" s="2"/>
      </tp>
      <tp t="s">
        <v>#N/A Requesting Data...3442263088</v>
        <stp/>
        <stp>BDP|12337559335220161376</stp>
        <tr r="C690" s="2"/>
      </tp>
      <tp t="s">
        <v>#N/A Requesting Data...2484045994</v>
        <stp/>
        <stp>BDP|16942146210602091385</stp>
        <tr r="K1450" s="2"/>
      </tp>
      <tp t="s">
        <v>#N/A Requesting Data...1795932094</v>
        <stp/>
        <stp>BDP|11107167243230495354</stp>
        <tr r="J537" s="2"/>
      </tp>
      <tp t="s">
        <v>#N/A Requesting Data...2957561474</v>
        <stp/>
        <stp>BDP|13545470253440669529</stp>
        <tr r="M1208" s="2"/>
      </tp>
      <tp t="s">
        <v>#N/A Requesting Data...4141668201</v>
        <stp/>
        <stp>BDP|11639316587744348969</stp>
        <tr r="C11" s="2"/>
      </tp>
      <tp t="s">
        <v>#N/A Requesting Data...3419794644</v>
        <stp/>
        <stp>BDP|13750478020125440717</stp>
        <tr r="P813" s="2"/>
      </tp>
      <tp t="s">
        <v>#N/A Requesting Data...3668978305</v>
        <stp/>
        <stp>BDP|15764749842236353776</stp>
        <tr r="Q679" s="2"/>
      </tp>
      <tp t="s">
        <v>#N/A Requesting Data...2544632143</v>
        <stp/>
        <stp>BDP|14600713056865408405</stp>
        <tr r="C1556" s="2"/>
      </tp>
      <tp t="s">
        <v>#N/A Requesting Data...2175494150</v>
        <stp/>
        <stp>BDP|16795677618332909443</stp>
        <tr r="K2373" s="2"/>
      </tp>
      <tp t="s">
        <v>#N/A Requesting Data...3892383786</v>
        <stp/>
        <stp>BDP|15331049296103274862</stp>
        <tr r="S1969" s="2"/>
      </tp>
      <tp t="s">
        <v>#N/A Requesting Data...1413023875</v>
        <stp/>
        <stp>BDP|12486096723134983329</stp>
        <tr r="N1124" s="2"/>
      </tp>
      <tp t="s">
        <v>#N/A Requesting Data...2135141924</v>
        <stp/>
        <stp>BDP|17598753547182245101</stp>
        <tr r="A1782" s="2"/>
      </tp>
      <tp t="s">
        <v>#N/A Requesting Data...4073901375</v>
        <stp/>
        <stp>BDP|13564810621939662767</stp>
        <tr r="A496" s="2"/>
      </tp>
      <tp t="s">
        <v>#N/A Requesting Data...2515759327</v>
        <stp/>
        <stp>BDP|15253723874354981680</stp>
        <tr r="G1979" s="2"/>
      </tp>
      <tp t="s">
        <v>#N/A Requesting Data...1517268638</v>
        <stp/>
        <stp>BDP|15136610962670496231</stp>
        <tr r="G1607" s="2"/>
      </tp>
      <tp t="s">
        <v>#N/A Requesting Data...4089832895</v>
        <stp/>
        <stp>BDP|17256700667271039009</stp>
        <tr r="N1196" s="2"/>
      </tp>
      <tp t="s">
        <v>#N/A Requesting Data...4153057717</v>
        <stp/>
        <stp>BDP|15798648330573496420</stp>
        <tr r="N2148" s="2"/>
      </tp>
      <tp t="s">
        <v>#N/A Requesting Data...2140864118</v>
        <stp/>
        <stp>BDP|15336277067637090166</stp>
        <tr r="N1932" s="2"/>
      </tp>
      <tp t="s">
        <v>#N/A Requesting Data...2119578709</v>
        <stp/>
        <stp>BDP|15763053043241292763</stp>
        <tr r="T2172" s="2"/>
      </tp>
      <tp t="s">
        <v>#N/A Requesting Data...1441667277</v>
        <stp/>
        <stp>BDP|12163521192608046148</stp>
        <tr r="A1890" s="2"/>
      </tp>
      <tp t="s">
        <v>#N/A Requesting Data...3089469506</v>
        <stp/>
        <stp>BDP|12452734883689095313</stp>
        <tr r="F903" s="2"/>
      </tp>
      <tp t="s">
        <v>#N/A Requesting Data...1416449598</v>
        <stp/>
        <stp>BDP|11289752633404939680</stp>
        <tr r="O1478" s="2"/>
      </tp>
      <tp t="s">
        <v>#N/A Requesting Data...1490441130</v>
        <stp/>
        <stp>BDP|16201593670803951073</stp>
        <tr r="M913" s="2"/>
      </tp>
      <tp t="s">
        <v>#N/A Requesting Data...1585550446</v>
        <stp/>
        <stp>BDP|15010751254839502915</stp>
        <tr r="N575" s="2"/>
      </tp>
      <tp t="s">
        <v>#N/A Requesting Data...3987953102</v>
        <stp/>
        <stp>BDP|15292570536457371357</stp>
        <tr r="M1516" s="2"/>
      </tp>
      <tp t="s">
        <v>#N/A Requesting Data...3082822589</v>
        <stp/>
        <stp>BDP|17254526755861956193</stp>
        <tr r="G815" s="2"/>
      </tp>
      <tp t="s">
        <v>#N/A Requesting Data...3212506360</v>
        <stp/>
        <stp>BDP|15135267169625274398</stp>
        <tr r="M1564" s="2"/>
      </tp>
      <tp t="s">
        <v>#N/A Requesting Data...3208444438</v>
        <stp/>
        <stp>BDP|17084307800184556706</stp>
        <tr r="R2152" s="2"/>
      </tp>
      <tp t="s">
        <v>#N/A Requesting Data...3393639058</v>
        <stp/>
        <stp>BDP|10770969357348398308</stp>
        <tr r="H1535" s="2"/>
      </tp>
      <tp t="s">
        <v>#N/A Requesting Data...4047368889</v>
        <stp/>
        <stp>BDP|12458129278093998029</stp>
        <tr r="P2148" s="2"/>
      </tp>
      <tp t="s">
        <v>#N/A Requesting Data...2304775317</v>
        <stp/>
        <stp>BDP|12373653085708097366</stp>
        <tr r="K1659" s="2"/>
      </tp>
      <tp t="s">
        <v>#N/A Requesting Data...3887851889</v>
        <stp/>
        <stp>BDP|16252059180028117131</stp>
        <tr r="N514" s="2"/>
      </tp>
      <tp t="s">
        <v>#N/A Requesting Data...2805454797</v>
        <stp/>
        <stp>BDP|15542257905934219427</stp>
        <tr r="D732" s="2"/>
      </tp>
      <tp t="s">
        <v>#N/A Requesting Data...2787312527</v>
        <stp/>
        <stp>BDP|16300450642217268637</stp>
        <tr r="A841" s="2"/>
      </tp>
      <tp t="s">
        <v>#N/A Requesting Data...1619362294</v>
        <stp/>
        <stp>BDP|11734804581150463673</stp>
        <tr r="G384" s="2"/>
      </tp>
      <tp t="s">
        <v>#N/A Requesting Data...2451211086</v>
        <stp/>
        <stp>BDP|16233316465997368309</stp>
        <tr r="S2403" s="2"/>
      </tp>
      <tp t="s">
        <v>#N/A Requesting Data...2212714124</v>
        <stp/>
        <stp>BDP|10658262251312427204</stp>
        <tr r="S1834" s="2"/>
      </tp>
      <tp t="s">
        <v>#N/A Requesting Data...3650420339</v>
        <stp/>
        <stp>BDP|10248713002154444400</stp>
        <tr r="T46" s="2"/>
      </tp>
      <tp t="s">
        <v>#N/A Requesting Data...4035963533</v>
        <stp/>
        <stp>BDP|11470489917891658281</stp>
        <tr r="C455" s="2"/>
      </tp>
      <tp t="s">
        <v>#N/A Requesting Data...1716198020</v>
        <stp/>
        <stp>BDP|15422773757696307625</stp>
        <tr r="G422" s="2"/>
      </tp>
      <tp t="s">
        <v>#N/A Requesting Data...2459143345</v>
        <stp/>
        <stp>BDP|16907247852936297085</stp>
        <tr r="S2366" s="2"/>
      </tp>
      <tp t="s">
        <v>#N/A Requesting Data...1516799330</v>
        <stp/>
        <stp>BDP|15650963125478792179</stp>
        <tr r="P416" s="2"/>
      </tp>
      <tp t="s">
        <v>#N/A Requesting Data...2307242783</v>
        <stp/>
        <stp>BDP|17360027021436412416</stp>
        <tr r="Q817" s="2"/>
      </tp>
      <tp t="s">
        <v>#N/A Requesting Data...3360167802</v>
        <stp/>
        <stp>BDP|10938054958560547244</stp>
        <tr r="F162" s="2"/>
      </tp>
      <tp t="s">
        <v>#N/A Requesting Data...3673433426</v>
        <stp/>
        <stp>BDP|17370141530733255106</stp>
        <tr r="P17" s="2"/>
      </tp>
      <tp t="s">
        <v>#N/A Requesting Data...3944972573</v>
        <stp/>
        <stp>BDP|13384914430846304845</stp>
        <tr r="Q235" s="2"/>
      </tp>
      <tp t="s">
        <v>#N/A Requesting Data...4264891053</v>
        <stp/>
        <stp>BDP|12738853715179645545</stp>
        <tr r="K1102" s="2"/>
      </tp>
      <tp t="b">
        <v>0</v>
        <stp/>
        <stp>BDS|17627844638383452880</stp>
        <tr r="I568" s="2"/>
      </tp>
      <tp t="s">
        <v>#N/A Requesting Data...1727311762</v>
        <stp/>
        <stp>BDP|11153869487700023659</stp>
        <tr r="G1449" s="2"/>
      </tp>
      <tp t="s">
        <v>#N/A Requesting Data...3155454949</v>
        <stp/>
        <stp>BDP|15388632452399706809</stp>
        <tr r="C589" s="2"/>
      </tp>
      <tp t="s">
        <v>#N/A Requesting Data...3281052413</v>
        <stp/>
        <stp>BDP|17075239021310798003</stp>
        <tr r="R1673" s="2"/>
      </tp>
      <tp t="s">
        <v>#N/A Requesting Data...2622306571</v>
        <stp/>
        <stp>BDP|13242710116470521255</stp>
        <tr r="F801" s="2"/>
      </tp>
      <tp t="s">
        <v>#N/A Requesting Data...3919865838</v>
        <stp/>
        <stp>BDP|10375655210137718744</stp>
        <tr r="H2264" s="2"/>
      </tp>
      <tp t="b">
        <v>0</v>
        <stp/>
        <stp>BDS|12152709914947046437</stp>
        <tr r="I238" s="2"/>
      </tp>
      <tp t="s">
        <v>#N/A Requesting Data...1514050248</v>
        <stp/>
        <stp>BDP|10328665509125817411</stp>
        <tr r="D1444" s="2"/>
      </tp>
      <tp t="s">
        <v>#N/A Requesting Data...1715749320</v>
        <stp/>
        <stp>BDP|14444326771012548570</stp>
        <tr r="N1319" s="2"/>
      </tp>
      <tp t="s">
        <v>#N/A Requesting Data...2980116939</v>
        <stp/>
        <stp>BDP|18433564264609364501</stp>
        <tr r="E2334" s="2"/>
      </tp>
      <tp t="s">
        <v>#N/A Requesting Data...3980953925</v>
        <stp/>
        <stp>BDP|13572039579400345398</stp>
        <tr r="F1638" s="2"/>
      </tp>
      <tp t="s">
        <v>#N/A Requesting Data...2502405308</v>
        <stp/>
        <stp>BDP|17848131126524029784</stp>
        <tr r="H1285" s="2"/>
      </tp>
      <tp t="s">
        <v>#N/A Requesting Data...2567843058</v>
        <stp/>
        <stp>BDP|14361535891248122756</stp>
        <tr r="O94" s="2"/>
      </tp>
      <tp t="s">
        <v>#N/A Requesting Data...2790770446</v>
        <stp/>
        <stp>BDP|14550555176450498179</stp>
        <tr r="F1502" s="2"/>
      </tp>
      <tp t="s">
        <v>#N/A Requesting Data...3751404197</v>
        <stp/>
        <stp>BDP|16298911720178392254</stp>
        <tr r="T2295" s="2"/>
      </tp>
      <tp t="s">
        <v>#N/A Requesting Data...1565699627</v>
        <stp/>
        <stp>BDP|16767730328015911103</stp>
        <tr r="K95" s="2"/>
      </tp>
      <tp t="s">
        <v>#N/A Requesting Data...3350921050</v>
        <stp/>
        <stp>BDP|17134440938396144190</stp>
        <tr r="F2381" s="2"/>
      </tp>
      <tp t="s">
        <v>#N/A Requesting Data...2963886125</v>
        <stp/>
        <stp>BDP|11175235028736765087</stp>
        <tr r="H1071" s="2"/>
      </tp>
      <tp t="s">
        <v>#N/A Requesting Data...4247433993</v>
        <stp/>
        <stp>BDP|17636379507393359008</stp>
        <tr r="A180" s="2"/>
      </tp>
      <tp t="s">
        <v>#N/A Requesting Data...2259358193</v>
        <stp/>
        <stp>BDP|13472021543111564155</stp>
        <tr r="G1107" s="2"/>
      </tp>
      <tp t="s">
        <v>#N/A Requesting Data...2038076199</v>
        <stp/>
        <stp>BDP|17564109232937399504</stp>
        <tr r="E1571" s="2"/>
      </tp>
      <tp t="s">
        <v>#N/A Requesting Data...2414569709</v>
        <stp/>
        <stp>BDP|14175988848278222674</stp>
        <tr r="A2119" s="2"/>
      </tp>
      <tp t="s">
        <v>#N/A Requesting Data...1519795215</v>
        <stp/>
        <stp>BDP|14243221210816068640</stp>
        <tr r="Q1959" s="2"/>
      </tp>
      <tp t="s">
        <v>#N/A Requesting Data...3884800711</v>
        <stp/>
        <stp>BDP|15667579807247473061</stp>
        <tr r="G1111" s="2"/>
      </tp>
      <tp t="s">
        <v>#N/A Requesting Data...2580027860</v>
        <stp/>
        <stp>BDP|18178159092307749052</stp>
        <tr r="A488" s="2"/>
      </tp>
      <tp t="s">
        <v>#N/A Requesting Data...4264266255</v>
        <stp/>
        <stp>BDP|11173492582632886860</stp>
        <tr r="R2456" s="2"/>
      </tp>
      <tp t="s">
        <v>#N/A Requesting Data...3335475954</v>
        <stp/>
        <stp>BDP|16514988029753452940</stp>
        <tr r="H2522" s="2"/>
      </tp>
      <tp t="s">
        <v>#N/A Requesting Data...2576590760</v>
        <stp/>
        <stp>BDP|10778785564045703388</stp>
        <tr r="M1281" s="2"/>
      </tp>
      <tp t="s">
        <v>#N/A Requesting Data...4124297295</v>
        <stp/>
        <stp>BDP|13487033537333264464</stp>
        <tr r="E1008" s="2"/>
      </tp>
      <tp t="s">
        <v>#N/A Requesting Data...1591912810</v>
        <stp/>
        <stp>BDP|12157829366103924885</stp>
        <tr r="H1502" s="2"/>
      </tp>
      <tp t="s">
        <v>#N/A Requesting Data...3020789586</v>
        <stp/>
        <stp>BDP|14551616477301409339</stp>
        <tr r="G31" s="2"/>
      </tp>
      <tp t="s">
        <v>#N/A Requesting Data...3683340175</v>
        <stp/>
        <stp>BDP|10865190953843766011</stp>
        <tr r="E1403" s="2"/>
      </tp>
      <tp t="s">
        <v>#N/A Requesting Data...3291244996</v>
        <stp/>
        <stp>BDP|16288114728261813376</stp>
        <tr r="M1313" s="2"/>
      </tp>
      <tp t="s">
        <v>#N/A Requesting Data...3995196482</v>
        <stp/>
        <stp>BDP|16206552378736981524</stp>
        <tr r="E1228" s="2"/>
      </tp>
      <tp t="s">
        <v>#N/A Requesting Data...3890486293</v>
        <stp/>
        <stp>BDP|14255375247841613500</stp>
        <tr r="K2502" s="2"/>
      </tp>
      <tp t="s">
        <v>#N/A Requesting Data...2166561334</v>
        <stp/>
        <stp>BDP|16614449441791116066</stp>
        <tr r="F2287" s="2"/>
      </tp>
      <tp t="s">
        <v>#N/A Requesting Data...3016712254</v>
        <stp/>
        <stp>BDP|13050648011886642579</stp>
        <tr r="F368" s="2"/>
      </tp>
      <tp t="b">
        <v>0</v>
        <stp/>
        <stp>BDS|14826911549807455936</stp>
        <tr r="I270" s="2"/>
      </tp>
      <tp t="s">
        <v>#N/A Requesting Data...2879928845</v>
        <stp/>
        <stp>BDP|17733379973317602316</stp>
        <tr r="F2064" s="2"/>
      </tp>
      <tp t="s">
        <v>#N/A Requesting Data...2917800576</v>
        <stp/>
        <stp>BDP|12308565866812509422</stp>
        <tr r="O2023" s="2"/>
      </tp>
      <tp t="s">
        <v>#N/A Requesting Data...3542490899</v>
        <stp/>
        <stp>BDP|15871792679173594192</stp>
        <tr r="H2149" s="2"/>
      </tp>
      <tp t="s">
        <v>#N/A Requesting Data...2228513638</v>
        <stp/>
        <stp>BDP|15482162227649563845</stp>
        <tr r="T842" s="2"/>
      </tp>
      <tp t="s">
        <v>#N/A Requesting Data...3680136959</v>
        <stp/>
        <stp>BDP|11861175422740880513</stp>
        <tr r="G618" s="2"/>
      </tp>
      <tp t="s">
        <v>#N/A Requesting Data...3218939360</v>
        <stp/>
        <stp>BDP|11966032124970911433</stp>
        <tr r="H2082" s="2"/>
      </tp>
      <tp t="s">
        <v>#N/A Requesting Data...3953095086</v>
        <stp/>
        <stp>BDP|14906128393138966350</stp>
        <tr r="G46" s="2"/>
      </tp>
      <tp t="s">
        <v>#N/A Requesting Data...2906384931</v>
        <stp/>
        <stp>BDP|16563986165828900657</stp>
        <tr r="R583" s="2"/>
      </tp>
      <tp t="s">
        <v>#N/A Requesting Data...3752474079</v>
        <stp/>
        <stp>BDP|13656662133971203051</stp>
        <tr r="R1761" s="2"/>
      </tp>
      <tp t="s">
        <v>#N/A Requesting Data...1656581882</v>
        <stp/>
        <stp>BDP|14102694843013998262</stp>
        <tr r="F1440" s="2"/>
      </tp>
      <tp t="s">
        <v>#N/A Requesting Data...1739950220</v>
        <stp/>
        <stp>BDP|16127406346830654156</stp>
        <tr r="Q981" s="2"/>
      </tp>
      <tp t="s">
        <v>#N/A Requesting Data...4191296600</v>
        <stp/>
        <stp>BDP|11419291158041595047</stp>
        <tr r="J2284" s="2"/>
      </tp>
      <tp t="s">
        <v>#N/A Requesting Data...4015647064</v>
        <stp/>
        <stp>BDP|11981544173182232680</stp>
        <tr r="P1456" s="2"/>
      </tp>
      <tp t="s">
        <v>#N/A Requesting Data...4029355473</v>
        <stp/>
        <stp>BDP|17942716429843222676</stp>
        <tr r="C1402" s="2"/>
      </tp>
      <tp t="s">
        <v>#N/A Requesting Data...1794070802</v>
        <stp/>
        <stp>BDP|14369746859869338896</stp>
        <tr r="N501" s="2"/>
      </tp>
      <tp t="s">
        <v>#N/A Requesting Data...2261486134</v>
        <stp/>
        <stp>BDP|14163795871016574589</stp>
        <tr r="F1890" s="2"/>
      </tp>
      <tp t="s">
        <v>#N/A Requesting Data...3450651894</v>
        <stp/>
        <stp>BDP|17400095242493890735</stp>
        <tr r="H1112" s="2"/>
      </tp>
      <tp t="b">
        <v>0</v>
        <stp/>
        <stp>BDS|17214458854560761137</stp>
        <tr r="I873" s="2"/>
      </tp>
      <tp t="b">
        <v>0</v>
        <stp/>
        <stp>BDS|17327325106991365235</stp>
        <tr r="I2103" s="2"/>
      </tp>
      <tp t="s">
        <v>#N/A Requesting Data...4231617233</v>
        <stp/>
        <stp>BDP|15444574820000498534</stp>
        <tr r="S878" s="2"/>
      </tp>
      <tp t="s">
        <v>#N/A Requesting Data...3429696011</v>
        <stp/>
        <stp>BDP|12396439443141646418</stp>
        <tr r="K1777" s="2"/>
      </tp>
      <tp t="s">
        <v>#N/A Requesting Data...4075906026</v>
        <stp/>
        <stp>BDP|18264269694794279062</stp>
        <tr r="H535" s="2"/>
      </tp>
      <tp t="s">
        <v>#N/A Requesting Data...3738933330</v>
        <stp/>
        <stp>BDP|16843706710257599095</stp>
        <tr r="C275" s="2"/>
      </tp>
      <tp t="s">
        <v>#N/A Requesting Data...2983891460</v>
        <stp/>
        <stp>BDP|18339993767819904904</stp>
        <tr r="C1230" s="2"/>
      </tp>
      <tp t="b">
        <v>0</v>
        <stp/>
        <stp>BDS|17498505853653810387</stp>
        <tr r="I447" s="2"/>
      </tp>
      <tp t="s">
        <v>#N/A Requesting Data...2749243684</v>
        <stp/>
        <stp>BDP|17472518128446030194</stp>
        <tr r="A2087" s="2"/>
      </tp>
      <tp t="s">
        <v>#N/A Requesting Data...2195474674</v>
        <stp/>
        <stp>BDP|18309456093594271638</stp>
        <tr r="M2226" s="2"/>
      </tp>
      <tp t="s">
        <v>#N/A Requesting Data...4022730435</v>
        <stp/>
        <stp>BDP|18322266056589173165</stp>
        <tr r="H363" s="2"/>
      </tp>
      <tp t="s">
        <v>#N/A Requesting Data...3194455703</v>
        <stp/>
        <stp>BDP|11469070712267033054</stp>
        <tr r="H564" s="2"/>
      </tp>
      <tp t="s">
        <v>#N/A Requesting Data...2485633687</v>
        <stp/>
        <stp>BDP|12199421607131829088</stp>
        <tr r="N2196" s="2"/>
      </tp>
      <tp t="s">
        <v>#N/A Requesting Data...2649741016</v>
        <stp/>
        <stp>BDP|13511876993447139243</stp>
        <tr r="O820" s="2"/>
      </tp>
      <tp t="b">
        <v>0</v>
        <stp/>
        <stp>BDS|10033453620764726556</stp>
        <tr r="I330" s="2"/>
      </tp>
      <tp t="s">
        <v>#N/A Requesting Data...1821708058</v>
        <stp/>
        <stp>BDP|13830799161967653225</stp>
        <tr r="A2521" s="2"/>
      </tp>
      <tp t="s">
        <v>#N/A Requesting Data...1938824581</v>
        <stp/>
        <stp>BDP|18136920020870297451</stp>
        <tr r="H1594" s="2"/>
      </tp>
      <tp t="s">
        <v>#N/A Requesting Data...2429912729</v>
        <stp/>
        <stp>BDP|12201955480003304706</stp>
        <tr r="S2111" s="2"/>
      </tp>
      <tp t="s">
        <v>#N/A Requesting Data...3530020274</v>
        <stp/>
        <stp>BDP|14281355569971943733</stp>
        <tr r="A1701" s="2"/>
      </tp>
      <tp t="s">
        <v>#N/A Requesting Data...4081561922</v>
        <stp/>
        <stp>BDP|10535843996692126427</stp>
        <tr r="K2488" s="2"/>
      </tp>
      <tp t="s">
        <v>#N/A Requesting Data...2526569129</v>
        <stp/>
        <stp>BDP|13833940796026634283</stp>
        <tr r="C306" s="2"/>
      </tp>
      <tp t="s">
        <v>#N/A Requesting Data...2812874784</v>
        <stp/>
        <stp>BDP|16055191649797028342</stp>
        <tr r="K2152" s="2"/>
      </tp>
      <tp t="s">
        <v>#N/A Requesting Data...2537238602</v>
        <stp/>
        <stp>BDP|17820557069041178210</stp>
        <tr r="K971" s="2"/>
      </tp>
      <tp t="s">
        <v>#N/A Requesting Data...2897989106</v>
        <stp/>
        <stp>BDP|10318698566544082386</stp>
        <tr r="T161" s="2"/>
      </tp>
      <tp t="s">
        <v>#N/A Requesting Data...2882694972</v>
        <stp/>
        <stp>BDP|12492069374263262106</stp>
        <tr r="J1463" s="2"/>
      </tp>
      <tp t="b">
        <v>0</v>
        <stp/>
        <stp>BDS|14271417040264016741</stp>
        <tr r="I1348" s="2"/>
      </tp>
      <tp t="s">
        <v>#N/A Requesting Data...1619734599</v>
        <stp/>
        <stp>BDP|10001178753877399438</stp>
        <tr r="M1605" s="2"/>
      </tp>
      <tp t="s">
        <v>#N/A Requesting Data...2611609677</v>
        <stp/>
        <stp>BDP|16041300049617938140</stp>
        <tr r="A364" s="2"/>
      </tp>
      <tp t="s">
        <v>#N/A Requesting Data...4254422758</v>
        <stp/>
        <stp>BDP|11808574139369478961</stp>
        <tr r="E2072" s="2"/>
      </tp>
      <tp t="b">
        <v>0</v>
        <stp/>
        <stp>BDS|15786146623042182367</stp>
        <tr r="I468" s="2"/>
      </tp>
      <tp t="s">
        <v>#N/A Requesting Data...3961916055</v>
        <stp/>
        <stp>BDP|12030536446155330126</stp>
        <tr r="K296" s="2"/>
      </tp>
      <tp t="s">
        <v>#N/A Requesting Data...2898248148</v>
        <stp/>
        <stp>BDP|10174074540855084622</stp>
        <tr r="H2153" s="2"/>
      </tp>
      <tp t="s">
        <v>#N/A Requesting Data...3185944559</v>
        <stp/>
        <stp>BDP|11632249858706649788</stp>
        <tr r="P1474" s="2"/>
      </tp>
      <tp t="s">
        <v>#N/A Requesting Data...3003311001</v>
        <stp/>
        <stp>BDP|15527393419024512441</stp>
        <tr r="F2204" s="2"/>
      </tp>
      <tp t="s">
        <v>#N/A Requesting Data...1781220344</v>
        <stp/>
        <stp>BDP|16254083342145570091</stp>
        <tr r="Q527" s="2"/>
      </tp>
      <tp t="s">
        <v>#N/A Requesting Data...3422208036</v>
        <stp/>
        <stp>BDP|13050425544017186339</stp>
        <tr r="T2159" s="2"/>
      </tp>
      <tp t="s">
        <v>#N/A Requesting Data...2355804486</v>
        <stp/>
        <stp>BDP|13729453556684116117</stp>
        <tr r="C724" s="2"/>
      </tp>
      <tp t="s">
        <v>#N/A Requesting Data...3918557863</v>
        <stp/>
        <stp>BDP|13558317941087265434</stp>
        <tr r="T1349" s="2"/>
      </tp>
      <tp t="s">
        <v>#N/A Requesting Data...3655189789</v>
        <stp/>
        <stp>BDP|13168839616839372430</stp>
        <tr r="S2059" s="2"/>
      </tp>
      <tp t="s">
        <v>#N/A Requesting Data...3190643083</v>
        <stp/>
        <stp>BDP|16037094390788437093</stp>
        <tr r="M666" s="2"/>
      </tp>
      <tp t="s">
        <v>#N/A Requesting Data...2075009714</v>
        <stp/>
        <stp>BDP|15877441508100856682</stp>
        <tr r="C888" s="2"/>
      </tp>
      <tp t="s">
        <v>#N/A Requesting Data...2148446523</v>
        <stp/>
        <stp>BDP|16421943862446209845</stp>
        <tr r="P1445" s="2"/>
      </tp>
      <tp t="s">
        <v>#N/A Requesting Data...3729666189</v>
        <stp/>
        <stp>BDP|10655480713174104684</stp>
        <tr r="R1594" s="2"/>
      </tp>
      <tp t="s">
        <v>#N/A Requesting Data...3642042956</v>
        <stp/>
        <stp>BDP|17121718355646897495</stp>
        <tr r="C2403" s="2"/>
      </tp>
      <tp t="s">
        <v>#N/A Requesting Data...3708650816</v>
        <stp/>
        <stp>BDP|11662701470011344713</stp>
        <tr r="N61" s="2"/>
      </tp>
      <tp t="s">
        <v>#N/A Requesting Data...1684666796</v>
        <stp/>
        <stp>BDP|18438653591757465706</stp>
        <tr r="F1414" s="2"/>
      </tp>
      <tp t="s">
        <v>#N/A Requesting Data...2962842936</v>
        <stp/>
        <stp>BDP|15298128437012701246</stp>
        <tr r="A1419" s="2"/>
      </tp>
      <tp t="s">
        <v>#N/A Requesting Data...4252173572</v>
        <stp/>
        <stp>BDP|10065547226463264344</stp>
        <tr r="R1890" s="2"/>
      </tp>
      <tp t="b">
        <v>0</v>
        <stp/>
        <stp>BDS|14035092279970684417</stp>
        <tr r="I2183" s="2"/>
      </tp>
      <tp t="s">
        <v>#N/A Requesting Data...3097799106</v>
        <stp/>
        <stp>BDP|10853804320855562898</stp>
        <tr r="C2470" s="2"/>
      </tp>
      <tp t="s">
        <v>#N/A Requesting Data...3540022177</v>
        <stp/>
        <stp>BDP|10446735335834569739</stp>
        <tr r="H2358" s="2"/>
      </tp>
      <tp t="s">
        <v>#N/A Requesting Data...2248586954</v>
        <stp/>
        <stp>BDP|17789303180249165229</stp>
        <tr r="F1503" s="2"/>
      </tp>
      <tp t="s">
        <v>#N/A Requesting Data...2903842618</v>
        <stp/>
        <stp>BDP|14706567680708518607</stp>
        <tr r="M2186" s="2"/>
      </tp>
      <tp t="s">
        <v>#N/A Requesting Data...2850139579</v>
        <stp/>
        <stp>BDP|14521898609949858290</stp>
        <tr r="Q193" s="2"/>
      </tp>
      <tp t="s">
        <v>#N/A Requesting Data...2067911423</v>
        <stp/>
        <stp>BDP|12809491988681472896</stp>
        <tr r="Q2009" s="2"/>
      </tp>
      <tp t="s">
        <v>#N/A Requesting Data...2225663506</v>
        <stp/>
        <stp>BDP|13181563712528199802</stp>
        <tr r="F2253" s="2"/>
      </tp>
      <tp t="s">
        <v>#N/A Requesting Data...3885587417</v>
        <stp/>
        <stp>BDP|12531853703739359447</stp>
        <tr r="Q1095" s="2"/>
      </tp>
      <tp t="s">
        <v>#N/A Requesting Data...2325196083</v>
        <stp/>
        <stp>BDP|17109391432871640188</stp>
        <tr r="F2249" s="2"/>
      </tp>
      <tp t="s">
        <v>#N/A Requesting Data...2075829276</v>
        <stp/>
        <stp>BDP|13816634246727031194</stp>
        <tr r="S313" s="2"/>
      </tp>
      <tp t="s">
        <v>#N/A Requesting Data...4282075244</v>
        <stp/>
        <stp>BDP|12604029351064592445</stp>
        <tr r="E974" s="2"/>
      </tp>
      <tp t="s">
        <v>#N/A Requesting Data...3340811426</v>
        <stp/>
        <stp>BDP|13461999492000387482</stp>
        <tr r="O1631" s="2"/>
      </tp>
      <tp t="s">
        <v>#N/A Requesting Data...3838836894</v>
        <stp/>
        <stp>BDP|11233160912744573277</stp>
        <tr r="H810" s="2"/>
      </tp>
      <tp t="s">
        <v>#N/A Requesting Data...2316390628</v>
        <stp/>
        <stp>BDP|18208001227758047516</stp>
        <tr r="N1343" s="2"/>
      </tp>
      <tp t="s">
        <v>#N/A Requesting Data...2054375761</v>
        <stp/>
        <stp>BDP|13001934492067588308</stp>
        <tr r="Q2465" s="2"/>
      </tp>
      <tp t="s">
        <v>#N/A Requesting Data...2877064521</v>
        <stp/>
        <stp>BDP|16268783839732328744</stp>
        <tr r="E2444" s="2"/>
      </tp>
      <tp t="s">
        <v>#N/A Requesting Data...3396579752</v>
        <stp/>
        <stp>BDP|13341366164571052056</stp>
        <tr r="H1465" s="2"/>
      </tp>
      <tp t="s">
        <v>#N/A Requesting Data...2913944356</v>
        <stp/>
        <stp>BDP|13504164130217121160</stp>
        <tr r="R2153" s="2"/>
      </tp>
      <tp t="s">
        <v>#N/A Requesting Data...1843060038</v>
        <stp/>
        <stp>BDP|11678470470485314066</stp>
        <tr r="G546" s="2"/>
      </tp>
      <tp t="s">
        <v>#N/A Requesting Data...2513844216</v>
        <stp/>
        <stp>BDP|12323086379660235245</stp>
        <tr r="H346" s="2"/>
      </tp>
      <tp t="s">
        <v>#N/A Requesting Data...2188334931</v>
        <stp/>
        <stp>BDP|14281603231935602316</stp>
        <tr r="N615" s="2"/>
      </tp>
      <tp t="s">
        <v>#N/A Requesting Data...3854517618</v>
        <stp/>
        <stp>BDP|11080018846454380637</stp>
        <tr r="N256" s="2"/>
      </tp>
      <tp t="s">
        <v>#N/A Requesting Data...3238242049</v>
        <stp/>
        <stp>BDP|16170438225547553054</stp>
        <tr r="S1970" s="2"/>
      </tp>
      <tp t="s">
        <v>#N/A Requesting Data...2558567778</v>
        <stp/>
        <stp>BDP|13956488705212761242</stp>
        <tr r="H1719" s="2"/>
      </tp>
      <tp t="s">
        <v>#N/A Requesting Data...4034316398</v>
        <stp/>
        <stp>BDP|10032938941278064255</stp>
        <tr r="O1100" s="2"/>
      </tp>
      <tp t="s">
        <v>#N/A Requesting Data...1733349130</v>
        <stp/>
        <stp>BDP|10055347129926942035</stp>
        <tr r="A645" s="2"/>
      </tp>
      <tp t="s">
        <v>#N/A Requesting Data...3417987731</v>
        <stp/>
        <stp>BDP|14329704970445284660</stp>
        <tr r="N1698" s="2"/>
      </tp>
      <tp t="s">
        <v>#N/A Requesting Data...4211810601</v>
        <stp/>
        <stp>BDP|16908466508876151312</stp>
        <tr r="C977" s="2"/>
      </tp>
      <tp t="s">
        <v>#N/A Requesting Data...3883263578</v>
        <stp/>
        <stp>BDP|10342536740956043076</stp>
        <tr r="H808" s="2"/>
      </tp>
      <tp t="s">
        <v>#N/A Requesting Data...3951210242</v>
        <stp/>
        <stp>BDP|10658769145423168737</stp>
        <tr r="N638" s="2"/>
      </tp>
      <tp t="s">
        <v>#N/A Requesting Data...4226543209</v>
        <stp/>
        <stp>BDP|13795789693368399282</stp>
        <tr r="C661" s="2"/>
      </tp>
      <tp t="s">
        <v>#N/A Requesting Data...2233855056</v>
        <stp/>
        <stp>BDP|11779678509047843763</stp>
        <tr r="K2130" s="2"/>
      </tp>
      <tp t="s">
        <v>#N/A Requesting Data...3618045841</v>
        <stp/>
        <stp>BDP|10044560277626227348</stp>
        <tr r="R465" s="2"/>
      </tp>
      <tp t="s">
        <v>#N/A Requesting Data...2168107564</v>
        <stp/>
        <stp>BDP|15354218107961250109</stp>
        <tr r="N2111" s="2"/>
      </tp>
      <tp t="s">
        <v>#N/A Requesting Data...2247799852</v>
        <stp/>
        <stp>BDP|17864451275276643599</stp>
        <tr r="K1001" s="2"/>
      </tp>
      <tp t="s">
        <v>#N/A Requesting Data...2851340453</v>
        <stp/>
        <stp>BDP|16980136216687923625</stp>
        <tr r="E847" s="2"/>
      </tp>
      <tp t="s">
        <v>#N/A Requesting Data...2518756576</v>
        <stp/>
        <stp>BDP|15239199308885359678</stp>
        <tr r="K1350" s="2"/>
      </tp>
      <tp t="s">
        <v>#N/A Requesting Data...3761835338</v>
        <stp/>
        <stp>BDP|15587313757031609524</stp>
        <tr r="G1328" s="2"/>
      </tp>
      <tp t="s">
        <v>#N/A Requesting Data...2767554711</v>
        <stp/>
        <stp>BDP|10606210333670500669</stp>
        <tr r="S685" s="2"/>
      </tp>
      <tp t="s">
        <v>#N/A Requesting Data...2777809645</v>
        <stp/>
        <stp>BDP|17188353602355146602</stp>
        <tr r="C2427" s="2"/>
      </tp>
      <tp t="s">
        <v>#N/A Requesting Data...1852801150</v>
        <stp/>
        <stp>BDP|13894251556897877449</stp>
        <tr r="M393" s="2"/>
      </tp>
      <tp t="s">
        <v>#N/A Requesting Data...2430395929</v>
        <stp/>
        <stp>BDP|14180127993229643217</stp>
        <tr r="Q2338" s="2"/>
      </tp>
      <tp t="b">
        <v>0</v>
        <stp/>
        <stp>BDS|15004221833147363468</stp>
        <tr r="I1132" s="2"/>
      </tp>
      <tp t="s">
        <v>#N/A Requesting Data...1911842352</v>
        <stp/>
        <stp>BDP|18036213179909950362</stp>
        <tr r="Q224" s="2"/>
      </tp>
      <tp t="s">
        <v>#N/A Requesting Data...2876976361</v>
        <stp/>
        <stp>BDP|10048219866653175012</stp>
        <tr r="E1300" s="2"/>
      </tp>
      <tp t="s">
        <v>#N/A Requesting Data...3651092661</v>
        <stp/>
        <stp>BDP|11631504521619367839</stp>
        <tr r="H182" s="2"/>
      </tp>
      <tp t="s">
        <v>#N/A Requesting Data...2571047020</v>
        <stp/>
        <stp>BDP|16721442170047296567</stp>
        <tr r="G2425" s="2"/>
      </tp>
      <tp t="s">
        <v>#N/A Requesting Data...3115695210</v>
        <stp/>
        <stp>BDP|17789323086742431902</stp>
        <tr r="R2266" s="2"/>
      </tp>
      <tp t="s">
        <v>#N/A Requesting Data...3025009225</v>
        <stp/>
        <stp>BDP|13573418337057770435</stp>
        <tr r="N860" s="2"/>
      </tp>
      <tp t="s">
        <v>#N/A Requesting Data...2973150624</v>
        <stp/>
        <stp>BDP|17698534836641121755</stp>
        <tr r="O1136" s="2"/>
      </tp>
      <tp t="s">
        <v>#N/A Requesting Data...1929412100</v>
        <stp/>
        <stp>BDP|17465682556905587689</stp>
        <tr r="S2291" s="2"/>
      </tp>
      <tp t="s">
        <v>#N/A Requesting Data...3905886667</v>
        <stp/>
        <stp>BDP|17064596833951438796</stp>
        <tr r="P1439" s="2"/>
      </tp>
      <tp t="s">
        <v>#N/A Requesting Data...2433470167</v>
        <stp/>
        <stp>BDP|17649469132195310261</stp>
        <tr r="H1197" s="2"/>
      </tp>
      <tp t="s">
        <v>#N/A Requesting Data...3297323729</v>
        <stp/>
        <stp>BDP|13983220878545782436</stp>
        <tr r="G1672" s="2"/>
      </tp>
      <tp t="s">
        <v>#N/A Requesting Data...4152234380</v>
        <stp/>
        <stp>BDP|16877538436494889320</stp>
        <tr r="N2187" s="2"/>
      </tp>
      <tp t="s">
        <v>#N/A Requesting Data...2461349147</v>
        <stp/>
        <stp>BDP|10493069117296499068</stp>
        <tr r="T1050" s="2"/>
      </tp>
      <tp t="s">
        <v>#N/A Requesting Data...3935016505</v>
        <stp/>
        <stp>BDP|17131648531501598465</stp>
        <tr r="C1046" s="2"/>
      </tp>
      <tp t="s">
        <v>#N/A Requesting Data...3129880176</v>
        <stp/>
        <stp>BDP|16226413270594342672</stp>
        <tr r="G933" s="2"/>
      </tp>
      <tp t="s">
        <v>#N/A Requesting Data...2758597951</v>
        <stp/>
        <stp>BDP|10646802892735473374</stp>
        <tr r="K1552" s="2"/>
      </tp>
      <tp t="s">
        <v>#N/A Requesting Data...4026403197</v>
        <stp/>
        <stp>BDP|10024131860607205767</stp>
        <tr r="S1219" s="2"/>
      </tp>
      <tp t="s">
        <v>#N/A Requesting Data...2941692587</v>
        <stp/>
        <stp>BDP|13131481359732468731</stp>
        <tr r="M297" s="2"/>
      </tp>
      <tp t="s">
        <v>#N/A Requesting Data...3704524682</v>
        <stp/>
        <stp>BDP|10626488036979699998</stp>
        <tr r="E1652" s="2"/>
      </tp>
      <tp t="s">
        <v>#N/A Requesting Data...3460835117</v>
        <stp/>
        <stp>BDP|10778002034162525614</stp>
        <tr r="P1449" s="2"/>
      </tp>
      <tp t="s">
        <v>#N/A Requesting Data...2230082817</v>
        <stp/>
        <stp>BDP|15263701707694718152</stp>
        <tr r="M1755" s="2"/>
      </tp>
      <tp t="s">
        <v>#N/A Requesting Data...3847199872</v>
        <stp/>
        <stp>BDP|11102718566152785563</stp>
        <tr r="E1868" s="2"/>
      </tp>
      <tp t="s">
        <v>#N/A Requesting Data...3064817884</v>
        <stp/>
        <stp>BDP|12124507452727084248</stp>
        <tr r="T1406" s="2"/>
      </tp>
      <tp t="s">
        <v>#N/A Requesting Data...3224516075</v>
        <stp/>
        <stp>BDP|16365916693157155676</stp>
        <tr r="E504" s="2"/>
      </tp>
      <tp t="s">
        <v>#N/A Requesting Data...4198066694</v>
        <stp/>
        <stp>BDP|14242772314065328055</stp>
        <tr r="D1678" s="2"/>
      </tp>
      <tp t="s">
        <v>#N/A Requesting Data...2697711665</v>
        <stp/>
        <stp>BDP|16302100226076619440</stp>
        <tr r="M302" s="2"/>
      </tp>
      <tp t="s">
        <v>#N/A Requesting Data...3348695835</v>
        <stp/>
        <stp>BDP|12309273582219665676</stp>
        <tr r="P305" s="2"/>
      </tp>
      <tp t="s">
        <v>#N/A Requesting Data...2769412825</v>
        <stp/>
        <stp>BDP|16773024047886693333</stp>
        <tr r="P1408" s="2"/>
      </tp>
      <tp t="s">
        <v>#N/A Requesting Data...2782282041</v>
        <stp/>
        <stp>BDP|12479365394439902687</stp>
        <tr r="M1487" s="2"/>
      </tp>
      <tp t="s">
        <v>#N/A Requesting Data...3044713138</v>
        <stp/>
        <stp>BDP|11473471849773989548</stp>
        <tr r="H1369" s="2"/>
      </tp>
      <tp t="s">
        <v>#N/A Requesting Data...2874935937</v>
        <stp/>
        <stp>BDP|10531931984094665235</stp>
        <tr r="C478" s="2"/>
      </tp>
      <tp t="s">
        <v>#N/A Requesting Data...2349799472</v>
        <stp/>
        <stp>BDP|13063457557707010256</stp>
        <tr r="D80" s="2"/>
      </tp>
      <tp t="s">
        <v>#N/A Requesting Data...3677296255</v>
        <stp/>
        <stp>BDP|16408644438961648598</stp>
        <tr r="M2285" s="2"/>
      </tp>
      <tp t="s">
        <v>#N/A Requesting Data...3054339400</v>
        <stp/>
        <stp>BDP|17575213703007530556</stp>
        <tr r="J1018" s="2"/>
      </tp>
      <tp t="s">
        <v>#N/A Requesting Data...3593196057</v>
        <stp/>
        <stp>BDP|13667392165687533681</stp>
        <tr r="S368" s="2"/>
      </tp>
      <tp t="s">
        <v>#N/A Requesting Data...3570203947</v>
        <stp/>
        <stp>BDP|16653750370474408501</stp>
        <tr r="H609" s="2"/>
      </tp>
      <tp t="s">
        <v>#N/A Requesting Data...3189113546</v>
        <stp/>
        <stp>BDP|13258101530655370365</stp>
        <tr r="M2125" s="2"/>
      </tp>
      <tp t="s">
        <v>#N/A Requesting Data...3754311293</v>
        <stp/>
        <stp>BDP|12892735194452192991</stp>
        <tr r="A1804" s="2"/>
      </tp>
      <tp t="s">
        <v>#N/A Requesting Data...3341263264</v>
        <stp/>
        <stp>BDP|12303150940682042212</stp>
        <tr r="P933" s="2"/>
      </tp>
      <tp t="b">
        <v>0</v>
        <stp/>
        <stp>BDS|12938207442576809571</stp>
        <tr r="I2392" s="2"/>
      </tp>
      <tp t="s">
        <v>#N/A Requesting Data...3258789146</v>
        <stp/>
        <stp>BDP|13114518919205744598</stp>
        <tr r="N832" s="2"/>
      </tp>
      <tp t="s">
        <v>#N/A Requesting Data...4264326097</v>
        <stp/>
        <stp>BDP|12972778528849889998</stp>
        <tr r="J380" s="2"/>
      </tp>
      <tp t="s">
        <v>#N/A Requesting Data...3131819290</v>
        <stp/>
        <stp>BDP|10292419542985069268</stp>
        <tr r="F225" s="2"/>
      </tp>
      <tp t="s">
        <v>#N/A Requesting Data...2235660953</v>
        <stp/>
        <stp>BDP|10483822470690081812</stp>
        <tr r="S1113" s="2"/>
      </tp>
      <tp t="s">
        <v>#N/A Requesting Data...3575802657</v>
        <stp/>
        <stp>BDP|12537024754494433406</stp>
        <tr r="C1014" s="2"/>
      </tp>
      <tp t="s">
        <v>#N/A Requesting Data...3982439273</v>
        <stp/>
        <stp>BDP|14335625983488360562</stp>
        <tr r="C1121" s="2"/>
      </tp>
      <tp t="s">
        <v>#N/A Requesting Data...1950216660</v>
        <stp/>
        <stp>BDP|14875490079432942261</stp>
        <tr r="T719" s="2"/>
      </tp>
      <tp t="b">
        <v>0</v>
        <stp/>
        <stp>BDS|13375567416504156466</stp>
        <tr r="I801" s="2"/>
      </tp>
      <tp t="s">
        <v>#N/A Requesting Data...2725241243</v>
        <stp/>
        <stp>BDP|16486132430374494746</stp>
        <tr r="C407" s="2"/>
      </tp>
      <tp t="s">
        <v>#N/A Requesting Data...3601605868</v>
        <stp/>
        <stp>BDP|12767621277063580709</stp>
        <tr r="N877" s="2"/>
      </tp>
      <tp t="s">
        <v>#N/A Requesting Data...2168502780</v>
        <stp/>
        <stp>BDP|15065313727742605174</stp>
        <tr r="S557" s="2"/>
      </tp>
      <tp t="s">
        <v>#N/A Requesting Data...3087894135</v>
        <stp/>
        <stp>BDP|11774645771796316161</stp>
        <tr r="D563" s="2"/>
      </tp>
      <tp t="s">
        <v>#N/A Requesting Data...3011703673</v>
        <stp/>
        <stp>BDP|16780410144774439519</stp>
        <tr r="C157" s="2"/>
      </tp>
      <tp t="s">
        <v>#N/A Requesting Data...3225797346</v>
        <stp/>
        <stp>BDP|11023351955134362441</stp>
        <tr r="S44" s="2"/>
      </tp>
      <tp t="s">
        <v>#N/A Requesting Data...3799588879</v>
        <stp/>
        <stp>BDP|12342754372127136227</stp>
        <tr r="P160" s="2"/>
      </tp>
      <tp t="s">
        <v>#N/A Requesting Data...3378552212</v>
        <stp/>
        <stp>BDP|17958082841410041472</stp>
        <tr r="Q988" s="2"/>
      </tp>
      <tp t="s">
        <v>#N/A Requesting Data...2907865451</v>
        <stp/>
        <stp>BDP|17552011674144412331</stp>
        <tr r="C671" s="2"/>
      </tp>
      <tp t="s">
        <v>#N/A Requesting Data...2183118790</v>
        <stp/>
        <stp>BDP|18027991168330277042</stp>
        <tr r="A2043" s="2"/>
      </tp>
      <tp t="b">
        <v>0</v>
        <stp/>
        <stp>BDS|14088365447982716620</stp>
        <tr r="I732" s="2"/>
      </tp>
      <tp t="s">
        <v>#N/A Requesting Data...3060093606</v>
        <stp/>
        <stp>BDP|17811202968414436030</stp>
        <tr r="M8" s="2"/>
      </tp>
      <tp t="s">
        <v>#N/A Requesting Data...4186075109</v>
        <stp/>
        <stp>BDP|10546776606594070434</stp>
        <tr r="O2234" s="2"/>
      </tp>
      <tp t="s">
        <v>#N/A Requesting Data...3038219884</v>
        <stp/>
        <stp>BDP|15380156937157084763</stp>
        <tr r="F1854" s="2"/>
      </tp>
      <tp t="s">
        <v>#N/A Requesting Data...4176885350</v>
        <stp/>
        <stp>BDP|17243003859060855546</stp>
        <tr r="H2219" s="2"/>
      </tp>
      <tp t="s">
        <v>#N/A Requesting Data...2280143804</v>
        <stp/>
        <stp>BDP|13883582948382659798</stp>
        <tr r="T1894" s="2"/>
      </tp>
      <tp t="s">
        <v>#N/A Requesting Data...3554592523</v>
        <stp/>
        <stp>BDP|18401742975268124736</stp>
        <tr r="M471" s="2"/>
      </tp>
      <tp t="s">
        <v>#N/A Requesting Data...2357900708</v>
        <stp/>
        <stp>BDP|15360865693194359723</stp>
        <tr r="Q723" s="2"/>
      </tp>
      <tp t="s">
        <v>#N/A Requesting Data...3692529021</v>
        <stp/>
        <stp>BDP|10276548369456861209</stp>
        <tr r="Q549" s="2"/>
      </tp>
      <tp t="s">
        <v>#N/A Requesting Data...3344322747</v>
        <stp/>
        <stp>BDP|16391279731205507576</stp>
        <tr r="D1941" s="2"/>
      </tp>
      <tp t="s">
        <v>#N/A Requesting Data...3459488840</v>
        <stp/>
        <stp>BDP|17150123405308166907</stp>
        <tr r="J2255" s="2"/>
      </tp>
      <tp t="s">
        <v>#N/A Requesting Data...2081216188</v>
        <stp/>
        <stp>BDP|12672706022762550278</stp>
        <tr r="P415" s="2"/>
      </tp>
      <tp t="s">
        <v>#N/A Requesting Data...4149660687</v>
        <stp/>
        <stp>BDP|12489664013001218356</stp>
        <tr r="M728" s="2"/>
      </tp>
      <tp t="s">
        <v>#N/A Requesting Data...2589048566</v>
        <stp/>
        <stp>BDP|12105478444702372773</stp>
        <tr r="Q863" s="2"/>
      </tp>
      <tp t="s">
        <v>#N/A Requesting Data...3766833158</v>
        <stp/>
        <stp>BDP|13843690030392458339</stp>
        <tr r="T1656" s="2"/>
      </tp>
      <tp t="s">
        <v>#N/A Requesting Data...2381185123</v>
        <stp/>
        <stp>BDP|18130195076978929117</stp>
        <tr r="H2446" s="2"/>
      </tp>
      <tp t="s">
        <v>#N/A Requesting Data...2506201910</v>
        <stp/>
        <stp>BDP|16670621043522991180</stp>
        <tr r="H834" s="2"/>
      </tp>
      <tp t="s">
        <v>#N/A Requesting Data...3037827816</v>
        <stp/>
        <stp>BDP|13943736881918528383</stp>
        <tr r="J1943" s="2"/>
      </tp>
      <tp t="s">
        <v>#N/A Requesting Data...2672840106</v>
        <stp/>
        <stp>BDP|11183509926845462456</stp>
        <tr r="T935" s="2"/>
      </tp>
      <tp t="s">
        <v>#N/A Requesting Data...4220813205</v>
        <stp/>
        <stp>BDP|11196167231511120510</stp>
        <tr r="C814" s="2"/>
      </tp>
      <tp t="s">
        <v>#N/A Requesting Data...2669583600</v>
        <stp/>
        <stp>BDP|12370363607650426609</stp>
        <tr r="J1524" s="2"/>
      </tp>
      <tp t="s">
        <v>#N/A Requesting Data...2685358520</v>
        <stp/>
        <stp>BDP|13032214321753300759</stp>
        <tr r="Q59" s="2"/>
      </tp>
      <tp t="b">
        <v>0</v>
        <stp/>
        <stp>BDS|16268645136452561609</stp>
        <tr r="I2147" s="2"/>
      </tp>
      <tp t="s">
        <v>#N/A Requesting Data...3906805562</v>
        <stp/>
        <stp>BDP|10188445768667366285</stp>
        <tr r="T1397" s="2"/>
      </tp>
      <tp t="s">
        <v>#N/A Requesting Data...3215775412</v>
        <stp/>
        <stp>BDP|10327281862822773184</stp>
        <tr r="A1318" s="2"/>
      </tp>
      <tp t="s">
        <v>#N/A Requesting Data...3958926817</v>
        <stp/>
        <stp>BDP|13359671971763393602</stp>
        <tr r="R2362" s="2"/>
      </tp>
      <tp t="s">
        <v>#N/A Requesting Data...2347267983</v>
        <stp/>
        <stp>BDP|15908294982300377878</stp>
        <tr r="Q471" s="2"/>
      </tp>
      <tp t="s">
        <v>#N/A Requesting Data...3473891652</v>
        <stp/>
        <stp>BDP|15354145306084171768</stp>
        <tr r="N362" s="2"/>
      </tp>
      <tp t="s">
        <v>#N/A Requesting Data...2544011797</v>
        <stp/>
        <stp>BDP|14680291512194264491</stp>
        <tr r="C2417" s="2"/>
      </tp>
      <tp t="s">
        <v>#N/A Requesting Data...3069750217</v>
        <stp/>
        <stp>BDP|16655263830449242949</stp>
        <tr r="D2220" s="2"/>
      </tp>
      <tp t="s">
        <v>#N/A Requesting Data...2402586323</v>
        <stp/>
        <stp>BDP|17013461912120563578</stp>
        <tr r="J1374" s="2"/>
      </tp>
      <tp t="s">
        <v>#N/A Requesting Data...3573140005</v>
        <stp/>
        <stp>BDP|11090158999297394995</stp>
        <tr r="J2234" s="2"/>
      </tp>
      <tp t="s">
        <v>#N/A Requesting Data...2789845119</v>
        <stp/>
        <stp>BDP|14878492941055022668</stp>
        <tr r="E110" s="2"/>
      </tp>
      <tp t="s">
        <v>#N/A Requesting Data...2976290923</v>
        <stp/>
        <stp>BDP|11700139736044753033</stp>
        <tr r="Q2325" s="2"/>
      </tp>
      <tp t="s">
        <v>#N/A Requesting Data...2162796438</v>
        <stp/>
        <stp>BDP|16849872394307596782</stp>
        <tr r="Q2452" s="2"/>
      </tp>
      <tp t="s">
        <v>#N/A Requesting Data...2643313545</v>
        <stp/>
        <stp>BDP|13868448413027960606</stp>
        <tr r="S177" s="2"/>
      </tp>
      <tp t="s">
        <v>#N/A Requesting Data...4282244527</v>
        <stp/>
        <stp>BDP|15181351202753605260</stp>
        <tr r="A2398" s="2"/>
      </tp>
      <tp t="s">
        <v>#N/A Requesting Data...2775373853</v>
        <stp/>
        <stp>BDP|14959708371223715093</stp>
        <tr r="G667" s="2"/>
      </tp>
      <tp t="s">
        <v>#N/A Requesting Data...2250384490</v>
        <stp/>
        <stp>BDP|13098030840393205377</stp>
        <tr r="N1385" s="2"/>
      </tp>
      <tp t="s">
        <v>#N/A Requesting Data...3390802719</v>
        <stp/>
        <stp>BDP|13228628700324225646</stp>
        <tr r="A2421" s="2"/>
      </tp>
      <tp t="s">
        <v>#N/A Requesting Data...3091442521</v>
        <stp/>
        <stp>BDP|18177003888043693490</stp>
        <tr r="D263" s="2"/>
      </tp>
      <tp t="s">
        <v>#N/A Requesting Data...3127701132</v>
        <stp/>
        <stp>BDP|12620453466223499476</stp>
        <tr r="F1848" s="2"/>
      </tp>
      <tp t="s">
        <v>#N/A Requesting Data...4148917965</v>
        <stp/>
        <stp>BDP|17189441615350422524</stp>
        <tr r="D1413" s="2"/>
      </tp>
      <tp t="s">
        <v>#N/A Requesting Data...3888539738</v>
        <stp/>
        <stp>BDP|13629691868496683273</stp>
        <tr r="F1909" s="2"/>
      </tp>
      <tp t="s">
        <v>#N/A Requesting Data...2884870121</v>
        <stp/>
        <stp>BDP|13662713982183288810</stp>
        <tr r="J528" s="2"/>
      </tp>
      <tp t="s">
        <v>#N/A Requesting Data...2882309256</v>
        <stp/>
        <stp>BDP|16682131443805553158</stp>
        <tr r="F662" s="2"/>
      </tp>
      <tp t="s">
        <v>#N/A Requesting Data...3469949598</v>
        <stp/>
        <stp>BDP|16506606884289287650</stp>
        <tr r="N1183" s="2"/>
      </tp>
      <tp t="s">
        <v>#N/A Requesting Data...2374239759</v>
        <stp/>
        <stp>BDP|14297947611719052210</stp>
        <tr r="S2316" s="2"/>
      </tp>
      <tp t="b">
        <v>0</v>
        <stp/>
        <stp>BDS|17216954058684281888</stp>
        <tr r="I2202" s="2"/>
      </tp>
      <tp t="s">
        <v>#N/A Requesting Data...2378530446</v>
        <stp/>
        <stp>BDP|12725712834502454303</stp>
        <tr r="S1785" s="2"/>
      </tp>
      <tp t="s">
        <v>#N/A Requesting Data...2686869533</v>
        <stp/>
        <stp>BDP|13744743417562463067</stp>
        <tr r="J518" s="2"/>
      </tp>
      <tp t="s">
        <v>#N/A Requesting Data...3960510722</v>
        <stp/>
        <stp>BDP|15507970005413565841</stp>
        <tr r="K133" s="2"/>
      </tp>
      <tp t="b">
        <v>0</v>
        <stp/>
        <stp>BDS|17641431853800165129</stp>
        <tr r="I1488" s="2"/>
      </tp>
      <tp t="s">
        <v>#N/A Requesting Data...3813163326</v>
        <stp/>
        <stp>BDP|10198798689080549827</stp>
        <tr r="R650" s="2"/>
      </tp>
      <tp t="s">
        <v>#N/A Requesting Data...2628232064</v>
        <stp/>
        <stp>BDP|11585915306897741833</stp>
        <tr r="F758" s="2"/>
      </tp>
      <tp t="s">
        <v>#N/A Requesting Data...2121530570</v>
        <stp/>
        <stp>BDP|13211647039419128882</stp>
        <tr r="R340" s="2"/>
      </tp>
      <tp t="s">
        <v>#N/A Requesting Data...3679569652</v>
        <stp/>
        <stp>BDP|13890339976939222999</stp>
        <tr r="R438" s="2"/>
      </tp>
      <tp t="s">
        <v>#N/A Requesting Data...4222096926</v>
        <stp/>
        <stp>BDP|15119121104067169404</stp>
        <tr r="O2330" s="2"/>
      </tp>
      <tp t="s">
        <v>#N/A Requesting Data...2525899666</v>
        <stp/>
        <stp>BDP|17681004382320181835</stp>
        <tr r="E1749" s="2"/>
      </tp>
      <tp t="s">
        <v>#N/A Requesting Data...2961754225</v>
        <stp/>
        <stp>BDP|17562727330684429057</stp>
        <tr r="F775" s="2"/>
      </tp>
      <tp t="s">
        <v>#N/A Requesting Data...2610400820</v>
        <stp/>
        <stp>BDP|10547813412398546651</stp>
        <tr r="G1701" s="2"/>
      </tp>
      <tp t="s">
        <v>#N/A Requesting Data...3435067661</v>
        <stp/>
        <stp>BDP|15575564847296158535</stp>
        <tr r="H838" s="2"/>
      </tp>
      <tp t="s">
        <v>#N/A Requesting Data...4261721536</v>
        <stp/>
        <stp>BDP|15738678166941835380</stp>
        <tr r="O196" s="2"/>
      </tp>
      <tp t="s">
        <v>#N/A Requesting Data...2298281331</v>
        <stp/>
        <stp>BDP|11521328107081593432</stp>
        <tr r="P995" s="2"/>
      </tp>
      <tp t="b">
        <v>0</v>
        <stp/>
        <stp>BDS|16437044052657128362</stp>
        <tr r="I1617" s="2"/>
      </tp>
      <tp t="s">
        <v>#N/A Requesting Data...4238613468</v>
        <stp/>
        <stp>BDP|17260433200100405435</stp>
        <tr r="D1366" s="2"/>
      </tp>
      <tp t="s">
        <v>#N/A Requesting Data...2382947412</v>
        <stp/>
        <stp>BDP|12400570676830715748</stp>
        <tr r="T431" s="2"/>
      </tp>
      <tp t="s">
        <v>#N/A Requesting Data...3782183480</v>
        <stp/>
        <stp>BDP|16586958695192029332</stp>
        <tr r="O701" s="2"/>
      </tp>
      <tp t="s">
        <v>#N/A Requesting Data...2487167683</v>
        <stp/>
        <stp>BDP|15334212217488661953</stp>
        <tr r="K2492" s="2"/>
      </tp>
      <tp t="s">
        <v>#N/A Requesting Data...2154623488</v>
        <stp/>
        <stp>BDP|12150322982597039971</stp>
        <tr r="K1310" s="2"/>
      </tp>
      <tp t="s">
        <v>#N/A Requesting Data...4092087206</v>
        <stp/>
        <stp>BDP|12880648020393853226</stp>
        <tr r="J296" s="2"/>
      </tp>
      <tp t="s">
        <v>#N/A Requesting Data...4102527376</v>
        <stp/>
        <stp>BDP|10518964561308708036</stp>
        <tr r="Q1410" s="2"/>
      </tp>
      <tp t="s">
        <v>#N/A Requesting Data...4207664646</v>
        <stp/>
        <stp>BDP|16643033315069103977</stp>
        <tr r="J1497" s="2"/>
      </tp>
      <tp t="s">
        <v>#N/A Requesting Data...2319475135</v>
        <stp/>
        <stp>BDP|14556100416637371464</stp>
        <tr r="M2053" s="2"/>
      </tp>
      <tp t="s">
        <v>#N/A Requesting Data...3476119616</v>
        <stp/>
        <stp>BDP|15104213457663666673</stp>
        <tr r="O374" s="2"/>
      </tp>
      <tp t="s">
        <v>#N/A Requesting Data...3602589772</v>
        <stp/>
        <stp>BDP|12092490318993335344</stp>
        <tr r="S1928" s="2"/>
      </tp>
      <tp t="s">
        <v>#N/A Requesting Data...3090456669</v>
        <stp/>
        <stp>BDP|12396341093689387611</stp>
        <tr r="R931" s="2"/>
      </tp>
      <tp t="s">
        <v>#N/A Requesting Data...3439675965</v>
        <stp/>
        <stp>BDP|10548795009732161227</stp>
        <tr r="S250" s="2"/>
      </tp>
      <tp t="s">
        <v>#N/A Requesting Data...3193885586</v>
        <stp/>
        <stp>BDP|17178793178367288748</stp>
        <tr r="G2360" s="2"/>
      </tp>
      <tp t="s">
        <v>#N/A Requesting Data...3739944675</v>
        <stp/>
        <stp>BDP|18137633721158122344</stp>
        <tr r="P994" s="2"/>
      </tp>
      <tp t="s">
        <v>#N/A Requesting Data...3556557009</v>
        <stp/>
        <stp>BDP|12781718330359116815</stp>
        <tr r="N2027" s="2"/>
      </tp>
      <tp t="s">
        <v>#N/A Requesting Data...2359074331</v>
        <stp/>
        <stp>BDP|16646205732788498868</stp>
        <tr r="N82" s="2"/>
      </tp>
      <tp t="b">
        <v>0</v>
        <stp/>
        <stp>BDS|16245103913073049244</stp>
        <tr r="I2024" s="2"/>
      </tp>
      <tp t="s">
        <v>#N/A Requesting Data...3164484623</v>
        <stp/>
        <stp>BDP|16575823863546204907</stp>
        <tr r="P1784" s="2"/>
      </tp>
      <tp t="s">
        <v>#N/A Requesting Data...3637697748</v>
        <stp/>
        <stp>BDP|10816866445183563886</stp>
        <tr r="R1938" s="2"/>
      </tp>
      <tp t="s">
        <v>#N/A Requesting Data...2810631403</v>
        <stp/>
        <stp>BDP|11192267527955679306</stp>
        <tr r="N281" s="2"/>
      </tp>
      <tp t="s">
        <v>#N/A Requesting Data...3507455959</v>
        <stp/>
        <stp>BDP|13185268512530519762</stp>
        <tr r="C1394" s="2"/>
      </tp>
      <tp t="s">
        <v>#N/A Requesting Data...4036775359</v>
        <stp/>
        <stp>BDP|13073629133706566729</stp>
        <tr r="P1159" s="2"/>
      </tp>
      <tp t="s">
        <v>#N/A Requesting Data...2799737931</v>
        <stp/>
        <stp>BDP|13384501672220584625</stp>
        <tr r="C1665" s="2"/>
      </tp>
      <tp t="s">
        <v>#N/A Requesting Data...2530162851</v>
        <stp/>
        <stp>BDP|13597049844879589966</stp>
        <tr r="Q346" s="2"/>
      </tp>
      <tp t="s">
        <v>#N/A Requesting Data...4107218098</v>
        <stp/>
        <stp>BDP|18034445355408766602</stp>
        <tr r="Q2129" s="2"/>
      </tp>
      <tp t="s">
        <v>#N/A Requesting Data...3878563951</v>
        <stp/>
        <stp>BDP|15617597265076512791</stp>
        <tr r="Q2182" s="2"/>
      </tp>
      <tp t="s">
        <v>#N/A Requesting Data...4242538702</v>
        <stp/>
        <stp>BDP|10908968424649835558</stp>
        <tr r="J123" s="2"/>
      </tp>
      <tp t="s">
        <v>#N/A Requesting Data...3122695600</v>
        <stp/>
        <stp>BDP|12337717861630111446</stp>
        <tr r="A178" s="2"/>
      </tp>
      <tp t="s">
        <v>#N/A Requesting Data...2428577038</v>
        <stp/>
        <stp>BDP|11137565902244156724</stp>
        <tr r="H721" s="2"/>
      </tp>
      <tp t="s">
        <v>#N/A Requesting Data...3123544798</v>
        <stp/>
        <stp>BDP|11240922628008928571</stp>
        <tr r="M1270" s="2"/>
      </tp>
      <tp t="s">
        <v>#N/A Requesting Data...3607635656</v>
        <stp/>
        <stp>BDP|13570607703997840588</stp>
        <tr r="S1681" s="2"/>
      </tp>
      <tp t="s">
        <v>#N/A Requesting Data...2482115621</v>
        <stp/>
        <stp>BDP|14751186539626458745</stp>
        <tr r="S1063" s="2"/>
      </tp>
      <tp t="s">
        <v>#N/A Requesting Data...3950916929</v>
        <stp/>
        <stp>BDP|15525646583329120550</stp>
        <tr r="M2083" s="2"/>
      </tp>
      <tp t="s">
        <v>#N/A Requesting Data...2756136382</v>
        <stp/>
        <stp>BDP|11657360023735449212</stp>
        <tr r="F1820" s="2"/>
      </tp>
      <tp t="s">
        <v>#N/A Requesting Data...2358225329</v>
        <stp/>
        <stp>BDP|15704729431996730057</stp>
        <tr r="D989" s="2"/>
      </tp>
      <tp t="s">
        <v>#N/A Requesting Data...3366880216</v>
        <stp/>
        <stp>BDP|10713455802164577736</stp>
        <tr r="O2214" s="2"/>
      </tp>
      <tp t="s">
        <v>#N/A Requesting Data...3214579859</v>
        <stp/>
        <stp>BDP|15967819139228593120</stp>
        <tr r="A726" s="2"/>
      </tp>
      <tp t="b">
        <v>0</v>
        <stp/>
        <stp>BDS|14740654975576429463</stp>
        <tr r="I876" s="2"/>
      </tp>
      <tp t="s">
        <v>#N/A Requesting Data...3243488849</v>
        <stp/>
        <stp>BDP|14400506941492466070</stp>
        <tr r="Q1987" s="2"/>
      </tp>
      <tp t="b">
        <v>0</v>
        <stp/>
        <stp>BDS|17356299968714698016</stp>
        <tr r="I364" s="2"/>
      </tp>
      <tp t="s">
        <v>#N/A Requesting Data...2493023243</v>
        <stp/>
        <stp>BDP|12636475118344943465</stp>
        <tr r="E2324" s="2"/>
      </tp>
      <tp t="s">
        <v>#N/A Requesting Data...2799378985</v>
        <stp/>
        <stp>BDP|13971327905862351646</stp>
        <tr r="F1293" s="2"/>
      </tp>
      <tp t="b">
        <v>0</v>
        <stp/>
        <stp>BDS|13952983842449988301</stp>
        <tr r="I1664" s="2"/>
      </tp>
      <tp t="s">
        <v>#N/A Requesting Data...2597328026</v>
        <stp/>
        <stp>BDP|13548616092408999064</stp>
        <tr r="T601" s="2"/>
      </tp>
      <tp t="s">
        <v>#N/A Requesting Data...4202129579</v>
        <stp/>
        <stp>BDP|14104047720953435186</stp>
        <tr r="J710" s="2"/>
      </tp>
      <tp t="b">
        <v>0</v>
        <stp/>
        <stp>BDS|16280662441681732185</stp>
        <tr r="I1289" s="2"/>
      </tp>
      <tp t="s">
        <v>#N/A Requesting Data...2757470938</v>
        <stp/>
        <stp>BDP|10841574107453660278</stp>
        <tr r="N2101" s="2"/>
      </tp>
      <tp t="s">
        <v>#N/A Requesting Data...3145768706</v>
        <stp/>
        <stp>BDP|14881034207474067454</stp>
        <tr r="C1834" s="2"/>
      </tp>
      <tp t="s">
        <v>#N/A Requesting Data...3129102647</v>
        <stp/>
        <stp>BDP|13997535082688816292</stp>
        <tr r="G691" s="2"/>
      </tp>
      <tp t="s">
        <v>#N/A Requesting Data...2258427884</v>
        <stp/>
        <stp>BDP|17105288698431925917</stp>
        <tr r="C63" s="2"/>
      </tp>
      <tp t="s">
        <v>#N/A Requesting Data...2848450422</v>
        <stp/>
        <stp>BDP|12964563954884124236</stp>
        <tr r="M791" s="2"/>
      </tp>
      <tp t="s">
        <v>#N/A Requesting Data...2402459964</v>
        <stp/>
        <stp>BDP|11110491425557542418</stp>
        <tr r="O1322" s="2"/>
      </tp>
      <tp t="s">
        <v>#N/A Requesting Data...4216931864</v>
        <stp/>
        <stp>BDP|13884869687973296428</stp>
        <tr r="E2266" s="2"/>
      </tp>
      <tp t="s">
        <v>#N/A Requesting Data...3947931085</v>
        <stp/>
        <stp>BDP|12287091332470341530</stp>
        <tr r="C1162" s="2"/>
      </tp>
      <tp t="s">
        <v>#N/A Requesting Data...4059335433</v>
        <stp/>
        <stp>BDP|14647726314950039690</stp>
        <tr r="P2315" s="2"/>
      </tp>
      <tp t="s">
        <v>#N/A Requesting Data...4062727231</v>
        <stp/>
        <stp>BDP|14900378101145075666</stp>
        <tr r="K101" s="2"/>
      </tp>
      <tp t="s">
        <v>#N/A Requesting Data...3218378644</v>
        <stp/>
        <stp>BDP|17780662758155511552</stp>
        <tr r="C1338" s="2"/>
      </tp>
      <tp t="s">
        <v>#N/A Requesting Data...3349271479</v>
        <stp/>
        <stp>BDP|17813973375944249910</stp>
        <tr r="F202" s="2"/>
      </tp>
      <tp t="b">
        <v>0</v>
        <stp/>
        <stp>BDS|12201914783821379694</stp>
        <tr r="I13" s="2"/>
      </tp>
      <tp t="s">
        <v>#N/A Requesting Data...2876809221</v>
        <stp/>
        <stp>BDP|11690652338399345913</stp>
        <tr r="N1735" s="2"/>
      </tp>
      <tp t="s">
        <v>#N/A Requesting Data...2596318241</v>
        <stp/>
        <stp>BDP|15028374570415857068</stp>
        <tr r="F1624" s="2"/>
      </tp>
      <tp t="s">
        <v>#N/A Requesting Data...3068263897</v>
        <stp/>
        <stp>BDP|12996656008567975742</stp>
        <tr r="A648" s="2"/>
      </tp>
      <tp t="s">
        <v>#N/A Requesting Data...4232352495</v>
        <stp/>
        <stp>BDP|15706097011028114879</stp>
        <tr r="E2348" s="2"/>
      </tp>
      <tp t="s">
        <v>#N/A Requesting Data...4157670902</v>
        <stp/>
        <stp>BDP|10697699337274641579</stp>
        <tr r="R1597" s="2"/>
      </tp>
      <tp t="s">
        <v>#N/A Requesting Data...3533189377</v>
        <stp/>
        <stp>BDP|12680948988810227717</stp>
        <tr r="C771" s="2"/>
      </tp>
      <tp t="b">
        <v>0</v>
        <stp/>
        <stp>BDS|16906235970664992397</stp>
        <tr r="I2345" s="2"/>
      </tp>
      <tp t="s">
        <v>#N/A Requesting Data...2502136507</v>
        <stp/>
        <stp>BDP|14263571727546991126</stp>
        <tr r="E1233" s="2"/>
      </tp>
      <tp t="s">
        <v>#N/A Requesting Data...3902621529</v>
        <stp/>
        <stp>BDP|17058968805393271985</stp>
        <tr r="J581" s="2"/>
      </tp>
      <tp t="s">
        <v>#N/A Requesting Data...2676562656</v>
        <stp/>
        <stp>BDP|14129201598963101816</stp>
        <tr r="N2380" s="2"/>
      </tp>
      <tp t="s">
        <v>#N/A Requesting Data...3270299087</v>
        <stp/>
        <stp>BDP|14963117901551405048</stp>
        <tr r="D1946" s="2"/>
      </tp>
      <tp t="s">
        <v>#N/A Requesting Data...2619335456</v>
        <stp/>
        <stp>BDP|15204655726984891109</stp>
        <tr r="T1675" s="2"/>
      </tp>
      <tp t="s">
        <v>#N/A Requesting Data...3543764296</v>
        <stp/>
        <stp>BDP|11587719039168494905</stp>
        <tr r="T1891" s="2"/>
      </tp>
      <tp t="s">
        <v>#N/A Requesting Data...2901082589</v>
        <stp/>
        <stp>BDP|14326885254914540936</stp>
        <tr r="D1429" s="2"/>
      </tp>
      <tp t="s">
        <v>#N/A Requesting Data...3788636905</v>
        <stp/>
        <stp>BDP|17374788678035305693</stp>
        <tr r="H247" s="2"/>
      </tp>
      <tp t="s">
        <v>#N/A Requesting Data...4036485748</v>
        <stp/>
        <stp>BDP|17194111406766899475</stp>
        <tr r="O522" s="2"/>
      </tp>
      <tp t="s">
        <v>#N/A Requesting Data...3986228296</v>
        <stp/>
        <stp>BDP|12825176125405171024</stp>
        <tr r="T370" s="2"/>
      </tp>
      <tp t="s">
        <v>#N/A Requesting Data...3512669542</v>
        <stp/>
        <stp>BDP|15201590325211253754</stp>
        <tr r="J2532" s="2"/>
      </tp>
      <tp t="s">
        <v>#N/A Requesting Data...2566284516</v>
        <stp/>
        <stp>BDP|16814120332337854794</stp>
        <tr r="D915" s="2"/>
      </tp>
      <tp t="s">
        <v>#N/A Requesting Data...4234309592</v>
        <stp/>
        <stp>BDP|10181268536871826408</stp>
        <tr r="K1992" s="2"/>
      </tp>
      <tp t="s">
        <v>#N/A Requesting Data...3748945958</v>
        <stp/>
        <stp>BDP|11127327567546563684</stp>
        <tr r="Q2480" s="2"/>
      </tp>
      <tp t="s">
        <v>#N/A Requesting Data...3971037876</v>
        <stp/>
        <stp>BDP|13511837019957251948</stp>
        <tr r="N232" s="2"/>
      </tp>
      <tp t="s">
        <v>#N/A Requesting Data...3210607634</v>
        <stp/>
        <stp>BDP|14243125518722041210</stp>
        <tr r="P323" s="2"/>
      </tp>
      <tp t="b">
        <v>0</v>
        <stp/>
        <stp>BDS|12157197442135225623</stp>
        <tr r="I2442" s="2"/>
      </tp>
      <tp t="s">
        <v>#N/A Requesting Data...2357331471</v>
        <stp/>
        <stp>BDP|10484729332187418793</stp>
        <tr r="M1411" s="2"/>
      </tp>
      <tp t="s">
        <v>#N/A Requesting Data...2552662156</v>
        <stp/>
        <stp>BDP|15758322134773859207</stp>
        <tr r="T1016" s="2"/>
      </tp>
      <tp t="s">
        <v>#N/A Requesting Data...2832313387</v>
        <stp/>
        <stp>BDP|12136519563973964637</stp>
        <tr r="R2195" s="2"/>
      </tp>
      <tp t="s">
        <v>#N/A Requesting Data...4060439065</v>
        <stp/>
        <stp>BDP|18434491095126416750</stp>
        <tr r="H443" s="2"/>
      </tp>
      <tp t="s">
        <v>#N/A Requesting Data...2650327582</v>
        <stp/>
        <stp>BDP|12151245851730864150</stp>
        <tr r="R2019" s="2"/>
      </tp>
      <tp t="s">
        <v>#N/A Requesting Data...3997531499</v>
        <stp/>
        <stp>BDP|10911056397489019423</stp>
        <tr r="D518" s="2"/>
      </tp>
      <tp t="s">
        <v>#N/A Requesting Data...2458898147</v>
        <stp/>
        <stp>BDP|17503312675156912113</stp>
        <tr r="M118" s="2"/>
      </tp>
      <tp t="s">
        <v>#N/A Requesting Data...2941871111</v>
        <stp/>
        <stp>BDP|17429383146003774746</stp>
        <tr r="S1259" s="2"/>
      </tp>
      <tp t="s">
        <v>#N/A Requesting Data...3613367762</v>
        <stp/>
        <stp>BDP|11312787815142676110</stp>
        <tr r="S176" s="2"/>
      </tp>
      <tp t="s">
        <v>#N/A Requesting Data...3487668928</v>
        <stp/>
        <stp>BDP|16010203569962825489</stp>
        <tr r="M1906" s="2"/>
      </tp>
      <tp t="s">
        <v>#N/A Requesting Data...4166777329</v>
        <stp/>
        <stp>BDP|12631580873387210361</stp>
        <tr r="A2070" s="2"/>
      </tp>
      <tp t="s">
        <v>#N/A Requesting Data...3320795243</v>
        <stp/>
        <stp>BDP|15749432261633918051</stp>
        <tr r="E25" s="2"/>
      </tp>
      <tp t="s">
        <v>#N/A Requesting Data...3345265325</v>
        <stp/>
        <stp>BDP|16220996382523533052</stp>
        <tr r="H862" s="2"/>
      </tp>
      <tp t="s">
        <v>#N/A Requesting Data...2834192090</v>
        <stp/>
        <stp>BDP|12299345619895362155</stp>
        <tr r="G967" s="2"/>
      </tp>
      <tp t="s">
        <v>#N/A Requesting Data...3666776167</v>
        <stp/>
        <stp>BDP|10586411223764805669</stp>
        <tr r="P1996" s="2"/>
      </tp>
      <tp t="s">
        <v>#N/A Requesting Data...4031963842</v>
        <stp/>
        <stp>BDP|17588620318252259648</stp>
        <tr r="P1674" s="2"/>
      </tp>
      <tp t="s">
        <v>#N/A Requesting Data...2639062988</v>
        <stp/>
        <stp>BDP|13325190586947652939</stp>
        <tr r="F121" s="2"/>
      </tp>
      <tp t="s">
        <v>#N/A Requesting Data...3291336588</v>
        <stp/>
        <stp>BDP|13529016845044943717</stp>
        <tr r="D773" s="2"/>
      </tp>
      <tp t="s">
        <v>#N/A Requesting Data...2583255862</v>
        <stp/>
        <stp>BDP|16915860391891592226</stp>
        <tr r="A576" s="2"/>
      </tp>
      <tp t="s">
        <v>#N/A Requesting Data...3461351932</v>
        <stp/>
        <stp>BDP|16664935381212470190</stp>
        <tr r="J224" s="2"/>
      </tp>
      <tp t="s">
        <v>#N/A Requesting Data...2641611585</v>
        <stp/>
        <stp>BDP|12322097411220444765</stp>
        <tr r="E860" s="2"/>
      </tp>
      <tp t="s">
        <v>#N/A Requesting Data...2840079714</v>
        <stp/>
        <stp>BDP|15347273349800686721</stp>
        <tr r="P1499" s="2"/>
      </tp>
      <tp t="s">
        <v>#N/A Requesting Data...3910546461</v>
        <stp/>
        <stp>BDP|10787317355906249487</stp>
        <tr r="A1937" s="2"/>
      </tp>
      <tp t="s">
        <v>#N/A Requesting Data...3196381235</v>
        <stp/>
        <stp>BDP|14463557818913856788</stp>
        <tr r="R1952" s="2"/>
      </tp>
      <tp t="s">
        <v>#N/A Requesting Data...3647545037</v>
        <stp/>
        <stp>BDP|17800811440387977890</stp>
        <tr r="K1877" s="2"/>
      </tp>
      <tp t="s">
        <v>#N/A Requesting Data...2508336617</v>
        <stp/>
        <stp>BDP|15501608149822146141</stp>
        <tr r="O2221" s="2"/>
      </tp>
      <tp t="s">
        <v>#N/A Requesting Data...3262643312</v>
        <stp/>
        <stp>BDP|11784518318802550328</stp>
        <tr r="D399" s="2"/>
      </tp>
      <tp t="s">
        <v>#N/A Requesting Data...3846758011</v>
        <stp/>
        <stp>BDP|12291350879891752301</stp>
        <tr r="H922" s="2"/>
      </tp>
      <tp t="s">
        <v>#N/A Requesting Data...3270958901</v>
        <stp/>
        <stp>BDP|15472493841596751721</stp>
        <tr r="O158" s="2"/>
      </tp>
      <tp t="s">
        <v>#N/A Requesting Data...3412949057</v>
        <stp/>
        <stp>BDP|10376553986248117183</stp>
        <tr r="G982" s="2"/>
      </tp>
      <tp t="s">
        <v>#N/A Requesting Data...2676091231</v>
        <stp/>
        <stp>BDP|13633973212267358893</stp>
        <tr r="H2377" s="2"/>
      </tp>
      <tp t="s">
        <v>#N/A Requesting Data...2549240806</v>
        <stp/>
        <stp>BDP|16593074139936034723</stp>
        <tr r="S1356" s="2"/>
      </tp>
      <tp t="b">
        <v>0</v>
        <stp/>
        <stp>BDS|13115760209643321371</stp>
        <tr r="I2220" s="2"/>
      </tp>
      <tp t="s">
        <v>#N/A Requesting Data...2909766150</v>
        <stp/>
        <stp>BDP|11084767639152609315</stp>
        <tr r="F146" s="2"/>
      </tp>
      <tp t="s">
        <v>#N/A Requesting Data...4051184563</v>
        <stp/>
        <stp>BDP|13053313717291793496</stp>
        <tr r="K240" s="2"/>
      </tp>
      <tp t="s">
        <v>#N/A Requesting Data...3129822295</v>
        <stp/>
        <stp>BDP|14566377821806360784</stp>
        <tr r="F2394" s="2"/>
      </tp>
      <tp t="s">
        <v>#N/A Requesting Data...4038731081</v>
        <stp/>
        <stp>BDP|12470298410661636431</stp>
        <tr r="F1259" s="2"/>
      </tp>
      <tp t="s">
        <v>#N/A Requesting Data...2506289459</v>
        <stp/>
        <stp>BDP|14981219721179835998</stp>
        <tr r="H984" s="2"/>
      </tp>
      <tp t="s">
        <v>#N/A Requesting Data...2768951521</v>
        <stp/>
        <stp>BDP|16096485552642140135</stp>
        <tr r="D1011" s="2"/>
      </tp>
      <tp t="s">
        <v>#N/A Requesting Data...4033255430</v>
        <stp/>
        <stp>BDP|17300395357363153648</stp>
        <tr r="P170" s="2"/>
      </tp>
      <tp t="s">
        <v>#N/A Requesting Data...2920141684</v>
        <stp/>
        <stp>BDP|17397768543501684187</stp>
        <tr r="T2118" s="2"/>
      </tp>
      <tp t="s">
        <v>#N/A Requesting Data...4048267558</v>
        <stp/>
        <stp>BDP|11210125530861073680</stp>
        <tr r="P1180" s="2"/>
      </tp>
      <tp t="s">
        <v>#N/A Requesting Data...2596323348</v>
        <stp/>
        <stp>BDP|11222720739596591744</stp>
        <tr r="R943" s="2"/>
      </tp>
      <tp t="s">
        <v>#N/A Requesting Data...3419556501</v>
        <stp/>
        <stp>BDP|16691123333135928563</stp>
        <tr r="H2456" s="2"/>
      </tp>
      <tp t="s">
        <v>#N/A Requesting Data...3639021914</v>
        <stp/>
        <stp>BDP|17139669043022590399</stp>
        <tr r="P2392" s="2"/>
      </tp>
      <tp t="s">
        <v>#N/A Requesting Data...3013946610</v>
        <stp/>
        <stp>BDP|16223244499909603015</stp>
        <tr r="J1654" s="2"/>
      </tp>
      <tp t="s">
        <v>#N/A Requesting Data...2751812687</v>
        <stp/>
        <stp>BDP|10500897040361097947</stp>
        <tr r="H1411" s="2"/>
      </tp>
      <tp t="s">
        <v>#N/A Requesting Data...2685392072</v>
        <stp/>
        <stp>BDP|10979418055260249570</stp>
        <tr r="H1359" s="2"/>
      </tp>
      <tp t="s">
        <v>#N/A Requesting Data...2760042383</v>
        <stp/>
        <stp>BDP|16931428157187763434</stp>
        <tr r="F1236" s="2"/>
      </tp>
      <tp t="s">
        <v>#N/A Requesting Data...3097201056</v>
        <stp/>
        <stp>BDP|12895603346740565433</stp>
        <tr r="Q1117" s="2"/>
      </tp>
      <tp t="s">
        <v>#N/A Requesting Data...2557390738</v>
        <stp/>
        <stp>BDP|16542858299972740169</stp>
        <tr r="M964" s="2"/>
      </tp>
      <tp t="s">
        <v>#N/A Requesting Data...3097240260</v>
        <stp/>
        <stp>BDP|17269718113992063789</stp>
        <tr r="Q720" s="2"/>
      </tp>
      <tp t="s">
        <v>#N/A Requesting Data...3250136064</v>
        <stp/>
        <stp>BDP|17610173817713725098</stp>
        <tr r="N437" s="2"/>
      </tp>
      <tp t="s">
        <v>#N/A Requesting Data...2759117805</v>
        <stp/>
        <stp>BDP|12366188591219009723</stp>
        <tr r="E2516" s="2"/>
      </tp>
      <tp t="s">
        <v>#N/A Requesting Data...3634629571</v>
        <stp/>
        <stp>BDP|13732840523278065588</stp>
        <tr r="E2424" s="2"/>
      </tp>
      <tp t="s">
        <v>#N/A Requesting Data...4268073158</v>
        <stp/>
        <stp>BDP|15576417098858706437</stp>
        <tr r="N2460" s="2"/>
      </tp>
      <tp t="s">
        <v>#N/A Requesting Data...3361951192</v>
        <stp/>
        <stp>BDP|12582394401412000757</stp>
        <tr r="S17" s="2"/>
      </tp>
      <tp t="s">
        <v>#N/A Requesting Data...2581027860</v>
        <stp/>
        <stp>BDP|13254359539991136678</stp>
        <tr r="F638" s="2"/>
      </tp>
      <tp t="s">
        <v>#N/A Requesting Data...3408228499</v>
        <stp/>
        <stp>BDP|11816718579604979116</stp>
        <tr r="E722" s="2"/>
      </tp>
      <tp t="s">
        <v>#N/A Requesting Data...4038821809</v>
        <stp/>
        <stp>BDP|14165792023710546569</stp>
        <tr r="J769" s="2"/>
      </tp>
      <tp t="b">
        <v>0</v>
        <stp/>
        <stp>BDS|17215042061134869149</stp>
        <tr r="I2266" s="2"/>
      </tp>
      <tp t="s">
        <v>#N/A Requesting Data...2527198944</v>
        <stp/>
        <stp>BDP|17312622318616589240</stp>
        <tr r="F1821" s="2"/>
      </tp>
      <tp t="s">
        <v>#N/A Requesting Data...3259705303</v>
        <stp/>
        <stp>BDP|18085237619689372613</stp>
        <tr r="A1590" s="2"/>
      </tp>
      <tp t="b">
        <v>0</v>
        <stp/>
        <stp>BDS|15328189555613208670</stp>
        <tr r="I1893" s="2"/>
      </tp>
      <tp t="s">
        <v>#N/A Requesting Data...3405552981</v>
        <stp/>
        <stp>BDP|18206911103511011488</stp>
        <tr r="H698" s="2"/>
      </tp>
      <tp t="s">
        <v>#N/A Requesting Data...4054787580</v>
        <stp/>
        <stp>BDP|16484186243157215053</stp>
        <tr r="Q1045" s="2"/>
      </tp>
      <tp t="s">
        <v>#N/A Requesting Data...3186505480</v>
        <stp/>
        <stp>BDP|12390704719067060726</stp>
        <tr r="O1754" s="2"/>
      </tp>
      <tp t="s">
        <v>#N/A Requesting Data...3507809874</v>
        <stp/>
        <stp>BDP|14145511302344383193</stp>
        <tr r="S1415" s="2"/>
      </tp>
      <tp t="s">
        <v>#N/A Requesting Data...3658085387</v>
        <stp/>
        <stp>BDP|14067825497959839855</stp>
        <tr r="C1679" s="2"/>
      </tp>
      <tp t="s">
        <v>#N/A Requesting Data...2861274216</v>
        <stp/>
        <stp>BDP|14307780204420118769</stp>
        <tr r="C1428" s="2"/>
      </tp>
      <tp t="s">
        <v>#N/A Requesting Data...3945088990</v>
        <stp/>
        <stp>BDP|17389687324526156163</stp>
        <tr r="M1190" s="2"/>
      </tp>
      <tp t="s">
        <v>#N/A Requesting Data...3447822472</v>
        <stp/>
        <stp>BDP|12301571793088697294</stp>
        <tr r="K1768" s="2"/>
      </tp>
      <tp t="s">
        <v>#N/A Requesting Data...3361657907</v>
        <stp/>
        <stp>BDP|12808060723732636638</stp>
        <tr r="K2207" s="2"/>
      </tp>
      <tp t="b">
        <v>0</v>
        <stp/>
        <stp>BDS|16455712284978964534</stp>
        <tr r="I951" s="2"/>
      </tp>
      <tp t="s">
        <v>#N/A Requesting Data...3833855999</v>
        <stp/>
        <stp>BDP|15633962579939676673</stp>
        <tr r="R1216" s="2"/>
      </tp>
      <tp t="s">
        <v>#N/A Requesting Data...4061517033</v>
        <stp/>
        <stp>BDP|15658774895299595699</stp>
        <tr r="E783" s="2"/>
      </tp>
      <tp t="s">
        <v>#N/A Requesting Data...2706342313</v>
        <stp/>
        <stp>BDP|16741076879492509745</stp>
        <tr r="S1708" s="2"/>
      </tp>
      <tp t="s">
        <v>#N/A Requesting Data...3157099079</v>
        <stp/>
        <stp>BDP|14888700611741182704</stp>
        <tr r="G528" s="2"/>
      </tp>
      <tp t="s">
        <v>#N/A Requesting Data...4286634036</v>
        <stp/>
        <stp>BDP|16583296665574585240</stp>
        <tr r="K1663" s="2"/>
      </tp>
      <tp t="s">
        <v>#N/A Requesting Data...3547934477</v>
        <stp/>
        <stp>BDP|17950463420604304143</stp>
        <tr r="K2083" s="2"/>
      </tp>
      <tp t="s">
        <v>#N/A Requesting Data...3083835657</v>
        <stp/>
        <stp>BDP|12560212811834989147</stp>
        <tr r="D796" s="2"/>
      </tp>
      <tp t="s">
        <v>#N/A Requesting Data...3955077734</v>
        <stp/>
        <stp>BDP|11665992416495537841</stp>
        <tr r="S1934" s="2"/>
      </tp>
      <tp t="s">
        <v>#N/A Requesting Data...2917267508</v>
        <stp/>
        <stp>BDP|13176599146941338756</stp>
        <tr r="C225" s="2"/>
      </tp>
      <tp t="s">
        <v>#N/A Requesting Data...2943766655</v>
        <stp/>
        <stp>BDP|14956071012654635523</stp>
        <tr r="C1977" s="2"/>
      </tp>
      <tp t="s">
        <v>#N/A Requesting Data...2701454784</v>
        <stp/>
        <stp>BDP|10049237208482443471</stp>
        <tr r="K1881" s="2"/>
      </tp>
      <tp t="s">
        <v>#N/A Requesting Data...2598897420</v>
        <stp/>
        <stp>BDP|11197497770103683565</stp>
        <tr r="J1226" s="2"/>
      </tp>
      <tp t="s">
        <v>#N/A Requesting Data...3444526663</v>
        <stp/>
        <stp>BDP|11012651746116958125</stp>
        <tr r="R924" s="2"/>
      </tp>
      <tp t="s">
        <v>#N/A Requesting Data...3918415401</v>
        <stp/>
        <stp>BDP|12294509297069819350</stp>
        <tr r="E1696" s="2"/>
      </tp>
      <tp t="s">
        <v>#N/A Requesting Data...2817697104</v>
        <stp/>
        <stp>BDP|15418797684138507646</stp>
        <tr r="F670" s="2"/>
      </tp>
      <tp t="s">
        <v>#N/A Requesting Data...3376150367</v>
        <stp/>
        <stp>BDP|14813753015631736776</stp>
        <tr r="A2456" s="2"/>
      </tp>
      <tp t="s">
        <v>#N/A Requesting Data...3030245118</v>
        <stp/>
        <stp>BDP|12194008531155064087</stp>
        <tr r="E957" s="2"/>
      </tp>
      <tp t="s">
        <v>#N/A Requesting Data...3680200311</v>
        <stp/>
        <stp>BDP|13834542845182957484</stp>
        <tr r="O2" s="2"/>
      </tp>
      <tp t="s">
        <v>#N/A Requesting Data...2930798394</v>
        <stp/>
        <stp>BDP|15911105041750026400</stp>
        <tr r="C224" s="2"/>
      </tp>
      <tp t="s">
        <v>#N/A Requesting Data...3822473294</v>
        <stp/>
        <stp>BDP|12402791583960515939</stp>
        <tr r="S141" s="2"/>
      </tp>
      <tp t="s">
        <v>#N/A Requesting Data...2728928048</v>
        <stp/>
        <stp>BDP|17645223026107874421</stp>
        <tr r="R1412" s="2"/>
      </tp>
      <tp t="s">
        <v>#N/A Requesting Data...3904807393</v>
        <stp/>
        <stp>BDP|15170160565451348790</stp>
        <tr r="G1833" s="2"/>
      </tp>
      <tp t="s">
        <v>#N/A Requesting Data...4119469260</v>
        <stp/>
        <stp>BDP|13527369159034041528</stp>
        <tr r="A2002" s="2"/>
      </tp>
      <tp t="s">
        <v>#N/A Requesting Data...3465229560</v>
        <stp/>
        <stp>BDP|16454514339365235166</stp>
        <tr r="J1352" s="2"/>
      </tp>
      <tp t="s">
        <v>#N/A Requesting Data...3575791639</v>
        <stp/>
        <stp>BDP|15823533337666517111</stp>
        <tr r="Q1835" s="2"/>
      </tp>
      <tp t="s">
        <v>#N/A Requesting Data...3643495835</v>
        <stp/>
        <stp>BDP|16190893247368467638</stp>
        <tr r="C94" s="2"/>
      </tp>
      <tp t="s">
        <v>#N/A Requesting Data...3377037029</v>
        <stp/>
        <stp>BDP|16635123852282763492</stp>
        <tr r="M2483" s="2"/>
      </tp>
      <tp t="s">
        <v>#N/A Requesting Data...3200443727</v>
        <stp/>
        <stp>BDP|12857267572535753634</stp>
        <tr r="J2217" s="2"/>
      </tp>
      <tp t="s">
        <v>#N/A Requesting Data...3760327884</v>
        <stp/>
        <stp>BDP|15645540567592964042</stp>
        <tr r="O1320" s="2"/>
      </tp>
      <tp t="s">
        <v>#N/A Requesting Data...3170688785</v>
        <stp/>
        <stp>BDP|13806174213341767634</stp>
        <tr r="N1508" s="2"/>
      </tp>
      <tp t="s">
        <v>#N/A Requesting Data...4271827077</v>
        <stp/>
        <stp>BDP|16567870199182509162</stp>
        <tr r="G1454" s="2"/>
      </tp>
      <tp t="s">
        <v>#N/A Requesting Data...3603470883</v>
        <stp/>
        <stp>BDP|18060915734795801350</stp>
        <tr r="J1547" s="2"/>
      </tp>
      <tp t="s">
        <v>#N/A Requesting Data...2957756452</v>
        <stp/>
        <stp>BDP|14327996694763579330</stp>
        <tr r="K1966" s="2"/>
      </tp>
      <tp t="b">
        <v>0</v>
        <stp/>
        <stp>BDS|15204593962283430166</stp>
        <tr r="I2269" s="2"/>
      </tp>
      <tp t="s">
        <v>#N/A Requesting Data...2737977389</v>
        <stp/>
        <stp>BDP|16415182936412119232</stp>
        <tr r="G2448" s="2"/>
      </tp>
      <tp t="s">
        <v>#N/A Requesting Data...3451824183</v>
        <stp/>
        <stp>BDP|17627793367372062000</stp>
        <tr r="C1846" s="2"/>
      </tp>
      <tp t="s">
        <v>#N/A Requesting Data...4066976193</v>
        <stp/>
        <stp>BDP|14602976756305617990</stp>
        <tr r="R2282" s="2"/>
      </tp>
      <tp t="s">
        <v>#N/A Requesting Data...4108410792</v>
        <stp/>
        <stp>BDP|15173698737421074578</stp>
        <tr r="O111" s="2"/>
      </tp>
      <tp t="b">
        <v>0</v>
        <stp/>
        <stp>BDS|17922877394292557079</stp>
        <tr r="I2076" s="2"/>
      </tp>
      <tp t="s">
        <v>#N/A Requesting Data...3747766536</v>
        <stp/>
        <stp>BDP|11859942566963021917</stp>
        <tr r="T2410" s="2"/>
      </tp>
      <tp t="s">
        <v>#N/A Requesting Data...3282739413</v>
        <stp/>
        <stp>BDP|12165032559724808788</stp>
        <tr r="S2091" s="2"/>
      </tp>
      <tp t="s">
        <v>#N/A Requesting Data...3510225986</v>
        <stp/>
        <stp>BDP|13927739071077923092</stp>
        <tr r="K71" s="2"/>
      </tp>
      <tp t="s">
        <v>#N/A Requesting Data...4076084016</v>
        <stp/>
        <stp>BDP|17798411205072022580</stp>
        <tr r="D1555" s="2"/>
      </tp>
      <tp t="b">
        <v>0</v>
        <stp/>
        <stp>BDS|16002358728107221471</stp>
        <tr r="I972" s="2"/>
      </tp>
      <tp t="s">
        <v>#N/A Requesting Data...3121009747</v>
        <stp/>
        <stp>BDP|10995523136363013162</stp>
        <tr r="F2308" s="2"/>
      </tp>
      <tp t="s">
        <v>#N/A Requesting Data...2781982614</v>
        <stp/>
        <stp>BDP|11222008349997889681</stp>
        <tr r="Q504" s="2"/>
      </tp>
      <tp t="s">
        <v>#N/A Requesting Data...3095084046</v>
        <stp/>
        <stp>BDP|15980162862116709011</stp>
        <tr r="J544" s="2"/>
      </tp>
      <tp t="s">
        <v>#N/A Requesting Data...3715791420</v>
        <stp/>
        <stp>BDP|13189091534905091170</stp>
        <tr r="M1943" s="2"/>
      </tp>
      <tp t="s">
        <v>#N/A Requesting Data...4229044053</v>
        <stp/>
        <stp>BDP|16303959753279747796</stp>
        <tr r="F1564" s="2"/>
      </tp>
      <tp t="s">
        <v>#N/A Requesting Data...3370731881</v>
        <stp/>
        <stp>BDP|11308265508121189675</stp>
        <tr r="M293" s="2"/>
      </tp>
      <tp t="s">
        <v>#N/A Requesting Data...3310289236</v>
        <stp/>
        <stp>BDP|17717866597833407196</stp>
        <tr r="A2274" s="2"/>
      </tp>
      <tp t="s">
        <v>#N/A Requesting Data...3723113310</v>
        <stp/>
        <stp>BDP|11735699070247151344</stp>
        <tr r="A1472" s="2"/>
      </tp>
      <tp t="s">
        <v>#N/A Requesting Data...3812956159</v>
        <stp/>
        <stp>BDP|13585370355434809544</stp>
        <tr r="S883" s="2"/>
      </tp>
      <tp t="s">
        <v>#N/A Requesting Data...3664449198</v>
        <stp/>
        <stp>BDP|15310450759854289469</stp>
        <tr r="K1149" s="2"/>
      </tp>
      <tp t="s">
        <v>#N/A Requesting Data...3099324161</v>
        <stp/>
        <stp>BDP|15997573171551059242</stp>
        <tr r="J1846" s="2"/>
      </tp>
      <tp t="s">
        <v>#N/A Requesting Data...4024088795</v>
        <stp/>
        <stp>BDP|11484358387657585986</stp>
        <tr r="R656" s="2"/>
      </tp>
      <tp t="s">
        <v>#N/A Requesting Data...4291036154</v>
        <stp/>
        <stp>BDP|11346798913915732659</stp>
        <tr r="J246" s="2"/>
      </tp>
      <tp t="s">
        <v>#N/A Requesting Data...2790919859</v>
        <stp/>
        <stp>BDP|12009479705177107587</stp>
        <tr r="Q580" s="2"/>
      </tp>
      <tp t="s">
        <v>#N/A Requesting Data...3085558150</v>
        <stp/>
        <stp>BDP|10897351076094337434</stp>
        <tr r="O213" s="2"/>
      </tp>
      <tp t="s">
        <v>#N/A Requesting Data...4031335538</v>
        <stp/>
        <stp>BDP|11934615373075989191</stp>
        <tr r="E869" s="2"/>
      </tp>
      <tp t="s">
        <v>#N/A Requesting Data...2958829241</v>
        <stp/>
        <stp>BDP|14968028770060023703</stp>
        <tr r="N1475" s="2"/>
      </tp>
      <tp t="s">
        <v>#N/A Requesting Data...3042857925</v>
        <stp/>
        <stp>BDP|14232876695269215899</stp>
        <tr r="Q306" s="2"/>
      </tp>
      <tp t="s">
        <v>#N/A Requesting Data...4144069705</v>
        <stp/>
        <stp>BDP|16406377209523491254</stp>
        <tr r="P1225" s="2"/>
      </tp>
      <tp t="s">
        <v>#N/A Requesting Data...4049923948</v>
        <stp/>
        <stp>BDP|14090979449344596905</stp>
        <tr r="E569" s="2"/>
      </tp>
      <tp t="s">
        <v>#N/A Requesting Data...4084348222</v>
        <stp/>
        <stp>BDP|13110948280191828765</stp>
        <tr r="D1562" s="2"/>
      </tp>
      <tp t="s">
        <v>#N/A Requesting Data...3766201995</v>
        <stp/>
        <stp>BDP|14653138059296377246</stp>
        <tr r="P1336" s="2"/>
      </tp>
      <tp t="s">
        <v>#N/A Requesting Data...4123853357</v>
        <stp/>
        <stp>BDP|10329008624812486484</stp>
        <tr r="C89" s="2"/>
      </tp>
      <tp t="s">
        <v>#N/A Requesting Data...3599533282</v>
        <stp/>
        <stp>BDP|16259590700115434249</stp>
        <tr r="N2531" s="2"/>
      </tp>
      <tp t="s">
        <v>#N/A Requesting Data...3596116501</v>
        <stp/>
        <stp>BDP|12463783971153785512</stp>
        <tr r="S2093" s="2"/>
      </tp>
      <tp t="s">
        <v>#N/A Requesting Data...4115100421</v>
        <stp/>
        <stp>BDP|12892155366653001204</stp>
        <tr r="F431" s="2"/>
      </tp>
      <tp t="b">
        <v>0</v>
        <stp/>
        <stp>BDS|16245001412364993711</stp>
        <tr r="I1735" s="2"/>
      </tp>
      <tp t="s">
        <v>#N/A Requesting Data...3505902281</v>
        <stp/>
        <stp>BDP|12410694177955605272</stp>
        <tr r="T1346" s="2"/>
      </tp>
      <tp t="s">
        <v>#N/A Requesting Data...4028072112</v>
        <stp/>
        <stp>BDP|15048699231836588263</stp>
        <tr r="N1644" s="2"/>
      </tp>
      <tp t="s">
        <v>#N/A Requesting Data...2953489582</v>
        <stp/>
        <stp>BDP|12736176868856091739</stp>
        <tr r="D1847" s="2"/>
      </tp>
      <tp t="s">
        <v>#N/A Requesting Data...3882990135</v>
        <stp/>
        <stp>BDP|13397136558264643754</stp>
        <tr r="N518" s="2"/>
      </tp>
      <tp t="s">
        <v>#N/A Requesting Data...4183297456</v>
        <stp/>
        <stp>BDP|12856621207771383156</stp>
        <tr r="N80" s="2"/>
      </tp>
      <tp t="s">
        <v>#N/A Requesting Data...2916660508</v>
        <stp/>
        <stp>BDP|18205198124689619623</stp>
        <tr r="R412" s="2"/>
      </tp>
      <tp t="s">
        <v>#N/A Requesting Data...3089369549</v>
        <stp/>
        <stp>BDP|11519690840253090476</stp>
        <tr r="T775" s="2"/>
      </tp>
      <tp t="s">
        <v>#N/A Requesting Data...3680178864</v>
        <stp/>
        <stp>BDP|14793568922262178598</stp>
        <tr r="H309" s="2"/>
      </tp>
      <tp t="s">
        <v>#N/A Requesting Data...2974817567</v>
        <stp/>
        <stp>BDP|15903740619067943068</stp>
        <tr r="A2090" s="2"/>
      </tp>
      <tp t="s">
        <v>#N/A Requesting Data...3830764209</v>
        <stp/>
        <stp>BDP|12337614941737031380</stp>
        <tr r="O908" s="2"/>
      </tp>
      <tp t="s">
        <v>#N/A Requesting Data...2807029955</v>
        <stp/>
        <stp>BDP|16169701746364572590</stp>
        <tr r="A1432" s="2"/>
      </tp>
      <tp t="b">
        <v>0</v>
        <stp/>
        <stp>BDS|15560245106622937165</stp>
        <tr r="I627" s="2"/>
      </tp>
      <tp t="s">
        <v>#N/A Requesting Data...3247671611</v>
        <stp/>
        <stp>BDP|14976396417605511795</stp>
        <tr r="T156" s="2"/>
      </tp>
      <tp t="s">
        <v>#N/A Requesting Data...3811195879</v>
        <stp/>
        <stp>BDP|15602067838393340103</stp>
        <tr r="Q963" s="2"/>
      </tp>
      <tp t="s">
        <v>#N/A Requesting Data...3765252279</v>
        <stp/>
        <stp>BDP|13087886239375980936</stp>
        <tr r="J426" s="2"/>
      </tp>
      <tp t="s">
        <v>#N/A Requesting Data...2818195288</v>
        <stp/>
        <stp>BDP|16553200334714218781</stp>
        <tr r="P442" s="2"/>
      </tp>
      <tp t="s">
        <v>#N/A Requesting Data...3784494528</v>
        <stp/>
        <stp>BDP|15489265829438437948</stp>
        <tr r="H459" s="2"/>
      </tp>
      <tp t="b">
        <v>0</v>
        <stp/>
        <stp>BDS|15100133745877803379</stp>
        <tr r="I1892" s="2"/>
      </tp>
      <tp t="s">
        <v>#N/A Requesting Data...4243335151</v>
        <stp/>
        <stp>BDP|17624469448880154327</stp>
        <tr r="E2495" s="2"/>
      </tp>
      <tp t="s">
        <v>#N/A Requesting Data...3989431229</v>
        <stp/>
        <stp>BDP|14708106711697429793</stp>
        <tr r="S763" s="2"/>
      </tp>
      <tp t="s">
        <v>#N/A Requesting Data...2847985400</v>
        <stp/>
        <stp>BDP|17846665952542715204</stp>
        <tr r="G633" s="2"/>
      </tp>
      <tp t="s">
        <v>#N/A Requesting Data...4199246383</v>
        <stp/>
        <stp>BDP|13951050437652349636</stp>
        <tr r="A1123" s="2"/>
      </tp>
      <tp t="s">
        <v>#N/A Requesting Data...3839180947</v>
        <stp/>
        <stp>BDP|13088526389899028305</stp>
        <tr r="C334" s="2"/>
      </tp>
      <tp t="s">
        <v>#N/A Requesting Data...3933562112</v>
        <stp/>
        <stp>BDP|15507812592014836450</stp>
        <tr r="P363" s="2"/>
      </tp>
      <tp t="s">
        <v>#N/A Requesting Data...2924422366</v>
        <stp/>
        <stp>BDP|12409154965446943765</stp>
        <tr r="P601" s="2"/>
      </tp>
      <tp t="s">
        <v>#N/A Requesting Data...3132677476</v>
        <stp/>
        <stp>BDP|17714145217166820576</stp>
        <tr r="S1278" s="2"/>
      </tp>
      <tp t="s">
        <v>#N/A Requesting Data...3403692129</v>
        <stp/>
        <stp>BDP|11090138693588260592</stp>
        <tr r="G569" s="2"/>
      </tp>
      <tp t="s">
        <v>#N/A Requesting Data...3513997367</v>
        <stp/>
        <stp>BDP|10449872672083823824</stp>
        <tr r="E290" s="2"/>
      </tp>
      <tp t="s">
        <v>#N/A Requesting Data...2941236530</v>
        <stp/>
        <stp>BDP|12511188914891005721</stp>
        <tr r="A779" s="2"/>
      </tp>
      <tp t="s">
        <v>#N/A Requesting Data...3824643861</v>
        <stp/>
        <stp>BDP|16939312123334138711</stp>
        <tr r="N185" s="2"/>
      </tp>
      <tp t="s">
        <v>#N/A Requesting Data...3273581715</v>
        <stp/>
        <stp>BDP|18188483883293165308</stp>
        <tr r="J694" s="2"/>
      </tp>
      <tp t="b">
        <v>0</v>
        <stp/>
        <stp>BDS|17814722793944889995</stp>
        <tr r="I871" s="2"/>
      </tp>
      <tp t="s">
        <v>#N/A Requesting Data...3295145491</v>
        <stp/>
        <stp>BDP|12395288528557020181</stp>
        <tr r="J2359" s="2"/>
      </tp>
      <tp t="s">
        <v>#N/A Requesting Data...3985478626</v>
        <stp/>
        <stp>BDP|13994171242856261451</stp>
        <tr r="C2453" s="2"/>
      </tp>
      <tp t="s">
        <v>#N/A Requesting Data...3476257182</v>
        <stp/>
        <stp>BDP|18346115195407908353</stp>
        <tr r="K109" s="2"/>
      </tp>
      <tp t="s">
        <v>#N/A Requesting Data...3482288635</v>
        <stp/>
        <stp>BDP|13259344372625906661</stp>
        <tr r="R867" s="2"/>
      </tp>
      <tp t="s">
        <v>#N/A Requesting Data...3545797893</v>
        <stp/>
        <stp>BDP|14549384520416143776</stp>
        <tr r="S1566" s="2"/>
      </tp>
      <tp t="s">
        <v>#N/A Requesting Data...3224089035</v>
        <stp/>
        <stp>BDP|16147559269914611503</stp>
        <tr r="N588" s="2"/>
      </tp>
      <tp t="s">
        <v>#N/A Requesting Data...3993162827</v>
        <stp/>
        <stp>BDP|14821776253601075373</stp>
        <tr r="C1546" s="2"/>
      </tp>
      <tp t="s">
        <v>#N/A Requesting Data...3554552811</v>
        <stp/>
        <stp>BDP|17910791468164344603</stp>
        <tr r="H435" s="2"/>
      </tp>
      <tp t="s">
        <v>#N/A Requesting Data...3491171774</v>
        <stp/>
        <stp>BDP|12415098993857359862</stp>
        <tr r="A2113" s="2"/>
      </tp>
      <tp t="s">
        <v>#N/A Requesting Data...3184330018</v>
        <stp/>
        <stp>BDP|13208216659075130500</stp>
        <tr r="P2111" s="2"/>
      </tp>
      <tp t="s">
        <v>#N/A Requesting Data...2915207696</v>
        <stp/>
        <stp>BDP|16805713343519630870</stp>
        <tr r="T1174" s="2"/>
      </tp>
      <tp t="s">
        <v>#N/A Requesting Data...2949162234</v>
        <stp/>
        <stp>BDP|17949044746482800581</stp>
        <tr r="K326" s="2"/>
      </tp>
      <tp t="s">
        <v>#N/A Requesting Data...2923711657</v>
        <stp/>
        <stp>BDP|14919641894246254902</stp>
        <tr r="D1458" s="2"/>
      </tp>
      <tp t="s">
        <v>#N/A Requesting Data...3460316559</v>
        <stp/>
        <stp>BDP|12229835825059938560</stp>
        <tr r="O2135" s="2"/>
      </tp>
      <tp t="s">
        <v>#N/A Requesting Data...3225217971</v>
        <stp/>
        <stp>BDP|10890667815205390631</stp>
        <tr r="T2171" s="2"/>
      </tp>
      <tp t="s">
        <v>#N/A Requesting Data...2990140516</v>
        <stp/>
        <stp>BDP|13878357576364173710</stp>
        <tr r="T1568" s="2"/>
      </tp>
      <tp t="s">
        <v>#N/A Requesting Data...3207376495</v>
        <stp/>
        <stp>BDP|12513188114244173238</stp>
        <tr r="N1284" s="2"/>
      </tp>
      <tp t="s">
        <v>#N/A Requesting Data...4256341071</v>
        <stp/>
        <stp>BDP|17825954522171422901</stp>
        <tr r="J2202" s="2"/>
      </tp>
      <tp t="s">
        <v>#N/A Requesting Data...3001718100</v>
        <stp/>
        <stp>BDP|13408654013484846410</stp>
        <tr r="G1250" s="2"/>
      </tp>
      <tp t="s">
        <v>#N/A Requesting Data...3853358087</v>
        <stp/>
        <stp>BDP|17202136356120975754</stp>
        <tr r="C1954" s="2"/>
      </tp>
      <tp t="s">
        <v>#N/A Requesting Data...3885714080</v>
        <stp/>
        <stp>BDP|14283457860797950559</stp>
        <tr r="J1451" s="2"/>
      </tp>
      <tp t="s">
        <v>#N/A Requesting Data...3255740850</v>
        <stp/>
        <stp>BDP|12284791630571348323</stp>
        <tr r="M1538" s="2"/>
      </tp>
      <tp t="s">
        <v>#N/A Requesting Data...3558702504</v>
        <stp/>
        <stp>BDP|13160362115243180695</stp>
        <tr r="P1396" s="2"/>
      </tp>
      <tp t="s">
        <v>#N/A Requesting Data...3118331233</v>
        <stp/>
        <stp>BDP|16100992633810364827</stp>
        <tr r="F1020" s="2"/>
      </tp>
      <tp t="s">
        <v>#N/A Requesting Data...3692096456</v>
        <stp/>
        <stp>BDP|11908690139049290913</stp>
        <tr r="J2054" s="2"/>
      </tp>
      <tp t="s">
        <v>#N/A Requesting Data...3171774438</v>
        <stp/>
        <stp>BDP|11547992253199740029</stp>
        <tr r="S1863" s="2"/>
      </tp>
      <tp t="s">
        <v>#N/A Requesting Data...4291882509</v>
        <stp/>
        <stp>BDP|13500279434010950656</stp>
        <tr r="D2509" s="2"/>
      </tp>
      <tp t="s">
        <v>#N/A Requesting Data...3598922037</v>
        <stp/>
        <stp>BDP|17086655674206340481</stp>
        <tr r="A2166" s="2"/>
      </tp>
      <tp t="s">
        <v>#N/A Requesting Data...4031180153</v>
        <stp/>
        <stp>BDP|18278966846891884008</stp>
        <tr r="O1075" s="2"/>
      </tp>
      <tp t="s">
        <v>#N/A Requesting Data...3490150328</v>
        <stp/>
        <stp>BDP|13139146019043085464</stp>
        <tr r="H852" s="2"/>
      </tp>
      <tp t="s">
        <v>#N/A Requesting Data...3758748718</v>
        <stp/>
        <stp>BDP|15877054663330396770</stp>
        <tr r="M2203" s="2"/>
      </tp>
      <tp t="s">
        <v>#N/A Requesting Data...3596780058</v>
        <stp/>
        <stp>BDP|17622296741232080747</stp>
        <tr r="S944" s="2"/>
      </tp>
      <tp t="s">
        <v>#N/A Requesting Data...3808120665</v>
        <stp/>
        <stp>BDP|18063606575659781487</stp>
        <tr r="P1151" s="2"/>
      </tp>
      <tp t="s">
        <v>#N/A Requesting Data...3722234733</v>
        <stp/>
        <stp>BDP|13972404847420177758</stp>
        <tr r="D2031" s="2"/>
      </tp>
      <tp t="s">
        <v>#N/A Requesting Data...3934715907</v>
        <stp/>
        <stp>BDP|12123560251877848146</stp>
        <tr r="O1939" s="2"/>
      </tp>
      <tp t="s">
        <v>#N/A Requesting Data...3924778324</v>
        <stp/>
        <stp>BDP|17396381541323009703</stp>
        <tr r="Q1451" s="2"/>
      </tp>
      <tp t="s">
        <v>#N/A Requesting Data...3993428984</v>
        <stp/>
        <stp>BDP|17427329849186600232</stp>
        <tr r="N1773" s="2"/>
      </tp>
      <tp t="s">
        <v>#N/A Requesting Data...4024810810</v>
        <stp/>
        <stp>BDP|10794441423212837021</stp>
        <tr r="T1333" s="2"/>
      </tp>
      <tp t="s">
        <v>#N/A Requesting Data...3472354801</v>
        <stp/>
        <stp>BDP|11556351445344960669</stp>
        <tr r="E1079" s="2"/>
      </tp>
      <tp t="s">
        <v>#N/A Requesting Data...3462265324</v>
        <stp/>
        <stp>BDP|13000481542965963296</stp>
        <tr r="A2098" s="2"/>
      </tp>
      <tp t="s">
        <v>#N/A Requesting Data...3756447951</v>
        <stp/>
        <stp>BDP|14976656136655890086</stp>
        <tr r="R1493" s="2"/>
      </tp>
      <tp t="s">
        <v>#N/A Requesting Data...3008446166</v>
        <stp/>
        <stp>BDP|12870631267245129379</stp>
        <tr r="A640" s="2"/>
      </tp>
      <tp t="s">
        <v>#N/A Requesting Data...3450919674</v>
        <stp/>
        <stp>BDP|12625772983979112097</stp>
        <tr r="A1289" s="2"/>
      </tp>
      <tp t="s">
        <v>#N/A Requesting Data...3382439144</v>
        <stp/>
        <stp>BDP|14533284619650689386</stp>
        <tr r="M2171" s="2"/>
      </tp>
      <tp t="s">
        <v>#N/A Requesting Data...3738422146</v>
        <stp/>
        <stp>BDP|15214060979927456132</stp>
        <tr r="R383" s="2"/>
      </tp>
      <tp t="s">
        <v>#N/A Requesting Data...3993364366</v>
        <stp/>
        <stp>BDP|17086030809350410345</stp>
        <tr r="E278" s="2"/>
      </tp>
      <tp t="s">
        <v>#N/A Requesting Data...3993113330</v>
        <stp/>
        <stp>BDP|17142056458346286046</stp>
        <tr r="T2429" s="2"/>
      </tp>
      <tp t="s">
        <v>#N/A Requesting Data...3176261193</v>
        <stp/>
        <stp>BDP|14001277309402792035</stp>
        <tr r="O2030" s="2"/>
      </tp>
      <tp t="s">
        <v>#N/A Requesting Data...3336965511</v>
        <stp/>
        <stp>BDP|16670184032405412529</stp>
        <tr r="S1409" s="2"/>
      </tp>
      <tp t="s">
        <v>#N/A Requesting Data...4070276445</v>
        <stp/>
        <stp>BDP|15043682907826081158</stp>
        <tr r="M339" s="2"/>
      </tp>
      <tp t="s">
        <v>#N/A Requesting Data...3911418507</v>
        <stp/>
        <stp>BDP|15033585562163497140</stp>
        <tr r="E1469" s="2"/>
      </tp>
      <tp t="s">
        <v>#N/A Requesting Data...3149682780</v>
        <stp/>
        <stp>BDP|11352335537904572183</stp>
        <tr r="A1582" s="2"/>
      </tp>
      <tp t="s">
        <v>#N/A Requesting Data...4007095357</v>
        <stp/>
        <stp>BDP|13348559233349949867</stp>
        <tr r="H1320" s="2"/>
      </tp>
      <tp t="s">
        <v>#N/A Requesting Data...3674046205</v>
        <stp/>
        <stp>BDP|14695297336917596663</stp>
        <tr r="J907" s="2"/>
      </tp>
      <tp t="s">
        <v>#N/A Requesting Data...3907108028</v>
        <stp/>
        <stp>BDP|11125981187830515417</stp>
        <tr r="T295" s="2"/>
      </tp>
      <tp t="s">
        <v>#N/A Requesting Data...3432746457</v>
        <stp/>
        <stp>BDP|10342131307794991147</stp>
        <tr r="T1309" s="2"/>
      </tp>
      <tp t="s">
        <v>#N/A Requesting Data...3390489327</v>
        <stp/>
        <stp>BDP|11308480122921563263</stp>
        <tr r="A622" s="2"/>
      </tp>
      <tp t="s">
        <v>#N/A Requesting Data...3047052076</v>
        <stp/>
        <stp>BDP|15966345365861219506</stp>
        <tr r="P28" s="2"/>
      </tp>
      <tp t="s">
        <v>#N/A Requesting Data...4227632534</v>
        <stp/>
        <stp>BDP|12518449659885281204</stp>
        <tr r="Q1888" s="2"/>
      </tp>
      <tp t="s">
        <v>#N/A Requesting Data...3323547250</v>
        <stp/>
        <stp>BDP|10009214903553918513</stp>
        <tr r="N1618" s="2"/>
      </tp>
      <tp t="s">
        <v>#N/A Requesting Data...3729796155</v>
        <stp/>
        <stp>BDP|12684652619455790474</stp>
        <tr r="D954" s="2"/>
      </tp>
      <tp t="s">
        <v>#N/A Requesting Data...3618860939</v>
        <stp/>
        <stp>BDP|14004822748374572855</stp>
        <tr r="A115" s="2"/>
      </tp>
      <tp t="s">
        <v>#N/A Requesting Data...3067253192</v>
        <stp/>
        <stp>BDP|17147370855194960100</stp>
        <tr r="C210" s="2"/>
      </tp>
      <tp t="s">
        <v>#N/A Requesting Data...3182687901</v>
        <stp/>
        <stp>BDP|11216317583777915933</stp>
        <tr r="R1387" s="2"/>
      </tp>
      <tp t="s">
        <v>#N/A Requesting Data...4198836548</v>
        <stp/>
        <stp>BDP|11587365856876919567</stp>
        <tr r="T1684" s="2"/>
      </tp>
      <tp t="s">
        <v>#N/A Requesting Data...3997672703</v>
        <stp/>
        <stp>BDP|13453607959214268055</stp>
        <tr r="Q1881" s="2"/>
      </tp>
      <tp t="s">
        <v>#N/A Requesting Data...4238034523</v>
        <stp/>
        <stp>BDP|16451765358154954497</stp>
        <tr r="O888" s="2"/>
      </tp>
      <tp t="s">
        <v>#N/A Requesting Data...3463954974</v>
        <stp/>
        <stp>BDP|13692288894748823486</stp>
        <tr r="S649" s="2"/>
      </tp>
      <tp t="s">
        <v>#N/A Requesting Data...4091180201</v>
        <stp/>
        <stp>BDP|11741184422692460432</stp>
        <tr r="J2297" s="2"/>
      </tp>
      <tp t="b">
        <v>0</v>
        <stp/>
        <stp>BDS|12248183301723511473</stp>
        <tr r="I1358" s="2"/>
      </tp>
      <tp t="s">
        <v>#N/A Requesting Data...3194541099</v>
        <stp/>
        <stp>BDP|12925786310001906126</stp>
        <tr r="N479" s="2"/>
      </tp>
      <tp t="s">
        <v>#N/A Requesting Data...3174198223</v>
        <stp/>
        <stp>BDP|14711220127558146892</stp>
        <tr r="A256" s="2"/>
      </tp>
      <tp t="s">
        <v>#N/A Requesting Data...3564527987</v>
        <stp/>
        <stp>BDP|15835176121143129157</stp>
        <tr r="D336" s="2"/>
      </tp>
      <tp t="s">
        <v>#N/A Requesting Data...3060561493</v>
        <stp/>
        <stp>BDP|14151448340422781280</stp>
        <tr r="H1879" s="2"/>
      </tp>
      <tp t="s">
        <v>#N/A Requesting Data...4100203806</v>
        <stp/>
        <stp>BDP|10303632071697949221</stp>
        <tr r="A54" s="2"/>
      </tp>
      <tp t="s">
        <v>#N/A Requesting Data...4060322163</v>
        <stp/>
        <stp>BDP|12995645623780438209</stp>
        <tr r="A2229" s="2"/>
      </tp>
      <tp t="s">
        <v>#N/A Requesting Data...3167145430</v>
        <stp/>
        <stp>BDP|11750986052238221152</stp>
        <tr r="R298" s="2"/>
      </tp>
      <tp t="s">
        <v>#N/A Requesting Data...3578386937</v>
        <stp/>
        <stp>BDP|14674382218686477484</stp>
        <tr r="F2339" s="2"/>
      </tp>
      <tp t="s">
        <v>#N/A Requesting Data...4235865954</v>
        <stp/>
        <stp>BDP|17568167344365516383</stp>
        <tr r="Q99" s="2"/>
      </tp>
      <tp t="s">
        <v>#N/A Requesting Data...3892895449</v>
        <stp/>
        <stp>BDP|16762546671350101093</stp>
        <tr r="K1537" s="2"/>
      </tp>
      <tp t="s">
        <v>#N/A Requesting Data...3984802722</v>
        <stp/>
        <stp>BDP|17901364432120204355</stp>
        <tr r="T1391" s="2"/>
      </tp>
      <tp t="s">
        <v>#N/A Requesting Data...3330874134</v>
        <stp/>
        <stp>BDP|12602904808469733634</stp>
        <tr r="G545" s="2"/>
      </tp>
      <tp t="s">
        <v>#N/A Requesting Data...4186166680</v>
        <stp/>
        <stp>BDP|17731921390304818777</stp>
        <tr r="M852" s="2"/>
      </tp>
      <tp t="s">
        <v>#N/A Requesting Data...3401079863</v>
        <stp/>
        <stp>BDP|12276641660765453383</stp>
        <tr r="D395" s="2"/>
      </tp>
      <tp t="s">
        <v>#N/A Requesting Data...4206996734</v>
        <stp/>
        <stp>BDP|14941714102571832681</stp>
        <tr r="A875" s="2"/>
      </tp>
      <tp t="s">
        <v>#N/A Requesting Data...3301766280</v>
        <stp/>
        <stp>BDP|11294228278825562578</stp>
        <tr r="T572" s="2"/>
      </tp>
      <tp t="s">
        <v>#N/A Requesting Data...3484338220</v>
        <stp/>
        <stp>BDP|14060335515621926350</stp>
        <tr r="A619" s="2"/>
      </tp>
      <tp t="s">
        <v>#N/A Requesting Data...4038154834</v>
        <stp/>
        <stp>BDP|16896185739841224111</stp>
        <tr r="C995" s="2"/>
      </tp>
      <tp t="s">
        <v>#N/A Requesting Data...3163003591</v>
        <stp/>
        <stp>BDP|12954375242648372956</stp>
        <tr r="C70" s="2"/>
      </tp>
      <tp t="s">
        <v>#N/A Requesting Data...3555642673</v>
        <stp/>
        <stp>BDP|16586690477842376120</stp>
        <tr r="S2382" s="2"/>
      </tp>
      <tp t="s">
        <v>#N/A Requesting Data...3628733030</v>
        <stp/>
        <stp>BDP|11395421875813832565</stp>
        <tr r="H1363" s="2"/>
      </tp>
      <tp t="s">
        <v>#N/A Requesting Data...3752201869</v>
        <stp/>
        <stp>BDP|16869916995585366755</stp>
        <tr r="Q2230" s="2"/>
      </tp>
      <tp t="s">
        <v>#N/A Requesting Data...3798544298</v>
        <stp/>
        <stp>BDP|14666669912961192699</stp>
        <tr r="G2185" s="2"/>
      </tp>
      <tp t="s">
        <v>#N/A Requesting Data...4140221181</v>
        <stp/>
        <stp>BDP|11891048763646288579</stp>
        <tr r="J867" s="2"/>
      </tp>
      <tp t="s">
        <v>#N/A Requesting Data...3347249892</v>
        <stp/>
        <stp>BDP|16868305254081054560</stp>
        <tr r="T1573" s="2"/>
      </tp>
      <tp t="s">
        <v>#N/A Requesting Data...3156934291</v>
        <stp/>
        <stp>BDP|18379799181820558345</stp>
        <tr r="H1121" s="2"/>
      </tp>
      <tp t="b">
        <v>0</v>
        <stp/>
        <stp>BDS|13567142966765654583</stp>
        <tr r="I1121" s="2"/>
      </tp>
      <tp t="s">
        <v>#N/A Requesting Data...3895654866</v>
        <stp/>
        <stp>BDP|10665060968275795758</stp>
        <tr r="R1203" s="2"/>
      </tp>
      <tp t="s">
        <v>#N/A Requesting Data...3661797713</v>
        <stp/>
        <stp>BDP|14168641152465938645</stp>
        <tr r="E456" s="2"/>
      </tp>
      <tp t="s">
        <v>#N/A Requesting Data...3343299814</v>
        <stp/>
        <stp>BDP|13636912596321948622</stp>
        <tr r="M2446" s="2"/>
      </tp>
      <tp t="s">
        <v>#N/A Requesting Data...3893273224</v>
        <stp/>
        <stp>BDP|15564382746257653177</stp>
        <tr r="N1416" s="2"/>
      </tp>
      <tp t="s">
        <v>#N/A Requesting Data...3650571808</v>
        <stp/>
        <stp>BDP|11991960894860459550</stp>
        <tr r="P1681" s="2"/>
      </tp>
      <tp t="s">
        <v>#N/A Requesting Data...4002313595</v>
        <stp/>
        <stp>BDP|17933956146128436643</stp>
        <tr r="M2219" s="2"/>
      </tp>
      <tp t="s">
        <v>#N/A Requesting Data...3738146068</v>
        <stp/>
        <stp>BDP|10131500180709321082</stp>
        <tr r="P2030" s="2"/>
      </tp>
      <tp t="s">
        <v>#N/A Requesting Data...4179210835</v>
        <stp/>
        <stp>BDP|11835571753662797719</stp>
        <tr r="M1926" s="2"/>
      </tp>
      <tp t="s">
        <v>#N/A Requesting Data...4228887050</v>
        <stp/>
        <stp>BDP|12834754767456815186</stp>
        <tr r="P131" s="2"/>
      </tp>
      <tp t="s">
        <v>#N/A Requesting Data...4257299139</v>
        <stp/>
        <stp>BDP|10304838112388825572</stp>
        <tr r="E1959" s="2"/>
      </tp>
      <tp t="s">
        <v>#N/A Requesting Data...3366965271</v>
        <stp/>
        <stp>BDP|14671241906331860318</stp>
        <tr r="Q2166" s="2"/>
      </tp>
      <tp t="s">
        <v>#N/A Requesting Data...3563969932</v>
        <stp/>
        <stp>BDP|12162401398868612325</stp>
        <tr r="A1624" s="2"/>
      </tp>
      <tp t="s">
        <v>#N/A Requesting Data...4098360109</v>
        <stp/>
        <stp>BDP|16914055936328449938</stp>
        <tr r="M968" s="2"/>
      </tp>
      <tp t="s">
        <v>#N/A Requesting Data...3526373903</v>
        <stp/>
        <stp>BDP|10789717838162167223</stp>
        <tr r="D1177" s="2"/>
      </tp>
      <tp t="s">
        <v>#N/A Requesting Data...4072009407</v>
        <stp/>
        <stp>BDP|11651682557237085146</stp>
        <tr r="T1027" s="2"/>
      </tp>
      <tp t="s">
        <v>#N/A Requesting Data...4217321631</v>
        <stp/>
        <stp>BDP|13256363218012280734</stp>
        <tr r="E6" s="2"/>
      </tp>
      <tp t="s">
        <v>#N/A Requesting Data...3971432061</v>
        <stp/>
        <stp>BDP|16772223708715687561</stp>
        <tr r="J1159" s="2"/>
      </tp>
      <tp t="s">
        <v>#N/A Requesting Data...3673674759</v>
        <stp/>
        <stp>BDP|10538262628445398156</stp>
        <tr r="M7" s="2"/>
      </tp>
      <tp t="s">
        <v>#N/A Requesting Data...3957036870</v>
        <stp/>
        <stp>BDP|11411951029859069757</stp>
        <tr r="E273" s="2"/>
      </tp>
      <tp t="b">
        <v>0</v>
        <stp/>
        <stp>BDS|17799909496946780588</stp>
        <tr r="I273" s="2"/>
      </tp>
      <tp t="s">
        <v>#N/A Requesting Data...3909812976</v>
        <stp/>
        <stp>BDP|12803151115885091359</stp>
        <tr r="G107" s="2"/>
      </tp>
      <tp t="s">
        <v>#N/A Requesting Data...3969392648</v>
        <stp/>
        <stp>BDP|10405730780372920938</stp>
        <tr r="K550" s="2"/>
      </tp>
      <tp t="b">
        <v>0</v>
        <stp/>
        <stp>BDS|13353608043516822363</stp>
        <tr r="I1973" s="2"/>
      </tp>
      <tp t="s">
        <v>#N/A Requesting Data...4149258803</v>
        <stp/>
        <stp>BDP|12006516914332882005</stp>
        <tr r="G2102" s="2"/>
      </tp>
      <tp t="s">
        <v>#N/A Requesting Data...4070861820</v>
        <stp/>
        <stp>BDP|10532121394885610983</stp>
        <tr r="G1343" s="2"/>
      </tp>
      <tp t="s">
        <v>#N/A Requesting Data...3340611512</v>
        <stp/>
        <stp>BDP|11820850844659796035</stp>
        <tr r="N2106" s="2"/>
      </tp>
      <tp t="s">
        <v>#N/A Requesting Data...3350051208</v>
        <stp/>
        <stp>BDP|17054292768013499486</stp>
        <tr r="S400" s="2"/>
      </tp>
      <tp t="s">
        <v>#N/A Requesting Data...3806520515</v>
        <stp/>
        <stp>BDP|14484601766564826476</stp>
        <tr r="R291" s="2"/>
      </tp>
      <tp t="s">
        <v>#N/A Requesting Data...4056785826</v>
        <stp/>
        <stp>BDP|15181144329464086618</stp>
        <tr r="O1849" s="2"/>
      </tp>
      <tp t="s">
        <v>#N/A Requesting Data...3443862043</v>
        <stp/>
        <stp>BDP|15459588108716910204</stp>
        <tr r="R1461" s="2"/>
      </tp>
      <tp t="s">
        <v>#N/A Requesting Data...3810973311</v>
        <stp/>
        <stp>BDP|10871218988219901752</stp>
        <tr r="D1827" s="2"/>
      </tp>
      <tp t="s">
        <v>#N/A Requesting Data...3298139247</v>
        <stp/>
        <stp>BDP|17372480262529358878</stp>
        <tr r="K2445" s="2"/>
      </tp>
      <tp t="s">
        <v>#N/A Requesting Data...3771730719</v>
        <stp/>
        <stp>BDP|14763688742505049701</stp>
        <tr r="P173" s="2"/>
      </tp>
      <tp t="s">
        <v>#N/A Requesting Data...4238505155</v>
        <stp/>
        <stp>BDP|13369049212136114091</stp>
        <tr r="G641" s="2"/>
      </tp>
      <tp t="s">
        <v>#N/A Requesting Data...4111156232</v>
        <stp/>
        <stp>BDP|17894939565699414579</stp>
        <tr r="R384" s="2"/>
      </tp>
      <tp t="s">
        <v>#N/A Requesting Data...4129922477</v>
        <stp/>
        <stp>BDP|12211421922008867878</stp>
        <tr r="F1406" s="2"/>
      </tp>
      <tp t="s">
        <v>#N/A Requesting Data...3928231895</v>
        <stp/>
        <stp>BDP|10334770301874809706</stp>
        <tr r="C1773" s="2"/>
      </tp>
      <tp t="s">
        <v>#N/A Requesting Data...3239563529</v>
        <stp/>
        <stp>BDP|11093419879810513604</stp>
        <tr r="E1366" s="2"/>
      </tp>
      <tp t="s">
        <v>#N/A Requesting Data...3370646420</v>
        <stp/>
        <stp>BDP|15027333582509997350</stp>
        <tr r="F2235" s="2"/>
      </tp>
      <tp t="s">
        <v>#N/A Requesting Data...3591238290</v>
        <stp/>
        <stp>BDP|15062412738927683128</stp>
        <tr r="H100" s="2"/>
      </tp>
      <tp t="s">
        <v>#N/A Requesting Data...3448477017</v>
        <stp/>
        <stp>BDP|13474805666249881075</stp>
        <tr r="T94" s="2"/>
      </tp>
      <tp t="s">
        <v>#N/A Requesting Data...3700744666</v>
        <stp/>
        <stp>BDP|16962877296933564003</stp>
        <tr r="H217" s="2"/>
      </tp>
      <tp t="s">
        <v>#N/A Requesting Data...3539404725</v>
        <stp/>
        <stp>BDP|17066729572772532186</stp>
        <tr r="M2209" s="2"/>
      </tp>
      <tp t="s">
        <v>#N/A Requesting Data...4150219882</v>
        <stp/>
        <stp>BDP|16526753360772491192</stp>
        <tr r="H615" s="2"/>
      </tp>
      <tp t="s">
        <v>#N/A Requesting Data...3868142131</v>
        <stp/>
        <stp>BDP|17024838695080832235</stp>
        <tr r="H1200" s="2"/>
      </tp>
      <tp t="s">
        <v>#N/A Requesting Data...3969752304</v>
        <stp/>
        <stp>BDP|15286304018775765601</stp>
        <tr r="T80" s="2"/>
      </tp>
      <tp t="s">
        <v>#N/A Requesting Data...4030309749</v>
        <stp/>
        <stp>BDP|16075046273011356498</stp>
        <tr r="R1001" s="2"/>
      </tp>
      <tp t="s">
        <v>#N/A Requesting Data...3292685837</v>
        <stp/>
        <stp>BDP|16360535212537922168</stp>
        <tr r="P1794" s="2"/>
      </tp>
      <tp t="s">
        <v>#N/A Requesting Data...3863811530</v>
        <stp/>
        <stp>BDP|17769437708416312127</stp>
        <tr r="S1405" s="2"/>
      </tp>
      <tp t="s">
        <v>#N/A Requesting Data...4270652184</v>
        <stp/>
        <stp>BDP|16271534075659978901</stp>
        <tr r="C2102" s="2"/>
      </tp>
      <tp t="s">
        <v>#N/A Requesting Data...4080777245</v>
        <stp/>
        <stp>BDP|14968456110173820690</stp>
        <tr r="T517" s="2"/>
      </tp>
      <tp t="s">
        <v>#N/A Requesting Data...3627819406</v>
        <stp/>
        <stp>BDP|17929261943635875091</stp>
        <tr r="D1392" s="2"/>
      </tp>
      <tp t="b">
        <v>0</v>
        <stp/>
        <stp>BDS|15670871782270841153</stp>
        <tr r="I975" s="2"/>
      </tp>
      <tp t="s">
        <v>#N/A Requesting Data...3980158901</v>
        <stp/>
        <stp>BDP|11214766550000943700</stp>
        <tr r="E1534" s="2"/>
      </tp>
      <tp t="s">
        <v>#N/A Requesting Data...3987872612</v>
        <stp/>
        <stp>BDP|18173471485200608086</stp>
        <tr r="S1228" s="2"/>
      </tp>
      <tp t="s">
        <v>#N/A Requesting Data...3344531135</v>
        <stp/>
        <stp>BDP|17982948782453629144</stp>
        <tr r="M2179" s="2"/>
      </tp>
      <tp t="s">
        <v>#N/A Requesting Data...4017424423</v>
        <stp/>
        <stp>BDP|13346498928672709388</stp>
        <tr r="S1161" s="2"/>
      </tp>
      <tp t="s">
        <v>#N/A Requesting Data...3595994443</v>
        <stp/>
        <stp>BDP|16430473267229160986</stp>
        <tr r="F2469" s="2"/>
      </tp>
      <tp t="s">
        <v>#N/A Requesting Data...3363194794</v>
        <stp/>
        <stp>BDP|14729705949151037237</stp>
        <tr r="K39" s="2"/>
      </tp>
      <tp t="s">
        <v>#N/A Requesting Data...3457717847</v>
        <stp/>
        <stp>BDP|13557581038709959817</stp>
        <tr r="Q263" s="2"/>
      </tp>
      <tp t="s">
        <v>#N/A Requesting Data...3904289407</v>
        <stp/>
        <stp>BDP|17926273102083604270</stp>
        <tr r="O1796" s="2"/>
      </tp>
      <tp t="s">
        <v>#N/A Requesting Data...3425161896</v>
        <stp/>
        <stp>BDP|11011226607787198098</stp>
        <tr r="S1735" s="2"/>
      </tp>
      <tp t="s">
        <v>#N/A Requesting Data...4277906049</v>
        <stp/>
        <stp>BDP|10046540575576982058</stp>
        <tr r="C1101" s="2"/>
      </tp>
      <tp t="s">
        <v>#N/A Requesting Data...3841321939</v>
        <stp/>
        <stp>BDP|16587841569688578409</stp>
        <tr r="F940" s="2"/>
      </tp>
      <tp t="s">
        <v>#N/A Requesting Data...3607154056</v>
        <stp/>
        <stp>BDP|13849102761029536915</stp>
        <tr r="H1733" s="2"/>
      </tp>
      <tp t="s">
        <v>#N/A Requesting Data...3957666932</v>
        <stp/>
        <stp>BDP|13255860689452803581</stp>
        <tr r="J974" s="2"/>
      </tp>
      <tp t="s">
        <v>#N/A Requesting Data...3676013250</v>
        <stp/>
        <stp>BDP|10407065335305333295</stp>
        <tr r="F271" s="2"/>
      </tp>
      <tp t="s">
        <v>#N/A Requesting Data...4117290307</v>
        <stp/>
        <stp>BDP|10747382522712464747</stp>
        <tr r="J883" s="2"/>
      </tp>
      <tp t="s">
        <v>#N/A Requesting Data...3945399928</v>
        <stp/>
        <stp>BDP|18281151692692899606</stp>
        <tr r="E1832" s="2"/>
      </tp>
      <tp t="s">
        <v>#N/A Requesting Data...3455186648</v>
        <stp/>
        <stp>BDP|13963422732462194259</stp>
        <tr r="K1218" s="2"/>
      </tp>
      <tp t="s">
        <v>#N/A Requesting Data...3637558437</v>
        <stp/>
        <stp>BDP|15723637278643763365</stp>
        <tr r="D1108" s="2"/>
      </tp>
      <tp t="s">
        <v>#N/A Requesting Data...3505621257</v>
        <stp/>
        <stp>BDP|11953517610151529006</stp>
        <tr r="J274" s="2"/>
      </tp>
      <tp t="b">
        <v>0</v>
        <stp/>
        <stp>BDS|12439681312737741676</stp>
        <tr r="I1773" s="2"/>
      </tp>
      <tp t="s">
        <v>#N/A Requesting Data...4122341460</v>
        <stp/>
        <stp>BDP|12462567166241862412</stp>
        <tr r="H19" s="2"/>
      </tp>
      <tp t="s">
        <v>#N/A Requesting Data...3640539158</v>
        <stp/>
        <stp>BDP|16333171598812847899</stp>
        <tr r="K2384" s="2"/>
      </tp>
      <tp t="s">
        <v>#N/A Requesting Data...3602135371</v>
        <stp/>
        <stp>BDP|10129594102927198661</stp>
        <tr r="M444" s="2"/>
      </tp>
      <tp t="b">
        <v>0</v>
        <stp/>
        <stp>BDS|15684622925733933668</stp>
        <tr r="I1216" s="2"/>
      </tp>
      <tp t="s">
        <v>#N/A Requesting Data...3883695668</v>
        <stp/>
        <stp>BDP|13602574152594725395</stp>
        <tr r="Q785" s="2"/>
      </tp>
      <tp t="s">
        <v>#N/A Requesting Data...3597612072</v>
        <stp/>
        <stp>BDP|17812992161925898955</stp>
        <tr r="R1393" s="2"/>
      </tp>
      <tp t="s">
        <v>#N/A Requesting Data...4251972829</v>
        <stp/>
        <stp>BDP|17749061440817888043</stp>
        <tr r="Q1902" s="2"/>
      </tp>
      <tp t="s">
        <v>#N/A Requesting Data...4257165025</v>
        <stp/>
        <stp>BDP|11554507014751457086</stp>
        <tr r="T1747" s="2"/>
      </tp>
      <tp t="s">
        <v>#N/A Requesting Data...3760160525</v>
        <stp/>
        <stp>BDP|12844219480025324979</stp>
        <tr r="Q1976" s="2"/>
      </tp>
      <tp t="s">
        <v>#N/A Requesting Data...3767496355</v>
        <stp/>
        <stp>BDP|13052222272284834653</stp>
        <tr r="R2525" s="2"/>
      </tp>
      <tp t="s">
        <v>#N/A Requesting Data...3877407147</v>
        <stp/>
        <stp>BDP|10073240829221603560</stp>
        <tr r="T2053" s="2"/>
      </tp>
      <tp t="s">
        <v>#N/A Requesting Data...3481014785</v>
        <stp/>
        <stp>BDP|10564427839532255114</stp>
        <tr r="O2474" s="2"/>
      </tp>
      <tp t="s">
        <v>#N/A Requesting Data...3773891766</v>
        <stp/>
        <stp>BDP|12940110020250210572</stp>
        <tr r="A1149" s="2"/>
      </tp>
      <tp t="s">
        <v>#N/A Requesting Data...4031797717</v>
        <stp/>
        <stp>BDP|10518924040771928835</stp>
        <tr r="D1165" s="2"/>
      </tp>
      <tp t="s">
        <v>#N/A Requesting Data...3657361188</v>
        <stp/>
        <stp>BDP|11967214862003728205</stp>
        <tr r="G807" s="2"/>
      </tp>
      <tp t="s">
        <v>#N/A Requesting Data...3834957482</v>
        <stp/>
        <stp>BDP|13111572419117547473</stp>
        <tr r="K899" s="2"/>
      </tp>
      <tp t="s">
        <v>#N/A Requesting Data...3503367730</v>
        <stp/>
        <stp>BDP|14790989967259117647</stp>
        <tr r="F2495" s="2"/>
      </tp>
      <tp t="s">
        <v>#N/A Requesting Data...3723890426</v>
        <stp/>
        <stp>BDP|16305750061284276781</stp>
        <tr r="P2272" s="2"/>
      </tp>
      <tp t="s">
        <v>#N/A Requesting Data...3467061793</v>
        <stp/>
        <stp>BDP|12991341832963065523</stp>
        <tr r="S107" s="2"/>
      </tp>
      <tp t="b">
        <v>0</v>
        <stp/>
        <stp>BDS|17305658552628938839</stp>
        <tr r="I1688" s="2"/>
      </tp>
      <tp t="s">
        <v>#N/A Requesting Data...4042545724</v>
        <stp/>
        <stp>BDP|12039854785590443692</stp>
        <tr r="H2280" s="2"/>
      </tp>
      <tp t="s">
        <v>#N/A Requesting Data...3761012169</v>
        <stp/>
        <stp>BDP|15455028778571682754</stp>
        <tr r="M1885" s="2"/>
      </tp>
      <tp t="s">
        <v>#N/A Requesting Data...3463766274</v>
        <stp/>
        <stp>BDP|15981412722747015078</stp>
        <tr r="H1570" s="2"/>
      </tp>
      <tp t="s">
        <v>#N/A Requesting Data...4243299493</v>
        <stp/>
        <stp>BDP|18036229676370847919</stp>
        <tr r="K162" s="2"/>
      </tp>
      <tp t="s">
        <v>#N/A Requesting Data...3684566567</v>
        <stp/>
        <stp>BDP|17746700965064961679</stp>
        <tr r="P476" s="2"/>
      </tp>
      <tp t="s">
        <v>#N/A Requesting Data...3655426800</v>
        <stp/>
        <stp>BDP|15312273719880197208</stp>
        <tr r="T1370" s="2"/>
      </tp>
      <tp t="s">
        <v>#N/A Requesting Data...3566219964</v>
        <stp/>
        <stp>BDP|16530423649420691246</stp>
        <tr r="E945" s="2"/>
      </tp>
      <tp t="s">
        <v>#N/A Requesting Data...3712151144</v>
        <stp/>
        <stp>BDP|16445062948103788514</stp>
        <tr r="T773" s="2"/>
      </tp>
      <tp t="s">
        <v>#N/A Requesting Data...4217344954</v>
        <stp/>
        <stp>BDP|10359345019367211108</stp>
        <tr r="T418" s="2"/>
      </tp>
      <tp t="s">
        <v>#N/A Requesting Data...3769619113</v>
        <stp/>
        <stp>BDP|11684442374924991230</stp>
        <tr r="M468" s="2"/>
      </tp>
      <tp t="b">
        <v>0</v>
        <stp/>
        <stp>BDS|14706782434196124258</stp>
        <tr r="I594" s="2"/>
      </tp>
      <tp t="s">
        <v>#N/A Requesting Data...3715131179</v>
        <stp/>
        <stp>BDP|10732909847340460986</stp>
        <tr r="T2524" s="2"/>
      </tp>
      <tp t="s">
        <v>#N/A Requesting Data...3420890997</v>
        <stp/>
        <stp>BDP|11243751524887906764</stp>
        <tr r="E845" s="2"/>
      </tp>
      <tp t="s">
        <v>#N/A Requesting Data...4034581391</v>
        <stp/>
        <stp>BDP|14373960808681009818</stp>
        <tr r="C1069" s="2"/>
      </tp>
      <tp t="s">
        <v>#N/A Requesting Data...3779574296</v>
        <stp/>
        <stp>BDP|16999520035474608044</stp>
        <tr r="A1942" s="2"/>
      </tp>
      <tp t="s">
        <v>#N/A Requesting Data...3945989178</v>
        <stp/>
        <stp>BDP|17529256948951135457</stp>
        <tr r="G1500" s="2"/>
      </tp>
      <tp t="s">
        <v>#N/A Requesting Data...4292802993</v>
        <stp/>
        <stp>BDP|15176386738236830759</stp>
        <tr r="R2293" s="2"/>
      </tp>
      <tp t="b">
        <v>0</v>
        <stp/>
        <stp>BDS|12013178109195792269</stp>
        <tr r="I255" s="2"/>
      </tp>
      <tp t="s">
        <v>#N/A Requesting Data...3704278517</v>
        <stp/>
        <stp>BDP|10117271072979845805</stp>
        <tr r="C1396" s="2"/>
      </tp>
      <tp t="s">
        <v>#N/A Requesting Data...4124248401</v>
        <stp/>
        <stp>BDP|12790212556716927756</stp>
        <tr r="N1700" s="2"/>
      </tp>
      <tp t="s">
        <v>#N/A Requesting Data...3783267630</v>
        <stp/>
        <stp>BDP|15883155306122320246</stp>
        <tr r="K844" s="2"/>
      </tp>
      <tp t="s">
        <v>#N/A Requesting Data...4156418866</v>
        <stp/>
        <stp>BDP|14910372426002187354</stp>
        <tr r="G689" s="2"/>
      </tp>
      <tp t="s">
        <v>#N/A Requesting Data...3642867878</v>
        <stp/>
        <stp>BDP|16461460057674888716</stp>
        <tr r="K2004" s="2"/>
      </tp>
      <tp t="s">
        <v>#N/A Requesting Data...3642164046</v>
        <stp/>
        <stp>BDP|17295207779946118068</stp>
        <tr r="C1138" s="2"/>
      </tp>
      <tp t="s">
        <v>#N/A Requesting Data...3992589545</v>
        <stp/>
        <stp>BDP|13243982756452146918</stp>
        <tr r="T909" s="2"/>
      </tp>
      <tp t="s">
        <v>#N/A Requesting Data...3659051883</v>
        <stp/>
        <stp>BDP|13343468344310467797</stp>
        <tr r="J2281" s="2"/>
      </tp>
      <tp t="s">
        <v>#N/A Requesting Data...3761012142</v>
        <stp/>
        <stp>BDP|15744789577282188359</stp>
        <tr r="O1652" s="2"/>
      </tp>
      <tp t="s">
        <v>#N/A Requesting Data...4107820657</v>
        <stp/>
        <stp>BDP|10715483513824752571</stp>
        <tr r="P119" s="2"/>
      </tp>
      <tp t="s">
        <v>#N/A Requesting Data...4154210714</v>
        <stp/>
        <stp>BDP|11743449064021361685</stp>
        <tr r="F1681" s="2"/>
      </tp>
      <tp t="s">
        <v>#N/A Requesting Data...3561563710</v>
        <stp/>
        <stp>BDP|11450408198418062001</stp>
        <tr r="G391" s="2"/>
      </tp>
      <tp t="s">
        <v>#N/A Requesting Data...3769772731</v>
        <stp/>
        <stp>BDP|14287796449862739198</stp>
        <tr r="F1694" s="2"/>
      </tp>
      <tp t="s">
        <v>#N/A Requesting Data...3615617755</v>
        <stp/>
        <stp>BDP|11320701212791814258</stp>
        <tr r="D1913" s="2"/>
      </tp>
      <tp t="s">
        <v>#N/A Requesting Data...3759925177</v>
        <stp/>
        <stp>BDP|16708524442904363786</stp>
        <tr r="T1191" s="2"/>
      </tp>
      <tp t="s">
        <v>#N/A Requesting Data...4003414415</v>
        <stp/>
        <stp>BDP|13640673808875561404</stp>
        <tr r="T167" s="2"/>
      </tp>
      <tp t="s">
        <v>#N/A Requesting Data...3626315704</v>
        <stp/>
        <stp>BDP|14325515109720388545</stp>
        <tr r="E1362" s="2"/>
      </tp>
      <tp t="s">
        <v>#N/A Requesting Data...4016449747</v>
        <stp/>
        <stp>BDP|13148727121860936275</stp>
        <tr r="J2129" s="2"/>
      </tp>
      <tp t="s">
        <v>#N/A Requesting Data...3999959446</v>
        <stp/>
        <stp>BDP|10798099416900608524</stp>
        <tr r="P2004" s="2"/>
      </tp>
      <tp t="s">
        <v>#N/A Requesting Data...4108851760</v>
        <stp/>
        <stp>BDP|13407393947246753618</stp>
        <tr r="F284" s="2"/>
      </tp>
      <tp t="s">
        <v>#N/A Requesting Data...3862547380</v>
        <stp/>
        <stp>BDP|18091293796175538264</stp>
        <tr r="J2358" s="2"/>
      </tp>
      <tp t="s">
        <v>#N/A Requesting Data...4203156586</v>
        <stp/>
        <stp>BDP|14149359328022482349</stp>
        <tr r="O1648" s="2"/>
      </tp>
      <tp t="s">
        <v>#N/A Requesting Data...3621573031</v>
        <stp/>
        <stp>BDP|16095272609019157932</stp>
        <tr r="O1279" s="2"/>
      </tp>
      <tp t="s">
        <v>#N/A Requesting Data...3597168841</v>
        <stp/>
        <stp>BDP|15117593105492188602</stp>
        <tr r="J550" s="2"/>
      </tp>
      <tp t="s">
        <v>#N/A Requesting Data...3827498942</v>
        <stp/>
        <stp>BDP|16851977792320284235</stp>
        <tr r="K879" s="2"/>
      </tp>
      <tp t="s">
        <v>#N/A Requesting Data...4288640270</v>
        <stp/>
        <stp>BDP|11635885910189249500</stp>
        <tr r="F1737" s="2"/>
      </tp>
      <tp t="b">
        <v>0</v>
        <stp/>
        <stp>BDS|11033397762525458507</stp>
        <tr r="I1015" s="2"/>
      </tp>
      <tp t="s">
        <v>#N/A Requesting Data...4052792399</v>
        <stp/>
        <stp>BDP|13364609298831450931</stp>
        <tr r="E2513" s="2"/>
      </tp>
      <tp t="s">
        <v>#N/A Requesting Data...3890679108</v>
        <stp/>
        <stp>BDP|11200035034603804510</stp>
        <tr r="K875" s="2"/>
      </tp>
      <tp t="s">
        <v>#N/A Requesting Data...4196072885</v>
        <stp/>
        <stp>BDP|15832013104818736968</stp>
        <tr r="A1382" s="2"/>
      </tp>
      <tp t="s">
        <v>#N/A Requesting Data...3692518290</v>
        <stp/>
        <stp>BDP|10891338481516223945</stp>
        <tr r="D750" s="2"/>
      </tp>
      <tp t="s">
        <v>#N/A Requesting Data...4053525174</v>
        <stp/>
        <stp>BDP|14190142534353937148</stp>
        <tr r="R2377" s="2"/>
      </tp>
      <tp t="s">
        <v>#N/A Requesting Data...3607449306</v>
        <stp/>
        <stp>BDP|11734885009805849828</stp>
        <tr r="J1632" s="2"/>
      </tp>
      <tp t="s">
        <v>#N/A Requesting Data...4207045023</v>
        <stp/>
        <stp>BDP|14807926596550502051</stp>
        <tr r="M965" s="2"/>
      </tp>
      <tp t="s">
        <v>#N/A Requesting Data...3693892203</v>
        <stp/>
        <stp>BDP|16867377961491222605</stp>
        <tr r="H2046" s="2"/>
      </tp>
      <tp t="s">
        <v>#N/A Requesting Data...4123593187</v>
        <stp/>
        <stp>BDP|12217795673600765636</stp>
        <tr r="D839" s="2"/>
      </tp>
      <tp t="s">
        <v>#N/A Requesting Data...3693911163</v>
        <stp/>
        <stp>BDP|12536095330121513454</stp>
        <tr r="O2083" s="2"/>
      </tp>
      <tp t="s">
        <v>#N/A Requesting Data...3599546216</v>
        <stp/>
        <stp>BDP|16438071945641318794</stp>
        <tr r="Q592" s="2"/>
      </tp>
      <tp t="s">
        <v>#N/A Requesting Data...4288192402</v>
        <stp/>
        <stp>BDP|15363261118586245437</stp>
        <tr r="M39" s="2"/>
      </tp>
      <tp t="b">
        <v>0</v>
        <stp/>
        <stp>BDS|16280368835270967275</stp>
        <tr r="I2219" s="2"/>
      </tp>
      <tp t="s">
        <v>#N/A Requesting Data...3621453933</v>
        <stp/>
        <stp>BDP|18098783530340002848</stp>
        <tr r="Q1164" s="2"/>
      </tp>
      <tp t="s">
        <v>#N/A Requesting Data...3727139382</v>
        <stp/>
        <stp>BDP|13583435778996617244</stp>
        <tr r="A801" s="2"/>
      </tp>
      <tp t="s">
        <v>#N/A Requesting Data...4001836208</v>
        <stp/>
        <stp>BDP|15017057318451820191</stp>
        <tr r="F1255" s="2"/>
      </tp>
      <tp t="s">
        <v>#N/A Requesting Data...4282187892</v>
        <stp/>
        <stp>BDP|12106006827782249685</stp>
        <tr r="S734" s="2"/>
      </tp>
      <tp t="s">
        <v>#N/A Requesting Data...4252407980</v>
        <stp/>
        <stp>BDP|12042663348093100737</stp>
        <tr r="K739" s="2"/>
      </tp>
      <tp t="s">
        <v>#N/A Requesting Data...4114134745</v>
        <stp/>
        <stp>BDP|12765616046070559495</stp>
        <tr r="H2477" s="2"/>
      </tp>
      <tp t="s">
        <v>#N/A Requesting Data...4050677909</v>
        <stp/>
        <stp>BDP|17567564469578036864</stp>
        <tr r="C2315" s="2"/>
      </tp>
      <tp t="s">
        <v>#N/A Requesting Data...3883627934</v>
        <stp/>
        <stp>BDP|12578340509326111352</stp>
        <tr r="J1190" s="2"/>
      </tp>
      <tp t="s">
        <v>#N/A Requesting Data...4266881062</v>
        <stp/>
        <stp>BDP|14772003838485269611</stp>
        <tr r="F984" s="2"/>
      </tp>
      <tp t="s">
        <v>#N/A Requesting Data...3948170019</v>
        <stp/>
        <stp>BDP|13217146738201725450</stp>
        <tr r="Q1843" s="2"/>
      </tp>
      <tp t="s">
        <v>#N/A Requesting Data...3580559489</v>
        <stp/>
        <stp>BDP|16872537525887372219</stp>
        <tr r="G2036" s="2"/>
      </tp>
      <tp t="s">
        <v>#N/A Requesting Data...3736322543</v>
        <stp/>
        <stp>BDP|11421312305550579694</stp>
        <tr r="C806" s="2"/>
      </tp>
      <tp t="s">
        <v>#N/A Requesting Data...3821256379</v>
        <stp/>
        <stp>BDP|10842505549106972341</stp>
        <tr r="S165" s="2"/>
      </tp>
      <tp t="s">
        <v>#N/A Requesting Data...3780945669</v>
        <stp/>
        <stp>BDP|17012474225640640581</stp>
        <tr r="S208" s="2"/>
      </tp>
      <tp t="s">
        <v>#N/A Requesting Data...3880054037</v>
        <stp/>
        <stp>BDP|10881230811765308259</stp>
        <tr r="C2329" s="2"/>
      </tp>
      <tp t="s">
        <v>#N/A Requesting Data...4038047784</v>
        <stp/>
        <stp>BDP|17899503776380290106</stp>
        <tr r="J1829" s="2"/>
      </tp>
      <tp t="s">
        <v>#N/A Requesting Data...4189030497</v>
        <stp/>
        <stp>BDP|17833472478821395186</stp>
        <tr r="D21" s="2"/>
      </tp>
      <tp t="s">
        <v>#N/A Requesting Data...4166956244</v>
        <stp/>
        <stp>BDP|17315673839597277136</stp>
        <tr r="H127" s="2"/>
      </tp>
      <tp t="s">
        <v>#N/A Requesting Data...3808417907</v>
        <stp/>
        <stp>BDP|18316210376238175192</stp>
        <tr r="J618" s="2"/>
      </tp>
      <tp t="s">
        <v>#N/A Requesting Data...3838846162</v>
        <stp/>
        <stp>BDP|10680396721812078724</stp>
        <tr r="C2249" s="2"/>
      </tp>
      <tp t="s">
        <v>#N/A Requesting Data...4128633060</v>
        <stp/>
        <stp>BDP|17679304564404919273</stp>
        <tr r="Q1572" s="2"/>
      </tp>
      <tp t="s">
        <v>#N/A Requesting Data...3869081260</v>
        <stp/>
        <stp>BDP|10734213406514926252</stp>
        <tr r="K501" s="2"/>
      </tp>
      <tp t="s">
        <v>#N/A Requesting Data...3629833386</v>
        <stp/>
        <stp>BDP|15877946096196505734</stp>
        <tr r="R1880" s="2"/>
      </tp>
      <tp t="s">
        <v>#N/A Requesting Data...3853596542</v>
        <stp/>
        <stp>BDP|12241488747583498554</stp>
        <tr r="E2339" s="2"/>
      </tp>
      <tp t="b">
        <v>0</v>
        <stp/>
        <stp>BDS|10956889116705061889</stp>
        <tr r="I372" s="2"/>
      </tp>
      <tp t="s">
        <v>#N/A Requesting Data...3954265482</v>
        <stp/>
        <stp>BDP|18383988416323267731</stp>
        <tr r="S2082" s="2"/>
      </tp>
      <tp t="s">
        <v>#N/A Requesting Data...3927833528</v>
        <stp/>
        <stp>BDP|15417073876100913639</stp>
        <tr r="G1746" s="2"/>
      </tp>
      <tp t="s">
        <v>#N/A Requesting Data...3915126335</v>
        <stp/>
        <stp>BDP|15723136918846402777</stp>
        <tr r="H136" s="2"/>
      </tp>
      <tp t="s">
        <v>#N/A Requesting Data...3813668155</v>
        <stp/>
        <stp>BDP|14983266269416848215</stp>
        <tr r="D1658" s="2"/>
      </tp>
      <tp t="s">
        <v>#N/A Requesting Data...4062749817</v>
        <stp/>
        <stp>BDP|11401212878368494863</stp>
        <tr r="E1900" s="2"/>
      </tp>
      <tp t="s">
        <v>#N/A Requesting Data...4254836182</v>
        <stp/>
        <stp>BDP|11790164669916492436</stp>
        <tr r="A119" s="2"/>
      </tp>
      <tp t="s">
        <v>#N/A Requesting Data...4075143348</v>
        <stp/>
        <stp>BDP|13286580295542357933</stp>
        <tr r="Q914" s="2"/>
      </tp>
      <tp t="s">
        <v>#N/A Requesting Data...4112236558</v>
        <stp/>
        <stp>BDP|11886001113472101656</stp>
        <tr r="H1755" s="2"/>
      </tp>
      <tp t="s">
        <v>#N/A Requesting Data...3705755231</v>
        <stp/>
        <stp>BDP|14828515894488698441</stp>
        <tr r="R399" s="2"/>
      </tp>
      <tp t="s">
        <v>#N/A Requesting Data...4101547565</v>
        <stp/>
        <stp>BDP|17485543609014292249</stp>
        <tr r="C1125" s="2"/>
      </tp>
      <tp t="s">
        <v>#N/A Requesting Data...4172915858</v>
        <stp/>
        <stp>BDP|17101285216815539554</stp>
        <tr r="D1990" s="2"/>
      </tp>
      <tp t="b">
        <v>0</v>
        <stp/>
        <stp>BDS|12904419311261661237</stp>
        <tr r="I1544" s="2"/>
      </tp>
      <tp t="s">
        <v>#N/A Requesting Data...3768550997</v>
        <stp/>
        <stp>BDP|12153458625177841762</stp>
        <tr r="J1097" s="2"/>
      </tp>
      <tp t="b">
        <v>0</v>
        <stp/>
        <stp>BDS|16584997881461728263</stp>
        <tr r="I719" s="2"/>
      </tp>
      <tp t="s">
        <v>#N/A Requesting Data...3827120599</v>
        <stp/>
        <stp>BDP|12082892799093732480</stp>
        <tr r="N1132" s="2"/>
      </tp>
      <tp t="s">
        <v>#N/A Requesting Data...4207832497</v>
        <stp/>
        <stp>BDP|14404339880133147895</stp>
        <tr r="Q2288" s="2"/>
      </tp>
      <tp t="s">
        <v>#N/A Requesting Data...4104219078</v>
        <stp/>
        <stp>BDP|15160309225560251096</stp>
        <tr r="G821" s="2"/>
      </tp>
      <tp t="s">
        <v>#N/A Requesting Data...4084759096</v>
        <stp/>
        <stp>BDP|17866130360862374670</stp>
        <tr r="S821" s="2"/>
      </tp>
      <tp t="s">
        <v>#N/A Requesting Data...4170327280</v>
        <stp/>
        <stp>BDP|10527005766866905456</stp>
        <tr r="K1084" s="2"/>
      </tp>
      <tp t="s">
        <v>#N/A Requesting Data...4171999599</v>
        <stp/>
        <stp>BDP|12276880260278091055</stp>
        <tr r="P258" s="2"/>
      </tp>
      <tp t="s">
        <v>#N/A Requesting Data...3872411449</v>
        <stp/>
        <stp>BDP|10262680601834748632</stp>
        <tr r="O1040" s="2"/>
      </tp>
      <tp t="s">
        <v>#N/A Requesting Data...4209529268</v>
        <stp/>
        <stp>BDP|14925013194090283911</stp>
        <tr r="S1380" s="2"/>
      </tp>
      <tp t="s">
        <v>#N/A Requesting Data...3847968823</v>
        <stp/>
        <stp>BDP|13838532897789570269</stp>
        <tr r="N71" s="2"/>
      </tp>
      <tp t="s">
        <v>#N/A Requesting Data...4174737202</v>
        <stp/>
        <stp>BDP|16014113529872170365</stp>
        <tr r="P579" s="2"/>
      </tp>
      <tp t="s">
        <v>#N/A Requesting Data...3834399766</v>
        <stp/>
        <stp>BDP|17052400608547106068</stp>
        <tr r="K1072" s="2"/>
      </tp>
      <tp t="s">
        <v>#N/A Requesting Data...3817716653</v>
        <stp/>
        <stp>BDP|17710791138836080198</stp>
        <tr r="S517" s="2"/>
      </tp>
      <tp t="s">
        <v>#N/A Requesting Data...4220342193</v>
        <stp/>
        <stp>BDP|10093524457624940030</stp>
        <tr r="P1650" s="2"/>
      </tp>
      <tp t="s">
        <v>#N/A Requesting Data...3891505312</v>
        <stp/>
        <stp>BDP|12242791507676145728</stp>
        <tr r="N2302" s="2"/>
      </tp>
      <tp t="s">
        <v>#N/A Requesting Data...3826284213</v>
        <stp/>
        <stp>BDP|14325333789303347859</stp>
        <tr r="A292" s="2"/>
      </tp>
      <tp t="s">
        <v>#N/A Requesting Data...4113135634</v>
        <stp/>
        <stp>BDP|13202509333709996878</stp>
        <tr r="J621" s="2"/>
      </tp>
      <tp t="s">
        <v>#N/A Requesting Data...3791487927</v>
        <stp/>
        <stp>BDP|12267765133431893301</stp>
        <tr r="H1600" s="2"/>
      </tp>
      <tp t="s">
        <v>#N/A Requesting Data...4206753964</v>
        <stp/>
        <stp>BDP|18148032281887893348</stp>
        <tr r="C1573" s="2"/>
      </tp>
      <tp t="b">
        <v>0</v>
        <stp/>
        <stp>BDS|15314592572484388770</stp>
        <tr r="I587" s="2"/>
      </tp>
      <tp t="s">
        <v>#N/A Requesting Data...3757781656</v>
        <stp/>
        <stp>BDP|10493496040251675545</stp>
        <tr r="A391" s="2"/>
      </tp>
      <tp t="s">
        <v>#N/A Requesting Data...4088997121</v>
        <stp/>
        <stp>BDP|12375160929654277118</stp>
        <tr r="N306" s="2"/>
      </tp>
      <tp t="b">
        <v>0</v>
        <stp/>
        <stp>BDS|16886684662397847565</stp>
        <tr r="I1138" s="2"/>
      </tp>
      <tp t="s">
        <v>#N/A Requesting Data...4152696315</v>
        <stp/>
        <stp>BDP|14531536967866631583</stp>
        <tr r="F493" s="2"/>
      </tp>
      <tp t="s">
        <v>#N/A Requesting Data...4018980119</v>
        <stp/>
        <stp>BDP|17878042395809615301</stp>
        <tr r="P1685" s="2"/>
      </tp>
      <tp t="s">
        <v>#N/A Requesting Data...4010233797</v>
        <stp/>
        <stp>BDP|16089785376084590649</stp>
        <tr r="J1270" s="2"/>
      </tp>
      <tp t="s">
        <v>#N/A Requesting Data...4278820559</v>
        <stp/>
        <stp>BDP|13459070730972555695</stp>
        <tr r="M276" s="2"/>
      </tp>
      <tp t="s">
        <v>#N/A Requesting Data...4065224147</v>
        <stp/>
        <stp>BDP|17379726789665727909</stp>
        <tr r="E712" s="2"/>
      </tp>
      <tp t="s">
        <v>#N/A Requesting Data...4166283061</v>
        <stp/>
        <stp>BDP|14222146479635371339</stp>
        <tr r="H2333" s="2"/>
      </tp>
      <tp t="s">
        <v>#N/A Requesting Data...3992040365</v>
        <stp/>
        <stp>BDP|17844201927884951794</stp>
        <tr r="P777" s="2"/>
      </tp>
      <tp t="s">
        <v>#N/A Requesting Data...3909403012</v>
        <stp/>
        <stp>BDP|18324955073743384194</stp>
        <tr r="H2165" s="2"/>
      </tp>
      <tp t="s">
        <v>#N/A Requesting Data...3842980909</v>
        <stp/>
        <stp>BDP|15031538139143564400</stp>
        <tr r="S950" s="2"/>
      </tp>
      <tp t="s">
        <v>#N/A Requesting Data...4282716151</v>
        <stp/>
        <stp>BDP|12642565427847021687</stp>
        <tr r="M1076" s="2"/>
      </tp>
      <tp t="s">
        <v>#N/A Requesting Data...3884398662</v>
        <stp/>
        <stp>BDP|15139204598782649807</stp>
        <tr r="S575" s="2"/>
      </tp>
      <tp t="s">
        <v>#N/A Requesting Data...4012574445</v>
        <stp/>
        <stp>BDP|17663948105123959919</stp>
        <tr r="S2173" s="2"/>
      </tp>
      <tp t="s">
        <v>#N/A Requesting Data...4067719934</v>
        <stp/>
        <stp>BDP|10860005852505273472</stp>
        <tr r="K1314" s="2"/>
      </tp>
      <tp t="s">
        <v>#N/A Requesting Data...4255226376</v>
        <stp/>
        <stp>BDP|15350664098027357917</stp>
        <tr r="H867" s="2"/>
      </tp>
      <tp t="s">
        <v>#N/A Requesting Data...4027978269</v>
        <stp/>
        <stp>BDP|17409154697098015396</stp>
        <tr r="M798" s="2"/>
      </tp>
      <tp t="s">
        <v>#N/A Requesting Data...3892417689</v>
        <stp/>
        <stp>BDP|13998352145143188370</stp>
        <tr r="E1552" s="2"/>
      </tp>
      <tp t="s">
        <v>#N/A Requesting Data...4174551336</v>
        <stp/>
        <stp>BDP|16845284049232240644</stp>
        <tr r="G1167" s="2"/>
      </tp>
      <tp t="b">
        <v>0</v>
        <stp/>
        <stp>BDS|14606602165271960164</stp>
        <tr r="I1925" s="2"/>
      </tp>
      <tp t="s">
        <v>#N/A Requesting Data...3832342617</v>
        <stp/>
        <stp>BDP|16682034813426990500</stp>
        <tr r="P2318" s="2"/>
      </tp>
      <tp t="s">
        <v>#N/A Requesting Data...4064271545</v>
        <stp/>
        <stp>BDP|14002861881368876804</stp>
        <tr r="P1599" s="2"/>
      </tp>
      <tp t="s">
        <v>#N/A Requesting Data...4079922961</v>
        <stp/>
        <stp>BDP|12942895494975217298</stp>
        <tr r="T2008" s="2"/>
      </tp>
      <tp t="s">
        <v>#N/A Requesting Data...4126344464</v>
        <stp/>
        <stp>BDP|15955726104341891788</stp>
        <tr r="G2151" s="2"/>
      </tp>
      <tp t="s">
        <v>#N/A Requesting Data...4224927121</v>
        <stp/>
        <stp>BDP|17529800394714919675</stp>
        <tr r="P570" s="2"/>
      </tp>
      <tp t="s">
        <v>#N/A Requesting Data...4224145322</v>
        <stp/>
        <stp>BDP|12859310671511512321</stp>
        <tr r="F1250" s="2"/>
      </tp>
      <tp t="s">
        <v>#N/A Requesting Data...4183357269</v>
        <stp/>
        <stp>BDP|15649485274837594500</stp>
        <tr r="D2141" s="2"/>
      </tp>
      <tp t="s">
        <v>#N/A Requesting Data...3844189772</v>
        <stp/>
        <stp>BDP|12986965919568010699</stp>
        <tr r="N2265" s="2"/>
      </tp>
      <tp t="s">
        <v>#N/A Requesting Data...3882680801</v>
        <stp/>
        <stp>BDP|14886383860152830779</stp>
        <tr r="A1407" s="2"/>
      </tp>
      <tp t="s">
        <v>#N/A Requesting Data...3892889894</v>
        <stp/>
        <stp>BDP|14070706362213556286</stp>
        <tr r="J2411" s="2"/>
      </tp>
      <tp t="s">
        <v>#N/A Requesting Data...4250326591</v>
        <stp/>
        <stp>BDP|14463619428706381210</stp>
        <tr r="R2323" s="2"/>
      </tp>
      <tp t="s">
        <v>#N/A Requesting Data...4042022171</v>
        <stp/>
        <stp>BDP|17775377124730961221</stp>
        <tr r="G82" s="2"/>
      </tp>
      <tp t="s">
        <v>#N/A Requesting Data...3929114821</v>
        <stp/>
        <stp>BDP|14463411219926792347</stp>
        <tr r="Q2048" s="2"/>
      </tp>
      <tp t="s">
        <v>#N/A Requesting Data...3939999853</v>
        <stp/>
        <stp>BDP|17595031249823384438</stp>
        <tr r="D2145" s="2"/>
      </tp>
      <tp t="s">
        <v>#N/A Requesting Data...3970564351</v>
        <stp/>
        <stp>BDP|15300486352854166478</stp>
        <tr r="F849" s="2"/>
      </tp>
      <tp t="s">
        <v>#N/A Requesting Data...3841227429</v>
        <stp/>
        <stp>BDP|16466523644412451194</stp>
        <tr r="H2254" s="2"/>
      </tp>
      <tp t="s">
        <v>#N/A Requesting Data...4155655810</v>
        <stp/>
        <stp>BDP|17842593731321675493</stp>
        <tr r="H642" s="2"/>
      </tp>
      <tp t="s">
        <v>#N/A Requesting Data...4098453932</v>
        <stp/>
        <stp>BDP|16408233256902653788</stp>
        <tr r="Q1270" s="2"/>
      </tp>
      <tp t="s">
        <v>#N/A Requesting Data...4285799029</v>
        <stp/>
        <stp>BDP|13944833696286210013</stp>
        <tr r="G1636" s="2"/>
      </tp>
      <tp t="s">
        <v>#N/A Requesting Data...4043705832</v>
        <stp/>
        <stp>BDP|13482186372979452855</stp>
        <tr r="G1529" s="2"/>
      </tp>
      <tp t="s">
        <v>#N/A Requesting Data...3887294738</v>
        <stp/>
        <stp>BDP|10728052001495966155</stp>
        <tr r="E1070" s="2"/>
      </tp>
      <tp t="s">
        <v>#N/A Requesting Data...3962078695</v>
        <stp/>
        <stp>BDP|17842969887896624400</stp>
        <tr r="H1037" s="2"/>
      </tp>
      <tp t="s">
        <v>#N/A Requesting Data...4070248812</v>
        <stp/>
        <stp>BDP|15925197221394768697</stp>
        <tr r="H2437" s="2"/>
      </tp>
      <tp t="s">
        <v>#N/A Requesting Data...4067770270</v>
        <stp/>
        <stp>BDP|17927706124007536170</stp>
        <tr r="J2142" s="2"/>
      </tp>
      <tp t="s">
        <v>#N/A Requesting Data...3873802440</v>
        <stp/>
        <stp>BDP|15137324341356963045</stp>
        <tr r="A1690" s="2"/>
      </tp>
      <tp t="s">
        <v>#N/A Requesting Data...4050473158</v>
        <stp/>
        <stp>BDP|15877419655891085138</stp>
        <tr r="O250" s="2"/>
      </tp>
      <tp t="s">
        <v>#N/A Requesting Data...4180174557</v>
        <stp/>
        <stp>BDP|15151812895503305394</stp>
        <tr r="J354" s="2"/>
      </tp>
      <tp t="s">
        <v>#N/A Requesting Data...3962679610</v>
        <stp/>
        <stp>BDP|11382208833626947264</stp>
        <tr r="D1248" s="2"/>
      </tp>
      <tp t="s">
        <v>#N/A Requesting Data...3968164949</v>
        <stp/>
        <stp>BDP|12846484858525243257</stp>
        <tr r="D2172" s="2"/>
      </tp>
      <tp t="s">
        <v>#N/A Requesting Data...4000209735</v>
        <stp/>
        <stp>BDP|14435845959725016866</stp>
        <tr r="K674" s="2"/>
      </tp>
      <tp t="s">
        <v>#N/A Requesting Data...4087377216</v>
        <stp/>
        <stp>BDP|13955737200732544207</stp>
        <tr r="J770" s="2"/>
      </tp>
      <tp t="s">
        <v>#N/A Requesting Data...4090847253</v>
        <stp/>
        <stp>BDP|11775222448204779755</stp>
        <tr r="K1860" s="2"/>
      </tp>
      <tp t="s">
        <v>#N/A Requesting Data...4044784105</v>
        <stp/>
        <stp>BDP|13839211554749782958</stp>
        <tr r="S2195" s="2"/>
      </tp>
      <tp t="s">
        <v>#N/A Requesting Data...4163848351</v>
        <stp/>
        <stp>BDP|15708790556791455237</stp>
        <tr r="R1703" s="2"/>
      </tp>
      <tp t="s">
        <v>#N/A Requesting Data...4028851001</v>
        <stp/>
        <stp>BDP|16268616758075053441</stp>
        <tr r="J2081" s="2"/>
      </tp>
      <tp t="s">
        <v>#N/A Requesting Data...4248881527</v>
        <stp/>
        <stp>BDP|10118899631839167672</stp>
        <tr r="J803" s="2"/>
      </tp>
      <tp t="s">
        <v>#N/A Requesting Data...4167623295</v>
        <stp/>
        <stp>BDP|13034371909260731467</stp>
        <tr r="C1003" s="2"/>
      </tp>
      <tp t="s">
        <v>#N/A Requesting Data...3950374826</v>
        <stp/>
        <stp>BDP|17946068705641160248</stp>
        <tr r="M2085" s="2"/>
      </tp>
      <tp t="s">
        <v>#N/A Requesting Data...3964282947</v>
        <stp/>
        <stp>BDP|12854339272625670709</stp>
        <tr r="Q2132" s="2"/>
      </tp>
      <tp t="s">
        <v>#N/A Requesting Data...4120596533</v>
        <stp/>
        <stp>BDP|14170480287264633872</stp>
        <tr r="T1218" s="2"/>
      </tp>
      <tp t="b">
        <v>0</v>
        <stp/>
        <stp>BDS|17948702705791820587</stp>
        <tr r="I1460" s="2"/>
      </tp>
      <tp t="s">
        <v>#N/A Requesting Data...4170934945</v>
        <stp/>
        <stp>BDP|17347423454481290391</stp>
        <tr r="D1001" s="2"/>
      </tp>
      <tp t="s">
        <v>#N/A Requesting Data...4047327600</v>
        <stp/>
        <stp>BDP|13304479729716038736</stp>
        <tr r="C753" s="2"/>
      </tp>
      <tp t="s">
        <v>#N/A Requesting Data...4293253433</v>
        <stp/>
        <stp>BDP|15687460729373581428</stp>
        <tr r="Q105" s="2"/>
      </tp>
      <tp t="s">
        <v>#N/A Requesting Data...4277312628</v>
        <stp/>
        <stp>BDP|11129482917895215523</stp>
        <tr r="M227" s="2"/>
      </tp>
      <tp t="s">
        <v>#N/A Requesting Data...4074640776</v>
        <stp/>
        <stp>BDP|17054199995438720350</stp>
        <tr r="R1677" s="2"/>
      </tp>
      <tp t="s">
        <v>#N/A Requesting Data...4164666342</v>
        <stp/>
        <stp>BDP|12909789133302540094</stp>
        <tr r="Q602" s="2"/>
      </tp>
      <tp t="s">
        <v>#N/A Requesting Data...4283151805</v>
        <stp/>
        <stp>BDP|17596917622619916113</stp>
        <tr r="O1808" s="2"/>
      </tp>
      <tp t="s">
        <v>#N/A Requesting Data...4100853531</v>
        <stp/>
        <stp>BDP|10770128267330961350</stp>
        <tr r="Q2135" s="2"/>
      </tp>
      <tp t="s">
        <v>#N/A Requesting Data...4161676062</v>
        <stp/>
        <stp>BDP|10790992592726724254</stp>
        <tr r="T789" s="2"/>
      </tp>
      <tp t="b">
        <v>0</v>
        <stp/>
        <stp>BDS|17406713079371899290</stp>
        <tr r="I2369" s="2"/>
      </tp>
      <tp t="b">
        <v>0</v>
        <stp/>
        <stp>BDS|14431526138523406579</stp>
        <tr r="I347" s="2"/>
      </tp>
      <tp t="s">
        <v>#N/A Requesting Data...4150285104</v>
        <stp/>
        <stp>BDP|17188131937157922623</stp>
        <tr r="J565" s="2"/>
      </tp>
      <tp t="s">
        <v>#N/A Requesting Data...4170868544</v>
        <stp/>
        <stp>BDP|15166705442934534681</stp>
        <tr r="C1347" s="2"/>
      </tp>
      <tp t="s">
        <v>#N/A Requesting Data...4063906948</v>
        <stp/>
        <stp>BDP|18147812261773605199</stp>
        <tr r="Q850" s="2"/>
      </tp>
      <tp t="s">
        <v>#N/A Requesting Data...4249569425</v>
        <stp/>
        <stp>BDP|10781069607107914319</stp>
        <tr r="S579" s="2"/>
      </tp>
      <tp t="s">
        <v>#N/A Requesting Data...4149967514</v>
        <stp/>
        <stp>BDP|11594843897107977313</stp>
        <tr r="E775" s="2"/>
      </tp>
      <tp t="s">
        <v>#N/A Requesting Data...4114674314</v>
        <stp/>
        <stp>BDP|12634014143825902730</stp>
        <tr r="K475" s="2"/>
      </tp>
      <tp t="s">
        <v>#N/A Requesting Data...3968986227</v>
        <stp/>
        <stp>BDP|13555099677149366964</stp>
        <tr r="N1734" s="2"/>
      </tp>
      <tp t="s">
        <v>#N/A Requesting Data...4119477616</v>
        <stp/>
        <stp>BDP|16876011642870746625</stp>
        <tr r="A2040" s="2"/>
      </tp>
      <tp t="s">
        <v>#N/A Requesting Data...4234589718</v>
        <stp/>
        <stp>BDP|14566281131846240704</stp>
        <tr r="E1729" s="2"/>
      </tp>
      <tp t="s">
        <v>#N/A Requesting Data...4162478593</v>
        <stp/>
        <stp>BDP|14989754719342346485</stp>
        <tr r="R1747" s="2"/>
      </tp>
      <tp t="s">
        <v>#N/A Requesting Data...4180914849</v>
        <stp/>
        <stp>BDP|11358492568903462486</stp>
        <tr r="P478" s="2"/>
      </tp>
      <tp t="s">
        <v>#N/A Requesting Data...4121886545</v>
        <stp/>
        <stp>BDP|17968129526435504565</stp>
        <tr r="S1880" s="2"/>
      </tp>
      <tp t="s">
        <v>#N/A Requesting Data...4214425808</v>
        <stp/>
        <stp>BDP|17449441948211112278</stp>
        <tr r="D601" s="2"/>
      </tp>
      <tp t="s">
        <v>#N/A Requesting Data...4203217869</v>
        <stp/>
        <stp>BDP|12442556131297657788</stp>
        <tr r="N1313" s="2"/>
      </tp>
      <tp t="s">
        <v>#N/A Requesting Data...4243813032</v>
        <stp/>
        <stp>BDP|13924759038014358793</stp>
        <tr r="T739" s="2"/>
      </tp>
      <tp t="s">
        <v>#N/A Requesting Data...4143828708</v>
        <stp/>
        <stp>BDP|12387739789950252950</stp>
        <tr r="J1667" s="2"/>
      </tp>
      <tp t="s">
        <v>#N/A Requesting Data...4062057811</v>
        <stp/>
        <stp>BDP|10361435681610690891</stp>
        <tr r="O1055" s="2"/>
      </tp>
      <tp t="s">
        <v>#N/A Requesting Data...4116534692</v>
        <stp/>
        <stp>BDP|15629975864019893733</stp>
        <tr r="N1929" s="2"/>
      </tp>
      <tp t="s">
        <v>#N/A Requesting Data...4056981827</v>
        <stp/>
        <stp>BDP|17056321901243426398</stp>
        <tr r="P853" s="2"/>
      </tp>
      <tp t="s">
        <v>#N/A Requesting Data...4152831881</v>
        <stp/>
        <stp>BDP|10137752427273581287</stp>
        <tr r="G2319" s="2"/>
      </tp>
      <tp t="b">
        <v>0</v>
        <stp/>
        <stp>BDS|18012909958989145949</stp>
        <tr r="I1989" s="2"/>
      </tp>
      <tp t="s">
        <v>#N/A Requesting Data...4135256249</v>
        <stp/>
        <stp>BDP|12862126155765635778</stp>
        <tr r="E1710" s="2"/>
      </tp>
      <tp t="b">
        <v>0</v>
        <stp/>
        <stp>BDS|15856379711775664651</stp>
        <tr r="I1197" s="2"/>
      </tp>
      <tp t="s">
        <v>#N/A Requesting Data...4171909228</v>
        <stp/>
        <stp>BDP|11857148453754399520</stp>
        <tr r="N794" s="2"/>
      </tp>
      <tp t="s">
        <v>#N/A Requesting Data...4132600863</v>
        <stp/>
        <stp>BDP|17347838636130087886</stp>
        <tr r="D2014" s="2"/>
      </tp>
      <tp t="s">
        <v>#N/A Requesting Data...4261312714</v>
        <stp/>
        <stp>BDP|12211110769732404305</stp>
        <tr r="P492" s="2"/>
      </tp>
      <tp t="s">
        <v>#N/A Requesting Data...4118524693</v>
        <stp/>
        <stp>BDP|12899216428356668099</stp>
        <tr r="G1731" s="2"/>
      </tp>
      <tp t="b">
        <v>0</v>
        <stp/>
        <stp>BDS|10034400681950915858</stp>
        <tr r="I84" s="2"/>
      </tp>
      <tp t="s">
        <v>#N/A Requesting Data...4031198598</v>
        <stp/>
        <stp>BDP|11545817418448658440</stp>
        <tr r="T843" s="2"/>
      </tp>
      <tp t="s">
        <v>#N/A Requesting Data...4044699590</v>
        <stp/>
        <stp>BDP|17383986765865679963</stp>
        <tr r="M2197" s="2"/>
      </tp>
      <tp t="s">
        <v>#N/A Requesting Data...4202716040</v>
        <stp/>
        <stp>BDP|15884450160985457676</stp>
        <tr r="E599" s="2"/>
      </tp>
      <tp t="s">
        <v>#N/A Requesting Data...4051861667</v>
        <stp/>
        <stp>BDP|16361162479261066522</stp>
        <tr r="E2395" s="2"/>
      </tp>
      <tp t="s">
        <v>#N/A Requesting Data...4239387115</v>
        <stp/>
        <stp>BDP|14967722668434916543</stp>
        <tr r="E1282" s="2"/>
      </tp>
      <tp t="s">
        <v>#N/A Requesting Data...4124268805</v>
        <stp/>
        <stp>BDP|17332299672223230549</stp>
        <tr r="A568" s="2"/>
      </tp>
      <tp t="s">
        <v>#N/A Requesting Data...4125612047</v>
        <stp/>
        <stp>BDP|14073770174762579286</stp>
        <tr r="F2488" s="2"/>
      </tp>
      <tp t="s">
        <v>#N/A Requesting Data...4036091599</v>
        <stp/>
        <stp>BDP|12504720771620059682</stp>
        <tr r="M1240" s="2"/>
      </tp>
      <tp t="s">
        <v>#N/A Requesting Data...4202125210</v>
        <stp/>
        <stp>BDP|13925574531823579248</stp>
        <tr r="P2454" s="2"/>
      </tp>
      <tp t="s">
        <v>#N/A Requesting Data...4135617250</v>
        <stp/>
        <stp>BDP|11894479830847982581</stp>
        <tr r="K2121" s="2"/>
      </tp>
      <tp t="s">
        <v>#N/A Requesting Data...4099855012</v>
        <stp/>
        <stp>BDP|10301630251015906261</stp>
        <tr r="P226" s="2"/>
      </tp>
      <tp t="b">
        <v>0</v>
        <stp/>
        <stp>BDS|17116000622512636386</stp>
        <tr r="I907" s="2"/>
      </tp>
      <tp t="s">
        <v>#N/A Requesting Data...4225392396</v>
        <stp/>
        <stp>BDP|12560355011600826476</stp>
        <tr r="S1620" s="2"/>
      </tp>
      <tp t="s">
        <v>#N/A Requesting Data...4244857462</v>
        <stp/>
        <stp>BDP|12979931746499024221</stp>
        <tr r="J1844" s="2"/>
      </tp>
      <tp t="s">
        <v>#N/A Requesting Data...4277967897</v>
        <stp/>
        <stp>BDP|14370208341631589791</stp>
        <tr r="M1092" s="2"/>
      </tp>
      <tp t="s">
        <v>#N/A Requesting Data...4187616400</v>
        <stp/>
        <stp>BDP|17051749129264481276</stp>
        <tr r="K1220" s="2"/>
      </tp>
      <tp t="s">
        <v>#N/A Requesting Data...4274652810</v>
        <stp/>
        <stp>BDP|18229192911379030540</stp>
        <tr r="K2231" s="2"/>
      </tp>
      <tp t="s">
        <v>#N/A Requesting Data...4075915477</v>
        <stp/>
        <stp>BDP|15575203924774935567</stp>
        <tr r="D2185" s="2"/>
      </tp>
      <tp t="s">
        <v>#N/A Requesting Data...4178020199</v>
        <stp/>
        <stp>BDP|11320600888563197849</stp>
        <tr r="M1907" s="2"/>
      </tp>
      <tp t="s">
        <v>#N/A Requesting Data...4226018644</v>
        <stp/>
        <stp>BDP|13984509405587333510</stp>
        <tr r="N1414" s="2"/>
      </tp>
      <tp t="s">
        <v>#N/A Requesting Data...4166839719</v>
        <stp/>
        <stp>BDP|10429267988617755931</stp>
        <tr r="E1928" s="2"/>
      </tp>
      <tp t="b">
        <v>0</v>
        <stp/>
        <stp>BDS|16115532248484408730</stp>
        <tr r="I2246" s="2"/>
      </tp>
      <tp t="s">
        <v>#N/A Requesting Data...4258702730</v>
        <stp/>
        <stp>BDP|11189122327687880123</stp>
        <tr r="M1286" s="2"/>
      </tp>
      <tp t="s">
        <v>#N/A Requesting Data...4126356789</v>
        <stp/>
        <stp>BDP|10331152838676834082</stp>
        <tr r="P328" s="2"/>
      </tp>
      <tp t="s">
        <v>#N/A Requesting Data...4092224515</v>
        <stp/>
        <stp>BDP|12744158078185039548</stp>
        <tr r="J1662" s="2"/>
      </tp>
      <tp t="s">
        <v>#N/A Requesting Data...4209400858</v>
        <stp/>
        <stp>BDP|16616422889236309807</stp>
        <tr r="S1372" s="2"/>
      </tp>
      <tp t="s">
        <v>#N/A Requesting Data...4240909566</v>
        <stp/>
        <stp>BDP|10352990155510624874</stp>
        <tr r="Q2017" s="2"/>
      </tp>
      <tp t="s">
        <v>#N/A Requesting Data...4103912296</v>
        <stp/>
        <stp>BDP|18408332688897068019</stp>
        <tr r="E655" s="2"/>
      </tp>
      <tp t="s">
        <v>#N/A Requesting Data...4227308213</v>
        <stp/>
        <stp>BDP|13631794738677118485</stp>
        <tr r="E1194" s="2"/>
      </tp>
      <tp t="s">
        <v>#N/A Requesting Data...4158981096</v>
        <stp/>
        <stp>BDP|11316860499214672041</stp>
        <tr r="T747" s="2"/>
      </tp>
      <tp t="s">
        <v>#N/A Requesting Data...4100336262</v>
        <stp/>
        <stp>BDP|16561373012782622284</stp>
        <tr r="R1958" s="2"/>
      </tp>
      <tp t="s">
        <v>#N/A Requesting Data...4160096296</v>
        <stp/>
        <stp>BDP|10308141978514903680</stp>
        <tr r="R780" s="2"/>
      </tp>
      <tp t="s">
        <v>#N/A Requesting Data...4266552558</v>
        <stp/>
        <stp>BDP|10459569967030981720</stp>
        <tr r="T1700" s="2"/>
      </tp>
      <tp t="s">
        <v>#N/A Requesting Data...4233835067</v>
        <stp/>
        <stp>BDP|11826086503100588576</stp>
        <tr r="E2169" s="2"/>
      </tp>
      <tp t="s">
        <v>#N/A Requesting Data...4254332270</v>
        <stp/>
        <stp>BDP|14428197769057090057</stp>
        <tr r="K642" s="2"/>
      </tp>
      <tp t="s">
        <v>#N/A Requesting Data...4260070052</v>
        <stp/>
        <stp>BDP|10124088679425747661</stp>
        <tr r="P2256" s="2"/>
      </tp>
      <tp t="s">
        <v>#N/A Requesting Data...4123501513</v>
        <stp/>
        <stp>BDP|10292822443770152832</stp>
        <tr r="Q125" s="2"/>
      </tp>
      <tp t="s">
        <v>#N/A Requesting Data...4213930371</v>
        <stp/>
        <stp>BDP|15463646241620881385</stp>
        <tr r="A2523" s="2"/>
      </tp>
      <tp t="s">
        <v>#N/A Requesting Data...4237758108</v>
        <stp/>
        <stp>BDP|10330364358061858348</stp>
        <tr r="E2123" s="2"/>
      </tp>
      <tp t="s">
        <v>#N/A Requesting Data...4211891050</v>
        <stp/>
        <stp>BDP|15473561885459093561</stp>
        <tr r="C2486" s="2"/>
      </tp>
      <tp t="s">
        <v>#N/A Requesting Data...4259995042</v>
        <stp/>
        <stp>BDP|13389244775573313102</stp>
        <tr r="R1496" s="2"/>
      </tp>
      <tp t="s">
        <v>#N/A Requesting Data...4226574420</v>
        <stp/>
        <stp>BDP|15387284479077341302</stp>
        <tr r="D1175" s="2"/>
      </tp>
      <tp t="s">
        <v>#N/A Requesting Data...4158509747</v>
        <stp/>
        <stp>BDP|17242163046166241018</stp>
        <tr r="H902" s="2"/>
      </tp>
      <tp t="s">
        <v>#N/A Requesting Data...4208766176</v>
        <stp/>
        <stp>BDP|11884429518627257718</stp>
        <tr r="P1367" s="2"/>
      </tp>
      <tp t="s">
        <v>#N/A Requesting Data...4135832711</v>
        <stp/>
        <stp>BDP|10199861937228094719</stp>
        <tr r="M117" s="2"/>
      </tp>
      <tp t="s">
        <v>#N/A Requesting Data...4189415975</v>
        <stp/>
        <stp>BDP|11245533315808667933</stp>
        <tr r="N1578" s="2"/>
      </tp>
      <tp t="s">
        <v>#N/A Requesting Data...4249127241</v>
        <stp/>
        <stp>BDP|15860789270677415652</stp>
        <tr r="E404" s="2"/>
      </tp>
      <tp t="s">
        <v>#N/A Requesting Data...4163036405</v>
        <stp/>
        <stp>BDP|16594595018340122647</stp>
        <tr r="H1417" s="2"/>
      </tp>
      <tp t="s">
        <v>#N/A Requesting Data...4195596477</v>
        <stp/>
        <stp>BDP|17397411180227730840</stp>
        <tr r="D1264" s="2"/>
      </tp>
      <tp t="s">
        <v>#N/A Requesting Data...4179654541</v>
        <stp/>
        <stp>BDP|11256384765744672488</stp>
        <tr r="N2413" s="2"/>
      </tp>
      <tp t="s">
        <v>#N/A Requesting Data...4182516247</v>
        <stp/>
        <stp>BDP|13104224226334472309</stp>
        <tr r="Q1686" s="2"/>
      </tp>
      <tp t="s">
        <v>#N/A Requesting Data...4226891671</v>
        <stp/>
        <stp>BDP|15832737465816676692</stp>
        <tr r="N1054" s="2"/>
      </tp>
      <tp t="s">
        <v>#N/A Requesting Data...4229409078</v>
        <stp/>
        <stp>BDP|14477219516640329312</stp>
        <tr r="Q600" s="2"/>
      </tp>
      <tp t="s">
        <v>#N/A Requesting Data...4171008104</v>
        <stp/>
        <stp>BDP|11471473856560796430</stp>
        <tr r="F1859" s="2"/>
      </tp>
      <tp t="s">
        <v>#N/A Requesting Data...4164939274</v>
        <stp/>
        <stp>BDP|10059729466082664732</stp>
        <tr r="F1518" s="2"/>
      </tp>
      <tp t="s">
        <v>#N/A Requesting Data...4191448731</v>
        <stp/>
        <stp>BDP|15427313420639463909</stp>
        <tr r="D2073" s="2"/>
      </tp>
      <tp t="s">
        <v>#N/A Requesting Data...4192184595</v>
        <stp/>
        <stp>BDP|12002081041970087288</stp>
        <tr r="M1982" s="2"/>
      </tp>
      <tp t="s">
        <v>#N/A Requesting Data...4192459847</v>
        <stp/>
        <stp>BDP|12317313920347065038</stp>
        <tr r="A2341" s="2"/>
      </tp>
      <tp t="s">
        <v>#N/A Requesting Data...4281482163</v>
        <stp/>
        <stp>BDP|13630122707486537079</stp>
        <tr r="O1390" s="2"/>
      </tp>
      <tp t="s">
        <v>#N/A Requesting Data...4281447991</v>
        <stp/>
        <stp>BDP|11758034373164776618</stp>
        <tr r="C2306" s="2"/>
      </tp>
      <tp t="s">
        <v>#N/A Requesting Data...4195158193</v>
        <stp/>
        <stp>BDP|13140728713871421059</stp>
        <tr r="H873" s="2"/>
      </tp>
      <tp t="s">
        <v>#N/A Requesting Data...4216707960</v>
        <stp/>
        <stp>BDP|17702694398995418933</stp>
        <tr r="G1543" s="2"/>
      </tp>
      <tp t="s">
        <v>#N/A Requesting Data...4277694666</v>
        <stp/>
        <stp>BDP|10597233842313764121</stp>
        <tr r="A75" s="2"/>
      </tp>
      <tp t="s">
        <v>#N/A Requesting Data...4206525370</v>
        <stp/>
        <stp>BDP|17441868595467558533</stp>
        <tr r="T1197" s="2"/>
      </tp>
      <tp t="s">
        <v>#N/A Requesting Data...4193435535</v>
        <stp/>
        <stp>BDP|12202459000015435724</stp>
        <tr r="K860" s="2"/>
      </tp>
      <tp t="s">
        <v>#N/A Requesting Data...4207412705</v>
        <stp/>
        <stp>BDP|13244082291436885824</stp>
        <tr r="R2205" s="2"/>
      </tp>
      <tp t="s">
        <v>#N/A Requesting Data...4290654202</v>
        <stp/>
        <stp>BDP|10342569109186447795</stp>
        <tr r="E855" s="2"/>
      </tp>
      <tp t="s">
        <v>#N/A Requesting Data...4241215026</v>
        <stp/>
        <stp>BDP|10618505376846921083</stp>
        <tr r="G707" s="2"/>
      </tp>
      <tp t="s">
        <v>#N/A Requesting Data...4260539139</v>
        <stp/>
        <stp>BDP|18170857862102280054</stp>
        <tr r="K1303" s="2"/>
      </tp>
      <tp t="s">
        <v>#N/A Requesting Data...4247722063</v>
        <stp/>
        <stp>BDP|17675363362850408671</stp>
        <tr r="P456" s="2"/>
      </tp>
      <tp t="s">
        <v>#N/A Requesting Data...4258936478</v>
        <stp/>
        <stp>BDP|10415029552406385769</stp>
        <tr r="E270" s="2"/>
      </tp>
      <tp t="s">
        <v>#N/A Requesting Data...4226305785</v>
        <stp/>
        <stp>BDP|10534408644931067509</stp>
        <tr r="G675" s="2"/>
      </tp>
      <tp t="s">
        <v>#N/A Requesting Data...4270077612</v>
        <stp/>
        <stp>BDP|15663859177637546901</stp>
        <tr r="C1372" s="2"/>
      </tp>
      <tp t="s">
        <v>#N/A Requesting Data...4219739992</v>
        <stp/>
        <stp>BDP|10354046710036296346</stp>
        <tr r="H343" s="2"/>
      </tp>
      <tp t="b">
        <v>0</v>
        <stp/>
        <stp>BDS|17666516552435412639</stp>
        <tr r="I1777" s="2"/>
      </tp>
      <tp t="s">
        <v>#N/A Requesting Data...4225396649</v>
        <stp/>
        <stp>BDP|16363583973563965305</stp>
        <tr r="C2134" s="2"/>
      </tp>
      <tp t="s">
        <v>#N/A Requesting Data...4292972038</v>
        <stp/>
        <stp>BDP|11749450597721116951</stp>
        <tr r="M1561" s="2"/>
      </tp>
      <tp t="s">
        <v>#N/A Requesting Data...4257846844</v>
        <stp/>
        <stp>BDP|16755904508482742992</stp>
        <tr r="C2246" s="2"/>
      </tp>
      <tp t="s">
        <v>#N/A Requesting Data...4239450849</v>
        <stp/>
        <stp>BDP|13421522467701131517</stp>
        <tr r="K637" s="2"/>
      </tp>
      <tp t="s">
        <v>#N/A Requesting Data...4241179250</v>
        <stp/>
        <stp>BDP|16785317297899263123</stp>
        <tr r="O878" s="2"/>
      </tp>
      <tp t="s">
        <v>#N/A Requesting Data...4285713059</v>
        <stp/>
        <stp>BDP|10039220762780849092</stp>
        <tr r="C2405" s="2"/>
      </tp>
      <tp t="s">
        <v>#N/A Requesting Data...4259294680</v>
        <stp/>
        <stp>BDP|13446131152267241461</stp>
        <tr r="P1527" s="2"/>
      </tp>
      <tp t="s">
        <v>#N/A Requesting Data...4280690820</v>
        <stp/>
        <stp>BDP|14697731660858436901</stp>
        <tr r="A249" s="2"/>
      </tp>
      <tp t="s">
        <v>#N/A Requesting Data...4285556174</v>
        <stp/>
        <stp>BDP|12100606924603094148</stp>
        <tr r="C1124" s="2"/>
      </tp>
      <tp t="s">
        <v>#N/A Requesting Data...4281449392</v>
        <stp/>
        <stp>BDP|14160092677791872665</stp>
        <tr r="D933" s="2"/>
      </tp>
      <tp t="s">
        <v>#N/A Requesting Data...4265336761</v>
        <stp/>
        <stp>BDP|15348245863431079453</stp>
        <tr r="E1523" s="2"/>
      </tp>
      <tp t="s">
        <v>#N/A Requesting Data...4275541543</v>
        <stp/>
        <stp>BDP|12840380435507010141</stp>
        <tr r="E2098" s="2"/>
      </tp>
      <tp t="s">
        <v>#N/A Requesting Data...4285856451</v>
        <stp/>
        <stp>BDP|10444300575550805080</stp>
        <tr r="O1351" s="2"/>
      </tp>
      <tp t="b">
        <v>0</v>
        <stp/>
        <stp>BDS|10671077717247563215</stp>
        <tr r="I1359" s="2"/>
      </tp>
      <tp t="s">
        <v>#N/A Requesting Data...4293377838</v>
        <stp/>
        <stp>BDP|12938929910467367999</stp>
        <tr r="D208" s="2"/>
      </tp>
      <tp t="s">
        <v>#N/A Requesting Data...4286487338</v>
        <stp/>
        <stp>BDP|14851707528114415153</stp>
        <tr r="O235" s="2"/>
      </tp>
      <tp t="s">
        <v>#N/A Requesting Data...4278396148</v>
        <stp/>
        <stp>BDP|11664520015340213125</stp>
        <tr r="N1299" s="2"/>
      </tp>
      <tp t="s">
        <v>#N/A Requesting Data...4269484057</v>
        <stp/>
        <stp>BDP|12560369655368642819</stp>
        <tr r="G444" s="2"/>
      </tp>
      <tp t="s">
        <v>#N/A Requesting Data...4287378869</v>
        <stp/>
        <stp>BDP|10037111665167758426</stp>
        <tr r="J1551" s="2"/>
      </tp>
      <tp t="s">
        <v>#N/A Requesting Data...4275792909</v>
        <stp/>
        <stp>BDP|11768325328690879442</stp>
        <tr r="M258" s="2"/>
      </tp>
      <tp t="s">
        <v>#N/A Requesting Data...4283912746</v>
        <stp/>
        <stp>BDP|15636408965732686144</stp>
        <tr r="O132" s="2"/>
      </tp>
      <tp t="s">
        <v>#N/A Requesting Data...4280074917</v>
        <stp/>
        <stp>BDP|15708443804282442725</stp>
        <tr r="T1230" s="2"/>
      </tp>
      <tp t="s">
        <v>#N/A Requesting Data...4282371485</v>
        <stp/>
        <stp>BDP|12982751229667387477</stp>
        <tr r="H2050" s="2"/>
      </tp>
      <tp t="s">
        <v>#N/A Requesting Data...4291263589</v>
        <stp/>
        <stp>BDP|13113620814392761214</stp>
        <tr r="P926" s="2"/>
      </tp>
      <tp t="s">
        <v>#N/A Requesting Data...4289426823</v>
        <stp/>
        <stp>BDP|16563546464304365575</stp>
        <tr r="N1049" s="2"/>
      </tp>
      <tp t="s">
        <v>#N/A Requesting Data...4294240706</v>
        <stp/>
        <stp>BDP|13501444641296763167</stp>
        <tr r="M1087" s="2"/>
      </tp>
      <tp t="s">
        <v>#N/A Requesting Data...4294881699</v>
        <stp/>
        <stp>BDP|14105104675644219274</stp>
        <tr r="G2259" s="2"/>
      </tp>
      <tp t="s">
        <v>#N/A Requesting Data...321678429</v>
        <stp/>
        <stp>BDP|15414327755014535372</stp>
        <tr r="D1193" s="2"/>
      </tp>
      <tp t="s">
        <v>#N/A Requesting Data...63154716</v>
        <stp/>
        <stp>BDP|10573530196450877893</stp>
        <tr r="O2460" s="2"/>
      </tp>
      <tp t="s">
        <v>#N/A Requesting Data...2138403290</v>
        <stp/>
        <stp>BDP|11738181849001640111</stp>
        <tr r="A1444" s="2"/>
      </tp>
      <tp t="s">
        <v>#N/A Requesting Data...1256623746</v>
        <stp/>
        <stp>BDP|12602460271437443247</stp>
        <tr r="C687" s="2"/>
      </tp>
      <tp t="s">
        <v>#N/A Requesting Data...4139761852</v>
        <stp/>
        <stp>BDP|13907650077566223080</stp>
        <tr r="F2243" s="2"/>
      </tp>
      <tp t="s">
        <v>#N/A Requesting Data...3425714843</v>
        <stp/>
        <stp>BDP|12255210077986190543</stp>
        <tr r="E1743" s="2"/>
      </tp>
      <tp t="s">
        <v>#N/A Requesting Data...337258406</v>
        <stp/>
        <stp>BDP|14026153153730648414</stp>
        <tr r="N167" s="2"/>
      </tp>
      <tp t="s">
        <v>#N/A Requesting Data...3201611072</v>
        <stp/>
        <stp>BDP|11303877186643018636</stp>
        <tr r="E2211" s="2"/>
      </tp>
      <tp t="s">
        <v>#N/A Requesting Data...673920413</v>
        <stp/>
        <stp>BDP|13034242146553231211</stp>
        <tr r="F1067" s="2"/>
      </tp>
      <tp t="s">
        <v>#N/A Requesting Data...2320595702</v>
        <stp/>
        <stp>BDP|16471236045445644157</stp>
        <tr r="M1265" s="2"/>
      </tp>
      <tp t="s">
        <v>#N/A Requesting Data...2135386571</v>
        <stp/>
        <stp>BDP|18170224737365030855</stp>
        <tr r="R2143" s="2"/>
      </tp>
      <tp t="s">
        <v>#N/A Requesting Data...4205654571</v>
        <stp/>
        <stp>BDP|17103336579640831725</stp>
        <tr r="P239" s="2"/>
      </tp>
      <tp t="s">
        <v>#N/A Requesting Data...542466985</v>
        <stp/>
        <stp>BDP|18282387144758865378</stp>
        <tr r="P1105" s="2"/>
      </tp>
      <tp t="s">
        <v>#N/A Requesting Data...298769662</v>
        <stp/>
        <stp>BDP|12199328115953684715</stp>
        <tr r="S2469" s="2"/>
      </tp>
      <tp t="b">
        <v>0</v>
        <stp/>
        <stp>BDS|14204495745429978953</stp>
        <tr r="I1069" s="2"/>
      </tp>
      <tp t="s">
        <v>#N/A Requesting Data...3656236833</v>
        <stp/>
        <stp>BDP|15067636463504677577</stp>
        <tr r="A1180" s="2"/>
      </tp>
      <tp t="s">
        <v>#N/A Requesting Data...345318958</v>
        <stp/>
        <stp>BDP|17751275479202141493</stp>
        <tr r="F888" s="2"/>
      </tp>
      <tp t="s">
        <v>#N/A Requesting Data...169833913</v>
        <stp/>
        <stp>BDP|15242202242163810493</stp>
        <tr r="T225" s="2"/>
      </tp>
      <tp t="s">
        <v>#N/A Requesting Data...2409450279</v>
        <stp/>
        <stp>BDP|15106242969550923541</stp>
        <tr r="J1052" s="2"/>
      </tp>
      <tp t="s">
        <v>#N/A Requesting Data...1952557960</v>
        <stp/>
        <stp>BDP|16910195362570212514</stp>
        <tr r="G2225" s="2"/>
      </tp>
      <tp t="s">
        <v>#N/A Requesting Data...138871765</v>
        <stp/>
        <stp>BDP|17767473048321874215</stp>
        <tr r="F967" s="2"/>
      </tp>
      <tp t="s">
        <v>#N/A Requesting Data...2325445877</v>
        <stp/>
        <stp>BDP|13138571313597562415</stp>
        <tr r="C2004" s="2"/>
      </tp>
      <tp t="s">
        <v>#N/A Requesting Data...2278573403</v>
        <stp/>
        <stp>BDP|15173668028430860569</stp>
        <tr r="C1606" s="2"/>
      </tp>
      <tp t="s">
        <v>#N/A Requesting Data...1183149888</v>
        <stp/>
        <stp>BDP|12003767647306246324</stp>
        <tr r="S923" s="2"/>
      </tp>
      <tp t="s">
        <v>#N/A Requesting Data...286461936</v>
        <stp/>
        <stp>BDP|14837830175138666790</stp>
        <tr r="D1361" s="2"/>
      </tp>
      <tp t="s">
        <v>#N/A Requesting Data...2653663123</v>
        <stp/>
        <stp>BDP|16124996530720920805</stp>
        <tr r="R189" s="2"/>
      </tp>
      <tp t="s">
        <v>#N/A Requesting Data...1058049194</v>
        <stp/>
        <stp>BDP|15856562417985837016</stp>
        <tr r="G600" s="2"/>
      </tp>
      <tp t="s">
        <v>#N/A Requesting Data...2495118092</v>
        <stp/>
        <stp>BDP|16136520942802923182</stp>
        <tr r="N988" s="2"/>
      </tp>
      <tp t="s">
        <v>#N/A Requesting Data...1111993742</v>
        <stp/>
        <stp>BDP|16254747945764483576</stp>
        <tr r="T2032" s="2"/>
      </tp>
      <tp t="s">
        <v>#N/A Requesting Data...2846461484</v>
        <stp/>
        <stp>BDP|16486461212557949093</stp>
        <tr r="D490" s="2"/>
      </tp>
      <tp t="s">
        <v>#N/A Requesting Data...1189587077</v>
        <stp/>
        <stp>BDP|17695019713611198354</stp>
        <tr r="M1918" s="2"/>
      </tp>
      <tp t="s">
        <v>#N/A Requesting Data...1610038330</v>
        <stp/>
        <stp>BDP|10345468863612689409</stp>
        <tr r="O1325" s="2"/>
      </tp>
      <tp t="s">
        <v>#N/A Requesting Data...1065314428</v>
        <stp/>
        <stp>BDP|17064372604218391804</stp>
        <tr r="C2234" s="2"/>
      </tp>
      <tp t="s">
        <v>#N/A Requesting Data...1994979044</v>
        <stp/>
        <stp>BDP|17125910772898780558</stp>
        <tr r="Q2174" s="2"/>
      </tp>
      <tp t="s">
        <v>#N/A Requesting Data...506820822</v>
        <stp/>
        <stp>BDP|13217833711948031602</stp>
        <tr r="J1834" s="2"/>
      </tp>
      <tp t="s">
        <v>#N/A Requesting Data...1380355716</v>
        <stp/>
        <stp>BDP|14580944230959486357</stp>
        <tr r="T2320" s="2"/>
      </tp>
      <tp t="s">
        <v>#N/A Requesting Data...2228127893</v>
        <stp/>
        <stp>BDP|14421022033196294571</stp>
        <tr r="D91" s="2"/>
      </tp>
      <tp t="s">
        <v>#N/A Requesting Data...3676219700</v>
        <stp/>
        <stp>BDP|12815771475160919639</stp>
        <tr r="J879" s="2"/>
      </tp>
      <tp t="s">
        <v>#N/A Requesting Data...2842085102</v>
        <stp/>
        <stp>BDP|10942068238395641212</stp>
        <tr r="P776" s="2"/>
      </tp>
      <tp t="s">
        <v>#N/A Requesting Data...1572689100</v>
        <stp/>
        <stp>BDP|11953210190957126997</stp>
        <tr r="P1454" s="2"/>
      </tp>
      <tp t="s">
        <v>#N/A Requesting Data...1522687109</v>
        <stp/>
        <stp>BDP|10336467358177942248</stp>
        <tr r="O497" s="2"/>
      </tp>
      <tp t="s">
        <v>#N/A Requesting Data...2845888815</v>
        <stp/>
        <stp>BDP|11482917286116023235</stp>
        <tr r="P227" s="2"/>
      </tp>
      <tp t="s">
        <v>#N/A Requesting Data...3692280178</v>
        <stp/>
        <stp>BDP|15075197517558947978</stp>
        <tr r="O486" s="2"/>
      </tp>
      <tp t="s">
        <v>#N/A Requesting Data...2472260643</v>
        <stp/>
        <stp>BDP|10491762846242379576</stp>
        <tr r="C1994" s="2"/>
      </tp>
      <tp t="s">
        <v>#N/A Requesting Data...1091030225</v>
        <stp/>
        <stp>BDP|16140559470240743033</stp>
        <tr r="E1235" s="2"/>
      </tp>
      <tp t="s">
        <v>#N/A Requesting Data...3181484372</v>
        <stp/>
        <stp>BDP|10017706413280334209</stp>
        <tr r="C1255" s="2"/>
      </tp>
      <tp t="s">
        <v>#N/A Requesting Data...3717562565</v>
        <stp/>
        <stp>BDP|10609764836869658906</stp>
        <tr r="M540" s="2"/>
      </tp>
      <tp t="s">
        <v>#N/A Requesting Data...1185399609</v>
        <stp/>
        <stp>BDP|14070685700792997413</stp>
        <tr r="M401" s="2"/>
      </tp>
      <tp t="s">
        <v>#N/A Requesting Data...1304766169</v>
        <stp/>
        <stp>BDP|17101523093689681662</stp>
        <tr r="E892" s="2"/>
      </tp>
      <tp t="s">
        <v>#N/A Requesting Data...3482755283</v>
        <stp/>
        <stp>BDP|17854428571637327786</stp>
        <tr r="T232" s="2"/>
      </tp>
      <tp t="s">
        <v>#N/A Requesting Data...2936945914</v>
        <stp/>
        <stp>BDP|14828839782109055991</stp>
        <tr r="J1168" s="2"/>
      </tp>
      <tp t="s">
        <v>#N/A Requesting Data...3165779485</v>
        <stp/>
        <stp>BDP|11576863292202893691</stp>
        <tr r="G1856" s="2"/>
      </tp>
      <tp t="s">
        <v>#N/A Requesting Data...1936972066</v>
        <stp/>
        <stp>BDP|17894246245780049592</stp>
        <tr r="R99" s="2"/>
      </tp>
      <tp t="s">
        <v>#N/A Requesting Data...513598653</v>
        <stp/>
        <stp>BDP|14594170102453756276</stp>
        <tr r="J1187" s="2"/>
      </tp>
      <tp t="b">
        <v>0</v>
        <stp/>
        <stp>BDS|13285272042405054445</stp>
        <tr r="I2013" s="2"/>
      </tp>
      <tp t="s">
        <v>#N/A Requesting Data...2462242722</v>
        <stp/>
        <stp>BDP|12310174592729755719</stp>
        <tr r="S2044" s="2"/>
      </tp>
      <tp t="s">
        <v>#N/A Requesting Data...4117868514</v>
        <stp/>
        <stp>BDP|14203110532475733769</stp>
        <tr r="D842" s="2"/>
      </tp>
      <tp t="s">
        <v>#N/A Requesting Data...3107605724</v>
        <stp/>
        <stp>BDP|13852842467528968129</stp>
        <tr r="E2332" s="2"/>
      </tp>
      <tp t="b">
        <v>0</v>
        <stp/>
        <stp>BDS|10525376724840078556</stp>
        <tr r="I518" s="2"/>
      </tp>
      <tp t="s">
        <v>#N/A Requesting Data...2172514458</v>
        <stp/>
        <stp>BDP|14874652199286394973</stp>
        <tr r="N423" s="2"/>
      </tp>
      <tp t="s">
        <v>#N/A Requesting Data...628779801</v>
        <stp/>
        <stp>BDP|15992090808133150290</stp>
        <tr r="M283" s="2"/>
      </tp>
      <tp t="b">
        <v>0</v>
        <stp/>
        <stp>BDS|17194415587039278666</stp>
        <tr r="I734" s="2"/>
      </tp>
      <tp t="s">
        <v>#N/A Requesting Data...254088355</v>
        <stp/>
        <stp>BDP|16416419344012440051</stp>
        <tr r="E1916" s="2"/>
      </tp>
      <tp t="s">
        <v>#N/A Requesting Data...3293180417</v>
        <stp/>
        <stp>BDP|16732560159866858402</stp>
        <tr r="R1440" s="2"/>
      </tp>
      <tp t="s">
        <v>#N/A Requesting Data...4281329571</v>
        <stp/>
        <stp>BDP|17181027122919333829</stp>
        <tr r="H289" s="2"/>
      </tp>
      <tp t="s">
        <v>#N/A Requesting Data...2734296970</v>
        <stp/>
        <stp>BDP|17151864793584676620</stp>
        <tr r="M682" s="2"/>
      </tp>
      <tp t="s">
        <v>#N/A Requesting Data...553390347</v>
        <stp/>
        <stp>BDP|17698125507254390604</stp>
        <tr r="M1074" s="2"/>
      </tp>
      <tp t="s">
        <v>#N/A Requesting Data...2811353991</v>
        <stp/>
        <stp>BDP|16326959281855424632</stp>
        <tr r="H894" s="2"/>
      </tp>
      <tp t="s">
        <v>#N/A Requesting Data...518936431</v>
        <stp/>
        <stp>BDP|15126321951131438662</stp>
        <tr r="F1993" s="2"/>
      </tp>
      <tp t="s">
        <v>#N/A Requesting Data...489780852</v>
        <stp/>
        <stp>BDP|10853084646552157272</stp>
        <tr r="D1500" s="2"/>
      </tp>
      <tp t="s">
        <v>#N/A Requesting Data...2182814027</v>
        <stp/>
        <stp>BDP|17631170908167098598</stp>
        <tr r="T754" s="2"/>
      </tp>
      <tp t="s">
        <v>#N/A Requesting Data...489758399</v>
        <stp/>
        <stp>BDP|10211336706464790309</stp>
        <tr r="C548" s="2"/>
      </tp>
      <tp t="s">
        <v>#N/A Requesting Data...633519153</v>
        <stp/>
        <stp>BDP|12131327161292676143</stp>
        <tr r="T2486" s="2"/>
      </tp>
      <tp t="s">
        <v>#N/A Requesting Data...2584958478</v>
        <stp/>
        <stp>BDP|14590648966143576325</stp>
        <tr r="P1906" s="2"/>
      </tp>
      <tp t="s">
        <v>#N/A Requesting Data...3703838952</v>
        <stp/>
        <stp>BDP|17750669849370894104</stp>
        <tr r="Q293" s="2"/>
      </tp>
      <tp t="s">
        <v>#N/A Requesting Data...2464530159</v>
        <stp/>
        <stp>BDP|16729350131534308605</stp>
        <tr r="O2228" s="2"/>
      </tp>
      <tp t="s">
        <v>#N/A Requesting Data...585480256</v>
        <stp/>
        <stp>BDP|10557625712177425411</stp>
        <tr r="G2056" s="2"/>
      </tp>
      <tp t="s">
        <v>#N/A Requesting Data...2792357516</v>
        <stp/>
        <stp>BDP|14462512738391871751</stp>
        <tr r="H1163" s="2"/>
      </tp>
      <tp t="s">
        <v>#N/A Requesting Data...3018594365</v>
        <stp/>
        <stp>BDP|15778766143935387711</stp>
        <tr r="N1783" s="2"/>
      </tp>
      <tp t="s">
        <v>#N/A Requesting Data...2278259193</v>
        <stp/>
        <stp>BDP|17717846882100302327</stp>
        <tr r="H415" s="2"/>
      </tp>
      <tp t="s">
        <v>#N/A Requesting Data...3303829141</v>
        <stp/>
        <stp>BDP|17926005729409069804</stp>
        <tr r="H1715" s="2"/>
      </tp>
      <tp t="s">
        <v>#N/A Requesting Data...644129680</v>
        <stp/>
        <stp>BDP|15525730947694040611</stp>
        <tr r="S2156" s="2"/>
      </tp>
      <tp t="s">
        <v>#N/A Requesting Data...3184185209</v>
        <stp/>
        <stp>BDP|14562021091318517134</stp>
        <tr r="H1048" s="2"/>
      </tp>
      <tp t="s">
        <v>#N/A Requesting Data...2445643258</v>
        <stp/>
        <stp>BDP|12089888638004628963</stp>
        <tr r="J664" s="2"/>
      </tp>
      <tp t="s">
        <v>#N/A Requesting Data...3030534439</v>
        <stp/>
        <stp>BDP|17446743106686148274</stp>
        <tr r="H2162" s="2"/>
      </tp>
      <tp t="s">
        <v>#N/A Requesting Data...4150861594</v>
        <stp/>
        <stp>BDP|18226262293634100367</stp>
        <tr r="G1085" s="2"/>
      </tp>
      <tp t="s">
        <v>#N/A Requesting Data...3247221673</v>
        <stp/>
        <stp>BDP|10676863297836646319</stp>
        <tr r="C1550" s="2"/>
      </tp>
      <tp t="s">
        <v>#N/A Requesting Data...918343942</v>
        <stp/>
        <stp>BDP|11001613265361175456</stp>
        <tr r="C1220" s="2"/>
      </tp>
      <tp t="s">
        <v>#N/A Requesting Data...1018498843</v>
        <stp/>
        <stp>BDP|16090885038349697067</stp>
        <tr r="J911" s="2"/>
      </tp>
      <tp t="s">
        <v>#N/A Requesting Data...997617315</v>
        <stp/>
        <stp>BDP|10541461068762955426</stp>
        <tr r="D401" s="2"/>
      </tp>
      <tp t="s">
        <v>#N/A Requesting Data...2564092467</v>
        <stp/>
        <stp>BDP|17138574576691596059</stp>
        <tr r="E1042" s="2"/>
      </tp>
      <tp t="s">
        <v>#N/A Requesting Data...1911170694</v>
        <stp/>
        <stp>BDP|12401593858550772621</stp>
        <tr r="T1964" s="2"/>
      </tp>
      <tp t="s">
        <v>#N/A Requesting Data...3685391638</v>
        <stp/>
        <stp>BDP|16325309883940763974</stp>
        <tr r="E93" s="2"/>
      </tp>
      <tp t="s">
        <v>#N/A Requesting Data...629486586</v>
        <stp/>
        <stp>BDP|15142895368527166812</stp>
        <tr r="C99" s="2"/>
      </tp>
      <tp t="b">
        <v>0</v>
        <stp/>
        <stp>BDS|10426396203135853250</stp>
        <tr r="I277" s="2"/>
      </tp>
      <tp t="s">
        <v>#N/A Requesting Data...2232195339</v>
        <stp/>
        <stp>BDP|11203629427299639818</stp>
        <tr r="P2343" s="2"/>
      </tp>
      <tp t="s">
        <v>#N/A Requesting Data...2591228001</v>
        <stp/>
        <stp>BDP|11048766342192424401</stp>
        <tr r="M2505" s="2"/>
      </tp>
      <tp t="s">
        <v>#N/A Requesting Data...322287970</v>
        <stp/>
        <stp>BDP|13100136458200222386</stp>
        <tr r="J1704" s="2"/>
      </tp>
      <tp t="s">
        <v>#N/A Requesting Data...955995630</v>
        <stp/>
        <stp>BDP|13620806396730366635</stp>
        <tr r="T1945" s="2"/>
      </tp>
      <tp t="s">
        <v>#N/A Requesting Data...1326030050</v>
        <stp/>
        <stp>BDP|11907138441815823532</stp>
        <tr r="Q124" s="2"/>
      </tp>
      <tp t="s">
        <v>#N/A Requesting Data...644548090</v>
        <stp/>
        <stp>BDP|13215503052424246322</stp>
        <tr r="G2018" s="2"/>
      </tp>
      <tp t="s">
        <v>#N/A Requesting Data...1901373436</v>
        <stp/>
        <stp>BDP|17782599189389164763</stp>
        <tr r="E2278" s="2"/>
      </tp>
      <tp t="s">
        <v>#N/A Requesting Data...1028526566</v>
        <stp/>
        <stp>BDP|10333784981173313890</stp>
        <tr r="C341" s="2"/>
      </tp>
      <tp t="s">
        <v>#N/A Requesting Data...3964075132</v>
        <stp/>
        <stp>BDP|11145468882520066958</stp>
        <tr r="N1852" s="2"/>
      </tp>
      <tp t="s">
        <v>#N/A Requesting Data...2302664501</v>
        <stp/>
        <stp>BDP|14614367425789153843</stp>
        <tr r="C324" s="2"/>
      </tp>
      <tp t="s">
        <v>#N/A Requesting Data...932391580</v>
        <stp/>
        <stp>BDP|17051903311419239236</stp>
        <tr r="N1339" s="2"/>
      </tp>
      <tp t="s">
        <v>#N/A Requesting Data...2427488376</v>
        <stp/>
        <stp>BDP|17196048146107124025</stp>
        <tr r="F1504" s="2"/>
      </tp>
      <tp t="s">
        <v>#N/A Requesting Data...1686795125</v>
        <stp/>
        <stp>BDP|17373067208303542080</stp>
        <tr r="N2267" s="2"/>
      </tp>
      <tp t="s">
        <v>#N/A Requesting Data...1587040064</v>
        <stp/>
        <stp>BDP|18139505145098643525</stp>
        <tr r="D1594" s="2"/>
      </tp>
      <tp t="s">
        <v>#N/A Requesting Data...3175974255</v>
        <stp/>
        <stp>BDP|17001847560408728537</stp>
        <tr r="M1271" s="2"/>
      </tp>
      <tp t="s">
        <v>#N/A Requesting Data...2860872352</v>
        <stp/>
        <stp>BDP|16174701967013272047</stp>
        <tr r="P1223" s="2"/>
      </tp>
      <tp t="s">
        <v>#N/A Requesting Data...841638788</v>
        <stp/>
        <stp>BDP|11754624315651474346</stp>
        <tr r="N2132" s="2"/>
      </tp>
      <tp t="s">
        <v>#N/A Requesting Data...3422402476</v>
        <stp/>
        <stp>BDP|14243266208116516494</stp>
        <tr r="T142" s="2"/>
      </tp>
      <tp t="s">
        <v>#N/A Requesting Data...4258011385</v>
        <stp/>
        <stp>BDP|14583745900524679379</stp>
        <tr r="C1986" s="2"/>
      </tp>
      <tp t="s">
        <v>#N/A Requesting Data...3572805795</v>
        <stp/>
        <stp>BDP|12252559847915567256</stp>
        <tr r="E409" s="2"/>
      </tp>
      <tp t="s">
        <v>#N/A Requesting Data...336753938</v>
        <stp/>
        <stp>BDP|15378432650340730070</stp>
        <tr r="F401" s="2"/>
      </tp>
      <tp t="b">
        <v>0</v>
        <stp/>
        <stp>BDS|15552440606393527611</stp>
        <tr r="I1891" s="2"/>
      </tp>
      <tp t="s">
        <v>#N/A Requesting Data...3764152857</v>
        <stp/>
        <stp>BDP|14834480194704030942</stp>
        <tr r="R828" s="2"/>
      </tp>
      <tp t="s">
        <v>#N/A Requesting Data...603380734</v>
        <stp/>
        <stp>BDP|13164473884193071826</stp>
        <tr r="O582" s="2"/>
      </tp>
      <tp t="s">
        <v>#N/A Requesting Data...418321755</v>
        <stp/>
        <stp>BDP|15902314679904113109</stp>
        <tr r="S1330" s="2"/>
      </tp>
      <tp t="s">
        <v>#N/A Requesting Data...2982157944</v>
        <stp/>
        <stp>BDP|12384479765791069515</stp>
        <tr r="H1454" s="2"/>
      </tp>
      <tp t="s">
        <v>#N/A Requesting Data...899892585</v>
        <stp/>
        <stp>BDP|15861338106862865055</stp>
        <tr r="G327" s="2"/>
      </tp>
      <tp t="s">
        <v>#N/A Requesting Data...4254118821</v>
        <stp/>
        <stp>BDP|14481528086149819484</stp>
        <tr r="P1473" s="2"/>
      </tp>
      <tp t="s">
        <v>#N/A Requesting Data...396234996</v>
        <stp/>
        <stp>BDP|17660362301134629473</stp>
        <tr r="H588" s="2"/>
      </tp>
      <tp t="s">
        <v>#N/A Requesting Data...563078117</v>
        <stp/>
        <stp>BDP|13358333821424148202</stp>
        <tr r="G981" s="2"/>
      </tp>
      <tp t="s">
        <v>#N/A Requesting Data...1298365829</v>
        <stp/>
        <stp>BDP|12532163907352378570</stp>
        <tr r="F1123" s="2"/>
      </tp>
      <tp t="s">
        <v>#N/A Requesting Data...905608813</v>
        <stp/>
        <stp>BDP|15923210098269224326</stp>
        <tr r="T2417" s="2"/>
      </tp>
      <tp t="s">
        <v>#N/A Requesting Data...3191955371</v>
        <stp/>
        <stp>BDP|13386905593360625768</stp>
        <tr r="C214" s="2"/>
      </tp>
      <tp t="s">
        <v>#N/A Requesting Data...1867553961</v>
        <stp/>
        <stp>BDP|16163158217097877582</stp>
        <tr r="G759" s="2"/>
      </tp>
      <tp t="s">
        <v>#N/A Requesting Data...785079046</v>
        <stp/>
        <stp>BDP|11579499303500874147</stp>
        <tr r="T1447" s="2"/>
      </tp>
      <tp t="s">
        <v>#N/A Requesting Data...2792440808</v>
        <stp/>
        <stp>BDP|13337563963612581605</stp>
        <tr r="R2502" s="2"/>
      </tp>
      <tp t="s">
        <v>#N/A Requesting Data...1204990609</v>
        <stp/>
        <stp>BDP|12222006856117162468</stp>
        <tr r="T2252" s="2"/>
      </tp>
      <tp t="s">
        <v>#N/A Requesting Data...2226934416</v>
        <stp/>
        <stp>BDP|15181067019434969446</stp>
        <tr r="C1253" s="2"/>
      </tp>
      <tp t="s">
        <v>#N/A Requesting Data...3083326511</v>
        <stp/>
        <stp>BDP|11542488630010831264</stp>
        <tr r="T1347" s="2"/>
      </tp>
      <tp t="s">
        <v>#N/A Requesting Data...1851724013</v>
        <stp/>
        <stp>BDP|18130524371868473653</stp>
        <tr r="R1721" s="2"/>
      </tp>
      <tp t="s">
        <v>#N/A Requesting Data...1274643903</v>
        <stp/>
        <stp>BDP|18198467192692523331</stp>
        <tr r="T404" s="2"/>
      </tp>
      <tp t="s">
        <v>#N/A Requesting Data...4040257730</v>
        <stp/>
        <stp>BDP|13432160202017593161</stp>
        <tr r="F1405" s="2"/>
      </tp>
      <tp t="s">
        <v>#N/A Requesting Data...919456306</v>
        <stp/>
        <stp>BDP|14705102664296595153</stp>
        <tr r="S2119" s="2"/>
      </tp>
      <tp t="s">
        <v>#N/A Requesting Data...494851400</v>
        <stp/>
        <stp>BDP|11647581644430928409</stp>
        <tr r="J2441" s="2"/>
      </tp>
      <tp t="s">
        <v>#N/A Requesting Data...1918514194</v>
        <stp/>
        <stp>BDP|16410874211373881894</stp>
        <tr r="T76" s="2"/>
      </tp>
      <tp t="s">
        <v>#N/A Requesting Data...2957945591</v>
        <stp/>
        <stp>BDP|18064042497491796470</stp>
        <tr r="C1699" s="2"/>
      </tp>
      <tp t="s">
        <v>#N/A Requesting Data...1825214740</v>
        <stp/>
        <stp>BDP|15204299269794737164</stp>
        <tr r="E1334" s="2"/>
      </tp>
      <tp t="b">
        <v>0</v>
        <stp/>
        <stp>BDS|13148753200176795636</stp>
        <tr r="I2357" s="2"/>
      </tp>
      <tp t="s">
        <v>#N/A Requesting Data...1125233968</v>
        <stp/>
        <stp>BDP|11747070836232176448</stp>
        <tr r="F1840" s="2"/>
      </tp>
      <tp t="s">
        <v>#N/A Requesting Data...2827418887</v>
        <stp/>
        <stp>BDP|17974608018547204303</stp>
        <tr r="M627" s="2"/>
      </tp>
      <tp t="b">
        <v>0</v>
        <stp/>
        <stp>BDS|16244891188302692056</stp>
        <tr r="I1207" s="2"/>
      </tp>
      <tp t="s">
        <v>#N/A Requesting Data...3230499620</v>
        <stp/>
        <stp>BDP|12997704156017564392</stp>
        <tr r="A405" s="2"/>
      </tp>
      <tp t="s">
        <v>#N/A Requesting Data...2621710402</v>
        <stp/>
        <stp>BDP|10824190960826402562</stp>
        <tr r="T2199" s="2"/>
      </tp>
      <tp t="b">
        <v>0</v>
        <stp/>
        <stp>BDS|14391479523296324048</stp>
        <tr r="I2270" s="2"/>
      </tp>
      <tp t="s">
        <v>#N/A Requesting Data...3685962539</v>
        <stp/>
        <stp>BDP|14972297465880695409</stp>
        <tr r="D470" s="2"/>
      </tp>
      <tp t="s">
        <v>#N/A Requesting Data...2506129204</v>
        <stp/>
        <stp>BDP|11964150059007675609</stp>
        <tr r="G1344" s="2"/>
      </tp>
      <tp t="s">
        <v>#N/A Requesting Data...2665782973</v>
        <stp/>
        <stp>BDP|12035104007260292764</stp>
        <tr r="O826" s="2"/>
      </tp>
      <tp t="s">
        <v>#N/A Requesting Data...1217185210</v>
        <stp/>
        <stp>BDP|10453169433674043226</stp>
        <tr r="F818" s="2"/>
      </tp>
      <tp t="s">
        <v>#N/A Requesting Data...1611845955</v>
        <stp/>
        <stp>BDP|10364598729197675467</stp>
        <tr r="K1240" s="2"/>
      </tp>
      <tp t="s">
        <v>#N/A Requesting Data...3530956688</v>
        <stp/>
        <stp>BDP|16690184233558678880</stp>
        <tr r="D246" s="2"/>
      </tp>
      <tp t="s">
        <v>#N/A Requesting Data...3698704334</v>
        <stp/>
        <stp>BDP|10517248113386726167</stp>
        <tr r="C2149" s="2"/>
      </tp>
      <tp t="s">
        <v>#N/A Requesting Data...2317008918</v>
        <stp/>
        <stp>BDP|10296608101232540058</stp>
        <tr r="O976" s="2"/>
      </tp>
      <tp t="s">
        <v>#N/A Requesting Data...1402005077</v>
        <stp/>
        <stp>BDP|12559545105443638018</stp>
        <tr r="H115" s="2"/>
      </tp>
      <tp t="s">
        <v>#N/A Requesting Data...3079064984</v>
        <stp/>
        <stp>BDP|15011216012356023409</stp>
        <tr r="N1147" s="2"/>
      </tp>
      <tp t="s">
        <v>#N/A Requesting Data...1392848083</v>
        <stp/>
        <stp>BDP|10999683949881895735</stp>
        <tr r="J2466" s="2"/>
      </tp>
      <tp t="s">
        <v>#N/A Requesting Data...2842285629</v>
        <stp/>
        <stp>BDP|16026227843870601443</stp>
        <tr r="H1431" s="2"/>
      </tp>
      <tp t="s">
        <v>#N/A Requesting Data...1676254756</v>
        <stp/>
        <stp>BDP|13514712521911270343</stp>
        <tr r="M1653" s="2"/>
      </tp>
      <tp t="s">
        <v>#N/A Requesting Data...3549671986</v>
        <stp/>
        <stp>BDP|10033401979274258388</stp>
        <tr r="N883" s="2"/>
      </tp>
      <tp t="s">
        <v>#N/A Requesting Data...3410506162</v>
        <stp/>
        <stp>BDP|12353729679247834130</stp>
        <tr r="G3" s="2"/>
      </tp>
      <tp t="s">
        <v>#N/A Requesting Data...3258897191</v>
        <stp/>
        <stp>BDP|16135184734945731590</stp>
        <tr r="T710" s="2"/>
      </tp>
      <tp t="s">
        <v>#N/A Requesting Data...1479662607</v>
        <stp/>
        <stp>BDP|16345792709840407543</stp>
        <tr r="P1556" s="2"/>
      </tp>
      <tp t="s">
        <v>#N/A Requesting Data...2039325724</v>
        <stp/>
        <stp>BDP|15569285073380959449</stp>
        <tr r="K1508" s="2"/>
      </tp>
      <tp t="s">
        <v>#N/A Requesting Data...3122105597</v>
        <stp/>
        <stp>BDP|17303714148169901909</stp>
        <tr r="H776" s="2"/>
      </tp>
      <tp t="s">
        <v>#N/A Requesting Data...4229968090</v>
        <stp/>
        <stp>BDP|12322600703601469171</stp>
        <tr r="N2223" s="2"/>
      </tp>
      <tp t="s">
        <v>#N/A Requesting Data...1407608217</v>
        <stp/>
        <stp>BDP|18062003122189117706</stp>
        <tr r="C853" s="2"/>
      </tp>
      <tp t="s">
        <v>#N/A Requesting Data...3795644498</v>
        <stp/>
        <stp>BDP|11705279024260509528</stp>
        <tr r="Q1934" s="2"/>
      </tp>
      <tp t="s">
        <v>#N/A Requesting Data...3051483001</v>
        <stp/>
        <stp>BDP|14521167645401107442</stp>
        <tr r="N434" s="2"/>
      </tp>
      <tp t="s">
        <v>#N/A Requesting Data...579934336</v>
        <stp/>
        <stp>BDP|16926974389627655426</stp>
        <tr r="G247" s="2"/>
      </tp>
      <tp t="s">
        <v>#N/A Requesting Data...1011756396</v>
        <stp/>
        <stp>BDP|18117615672659345424</stp>
        <tr r="G848" s="2"/>
      </tp>
      <tp t="s">
        <v>#N/A Requesting Data...4090806397</v>
        <stp/>
        <stp>BDP|13074473642727370056</stp>
        <tr r="Q2062" s="2"/>
      </tp>
      <tp t="s">
        <v>#N/A Requesting Data...3739809295</v>
        <stp/>
        <stp>BDP|12337578836882344225</stp>
        <tr r="E375" s="2"/>
      </tp>
      <tp t="s">
        <v>#N/A Requesting Data...2102393937</v>
        <stp/>
        <stp>BDP|10950554712655838555</stp>
        <tr r="N1763" s="2"/>
      </tp>
      <tp t="s">
        <v>#N/A Requesting Data...2920194174</v>
        <stp/>
        <stp>BDP|12502613191869683002</stp>
        <tr r="A721" s="2"/>
      </tp>
      <tp t="s">
        <v>#N/A Requesting Data...1946545518</v>
        <stp/>
        <stp>BDP|12744583124868175999</stp>
        <tr r="G644" s="2"/>
      </tp>
      <tp t="s">
        <v>#N/A Requesting Data...1483886562</v>
        <stp/>
        <stp>BDP|17025727211442705770</stp>
        <tr r="D1242" s="2"/>
      </tp>
      <tp t="s">
        <v>#N/A Requesting Data...1656682281</v>
        <stp/>
        <stp>BDP|14059761400745308262</stp>
        <tr r="E1742" s="2"/>
      </tp>
      <tp t="s">
        <v>#N/A Requesting Data...3822227849</v>
        <stp/>
        <stp>BDP|15722586463414867677</stp>
        <tr r="N213" s="2"/>
      </tp>
      <tp t="s">
        <v>#N/A Requesting Data...3560832739</v>
        <stp/>
        <stp>BDP|11356861263313746822</stp>
        <tr r="N774" s="2"/>
      </tp>
      <tp t="s">
        <v>#N/A Requesting Data...2150848757</v>
        <stp/>
        <stp>BDP|10486676104015374778</stp>
        <tr r="G2426" s="2"/>
      </tp>
      <tp t="s">
        <v>#N/A Requesting Data...3847216424</v>
        <stp/>
        <stp>BDP|12487624240503798720</stp>
        <tr r="T607" s="2"/>
      </tp>
      <tp t="s">
        <v>#N/A Requesting Data...3438967388</v>
        <stp/>
        <stp>BDP|17122486563751017092</stp>
        <tr r="R832" s="2"/>
      </tp>
      <tp t="s">
        <v>#N/A Requesting Data...3590294228</v>
        <stp/>
        <stp>BDP|17421094654550956636</stp>
        <tr r="H1771" s="2"/>
      </tp>
      <tp t="b">
        <v>0</v>
        <stp/>
        <stp>BDS|12205013708325257395</stp>
        <tr r="I851" s="2"/>
      </tp>
      <tp t="s">
        <v>#N/A Requesting Data...2721360932</v>
        <stp/>
        <stp>BDP|16467652359610324180</stp>
        <tr r="F462" s="2"/>
      </tp>
      <tp t="s">
        <v>#N/A Requesting Data...2002058215</v>
        <stp/>
        <stp>BDP|15745006955070336426</stp>
        <tr r="H614" s="2"/>
      </tp>
      <tp t="s">
        <v>#N/A Requesting Data...2826523023</v>
        <stp/>
        <stp>BDP|12496283217580896501</stp>
        <tr r="G677" s="2"/>
      </tp>
      <tp t="s">
        <v>#N/A Requesting Data...3554595181</v>
        <stp/>
        <stp>BDP|11850702167873403788</stp>
        <tr r="P1869" s="2"/>
      </tp>
      <tp t="s">
        <v>#N/A Requesting Data...1502362920</v>
        <stp/>
        <stp>BDP|15955887504300574931</stp>
        <tr r="E1352" s="2"/>
      </tp>
      <tp t="s">
        <v>#N/A Requesting Data...3944052492</v>
        <stp/>
        <stp>BDP|16191795227845503293</stp>
        <tr r="N2049" s="2"/>
      </tp>
      <tp t="s">
        <v>#N/A Requesting Data...1812046573</v>
        <stp/>
        <stp>BDP|12674710156301308512</stp>
        <tr r="R110" s="2"/>
      </tp>
      <tp t="s">
        <v>#N/A Requesting Data...4221872856</v>
        <stp/>
        <stp>BDP|17367157834169634875</stp>
        <tr r="J2519" s="2"/>
      </tp>
      <tp t="s">
        <v>#N/A Requesting Data...3917075357</v>
        <stp/>
        <stp>BDP|12077560835731040102</stp>
        <tr r="R2467" s="2"/>
      </tp>
      <tp t="s">
        <v>#N/A Requesting Data...3713898138</v>
        <stp/>
        <stp>BDP|11166244237091543540</stp>
        <tr r="F1911" s="2"/>
      </tp>
      <tp t="s">
        <v>#N/A Requesting Data...2181430347</v>
        <stp/>
        <stp>BDP|18094485823508972218</stp>
        <tr r="A2412" s="2"/>
      </tp>
      <tp t="s">
        <v>#N/A Requesting Data...3433709142</v>
        <stp/>
        <stp>BDP|17283793203065284195</stp>
        <tr r="S253" s="2"/>
      </tp>
      <tp t="s">
        <v>#N/A Requesting Data...4015607795</v>
        <stp/>
        <stp>BDP|12544607826656665466</stp>
        <tr r="A2007" s="2"/>
      </tp>
      <tp t="s">
        <v>#N/A Requesting Data...2072487827</v>
        <stp/>
        <stp>BDP|11665106243290450022</stp>
        <tr r="J1485" s="2"/>
      </tp>
      <tp t="s">
        <v>#N/A Requesting Data...2368552288</v>
        <stp/>
        <stp>BDP|17671007925418137912</stp>
        <tr r="J2003" s="2"/>
      </tp>
      <tp t="s">
        <v>#N/A Requesting Data...1781843248</v>
        <stp/>
        <stp>BDP|12355511814167583508</stp>
        <tr r="R349" s="2"/>
      </tp>
      <tp t="s">
        <v>#N/A Requesting Data...1019491060</v>
        <stp/>
        <stp>BDP|15342009477890704600</stp>
        <tr r="N905" s="2"/>
      </tp>
      <tp t="s">
        <v>#N/A Requesting Data...3627413685</v>
        <stp/>
        <stp>BDP|12578212543111108151</stp>
        <tr r="F1016" s="2"/>
      </tp>
      <tp t="s">
        <v>#N/A Requesting Data...3238535471</v>
        <stp/>
        <stp>BDP|11241516605551765124</stp>
        <tr r="S1171" s="2"/>
      </tp>
      <tp t="s">
        <v>#N/A Requesting Data...2609022291</v>
        <stp/>
        <stp>BDP|10931186777150065257</stp>
        <tr r="F1741" s="2"/>
      </tp>
      <tp t="s">
        <v>#N/A Requesting Data...1749872055</v>
        <stp/>
        <stp>BDP|13955480185218755307</stp>
        <tr r="F1531" s="2"/>
      </tp>
      <tp t="s">
        <v>#N/A Requesting Data...817051554</v>
        <stp/>
        <stp>BDP|14951423208711400544</stp>
        <tr r="G977" s="2"/>
      </tp>
      <tp t="s">
        <v>#N/A Requesting Data...2764572829</v>
        <stp/>
        <stp>BDP|11812434194148869046</stp>
        <tr r="P2329" s="2"/>
      </tp>
      <tp t="s">
        <v>#N/A Requesting Data...2528583844</v>
        <stp/>
        <stp>BDP|15813430753679835930</stp>
        <tr r="T1161" s="2"/>
      </tp>
      <tp t="s">
        <v>#N/A Requesting Data...3678400008</v>
        <stp/>
        <stp>BDP|16974496611466475166</stp>
        <tr r="S1004" s="2"/>
      </tp>
      <tp t="s">
        <v>#N/A Requesting Data...3021733106</v>
        <stp/>
        <stp>BDP|17416240543101210425</stp>
        <tr r="H1245" s="2"/>
      </tp>
      <tp t="s">
        <v>#N/A Requesting Data...3278791944</v>
        <stp/>
        <stp>BDP|16380946383894248756</stp>
        <tr r="F158" s="2"/>
      </tp>
      <tp t="s">
        <v>#N/A Requesting Data...1215457095</v>
        <stp/>
        <stp>BDP|12374111807014593324</stp>
        <tr r="C1279" s="2"/>
      </tp>
      <tp t="s">
        <v>#N/A Requesting Data...2610403787</v>
        <stp/>
        <stp>BDP|13025747217484031519</stp>
        <tr r="K1316" s="2"/>
      </tp>
      <tp t="s">
        <v>#N/A Requesting Data...2770369951</v>
        <stp/>
        <stp>BDP|10419291343226583491</stp>
        <tr r="S1420" s="2"/>
      </tp>
      <tp t="s">
        <v>#N/A Requesting Data...694123223</v>
        <stp/>
        <stp>BDP|17110296528293587076</stp>
        <tr r="F2263" s="2"/>
      </tp>
      <tp t="s">
        <v>#N/A Requesting Data...2039600034</v>
        <stp/>
        <stp>BDP|12965233748998971890</stp>
        <tr r="N1007" s="2"/>
      </tp>
      <tp t="b">
        <v>0</v>
        <stp/>
        <stp>BDS|16230415963024951488</stp>
        <tr r="I2436" s="2"/>
      </tp>
      <tp t="s">
        <v>#N/A Requesting Data...1454301158</v>
        <stp/>
        <stp>BDP|16750742547975776412</stp>
        <tr r="M641" s="2"/>
      </tp>
      <tp t="s">
        <v>#N/A Requesting Data...3110995715</v>
        <stp/>
        <stp>BDP|12565072931383453659</stp>
        <tr r="S507" s="2"/>
      </tp>
      <tp t="s">
        <v>#N/A Requesting Data...1138390007</v>
        <stp/>
        <stp>BDP|11274133503494935099</stp>
        <tr r="S1564" s="2"/>
      </tp>
      <tp t="s">
        <v>#N/A Requesting Data...1634819291</v>
        <stp/>
        <stp>BDP|11816181632887234021</stp>
        <tr r="H897" s="2"/>
      </tp>
      <tp t="s">
        <v>#N/A Requesting Data...3802306570</v>
        <stp/>
        <stp>BDP|11389901288952825618</stp>
        <tr r="M1012" s="2"/>
      </tp>
      <tp t="s">
        <v>#N/A Requesting Data...677874545</v>
        <stp/>
        <stp>BDP|12360669751795175075</stp>
        <tr r="H427" s="2"/>
      </tp>
      <tp t="s">
        <v>#N/A Requesting Data...3165505496</v>
        <stp/>
        <stp>BDP|14301228967647559311</stp>
        <tr r="E267" s="2"/>
      </tp>
      <tp t="s">
        <v>#N/A Requesting Data...1132030663</v>
        <stp/>
        <stp>BDP|11380530073725776262</stp>
        <tr r="E1913" s="2"/>
      </tp>
      <tp t="s">
        <v>#N/A Requesting Data...2694903563</v>
        <stp/>
        <stp>BDP|16954027813416289584</stp>
        <tr r="H166" s="2"/>
      </tp>
      <tp t="s">
        <v>#N/A Requesting Data...2708146681</v>
        <stp/>
        <stp>BDP|12233356041960623124</stp>
        <tr r="O2123" s="2"/>
      </tp>
      <tp t="s">
        <v>#N/A Requesting Data...2625326780</v>
        <stp/>
        <stp>BDP|16397467322524410010</stp>
        <tr r="H826" s="2"/>
      </tp>
      <tp t="b">
        <v>0</v>
        <stp/>
        <stp>BDS|16493159430475480546</stp>
        <tr r="I833" s="2"/>
      </tp>
      <tp t="s">
        <v>#N/A Requesting Data...3419069047</v>
        <stp/>
        <stp>BDP|15783718217953709440</stp>
        <tr r="O1907" s="2"/>
      </tp>
      <tp t="s">
        <v>#N/A Requesting Data...1600021625</v>
        <stp/>
        <stp>BDP|17799029470845674116</stp>
        <tr r="G1392" s="2"/>
      </tp>
      <tp t="s">
        <v>#N/A Requesting Data...2821088385</v>
        <stp/>
        <stp>BDP|16366409910352565543</stp>
        <tr r="F1906" s="2"/>
      </tp>
      <tp t="s">
        <v>#N/A Requesting Data...1989144883</v>
        <stp/>
        <stp>BDP|13734529812656140541</stp>
        <tr r="E540" s="2"/>
      </tp>
      <tp t="s">
        <v>#N/A Requesting Data...3770073735</v>
        <stp/>
        <stp>BDP|17680300020412108055</stp>
        <tr r="M774" s="2"/>
      </tp>
      <tp t="s">
        <v>#N/A Requesting Data...3225422234</v>
        <stp/>
        <stp>BDP|16786024447347603166</stp>
        <tr r="S1196" s="2"/>
      </tp>
      <tp t="s">
        <v>#N/A Requesting Data...2072949911</v>
        <stp/>
        <stp>BDP|10886115149403601240</stp>
        <tr r="E1246" s="2"/>
      </tp>
      <tp t="s">
        <v>#N/A Requesting Data...4187645024</v>
        <stp/>
        <stp>BDP|13382804785020401705</stp>
        <tr r="D1259" s="2"/>
      </tp>
      <tp t="s">
        <v>#N/A Requesting Data...3311740240</v>
        <stp/>
        <stp>BDP|17231346475971910684</stp>
        <tr r="T248" s="2"/>
      </tp>
      <tp t="s">
        <v>#N/A Requesting Data...3076814848</v>
        <stp/>
        <stp>BDP|14983528039787787177</stp>
        <tr r="D1430" s="2"/>
      </tp>
      <tp t="s">
        <v>#N/A Requesting Data...2241394270</v>
        <stp/>
        <stp>BDP|17382082974201825552</stp>
        <tr r="G1734" s="2"/>
      </tp>
      <tp t="s">
        <v>#N/A Requesting Data...3373446259</v>
        <stp/>
        <stp>BDP|13516177733626799341</stp>
        <tr r="S2406" s="2"/>
      </tp>
      <tp t="s">
        <v>#N/A Requesting Data...3674593479</v>
        <stp/>
        <stp>BDP|11916220029376187312</stp>
        <tr r="J352" s="2"/>
      </tp>
      <tp t="s">
        <v>#N/A Requesting Data...2811669974</v>
        <stp/>
        <stp>BDP|18407403631053781804</stp>
        <tr r="G358" s="2"/>
      </tp>
      <tp t="s">
        <v>#N/A Requesting Data...2937660252</v>
        <stp/>
        <stp>BDP|10379779800882310159</stp>
        <tr r="J1412" s="2"/>
      </tp>
      <tp t="s">
        <v>#N/A Requesting Data...4084542485</v>
        <stp/>
        <stp>BDP|13196769892358293154</stp>
        <tr r="K1893" s="2"/>
      </tp>
      <tp t="s">
        <v>#N/A Requesting Data...2125813103</v>
        <stp/>
        <stp>BDP|17603231326497833498</stp>
        <tr r="A1162" s="2"/>
      </tp>
      <tp t="s">
        <v>#N/A Requesting Data...3495052380</v>
        <stp/>
        <stp>BDP|16195130472275342111</stp>
        <tr r="C414" s="2"/>
      </tp>
      <tp t="s">
        <v>#N/A Requesting Data...2416145056</v>
        <stp/>
        <stp>BDP|14110907023469490245</stp>
        <tr r="T857" s="2"/>
      </tp>
      <tp t="b">
        <v>0</v>
        <stp/>
        <stp>BDS|16435926670474062879</stp>
        <tr r="I1115" s="2"/>
      </tp>
      <tp t="s">
        <v>#N/A Requesting Data...3742446650</v>
        <stp/>
        <stp>BDP|10330329537061500514</stp>
        <tr r="T2455" s="2"/>
      </tp>
      <tp t="s">
        <v>#N/A Requesting Data...2022459791</v>
        <stp/>
        <stp>BDP|18333648494056810594</stp>
        <tr r="H39" s="2"/>
      </tp>
      <tp t="s">
        <v>#N/A Requesting Data...1868828194</v>
        <stp/>
        <stp>BDP|16785733303467759227</stp>
        <tr r="F2291" s="2"/>
      </tp>
      <tp t="s">
        <v>#N/A Requesting Data...3265938526</v>
        <stp/>
        <stp>BDP|13511920521398477408</stp>
        <tr r="P159" s="2"/>
      </tp>
      <tp t="b">
        <v>0</v>
        <stp/>
        <stp>BDS|10781120428091826647</stp>
        <tr r="I1283" s="2"/>
      </tp>
      <tp t="s">
        <v>#N/A Requesting Data...2517707494</v>
        <stp/>
        <stp>BDP|16351036826893235365</stp>
        <tr r="E1988" s="2"/>
      </tp>
      <tp t="s">
        <v>#N/A Requesting Data...2985081836</v>
        <stp/>
        <stp>BDP|17913453379837456732</stp>
        <tr r="A25" s="2"/>
      </tp>
      <tp t="s">
        <v>#N/A Requesting Data...2833348178</v>
        <stp/>
        <stp>BDP|10333682338614995583</stp>
        <tr r="D1716" s="2"/>
      </tp>
      <tp t="s">
        <v>#N/A Requesting Data...887671715</v>
        <stp/>
        <stp>BDP|15018524607184792000</stp>
        <tr r="Q522" s="2"/>
      </tp>
      <tp t="s">
        <v>#N/A Requesting Data...3142205111</v>
        <stp/>
        <stp>BDP|15454012087809973095</stp>
        <tr r="P1455" s="2"/>
      </tp>
      <tp t="s">
        <v>#N/A Requesting Data...1297531531</v>
        <stp/>
        <stp>BDP|16071587253315883716</stp>
        <tr r="H1188" s="2"/>
      </tp>
      <tp t="s">
        <v>#N/A Requesting Data...3331030172</v>
        <stp/>
        <stp>BDP|16992714468724207707</stp>
        <tr r="D102" s="2"/>
      </tp>
      <tp t="s">
        <v>#N/A Requesting Data...1112444223</v>
        <stp/>
        <stp>BDP|18290945521717336065</stp>
        <tr r="J2115" s="2"/>
      </tp>
      <tp t="s">
        <v>#N/A Requesting Data...3810468311</v>
        <stp/>
        <stp>BDP|16054214273792026508</stp>
        <tr r="N64" s="2"/>
      </tp>
      <tp t="s">
        <v>#N/A Requesting Data...3793900016</v>
        <stp/>
        <stp>BDP|15538307539405720491</stp>
        <tr r="R1308" s="2"/>
      </tp>
      <tp t="s">
        <v>#N/A Requesting Data...3016691810</v>
        <stp/>
        <stp>BDP|11275972286484933081</stp>
        <tr r="S2078" s="2"/>
      </tp>
      <tp t="s">
        <v>#N/A Requesting Data...2976256497</v>
        <stp/>
        <stp>BDP|12193242015886057325</stp>
        <tr r="N651" s="2"/>
      </tp>
      <tp t="s">
        <v>#N/A Requesting Data...2826424700</v>
        <stp/>
        <stp>BDP|12942625493620851921</stp>
        <tr r="N1935" s="2"/>
      </tp>
      <tp t="s">
        <v>#N/A Requesting Data...1857561441</v>
        <stp/>
        <stp>BDP|13402756759632211782</stp>
        <tr r="K452" s="2"/>
      </tp>
      <tp t="s">
        <v>#N/A Requesting Data...2166742024</v>
        <stp/>
        <stp>BDP|14885517336427485190</stp>
        <tr r="P2491" s="2"/>
      </tp>
      <tp t="s">
        <v>#N/A Requesting Data...2976098944</v>
        <stp/>
        <stp>BDP|10166902726669434612</stp>
        <tr r="A1011" s="2"/>
      </tp>
      <tp t="s">
        <v>#N/A Requesting Data...4210465102</v>
        <stp/>
        <stp>BDP|14922749157446844408</stp>
        <tr r="O1606" s="2"/>
      </tp>
      <tp t="s">
        <v>#N/A Requesting Data...3597598156</v>
        <stp/>
        <stp>BDP|10285763276143001709</stp>
        <tr r="S207" s="2"/>
      </tp>
      <tp t="s">
        <v>#N/A Requesting Data...1132940076</v>
        <stp/>
        <stp>BDP|10003370825015037001</stp>
        <tr r="F654" s="2"/>
      </tp>
      <tp t="s">
        <v>#N/A Requesting Data...1995895367</v>
        <stp/>
        <stp>BDP|15694028247780753561</stp>
        <tr r="S977" s="2"/>
      </tp>
      <tp t="s">
        <v>#N/A Requesting Data...3479802542</v>
        <stp/>
        <stp>BDP|14114371053405428334</stp>
        <tr r="Q809" s="2"/>
      </tp>
      <tp t="s">
        <v>#N/A Requesting Data...2247290596</v>
        <stp/>
        <stp>BDP|12314110747154749706</stp>
        <tr r="A2413" s="2"/>
      </tp>
      <tp t="s">
        <v>#N/A Requesting Data...1616267553</v>
        <stp/>
        <stp>BDP|11690515172521098672</stp>
        <tr r="P2502" s="2"/>
      </tp>
      <tp t="s">
        <v>#N/A Requesting Data...1182879465</v>
        <stp/>
        <stp>BDP|10940627158443415454</stp>
        <tr r="O2418" s="2"/>
      </tp>
      <tp t="s">
        <v>#N/A Requesting Data...1436835897</v>
        <stp/>
        <stp>BDP|13066970583534450224</stp>
        <tr r="F2181" s="2"/>
      </tp>
      <tp t="s">
        <v>#N/A Requesting Data...838569466</v>
        <stp/>
        <stp>BDP|11577170241536104600</stp>
        <tr r="K1575" s="2"/>
      </tp>
      <tp t="s">
        <v>#N/A Requesting Data...840505826</v>
        <stp/>
        <stp>BDP|13848605688651600846</stp>
        <tr r="N2479" s="2"/>
      </tp>
      <tp t="s">
        <v>#N/A Requesting Data...3521598522</v>
        <stp/>
        <stp>BDP|16386209925661733335</stp>
        <tr r="K1681" s="2"/>
      </tp>
      <tp t="s">
        <v>#N/A Requesting Data...3172746479</v>
        <stp/>
        <stp>BDP|11178710434505679404</stp>
        <tr r="N2080" s="2"/>
      </tp>
      <tp t="b">
        <v>0</v>
        <stp/>
        <stp>BDS|15660444218106226290</stp>
        <tr r="I2082" s="2"/>
      </tp>
      <tp t="s">
        <v>#N/A Requesting Data...997519561</v>
        <stp/>
        <stp>BDP|13321222826682646533</stp>
        <tr r="J439" s="2"/>
      </tp>
      <tp t="s">
        <v>#N/A Requesting Data...1973830244</v>
        <stp/>
        <stp>BDP|10787619673105587029</stp>
        <tr r="D1751" s="2"/>
      </tp>
      <tp t="s">
        <v>#N/A Requesting Data...1342666534</v>
        <stp/>
        <stp>BDP|10947486498410954922</stp>
        <tr r="M906" s="2"/>
      </tp>
      <tp t="s">
        <v>#N/A Requesting Data...2245882291</v>
        <stp/>
        <stp>BDP|14256975991497407725</stp>
        <tr r="N323" s="2"/>
      </tp>
      <tp t="b">
        <v>0</v>
        <stp/>
        <stp>BDS|10833125725745600280</stp>
        <tr r="I1056" s="2"/>
      </tp>
      <tp t="b">
        <v>0</v>
        <stp/>
        <stp>BDS|15074752061461132143</stp>
        <tr r="I180" s="2"/>
      </tp>
      <tp t="s">
        <v>#N/A Requesting Data...2242434852</v>
        <stp/>
        <stp>BDP|13438674528654895718</stp>
        <tr r="G87" s="2"/>
      </tp>
      <tp t="s">
        <v>#N/A Requesting Data...3616942867</v>
        <stp/>
        <stp>BDP|11336142615142828782</stp>
        <tr r="A1453" s="2"/>
      </tp>
      <tp t="s">
        <v>#N/A Requesting Data...3723782608</v>
        <stp/>
        <stp>BDP|17313054033666169665</stp>
        <tr r="H1764" s="2"/>
      </tp>
      <tp t="s">
        <v>#N/A Requesting Data...4224865810</v>
        <stp/>
        <stp>BDP|15894424814672985653</stp>
        <tr r="C1907" s="2"/>
      </tp>
      <tp t="s">
        <v>#N/A Requesting Data...3217426938</v>
        <stp/>
        <stp>BDP|16342326054680604414</stp>
        <tr r="Q521" s="2"/>
      </tp>
      <tp t="s">
        <v>#N/A Requesting Data...1167871612</v>
        <stp/>
        <stp>BDP|13312497822532812322</stp>
        <tr r="J942" s="2"/>
      </tp>
      <tp t="s">
        <v>#N/A Requesting Data...2488331999</v>
        <stp/>
        <stp>BDP|10978264161691571192</stp>
        <tr r="J144" s="2"/>
      </tp>
      <tp t="s">
        <v>#N/A Requesting Data...2489230306</v>
        <stp/>
        <stp>BDP|11317771145615266310</stp>
        <tr r="A2365" s="2"/>
      </tp>
      <tp t="s">
        <v>#N/A Requesting Data...861931329</v>
        <stp/>
        <stp>BDP|13917005950093366182</stp>
        <tr r="K1579" s="2"/>
      </tp>
      <tp t="s">
        <v>#N/A Requesting Data...2016646602</v>
        <stp/>
        <stp>BDP|16129983086743960047</stp>
        <tr r="G1207" s="2"/>
      </tp>
      <tp t="s">
        <v>#N/A Requesting Data...2329996205</v>
        <stp/>
        <stp>BDP|17503110657594963384</stp>
        <tr r="F17" s="2"/>
      </tp>
      <tp t="s">
        <v>#N/A Requesting Data...1978097662</v>
        <stp/>
        <stp>BDP|10431128835370270638</stp>
        <tr r="E204" s="2"/>
      </tp>
      <tp t="s">
        <v>#N/A Requesting Data...2303219868</v>
        <stp/>
        <stp>BDP|13362431632889714979</stp>
        <tr r="C1242" s="2"/>
      </tp>
      <tp t="s">
        <v>#N/A Requesting Data...1487095885</v>
        <stp/>
        <stp>BDP|16412440267769183949</stp>
        <tr r="J1391" s="2"/>
      </tp>
      <tp t="s">
        <v>#N/A Requesting Data...1630100586</v>
        <stp/>
        <stp>BDP|11812123119122536747</stp>
        <tr r="S1411" s="2"/>
      </tp>
      <tp t="s">
        <v>#N/A Requesting Data...1438505358</v>
        <stp/>
        <stp>BDP|11151511143116051217</stp>
        <tr r="P2258" s="2"/>
      </tp>
      <tp t="s">
        <v>#N/A Requesting Data...1670355007</v>
        <stp/>
        <stp>BDP|13415262251406457655</stp>
        <tr r="K993" s="2"/>
      </tp>
      <tp t="s">
        <v>#N/A Requesting Data...3777934497</v>
        <stp/>
        <stp>BDP|14387100352844360001</stp>
        <tr r="F1585" s="2"/>
      </tp>
      <tp t="s">
        <v>#N/A Requesting Data...1307927606</v>
        <stp/>
        <stp>BDP|15360905451714749976</stp>
        <tr r="R2216" s="2"/>
      </tp>
      <tp t="s">
        <v>#N/A Requesting Data...2291228242</v>
        <stp/>
        <stp>BDP|11118574640255683129</stp>
        <tr r="F682" s="2"/>
      </tp>
      <tp t="s">
        <v>#N/A Requesting Data...992337367</v>
        <stp/>
        <stp>BDP|10652219666995116522</stp>
        <tr r="G2525" s="2"/>
      </tp>
      <tp t="s">
        <v>#N/A Requesting Data...3657137173</v>
        <stp/>
        <stp>BDP|15813344726060056086</stp>
        <tr r="K1206" s="2"/>
      </tp>
      <tp t="s">
        <v>#N/A Requesting Data...3757065189</v>
        <stp/>
        <stp>BDP|15936020388711663874</stp>
        <tr r="J472" s="2"/>
      </tp>
      <tp t="s">
        <v>#N/A Requesting Data...1713214402</v>
        <stp/>
        <stp>BDP|16063697209727424362</stp>
        <tr r="M2198" s="2"/>
      </tp>
      <tp t="s">
        <v>#N/A Requesting Data...3245362698</v>
        <stp/>
        <stp>BDP|17635715021722561411</stp>
        <tr r="G2347" s="2"/>
      </tp>
      <tp t="s">
        <v>#N/A Requesting Data...2652748992</v>
        <stp/>
        <stp>BDP|11062295432060120487</stp>
        <tr r="S65" s="2"/>
      </tp>
      <tp t="s">
        <v>#N/A Requesting Data...4142331800</v>
        <stp/>
        <stp>BDP|11912435969010494758</stp>
        <tr r="Q1619" s="2"/>
      </tp>
      <tp t="s">
        <v>#N/A Requesting Data...3876955433</v>
        <stp/>
        <stp>BDP|13018114683128736672</stp>
        <tr r="Q1990" s="2"/>
      </tp>
      <tp t="s">
        <v>#N/A Requesting Data...2327877795</v>
        <stp/>
        <stp>BDP|13000451635097738757</stp>
        <tr r="F1706" s="2"/>
      </tp>
      <tp t="s">
        <v>#N/A Requesting Data...3291674763</v>
        <stp/>
        <stp>BDP|15751826287033973291</stp>
        <tr r="P166" s="2"/>
      </tp>
      <tp t="s">
        <v>#N/A Requesting Data...3366169695</v>
        <stp/>
        <stp>BDP|11790152515650402518</stp>
        <tr r="C2208" s="2"/>
      </tp>
      <tp t="s">
        <v>#N/A Requesting Data...3593601595</v>
        <stp/>
        <stp>BDP|10765124893689209560</stp>
        <tr r="O210" s="2"/>
      </tp>
      <tp t="s">
        <v>#N/A Requesting Data...2177607809</v>
        <stp/>
        <stp>BDP|11494555612788162909</stp>
        <tr r="Q2393" s="2"/>
      </tp>
      <tp t="s">
        <v>#N/A Requesting Data...3836786074</v>
        <stp/>
        <stp>BDP|11867054631880791697</stp>
        <tr r="F1787" s="2"/>
      </tp>
      <tp t="s">
        <v>#N/A Requesting Data...2836048694</v>
        <stp/>
        <stp>BDP|17819641372817483584</stp>
        <tr r="K1700" s="2"/>
      </tp>
      <tp t="s">
        <v>#N/A Requesting Data...2685861027</v>
        <stp/>
        <stp>BDP|16638126548060970776</stp>
        <tr r="A87" s="2"/>
      </tp>
      <tp t="s">
        <v>#N/A Requesting Data...3311710196</v>
        <stp/>
        <stp>BDP|10906438900327187797</stp>
        <tr r="O2099" s="2"/>
      </tp>
      <tp t="s">
        <v>#N/A Requesting Data...3402669478</v>
        <stp/>
        <stp>BDP|13551080041003625083</stp>
        <tr r="C1038" s="2"/>
      </tp>
      <tp t="s">
        <v>#N/A Requesting Data...2993655994</v>
        <stp/>
        <stp>BDP|16312759307245083036</stp>
        <tr r="J871" s="2"/>
      </tp>
      <tp t="s">
        <v>#N/A Requesting Data...1478674230</v>
        <stp/>
        <stp>BDP|14249693266977101795</stp>
        <tr r="G2524" s="2"/>
      </tp>
      <tp t="s">
        <v>#N/A Requesting Data...1054510534</v>
        <stp/>
        <stp>BDP|12292406429883782394</stp>
        <tr r="C326" s="2"/>
      </tp>
      <tp t="s">
        <v>#N/A Requesting Data...2968156946</v>
        <stp/>
        <stp>BDP|16195037601651358356</stp>
        <tr r="H2284" s="2"/>
      </tp>
      <tp t="s">
        <v>#N/A Requesting Data...3177967386</v>
        <stp/>
        <stp>BDP|17012946785082045048</stp>
        <tr r="K128" s="2"/>
      </tp>
      <tp t="s">
        <v>#N/A Requesting Data...3866739900</v>
        <stp/>
        <stp>BDP|17833217922957764490</stp>
        <tr r="F1894" s="2"/>
      </tp>
      <tp t="s">
        <v>#N/A Requesting Data...3370497231</v>
        <stp/>
        <stp>BDP|15149877105808263147</stp>
        <tr r="Q1847" s="2"/>
      </tp>
      <tp t="s">
        <v>#N/A Requesting Data...1252310043</v>
        <stp/>
        <stp>BDP|10467695747255895372</stp>
        <tr r="F2521" s="2"/>
      </tp>
      <tp t="s">
        <v>#N/A Requesting Data...3692928979</v>
        <stp/>
        <stp>BDP|11737424466871319657</stp>
        <tr r="E798" s="2"/>
      </tp>
      <tp t="s">
        <v>#N/A Requesting Data...3915039214</v>
        <stp/>
        <stp>BDP|16836528948040024370</stp>
        <tr r="T2029" s="2"/>
      </tp>
      <tp t="s">
        <v>#N/A Requesting Data...3308539549</v>
        <stp/>
        <stp>BDP|13567153901336798036</stp>
        <tr r="P1561" s="2"/>
      </tp>
      <tp t="s">
        <v>#N/A Requesting Data...3892158198</v>
        <stp/>
        <stp>BDP|11090873808289967437</stp>
        <tr r="S1825" s="2"/>
      </tp>
      <tp t="s">
        <v>#N/A Requesting Data...3214818281</v>
        <stp/>
        <stp>BDP|16067437702362220469</stp>
        <tr r="N244" s="2"/>
      </tp>
      <tp t="s">
        <v>#N/A Requesting Data...1500466161</v>
        <stp/>
        <stp>BDP|15985648270831915110</stp>
        <tr r="D1224" s="2"/>
      </tp>
      <tp t="s">
        <v>#N/A Requesting Data...2693278392</v>
        <stp/>
        <stp>BDP|17442382308829673970</stp>
        <tr r="D1021" s="2"/>
      </tp>
      <tp t="s">
        <v>#N/A Requesting Data...3676037096</v>
        <stp/>
        <stp>BDP|16498919205573052858</stp>
        <tr r="R341" s="2"/>
      </tp>
      <tp t="s">
        <v>#N/A Requesting Data...1443108735</v>
        <stp/>
        <stp>BDP|18281669457937008860</stp>
        <tr r="R758" s="2"/>
      </tp>
      <tp t="s">
        <v>#N/A Requesting Data...1254428431</v>
        <stp/>
        <stp>BDP|11630139907276427232</stp>
        <tr r="C227" s="2"/>
      </tp>
      <tp t="s">
        <v>#N/A Requesting Data...3067728685</v>
        <stp/>
        <stp>BDP|10481186717745859164</stp>
        <tr r="D237" s="2"/>
      </tp>
      <tp t="s">
        <v>#N/A Requesting Data...1332024148</v>
        <stp/>
        <stp>BDP|13811928009639328755</stp>
        <tr r="O1706" s="2"/>
      </tp>
      <tp t="s">
        <v>#N/A Requesting Data...3483032383</v>
        <stp/>
        <stp>BDP|12124262027153384561</stp>
        <tr r="E68" s="2"/>
      </tp>
      <tp t="s">
        <v>#N/A Requesting Data...2395399513</v>
        <stp/>
        <stp>BDP|13853580449830901655</stp>
        <tr r="K2220" s="2"/>
      </tp>
      <tp t="s">
        <v>#N/A Requesting Data...1810337774</v>
        <stp/>
        <stp>BDP|10334522013153695311</stp>
        <tr r="K792" s="2"/>
      </tp>
      <tp t="b">
        <v>0</v>
        <stp/>
        <stp>BDS|15319477240896245702</stp>
        <tr r="I446" s="2"/>
      </tp>
      <tp t="s">
        <v>#N/A Requesting Data...3264022389</v>
        <stp/>
        <stp>BDP|15125739521075145177</stp>
        <tr r="O1331" s="2"/>
      </tp>
      <tp t="s">
        <v>#N/A Requesting Data...2170027654</v>
        <stp/>
        <stp>BDP|17790318773395952298</stp>
        <tr r="T2246" s="2"/>
      </tp>
      <tp t="s">
        <v>#N/A Requesting Data...2667231823</v>
        <stp/>
        <stp>BDP|14700379312205236757</stp>
        <tr r="C2336" s="2"/>
      </tp>
      <tp t="s">
        <v>#N/A Requesting Data...3754319811</v>
        <stp/>
        <stp>BDP|17956442339271886592</stp>
        <tr r="O2480" s="2"/>
      </tp>
      <tp t="s">
        <v>#N/A Requesting Data...2450899828</v>
        <stp/>
        <stp>BDP|12723371453826764612</stp>
        <tr r="N984" s="2"/>
      </tp>
      <tp t="s">
        <v>#N/A Requesting Data...3141085277</v>
        <stp/>
        <stp>BDP|15497934786914530418</stp>
        <tr r="H2504" s="2"/>
      </tp>
      <tp t="s">
        <v>#N/A Requesting Data...1835414759</v>
        <stp/>
        <stp>BDP|17557523866194587410</stp>
        <tr r="C497" s="2"/>
      </tp>
      <tp t="b">
        <v>0</v>
        <stp/>
        <stp>BDS|13719342353114194575</stp>
        <tr r="I2097" s="2"/>
      </tp>
      <tp t="s">
        <v>#N/A Requesting Data...3808239065</v>
        <stp/>
        <stp>BDP|16401017291698590346</stp>
        <tr r="K336" s="2"/>
      </tp>
      <tp t="s">
        <v>#N/A Requesting Data...3512828249</v>
        <stp/>
        <stp>BDP|10594432542556943284</stp>
        <tr r="Q1333" s="2"/>
      </tp>
      <tp t="s">
        <v>#N/A Requesting Data...1256870634</v>
        <stp/>
        <stp>BDP|15925013266177987026</stp>
        <tr r="M1493" s="2"/>
      </tp>
      <tp t="b">
        <v>0</v>
        <stp/>
        <stp>BDS|10130208751667727411</stp>
        <tr r="I1770" s="2"/>
      </tp>
      <tp t="s">
        <v>#N/A Requesting Data...1564606726</v>
        <stp/>
        <stp>BDP|17430000523100164139</stp>
        <tr r="O1457" s="2"/>
      </tp>
      <tp t="s">
        <v>#N/A Requesting Data...3339670054</v>
        <stp/>
        <stp>BDP|17974329961037922160</stp>
        <tr r="P2089" s="2"/>
      </tp>
      <tp t="s">
        <v>#N/A Requesting Data...3027759542</v>
        <stp/>
        <stp>BDP|12902144158781363339</stp>
        <tr r="F1082" s="2"/>
      </tp>
      <tp t="b">
        <v>0</v>
        <stp/>
        <stp>BDS|15693045053302624611</stp>
        <tr r="I428" s="2"/>
      </tp>
      <tp t="s">
        <v>#N/A Requesting Data...3667479388</v>
        <stp/>
        <stp>BDP|15707115212930166106</stp>
        <tr r="M1920" s="2"/>
      </tp>
      <tp t="s">
        <v>#N/A Requesting Data...3507287631</v>
        <stp/>
        <stp>BDP|17768643430180679600</stp>
        <tr r="R737" s="2"/>
      </tp>
      <tp t="s">
        <v>#N/A Requesting Data...1855711638</v>
        <stp/>
        <stp>BDP|15117730905942392412</stp>
        <tr r="P1616" s="2"/>
      </tp>
      <tp t="s">
        <v>#N/A Requesting Data...4169407531</v>
        <stp/>
        <stp>BDP|15921158361217189193</stp>
        <tr r="P2224" s="2"/>
      </tp>
      <tp t="s">
        <v>#N/A Requesting Data...1249699917</v>
        <stp/>
        <stp>BDP|17771243793441307963</stp>
        <tr r="D866" s="2"/>
      </tp>
      <tp t="s">
        <v>#N/A Requesting Data...1684761655</v>
        <stp/>
        <stp>BDP|16038930701083133863</stp>
        <tr r="H1817" s="2"/>
      </tp>
      <tp t="s">
        <v>#N/A Requesting Data...4018046877</v>
        <stp/>
        <stp>BDP|10502021727426100046</stp>
        <tr r="R2450" s="2"/>
      </tp>
      <tp t="s">
        <v>#N/A Requesting Data...4063865244</v>
        <stp/>
        <stp>BDP|15820254158936442048</stp>
        <tr r="R2081" s="2"/>
      </tp>
      <tp t="s">
        <v>#N/A Requesting Data...4213881889</v>
        <stp/>
        <stp>BDP|11314112038047643094</stp>
        <tr r="R1304" s="2"/>
      </tp>
      <tp t="s">
        <v>#N/A Requesting Data...2147235403</v>
        <stp/>
        <stp>BDP|14283557935713624518</stp>
        <tr r="E785" s="2"/>
      </tp>
      <tp t="s">
        <v>#N/A Requesting Data...1345207463</v>
        <stp/>
        <stp>BDP|11537717030191165001</stp>
        <tr r="S2290" s="2"/>
      </tp>
      <tp t="s">
        <v>#N/A Requesting Data...1677680106</v>
        <stp/>
        <stp>BDP|13146681202489617882</stp>
        <tr r="O1099" s="2"/>
      </tp>
      <tp t="s">
        <v>#N/A Requesting Data...3729051355</v>
        <stp/>
        <stp>BDP|13660165474187578647</stp>
        <tr r="C1143" s="2"/>
      </tp>
      <tp t="s">
        <v>#N/A Requesting Data...4246416058</v>
        <stp/>
        <stp>BDP|10780632422852436273</stp>
        <tr r="J470" s="2"/>
      </tp>
      <tp t="s">
        <v>#N/A Requesting Data...1475620971</v>
        <stp/>
        <stp>BDP|11703639611824917692</stp>
        <tr r="P1951" s="2"/>
      </tp>
      <tp t="s">
        <v>#N/A Requesting Data...3305744344</v>
        <stp/>
        <stp>BDP|15084482485729972418</stp>
        <tr r="E28" s="2"/>
      </tp>
      <tp t="s">
        <v>#N/A Requesting Data...3492554317</v>
        <stp/>
        <stp>BDP|14149572373110566250</stp>
        <tr r="M851" s="2"/>
      </tp>
      <tp t="s">
        <v>#N/A Requesting Data...3531336886</v>
        <stp/>
        <stp>BDP|17936316869430513611</stp>
        <tr r="S2216" s="2"/>
      </tp>
      <tp t="s">
        <v>#N/A Requesting Data...3723638733</v>
        <stp/>
        <stp>BDP|14128485211063805656</stp>
        <tr r="O1380" s="2"/>
      </tp>
      <tp t="s">
        <v>#N/A Requesting Data...4022431997</v>
        <stp/>
        <stp>BDP|12627144458352651091</stp>
        <tr r="D2326" s="2"/>
      </tp>
      <tp t="s">
        <v>#N/A Requesting Data...4029205270</v>
        <stp/>
        <stp>BDP|11827173856120992159</stp>
        <tr r="P1074" s="2"/>
      </tp>
      <tp t="s">
        <v>#N/A Requesting Data...4287655591</v>
        <stp/>
        <stp>BDP|16668015792003910892</stp>
        <tr r="Q747" s="2"/>
      </tp>
      <tp t="s">
        <v>#N/A Requesting Data...1663428657</v>
        <stp/>
        <stp>BDP|16018355664936785135</stp>
        <tr r="E1564" s="2"/>
      </tp>
      <tp t="s">
        <v>#N/A Requesting Data...2022957919</v>
        <stp/>
        <stp>BDP|12781437639688905919</stp>
        <tr r="S372" s="2"/>
      </tp>
      <tp t="s">
        <v>#N/A Requesting Data...1999029275</v>
        <stp/>
        <stp>BDP|10315716190572114863</stp>
        <tr r="G2498" s="2"/>
      </tp>
      <tp t="s">
        <v>#N/A Requesting Data...1198215577</v>
        <stp/>
        <stp>BDP|16267256172666120114</stp>
        <tr r="O2056" s="2"/>
      </tp>
      <tp t="s">
        <v>#N/A Requesting Data...3912637546</v>
        <stp/>
        <stp>BDP|11910613824797902605</stp>
        <tr r="D997" s="2"/>
      </tp>
      <tp t="s">
        <v>#N/A Requesting Data...3272926398</v>
        <stp/>
        <stp>BDP|16300646769492352080</stp>
        <tr r="Q109" s="2"/>
      </tp>
      <tp t="s">
        <v>#N/A Requesting Data...2796200417</v>
        <stp/>
        <stp>BDP|11936748808543694160</stp>
        <tr r="D1609" s="2"/>
      </tp>
      <tp t="s">
        <v>#N/A Requesting Data...4069813693</v>
        <stp/>
        <stp>BDP|13519000303182108527</stp>
        <tr r="K1017" s="2"/>
      </tp>
      <tp t="s">
        <v>#N/A Requesting Data...1485394416</v>
        <stp/>
        <stp>BDP|11788047817032083610</stp>
        <tr r="T435" s="2"/>
      </tp>
      <tp t="s">
        <v>#N/A Requesting Data...3383378208</v>
        <stp/>
        <stp>BDP|13555701701377745764</stp>
        <tr r="G508" s="2"/>
      </tp>
      <tp t="s">
        <v>#N/A Requesting Data...3259938642</v>
        <stp/>
        <stp>BDP|13841798007401798147</stp>
        <tr r="F877" s="2"/>
      </tp>
      <tp t="s">
        <v>#N/A Requesting Data...2729155010</v>
        <stp/>
        <stp>BDP|17957757338593464457</stp>
        <tr r="E1405" s="2"/>
      </tp>
      <tp t="s">
        <v>#N/A Requesting Data...1496779439</v>
        <stp/>
        <stp>BDP|15820287212380761206</stp>
        <tr r="R1181" s="2"/>
      </tp>
      <tp t="s">
        <v>#N/A Requesting Data...2693751501</v>
        <stp/>
        <stp>BDP|14149546650681602162</stp>
        <tr r="N543" s="2"/>
      </tp>
      <tp t="b">
        <v>0</v>
        <stp/>
        <stp>BDS|17600316411202611363</stp>
        <tr r="I1310" s="2"/>
      </tp>
      <tp t="s">
        <v>#N/A Requesting Data...2150661646</v>
        <stp/>
        <stp>BDP|10810583027245742652</stp>
        <tr r="K1442" s="2"/>
      </tp>
      <tp t="s">
        <v>#N/A Requesting Data...2611470883</v>
        <stp/>
        <stp>BDP|12548553758083556584</stp>
        <tr r="H595" s="2"/>
      </tp>
      <tp t="s">
        <v>#N/A Requesting Data...2726401866</v>
        <stp/>
        <stp>BDP|16381759475317775513</stp>
        <tr r="K2104" s="2"/>
      </tp>
      <tp t="s">
        <v>#N/A Requesting Data...1947708083</v>
        <stp/>
        <stp>BDP|16296579284317137856</stp>
        <tr r="J424" s="2"/>
      </tp>
      <tp t="s">
        <v>#N/A Requesting Data...2494877127</v>
        <stp/>
        <stp>BDP|14051024833766333570</stp>
        <tr r="S326" s="2"/>
      </tp>
      <tp t="s">
        <v>#N/A Requesting Data...1578594068</v>
        <stp/>
        <stp>BDP|10114134367581577252</stp>
        <tr r="Q1198" s="2"/>
      </tp>
      <tp t="b">
        <v>0</v>
        <stp/>
        <stp>BDS|15003700873864357568</stp>
        <tr r="I725" s="2"/>
      </tp>
      <tp t="s">
        <v>#N/A Requesting Data...3835305545</v>
        <stp/>
        <stp>BDP|14331280369047445332</stp>
        <tr r="O1321" s="2"/>
      </tp>
      <tp t="s">
        <v>#N/A Requesting Data...2402300257</v>
        <stp/>
        <stp>BDP|14788325351944671277</stp>
        <tr r="M2381" s="2"/>
      </tp>
      <tp t="s">
        <v>#N/A Requesting Data...2108793540</v>
        <stp/>
        <stp>BDP|15242909490616099776</stp>
        <tr r="A1631" s="2"/>
      </tp>
      <tp t="s">
        <v>#N/A Requesting Data...3600279070</v>
        <stp/>
        <stp>BDP|13384375579626898506</stp>
        <tr r="N228" s="2"/>
      </tp>
      <tp t="s">
        <v>#N/A Requesting Data...2792767317</v>
        <stp/>
        <stp>BDP|14205013306055341533</stp>
        <tr r="M287" s="2"/>
      </tp>
      <tp t="s">
        <v>#N/A Requesting Data...3671404223</v>
        <stp/>
        <stp>BDP|13188672156676750232</stp>
        <tr r="S1695" s="2"/>
      </tp>
      <tp t="s">
        <v>#N/A Requesting Data...3732432053</v>
        <stp/>
        <stp>BDP|16206364882118086126</stp>
        <tr r="P1865" s="2"/>
      </tp>
      <tp t="s">
        <v>#N/A Requesting Data...1239044698</v>
        <stp/>
        <stp>BDP|18303588285288880929</stp>
        <tr r="R1275" s="2"/>
      </tp>
      <tp t="s">
        <v>#N/A Requesting Data...1612087669</v>
        <stp/>
        <stp>BDP|13960289411821143558</stp>
        <tr r="K440" s="2"/>
      </tp>
      <tp t="s">
        <v>#N/A Requesting Data...2615325934</v>
        <stp/>
        <stp>BDP|17316223532665161769</stp>
        <tr r="M618" s="2"/>
      </tp>
      <tp t="s">
        <v>#N/A Requesting Data...3845545040</v>
        <stp/>
        <stp>BDP|12632581433633895316</stp>
        <tr r="R795" s="2"/>
      </tp>
      <tp t="s">
        <v>#N/A Requesting Data...2546550860</v>
        <stp/>
        <stp>BDP|16512079536505577451</stp>
        <tr r="S692" s="2"/>
      </tp>
      <tp t="s">
        <v>#N/A Requesting Data...3131248908</v>
        <stp/>
        <stp>BDP|13429704665743685533</stp>
        <tr r="S1358" s="2"/>
      </tp>
      <tp t="s">
        <v>#N/A Requesting Data...1977028605</v>
        <stp/>
        <stp>BDP|15677176688800506883</stp>
        <tr r="S1024" s="2"/>
      </tp>
      <tp t="s">
        <v>#N/A Requesting Data...4209917886</v>
        <stp/>
        <stp>BDP|13221072325902612722</stp>
        <tr r="H2343" s="2"/>
      </tp>
      <tp t="s">
        <v>#N/A Requesting Data...2267872462</v>
        <stp/>
        <stp>BDP|10695892785296917271</stp>
        <tr r="H639" s="2"/>
      </tp>
      <tp t="s">
        <v>#N/A Requesting Data...3955233698</v>
        <stp/>
        <stp>BDP|13755650825902663153</stp>
        <tr r="N2110" s="2"/>
      </tp>
      <tp t="s">
        <v>#N/A Requesting Data...4018299387</v>
        <stp/>
        <stp>BDP|10084210571385513413</stp>
        <tr r="T1117" s="2"/>
      </tp>
      <tp t="s">
        <v>#N/A Requesting Data...4257919730</v>
        <stp/>
        <stp>BDP|14352687919482391556</stp>
        <tr r="N1264" s="2"/>
      </tp>
      <tp t="b">
        <v>0</v>
        <stp/>
        <stp>BDS|17274638034027074121</stp>
        <tr r="I935" s="2"/>
      </tp>
      <tp t="s">
        <v>#N/A Requesting Data...2379390490</v>
        <stp/>
        <stp>BDP|14201609872700426104</stp>
        <tr r="O1297" s="2"/>
      </tp>
      <tp t="s">
        <v>#N/A Requesting Data...2960698914</v>
        <stp/>
        <stp>BDP|12515154494878308635</stp>
        <tr r="M1150" s="2"/>
      </tp>
      <tp t="s">
        <v>#N/A Requesting Data...2993310541</v>
        <stp/>
        <stp>BDP|16674356903760071149</stp>
        <tr r="H1697" s="2"/>
      </tp>
      <tp t="s">
        <v>#N/A Requesting Data...2051553514</v>
        <stp/>
        <stp>BDP|18386257125095014976</stp>
        <tr r="R2179" s="2"/>
      </tp>
      <tp t="s">
        <v>#N/A Requesting Data...4242523094</v>
        <stp/>
        <stp>BDP|13960680918631519189</stp>
        <tr r="S1218" s="2"/>
      </tp>
      <tp t="s">
        <v>#N/A Requesting Data...3093022989</v>
        <stp/>
        <stp>BDP|18417303680745188212</stp>
        <tr r="H664" s="2"/>
      </tp>
      <tp t="s">
        <v>#N/A Requesting Data...3422179908</v>
        <stp/>
        <stp>BDP|12643155191547529939</stp>
        <tr r="Q743" s="2"/>
      </tp>
      <tp t="s">
        <v>#N/A Requesting Data...2681336763</v>
        <stp/>
        <stp>BDP|17778535697079050678</stp>
        <tr r="G257" s="2"/>
      </tp>
      <tp t="s">
        <v>#N/A Requesting Data...1578883225</v>
        <stp/>
        <stp>BDP|17484107073672059733</stp>
        <tr r="E192" s="2"/>
      </tp>
      <tp t="s">
        <v>#N/A Requesting Data...2748362389</v>
        <stp/>
        <stp>BDP|17600229620333334036</stp>
        <tr r="J499" s="2"/>
      </tp>
      <tp t="s">
        <v>#N/A Requesting Data...2538209799</v>
        <stp/>
        <stp>BDP|15234165064945050345</stp>
        <tr r="K2039" s="2"/>
      </tp>
      <tp t="s">
        <v>#N/A Requesting Data...3545086268</v>
        <stp/>
        <stp>BDP|16674526567323091274</stp>
        <tr r="J180" s="2"/>
      </tp>
      <tp t="s">
        <v>#N/A Requesting Data...2494889297</v>
        <stp/>
        <stp>BDP|14210169515197561701</stp>
        <tr r="T51" s="2"/>
      </tp>
      <tp t="s">
        <v>#N/A Requesting Data...3202215789</v>
        <stp/>
        <stp>BDP|14109536262963632022</stp>
        <tr r="P883" s="2"/>
      </tp>
      <tp t="s">
        <v>#N/A Requesting Data...3371879423</v>
        <stp/>
        <stp>BDP|10441270141314289641</stp>
        <tr r="K254" s="2"/>
      </tp>
      <tp t="s">
        <v>#N/A Requesting Data...3825728151</v>
        <stp/>
        <stp>BDP|11758724971191380436</stp>
        <tr r="E741" s="2"/>
      </tp>
      <tp t="s">
        <v>#N/A Requesting Data...1601473154</v>
        <stp/>
        <stp>BDP|10779767057574625249</stp>
        <tr r="F1630" s="2"/>
      </tp>
      <tp t="s">
        <v>#N/A Requesting Data...2536699385</v>
        <stp/>
        <stp>BDP|13098871155188334254</stp>
        <tr r="H1820" s="2"/>
      </tp>
      <tp t="s">
        <v>#N/A Requesting Data...1305685172</v>
        <stp/>
        <stp>BDP|12983657485908583080</stp>
        <tr r="S2500" s="2"/>
      </tp>
      <tp t="s">
        <v>#N/A Requesting Data...1884282166</v>
        <stp/>
        <stp>BDP|17286005327373776267</stp>
        <tr r="P2037" s="2"/>
      </tp>
      <tp t="s">
        <v>#N/A Requesting Data...3187738539</v>
        <stp/>
        <stp>BDP|12193525527570227125</stp>
        <tr r="O719" s="2"/>
      </tp>
      <tp t="s">
        <v>#N/A Requesting Data...4124460284</v>
        <stp/>
        <stp>BDP|14300623657520484360</stp>
        <tr r="M546" s="2"/>
      </tp>
      <tp t="s">
        <v>#N/A Requesting Data...1712916829</v>
        <stp/>
        <stp>BDP|16524449943261069361</stp>
        <tr r="Q881" s="2"/>
      </tp>
      <tp t="s">
        <v>#N/A Requesting Data...3686517568</v>
        <stp/>
        <stp>BDP|12266728940170505512</stp>
        <tr r="T2484" s="2"/>
      </tp>
      <tp t="s">
        <v>#N/A Requesting Data...3313444505</v>
        <stp/>
        <stp>BDP|18403948927357671051</stp>
        <tr r="T1878" s="2"/>
      </tp>
      <tp t="s">
        <v>#N/A Requesting Data...4213678297</v>
        <stp/>
        <stp>BDP|13084993842229757381</stp>
        <tr r="N2320" s="2"/>
      </tp>
      <tp t="s">
        <v>#N/A Requesting Data...3375980304</v>
        <stp/>
        <stp>BDP|12792919481331680656</stp>
        <tr r="K1742" s="2"/>
      </tp>
      <tp t="s">
        <v>#N/A Requesting Data...1763452090</v>
        <stp/>
        <stp>BDP|13248504435814518564</stp>
        <tr r="T700" s="2"/>
      </tp>
      <tp t="s">
        <v>#N/A Requesting Data...2206084629</v>
        <stp/>
        <stp>BDP|10374220430507797226</stp>
        <tr r="K548" s="2"/>
      </tp>
      <tp t="s">
        <v>#N/A Requesting Data...1638824927</v>
        <stp/>
        <stp>BDP|15323602603137090045</stp>
        <tr r="M782" s="2"/>
      </tp>
      <tp t="s">
        <v>#N/A Requesting Data...2265028660</v>
        <stp/>
        <stp>BDP|17195819325439703069</stp>
        <tr r="M1940" s="2"/>
      </tp>
      <tp t="s">
        <v>#N/A Requesting Data...2765893806</v>
        <stp/>
        <stp>BDP|10092669126159257969</stp>
        <tr r="F1373" s="2"/>
      </tp>
      <tp t="s">
        <v>#N/A Requesting Data...3276043165</v>
        <stp/>
        <stp>BDP|11223689539060200056</stp>
        <tr r="P894" s="2"/>
      </tp>
      <tp t="s">
        <v>#N/A Requesting Data...3559645947</v>
        <stp/>
        <stp>BDP|15664649334194472065</stp>
        <tr r="M1508" s="2"/>
      </tp>
      <tp t="s">
        <v>#N/A Requesting Data...3360654610</v>
        <stp/>
        <stp>BDP|14211338857650434660</stp>
        <tr r="G747" s="2"/>
      </tp>
      <tp t="b">
        <v>0</v>
        <stp/>
        <stp>BDS|13396552821980863088</stp>
        <tr r="I2287" s="2"/>
      </tp>
      <tp t="s">
        <v>#N/A Requesting Data...3564738530</v>
        <stp/>
        <stp>BDP|15099401852054007464</stp>
        <tr r="O1852" s="2"/>
      </tp>
      <tp t="s">
        <v>#N/A Requesting Data...4155582714</v>
        <stp/>
        <stp>BDP|11727360863789405929</stp>
        <tr r="Q1940" s="2"/>
      </tp>
      <tp t="s">
        <v>#N/A Requesting Data...2223523641</v>
        <stp/>
        <stp>BDP|12176104525790544553</stp>
        <tr r="P1888" s="2"/>
      </tp>
      <tp t="b">
        <v>0</v>
        <stp/>
        <stp>BDS|11521556977004866381</stp>
        <tr r="I1804" s="2"/>
      </tp>
      <tp t="s">
        <v>#N/A Requesting Data...1426890071</v>
        <stp/>
        <stp>BDP|17813604490385564993</stp>
        <tr r="C2505" s="2"/>
      </tp>
      <tp t="s">
        <v>#N/A Requesting Data...2815621375</v>
        <stp/>
        <stp>BDP|11339851474253112973</stp>
        <tr r="R2132" s="2"/>
      </tp>
      <tp t="b">
        <v>0</v>
        <stp/>
        <stp>BDS|16025103912590141242</stp>
        <tr r="I1829" s="2"/>
      </tp>
      <tp t="s">
        <v>#N/A Requesting Data...4050031108</v>
        <stp/>
        <stp>BDP|17033405520490158555</stp>
        <tr r="K186" s="2"/>
      </tp>
      <tp t="b">
        <v>0</v>
        <stp/>
        <stp>BDS|10374410666024001235</stp>
        <tr r="I1629" s="2"/>
      </tp>
      <tp t="s">
        <v>#N/A Requesting Data...2026155831</v>
        <stp/>
        <stp>BDP|14687250041527548138</stp>
        <tr r="C432" s="2"/>
      </tp>
      <tp t="s">
        <v>#N/A Requesting Data...3793455699</v>
        <stp/>
        <stp>BDP|17606131201526929497</stp>
        <tr r="D1152" s="2"/>
      </tp>
      <tp t="s">
        <v>#N/A Requesting Data...2757240512</v>
        <stp/>
        <stp>BDP|13354166872534234514</stp>
        <tr r="J1042" s="2"/>
      </tp>
      <tp t="s">
        <v>#N/A Requesting Data...3544406547</v>
        <stp/>
        <stp>BDP|13071632116072540240</stp>
        <tr r="C2174" s="2"/>
      </tp>
      <tp t="s">
        <v>#N/A Requesting Data...2896367278</v>
        <stp/>
        <stp>BDP|13866194708513456593</stp>
        <tr r="M1060" s="2"/>
      </tp>
      <tp t="s">
        <v>#N/A Requesting Data...3602655672</v>
        <stp/>
        <stp>BDP|11713467074044924285</stp>
        <tr r="N72" s="2"/>
      </tp>
      <tp t="s">
        <v>#N/A Requesting Data...2241122918</v>
        <stp/>
        <stp>BDP|10713623179544054183</stp>
        <tr r="C54" s="2"/>
      </tp>
      <tp t="s">
        <v>#N/A Requesting Data...3390604162</v>
        <stp/>
        <stp>BDP|15237593934642348583</stp>
        <tr r="O561" s="2"/>
      </tp>
      <tp t="s">
        <v>#N/A Requesting Data...1392947623</v>
        <stp/>
        <stp>BDP|10577729804576484533</stp>
        <tr r="M843" s="2"/>
      </tp>
      <tp t="s">
        <v>#N/A Requesting Data...1826058282</v>
        <stp/>
        <stp>BDP|15510185534283462090</stp>
        <tr r="M2298" s="2"/>
      </tp>
      <tp t="s">
        <v>#N/A Requesting Data...2111897667</v>
        <stp/>
        <stp>BDP|14533520481909729458</stp>
        <tr r="O68" s="2"/>
      </tp>
      <tp t="s">
        <v>#N/A Requesting Data...2424808941</v>
        <stp/>
        <stp>BDP|13595014045566505508</stp>
        <tr r="M1237" s="2"/>
      </tp>
      <tp t="s">
        <v>#N/A Requesting Data...4223880985</v>
        <stp/>
        <stp>BDP|18430753529751416886</stp>
        <tr r="J2344" s="2"/>
      </tp>
      <tp t="s">
        <v>#N/A Requesting Data...2803835613</v>
        <stp/>
        <stp>BDP|10596070973100262379</stp>
        <tr r="F85" s="2"/>
      </tp>
      <tp t="s">
        <v>#N/A Requesting Data...3579784281</v>
        <stp/>
        <stp>BDP|14669740278570669082</stp>
        <tr r="Q1473" s="2"/>
      </tp>
      <tp t="s">
        <v>#N/A Requesting Data...2184912900</v>
        <stp/>
        <stp>BDP|13942486278540500480</stp>
        <tr r="H354" s="2"/>
      </tp>
      <tp t="s">
        <v>#N/A Requesting Data...2166250433</v>
        <stp/>
        <stp>BDP|10436083064204931656</stp>
        <tr r="N1678" s="2"/>
      </tp>
      <tp t="s">
        <v>#N/A Requesting Data...2909274661</v>
        <stp/>
        <stp>BDP|10771502923091117213</stp>
        <tr r="D274" s="2"/>
      </tp>
      <tp t="s">
        <v>#N/A Requesting Data...2483376780</v>
        <stp/>
        <stp>BDP|14463764764660742157</stp>
        <tr r="A1269" s="2"/>
      </tp>
      <tp t="s">
        <v>#N/A Requesting Data...1921120442</v>
        <stp/>
        <stp>BDP|14121075073880294730</stp>
        <tr r="F1997" s="2"/>
      </tp>
      <tp t="b">
        <v>0</v>
        <stp/>
        <stp>BDS|11970867288793286629</stp>
        <tr r="I1674" s="2"/>
      </tp>
      <tp t="s">
        <v>#N/A Requesting Data...1469692322</v>
        <stp/>
        <stp>BDP|15249434203585019062</stp>
        <tr r="P2098" s="2"/>
      </tp>
      <tp t="s">
        <v>#N/A Requesting Data...3222760894</v>
        <stp/>
        <stp>BDP|17472036034905387546</stp>
        <tr r="T1047" s="2"/>
      </tp>
      <tp t="b">
        <v>0</v>
        <stp/>
        <stp>BDS|16180969455429123741</stp>
        <tr r="I2204" s="2"/>
      </tp>
      <tp t="s">
        <v>#N/A Requesting Data...4209706312</v>
        <stp/>
        <stp>BDP|16092008570746415301</stp>
        <tr r="R2148" s="2"/>
      </tp>
      <tp t="s">
        <v>#N/A Requesting Data...1618813392</v>
        <stp/>
        <stp>BDP|18315965522507606057</stp>
        <tr r="Q1141" s="2"/>
      </tp>
      <tp t="s">
        <v>#N/A Requesting Data...3379327774</v>
        <stp/>
        <stp>BDP|13126777346374392079</stp>
        <tr r="H2380" s="2"/>
      </tp>
      <tp t="s">
        <v>#N/A Requesting Data...1642504349</v>
        <stp/>
        <stp>BDP|14735077775922822599</stp>
        <tr r="C1712" s="2"/>
      </tp>
      <tp t="s">
        <v>#N/A Requesting Data...2043721308</v>
        <stp/>
        <stp>BDP|10980497592091493823</stp>
        <tr r="J75" s="2"/>
      </tp>
      <tp t="s">
        <v>#N/A Requesting Data...1617355611</v>
        <stp/>
        <stp>BDP|15278897591560844064</stp>
        <tr r="Q83" s="2"/>
      </tp>
      <tp t="s">
        <v>#N/A Requesting Data...3219679185</v>
        <stp/>
        <stp>BDP|16841623736336075186</stp>
        <tr r="G2446" s="2"/>
      </tp>
      <tp t="s">
        <v>#N/A Requesting Data...3589054447</v>
        <stp/>
        <stp>BDP|15517925588296928621</stp>
        <tr r="G1098" s="2"/>
      </tp>
      <tp t="s">
        <v>#N/A Requesting Data...1918934062</v>
        <stp/>
        <stp>BDP|13926187024727249332</stp>
        <tr r="M1684" s="2"/>
      </tp>
      <tp t="s">
        <v>#N/A Requesting Data...2306674918</v>
        <stp/>
        <stp>BDP|12417758903505291441</stp>
        <tr r="J2395" s="2"/>
      </tp>
      <tp t="s">
        <v>#N/A Requesting Data...2495588628</v>
        <stp/>
        <stp>BDP|13369670155570010456</stp>
        <tr r="H1716" s="2"/>
      </tp>
      <tp t="s">
        <v>#N/A Requesting Data...3254435432</v>
        <stp/>
        <stp>BDP|15741607363797514651</stp>
        <tr r="A865" s="2"/>
      </tp>
      <tp t="s">
        <v>#N/A Requesting Data...3303417897</v>
        <stp/>
        <stp>BDP|11532031874707632502</stp>
        <tr r="Q2163" s="2"/>
      </tp>
      <tp t="s">
        <v>#N/A Requesting Data...2921058633</v>
        <stp/>
        <stp>BDP|15650546507335733167</stp>
        <tr r="T1471" s="2"/>
      </tp>
      <tp t="s">
        <v>#N/A Requesting Data...3062643344</v>
        <stp/>
        <stp>BDP|15166350630700124117</stp>
        <tr r="D1269" s="2"/>
      </tp>
      <tp t="s">
        <v>#N/A Requesting Data...2632940453</v>
        <stp/>
        <stp>BDP|16580414229837107380</stp>
        <tr r="D1323" s="2"/>
      </tp>
      <tp t="s">
        <v>#N/A Requesting Data...1955858610</v>
        <stp/>
        <stp>BDP|18193842237722105578</stp>
        <tr r="A1041" s="2"/>
      </tp>
      <tp t="s">
        <v>#N/A Requesting Data...4098832926</v>
        <stp/>
        <stp>BDP|11408557920021703323</stp>
        <tr r="M1257" s="2"/>
      </tp>
      <tp t="s">
        <v>#N/A Requesting Data...3906831696</v>
        <stp/>
        <stp>BDP|14046537720653298467</stp>
        <tr r="E987" s="2"/>
      </tp>
      <tp t="s">
        <v>#N/A Requesting Data...3973732108</v>
        <stp/>
        <stp>BDP|10566809992684338131</stp>
        <tr r="D1192" s="2"/>
      </tp>
      <tp t="s">
        <v>#N/A Requesting Data...3218823584</v>
        <stp/>
        <stp>BDP|11485206165137272643</stp>
        <tr r="O1006" s="2"/>
      </tp>
      <tp t="s">
        <v>#N/A Requesting Data...4033567584</v>
        <stp/>
        <stp>BDP|14493676789448823652</stp>
        <tr r="G1237" s="2"/>
      </tp>
      <tp t="b">
        <v>0</v>
        <stp/>
        <stp>BDS|17189111654945092203</stp>
        <tr r="I599" s="2"/>
      </tp>
      <tp t="b">
        <v>0</v>
        <stp/>
        <stp>BDS|18258548796728047844</stp>
        <tr r="I570" s="2"/>
      </tp>
      <tp t="s">
        <v>#N/A Requesting Data...3445933501</v>
        <stp/>
        <stp>BDP|15531526054378642928</stp>
        <tr r="A1961" s="2"/>
      </tp>
      <tp t="s">
        <v>#N/A Requesting Data...1830449443</v>
        <stp/>
        <stp>BDP|14012973297116717608</stp>
        <tr r="F1704" s="2"/>
      </tp>
      <tp t="s">
        <v>#N/A Requesting Data...1603188727</v>
        <stp/>
        <stp>BDP|10660750412714386653</stp>
        <tr r="C49" s="2"/>
      </tp>
      <tp t="s">
        <v>#N/A Requesting Data...1789357754</v>
        <stp/>
        <stp>BDP|16596558343406259569</stp>
        <tr r="S2208" s="2"/>
      </tp>
      <tp t="s">
        <v>#N/A Requesting Data...3978812276</v>
        <stp/>
        <stp>BDP|17765788947062612296</stp>
        <tr r="Q1250" s="2"/>
      </tp>
      <tp t="s">
        <v>#N/A Requesting Data...3260769158</v>
        <stp/>
        <stp>BDP|16642296198318489140</stp>
        <tr r="O2513" s="2"/>
      </tp>
      <tp t="s">
        <v>#N/A Requesting Data...2723677422</v>
        <stp/>
        <stp>BDP|14360434259489760899</stp>
        <tr r="C1216" s="2"/>
      </tp>
      <tp t="s">
        <v>#N/A Requesting Data...2188488958</v>
        <stp/>
        <stp>BDP|11092723943181436721</stp>
        <tr r="G428" s="2"/>
      </tp>
      <tp t="s">
        <v>#N/A Requesting Data...3911962117</v>
        <stp/>
        <stp>BDP|11990277043241340291</stp>
        <tr r="R1189" s="2"/>
      </tp>
      <tp t="s">
        <v>#N/A Requesting Data...4096339275</v>
        <stp/>
        <stp>BDP|12229607353066698305</stp>
        <tr r="M1527" s="2"/>
      </tp>
      <tp t="s">
        <v>#N/A Requesting Data...2022402895</v>
        <stp/>
        <stp>BDP|12376265635937112063</stp>
        <tr r="N1981" s="2"/>
      </tp>
      <tp t="s">
        <v>#N/A Requesting Data...3624161847</v>
        <stp/>
        <stp>BDP|10665188599849984597</stp>
        <tr r="P2043" s="2"/>
      </tp>
      <tp t="s">
        <v>#N/A Requesting Data...3687141780</v>
        <stp/>
        <stp>BDP|10373923492303264768</stp>
        <tr r="N2349" s="2"/>
      </tp>
      <tp t="s">
        <v>#N/A Requesting Data...2301998762</v>
        <stp/>
        <stp>BDP|18002489942904406898</stp>
        <tr r="E585" s="2"/>
      </tp>
      <tp t="s">
        <v>#N/A Requesting Data...3804443316</v>
        <stp/>
        <stp>BDP|12532909635384275856</stp>
        <tr r="G412" s="2"/>
      </tp>
      <tp t="s">
        <v>#N/A Requesting Data...3601237762</v>
        <stp/>
        <stp>BDP|12826589598882832878</stp>
        <tr r="M2044" s="2"/>
      </tp>
      <tp t="s">
        <v>#N/A Requesting Data...2757425192</v>
        <stp/>
        <stp>BDP|16638514876896743613</stp>
        <tr r="J2505" s="2"/>
      </tp>
      <tp t="s">
        <v>#N/A Requesting Data...2169128251</v>
        <stp/>
        <stp>BDP|16017944785476010568</stp>
        <tr r="R1374" s="2"/>
      </tp>
      <tp t="s">
        <v>#N/A Requesting Data...2667988455</v>
        <stp/>
        <stp>BDP|13430719944790732416</stp>
        <tr r="A985" s="2"/>
      </tp>
      <tp t="s">
        <v>#N/A Requesting Data...2781179795</v>
        <stp/>
        <stp>BDP|14060794229863406632</stp>
        <tr r="T575" s="2"/>
      </tp>
      <tp t="s">
        <v>#N/A Requesting Data...2545114169</v>
        <stp/>
        <stp>BDP|14193561428242801502</stp>
        <tr r="E759" s="2"/>
      </tp>
      <tp t="s">
        <v>#N/A Requesting Data...3095150049</v>
        <stp/>
        <stp>BDP|15639618269302176380</stp>
        <tr r="G1196" s="2"/>
      </tp>
      <tp t="b">
        <v>0</v>
        <stp/>
        <stp>BDS|13710714293948708163</stp>
        <tr r="I53" s="2"/>
      </tp>
      <tp t="s">
        <v>#N/A Requesting Data...2451360485</v>
        <stp/>
        <stp>BDP|14217871804619106179</stp>
        <tr r="O1202" s="2"/>
      </tp>
      <tp t="s">
        <v>#N/A Requesting Data...3246981227</v>
        <stp/>
        <stp>BDP|17165930541567152959</stp>
        <tr r="E1453" s="2"/>
      </tp>
      <tp t="s">
        <v>#N/A Requesting Data...3502279690</v>
        <stp/>
        <stp>BDP|10412049753213472202</stp>
        <tr r="C2224" s="2"/>
      </tp>
      <tp t="s">
        <v>#N/A Requesting Data...3237707086</v>
        <stp/>
        <stp>BDP|11063065021572992590</stp>
        <tr r="A891" s="2"/>
      </tp>
      <tp t="s">
        <v>#N/A Requesting Data...1852939914</v>
        <stp/>
        <stp>BDP|15633797668562482246</stp>
        <tr r="S1537" s="2"/>
      </tp>
      <tp t="s">
        <v>#N/A Requesting Data...1697817465</v>
        <stp/>
        <stp>BDP|17023755251999079836</stp>
        <tr r="E917" s="2"/>
      </tp>
      <tp t="s">
        <v>#N/A Requesting Data...3862781518</v>
        <stp/>
        <stp>BDP|17990227380260565995</stp>
        <tr r="A1344" s="2"/>
      </tp>
      <tp t="s">
        <v>#N/A Requesting Data...1860178391</v>
        <stp/>
        <stp>BDP|14218678193299258630</stp>
        <tr r="R2390" s="2"/>
      </tp>
      <tp t="s">
        <v>#N/A Requesting Data...2034640579</v>
        <stp/>
        <stp>BDP|16188744925350451734</stp>
        <tr r="H2281" s="2"/>
      </tp>
      <tp t="s">
        <v>#N/A Requesting Data...3046560356</v>
        <stp/>
        <stp>BDP|15921426320274912359</stp>
        <tr r="G2236" s="2"/>
      </tp>
      <tp t="s">
        <v>#N/A Requesting Data...2886432975</v>
        <stp/>
        <stp>BDP|18125635501579356379</stp>
        <tr r="Q1015" s="2"/>
      </tp>
      <tp t="s">
        <v>#N/A Requesting Data...1723204049</v>
        <stp/>
        <stp>BDP|13545090084427997867</stp>
        <tr r="J1798" s="2"/>
      </tp>
      <tp t="s">
        <v>#N/A Requesting Data...2287140611</v>
        <stp/>
        <stp>BDP|14535036013636446769</stp>
        <tr r="R2174" s="2"/>
      </tp>
      <tp t="s">
        <v>#N/A Requesting Data...2517734126</v>
        <stp/>
        <stp>BDP|18079959652734853481</stp>
        <tr r="Q2331" s="2"/>
      </tp>
      <tp t="s">
        <v>#N/A Requesting Data...3010028032</v>
        <stp/>
        <stp>BDP|17463118475064434130</stp>
        <tr r="T2174" s="2"/>
      </tp>
      <tp t="s">
        <v>#N/A Requesting Data...3755057467</v>
        <stp/>
        <stp>BDP|14250177213854928484</stp>
        <tr r="P1271" s="2"/>
      </tp>
      <tp t="s">
        <v>#N/A Requesting Data...2654326429</v>
        <stp/>
        <stp>BDP|10194941584204708116</stp>
        <tr r="K636" s="2"/>
      </tp>
      <tp t="s">
        <v>#N/A Requesting Data...3815617239</v>
        <stp/>
        <stp>BDP|10901029202401986579</stp>
        <tr r="C450" s="2"/>
      </tp>
      <tp t="s">
        <v>#N/A Requesting Data...1940095174</v>
        <stp/>
        <stp>BDP|16836322248511304468</stp>
        <tr r="F130" s="2"/>
      </tp>
      <tp t="s">
        <v>#N/A Requesting Data...1697081090</v>
        <stp/>
        <stp>BDP|17868723510105871050</stp>
        <tr r="K2517" s="2"/>
      </tp>
      <tp t="s">
        <v>#N/A Requesting Data...1817218166</v>
        <stp/>
        <stp>BDP|13786819493882334419</stp>
        <tr r="M1763" s="2"/>
      </tp>
      <tp t="s">
        <v>#N/A Requesting Data...4118611647</v>
        <stp/>
        <stp>BDP|12151725654564408046</stp>
        <tr r="C2190" s="2"/>
      </tp>
      <tp t="s">
        <v>#N/A Requesting Data...3816825166</v>
        <stp/>
        <stp>BDP|12739309132805140335</stp>
        <tr r="G2452" s="2"/>
      </tp>
      <tp t="s">
        <v>#N/A Requesting Data...1705661530</v>
        <stp/>
        <stp>BDP|15259642744402006150</stp>
        <tr r="F2361" s="2"/>
      </tp>
      <tp t="s">
        <v>#N/A Requesting Data...3926014762</v>
        <stp/>
        <stp>BDP|11050545999379995039</stp>
        <tr r="P2228" s="2"/>
      </tp>
      <tp t="b">
        <v>0</v>
        <stp/>
        <stp>BDS|16252267563283515562</stp>
        <tr r="I1239" s="2"/>
      </tp>
      <tp t="s">
        <v>#N/A Requesting Data...2701581516</v>
        <stp/>
        <stp>BDP|13804528089873626921</stp>
        <tr r="A1342" s="2"/>
      </tp>
      <tp t="b">
        <v>0</v>
        <stp/>
        <stp>BDS|11433895456710873875</stp>
        <tr r="I189" s="2"/>
      </tp>
      <tp t="s">
        <v>#N/A Requesting Data...2463100320</v>
        <stp/>
        <stp>BDP|13361517783173751916</stp>
        <tr r="N2384" s="2"/>
      </tp>
      <tp t="s">
        <v>#N/A Requesting Data...1748918549</v>
        <stp/>
        <stp>BDP|10921686964170630444</stp>
        <tr r="O2477" s="2"/>
      </tp>
      <tp t="s">
        <v>#N/A Requesting Data...2302656008</v>
        <stp/>
        <stp>BDP|14977847888587708757</stp>
        <tr r="J2291" s="2"/>
      </tp>
      <tp t="s">
        <v>#N/A Requesting Data...1706434923</v>
        <stp/>
        <stp>BDP|17673659241725786423</stp>
        <tr r="F2302" s="2"/>
      </tp>
      <tp t="s">
        <v>#N/A Requesting Data...2550592903</v>
        <stp/>
        <stp>BDP|14583745259901642392</stp>
        <tr r="H2040" s="2"/>
      </tp>
      <tp t="s">
        <v>#N/A Requesting Data...2473976231</v>
        <stp/>
        <stp>BDP|14926691657517652461</stp>
        <tr r="T668" s="2"/>
      </tp>
      <tp t="b">
        <v>0</v>
        <stp/>
        <stp>BDS|15847825346168971515</stp>
        <tr r="I1805" s="2"/>
      </tp>
      <tp t="s">
        <v>#N/A Requesting Data...3871848237</v>
        <stp/>
        <stp>BDP|15618107745964265068</stp>
        <tr r="Q1200" s="2"/>
      </tp>
      <tp t="b">
        <v>0</v>
        <stp/>
        <stp>BDS|15231164841714207031</stp>
        <tr r="I1435" s="2"/>
      </tp>
      <tp t="b">
        <v>0</v>
        <stp/>
        <stp>BDS|10743677979532832754</stp>
        <tr r="I2433" s="2"/>
      </tp>
      <tp t="s">
        <v>#N/A Requesting Data...3776650171</v>
        <stp/>
        <stp>BDP|17676125872775848090</stp>
        <tr r="C300" s="2"/>
      </tp>
      <tp t="s">
        <v>#N/A Requesting Data...2088942496</v>
        <stp/>
        <stp>BDP|16151140225562367347</stp>
        <tr r="F60" s="2"/>
      </tp>
      <tp t="s">
        <v>#N/A Requesting Data...2017291991</v>
        <stp/>
        <stp>BDP|15691618631692576640</stp>
        <tr r="E832" s="2"/>
      </tp>
      <tp t="s">
        <v>#N/A Requesting Data...3788566160</v>
        <stp/>
        <stp>BDP|16313021660586325257</stp>
        <tr r="N2208" s="2"/>
      </tp>
      <tp t="s">
        <v>#N/A Requesting Data...1969967724</v>
        <stp/>
        <stp>BDP|10909579532904936623</stp>
        <tr r="H1663" s="2"/>
      </tp>
      <tp t="s">
        <v>#N/A Requesting Data...1894914375</v>
        <stp/>
        <stp>BDP|14212924300241230854</stp>
        <tr r="S463" s="2"/>
      </tp>
      <tp t="s">
        <v>#N/A Requesting Data...3442077415</v>
        <stp/>
        <stp>BDP|13846197941692001075</stp>
        <tr r="D172" s="2"/>
      </tp>
      <tp t="s">
        <v>#N/A Requesting Data...3476871433</v>
        <stp/>
        <stp>BDP|10343377585508467720</stp>
        <tr r="T2156" s="2"/>
      </tp>
      <tp t="s">
        <v>#N/A Requesting Data...3556910680</v>
        <stp/>
        <stp>BDP|17052122611746061546</stp>
        <tr r="Q200" s="2"/>
      </tp>
      <tp t="s">
        <v>#N/A Requesting Data...2630003922</v>
        <stp/>
        <stp>BDP|14885283633810761135</stp>
        <tr r="C695" s="2"/>
      </tp>
      <tp t="s">
        <v>#N/A Requesting Data...2371115824</v>
        <stp/>
        <stp>BDP|15127824055019325524</stp>
        <tr r="A2005" s="2"/>
      </tp>
      <tp t="b">
        <v>0</v>
        <stp/>
        <stp>BDS|13757351955283204216</stp>
        <tr r="I937" s="2"/>
      </tp>
      <tp t="s">
        <v>#N/A Requesting Data...3218554456</v>
        <stp/>
        <stp>BDP|12995182933746336268</stp>
        <tr r="M1329" s="2"/>
      </tp>
      <tp t="s">
        <v>#N/A Requesting Data...2887121040</v>
        <stp/>
        <stp>BDP|13864094305461138622</stp>
        <tr r="M2529" s="2"/>
      </tp>
      <tp t="s">
        <v>#N/A Requesting Data...3479141729</v>
        <stp/>
        <stp>BDP|10135344410803006528</stp>
        <tr r="Q2033" s="2"/>
      </tp>
      <tp t="s">
        <v>#N/A Requesting Data...2382078717</v>
        <stp/>
        <stp>BDP|14125759106573505409</stp>
        <tr r="O2429" s="2"/>
      </tp>
      <tp t="s">
        <v>#N/A Requesting Data...1834725371</v>
        <stp/>
        <stp>BDP|14597947543439741429</stp>
        <tr r="A1568" s="2"/>
      </tp>
      <tp t="s">
        <v>#N/A Requesting Data...3979419363</v>
        <stp/>
        <stp>BDP|14939561860105841600</stp>
        <tr r="P2305" s="2"/>
      </tp>
      <tp t="s">
        <v>#N/A Requesting Data...2671319934</v>
        <stp/>
        <stp>BDP|13756133581286559876</stp>
        <tr r="J2206" s="2"/>
      </tp>
      <tp t="b">
        <v>0</v>
        <stp/>
        <stp>BDS|12129303306330625556</stp>
        <tr r="I38" s="2"/>
      </tp>
      <tp t="s">
        <v>#N/A Requesting Data...3796095023</v>
        <stp/>
        <stp>BDP|13124742415730488139</stp>
        <tr r="N1396" s="2"/>
      </tp>
      <tp t="s">
        <v>#N/A Requesting Data...3020171873</v>
        <stp/>
        <stp>BDP|15228775666876003649</stp>
        <tr r="C1798" s="2"/>
      </tp>
      <tp t="s">
        <v>#N/A Requesting Data...1753922096</v>
        <stp/>
        <stp>BDP|11731880124027847841</stp>
        <tr r="A390" s="2"/>
      </tp>
      <tp t="s">
        <v>#N/A Requesting Data...4179282494</v>
        <stp/>
        <stp>BDP|14087008769784815263</stp>
        <tr r="G1053" s="2"/>
      </tp>
      <tp t="b">
        <v>0</v>
        <stp/>
        <stp>BDS|14329259025104694416</stp>
        <tr r="I1272" s="2"/>
      </tp>
      <tp t="s">
        <v>#N/A Requesting Data...3902093119</v>
        <stp/>
        <stp>BDP|17206581911746803143</stp>
        <tr r="H1323" s="2"/>
      </tp>
      <tp t="s">
        <v>#N/A Requesting Data...3146759903</v>
        <stp/>
        <stp>BDP|14582673067758782851</stp>
        <tr r="H1208" s="2"/>
      </tp>
      <tp t="s">
        <v>#N/A Requesting Data...4195707261</v>
        <stp/>
        <stp>BDP|13845584300823642119</stp>
        <tr r="Q364" s="2"/>
      </tp>
      <tp t="s">
        <v>#N/A Requesting Data...1993677964</v>
        <stp/>
        <stp>BDP|10020329660562630338</stp>
        <tr r="E2517" s="2"/>
      </tp>
      <tp t="b">
        <v>0</v>
        <stp/>
        <stp>BDS|11252342554295652604</stp>
        <tr r="I633" s="2"/>
      </tp>
      <tp t="b">
        <v>0</v>
        <stp/>
        <stp>BDS|16538746245402613364</stp>
        <tr r="I1309" s="2"/>
      </tp>
      <tp t="s">
        <v>#N/A Requesting Data...2205368182</v>
        <stp/>
        <stp>BDP|17088831249136842958</stp>
        <tr r="K1335" s="2"/>
      </tp>
      <tp t="s">
        <v>#N/A Requesting Data...3215605704</v>
        <stp/>
        <stp>BDP|14733256143241451726</stp>
        <tr r="G231" s="2"/>
      </tp>
      <tp t="s">
        <v>#N/A Requesting Data...2072969707</v>
        <stp/>
        <stp>BDP|12968633559830398570</stp>
        <tr r="S1749" s="2"/>
      </tp>
      <tp t="s">
        <v>#N/A Requesting Data...2360448636</v>
        <stp/>
        <stp>BDP|12406203136753730423</stp>
        <tr r="D423" s="2"/>
      </tp>
      <tp t="s">
        <v>#N/A Requesting Data...3103328205</v>
        <stp/>
        <stp>BDP|14465456456503733272</stp>
        <tr r="Q675" s="2"/>
      </tp>
      <tp t="s">
        <v>#N/A Requesting Data...3184062312</v>
        <stp/>
        <stp>BDP|16637591079619454955</stp>
        <tr r="H2033" s="2"/>
      </tp>
      <tp t="s">
        <v>#N/A Requesting Data...2380014434</v>
        <stp/>
        <stp>BDP|13864693876312193404</stp>
        <tr r="N150" s="2"/>
      </tp>
      <tp t="s">
        <v>#N/A Requesting Data...3374686888</v>
        <stp/>
        <stp>BDP|16653485003930379685</stp>
        <tr r="T1968" s="2"/>
      </tp>
      <tp t="s">
        <v>#N/A Requesting Data...2163404750</v>
        <stp/>
        <stp>BDP|14246114607320686140</stp>
        <tr r="R521" s="2"/>
      </tp>
      <tp t="s">
        <v>#N/A Requesting Data...2427299662</v>
        <stp/>
        <stp>BDP|14082847607240631835</stp>
        <tr r="H877" s="2"/>
      </tp>
      <tp t="s">
        <v>#N/A Requesting Data...3299316958</v>
        <stp/>
        <stp>BDP|15851169378426369134</stp>
        <tr r="F677" s="2"/>
      </tp>
      <tp t="s">
        <v>#N/A Requesting Data...1805021043</v>
        <stp/>
        <stp>BDP|12086195337246965213</stp>
        <tr r="T1419" s="2"/>
      </tp>
      <tp t="s">
        <v>#N/A Requesting Data...2371583410</v>
        <stp/>
        <stp>BDP|11390007925680626760</stp>
        <tr r="K1334" s="2"/>
      </tp>
      <tp t="s">
        <v>#N/A Requesting Data...3193078283</v>
        <stp/>
        <stp>BDP|11416219771241372117</stp>
        <tr r="F185" s="2"/>
      </tp>
      <tp t="s">
        <v>#N/A Requesting Data...4159446497</v>
        <stp/>
        <stp>BDP|12035268143629001937</stp>
        <tr r="G160" s="2"/>
      </tp>
      <tp t="s">
        <v>#N/A Requesting Data...1939459856</v>
        <stp/>
        <stp>BDP|14369223013136289566</stp>
        <tr r="N1366" s="2"/>
      </tp>
      <tp t="s">
        <v>#N/A Requesting Data...3812642465</v>
        <stp/>
        <stp>BDP|11829696111813167173</stp>
        <tr r="F1263" s="2"/>
      </tp>
      <tp t="s">
        <v>#N/A Requesting Data...3614024976</v>
        <stp/>
        <stp>BDP|11500156269091663399</stp>
        <tr r="K2336" s="2"/>
      </tp>
      <tp t="s">
        <v>#N/A Requesting Data...3317760754</v>
        <stp/>
        <stp>BDP|11375274734834516033</stp>
        <tr r="H554" s="2"/>
      </tp>
      <tp t="s">
        <v>#N/A Requesting Data...3513544730</v>
        <stp/>
        <stp>BDP|16297025761855095174</stp>
        <tr r="H120" s="2"/>
      </tp>
      <tp t="b">
        <v>0</v>
        <stp/>
        <stp>BDS|17684145921788105873</stp>
        <tr r="I101" s="2"/>
      </tp>
      <tp t="s">
        <v>#N/A Requesting Data...2713137051</v>
        <stp/>
        <stp>BDP|16846759051516894628</stp>
        <tr r="C1133" s="2"/>
      </tp>
      <tp t="s">
        <v>#N/A Requesting Data...2655451417</v>
        <stp/>
        <stp>BDP|15486964603380074870</stp>
        <tr r="J792" s="2"/>
      </tp>
      <tp t="s">
        <v>#N/A Requesting Data...2120717632</v>
        <stp/>
        <stp>BDP|13566048645566163535</stp>
        <tr r="D1862" s="2"/>
      </tp>
      <tp t="s">
        <v>#N/A Requesting Data...2838446756</v>
        <stp/>
        <stp>BDP|16456543155800310207</stp>
        <tr r="E365" s="2"/>
      </tp>
      <tp t="s">
        <v>#N/A Requesting Data...2085535038</v>
        <stp/>
        <stp>BDP|10919269978503516244</stp>
        <tr r="O1200" s="2"/>
      </tp>
      <tp t="s">
        <v>#N/A Requesting Data...3036962981</v>
        <stp/>
        <stp>BDP|14219168462282308534</stp>
        <tr r="O2440" s="2"/>
      </tp>
      <tp t="s">
        <v>#N/A Requesting Data...2204083882</v>
        <stp/>
        <stp>BDP|13194262870062313025</stp>
        <tr r="A1396" s="2"/>
      </tp>
      <tp t="s">
        <v>#N/A Requesting Data...2847912386</v>
        <stp/>
        <stp>BDP|11021540773340999787</stp>
        <tr r="G226" s="2"/>
      </tp>
      <tp t="s">
        <v>#N/A Requesting Data...2756805484</v>
        <stp/>
        <stp>BDP|15460761174626189716</stp>
        <tr r="A1956" s="2"/>
      </tp>
      <tp t="s">
        <v>#N/A Requesting Data...3278115389</v>
        <stp/>
        <stp>BDP|13241089682988839768</stp>
        <tr r="O316" s="2"/>
      </tp>
      <tp t="s">
        <v>#N/A Requesting Data...3218536444</v>
        <stp/>
        <stp>BDP|16154761147140581132</stp>
        <tr r="O2495" s="2"/>
      </tp>
      <tp t="s">
        <v>#N/A Requesting Data...2945795451</v>
        <stp/>
        <stp>BDP|16038244533336984582</stp>
        <tr r="R319" s="2"/>
      </tp>
      <tp t="s">
        <v>#N/A Requesting Data...3771113178</v>
        <stp/>
        <stp>BDP|14256947313891667951</stp>
        <tr r="E397" s="2"/>
      </tp>
      <tp t="s">
        <v>#N/A Requesting Data...2324707223</v>
        <stp/>
        <stp>BDP|18218168287583575606</stp>
        <tr r="S647" s="2"/>
      </tp>
      <tp t="s">
        <v>#N/A Requesting Data...3954454294</v>
        <stp/>
        <stp>BDP|18297202392354327357</stp>
        <tr r="Q2442" s="2"/>
      </tp>
      <tp t="s">
        <v>#N/A Requesting Data...3152258527</v>
        <stp/>
        <stp>BDP|10435590822890026394</stp>
        <tr r="P2297" s="2"/>
      </tp>
      <tp t="s">
        <v>#N/A Requesting Data...4039494840</v>
        <stp/>
        <stp>BDP|14650177090058277058</stp>
        <tr r="R672" s="2"/>
      </tp>
      <tp t="s">
        <v>#N/A Requesting Data...2997608780</v>
        <stp/>
        <stp>BDP|10267980722388996770</stp>
        <tr r="R2089" s="2"/>
      </tp>
      <tp t="s">
        <v>#N/A Requesting Data...3082455077</v>
        <stp/>
        <stp>BDP|16442715719987863322</stp>
        <tr r="E1499" s="2"/>
      </tp>
      <tp t="s">
        <v>#N/A Requesting Data...3786730031</v>
        <stp/>
        <stp>BDP|11703365746093708169</stp>
        <tr r="K151" s="2"/>
      </tp>
      <tp t="s">
        <v>#N/A Requesting Data...4035900742</v>
        <stp/>
        <stp>BDP|13798055964466600764</stp>
        <tr r="C2318" s="2"/>
      </tp>
      <tp t="s">
        <v>#N/A Requesting Data...2213066722</v>
        <stp/>
        <stp>BDP|12619244235887901081</stp>
        <tr r="P531" s="2"/>
      </tp>
      <tp t="s">
        <v>#N/A Requesting Data...3531079699</v>
        <stp/>
        <stp>BDP|13270856363590224905</stp>
        <tr r="G947" s="2"/>
      </tp>
      <tp t="s">
        <v>#N/A Requesting Data...2234061617</v>
        <stp/>
        <stp>BDP|17479607854123428320</stp>
        <tr r="R1485" s="2"/>
      </tp>
      <tp t="s">
        <v>#N/A Requesting Data...2595923030</v>
        <stp/>
        <stp>BDP|12538492860835939139</stp>
        <tr r="O115" s="2"/>
      </tp>
      <tp t="s">
        <v>#N/A Requesting Data...3101081765</v>
        <stp/>
        <stp>BDP|12830638838917003451</stp>
        <tr r="G2277" s="2"/>
      </tp>
      <tp t="s">
        <v>#N/A Requesting Data...3637106614</v>
        <stp/>
        <stp>BDP|18115038370372291960</stp>
        <tr r="C1453" s="2"/>
      </tp>
      <tp t="s">
        <v>#N/A Requesting Data...1920570048</v>
        <stp/>
        <stp>BDP|12887712942886504381</stp>
        <tr r="R434" s="2"/>
      </tp>
      <tp t="s">
        <v>#N/A Requesting Data...3650332344</v>
        <stp/>
        <stp>BDP|12913085818354813374</stp>
        <tr r="K1056" s="2"/>
      </tp>
      <tp t="s">
        <v>#N/A Requesting Data...4209761741</v>
        <stp/>
        <stp>BDP|12193538644182778575</stp>
        <tr r="Q1201" s="2"/>
      </tp>
      <tp t="s">
        <v>#N/A Requesting Data...4185837874</v>
        <stp/>
        <stp>BDP|12662165315237307103</stp>
        <tr r="E1283" s="2"/>
      </tp>
      <tp t="s">
        <v>#N/A Requesting Data...3035509404</v>
        <stp/>
        <stp>BDP|18359067943630346832</stp>
        <tr r="C2" s="2"/>
      </tp>
      <tp t="s">
        <v>#N/A Requesting Data...4135672044</v>
        <stp/>
        <stp>BDP|11439910941431334916</stp>
        <tr r="D614" s="2"/>
      </tp>
      <tp t="s">
        <v>#N/A Requesting Data...2760683270</v>
        <stp/>
        <stp>BDP|16077070171207857282</stp>
        <tr r="K1134" s="2"/>
      </tp>
      <tp t="s">
        <v>#N/A Requesting Data...1961480795</v>
        <stp/>
        <stp>BDP|14834013269510257642</stp>
        <tr r="T419" s="2"/>
      </tp>
      <tp t="s">
        <v>#N/A Requesting Data...3860361152</v>
        <stp/>
        <stp>BDP|13250776574320664714</stp>
        <tr r="S1216" s="2"/>
      </tp>
      <tp t="s">
        <v>#N/A Requesting Data...3377253568</v>
        <stp/>
        <stp>BDP|11343113548016875642</stp>
        <tr r="O1366" s="2"/>
      </tp>
      <tp t="s">
        <v>#N/A Requesting Data...2637550022</v>
        <stp/>
        <stp>BDP|10166232879612933340</stp>
        <tr r="C664" s="2"/>
      </tp>
      <tp t="s">
        <v>#N/A Requesting Data...3492358789</v>
        <stp/>
        <stp>BDP|16908086308916774489</stp>
        <tr r="M2061" s="2"/>
      </tp>
      <tp t="s">
        <v>#N/A Requesting Data...2931861465</v>
        <stp/>
        <stp>BDP|16793204276505189261</stp>
        <tr r="O59" s="2"/>
      </tp>
      <tp t="s">
        <v>#N/A Requesting Data...2653813929</v>
        <stp/>
        <stp>BDP|13086519830811594021</stp>
        <tr r="E1249" s="2"/>
      </tp>
      <tp t="s">
        <v>#N/A Requesting Data...3374437235</v>
        <stp/>
        <stp>BDP|13159385221567616185</stp>
        <tr r="D233" s="2"/>
      </tp>
      <tp t="s">
        <v>#N/A Requesting Data...3991313676</v>
        <stp/>
        <stp>BDP|17178604242292689338</stp>
        <tr r="A1457" s="2"/>
      </tp>
      <tp t="s">
        <v>#N/A Requesting Data...3989420641</v>
        <stp/>
        <stp>BDP|15874786763406542600</stp>
        <tr r="Q1955" s="2"/>
      </tp>
      <tp t="s">
        <v>#N/A Requesting Data...4235287000</v>
        <stp/>
        <stp>BDP|14293761700751173639</stp>
        <tr r="M4" s="2"/>
      </tp>
      <tp t="s">
        <v>#N/A Requesting Data...4057982015</v>
        <stp/>
        <stp>BDP|16732495423642830632</stp>
        <tr r="D2237" s="2"/>
      </tp>
      <tp t="s">
        <v>#N/A Requesting Data...1969407146</v>
        <stp/>
        <stp>BDP|12687461156930128712</stp>
        <tr r="J236" s="2"/>
      </tp>
      <tp t="s">
        <v>#N/A Requesting Data...4229852252</v>
        <stp/>
        <stp>BDP|12443344185264738941</stp>
        <tr r="S332" s="2"/>
      </tp>
      <tp t="s">
        <v>#N/A Requesting Data...2926079315</v>
        <stp/>
        <stp>BDP|13169300134736405171</stp>
        <tr r="D1457" s="2"/>
      </tp>
      <tp t="s">
        <v>#N/A Requesting Data...2633782880</v>
        <stp/>
        <stp>BDP|11980934445140147889</stp>
        <tr r="A539" s="2"/>
      </tp>
      <tp t="s">
        <v>#N/A Requesting Data...2319668383</v>
        <stp/>
        <stp>BDP|17605726126070045642</stp>
        <tr r="D2349" s="2"/>
      </tp>
      <tp t="s">
        <v>#N/A Requesting Data...2644085550</v>
        <stp/>
        <stp>BDP|12019170252733440175</stp>
        <tr r="R2188" s="2"/>
      </tp>
      <tp t="s">
        <v>#N/A Requesting Data...3767342224</v>
        <stp/>
        <stp>BDP|17386936993871553204</stp>
        <tr r="G1252" s="2"/>
      </tp>
      <tp t="s">
        <v>#N/A Requesting Data...3195903408</v>
        <stp/>
        <stp>BDP|18149040711085013822</stp>
        <tr r="R1044" s="2"/>
      </tp>
      <tp t="s">
        <v>#N/A Requesting Data...2534779265</v>
        <stp/>
        <stp>BDP|12273614691051716835</stp>
        <tr r="C1335" s="2"/>
      </tp>
      <tp t="s">
        <v>#N/A Requesting Data...2139370171</v>
        <stp/>
        <stp>BDP|11974339339817125243</stp>
        <tr r="M1061" s="2"/>
      </tp>
      <tp t="s">
        <v>#N/A Requesting Data...2489608451</v>
        <stp/>
        <stp>BDP|17329858196884523637</stp>
        <tr r="D600" s="2"/>
      </tp>
      <tp t="s">
        <v>#N/A Requesting Data...3437759741</v>
        <stp/>
        <stp>BDP|13671846924574050907</stp>
        <tr r="D433" s="2"/>
      </tp>
      <tp t="s">
        <v>#N/A Requesting Data...3663403944</v>
        <stp/>
        <stp>BDP|12730165807090977797</stp>
        <tr r="R2156" s="2"/>
      </tp>
      <tp t="s">
        <v>#N/A Requesting Data...3088606544</v>
        <stp/>
        <stp>BDP|12649979755808212201</stp>
        <tr r="C1514" s="2"/>
      </tp>
      <tp t="b">
        <v>0</v>
        <stp/>
        <stp>BDS|11066533464486105034</stp>
        <tr r="I262" s="2"/>
      </tp>
      <tp t="s">
        <v>#N/A Requesting Data...2354155691</v>
        <stp/>
        <stp>BDP|13749595466702954676</stp>
        <tr r="E18" s="2"/>
      </tp>
      <tp t="s">
        <v>#N/A Requesting Data...2482354573</v>
        <stp/>
        <stp>BDP|18418296398715732246</stp>
        <tr r="E1354" s="2"/>
      </tp>
      <tp t="s">
        <v>#N/A Requesting Data...3120914834</v>
        <stp/>
        <stp>BDP|10426331564805468418</stp>
        <tr r="N2127" s="2"/>
      </tp>
      <tp t="s">
        <v>#N/A Requesting Data...2618920859</v>
        <stp/>
        <stp>BDP|15758121780648521065</stp>
        <tr r="T1282" s="2"/>
      </tp>
      <tp t="s">
        <v>#N/A Requesting Data...3642050079</v>
        <stp/>
        <stp>BDP|15483890448774430979</stp>
        <tr r="M2357" s="2"/>
      </tp>
      <tp t="s">
        <v>#N/A Requesting Data...2138775952</v>
        <stp/>
        <stp>BDP|16440664422205036364</stp>
        <tr r="P1166" s="2"/>
      </tp>
      <tp t="s">
        <v>#N/A Requesting Data...2592109357</v>
        <stp/>
        <stp>BDP|16718051906050746251</stp>
        <tr r="N1483" s="2"/>
      </tp>
      <tp t="s">
        <v>#N/A Requesting Data...2816879738</v>
        <stp/>
        <stp>BDP|16562337975652205473</stp>
        <tr r="O2452" s="2"/>
      </tp>
      <tp t="s">
        <v>#N/A Requesting Data...3388345220</v>
        <stp/>
        <stp>BDP|17128273223236239514</stp>
        <tr r="G1101" s="2"/>
      </tp>
      <tp t="s">
        <v>#N/A Requesting Data...2304306007</v>
        <stp/>
        <stp>BDP|10201455145623611726</stp>
        <tr r="C870" s="2"/>
      </tp>
      <tp t="s">
        <v>#N/A Requesting Data...3095744020</v>
        <stp/>
        <stp>BDP|10314274774418251940</stp>
        <tr r="C1312" s="2"/>
      </tp>
      <tp t="s">
        <v>#N/A Requesting Data...2108173368</v>
        <stp/>
        <stp>BDP|14911169316842655291</stp>
        <tr r="D1335" s="2"/>
      </tp>
      <tp t="s">
        <v>#N/A Requesting Data...3127651173</v>
        <stp/>
        <stp>BDP|13210356708581313458</stp>
        <tr r="C1345" s="2"/>
      </tp>
      <tp t="b">
        <v>0</v>
        <stp/>
        <stp>BDS|16707015839171474118</stp>
        <tr r="I2081" s="2"/>
      </tp>
      <tp t="s">
        <v>#N/A Requesting Data...2228076791</v>
        <stp/>
        <stp>BDP|17288622800490826417</stp>
        <tr r="S311" s="2"/>
      </tp>
      <tp t="s">
        <v>#N/A Requesting Data...2471347008</v>
        <stp/>
        <stp>BDP|17670032856922870520</stp>
        <tr r="R2261" s="2"/>
      </tp>
      <tp t="s">
        <v>#N/A Requesting Data...3337615037</v>
        <stp/>
        <stp>BDP|11861641110511385261</stp>
        <tr r="R1875" s="2"/>
      </tp>
      <tp t="s">
        <v>#N/A Requesting Data...3974191141</v>
        <stp/>
        <stp>BDP|14891406044866753729</stp>
        <tr r="K877" s="2"/>
      </tp>
      <tp t="s">
        <v>#N/A Requesting Data...2592974454</v>
        <stp/>
        <stp>BDP|15513037075277263089</stp>
        <tr r="P2175" s="2"/>
      </tp>
      <tp t="s">
        <v>#N/A Requesting Data...3639061005</v>
        <stp/>
        <stp>BDP|13353438762525220191</stp>
        <tr r="T2133" s="2"/>
      </tp>
      <tp t="b">
        <v>0</v>
        <stp/>
        <stp>BDS|13911906363778923199</stp>
        <tr r="I2195" s="2"/>
      </tp>
      <tp t="b">
        <v>0</v>
        <stp/>
        <stp>BDS|15185297750431180638</stp>
        <tr r="I516" s="2"/>
      </tp>
      <tp t="s">
        <v>#N/A Requesting Data...2929984837</v>
        <stp/>
        <stp>BDP|11188743860571917454</stp>
        <tr r="O1572" s="2"/>
      </tp>
      <tp t="s">
        <v>#N/A Requesting Data...2921789954</v>
        <stp/>
        <stp>BDP|12988042165106209730</stp>
        <tr r="E423" s="2"/>
      </tp>
      <tp t="s">
        <v>#N/A Requesting Data...2809884448</v>
        <stp/>
        <stp>BDP|15412286123477084760</stp>
        <tr r="S1185" s="2"/>
      </tp>
      <tp t="s">
        <v>#N/A Requesting Data...3798761078</v>
        <stp/>
        <stp>BDP|14160879349468467526</stp>
        <tr r="Q665" s="2"/>
      </tp>
      <tp t="s">
        <v>#N/A Requesting Data...3083731038</v>
        <stp/>
        <stp>BDP|14331373752843700483</stp>
        <tr r="Q1261" s="2"/>
      </tp>
      <tp t="s">
        <v>#N/A Requesting Data...2784689682</v>
        <stp/>
        <stp>BDP|13359608261662930422</stp>
        <tr r="R1442" s="2"/>
      </tp>
      <tp t="s">
        <v>#N/A Requesting Data...4232926174</v>
        <stp/>
        <stp>BDP|15697407959457557635</stp>
        <tr r="P819" s="2"/>
      </tp>
      <tp t="s">
        <v>#N/A Requesting Data...2548052374</v>
        <stp/>
        <stp>BDP|14633593042184134458</stp>
        <tr r="H1933" s="2"/>
      </tp>
      <tp t="s">
        <v>#N/A Requesting Data...3726506189</v>
        <stp/>
        <stp>BDP|17106137065054644189</stp>
        <tr r="N1087" s="2"/>
      </tp>
      <tp t="s">
        <v>#N/A Requesting Data...2122800929</v>
        <stp/>
        <stp>BDP|16352496258906930423</stp>
        <tr r="K1800" s="2"/>
      </tp>
      <tp t="s">
        <v>#N/A Requesting Data...4225517108</v>
        <stp/>
        <stp>BDP|14270195960625479369</stp>
        <tr r="A1691" s="2"/>
      </tp>
      <tp t="s">
        <v>#N/A Requesting Data...4043877297</v>
        <stp/>
        <stp>BDP|14604212609095099671</stp>
        <tr r="G2024" s="2"/>
      </tp>
      <tp t="s">
        <v>#N/A Requesting Data...3827813578</v>
        <stp/>
        <stp>BDP|17490824025878895026</stp>
        <tr r="H1703" s="2"/>
      </tp>
      <tp t="s">
        <v>#N/A Requesting Data...2091277257</v>
        <stp/>
        <stp>BDP|17729108686719970213</stp>
        <tr r="S2164" s="2"/>
      </tp>
      <tp t="s">
        <v>#N/A Requesting Data...3977894495</v>
        <stp/>
        <stp>BDP|18020323996912966547</stp>
        <tr r="J176" s="2"/>
      </tp>
      <tp t="s">
        <v>#N/A Requesting Data...3502095165</v>
        <stp/>
        <stp>BDP|13696296874220269302</stp>
        <tr r="E1588" s="2"/>
      </tp>
      <tp t="s">
        <v>#N/A Requesting Data...2338199984</v>
        <stp/>
        <stp>BDP|12762225066273981030</stp>
        <tr r="R1692" s="2"/>
      </tp>
      <tp t="s">
        <v>#N/A Requesting Data...2673359345</v>
        <stp/>
        <stp>BDP|13403528146652973500</stp>
        <tr r="Q2279" s="2"/>
      </tp>
      <tp t="s">
        <v>#N/A Requesting Data...2486789546</v>
        <stp/>
        <stp>BDP|14181389698479087284</stp>
        <tr r="N333" s="2"/>
      </tp>
      <tp t="s">
        <v>#N/A Requesting Data...3241030165</v>
        <stp/>
        <stp>BDP|15668196862653184457</stp>
        <tr r="G1900" s="2"/>
      </tp>
      <tp t="s">
        <v>#N/A Requesting Data...2977317297</v>
        <stp/>
        <stp>BDP|14594162589009411173</stp>
        <tr r="K1532" s="2"/>
      </tp>
      <tp t="s">
        <v>#N/A Requesting Data...4168504204</v>
        <stp/>
        <stp>BDP|14690777547242851070</stp>
        <tr r="M1939" s="2"/>
      </tp>
      <tp t="s">
        <v>#N/A Requesting Data...2915961437</v>
        <stp/>
        <stp>BDP|18446127547450886806</stp>
        <tr r="F84" s="2"/>
      </tp>
      <tp t="s">
        <v>#N/A Requesting Data...2708359534</v>
        <stp/>
        <stp>BDP|16020443398276297873</stp>
        <tr r="H814" s="2"/>
      </tp>
      <tp t="s">
        <v>#N/A Requesting Data...2219953706</v>
        <stp/>
        <stp>BDP|16416381771456157158</stp>
        <tr r="G962" s="2"/>
      </tp>
      <tp t="s">
        <v>#N/A Requesting Data...3499417198</v>
        <stp/>
        <stp>BDP|17350067659704185344</stp>
        <tr r="R2032" s="2"/>
      </tp>
      <tp t="s">
        <v>#N/A Requesting Data...2960603006</v>
        <stp/>
        <stp>BDP|16233074852971963770</stp>
        <tr r="F608" s="2"/>
      </tp>
      <tp t="s">
        <v>#N/A Requesting Data...2892632865</v>
        <stp/>
        <stp>BDP|10640133001815876150</stp>
        <tr r="K1282" s="2"/>
      </tp>
      <tp t="s">
        <v>#N/A Requesting Data...4244125706</v>
        <stp/>
        <stp>BDP|12114354058845027457</stp>
        <tr r="A1577" s="2"/>
      </tp>
      <tp t="s">
        <v>#N/A Requesting Data...3465805428</v>
        <stp/>
        <stp>BDP|12867723484710732809</stp>
        <tr r="S1446" s="2"/>
      </tp>
      <tp t="s">
        <v>#N/A Requesting Data...3341210235</v>
        <stp/>
        <stp>BDP|13627590703014733729</stp>
        <tr r="E2022" s="2"/>
      </tp>
      <tp t="s">
        <v>#N/A Requesting Data...2710243706</v>
        <stp/>
        <stp>BDP|11654679793589235295</stp>
        <tr r="T2513" s="2"/>
      </tp>
      <tp t="s">
        <v>#N/A Requesting Data...2775861239</v>
        <stp/>
        <stp>BDP|16445555962419333999</stp>
        <tr r="R957" s="2"/>
      </tp>
      <tp t="s">
        <v>#N/A Requesting Data...2319476259</v>
        <stp/>
        <stp>BDP|12993029326805137054</stp>
        <tr r="H2252" s="2"/>
      </tp>
      <tp t="s">
        <v>#N/A Requesting Data...2683064072</v>
        <stp/>
        <stp>BDP|16224533568544992492</stp>
        <tr r="T1089" s="2"/>
      </tp>
      <tp t="s">
        <v>#N/A Requesting Data...4194230009</v>
        <stp/>
        <stp>BDP|17821658072203543033</stp>
        <tr r="T2288" s="2"/>
      </tp>
      <tp t="s">
        <v>#N/A Requesting Data...3700463653</v>
        <stp/>
        <stp>BDP|11043101832053293592</stp>
        <tr r="M1820" s="2"/>
      </tp>
      <tp t="s">
        <v>#N/A Requesting Data...2234871316</v>
        <stp/>
        <stp>BDP|14665173589818439050</stp>
        <tr r="S452" s="2"/>
      </tp>
      <tp t="b">
        <v>0</v>
        <stp/>
        <stp>BDS|14875330173192715759</stp>
        <tr r="I2402" s="2"/>
      </tp>
      <tp t="s">
        <v>#N/A Requesting Data...4146875733</v>
        <stp/>
        <stp>BDP|17456183021995669427</stp>
        <tr r="E841" s="2"/>
      </tp>
      <tp t="b">
        <v>0</v>
        <stp/>
        <stp>BDS|12857702042926444244</stp>
        <tr r="I1857" s="2"/>
      </tp>
      <tp t="s">
        <v>#N/A Requesting Data...2283820405</v>
        <stp/>
        <stp>BDP|16893475579969803978</stp>
        <tr r="R2223" s="2"/>
      </tp>
      <tp t="s">
        <v>#N/A Requesting Data...3389932474</v>
        <stp/>
        <stp>BDP|17462470169579666958</stp>
        <tr r="O271" s="2"/>
      </tp>
      <tp t="s">
        <v>#N/A Requesting Data...2353684308</v>
        <stp/>
        <stp>BDP|11296659502581506399</stp>
        <tr r="T166" s="2"/>
      </tp>
      <tp t="s">
        <v>#N/A Requesting Data...3027624493</v>
        <stp/>
        <stp>BDP|16919559071171030046</stp>
        <tr r="N2145" s="2"/>
      </tp>
      <tp t="s">
        <v>#N/A Requesting Data...3601714278</v>
        <stp/>
        <stp>BDP|15774186374862729457</stp>
        <tr r="D219" s="2"/>
      </tp>
      <tp t="s">
        <v>#N/A Requesting Data...4119559345</v>
        <stp/>
        <stp>BDP|15201471057077851638</stp>
        <tr r="G1877" s="2"/>
      </tp>
      <tp t="b">
        <v>0</v>
        <stp/>
        <stp>BDS|12024378515204057181</stp>
        <tr r="I2091" s="2"/>
      </tp>
      <tp t="s">
        <v>#N/A Requesting Data...2645906003</v>
        <stp/>
        <stp>BDP|17775886292143042048</stp>
        <tr r="Q33" s="2"/>
      </tp>
      <tp t="s">
        <v>#N/A Requesting Data...3850520735</v>
        <stp/>
        <stp>BDP|10546065160626928536</stp>
        <tr r="O639" s="2"/>
      </tp>
      <tp t="s">
        <v>#N/A Requesting Data...3817066912</v>
        <stp/>
        <stp>BDP|15518105358750572417</stp>
        <tr r="T265" s="2"/>
      </tp>
      <tp t="s">
        <v>#N/A Requesting Data...3467131937</v>
        <stp/>
        <stp>BDP|17251887932271363825</stp>
        <tr r="A586" s="2"/>
      </tp>
      <tp t="b">
        <v>0</v>
        <stp/>
        <stp>BDS|10854213576698636830</stp>
        <tr r="I2124" s="2"/>
      </tp>
      <tp t="s">
        <v>#N/A Requesting Data...4159358402</v>
        <stp/>
        <stp>BDP|12520160598908681740</stp>
        <tr r="C2516" s="2"/>
      </tp>
      <tp t="s">
        <v>#N/A Requesting Data...3395181330</v>
        <stp/>
        <stp>BDP|14715681362552760330</stp>
        <tr r="T1420" s="2"/>
      </tp>
      <tp t="s">
        <v>#N/A Requesting Data...3761821364</v>
        <stp/>
        <stp>BDP|10218212063240112182</stp>
        <tr r="M2464" s="2"/>
      </tp>
      <tp t="s">
        <v>#N/A Requesting Data...2536481970</v>
        <stp/>
        <stp>BDP|17834084826874695494</stp>
        <tr r="G1763" s="2"/>
      </tp>
      <tp t="s">
        <v>#N/A Requesting Data...2761094509</v>
        <stp/>
        <stp>BDP|13532236187224164893</stp>
        <tr r="P1076" s="2"/>
      </tp>
      <tp t="s">
        <v>#N/A Requesting Data...3232578027</v>
        <stp/>
        <stp>BDP|16610373512556347791</stp>
        <tr r="C256" s="2"/>
      </tp>
      <tp t="s">
        <v>#N/A Requesting Data...3050446847</v>
        <stp/>
        <stp>BDP|16637067702733354084</stp>
        <tr r="T1233" s="2"/>
      </tp>
      <tp t="s">
        <v>#N/A Requesting Data...2395248520</v>
        <stp/>
        <stp>BDP|18059686072534503867</stp>
        <tr r="N2298" s="2"/>
      </tp>
      <tp t="s">
        <v>#N/A Requesting Data...4048125502</v>
        <stp/>
        <stp>BDP|17234135328084827585</stp>
        <tr r="G743" s="2"/>
      </tp>
      <tp t="s">
        <v>#N/A Requesting Data...3975161324</v>
        <stp/>
        <stp>BDP|12996535978443801639</stp>
        <tr r="K1470" s="2"/>
      </tp>
      <tp t="s">
        <v>#N/A Requesting Data...3273589170</v>
        <stp/>
        <stp>BDP|12259595403101909380</stp>
        <tr r="F636" s="2"/>
      </tp>
      <tp t="s">
        <v>#N/A Requesting Data...2234729776</v>
        <stp/>
        <stp>BDP|16547684070726036445</stp>
        <tr r="H2323" s="2"/>
      </tp>
      <tp t="s">
        <v>#N/A Requesting Data...3396224285</v>
        <stp/>
        <stp>BDP|17113315900145153480</stp>
        <tr r="O1120" s="2"/>
      </tp>
      <tp t="s">
        <v>#N/A Requesting Data...2569624857</v>
        <stp/>
        <stp>BDP|15108083103869793942</stp>
        <tr r="F248" s="2"/>
      </tp>
      <tp t="s">
        <v>#N/A Requesting Data...3806423352</v>
        <stp/>
        <stp>BDP|15811199478802653465</stp>
        <tr r="P1891" s="2"/>
      </tp>
      <tp t="s">
        <v>#N/A Requesting Data...2852863635</v>
        <stp/>
        <stp>BDP|15974588901891114486</stp>
        <tr r="F539" s="2"/>
      </tp>
      <tp t="s">
        <v>#N/A Requesting Data...2452140351</v>
        <stp/>
        <stp>BDP|12423543148013920583</stp>
        <tr r="G35" s="2"/>
      </tp>
      <tp t="s">
        <v>#N/A Requesting Data...3461464921</v>
        <stp/>
        <stp>BDP|16648556130135357091</stp>
        <tr r="G421" s="2"/>
      </tp>
      <tp t="s">
        <v>#N/A Requesting Data...3714509137</v>
        <stp/>
        <stp>BDP|14260937998618210921</stp>
        <tr r="H291" s="2"/>
      </tp>
      <tp t="s">
        <v>#N/A Requesting Data...3212000458</v>
        <stp/>
        <stp>BDP|11778919427306087982</stp>
        <tr r="C727" s="2"/>
      </tp>
      <tp t="s">
        <v>#N/A Requesting Data...3278143856</v>
        <stp/>
        <stp>BDP|10089997082966675246</stp>
        <tr r="N1048" s="2"/>
      </tp>
      <tp t="s">
        <v>#N/A Requesting Data...3440249499</v>
        <stp/>
        <stp>BDP|17558174708707255414</stp>
        <tr r="K1617" s="2"/>
      </tp>
      <tp t="s">
        <v>#N/A Requesting Data...2447697372</v>
        <stp/>
        <stp>BDP|11733515483330514993</stp>
        <tr r="T1836" s="2"/>
      </tp>
      <tp t="s">
        <v>#N/A Requesting Data...3128565700</v>
        <stp/>
        <stp>BDP|12502305426637315195</stp>
        <tr r="R348" s="2"/>
      </tp>
      <tp t="s">
        <v>#N/A Requesting Data...3494339731</v>
        <stp/>
        <stp>BDP|11712692166743525741</stp>
        <tr r="T1094" s="2"/>
      </tp>
      <tp t="s">
        <v>#N/A Requesting Data...2872557597</v>
        <stp/>
        <stp>BDP|17221054717666114587</stp>
        <tr r="R1852" s="2"/>
      </tp>
      <tp t="s">
        <v>#N/A Requesting Data...2498886487</v>
        <stp/>
        <stp>BDP|13534674620727201596</stp>
        <tr r="Q536" s="2"/>
      </tp>
      <tp t="s">
        <v>#N/A Requesting Data...4209678464</v>
        <stp/>
        <stp>BDP|12360492446383334461</stp>
        <tr r="Q2175" s="2"/>
      </tp>
      <tp t="s">
        <v>#N/A Requesting Data...3285690144</v>
        <stp/>
        <stp>BDP|15672135715650168087</stp>
        <tr r="G2527" s="2"/>
      </tp>
      <tp t="s">
        <v>#N/A Requesting Data...2284046797</v>
        <stp/>
        <stp>BDP|13041214675180815355</stp>
        <tr r="F148" s="2"/>
      </tp>
      <tp t="s">
        <v>#N/A Requesting Data...2575343612</v>
        <stp/>
        <stp>BDP|17638524239455265160</stp>
        <tr r="R1936" s="2"/>
      </tp>
      <tp t="s">
        <v>#N/A Requesting Data...3744169789</v>
        <stp/>
        <stp>BDP|11417287214415753262</stp>
        <tr r="H1802" s="2"/>
      </tp>
      <tp t="s">
        <v>#N/A Requesting Data...2491363210</v>
        <stp/>
        <stp>BDP|18310597080774360402</stp>
        <tr r="A1409" s="2"/>
      </tp>
      <tp t="s">
        <v>#N/A Requesting Data...2410917456</v>
        <stp/>
        <stp>BDP|15359555553049569993</stp>
        <tr r="T2408" s="2"/>
      </tp>
      <tp t="s">
        <v>#N/A Requesting Data...2483208396</v>
        <stp/>
        <stp>BDP|16624178224861520195</stp>
        <tr r="O127" s="2"/>
      </tp>
      <tp t="s">
        <v>#N/A Requesting Data...3952791653</v>
        <stp/>
        <stp>BDP|14895695676053795390</stp>
        <tr r="N216" s="2"/>
      </tp>
      <tp t="s">
        <v>#N/A Requesting Data...2417090990</v>
        <stp/>
        <stp>BDP|14945619360282620379</stp>
        <tr r="K2089" s="2"/>
      </tp>
      <tp t="s">
        <v>#N/A Requesting Data...2836499575</v>
        <stp/>
        <stp>BDP|17553305406673329290</stp>
        <tr r="J2211" s="2"/>
      </tp>
      <tp t="s">
        <v>#N/A Requesting Data...3938253657</v>
        <stp/>
        <stp>BDP|15051883533763410864</stp>
        <tr r="H1244" s="2"/>
      </tp>
      <tp t="s">
        <v>#N/A Requesting Data...3086200359</v>
        <stp/>
        <stp>BDP|16517249404326509780</stp>
        <tr r="K1982" s="2"/>
      </tp>
      <tp t="s">
        <v>#N/A Requesting Data...3299479505</v>
        <stp/>
        <stp>BDP|12450608903395745481</stp>
        <tr r="H2476" s="2"/>
      </tp>
      <tp t="s">
        <v>#N/A Requesting Data...3375954497</v>
        <stp/>
        <stp>BDP|12064151649202395077</stp>
        <tr r="G1427" s="2"/>
      </tp>
      <tp t="s">
        <v>#N/A Requesting Data...3361182151</v>
        <stp/>
        <stp>BDP|11593097222621265745</stp>
        <tr r="C2337" s="2"/>
      </tp>
      <tp t="s">
        <v>#N/A Requesting Data...3538757297</v>
        <stp/>
        <stp>BDP|17456916631010810849</stp>
        <tr r="E1629" s="2"/>
      </tp>
      <tp t="s">
        <v>#N/A Requesting Data...4181883541</v>
        <stp/>
        <stp>BDP|10656764017157921469</stp>
        <tr r="J960" s="2"/>
      </tp>
      <tp t="s">
        <v>#N/A Requesting Data...2385989694</v>
        <stp/>
        <stp>BDP|14160800840578907509</stp>
        <tr r="T88" s="2"/>
      </tp>
      <tp t="s">
        <v>#N/A Requesting Data...2738794551</v>
        <stp/>
        <stp>BDP|11130064872950826356</stp>
        <tr r="M1872" s="2"/>
      </tp>
      <tp t="s">
        <v>#N/A Requesting Data...3937602892</v>
        <stp/>
        <stp>BDP|10156097456968560837</stp>
        <tr r="H725" s="2"/>
      </tp>
      <tp t="b">
        <v>0</v>
        <stp/>
        <stp>BDS|15396701666777740691</stp>
        <tr r="I2023" s="2"/>
      </tp>
      <tp t="s">
        <v>#N/A Requesting Data...2898188570</v>
        <stp/>
        <stp>BDP|16636387792531332878</stp>
        <tr r="J1561" s="2"/>
      </tp>
      <tp t="s">
        <v>#N/A Requesting Data...2537172648</v>
        <stp/>
        <stp>BDP|17234215373621886602</stp>
        <tr r="F1550" s="2"/>
      </tp>
      <tp t="s">
        <v>#N/A Requesting Data...3224703211</v>
        <stp/>
        <stp>BDP|11684395053791269365</stp>
        <tr r="A1852" s="2"/>
      </tp>
      <tp t="s">
        <v>#N/A Requesting Data...3248612520</v>
        <stp/>
        <stp>BDP|15384147729032036165</stp>
        <tr r="E2289" s="2"/>
      </tp>
      <tp t="s">
        <v>#N/A Requesting Data...3385309185</v>
        <stp/>
        <stp>BDP|16575079457324557280</stp>
        <tr r="R1723" s="2"/>
      </tp>
      <tp t="s">
        <v>#N/A Requesting Data...3179040457</v>
        <stp/>
        <stp>BDP|18331226691006857008</stp>
        <tr r="E1831" s="2"/>
      </tp>
      <tp t="s">
        <v>#N/A Requesting Data...3347867109</v>
        <stp/>
        <stp>BDP|17988798349983901281</stp>
        <tr r="R401" s="2"/>
      </tp>
      <tp t="s">
        <v>#N/A Requesting Data...2387864232</v>
        <stp/>
        <stp>BDP|17276451064367288792</stp>
        <tr r="T290" s="2"/>
      </tp>
      <tp t="s">
        <v>#N/A Requesting Data...3478990923</v>
        <stp/>
        <stp>BDP|14767571127771984767</stp>
        <tr r="E1816" s="2"/>
      </tp>
      <tp t="s">
        <v>#N/A Requesting Data...4089343942</v>
        <stp/>
        <stp>BDP|17120141712035651799</stp>
        <tr r="F319" s="2"/>
      </tp>
      <tp t="s">
        <v>#N/A Requesting Data...3206969421</v>
        <stp/>
        <stp>BDP|17182410599109731665</stp>
        <tr r="A2177" s="2"/>
      </tp>
      <tp t="s">
        <v>#N/A Requesting Data...3635346589</v>
        <stp/>
        <stp>BDP|17971305161934862382</stp>
        <tr r="G2404" s="2"/>
      </tp>
      <tp t="s">
        <v>#N/A Requesting Data...3058358412</v>
        <stp/>
        <stp>BDP|17601119036810170089</stp>
        <tr r="S738" s="2"/>
      </tp>
      <tp t="s">
        <v>#N/A Requesting Data...2446350499</v>
        <stp/>
        <stp>BDP|10739416529923522020</stp>
        <tr r="K2131" s="2"/>
      </tp>
      <tp t="s">
        <v>#N/A Requesting Data...3756474256</v>
        <stp/>
        <stp>BDP|12628469444784558397</stp>
        <tr r="S1945" s="2"/>
      </tp>
      <tp t="s">
        <v>#N/A Requesting Data...2874659618</v>
        <stp/>
        <stp>BDP|13838728253657766365</stp>
        <tr r="G2152" s="2"/>
      </tp>
      <tp t="s">
        <v>#N/A Requesting Data...3582601918</v>
        <stp/>
        <stp>BDP|16866716044267788724</stp>
        <tr r="E445" s="2"/>
      </tp>
      <tp t="s">
        <v>#N/A Requesting Data...2831966005</v>
        <stp/>
        <stp>BDP|12029488245343275470</stp>
        <tr r="A2221" s="2"/>
      </tp>
      <tp t="s">
        <v>#N/A Requesting Data...2659392584</v>
        <stp/>
        <stp>BDP|15104777146255125699</stp>
        <tr r="D308" s="2"/>
      </tp>
      <tp t="s">
        <v>#N/A Requesting Data...4168054301</v>
        <stp/>
        <stp>BDP|17194601658972260339</stp>
        <tr r="D1074" s="2"/>
      </tp>
      <tp t="s">
        <v>#N/A Requesting Data...3630113771</v>
        <stp/>
        <stp>BDP|12084885850488050202</stp>
        <tr r="C682" s="2"/>
      </tp>
      <tp t="s">
        <v>#N/A Requesting Data...2765119320</v>
        <stp/>
        <stp>BDP|15586648148887623577</stp>
        <tr r="Q1379" s="2"/>
      </tp>
      <tp t="s">
        <v>#N/A Requesting Data...2417838922</v>
        <stp/>
        <stp>BDP|13895557564367048214</stp>
        <tr r="C2212" s="2"/>
      </tp>
      <tp t="s">
        <v>#N/A Requesting Data...4215618816</v>
        <stp/>
        <stp>BDP|15877328826664511515</stp>
        <tr r="K2179" s="2"/>
      </tp>
      <tp t="s">
        <v>#N/A Requesting Data...3017467281</v>
        <stp/>
        <stp>BDP|10110510556860619585</stp>
        <tr r="N1126" s="2"/>
      </tp>
      <tp t="s">
        <v>#N/A Requesting Data...3801208735</v>
        <stp/>
        <stp>BDP|10533079374737632583</stp>
        <tr r="A104" s="2"/>
      </tp>
      <tp t="s">
        <v>#N/A Requesting Data...3614760118</v>
        <stp/>
        <stp>BDP|12207621348931556450</stp>
        <tr r="G237" s="2"/>
      </tp>
      <tp t="s">
        <v>#N/A Requesting Data...2551880063</v>
        <stp/>
        <stp>BDP|10886145056213148237</stp>
        <tr r="F128" s="2"/>
      </tp>
      <tp t="s">
        <v>#N/A Requesting Data...4025879883</v>
        <stp/>
        <stp>BDP|12832675166946108103</stp>
        <tr r="A1059" s="2"/>
      </tp>
      <tp t="s">
        <v>#N/A Requesting Data...3072573723</v>
        <stp/>
        <stp>BDP|12804117890107832899</stp>
        <tr r="C140" s="2"/>
      </tp>
      <tp t="s">
        <v>#N/A Requesting Data...4235835675</v>
        <stp/>
        <stp>BDP|17189556234567013386</stp>
        <tr r="Q518" s="2"/>
      </tp>
      <tp t="s">
        <v>#N/A Requesting Data...3803476405</v>
        <stp/>
        <stp>BDP|14108021810694330488</stp>
        <tr r="Q2317" s="2"/>
      </tp>
      <tp t="s">
        <v>#N/A Requesting Data...3867476949</v>
        <stp/>
        <stp>BDP|11441054609251985596</stp>
        <tr r="M294" s="2"/>
      </tp>
      <tp t="s">
        <v>#N/A Requesting Data...3612107747</v>
        <stp/>
        <stp>BDP|14914270294873756950</stp>
        <tr r="D1690" s="2"/>
      </tp>
      <tp t="s">
        <v>#N/A Requesting Data...3620584521</v>
        <stp/>
        <stp>BDP|14222065902637703692</stp>
        <tr r="D962" s="2"/>
      </tp>
      <tp t="s">
        <v>#N/A Requesting Data...3361226189</v>
        <stp/>
        <stp>BDP|14330654639736531220</stp>
        <tr r="T1595" s="2"/>
      </tp>
      <tp t="s">
        <v>#N/A Requesting Data...2668302618</v>
        <stp/>
        <stp>BDP|15871537765934532739</stp>
        <tr r="S1149" s="2"/>
      </tp>
      <tp t="s">
        <v>#N/A Requesting Data...2962269131</v>
        <stp/>
        <stp>BDP|17124497317424325340</stp>
        <tr r="Q1855" s="2"/>
      </tp>
      <tp t="s">
        <v>#N/A Requesting Data...4231245828</v>
        <stp/>
        <stp>BDP|14045623632044154091</stp>
        <tr r="Q1165" s="2"/>
      </tp>
      <tp t="s">
        <v>#N/A Requesting Data...2857378538</v>
        <stp/>
        <stp>BDP|14097606274632498282</stp>
        <tr r="G1487" s="2"/>
      </tp>
      <tp t="s">
        <v>#N/A Requesting Data...3910368966</v>
        <stp/>
        <stp>BDP|17031016387722858865</stp>
        <tr r="F2057" s="2"/>
      </tp>
      <tp t="s">
        <v>#N/A Requesting Data...3419021833</v>
        <stp/>
        <stp>BDP|13142677888468667003</stp>
        <tr r="S1942" s="2"/>
      </tp>
      <tp t="s">
        <v>#N/A Requesting Data...2507305084</v>
        <stp/>
        <stp>BDP|16466466992709844701</stp>
        <tr r="T1985" s="2"/>
      </tp>
      <tp t="s">
        <v>#N/A Requesting Data...3767385322</v>
        <stp/>
        <stp>BDP|14312195761283428576</stp>
        <tr r="Q491" s="2"/>
      </tp>
      <tp t="s">
        <v>#N/A Requesting Data...3975775838</v>
        <stp/>
        <stp>BDP|16853570100966061078</stp>
        <tr r="E30" s="2"/>
      </tp>
      <tp t="s">
        <v>#N/A Requesting Data...3361608588</v>
        <stp/>
        <stp>BDP|17337978878934600823</stp>
        <tr r="D1194" s="2"/>
      </tp>
      <tp t="s">
        <v>#N/A Requesting Data...3497810717</v>
        <stp/>
        <stp>BDP|17139995660208646561</stp>
        <tr r="R1707" s="2"/>
      </tp>
      <tp t="s">
        <v>#N/A Requesting Data...3141495964</v>
        <stp/>
        <stp>BDP|16672429578281644129</stp>
        <tr r="K918" s="2"/>
      </tp>
      <tp t="s">
        <v>#N/A Requesting Data...3663454752</v>
        <stp/>
        <stp>BDP|13998079935366730341</stp>
        <tr r="R1149" s="2"/>
      </tp>
      <tp t="b">
        <v>0</v>
        <stp/>
        <stp>BDS|11850736537521741103</stp>
        <tr r="I1929" s="2"/>
      </tp>
      <tp t="s">
        <v>#N/A Requesting Data...3111593348</v>
        <stp/>
        <stp>BDP|16269307970092808520</stp>
        <tr r="D1228" s="2"/>
      </tp>
      <tp t="s">
        <v>#N/A Requesting Data...3651140651</v>
        <stp/>
        <stp>BDP|16513661484269610492</stp>
        <tr r="T616" s="2"/>
      </tp>
      <tp t="s">
        <v>#N/A Requesting Data...3473013544</v>
        <stp/>
        <stp>BDP|16919241997611751952</stp>
        <tr r="N1827" s="2"/>
      </tp>
      <tp t="s">
        <v>#N/A Requesting Data...3395621063</v>
        <stp/>
        <stp>BDP|11227653924748851833</stp>
        <tr r="J2084" s="2"/>
      </tp>
      <tp t="s">
        <v>#N/A Requesting Data...4186235766</v>
        <stp/>
        <stp>BDP|10558913788480032441</stp>
        <tr r="E1554" s="2"/>
      </tp>
      <tp t="s">
        <v>#N/A Requesting Data...3109605196</v>
        <stp/>
        <stp>BDP|14995019631602115007</stp>
        <tr r="H2419" s="2"/>
      </tp>
      <tp t="s">
        <v>#N/A Requesting Data...3451635033</v>
        <stp/>
        <stp>BDP|15324412988139558574</stp>
        <tr r="O732" s="2"/>
      </tp>
      <tp t="s">
        <v>#N/A Requesting Data...3853363100</v>
        <stp/>
        <stp>BDP|11123909577019896362</stp>
        <tr r="O2015" s="2"/>
      </tp>
      <tp t="s">
        <v>#N/A Requesting Data...4273324591</v>
        <stp/>
        <stp>BDP|15925917520799378235</stp>
        <tr r="P477" s="2"/>
      </tp>
      <tp t="s">
        <v>#N/A Requesting Data...3492443193</v>
        <stp/>
        <stp>BDP|16202169395848894318</stp>
        <tr r="N1037" s="2"/>
      </tp>
      <tp t="b">
        <v>0</v>
        <stp/>
        <stp>BDS|17417756601077376280</stp>
        <tr r="I977" s="2"/>
      </tp>
      <tp t="s">
        <v>#N/A Requesting Data...3634874185</v>
        <stp/>
        <stp>BDP|11879443656512117737</stp>
        <tr r="N2484" s="2"/>
      </tp>
      <tp t="s">
        <v>#N/A Requesting Data...3398260550</v>
        <stp/>
        <stp>BDP|14789784707363510559</stp>
        <tr r="G1898" s="2"/>
      </tp>
      <tp t="s">
        <v>#N/A Requesting Data...3707047068</v>
        <stp/>
        <stp>BDP|16478588554400647368</stp>
        <tr r="F256" s="2"/>
      </tp>
      <tp t="s">
        <v>#N/A Requesting Data...3374506052</v>
        <stp/>
        <stp>BDP|10790004820756658198</stp>
        <tr r="R1757" s="2"/>
      </tp>
      <tp t="s">
        <v>#N/A Requesting Data...2744126331</v>
        <stp/>
        <stp>BDP|11433637069510573431</stp>
        <tr r="Q1838" s="2"/>
      </tp>
      <tp t="s">
        <v>#N/A Requesting Data...2701796927</v>
        <stp/>
        <stp>BDP|18195830731347387185</stp>
        <tr r="P1587" s="2"/>
      </tp>
      <tp t="s">
        <v>#N/A Requesting Data...3465565686</v>
        <stp/>
        <stp>BDP|14748312854052885529</stp>
        <tr r="N1448" s="2"/>
      </tp>
      <tp t="s">
        <v>#N/A Requesting Data...4224489227</v>
        <stp/>
        <stp>BDP|16922245845294419142</stp>
        <tr r="P2464" s="2"/>
      </tp>
      <tp t="s">
        <v>#N/A Requesting Data...3966315982</v>
        <stp/>
        <stp>BDP|14052645752771796398</stp>
        <tr r="S219" s="2"/>
      </tp>
      <tp t="s">
        <v>#N/A Requesting Data...3170339717</v>
        <stp/>
        <stp>BDP|15938571777993282135</stp>
        <tr r="J1621" s="2"/>
      </tp>
      <tp t="s">
        <v>#N/A Requesting Data...4091435175</v>
        <stp/>
        <stp>BDP|13872014858685873614</stp>
        <tr r="M567" s="2"/>
      </tp>
      <tp t="s">
        <v>#N/A Requesting Data...3692435284</v>
        <stp/>
        <stp>BDP|15031736637552953653</stp>
        <tr r="J1320" s="2"/>
      </tp>
      <tp t="s">
        <v>#N/A Requesting Data...4010468028</v>
        <stp/>
        <stp>BDP|15619704968988528938</stp>
        <tr r="D959" s="2"/>
      </tp>
      <tp t="s">
        <v>#N/A Requesting Data...3760133422</v>
        <stp/>
        <stp>BDP|11234389435943127767</stp>
        <tr r="H1018" s="2"/>
      </tp>
      <tp t="s">
        <v>#N/A Requesting Data...3562298415</v>
        <stp/>
        <stp>BDP|11724602101214648683</stp>
        <tr r="A459" s="2"/>
      </tp>
      <tp t="s">
        <v>#N/A Requesting Data...3007879423</v>
        <stp/>
        <stp>BDP|11975727443740900792</stp>
        <tr r="H1143" s="2"/>
      </tp>
      <tp t="s">
        <v>#N/A Requesting Data...3218483224</v>
        <stp/>
        <stp>BDP|12003915129275760974</stp>
        <tr r="T2243" s="2"/>
      </tp>
      <tp t="s">
        <v>#N/A Requesting Data...4150059168</v>
        <stp/>
        <stp>BDP|16798099119137609594</stp>
        <tr r="C12" s="2"/>
      </tp>
      <tp t="s">
        <v>#N/A Requesting Data...3616643436</v>
        <stp/>
        <stp>BDP|17306889509583904938</stp>
        <tr r="S2439" s="2"/>
      </tp>
      <tp t="s">
        <v>#N/A Requesting Data...4277261818</v>
        <stp/>
        <stp>BDP|11131504596399745184</stp>
        <tr r="R529" s="2"/>
      </tp>
      <tp t="s">
        <v>#N/A Requesting Data...3549299901</v>
        <stp/>
        <stp>BDP|16850285748794465145</stp>
        <tr r="F1866" s="2"/>
      </tp>
      <tp t="s">
        <v>#N/A Requesting Data...4196946557</v>
        <stp/>
        <stp>BDP|15612676312534248392</stp>
        <tr r="J2473" s="2"/>
      </tp>
      <tp t="s">
        <v>#N/A Requesting Data...2678400789</v>
        <stp/>
        <stp>BDP|13617756153196849206</stp>
        <tr r="C774" s="2"/>
      </tp>
      <tp t="s">
        <v>#N/A Requesting Data...3653039121</v>
        <stp/>
        <stp>BDP|15605122889688553105</stp>
        <tr r="R98" s="2"/>
      </tp>
      <tp t="s">
        <v>#N/A Requesting Data...3796345505</v>
        <stp/>
        <stp>BDP|13150392148171957017</stp>
        <tr r="D1054" s="2"/>
      </tp>
      <tp t="s">
        <v>#N/A Requesting Data...3323581940</v>
        <stp/>
        <stp>BDP|11908278623271176576</stp>
        <tr r="C1572" s="2"/>
      </tp>
      <tp t="s">
        <v>#N/A Requesting Data...3336817921</v>
        <stp/>
        <stp>BDP|14516693238620988466</stp>
        <tr r="F59" s="2"/>
      </tp>
      <tp t="s">
        <v>#N/A Requesting Data...3937300166</v>
        <stp/>
        <stp>BDP|12552230459311297165</stp>
        <tr r="C609" s="2"/>
      </tp>
      <tp t="s">
        <v>#N/A Requesting Data...2977379814</v>
        <stp/>
        <stp>BDP|15202729311743945530</stp>
        <tr r="F1922" s="2"/>
      </tp>
      <tp t="s">
        <v>#N/A Requesting Data...4148189673</v>
        <stp/>
        <stp>BDP|17261250098239160058</stp>
        <tr r="F695" s="2"/>
      </tp>
      <tp t="s">
        <v>#N/A Requesting Data...3700549341</v>
        <stp/>
        <stp>BDP|17395373630544675692</stp>
        <tr r="G710" s="2"/>
      </tp>
      <tp t="s">
        <v>#N/A Requesting Data...4017570670</v>
        <stp/>
        <stp>BDP|10766364317686490194</stp>
        <tr r="H1211" s="2"/>
      </tp>
      <tp t="s">
        <v>#N/A Requesting Data...2762450392</v>
        <stp/>
        <stp>BDP|10615389318654406397</stp>
        <tr r="G137" s="2"/>
      </tp>
      <tp t="s">
        <v>#N/A Requesting Data...3130488857</v>
        <stp/>
        <stp>BDP|11811514573727983183</stp>
        <tr r="N2272" s="2"/>
      </tp>
      <tp t="s">
        <v>#N/A Requesting Data...2738849289</v>
        <stp/>
        <stp>BDP|15211909488113990289</stp>
        <tr r="C863" s="2"/>
      </tp>
      <tp t="s">
        <v>#N/A Requesting Data...2682372790</v>
        <stp/>
        <stp>BDP|14728294065787897281</stp>
        <tr r="C1298" s="2"/>
      </tp>
      <tp t="s">
        <v>#N/A Requesting Data...2627188498</v>
        <stp/>
        <stp>BDP|10052004849841558075</stp>
        <tr r="Q1212" s="2"/>
      </tp>
      <tp t="s">
        <v>#N/A Requesting Data...4174973137</v>
        <stp/>
        <stp>BDP|12696511439866682731</stp>
        <tr r="N24" s="2"/>
      </tp>
      <tp t="s">
        <v>#N/A Requesting Data...2848475939</v>
        <stp/>
        <stp>BDP|15140406753977071695</stp>
        <tr r="G2110" s="2"/>
      </tp>
      <tp t="s">
        <v>#N/A Requesting Data...2687548530</v>
        <stp/>
        <stp>BDP|14394072702954425599</stp>
        <tr r="D596" s="2"/>
      </tp>
      <tp t="s">
        <v>#N/A Requesting Data...4059400820</v>
        <stp/>
        <stp>BDP|16118168026210251086</stp>
        <tr r="P1392" s="2"/>
      </tp>
      <tp t="s">
        <v>#N/A Requesting Data...2977963234</v>
        <stp/>
        <stp>BDP|14383251525174140594</stp>
        <tr r="A1393" s="2"/>
      </tp>
      <tp t="s">
        <v>#N/A Requesting Data...4168130907</v>
        <stp/>
        <stp>BDP|11465087487295444948</stp>
        <tr r="C1895" s="2"/>
      </tp>
      <tp t="s">
        <v>#N/A Requesting Data...3673365638</v>
        <stp/>
        <stp>BDP|15134622933521880433</stp>
        <tr r="Q2067" s="2"/>
      </tp>
      <tp t="s">
        <v>#N/A Requesting Data...2896268130</v>
        <stp/>
        <stp>BDP|16084003176122859650</stp>
        <tr r="M885" s="2"/>
      </tp>
      <tp t="s">
        <v>#N/A Requesting Data...2880838153</v>
        <stp/>
        <stp>BDP|16442597777085157409</stp>
        <tr r="G2205" s="2"/>
      </tp>
      <tp t="s">
        <v>#N/A Requesting Data...3669556773</v>
        <stp/>
        <stp>BDP|14956941522639757338</stp>
        <tr r="M1880" s="2"/>
      </tp>
      <tp t="s">
        <v>#N/A Requesting Data...3690792389</v>
        <stp/>
        <stp>BDP|15448231236526899726</stp>
        <tr r="E150" s="2"/>
      </tp>
      <tp t="s">
        <v>#N/A Requesting Data...3059489647</v>
        <stp/>
        <stp>BDP|15241207928832538247</stp>
        <tr r="P171" s="2"/>
      </tp>
      <tp t="s">
        <v>#N/A Requesting Data...3405418920</v>
        <stp/>
        <stp>BDP|14843579736165770254</stp>
        <tr r="J1768" s="2"/>
      </tp>
      <tp t="b">
        <v>0</v>
        <stp/>
        <stp>BDS|17482244110252134392</stp>
        <tr r="I276" s="2"/>
      </tp>
      <tp t="s">
        <v>#N/A Requesting Data...3678877597</v>
        <stp/>
        <stp>BDP|18446607483361989256</stp>
        <tr r="T2385" s="2"/>
      </tp>
      <tp t="s">
        <v>#N/A Requesting Data...3391625510</v>
        <stp/>
        <stp>BDP|14227364121980911070</stp>
        <tr r="F2327" s="2"/>
      </tp>
      <tp t="s">
        <v>#N/A Requesting Data...3897582555</v>
        <stp/>
        <stp>BDP|15365947138419427309</stp>
        <tr r="K667" s="2"/>
      </tp>
      <tp t="s">
        <v>#N/A Requesting Data...3218910802</v>
        <stp/>
        <stp>BDP|14545507041919738984</stp>
        <tr r="D1530" s="2"/>
      </tp>
      <tp t="s">
        <v>#N/A Requesting Data...4027389762</v>
        <stp/>
        <stp>BDP|15233607189898417640</stp>
        <tr r="E1993" s="2"/>
      </tp>
      <tp t="s">
        <v>#N/A Requesting Data...3153891396</v>
        <stp/>
        <stp>BDP|16394584320951719578</stp>
        <tr r="R1759" s="2"/>
      </tp>
      <tp t="s">
        <v>#N/A Requesting Data...4236194850</v>
        <stp/>
        <stp>BDP|10978937463443382911</stp>
        <tr r="N1189" s="2"/>
      </tp>
      <tp t="s">
        <v>#N/A Requesting Data...4217799786</v>
        <stp/>
        <stp>BDP|16577792266913138103</stp>
        <tr r="A236" s="2"/>
      </tp>
      <tp t="s">
        <v>#N/A Requesting Data...3699647771</v>
        <stp/>
        <stp>BDP|16264592346951737312</stp>
        <tr r="J1047" s="2"/>
      </tp>
      <tp t="s">
        <v>#N/A Requesting Data...3249800348</v>
        <stp/>
        <stp>BDP|17522388329052712187</stp>
        <tr r="K1246" s="2"/>
      </tp>
      <tp t="s">
        <v>#N/A Requesting Data...3900787042</v>
        <stp/>
        <stp>BDP|10937669129753902241</stp>
        <tr r="P874" s="2"/>
      </tp>
      <tp t="s">
        <v>#N/A Requesting Data...3043919570</v>
        <stp/>
        <stp>BDP|13363759552283766788</stp>
        <tr r="D41" s="2"/>
      </tp>
      <tp t="s">
        <v>#N/A Requesting Data...4152225705</v>
        <stp/>
        <stp>BDP|13535884377179269033</stp>
        <tr r="R929" s="2"/>
      </tp>
      <tp t="s">
        <v>#N/A Requesting Data...2967562274</v>
        <stp/>
        <stp>BDP|12670770505022817275</stp>
        <tr r="H1367" s="2"/>
      </tp>
      <tp t="s">
        <v>#N/A Requesting Data...3312929724</v>
        <stp/>
        <stp>BDP|14424478444401590094</stp>
        <tr r="E322" s="2"/>
      </tp>
      <tp t="s">
        <v>#N/A Requesting Data...3665024358</v>
        <stp/>
        <stp>BDP|17150887482011955394</stp>
        <tr r="Q2238" s="2"/>
      </tp>
      <tp t="s">
        <v>#N/A Requesting Data...3538045937</v>
        <stp/>
        <stp>BDP|14908325433756114721</stp>
        <tr r="P2397" s="2"/>
      </tp>
      <tp t="s">
        <v>#N/A Requesting Data...3474504239</v>
        <stp/>
        <stp>BDP|18263060933346936854</stp>
        <tr r="S677" s="2"/>
      </tp>
      <tp t="s">
        <v>#N/A Requesting Data...2967963442</v>
        <stp/>
        <stp>BDP|15233745196607838931</stp>
        <tr r="F778" s="2"/>
      </tp>
      <tp t="s">
        <v>#N/A Requesting Data...3081513994</v>
        <stp/>
        <stp>BDP|12522717111641963077</stp>
        <tr r="G1795" s="2"/>
      </tp>
      <tp t="s">
        <v>#N/A Requesting Data...3886150874</v>
        <stp/>
        <stp>BDP|14441574700345812100</stp>
        <tr r="M216" s="2"/>
      </tp>
      <tp t="s">
        <v>#N/A Requesting Data...3712857762</v>
        <stp/>
        <stp>BDP|15213576758162761212</stp>
        <tr r="A537" s="2"/>
      </tp>
      <tp t="s">
        <v>#N/A Requesting Data...4272678631</v>
        <stp/>
        <stp>BDP|16165603740889999836</stp>
        <tr r="Q628" s="2"/>
      </tp>
      <tp t="s">
        <v>#N/A Requesting Data...3482481633</v>
        <stp/>
        <stp>BDP|14700103881278412091</stp>
        <tr r="O1143" s="2"/>
      </tp>
      <tp t="b">
        <v>0</v>
        <stp/>
        <stp>BDS|13203593840020414773</stp>
        <tr r="I1552" s="2"/>
      </tp>
      <tp t="s">
        <v>#N/A Requesting Data...3789604399</v>
        <stp/>
        <stp>BDP|13337781892629216104</stp>
        <tr r="O1662" s="2"/>
      </tp>
      <tp t="s">
        <v>#N/A Requesting Data...3939243342</v>
        <stp/>
        <stp>BDP|10655382658537415492</stp>
        <tr r="K1385" s="2"/>
      </tp>
      <tp t="s">
        <v>#N/A Requesting Data...2875520474</v>
        <stp/>
        <stp>BDP|10044449019824625406</stp>
        <tr r="G2471" s="2"/>
      </tp>
      <tp t="s">
        <v>#N/A Requesting Data...3012048199</v>
        <stp/>
        <stp>BDP|16664222751063608784</stp>
        <tr r="N1837" s="2"/>
      </tp>
      <tp t="s">
        <v>#N/A Requesting Data...4042326134</v>
        <stp/>
        <stp>BDP|10191220537085915168</stp>
        <tr r="N1505" s="2"/>
      </tp>
      <tp t="s">
        <v>#N/A Requesting Data...3859809275</v>
        <stp/>
        <stp>BDP|12910043656202932093</stp>
        <tr r="M1149" s="2"/>
      </tp>
      <tp t="s">
        <v>#N/A Requesting Data...2997818758</v>
        <stp/>
        <stp>BDP|11080761297858200281</stp>
        <tr r="R312" s="2"/>
      </tp>
      <tp t="s">
        <v>#N/A Requesting Data...2854573942</v>
        <stp/>
        <stp>BDP|15537390155182379415</stp>
        <tr r="C249" s="2"/>
      </tp>
      <tp t="s">
        <v>#N/A Requesting Data...3850792249</v>
        <stp/>
        <stp>BDP|17614650943039938922</stp>
        <tr r="R588" s="2"/>
      </tp>
      <tp t="s">
        <v>#N/A Requesting Data...3484118972</v>
        <stp/>
        <stp>BDP|10450679397819911365</stp>
        <tr r="G724" s="2"/>
      </tp>
      <tp t="s">
        <v>#N/A Requesting Data...3789084473</v>
        <stp/>
        <stp>BDP|13992615413843051201</stp>
        <tr r="C1189" s="2"/>
      </tp>
      <tp t="s">
        <v>#N/A Requesting Data...3220524162</v>
        <stp/>
        <stp>BDP|14004640237912814608</stp>
        <tr r="A1283" s="2"/>
      </tp>
      <tp t="s">
        <v>#N/A Requesting Data...3580412726</v>
        <stp/>
        <stp>BDP|14616188623726281446</stp>
        <tr r="N1110" s="2"/>
      </tp>
      <tp t="s">
        <v>#N/A Requesting Data...2874246387</v>
        <stp/>
        <stp>BDP|13187444177517874219</stp>
        <tr r="N8" s="2"/>
      </tp>
      <tp t="s">
        <v>#N/A Requesting Data...4095724951</v>
        <stp/>
        <stp>BDP|10633733166194147093</stp>
        <tr r="K1484" s="2"/>
      </tp>
      <tp t="s">
        <v>#N/A Requesting Data...4189862853</v>
        <stp/>
        <stp>BDP|13579122043370932363</stp>
        <tr r="E498" s="2"/>
      </tp>
      <tp t="s">
        <v>#N/A Requesting Data...3605181314</v>
        <stp/>
        <stp>BDP|10800854640799104075</stp>
        <tr r="F1084" s="2"/>
      </tp>
      <tp t="s">
        <v>#N/A Requesting Data...4187940762</v>
        <stp/>
        <stp>BDP|16826966093505042663</stp>
        <tr r="N2334" s="2"/>
      </tp>
      <tp t="s">
        <v>#N/A Requesting Data...3955649557</v>
        <stp/>
        <stp>BDP|16673350596600831964</stp>
        <tr r="Q95" s="2"/>
      </tp>
      <tp t="s">
        <v>#N/A Requesting Data...2828863020</v>
        <stp/>
        <stp>BDP|10770142558235100411</stp>
        <tr r="F89" s="2"/>
      </tp>
      <tp t="b">
        <v>0</v>
        <stp/>
        <stp>BDS|18191686586801515220</stp>
        <tr r="I913" s="2"/>
      </tp>
      <tp t="s">
        <v>#N/A Requesting Data...3534287138</v>
        <stp/>
        <stp>BDP|15652517046114860523</stp>
        <tr r="R684" s="2"/>
      </tp>
      <tp t="s">
        <v>#N/A Requesting Data...2854575305</v>
        <stp/>
        <stp>BDP|15737280830668104950</stp>
        <tr r="Q810" s="2"/>
      </tp>
      <tp t="s">
        <v>#N/A Requesting Data...3244981505</v>
        <stp/>
        <stp>BDP|10565825773193735984</stp>
        <tr r="D12" s="2"/>
      </tp>
      <tp t="s">
        <v>#N/A Requesting Data...3621366768</v>
        <stp/>
        <stp>BDP|16384733892329146489</stp>
        <tr r="M2309" s="2"/>
      </tp>
      <tp t="s">
        <v>#N/A Requesting Data...2794701325</v>
        <stp/>
        <stp>BDP|13556925087893995424</stp>
        <tr r="P365" s="2"/>
      </tp>
      <tp t="s">
        <v>#N/A Requesting Data...4161185965</v>
        <stp/>
        <stp>BDP|15477597759259662991</stp>
        <tr r="F2349" s="2"/>
      </tp>
      <tp t="s">
        <v>#N/A Requesting Data...3189381321</v>
        <stp/>
        <stp>BDP|11387493763293744559</stp>
        <tr r="M2307" s="2"/>
      </tp>
      <tp t="s">
        <v>#N/A Requesting Data...3529214244</v>
        <stp/>
        <stp>BDP|17754623878194679704</stp>
        <tr r="M2474" s="2"/>
      </tp>
      <tp t="s">
        <v>#N/A Requesting Data...3469656885</v>
        <stp/>
        <stp>BDP|11807633424896181657</stp>
        <tr r="S1236" s="2"/>
      </tp>
      <tp t="s">
        <v>#N/A Requesting Data...4164338179</v>
        <stp/>
        <stp>BDP|12977599729091722158</stp>
        <tr r="C2010" s="2"/>
      </tp>
      <tp t="s">
        <v>#N/A Requesting Data...2814210989</v>
        <stp/>
        <stp>BDP|13899320803612140720</stp>
        <tr r="F1799" s="2"/>
      </tp>
      <tp t="s">
        <v>#N/A Requesting Data...4095273354</v>
        <stp/>
        <stp>BDP|13132045248872314044</stp>
        <tr r="Q573" s="2"/>
      </tp>
      <tp t="s">
        <v>#N/A Requesting Data...2967295050</v>
        <stp/>
        <stp>BDP|15606034538872776100</stp>
        <tr r="C1063" s="2"/>
      </tp>
      <tp t="b">
        <v>0</v>
        <stp/>
        <stp>BDS|11367820992904834126</stp>
        <tr r="I1813" s="2"/>
      </tp>
      <tp t="s">
        <v>#N/A Requesting Data...4117150018</v>
        <stp/>
        <stp>BDP|13658479758197433074</stp>
        <tr r="K2374" s="2"/>
      </tp>
      <tp t="s">
        <v>#N/A Requesting Data...4047325260</v>
        <stp/>
        <stp>BDP|11306670267943823711</stp>
        <tr r="G914" s="2"/>
      </tp>
      <tp t="s">
        <v>#N/A Requesting Data...4155795087</v>
        <stp/>
        <stp>BDP|11025129132702206486</stp>
        <tr r="G766" s="2"/>
      </tp>
      <tp t="s">
        <v>#N/A Requesting Data...3894504066</v>
        <stp/>
        <stp>BDP|12282130105567829166</stp>
        <tr r="S2166" s="2"/>
      </tp>
      <tp t="s">
        <v>#N/A Requesting Data...3423345918</v>
        <stp/>
        <stp>BDP|16662587334485280024</stp>
        <tr r="O919" s="2"/>
      </tp>
      <tp t="s">
        <v>#N/A Requesting Data...3308417745</v>
        <stp/>
        <stp>BDP|12237152269926519611</stp>
        <tr r="D2264" s="2"/>
      </tp>
      <tp t="s">
        <v>#N/A Requesting Data...3537201551</v>
        <stp/>
        <stp>BDP|10285034487698512593</stp>
        <tr r="A46" s="2"/>
      </tp>
      <tp t="s">
        <v>#N/A Requesting Data...2994856565</v>
        <stp/>
        <stp>BDP|11946049145124733457</stp>
        <tr r="M2318" s="2"/>
      </tp>
      <tp t="s">
        <v>#N/A Requesting Data...2874041811</v>
        <stp/>
        <stp>BDP|12218452767085231088</stp>
        <tr r="R1533" s="2"/>
      </tp>
      <tp t="s">
        <v>#N/A Requesting Data...3544524614</v>
        <stp/>
        <stp>BDP|13744524348932084579</stp>
        <tr r="O698" s="2"/>
      </tp>
      <tp t="b">
        <v>0</v>
        <stp/>
        <stp>BDS|12421781324823600173</stp>
        <tr r="I1033" s="2"/>
      </tp>
      <tp t="s">
        <v>#N/A Requesting Data...3512821086</v>
        <stp/>
        <stp>BDP|16040520722031957539</stp>
        <tr r="S2061" s="2"/>
      </tp>
      <tp t="s">
        <v>#N/A Requesting Data...3036704393</v>
        <stp/>
        <stp>BDP|13899460044510574654</stp>
        <tr r="K1963" s="2"/>
      </tp>
      <tp t="s">
        <v>#N/A Requesting Data...3229726686</v>
        <stp/>
        <stp>BDP|13231123322290181595</stp>
        <tr r="Q646" s="2"/>
      </tp>
      <tp t="s">
        <v>#N/A Requesting Data...2981155997</v>
        <stp/>
        <stp>BDP|17655388546897589272</stp>
        <tr r="G948" s="2"/>
      </tp>
      <tp t="s">
        <v>#N/A Requesting Data...3932758028</v>
        <stp/>
        <stp>BDP|16603103728768026848</stp>
        <tr r="O255" s="2"/>
      </tp>
      <tp t="s">
        <v>#N/A Requesting Data...2859816099</v>
        <stp/>
        <stp>BDP|13432241865856672490</stp>
        <tr r="G2481" s="2"/>
      </tp>
      <tp t="s">
        <v>#N/A Requesting Data...2909231097</v>
        <stp/>
        <stp>BDP|17556598886848693761</stp>
        <tr r="Q447" s="2"/>
      </tp>
      <tp t="s">
        <v>#N/A Requesting Data...3219380414</v>
        <stp/>
        <stp>BDP|12891144950151455224</stp>
        <tr r="M37" s="2"/>
      </tp>
      <tp t="s">
        <v>#N/A Requesting Data...3586013526</v>
        <stp/>
        <stp>BDP|11416608637174963503</stp>
        <tr r="H562" s="2"/>
      </tp>
      <tp t="s">
        <v>#N/A Requesting Data...2878921172</v>
        <stp/>
        <stp>BDP|10985980039079430666</stp>
        <tr r="M1496" s="2"/>
      </tp>
      <tp t="s">
        <v>#N/A Requesting Data...4026664522</v>
        <stp/>
        <stp>BDP|12095731965503915550</stp>
        <tr r="A902" s="2"/>
      </tp>
      <tp t="s">
        <v>#N/A Requesting Data...2986118477</v>
        <stp/>
        <stp>BDP|14903666761193398272</stp>
        <tr r="S1625" s="2"/>
      </tp>
      <tp t="s">
        <v>#N/A Requesting Data...3028187449</v>
        <stp/>
        <stp>BDP|12486242729074354303</stp>
        <tr r="M1375" s="2"/>
      </tp>
      <tp t="s">
        <v>#N/A Requesting Data...3921418960</v>
        <stp/>
        <stp>BDP|12666065326081503490</stp>
        <tr r="D990" s="2"/>
      </tp>
      <tp t="s">
        <v>#N/A Requesting Data...2894249023</v>
        <stp/>
        <stp>BDP|13357182677278578831</stp>
        <tr r="P592" s="2"/>
      </tp>
      <tp t="s">
        <v>#N/A Requesting Data...3409812203</v>
        <stp/>
        <stp>BDP|15899756575108395814</stp>
        <tr r="J1219" s="2"/>
      </tp>
      <tp t="s">
        <v>#N/A Requesting Data...3608172162</v>
        <stp/>
        <stp>BDP|12562892290234647201</stp>
        <tr r="E1719" s="2"/>
      </tp>
      <tp t="s">
        <v>#N/A Requesting Data...3631655480</v>
        <stp/>
        <stp>BDP|16411967887456838472</stp>
        <tr r="S1769" s="2"/>
      </tp>
      <tp t="s">
        <v>#N/A Requesting Data...3248008716</v>
        <stp/>
        <stp>BDP|15293841748834166855</stp>
        <tr r="K1237" s="2"/>
      </tp>
      <tp t="s">
        <v>#N/A Requesting Data...3374370727</v>
        <stp/>
        <stp>BDP|12650192048161446391</stp>
        <tr r="E1183" s="2"/>
      </tp>
      <tp t="s">
        <v>#N/A Requesting Data...2972242840</v>
        <stp/>
        <stp>BDP|16364653893378628497</stp>
        <tr r="C2037" s="2"/>
      </tp>
      <tp t="s">
        <v>#N/A Requesting Data...3164734719</v>
        <stp/>
        <stp>BDP|13847346103184200171</stp>
        <tr r="N1496" s="2"/>
      </tp>
      <tp t="s">
        <v>#N/A Requesting Data...2929725233</v>
        <stp/>
        <stp>BDP|14713218829561763028</stp>
        <tr r="F2285" s="2"/>
      </tp>
      <tp t="s">
        <v>#N/A Requesting Data...3134208728</v>
        <stp/>
        <stp>BDP|15408885091364330547</stp>
        <tr r="H490" s="2"/>
      </tp>
      <tp t="s">
        <v>#N/A Requesting Data...3158726430</v>
        <stp/>
        <stp>BDP|14874860494136214625</stp>
        <tr r="K1812" s="2"/>
      </tp>
      <tp t="s">
        <v>#N/A Requesting Data...3283297547</v>
        <stp/>
        <stp>BDP|11689074221024288286</stp>
        <tr r="C1941" s="2"/>
      </tp>
      <tp t="s">
        <v>#N/A Requesting Data...3089536420</v>
        <stp/>
        <stp>BDP|15156832997778659997</stp>
        <tr r="T109" s="2"/>
      </tp>
      <tp t="s">
        <v>#N/A Requesting Data...3441205023</v>
        <stp/>
        <stp>BDP|18170830140045124497</stp>
        <tr r="R188" s="2"/>
      </tp>
      <tp t="s">
        <v>#N/A Requesting Data...3064592185</v>
        <stp/>
        <stp>BDP|13435310567556977513</stp>
        <tr r="H218" s="2"/>
      </tp>
      <tp t="s">
        <v>#N/A Requesting Data...3005692916</v>
        <stp/>
        <stp>BDP|12169863416316971820</stp>
        <tr r="M1967" s="2"/>
      </tp>
      <tp t="s">
        <v>#N/A Requesting Data...3742337862</v>
        <stp/>
        <stp>BDP|18180889982615814897</stp>
        <tr r="H1578" s="2"/>
      </tp>
      <tp t="s">
        <v>#N/A Requesting Data...3017753039</v>
        <stp/>
        <stp>BDP|10319246479557017742</stp>
        <tr r="R2098" s="2"/>
      </tp>
      <tp t="s">
        <v>#N/A Requesting Data...4254109648</v>
        <stp/>
        <stp>BDP|10186991097795184047</stp>
        <tr r="K1092" s="2"/>
      </tp>
      <tp t="s">
        <v>#N/A Requesting Data...3425343002</v>
        <stp/>
        <stp>BDP|11797200912892792589</stp>
        <tr r="J104" s="2"/>
      </tp>
      <tp t="s">
        <v>#N/A Requesting Data...3965515218</v>
        <stp/>
        <stp>BDP|15498809083175568586</stp>
        <tr r="T217" s="2"/>
      </tp>
      <tp t="s">
        <v>#N/A Requesting Data...3998633614</v>
        <stp/>
        <stp>BDP|10715565708031710144</stp>
        <tr r="K693" s="2"/>
      </tp>
      <tp t="s">
        <v>#N/A Requesting Data...4215688915</v>
        <stp/>
        <stp>BDP|12585859592021172797</stp>
        <tr r="J1244" s="2"/>
      </tp>
      <tp t="s">
        <v>#N/A Requesting Data...3766455037</v>
        <stp/>
        <stp>BDP|15203672021715710195</stp>
        <tr r="D397" s="2"/>
      </tp>
      <tp t="s">
        <v>#N/A Requesting Data...4081385413</v>
        <stp/>
        <stp>BDP|13041154831246672285</stp>
        <tr r="H2090" s="2"/>
      </tp>
      <tp t="s">
        <v>#N/A Requesting Data...3918668590</v>
        <stp/>
        <stp>BDP|18348250664420112991</stp>
        <tr r="M1475" s="2"/>
      </tp>
      <tp t="s">
        <v>#N/A Requesting Data...3744391758</v>
        <stp/>
        <stp>BDP|14323875899646134662</stp>
        <tr r="P465" s="2"/>
      </tp>
      <tp t="s">
        <v>#N/A Requesting Data...3473574334</v>
        <stp/>
        <stp>BDP|15042343646125960210</stp>
        <tr r="T2164" s="2"/>
      </tp>
      <tp t="s">
        <v>#N/A Requesting Data...3991047346</v>
        <stp/>
        <stp>BDP|12300948364969866117</stp>
        <tr r="H1085" s="2"/>
      </tp>
      <tp t="s">
        <v>#N/A Requesting Data...4233313418</v>
        <stp/>
        <stp>BDP|13679386952309663904</stp>
        <tr r="C1430" s="2"/>
      </tp>
      <tp t="s">
        <v>#N/A Requesting Data...3451711938</v>
        <stp/>
        <stp>BDP|15208704975627430791</stp>
        <tr r="O1637" s="2"/>
      </tp>
      <tp t="s">
        <v>#N/A Requesting Data...3887109944</v>
        <stp/>
        <stp>BDP|14329756856676934531</stp>
        <tr r="D2454" s="2"/>
      </tp>
      <tp t="s">
        <v>#N/A Requesting Data...4071691942</v>
        <stp/>
        <stp>BDP|17969079123400555029</stp>
        <tr r="M1612" s="2"/>
      </tp>
      <tp t="s">
        <v>#N/A Requesting Data...3227684758</v>
        <stp/>
        <stp>BDP|14620393655806973199</stp>
        <tr r="O1386" s="2"/>
      </tp>
      <tp t="s">
        <v>#N/A Requesting Data...3908582177</v>
        <stp/>
        <stp>BDP|14167391574086448324</stp>
        <tr r="G363" s="2"/>
      </tp>
      <tp t="s">
        <v>#N/A Requesting Data...3532823676</v>
        <stp/>
        <stp>BDP|11659553376520774682</stp>
        <tr r="J1488" s="2"/>
      </tp>
      <tp t="s">
        <v>#N/A Requesting Data...3974679565</v>
        <stp/>
        <stp>BDP|13274757589348709135</stp>
        <tr r="T1507" s="2"/>
      </tp>
      <tp t="s">
        <v>#N/A Requesting Data...3933227467</v>
        <stp/>
        <stp>BDP|13293448975157106286</stp>
        <tr r="H599" s="2"/>
      </tp>
      <tp t="s">
        <v>#N/A Requesting Data...3052195633</v>
        <stp/>
        <stp>BDP|17491284024674192634</stp>
        <tr r="H2306" s="2"/>
      </tp>
      <tp t="s">
        <v>#N/A Requesting Data...4001821517</v>
        <stp/>
        <stp>BDP|13272989222929754454</stp>
        <tr r="H2345" s="2"/>
      </tp>
      <tp t="s">
        <v>#N/A Requesting Data...3838304893</v>
        <stp/>
        <stp>BDP|15265402748280627061</stp>
        <tr r="K1572" s="2"/>
      </tp>
      <tp t="s">
        <v>#N/A Requesting Data...3754473471</v>
        <stp/>
        <stp>BDP|14751654538622138611</stp>
        <tr r="N1302" s="2"/>
      </tp>
      <tp t="s">
        <v>#N/A Requesting Data...3928488061</v>
        <stp/>
        <stp>BDP|11855823600124518853</stp>
        <tr r="N1060" s="2"/>
      </tp>
      <tp t="s">
        <v>#N/A Requesting Data...3357997380</v>
        <stp/>
        <stp>BDP|10386595393140389901</stp>
        <tr r="J327" s="2"/>
      </tp>
      <tp t="s">
        <v>#N/A Requesting Data...3949729744</v>
        <stp/>
        <stp>BDP|17927778176754118639</stp>
        <tr r="O2204" s="2"/>
      </tp>
      <tp t="s">
        <v>#N/A Requesting Data...3475011556</v>
        <stp/>
        <stp>BDP|17589088670415489039</stp>
        <tr r="E1211" s="2"/>
      </tp>
      <tp t="s">
        <v>#N/A Requesting Data...3947945828</v>
        <stp/>
        <stp>BDP|14813618136784698032</stp>
        <tr r="F386" s="2"/>
      </tp>
      <tp t="s">
        <v>#N/A Requesting Data...4112197880</v>
        <stp/>
        <stp>BDP|14397385501995451744</stp>
        <tr r="P920" s="2"/>
      </tp>
      <tp t="s">
        <v>#N/A Requesting Data...3940037820</v>
        <stp/>
        <stp>BDP|10022280756467626520</stp>
        <tr r="O2198" s="2"/>
      </tp>
      <tp t="s">
        <v>#N/A Requesting Data...3659051857</v>
        <stp/>
        <stp>BDP|15226431855679885816</stp>
        <tr r="T1633" s="2"/>
      </tp>
      <tp t="s">
        <v>#N/A Requesting Data...3983166386</v>
        <stp/>
        <stp>BDP|16052939103429928341</stp>
        <tr r="J252" s="2"/>
      </tp>
      <tp t="s">
        <v>#N/A Requesting Data...4267245099</v>
        <stp/>
        <stp>BDP|16216028404181853216</stp>
        <tr r="S851" s="2"/>
      </tp>
      <tp t="s">
        <v>#N/A Requesting Data...3981628910</v>
        <stp/>
        <stp>BDP|16030219179430514604</stp>
        <tr r="R345" s="2"/>
      </tp>
      <tp t="s">
        <v>#N/A Requesting Data...4108931074</v>
        <stp/>
        <stp>BDP|10484718091422096996</stp>
        <tr r="G647" s="2"/>
      </tp>
      <tp t="s">
        <v>#N/A Requesting Data...3618120943</v>
        <stp/>
        <stp>BDP|18076344581791097787</stp>
        <tr r="G781" s="2"/>
      </tp>
      <tp t="s">
        <v>#N/A Requesting Data...3233299579</v>
        <stp/>
        <stp>BDP|16054749146010978061</stp>
        <tr r="G351" s="2"/>
      </tp>
      <tp t="s">
        <v>#N/A Requesting Data...3446928989</v>
        <stp/>
        <stp>BDP|13778692247923767730</stp>
        <tr r="F909" s="2"/>
      </tp>
      <tp t="s">
        <v>#N/A Requesting Data...3353834901</v>
        <stp/>
        <stp>BDP|11401361877935104592</stp>
        <tr r="A216" s="2"/>
      </tp>
      <tp t="s">
        <v>#N/A Requesting Data...3444794781</v>
        <stp/>
        <stp>BDP|15378771199499604768</stp>
        <tr r="M1025" s="2"/>
      </tp>
      <tp t="s">
        <v>#N/A Requesting Data...3314654489</v>
        <stp/>
        <stp>BDP|16280172303664233695</stp>
        <tr r="C2523" s="2"/>
      </tp>
      <tp t="b">
        <v>0</v>
        <stp/>
        <stp>BDS|12860340157282595304</stp>
        <tr r="I1117" s="2"/>
      </tp>
      <tp t="s">
        <v>#N/A Requesting Data...4280020136</v>
        <stp/>
        <stp>BDP|12777442533109849959</stp>
        <tr r="C1580" s="2"/>
      </tp>
      <tp t="s">
        <v>#N/A Requesting Data...4232695972</v>
        <stp/>
        <stp>BDP|16947424063947289678</stp>
        <tr r="P1964" s="2"/>
      </tp>
      <tp t="s">
        <v>#N/A Requesting Data...4284649020</v>
        <stp/>
        <stp>BDP|14380402992609966552</stp>
        <tr r="M92" s="2"/>
      </tp>
      <tp t="s">
        <v>#N/A Requesting Data...4230537209</v>
        <stp/>
        <stp>BDP|14181193156381206410</stp>
        <tr r="R1891" s="2"/>
      </tp>
      <tp t="s">
        <v>#N/A Requesting Data...3377384488</v>
        <stp/>
        <stp>BDP|17419162044733842438</stp>
        <tr r="M1223" s="2"/>
      </tp>
      <tp t="s">
        <v>#N/A Requesting Data...3069354795</v>
        <stp/>
        <stp>BDP|17265042318315292616</stp>
        <tr r="T1107" s="2"/>
      </tp>
      <tp t="s">
        <v>#N/A Requesting Data...3348155353</v>
        <stp/>
        <stp>BDP|13895155579570096098</stp>
        <tr r="P1864" s="2"/>
      </tp>
      <tp t="s">
        <v>#N/A Requesting Data...3179466851</v>
        <stp/>
        <stp>BDP|16784738794809470497</stp>
        <tr r="O1346" s="2"/>
      </tp>
      <tp t="s">
        <v>#N/A Requesting Data...4080287891</v>
        <stp/>
        <stp>BDP|16707239759023880789</stp>
        <tr r="T685" s="2"/>
      </tp>
      <tp t="s">
        <v>#N/A Requesting Data...3690438344</v>
        <stp/>
        <stp>BDP|15874795959826320467</stp>
        <tr r="A1595" s="2"/>
      </tp>
      <tp t="s">
        <v>#N/A Requesting Data...3295442718</v>
        <stp/>
        <stp>BDP|16918145465954256077</stp>
        <tr r="E2057" s="2"/>
      </tp>
      <tp t="s">
        <v>#N/A Requesting Data...4235925328</v>
        <stp/>
        <stp>BDP|11363696931861015066</stp>
        <tr r="O408" s="2"/>
      </tp>
      <tp t="s">
        <v>#N/A Requesting Data...4283067680</v>
        <stp/>
        <stp>BDP|17801775858265286580</stp>
        <tr r="S1434" s="2"/>
      </tp>
      <tp t="s">
        <v>#N/A Requesting Data...3563265171</v>
        <stp/>
        <stp>BDP|17675490274252786312</stp>
        <tr r="D2356" s="2"/>
      </tp>
      <tp t="s">
        <v>#N/A Requesting Data...4283528847</v>
        <stp/>
        <stp>BDP|12018334801897855376</stp>
        <tr r="H2193" s="2"/>
      </tp>
      <tp t="s">
        <v>#N/A Requesting Data...3490002445</v>
        <stp/>
        <stp>BDP|18308964543290800038</stp>
        <tr r="P2231" s="2"/>
      </tp>
      <tp t="s">
        <v>#N/A Requesting Data...4264023448</v>
        <stp/>
        <stp>BDP|11538064858979590839</stp>
        <tr r="H1782" s="2"/>
      </tp>
      <tp t="b">
        <v>0</v>
        <stp/>
        <stp>BDS|15940299260350884468</stp>
        <tr r="I2291" s="2"/>
      </tp>
      <tp t="s">
        <v>#N/A Requesting Data...3304940800</v>
        <stp/>
        <stp>BDP|16199580717334315306</stp>
        <tr r="D329" s="2"/>
      </tp>
      <tp t="s">
        <v>#N/A Requesting Data...3867973519</v>
        <stp/>
        <stp>BDP|13433705983190998933</stp>
        <tr r="E354" s="2"/>
      </tp>
      <tp t="s">
        <v>#N/A Requesting Data...3978161076</v>
        <stp/>
        <stp>BDP|11869023511385797012</stp>
        <tr r="F1508" s="2"/>
      </tp>
      <tp t="s">
        <v>#N/A Requesting Data...3530326881</v>
        <stp/>
        <stp>BDP|11788690261146404265</stp>
        <tr r="T651" s="2"/>
      </tp>
      <tp t="s">
        <v>#N/A Requesting Data...3602001867</v>
        <stp/>
        <stp>BDP|10835653625418086950</stp>
        <tr r="D1186" s="2"/>
      </tp>
      <tp t="s">
        <v>#N/A Requesting Data...3797874422</v>
        <stp/>
        <stp>BDP|11556866900845606988</stp>
        <tr r="N1870" s="2"/>
      </tp>
      <tp t="s">
        <v>#N/A Requesting Data...3651672258</v>
        <stp/>
        <stp>BDP|17126596934603442755</stp>
        <tr r="J1459" s="2"/>
      </tp>
      <tp t="s">
        <v>#N/A Requesting Data...3577025508</v>
        <stp/>
        <stp>BDP|17222399101182706309</stp>
        <tr r="N1809" s="2"/>
      </tp>
      <tp t="s">
        <v>#N/A Requesting Data...3180208126</v>
        <stp/>
        <stp>BDP|15696695843557180502</stp>
        <tr r="O2427" s="2"/>
      </tp>
      <tp t="s">
        <v>#N/A Requesting Data...4021624595</v>
        <stp/>
        <stp>BDP|18339083114445267901</stp>
        <tr r="Q130" s="2"/>
      </tp>
      <tp t="s">
        <v>#N/A Requesting Data...4202397628</v>
        <stp/>
        <stp>BDP|13602531201003854017</stp>
        <tr r="M692" s="2"/>
      </tp>
      <tp t="s">
        <v>#N/A Requesting Data...3849535398</v>
        <stp/>
        <stp>BDP|17210750189868036539</stp>
        <tr r="O1761" s="2"/>
      </tp>
      <tp t="s">
        <v>#N/A Requesting Data...4193040311</v>
        <stp/>
        <stp>BDP|16825647224133734424</stp>
        <tr r="D73" s="2"/>
      </tp>
      <tp t="s">
        <v>#N/A Requesting Data...3138003347</v>
        <stp/>
        <stp>BDP|14452420328300079733</stp>
        <tr r="R2245" s="2"/>
      </tp>
      <tp t="s">
        <v>#N/A Requesting Data...3828768938</v>
        <stp/>
        <stp>BDP|14677961323552915870</stp>
        <tr r="T422" s="2"/>
      </tp>
      <tp t="s">
        <v>#N/A Requesting Data...3528647855</v>
        <stp/>
        <stp>BDP|14794449039372577426</stp>
        <tr r="A884" s="2"/>
      </tp>
      <tp t="s">
        <v>#N/A Requesting Data...3215869252</v>
        <stp/>
        <stp>BDP|16768866685792173182</stp>
        <tr r="Q135" s="2"/>
      </tp>
      <tp t="s">
        <v>#N/A Requesting Data...3375495158</v>
        <stp/>
        <stp>BDP|13312780665540576761</stp>
        <tr r="H1590" s="2"/>
      </tp>
      <tp t="s">
        <v>#N/A Requesting Data...3296751447</v>
        <stp/>
        <stp>BDP|17304529744302183190</stp>
        <tr r="N184" s="2"/>
      </tp>
      <tp t="s">
        <v>#N/A Requesting Data...3988308155</v>
        <stp/>
        <stp>BDP|18324763095983891050</stp>
        <tr r="A2062" s="2"/>
      </tp>
      <tp t="s">
        <v>#N/A Requesting Data...3771838658</v>
        <stp/>
        <stp>BDP|14699321478561657479</stp>
        <tr r="N314" s="2"/>
      </tp>
      <tp t="s">
        <v>#N/A Requesting Data...3598397611</v>
        <stp/>
        <stp>BDP|17841724803623714636</stp>
        <tr r="Q1899" s="2"/>
      </tp>
      <tp t="s">
        <v>#N/A Requesting Data...3454772439</v>
        <stp/>
        <stp>BDP|17202746859311515175</stp>
        <tr r="S794" s="2"/>
      </tp>
      <tp t="s">
        <v>#N/A Requesting Data...3789668705</v>
        <stp/>
        <stp>BDP|11675287344243136160</stp>
        <tr r="C1432" s="2"/>
      </tp>
      <tp t="s">
        <v>#N/A Requesting Data...3886457735</v>
        <stp/>
        <stp>BDP|16131348803986325681</stp>
        <tr r="R1524" s="2"/>
      </tp>
      <tp t="s">
        <v>#N/A Requesting Data...4126773641</v>
        <stp/>
        <stp>BDP|16953573740037043533</stp>
        <tr r="P2378" s="2"/>
      </tp>
      <tp t="b">
        <v>0</v>
        <stp/>
        <stp>BDS|10203311109750253662</stp>
        <tr r="I1371" s="2"/>
      </tp>
      <tp t="s">
        <v>#N/A Requesting Data...3283967099</v>
        <stp/>
        <stp>BDP|17459085236682643313</stp>
        <tr r="M1103" s="2"/>
      </tp>
      <tp t="s">
        <v>#N/A Requesting Data...3904796782</v>
        <stp/>
        <stp>BDP|11106766234535665584</stp>
        <tr r="R2487" s="2"/>
      </tp>
      <tp t="s">
        <v>#N/A Requesting Data...3270627878</v>
        <stp/>
        <stp>BDP|14720901699040510163</stp>
        <tr r="P199" s="2"/>
      </tp>
      <tp t="s">
        <v>#N/A Requesting Data...3196387068</v>
        <stp/>
        <stp>BDP|14919168462754167218</stp>
        <tr r="M2455" s="2"/>
      </tp>
      <tp t="s">
        <v>#N/A Requesting Data...4053988758</v>
        <stp/>
        <stp>BDP|12285140129083312719</stp>
        <tr r="F140" s="2"/>
      </tp>
      <tp t="s">
        <v>#N/A Requesting Data...3249195948</v>
        <stp/>
        <stp>BDP|10151686953757077173</stp>
        <tr r="Q100" s="2"/>
      </tp>
      <tp t="s">
        <v>#N/A Requesting Data...3548906201</v>
        <stp/>
        <stp>BDP|13427791952146630241</stp>
        <tr r="F1595" s="2"/>
      </tp>
      <tp t="b">
        <v>0</v>
        <stp/>
        <stp>BDS|15211394913870248249</stp>
        <tr r="I1563" s="2"/>
      </tp>
      <tp t="s">
        <v>#N/A Requesting Data...3740206422</v>
        <stp/>
        <stp>BDP|13895349948935819418</stp>
        <tr r="E38" s="2"/>
      </tp>
      <tp t="s">
        <v>#N/A Requesting Data...3922378000</v>
        <stp/>
        <stp>BDP|17687633249954928487</stp>
        <tr r="P1690" s="2"/>
      </tp>
      <tp t="s">
        <v>#N/A Requesting Data...3421672546</v>
        <stp/>
        <stp>BDP|16248749120076339089</stp>
        <tr r="S1133" s="2"/>
      </tp>
      <tp t="s">
        <v>#N/A Requesting Data...4115291642</v>
        <stp/>
        <stp>BDP|10458186028300838614</stp>
        <tr r="Q1424" s="2"/>
      </tp>
      <tp t="s">
        <v>#N/A Requesting Data...3759376559</v>
        <stp/>
        <stp>BDP|17937367902485535454</stp>
        <tr r="G2207" s="2"/>
      </tp>
      <tp t="s">
        <v>#N/A Requesting Data...3653335054</v>
        <stp/>
        <stp>BDP|10966232163259690828</stp>
        <tr r="F1634" s="2"/>
      </tp>
      <tp t="s">
        <v>#N/A Requesting Data...4144370113</v>
        <stp/>
        <stp>BDP|11686285349963821121</stp>
        <tr r="C1107" s="2"/>
      </tp>
      <tp t="s">
        <v>#N/A Requesting Data...3915843733</v>
        <stp/>
        <stp>BDP|16293183714970621356</stp>
        <tr r="H1470" s="2"/>
      </tp>
      <tp t="s">
        <v>#N/A Requesting Data...3552495745</v>
        <stp/>
        <stp>BDP|13349940209209725642</stp>
        <tr r="P856" s="2"/>
      </tp>
      <tp t="s">
        <v>#N/A Requesting Data...3440964460</v>
        <stp/>
        <stp>BDP|16134223025330912327</stp>
        <tr r="A2072" s="2"/>
      </tp>
      <tp t="s">
        <v>#N/A Requesting Data...3810541355</v>
        <stp/>
        <stp>BDP|10347264969699033810</stp>
        <tr r="Q1659" s="2"/>
      </tp>
      <tp t="s">
        <v>#N/A Requesting Data...3744372939</v>
        <stp/>
        <stp>BDP|16697544469677178778</stp>
        <tr r="F694" s="2"/>
      </tp>
      <tp t="s">
        <v>#N/A Requesting Data...3235967244</v>
        <stp/>
        <stp>BDP|13492729851326347293</stp>
        <tr r="D1401" s="2"/>
      </tp>
      <tp t="s">
        <v>#N/A Requesting Data...3599773462</v>
        <stp/>
        <stp>BDP|13527669782801938954</stp>
        <tr r="T14" s="2"/>
      </tp>
      <tp t="s">
        <v>#N/A Requesting Data...4276235929</v>
        <stp/>
        <stp>BDP|17695242356130165588</stp>
        <tr r="G2117" s="2"/>
      </tp>
      <tp t="s">
        <v>#N/A Requesting Data...3449922619</v>
        <stp/>
        <stp>BDP|14823161713638679979</stp>
        <tr r="Q233" s="2"/>
      </tp>
      <tp t="s">
        <v>#N/A Requesting Data...3310640537</v>
        <stp/>
        <stp>BDP|17105076919332576169</stp>
        <tr r="P2010" s="2"/>
      </tp>
      <tp t="s">
        <v>#N/A Requesting Data...3591272331</v>
        <stp/>
        <stp>BDP|15432326418991467361</stp>
        <tr r="J1964" s="2"/>
      </tp>
      <tp t="s">
        <v>#N/A Requesting Data...4168798707</v>
        <stp/>
        <stp>BDP|15337607612826556182</stp>
        <tr r="N463" s="2"/>
      </tp>
      <tp t="s">
        <v>#N/A Requesting Data...3404227494</v>
        <stp/>
        <stp>BDP|17691904326469461084</stp>
        <tr r="G1102" s="2"/>
      </tp>
      <tp t="s">
        <v>#N/A Requesting Data...4186910670</v>
        <stp/>
        <stp>BDP|17656394240917027231</stp>
        <tr r="E398" s="2"/>
      </tp>
      <tp t="s">
        <v>#N/A Requesting Data...3797624206</v>
        <stp/>
        <stp>BDP|13505035159592220118</stp>
        <tr r="H799" s="2"/>
      </tp>
      <tp t="s">
        <v>#N/A Requesting Data...3867317701</v>
        <stp/>
        <stp>BDP|12687205459688013830</stp>
        <tr r="J2266" s="2"/>
      </tp>
      <tp t="s">
        <v>#N/A Requesting Data...4036915106</v>
        <stp/>
        <stp>BDP|14549179340967767398</stp>
        <tr r="K836" s="2"/>
      </tp>
      <tp t="s">
        <v>#N/A Requesting Data...4278760787</v>
        <stp/>
        <stp>BDP|11354263285136593894</stp>
        <tr r="S2077" s="2"/>
      </tp>
      <tp t="s">
        <v>#N/A Requesting Data...3758387324</v>
        <stp/>
        <stp>BDP|11881735768465866075</stp>
        <tr r="Q1980" s="2"/>
      </tp>
      <tp t="s">
        <v>#N/A Requesting Data...3307540816</v>
        <stp/>
        <stp>BDP|14385074085230505984</stp>
        <tr r="R2078" s="2"/>
      </tp>
      <tp t="s">
        <v>#N/A Requesting Data...3785538340</v>
        <stp/>
        <stp>BDP|14457554449040035048</stp>
        <tr r="O2082" s="2"/>
      </tp>
      <tp t="s">
        <v>#N/A Requesting Data...3286575454</v>
        <stp/>
        <stp>BDP|17931113525832970386</stp>
        <tr r="M2496" s="2"/>
      </tp>
      <tp t="s">
        <v>#N/A Requesting Data...3403732238</v>
        <stp/>
        <stp>BDP|13910114006413191431</stp>
        <tr r="H1827" s="2"/>
      </tp>
      <tp t="s">
        <v>#N/A Requesting Data...3813063867</v>
        <stp/>
        <stp>BDP|17961022410911624216</stp>
        <tr r="N610" s="2"/>
      </tp>
      <tp t="s">
        <v>#N/A Requesting Data...3804289034</v>
        <stp/>
        <stp>BDP|14306358777425871052</stp>
        <tr r="S2318" s="2"/>
      </tp>
      <tp t="s">
        <v>#N/A Requesting Data...3797611425</v>
        <stp/>
        <stp>BDP|16069138726620989008</stp>
        <tr r="F262" s="2"/>
      </tp>
      <tp t="s">
        <v>#N/A Requesting Data...3709462211</v>
        <stp/>
        <stp>BDP|17465177493572883844</stp>
        <tr r="C2048" s="2"/>
      </tp>
      <tp t="s">
        <v>#N/A Requesting Data...3955973898</v>
        <stp/>
        <stp>BDP|16981079445601671618</stp>
        <tr r="A1379" s="2"/>
      </tp>
      <tp t="s">
        <v>#N/A Requesting Data...3544001137</v>
        <stp/>
        <stp>BDP|10584527645704725092</stp>
        <tr r="S2163" s="2"/>
      </tp>
      <tp t="s">
        <v>#N/A Requesting Data...3848920338</v>
        <stp/>
        <stp>BDP|11707383087967227860</stp>
        <tr r="R1934" s="2"/>
      </tp>
      <tp t="s">
        <v>#N/A Requesting Data...4126519453</v>
        <stp/>
        <stp>BDP|16858435842491489214</stp>
        <tr r="T152" s="2"/>
      </tp>
      <tp t="s">
        <v>#N/A Requesting Data...3992590218</v>
        <stp/>
        <stp>BDP|17836962961015793847</stp>
        <tr r="A1417" s="2"/>
      </tp>
      <tp t="s">
        <v>#N/A Requesting Data...4273493450</v>
        <stp/>
        <stp>BDP|11320432193491786883</stp>
        <tr r="T848" s="2"/>
      </tp>
      <tp t="s">
        <v>#N/A Requesting Data...3379892404</v>
        <stp/>
        <stp>BDP|14681876528682054952</stp>
        <tr r="F404" s="2"/>
      </tp>
      <tp t="s">
        <v>#N/A Requesting Data...3814122506</v>
        <stp/>
        <stp>BDP|10399143076156437597</stp>
        <tr r="O1352" s="2"/>
      </tp>
      <tp t="s">
        <v>#N/A Requesting Data...3513510779</v>
        <stp/>
        <stp>BDP|13576205315502893741</stp>
        <tr r="C2381" s="2"/>
      </tp>
      <tp t="s">
        <v>#N/A Requesting Data...3679022441</v>
        <stp/>
        <stp>BDP|14247976212911934827</stp>
        <tr r="F2126" s="2"/>
      </tp>
      <tp t="s">
        <v>#N/A Requesting Data...3320829518</v>
        <stp/>
        <stp>BDP|10480132829773060525</stp>
        <tr r="O562" s="2"/>
      </tp>
      <tp t="b">
        <v>0</v>
        <stp/>
        <stp>BDS|12940619403958390973</stp>
        <tr r="I1491" s="2"/>
      </tp>
      <tp t="s">
        <v>#N/A Requesting Data...4195891954</v>
        <stp/>
        <stp>BDP|13174752115903806352</stp>
        <tr r="D896" s="2"/>
      </tp>
      <tp t="s">
        <v>#N/A Requesting Data...4188714183</v>
        <stp/>
        <stp>BDP|14897974994045718402</stp>
        <tr r="O895" s="2"/>
      </tp>
      <tp t="s">
        <v>#N/A Requesting Data...3532936834</v>
        <stp/>
        <stp>BDP|15830207680992283868</stp>
        <tr r="H1624" s="2"/>
      </tp>
      <tp t="s">
        <v>#N/A Requesting Data...3607857874</v>
        <stp/>
        <stp>BDP|10289670063655854026</stp>
        <tr r="H1004" s="2"/>
      </tp>
      <tp t="s">
        <v>#N/A Requesting Data...3338049989</v>
        <stp/>
        <stp>BDP|11185889196165289015</stp>
        <tr r="R2344" s="2"/>
      </tp>
      <tp t="s">
        <v>#N/A Requesting Data...3643129757</v>
        <stp/>
        <stp>BDP|17119439740001825367</stp>
        <tr r="O2451" s="2"/>
      </tp>
      <tp t="s">
        <v>#N/A Requesting Data...3720369591</v>
        <stp/>
        <stp>BDP|11184575568991402669</stp>
        <tr r="R1110" s="2"/>
      </tp>
      <tp t="s">
        <v>#N/A Requesting Data...3563815887</v>
        <stp/>
        <stp>BDP|18175029443408454182</stp>
        <tr r="Q470" s="2"/>
      </tp>
      <tp t="s">
        <v>#N/A Requesting Data...3505092814</v>
        <stp/>
        <stp>BDP|16567045567802943732</stp>
        <tr r="K876" s="2"/>
      </tp>
      <tp t="s">
        <v>#N/A Requesting Data...3388534454</v>
        <stp/>
        <stp>BDP|11581692345221743721</stp>
        <tr r="A2215" s="2"/>
      </tp>
      <tp t="s">
        <v>#N/A Requesting Data...3438179139</v>
        <stp/>
        <stp>BDP|17367562643102902138</stp>
        <tr r="E792" s="2"/>
      </tp>
      <tp t="s">
        <v>#N/A Requesting Data...3965555256</v>
        <stp/>
        <stp>BDP|11111623775984220185</stp>
        <tr r="R1860" s="2"/>
      </tp>
      <tp t="s">
        <v>#N/A Requesting Data...3748236197</v>
        <stp/>
        <stp>BDP|11196850879808186305</stp>
        <tr r="D2290" s="2"/>
      </tp>
      <tp t="s">
        <v>#N/A Requesting Data...3579324718</v>
        <stp/>
        <stp>BDP|10959038712724137055</stp>
        <tr r="R1134" s="2"/>
      </tp>
      <tp t="s">
        <v>#N/A Requesting Data...3601148244</v>
        <stp/>
        <stp>BDP|18281898026884732367</stp>
        <tr r="C401" s="2"/>
      </tp>
      <tp t="s">
        <v>#N/A Requesting Data...4250095568</v>
        <stp/>
        <stp>BDP|10598083911906281227</stp>
        <tr r="Q1047" s="2"/>
      </tp>
      <tp t="s">
        <v>#N/A Requesting Data...4121509690</v>
        <stp/>
        <stp>BDP|16435003868672765773</stp>
        <tr r="H2094" s="2"/>
      </tp>
      <tp t="s">
        <v>#N/A Requesting Data...3895018708</v>
        <stp/>
        <stp>BDP|14183114901979464990</stp>
        <tr r="S595" s="2"/>
      </tp>
      <tp t="s">
        <v>#N/A Requesting Data...3620053513</v>
        <stp/>
        <stp>BDP|13634897226499017552</stp>
        <tr r="G876" s="2"/>
      </tp>
      <tp t="s">
        <v>#N/A Requesting Data...3952961392</v>
        <stp/>
        <stp>BDP|13705076843945942768</stp>
        <tr r="M144" s="2"/>
      </tp>
      <tp t="b">
        <v>0</v>
        <stp/>
        <stp>BDS|16393203376921982738</stp>
        <tr r="I2085" s="2"/>
      </tp>
      <tp t="b">
        <v>0</v>
        <stp/>
        <stp>BDS|10247053189628916583</stp>
        <tr r="I2276" s="2"/>
      </tp>
      <tp t="s">
        <v>#N/A Requesting Data...3892177994</v>
        <stp/>
        <stp>BDP|11648981590065725155</stp>
        <tr r="Q1369" s="2"/>
      </tp>
      <tp t="s">
        <v>#N/A Requesting Data...3978844554</v>
        <stp/>
        <stp>BDP|11287356782426889910</stp>
        <tr r="D1119" s="2"/>
      </tp>
      <tp t="s">
        <v>#N/A Requesting Data...3607852176</v>
        <stp/>
        <stp>BDP|12870451387253202846</stp>
        <tr r="J1032" s="2"/>
      </tp>
      <tp t="s">
        <v>#N/A Requesting Data...3727241213</v>
        <stp/>
        <stp>BDP|12074917067749847121</stp>
        <tr r="P1482" s="2"/>
      </tp>
      <tp t="s">
        <v>#N/A Requesting Data...4184703220</v>
        <stp/>
        <stp>BDP|11064777545637931076</stp>
        <tr r="A486" s="2"/>
      </tp>
      <tp t="s">
        <v>#N/A Requesting Data...3632546444</v>
        <stp/>
        <stp>BDP|11386052469330433278</stp>
        <tr r="M1535" s="2"/>
      </tp>
      <tp t="s">
        <v>#N/A Requesting Data...3895614354</v>
        <stp/>
        <stp>BDP|16241753492875990804</stp>
        <tr r="D826" s="2"/>
      </tp>
      <tp t="b">
        <v>0</v>
        <stp/>
        <stp>BDS|17111943553467830917</stp>
        <tr r="I2361" s="2"/>
      </tp>
      <tp t="s">
        <v>#N/A Requesting Data...3691903646</v>
        <stp/>
        <stp>BDP|15235394764251269413</stp>
        <tr r="C1951" s="2"/>
      </tp>
      <tp t="s">
        <v>#N/A Requesting Data...3470851553</v>
        <stp/>
        <stp>BDP|15017610165384927410</stp>
        <tr r="A1144" s="2"/>
      </tp>
      <tp t="s">
        <v>#N/A Requesting Data...3808134337</v>
        <stp/>
        <stp>BDP|13565657984229005183</stp>
        <tr r="S1499" s="2"/>
      </tp>
      <tp t="b">
        <v>0</v>
        <stp/>
        <stp>BDS|10940726116661424266</stp>
        <tr r="I1845" s="2"/>
      </tp>
      <tp t="s">
        <v>#N/A Requesting Data...4028088489</v>
        <stp/>
        <stp>BDP|13889260551966368707</stp>
        <tr r="J545" s="2"/>
      </tp>
      <tp t="s">
        <v>#N/A Requesting Data...3538165928</v>
        <stp/>
        <stp>BDP|16972470763417356626</stp>
        <tr r="H1851" s="2"/>
      </tp>
      <tp t="s">
        <v>#N/A Requesting Data...3518833820</v>
        <stp/>
        <stp>BDP|14433382464686111251</stp>
        <tr r="H1072" s="2"/>
      </tp>
      <tp t="s">
        <v>#N/A Requesting Data...3699658752</v>
        <stp/>
        <stp>BDP|16885171672741089411</stp>
        <tr r="C1523" s="2"/>
      </tp>
      <tp t="s">
        <v>#N/A Requesting Data...3488718712</v>
        <stp/>
        <stp>BDP|18219003488412584739</stp>
        <tr r="A14" s="2"/>
      </tp>
      <tp t="s">
        <v>#N/A Requesting Data...3835351711</v>
        <stp/>
        <stp>BDP|17943755150181140113</stp>
        <tr r="C292" s="2"/>
      </tp>
      <tp t="s">
        <v>#N/A Requesting Data...3627035477</v>
        <stp/>
        <stp>BDP|17168682414361039413</stp>
        <tr r="D2385" s="2"/>
      </tp>
      <tp t="s">
        <v>#N/A Requesting Data...3462911743</v>
        <stp/>
        <stp>BDP|16639593913977785076</stp>
        <tr r="C1198" s="2"/>
      </tp>
      <tp t="s">
        <v>#N/A Requesting Data...3843251695</v>
        <stp/>
        <stp>BDP|17626275712224661594</stp>
        <tr r="R71" s="2"/>
      </tp>
      <tp t="s">
        <v>#N/A Requesting Data...4210575373</v>
        <stp/>
        <stp>BDP|10818354570225023413</stp>
        <tr r="J2391" s="2"/>
      </tp>
      <tp t="s">
        <v>#N/A Requesting Data...3539747295</v>
        <stp/>
        <stp>BDP|13122612122446729490</stp>
        <tr r="Q1385" s="2"/>
      </tp>
      <tp t="s">
        <v>#N/A Requesting Data...3967530079</v>
        <stp/>
        <stp>BDP|10059090358110961044</stp>
        <tr r="F698" s="2"/>
      </tp>
      <tp t="s">
        <v>#N/A Requesting Data...3826536611</v>
        <stp/>
        <stp>BDP|10816557107523511334</stp>
        <tr r="H638" s="2"/>
      </tp>
      <tp t="s">
        <v>#N/A Requesting Data...3817100393</v>
        <stp/>
        <stp>BDP|15487193103983211206</stp>
        <tr r="M2036" s="2"/>
      </tp>
      <tp t="s">
        <v>#N/A Requesting Data...4022813865</v>
        <stp/>
        <stp>BDP|11871523914047605741</stp>
        <tr r="O945" s="2"/>
      </tp>
      <tp t="s">
        <v>#N/A Requesting Data...3970946033</v>
        <stp/>
        <stp>BDP|10929091642011956073</stp>
        <tr r="T1395" s="2"/>
      </tp>
      <tp t="s">
        <v>#N/A Requesting Data...4234935509</v>
        <stp/>
        <stp>BDP|12284348259259728845</stp>
        <tr r="G287" s="2"/>
      </tp>
      <tp t="s">
        <v>#N/A Requesting Data...4091705487</v>
        <stp/>
        <stp>BDP|17492117269782552759</stp>
        <tr r="O2380" s="2"/>
      </tp>
      <tp t="s">
        <v>#N/A Requesting Data...3867566662</v>
        <stp/>
        <stp>BDP|14836426801686063370</stp>
        <tr r="M1555" s="2"/>
      </tp>
      <tp t="s">
        <v>#N/A Requesting Data...4232035755</v>
        <stp/>
        <stp>BDP|12997469241975696245</stp>
        <tr r="N1847" s="2"/>
      </tp>
      <tp t="s">
        <v>#N/A Requesting Data...3647580019</v>
        <stp/>
        <stp>BDP|18217284107076405950</stp>
        <tr r="D1938" s="2"/>
      </tp>
      <tp t="s">
        <v>#N/A Requesting Data...3706371548</v>
        <stp/>
        <stp>BDP|14244134366562357485</stp>
        <tr r="G2284" s="2"/>
      </tp>
      <tp t="s">
        <v>#N/A Requesting Data...3632983025</v>
        <stp/>
        <stp>BDP|14809067254404006067</stp>
        <tr r="E2514" s="2"/>
      </tp>
      <tp t="s">
        <v>#N/A Requesting Data...3832780065</v>
        <stp/>
        <stp>BDP|10892250932894419074</stp>
        <tr r="H2054" s="2"/>
      </tp>
      <tp t="s">
        <v>#N/A Requesting Data...3635833754</v>
        <stp/>
        <stp>BDP|17468811503628914234</stp>
        <tr r="D1982" s="2"/>
      </tp>
      <tp t="b">
        <v>0</v>
        <stp/>
        <stp>BDS|12292757587620692895</stp>
        <tr r="I1323" s="2"/>
      </tp>
      <tp t="b">
        <v>0</v>
        <stp/>
        <stp>BDS|11261202042373970164</stp>
        <tr r="I387" s="2"/>
      </tp>
      <tp t="s">
        <v>#N/A Requesting Data...3643205373</v>
        <stp/>
        <stp>BDP|14142520102112552684</stp>
        <tr r="E2426" s="2"/>
      </tp>
      <tp t="b">
        <v>0</v>
        <stp/>
        <stp>BDS|13551895248832280894</stp>
        <tr r="I1564" s="2"/>
      </tp>
      <tp t="s">
        <v>#N/A Requesting Data...3540391814</v>
        <stp/>
        <stp>BDP|12657359050327687693</stp>
        <tr r="S1617" s="2"/>
      </tp>
      <tp t="b">
        <v>0</v>
        <stp/>
        <stp>BDS|14694841963307903840</stp>
        <tr r="I1000" s="2"/>
      </tp>
      <tp t="s">
        <v>#N/A Requesting Data...3630029847</v>
        <stp/>
        <stp>BDP|13259947244772477999</stp>
        <tr r="H925" s="2"/>
      </tp>
      <tp t="s">
        <v>#N/A Requesting Data...3702313206</v>
        <stp/>
        <stp>BDP|17981977895784264665</stp>
        <tr r="F501" s="2"/>
      </tp>
      <tp t="s">
        <v>#N/A Requesting Data...3747052123</v>
        <stp/>
        <stp>BDP|13215437256865932216</stp>
        <tr r="O2397" s="2"/>
      </tp>
      <tp t="s">
        <v>#N/A Requesting Data...3610479819</v>
        <stp/>
        <stp>BDP|14265773922967063380</stp>
        <tr r="G1831" s="2"/>
      </tp>
      <tp t="s">
        <v>#N/A Requesting Data...3734422656</v>
        <stp/>
        <stp>BDP|11032708948023301441</stp>
        <tr r="M1852" s="2"/>
      </tp>
      <tp t="s">
        <v>#N/A Requesting Data...4199413964</v>
        <stp/>
        <stp>BDP|13297693312101621003</stp>
        <tr r="N48" s="2"/>
      </tp>
      <tp t="s">
        <v>#N/A Requesting Data...3622336029</v>
        <stp/>
        <stp>BDP|12089266177173609185</stp>
        <tr r="S2389" s="2"/>
      </tp>
      <tp t="s">
        <v>#N/A Requesting Data...3747115434</v>
        <stp/>
        <stp>BDP|10092027923042831564</stp>
        <tr r="R852" s="2"/>
      </tp>
      <tp t="s">
        <v>#N/A Requesting Data...4249322498</v>
        <stp/>
        <stp>BDP|10884638537756381606</stp>
        <tr r="O2193" s="2"/>
      </tp>
      <tp t="s">
        <v>#N/A Requesting Data...4256440095</v>
        <stp/>
        <stp>BDP|14139465893905846932</stp>
        <tr r="F2283" s="2"/>
      </tp>
      <tp t="s">
        <v>#N/A Requesting Data...4228152850</v>
        <stp/>
        <stp>BDP|18347292827969077420</stp>
        <tr r="N637" s="2"/>
      </tp>
      <tp t="s">
        <v>#N/A Requesting Data...3950129754</v>
        <stp/>
        <stp>BDP|11835708111512551033</stp>
        <tr r="P390" s="2"/>
      </tp>
      <tp t="s">
        <v>#N/A Requesting Data...4135249819</v>
        <stp/>
        <stp>BDP|13267541549823240423</stp>
        <tr r="G517" s="2"/>
      </tp>
      <tp t="s">
        <v>#N/A Requesting Data...3887392805</v>
        <stp/>
        <stp>BDP|14263859945708988548</stp>
        <tr r="N1813" s="2"/>
      </tp>
      <tp t="s">
        <v>#N/A Requesting Data...3889653387</v>
        <stp/>
        <stp>BDP|10399373539775253007</stp>
        <tr r="D1371" s="2"/>
      </tp>
      <tp t="s">
        <v>#N/A Requesting Data...4284264637</v>
        <stp/>
        <stp>BDP|13762323231783242599</stp>
        <tr r="F1520" s="2"/>
      </tp>
      <tp t="s">
        <v>#N/A Requesting Data...4095916559</v>
        <stp/>
        <stp>BDP|15485050326750127292</stp>
        <tr r="T567" s="2"/>
      </tp>
      <tp t="s">
        <v>#N/A Requesting Data...3756983938</v>
        <stp/>
        <stp>BDP|10484233028552972796</stp>
        <tr r="T1636" s="2"/>
      </tp>
      <tp t="s">
        <v>#N/A Requesting Data...3809188869</v>
        <stp/>
        <stp>BDP|10532159149926383654</stp>
        <tr r="D1289" s="2"/>
      </tp>
      <tp t="s">
        <v>#N/A Requesting Data...3723349051</v>
        <stp/>
        <stp>BDP|11394486175947799061</stp>
        <tr r="T1377" s="2"/>
      </tp>
      <tp t="s">
        <v>#N/A Requesting Data...3784686515</v>
        <stp/>
        <stp>BDP|16760948828040336873</stp>
        <tr r="H818" s="2"/>
      </tp>
      <tp t="s">
        <v>#N/A Requesting Data...3818290053</v>
        <stp/>
        <stp>BDP|16396886354027532952</stp>
        <tr r="H1315" s="2"/>
      </tp>
      <tp t="s">
        <v>#N/A Requesting Data...4179467909</v>
        <stp/>
        <stp>BDP|10459439179161468755</stp>
        <tr r="A2060" s="2"/>
      </tp>
      <tp t="s">
        <v>#N/A Requesting Data...4291300040</v>
        <stp/>
        <stp>BDP|13371364386614585993</stp>
        <tr r="S1867" s="2"/>
      </tp>
      <tp t="s">
        <v>#N/A Requesting Data...3784438593</v>
        <stp/>
        <stp>BDP|16672559217704336384</stp>
        <tr r="T563" s="2"/>
      </tp>
      <tp t="s">
        <v>#N/A Requesting Data...3669498919</v>
        <stp/>
        <stp>BDP|17157653616921425493</stp>
        <tr r="Q1771" s="2"/>
      </tp>
      <tp t="s">
        <v>#N/A Requesting Data...3979103538</v>
        <stp/>
        <stp>BDP|13195651565823993577</stp>
        <tr r="O1175" s="2"/>
      </tp>
      <tp t="b">
        <v>0</v>
        <stp/>
        <stp>BDS|17910508866149746841</stp>
        <tr r="I170" s="2"/>
      </tp>
      <tp t="s">
        <v>#N/A Requesting Data...3951511772</v>
        <stp/>
        <stp>BDP|15461501313767883305</stp>
        <tr r="J2467" s="2"/>
      </tp>
      <tp t="s">
        <v>#N/A Requesting Data...3634585308</v>
        <stp/>
        <stp>BDP|16747256276433931528</stp>
        <tr r="K929" s="2"/>
      </tp>
      <tp t="s">
        <v>#N/A Requesting Data...3957362513</v>
        <stp/>
        <stp>BDP|12407961162511998961</stp>
        <tr r="Q427" s="2"/>
      </tp>
      <tp t="s">
        <v>#N/A Requesting Data...4147860820</v>
        <stp/>
        <stp>BDP|16410470565180844118</stp>
        <tr r="A318" s="2"/>
      </tp>
      <tp t="s">
        <v>#N/A Requesting Data...3876052987</v>
        <stp/>
        <stp>BDP|13663026805524912278</stp>
        <tr r="P293" s="2"/>
      </tp>
      <tp t="s">
        <v>#N/A Requesting Data...3771592484</v>
        <stp/>
        <stp>BDP|13414905609898771757</stp>
        <tr r="A1067" s="2"/>
      </tp>
      <tp t="s">
        <v>#N/A Requesting Data...4254560672</v>
        <stp/>
        <stp>BDP|10025310776274151599</stp>
        <tr r="D1358" s="2"/>
      </tp>
      <tp t="s">
        <v>#N/A Requesting Data...3696306180</v>
        <stp/>
        <stp>BDP|10142517140836806277</stp>
        <tr r="D1912" s="2"/>
      </tp>
      <tp t="s">
        <v>#N/A Requesting Data...4120273158</v>
        <stp/>
        <stp>BDP|15231180966866383100</stp>
        <tr r="K343" s="2"/>
      </tp>
      <tp t="b">
        <v>0</v>
        <stp/>
        <stp>BDS|10927354911753022410</stp>
        <tr r="I2330" s="2"/>
      </tp>
      <tp t="s">
        <v>#N/A Requesting Data...3797430360</v>
        <stp/>
        <stp>BDP|14233498920431582614</stp>
        <tr r="R2073" s="2"/>
      </tp>
      <tp t="s">
        <v>#N/A Requesting Data...4212578724</v>
        <stp/>
        <stp>BDP|12794764249655410139</stp>
        <tr r="P1406" s="2"/>
      </tp>
      <tp t="s">
        <v>#N/A Requesting Data...4058228918</v>
        <stp/>
        <stp>BDP|14994174705788302878</stp>
        <tr r="F2095" s="2"/>
      </tp>
      <tp t="s">
        <v>#N/A Requesting Data...3814401079</v>
        <stp/>
        <stp>BDP|10657573548012105674</stp>
        <tr r="N1327" s="2"/>
      </tp>
      <tp t="s">
        <v>#N/A Requesting Data...4044572935</v>
        <stp/>
        <stp>BDP|15517083207237400712</stp>
        <tr r="P101" s="2"/>
      </tp>
      <tp t="s">
        <v>#N/A Requesting Data...4039881633</v>
        <stp/>
        <stp>BDP|11347989569833801857</stp>
        <tr r="D787" s="2"/>
      </tp>
      <tp t="s">
        <v>#N/A Requesting Data...4062578891</v>
        <stp/>
        <stp>BDP|13350487271244369167</stp>
        <tr r="H2276" s="2"/>
      </tp>
      <tp t="s">
        <v>#N/A Requesting Data...4157642462</v>
        <stp/>
        <stp>BDP|12906373493394680949</stp>
        <tr r="D204" s="2"/>
      </tp>
      <tp t="s">
        <v>#N/A Requesting Data...4272579491</v>
        <stp/>
        <stp>BDP|16856723305483938790</stp>
        <tr r="D1610" s="2"/>
      </tp>
      <tp t="s">
        <v>#N/A Requesting Data...4281190888</v>
        <stp/>
        <stp>BDP|10310699273235332158</stp>
        <tr r="C942" s="2"/>
      </tp>
      <tp t="s">
        <v>#N/A Requesting Data...3930388618</v>
        <stp/>
        <stp>BDP|17996605025974159220</stp>
        <tr r="F2039" s="2"/>
      </tp>
      <tp t="s">
        <v>#N/A Requesting Data...3706747911</v>
        <stp/>
        <stp>BDP|10844026238050879655</stp>
        <tr r="Q974" s="2"/>
      </tp>
      <tp t="s">
        <v>#N/A Requesting Data...3781485586</v>
        <stp/>
        <stp>BDP|16680716338512688563</stp>
        <tr r="G2104" s="2"/>
      </tp>
      <tp t="s">
        <v>#N/A Requesting Data...3834691805</v>
        <stp/>
        <stp>BDP|10287376251344892734</stp>
        <tr r="T227" s="2"/>
      </tp>
      <tp t="s">
        <v>#N/A Requesting Data...4165058833</v>
        <stp/>
        <stp>BDP|11685490609964808416</stp>
        <tr r="G1903" s="2"/>
      </tp>
      <tp t="s">
        <v>#N/A Requesting Data...4179193612</v>
        <stp/>
        <stp>BDP|18408531729143573940</stp>
        <tr r="S1792" s="2"/>
      </tp>
      <tp t="s">
        <v>#N/A Requesting Data...4092907278</v>
        <stp/>
        <stp>BDP|17094760245400583192</stp>
        <tr r="M2108" s="2"/>
      </tp>
      <tp t="s">
        <v>#N/A Requesting Data...4135632768</v>
        <stp/>
        <stp>BDP|13208242028787604172</stp>
        <tr r="N560" s="2"/>
      </tp>
      <tp t="b">
        <v>0</v>
        <stp/>
        <stp>BDS|10875544757914297154</stp>
        <tr r="I1235" s="2"/>
      </tp>
      <tp t="s">
        <v>#N/A Requesting Data...3854953067</v>
        <stp/>
        <stp>BDP|17537199003625735678</stp>
        <tr r="C1601" s="2"/>
      </tp>
      <tp t="s">
        <v>#N/A Requesting Data...3860144161</v>
        <stp/>
        <stp>BDP|12362598171214727138</stp>
        <tr r="Q953" s="2"/>
      </tp>
      <tp t="s">
        <v>#N/A Requesting Data...4165569025</v>
        <stp/>
        <stp>BDP|17531696609364997039</stp>
        <tr r="R391" s="2"/>
      </tp>
      <tp t="s">
        <v>#N/A Requesting Data...4022089937</v>
        <stp/>
        <stp>BDP|11460617345051779783</stp>
        <tr r="G2105" s="2"/>
      </tp>
      <tp t="s">
        <v>#N/A Requesting Data...4016981089</v>
        <stp/>
        <stp>BDP|13208213265161932304</stp>
        <tr r="S1229" s="2"/>
      </tp>
      <tp t="s">
        <v>#N/A Requesting Data...4174520543</v>
        <stp/>
        <stp>BDP|17672854497327245491</stp>
        <tr r="R1331" s="2"/>
      </tp>
      <tp t="s">
        <v>#N/A Requesting Data...4238145165</v>
        <stp/>
        <stp>BDP|17824355391809436179</stp>
        <tr r="R453" s="2"/>
      </tp>
      <tp t="s">
        <v>#N/A Requesting Data...3917868424</v>
        <stp/>
        <stp>BDP|15037911193129847952</stp>
        <tr r="M1718" s="2"/>
      </tp>
      <tp t="s">
        <v>#N/A Requesting Data...4119703540</v>
        <stp/>
        <stp>BDP|16140752159562234305</stp>
        <tr r="P508" s="2"/>
      </tp>
      <tp t="s">
        <v>#N/A Requesting Data...4155423650</v>
        <stp/>
        <stp>BDP|10008289170322680216</stp>
        <tr r="P609" s="2"/>
      </tp>
      <tp t="s">
        <v>#N/A Requesting Data...4145917481</v>
        <stp/>
        <stp>BDP|12939361847641242154</stp>
        <tr r="Q2049" s="2"/>
      </tp>
      <tp t="s">
        <v>#N/A Requesting Data...4228116192</v>
        <stp/>
        <stp>BDP|14448407930423263595</stp>
        <tr r="G1503" s="2"/>
      </tp>
      <tp t="s">
        <v>#N/A Requesting Data...3984311467</v>
        <stp/>
        <stp>BDP|15650427139577766055</stp>
        <tr r="H121" s="2"/>
      </tp>
      <tp t="s">
        <v>#N/A Requesting Data...4001034421</v>
        <stp/>
        <stp>BDP|12528501404622877079</stp>
        <tr r="S1220" s="2"/>
      </tp>
      <tp t="s">
        <v>#N/A Requesting Data...4216985792</v>
        <stp/>
        <stp>BDP|14655419548522828390</stp>
        <tr r="A1586" s="2"/>
      </tp>
      <tp t="s">
        <v>#N/A Requesting Data...3800413426</v>
        <stp/>
        <stp>BDP|17670195221886850784</stp>
        <tr r="O2111" s="2"/>
      </tp>
      <tp t="s">
        <v>#N/A Requesting Data...4291699912</v>
        <stp/>
        <stp>BDP|13282611598028740126</stp>
        <tr r="K2217" s="2"/>
      </tp>
      <tp t="b">
        <v>0</v>
        <stp/>
        <stp>BDS|11141381363618196961</stp>
        <tr r="I1430" s="2"/>
      </tp>
      <tp t="s">
        <v>#N/A Requesting Data...3842630958</v>
        <stp/>
        <stp>BDP|15392200394432056992</stp>
        <tr r="F2226" s="2"/>
      </tp>
      <tp t="s">
        <v>#N/A Requesting Data...3862290134</v>
        <stp/>
        <stp>BDP|18091704738678565137</stp>
        <tr r="G1089" s="2"/>
      </tp>
      <tp t="s">
        <v>#N/A Requesting Data...4173743855</v>
        <stp/>
        <stp>BDP|15189813761379718783</stp>
        <tr r="H282" s="2"/>
      </tp>
      <tp t="s">
        <v>#N/A Requesting Data...3783127126</v>
        <stp/>
        <stp>BDP|15673057468935374364</stp>
        <tr r="S845" s="2"/>
      </tp>
      <tp t="s">
        <v>#N/A Requesting Data...3861168270</v>
        <stp/>
        <stp>BDP|10515307925974946072</stp>
        <tr r="M182" s="2"/>
      </tp>
      <tp t="s">
        <v>#N/A Requesting Data...3992450874</v>
        <stp/>
        <stp>BDP|15545005276964964347</stp>
        <tr r="J1840" s="2"/>
      </tp>
      <tp t="s">
        <v>#N/A Requesting Data...4149273905</v>
        <stp/>
        <stp>BDP|16659517048873811193</stp>
        <tr r="G2332" s="2"/>
      </tp>
      <tp t="b">
        <v>0</v>
        <stp/>
        <stp>BDS|13088594510221226364</stp>
        <tr r="I1005" s="2"/>
      </tp>
      <tp t="s">
        <v>#N/A Requesting Data...4092376831</v>
        <stp/>
        <stp>BDP|17645028465395900167</stp>
        <tr r="Q1403" s="2"/>
      </tp>
      <tp t="s">
        <v>#N/A Requesting Data...3878060778</v>
        <stp/>
        <stp>BDP|10763657743805781289</stp>
        <tr r="Q621" s="2"/>
      </tp>
      <tp t="s">
        <v>#N/A Requesting Data...3888388803</v>
        <stp/>
        <stp>BDP|15991582532010434690</stp>
        <tr r="E1132" s="2"/>
      </tp>
      <tp t="s">
        <v>#N/A Requesting Data...4263751007</v>
        <stp/>
        <stp>BDP|11045649794422663987</stp>
        <tr r="C213" s="2"/>
      </tp>
      <tp t="s">
        <v>#N/A Requesting Data...3920497716</v>
        <stp/>
        <stp>BDP|16933085732681962149</stp>
        <tr r="A588" s="2"/>
      </tp>
      <tp t="s">
        <v>#N/A Requesting Data...3999786684</v>
        <stp/>
        <stp>BDP|13113251419453097632</stp>
        <tr r="F845" s="2"/>
      </tp>
      <tp t="s">
        <v>#N/A Requesting Data...4028953459</v>
        <stp/>
        <stp>BDP|12207267078003303118</stp>
        <tr r="F1229" s="2"/>
      </tp>
      <tp t="s">
        <v>#N/A Requesting Data...3927636536</v>
        <stp/>
        <stp>BDP|16237439472126552681</stp>
        <tr r="A1427" s="2"/>
      </tp>
      <tp t="s">
        <v>#N/A Requesting Data...3876208320</v>
        <stp/>
        <stp>BDP|11698998537987417926</stp>
        <tr r="G279" s="2"/>
      </tp>
      <tp t="s">
        <v>#N/A Requesting Data...3842205901</v>
        <stp/>
        <stp>BDP|11292745077590762481</stp>
        <tr r="T1213" s="2"/>
      </tp>
      <tp t="s">
        <v>#N/A Requesting Data...4190761707</v>
        <stp/>
        <stp>BDP|13861639953403221644</stp>
        <tr r="O920" s="2"/>
      </tp>
      <tp t="s">
        <v>#N/A Requesting Data...4038288296</v>
        <stp/>
        <stp>BDP|11652758632760604097</stp>
        <tr r="G1106" s="2"/>
      </tp>
      <tp t="s">
        <v>#N/A Requesting Data...4094223833</v>
        <stp/>
        <stp>BDP|14599038048502289721</stp>
        <tr r="N892" s="2"/>
      </tp>
      <tp t="s">
        <v>#N/A Requesting Data...3801071363</v>
        <stp/>
        <stp>BDP|10417632215975917757</stp>
        <tr r="O191" s="2"/>
      </tp>
      <tp t="s">
        <v>#N/A Requesting Data...4064605046</v>
        <stp/>
        <stp>BDP|15946360303905501671</stp>
        <tr r="O1782" s="2"/>
      </tp>
      <tp t="s">
        <v>#N/A Requesting Data...4171326704</v>
        <stp/>
        <stp>BDP|17044664768913206125</stp>
        <tr r="C328" s="2"/>
      </tp>
      <tp t="s">
        <v>#N/A Requesting Data...4079399162</v>
        <stp/>
        <stp>BDP|13218801403987806975</stp>
        <tr r="C1756" s="2"/>
      </tp>
      <tp t="s">
        <v>#N/A Requesting Data...4179367747</v>
        <stp/>
        <stp>BDP|16996201166994820390</stp>
        <tr r="J2023" s="2"/>
      </tp>
      <tp t="s">
        <v>#N/A Requesting Data...4255329019</v>
        <stp/>
        <stp>BDP|15045412484519888538</stp>
        <tr r="J2321" s="2"/>
      </tp>
      <tp t="s">
        <v>#N/A Requesting Data...4280729674</v>
        <stp/>
        <stp>BDP|10789887563803577873</stp>
        <tr r="G89" s="2"/>
      </tp>
      <tp t="s">
        <v>#N/A Requesting Data...4178224236</v>
        <stp/>
        <stp>BDP|14669127249116741247</stp>
        <tr r="G535" s="2"/>
      </tp>
      <tp t="s">
        <v>#N/A Requesting Data...3822071508</v>
        <stp/>
        <stp>BDP|18232590281010384078</stp>
        <tr r="G1720" s="2"/>
      </tp>
      <tp t="s">
        <v>#N/A Requesting Data...3890728555</v>
        <stp/>
        <stp>BDP|10173596153067300262</stp>
        <tr r="T98" s="2"/>
      </tp>
      <tp t="s">
        <v>#N/A Requesting Data...4124967651</v>
        <stp/>
        <stp>BDP|12782581622969215912</stp>
        <tr r="R2378" s="2"/>
      </tp>
      <tp t="s">
        <v>#N/A Requesting Data...4216859163</v>
        <stp/>
        <stp>BDP|10604497001400502150</stp>
        <tr r="J372" s="2"/>
      </tp>
      <tp t="s">
        <v>#N/A Requesting Data...4107455132</v>
        <stp/>
        <stp>BDP|11292255264473537388</stp>
        <tr r="M207" s="2"/>
      </tp>
      <tp t="s">
        <v>#N/A Requesting Data...3981572230</v>
        <stp/>
        <stp>BDP|11949884303308939453</stp>
        <tr r="C2191" s="2"/>
      </tp>
      <tp t="s">
        <v>#N/A Requesting Data...4066565801</v>
        <stp/>
        <stp>BDP|13070794169747776090</stp>
        <tr r="K492" s="2"/>
      </tp>
      <tp t="s">
        <v>#N/A Requesting Data...3891763491</v>
        <stp/>
        <stp>BDP|11090212186997085998</stp>
        <tr r="N1963" s="2"/>
      </tp>
      <tp t="s">
        <v>#N/A Requesting Data...4277173659</v>
        <stp/>
        <stp>BDP|11662284613455364202</stp>
        <tr r="J1242" s="2"/>
      </tp>
      <tp t="s">
        <v>#N/A Requesting Data...4031265729</v>
        <stp/>
        <stp>BDP|14150546403113851705</stp>
        <tr r="J1849" s="2"/>
      </tp>
      <tp t="s">
        <v>#N/A Requesting Data...3953372749</v>
        <stp/>
        <stp>BDP|17075454217192559595</stp>
        <tr r="S718" s="2"/>
      </tp>
      <tp t="s">
        <v>#N/A Requesting Data...4119780136</v>
        <stp/>
        <stp>BDP|10756709420621100188</stp>
        <tr r="N331" s="2"/>
      </tp>
      <tp t="s">
        <v>#N/A Requesting Data...3890873203</v>
        <stp/>
        <stp>BDP|13196334131624905249</stp>
        <tr r="C1751" s="2"/>
      </tp>
      <tp t="s">
        <v>#N/A Requesting Data...3972663337</v>
        <stp/>
        <stp>BDP|13734991274338269066</stp>
        <tr r="N2242" s="2"/>
      </tp>
      <tp t="s">
        <v>#N/A Requesting Data...4137285870</v>
        <stp/>
        <stp>BDP|15145256562905838109</stp>
        <tr r="N505" s="2"/>
      </tp>
      <tp t="s">
        <v>#N/A Requesting Data...3910172359</v>
        <stp/>
        <stp>BDP|16097769358457949691</stp>
        <tr r="C1157" s="2"/>
      </tp>
      <tp t="s">
        <v>#N/A Requesting Data...3871420350</v>
        <stp/>
        <stp>BDP|14775670860069871861</stp>
        <tr r="O1915" s="2"/>
      </tp>
      <tp t="s">
        <v>#N/A Requesting Data...4274733646</v>
        <stp/>
        <stp>BDP|13729816409797801993</stp>
        <tr r="E1509" s="2"/>
      </tp>
      <tp t="s">
        <v>#N/A Requesting Data...4097248151</v>
        <stp/>
        <stp>BDP|14630146707662264295</stp>
        <tr r="F1868" s="2"/>
      </tp>
      <tp t="s">
        <v>#N/A Requesting Data...4096932145</v>
        <stp/>
        <stp>BDP|16003565518753866484</stp>
        <tr r="J210" s="2"/>
      </tp>
      <tp t="s">
        <v>#N/A Requesting Data...4162305566</v>
        <stp/>
        <stp>BDP|13100467359143310437</stp>
        <tr r="Q1458" s="2"/>
      </tp>
      <tp t="s">
        <v>#N/A Requesting Data...4103938332</v>
        <stp/>
        <stp>BDP|13967679123397249518</stp>
        <tr r="F2145" s="2"/>
      </tp>
      <tp t="s">
        <v>#N/A Requesting Data...4089304626</v>
        <stp/>
        <stp>BDP|16811542402045710372</stp>
        <tr r="H737" s="2"/>
      </tp>
      <tp t="s">
        <v>#N/A Requesting Data...4236136893</v>
        <stp/>
        <stp>BDP|10346625728377466634</stp>
        <tr r="S1378" s="2"/>
      </tp>
      <tp t="s">
        <v>#N/A Requesting Data...3890134561</v>
        <stp/>
        <stp>BDP|17009158262284983102</stp>
        <tr r="O2137" s="2"/>
      </tp>
      <tp t="s">
        <v>#N/A Requesting Data...4280730448</v>
        <stp/>
        <stp>BDP|10818285968026451721</stp>
        <tr r="K2205" s="2"/>
      </tp>
      <tp t="s">
        <v>#N/A Requesting Data...3913751503</v>
        <stp/>
        <stp>BDP|14679261395019926323</stp>
        <tr r="E1630" s="2"/>
      </tp>
      <tp t="s">
        <v>#N/A Requesting Data...4280535154</v>
        <stp/>
        <stp>BDP|16389897513162496830</stp>
        <tr r="H1998" s="2"/>
      </tp>
      <tp t="s">
        <v>#N/A Requesting Data...4037277169</v>
        <stp/>
        <stp>BDP|10578197876573419003</stp>
        <tr r="J2122" s="2"/>
      </tp>
      <tp t="s">
        <v>#N/A Requesting Data...4102976966</v>
        <stp/>
        <stp>BDP|14150490003517678230</stp>
        <tr r="F1934" s="2"/>
      </tp>
      <tp t="s">
        <v>#N/A Requesting Data...4209300592</v>
        <stp/>
        <stp>BDP|11559795051053627555</stp>
        <tr r="H750" s="2"/>
      </tp>
      <tp t="s">
        <v>#N/A Requesting Data...4157626031</v>
        <stp/>
        <stp>BDP|10411027111125112181</stp>
        <tr r="Q1255" s="2"/>
      </tp>
      <tp t="s">
        <v>#N/A Requesting Data...4239679777</v>
        <stp/>
        <stp>BDP|17073928879725279978</stp>
        <tr r="J2014" s="2"/>
      </tp>
      <tp t="s">
        <v>#N/A Requesting Data...4249092211</v>
        <stp/>
        <stp>BDP|16976567502150425674</stp>
        <tr r="O1817" s="2"/>
      </tp>
      <tp t="s">
        <v>#N/A Requesting Data...4026375141</v>
        <stp/>
        <stp>BDP|12149069172826376684</stp>
        <tr r="K1205" s="2"/>
      </tp>
      <tp t="s">
        <v>#N/A Requesting Data...3956207883</v>
        <stp/>
        <stp>BDP|17667618693668290587</stp>
        <tr r="E1119" s="2"/>
      </tp>
      <tp t="s">
        <v>#N/A Requesting Data...4126992491</v>
        <stp/>
        <stp>BDP|12256090216192022433</stp>
        <tr r="A2316" s="2"/>
      </tp>
      <tp t="b">
        <v>0</v>
        <stp/>
        <stp>BDS|12123963953218954303</stp>
        <tr r="I282" s="2"/>
      </tp>
      <tp t="s">
        <v>#N/A Requesting Data...4235854938</v>
        <stp/>
        <stp>BDP|12486350539947719015</stp>
        <tr r="S2370" s="2"/>
      </tp>
      <tp t="s">
        <v>#N/A Requesting Data...3946524058</v>
        <stp/>
        <stp>BDP|14770067109125068462</stp>
        <tr r="A20" s="2"/>
      </tp>
      <tp t="s">
        <v>#N/A Requesting Data...4010720981</v>
        <stp/>
        <stp>BDP|13380414279076699331</stp>
        <tr r="C192" s="2"/>
      </tp>
      <tp t="s">
        <v>#N/A Requesting Data...4260903858</v>
        <stp/>
        <stp>BDP|15791889570217215837</stp>
        <tr r="P1348" s="2"/>
      </tp>
      <tp t="s">
        <v>#N/A Requesting Data...4061217348</v>
        <stp/>
        <stp>BDP|16914638972331883319</stp>
        <tr r="Q2057" s="2"/>
      </tp>
      <tp t="s">
        <v>#N/A Requesting Data...4172392064</v>
        <stp/>
        <stp>BDP|10211189260083274194</stp>
        <tr r="N1272" s="2"/>
      </tp>
      <tp t="s">
        <v>#N/A Requesting Data...4220390712</v>
        <stp/>
        <stp>BDP|14565633034991163521</stp>
        <tr r="T576" s="2"/>
      </tp>
      <tp t="b">
        <v>0</v>
        <stp/>
        <stp>BDS|13147374141909519803</stp>
        <tr r="I653" s="2"/>
      </tp>
      <tp t="b">
        <v>0</v>
        <stp/>
        <stp>BDS|14436280833764590486</stp>
        <tr r="I2263" s="2"/>
      </tp>
      <tp t="s">
        <v>#N/A Requesting Data...3976795894</v>
        <stp/>
        <stp>BDP|15831321010817395588</stp>
        <tr r="D720" s="2"/>
      </tp>
      <tp t="s">
        <v>#N/A Requesting Data...4045428890</v>
        <stp/>
        <stp>BDP|12469704705881432142</stp>
        <tr r="O2274" s="2"/>
      </tp>
      <tp t="s">
        <v>#N/A Requesting Data...3985959645</v>
        <stp/>
        <stp>BDP|14280623161113177216</stp>
        <tr r="N1585" s="2"/>
      </tp>
      <tp t="s">
        <v>#N/A Requesting Data...4283713032</v>
        <stp/>
        <stp>BDP|14107762224422286605</stp>
        <tr r="S2275" s="2"/>
      </tp>
      <tp t="s">
        <v>#N/A Requesting Data...4226904650</v>
        <stp/>
        <stp>BDP|10469769320255206517</stp>
        <tr r="J425" s="2"/>
      </tp>
      <tp t="s">
        <v>#N/A Requesting Data...4138628465</v>
        <stp/>
        <stp>BDP|10414770316897234460</stp>
        <tr r="G1784" s="2"/>
      </tp>
      <tp t="s">
        <v>#N/A Requesting Data...4176890839</v>
        <stp/>
        <stp>BDP|16694290963646463193</stp>
        <tr r="F1832" s="2"/>
      </tp>
      <tp t="s">
        <v>#N/A Requesting Data...4273866151</v>
        <stp/>
        <stp>BDP|14279932293891723045</stp>
        <tr r="Q1375" s="2"/>
      </tp>
      <tp t="s">
        <v>#N/A Requesting Data...4037278524</v>
        <stp/>
        <stp>BDP|11954320828981028427</stp>
        <tr r="N946" s="2"/>
      </tp>
      <tp t="s">
        <v>#N/A Requesting Data...4161392863</v>
        <stp/>
        <stp>BDP|14292001927757032445</stp>
        <tr r="M2236" s="2"/>
      </tp>
      <tp t="s">
        <v>#N/A Requesting Data...4155225292</v>
        <stp/>
        <stp>BDP|10050771398303977879</stp>
        <tr r="J1616" s="2"/>
      </tp>
      <tp t="s">
        <v>#N/A Requesting Data...4092446573</v>
        <stp/>
        <stp>BDP|12663875334714485805</stp>
        <tr r="S979" s="2"/>
      </tp>
      <tp t="s">
        <v>#N/A Requesting Data...4166268953</v>
        <stp/>
        <stp>BDP|18381121748880988810</stp>
        <tr r="F1138" s="2"/>
      </tp>
      <tp t="s">
        <v>#N/A Requesting Data...4124282097</v>
        <stp/>
        <stp>BDP|16118569124085513170</stp>
        <tr r="E842" s="2"/>
      </tp>
      <tp t="s">
        <v>#N/A Requesting Data...4137664247</v>
        <stp/>
        <stp>BDP|18189752043667233947</stp>
        <tr r="Q226" s="2"/>
      </tp>
      <tp t="s">
        <v>#N/A Requesting Data...4065818453</v>
        <stp/>
        <stp>BDP|10959663575166890236</stp>
        <tr r="R863" s="2"/>
      </tp>
      <tp t="s">
        <v>#N/A Requesting Data...4020180020</v>
        <stp/>
        <stp>BDP|15127529236933520518</stp>
        <tr r="Q1062" s="2"/>
      </tp>
      <tp t="s">
        <v>#N/A Requesting Data...4104562551</v>
        <stp/>
        <stp>BDP|14708229426087466667</stp>
        <tr r="K1370" s="2"/>
      </tp>
      <tp t="s">
        <v>#N/A Requesting Data...4165041632</v>
        <stp/>
        <stp>BDP|16663666767795591631</stp>
        <tr r="A713" s="2"/>
      </tp>
      <tp t="s">
        <v>#N/A Requesting Data...4207145256</v>
        <stp/>
        <stp>BDP|12935918994120520787</stp>
        <tr r="S2359" s="2"/>
      </tp>
      <tp t="s">
        <v>#N/A Requesting Data...4113504495</v>
        <stp/>
        <stp>BDP|11937835118419093434</stp>
        <tr r="R2181" s="2"/>
      </tp>
      <tp t="s">
        <v>#N/A Requesting Data...4197658363</v>
        <stp/>
        <stp>BDP|14920577545292398291</stp>
        <tr r="N825" s="2"/>
      </tp>
      <tp t="s">
        <v>#N/A Requesting Data...4168422444</v>
        <stp/>
        <stp>BDP|15058620114640749708</stp>
        <tr r="C404" s="2"/>
      </tp>
      <tp t="s">
        <v>#N/A Requesting Data...4228991476</v>
        <stp/>
        <stp>BDP|16505520674713792251</stp>
        <tr r="J1263" s="2"/>
      </tp>
      <tp t="s">
        <v>#N/A Requesting Data...4131309477</v>
        <stp/>
        <stp>BDP|10385531571292124517</stp>
        <tr r="A490" s="2"/>
      </tp>
      <tp t="s">
        <v>#N/A Requesting Data...4180499478</v>
        <stp/>
        <stp>BDP|11938320765379960868</stp>
        <tr r="F2246" s="2"/>
      </tp>
      <tp t="s">
        <v>#N/A Requesting Data...4076434031</v>
        <stp/>
        <stp>BDP|15198714034974784022</stp>
        <tr r="Q2214" s="2"/>
      </tp>
      <tp t="s">
        <v>#N/A Requesting Data...4138391954</v>
        <stp/>
        <stp>BDP|11249020960915314722</stp>
        <tr r="R136" s="2"/>
      </tp>
      <tp t="s">
        <v>#N/A Requesting Data...4065771282</v>
        <stp/>
        <stp>BDP|10191111081605722972</stp>
        <tr r="K2208" s="2"/>
      </tp>
      <tp t="s">
        <v>#N/A Requesting Data...4087583678</v>
        <stp/>
        <stp>BDP|15553189218854186452</stp>
        <tr r="T311" s="2"/>
      </tp>
      <tp t="s">
        <v>#N/A Requesting Data...4264443851</v>
        <stp/>
        <stp>BDP|12793064634353159756</stp>
        <tr r="K1174" s="2"/>
      </tp>
      <tp t="s">
        <v>#N/A Requesting Data...4130417298</v>
        <stp/>
        <stp>BDP|14762005678851808766</stp>
        <tr r="P2110" s="2"/>
      </tp>
      <tp t="s">
        <v>#N/A Requesting Data...4152924125</v>
        <stp/>
        <stp>BDP|16997391471043021407</stp>
        <tr r="C2283" s="2"/>
      </tp>
      <tp t="s">
        <v>#N/A Requesting Data...4220486612</v>
        <stp/>
        <stp>BDP|14992207832996823628</stp>
        <tr r="H82" s="2"/>
      </tp>
      <tp t="s">
        <v>#N/A Requesting Data...4053142174</v>
        <stp/>
        <stp>BDP|10221934172003523879</stp>
        <tr r="N1968" s="2"/>
      </tp>
      <tp t="s">
        <v>#N/A Requesting Data...4229156953</v>
        <stp/>
        <stp>BDP|14248304330743482273</stp>
        <tr r="S1714" s="2"/>
      </tp>
      <tp t="s">
        <v>#N/A Requesting Data...4114706350</v>
        <stp/>
        <stp>BDP|16144670349839778897</stp>
        <tr r="G1491" s="2"/>
      </tp>
      <tp t="s">
        <v>#N/A Requesting Data...4261556971</v>
        <stp/>
        <stp>BDP|11028229407712312471</stp>
        <tr r="T2494" s="2"/>
      </tp>
      <tp t="s">
        <v>#N/A Requesting Data...4083309610</v>
        <stp/>
        <stp>BDP|16626990888991648303</stp>
        <tr r="P1485" s="2"/>
      </tp>
      <tp t="s">
        <v>#N/A Requesting Data...4283967319</v>
        <stp/>
        <stp>BDP|12259130641335022718</stp>
        <tr r="C1683" s="2"/>
      </tp>
      <tp t="s">
        <v>#N/A Requesting Data...4273692190</v>
        <stp/>
        <stp>BDP|18049772560909635500</stp>
        <tr r="R18" s="2"/>
      </tp>
      <tp t="s">
        <v>#N/A Requesting Data...4248085310</v>
        <stp/>
        <stp>BDP|14583222900975379658</stp>
        <tr r="A1891" s="2"/>
      </tp>
      <tp t="s">
        <v>#N/A Requesting Data...4223837412</v>
        <stp/>
        <stp>BDP|10212229455140713234</stp>
        <tr r="E1296" s="2"/>
      </tp>
      <tp t="s">
        <v>#N/A Requesting Data...4156883107</v>
        <stp/>
        <stp>BDP|17068454271756162740</stp>
        <tr r="G2097" s="2"/>
      </tp>
      <tp t="s">
        <v>#N/A Requesting Data...4252382735</v>
        <stp/>
        <stp>BDP|10233443551502059663</stp>
        <tr r="P1722" s="2"/>
      </tp>
      <tp t="s">
        <v>#N/A Requesting Data...4190031349</v>
        <stp/>
        <stp>BDP|11938526718243464362</stp>
        <tr r="N324" s="2"/>
      </tp>
      <tp t="s">
        <v>#N/A Requesting Data...4166951008</v>
        <stp/>
        <stp>BDP|10417501867510220604</stp>
        <tr r="M1280" s="2"/>
      </tp>
      <tp t="s">
        <v>#N/A Requesting Data...4099848881</v>
        <stp/>
        <stp>BDP|11422633397599016216</stp>
        <tr r="R239" s="2"/>
      </tp>
      <tp t="s">
        <v>#N/A Requesting Data...4289781189</v>
        <stp/>
        <stp>BDP|14744869617680411839</stp>
        <tr r="D1706" s="2"/>
      </tp>
      <tp t="s">
        <v>#N/A Requesting Data...4203157857</v>
        <stp/>
        <stp>BDP|10610374823136431274</stp>
        <tr r="E357" s="2"/>
      </tp>
      <tp t="s">
        <v>#N/A Requesting Data...4280289116</v>
        <stp/>
        <stp>BDP|14408686165807983615</stp>
        <tr r="O534" s="2"/>
      </tp>
      <tp t="s">
        <v>#N/A Requesting Data...4091294292</v>
        <stp/>
        <stp>BDP|14546610537375763152</stp>
        <tr r="D2524" s="2"/>
      </tp>
      <tp t="s">
        <v>#N/A Requesting Data...4183216464</v>
        <stp/>
        <stp>BDP|13642891555772856934</stp>
        <tr r="A889" s="2"/>
      </tp>
      <tp t="s">
        <v>#N/A Requesting Data...4212733146</v>
        <stp/>
        <stp>BDP|10237108026757693136</stp>
        <tr r="H2493" s="2"/>
      </tp>
      <tp t="s">
        <v>#N/A Requesting Data...4121117505</v>
        <stp/>
        <stp>BDP|16713795282618572486</stp>
        <tr r="J1755" s="2"/>
      </tp>
      <tp t="s">
        <v>#N/A Requesting Data...4132134313</v>
        <stp/>
        <stp>BDP|11830033137771849651</stp>
        <tr r="C766" s="2"/>
      </tp>
      <tp t="s">
        <v>#N/A Requesting Data...4152681486</v>
        <stp/>
        <stp>BDP|12598878394582570421</stp>
        <tr r="J1888" s="2"/>
      </tp>
      <tp t="s">
        <v>#N/A Requesting Data...4192913767</v>
        <stp/>
        <stp>BDP|10667014623961115648</stp>
        <tr r="P2433" s="2"/>
      </tp>
      <tp t="s">
        <v>#N/A Requesting Data...4225039802</v>
        <stp/>
        <stp>BDP|12472067818247936120</stp>
        <tr r="F1400" s="2"/>
      </tp>
      <tp t="s">
        <v>#N/A Requesting Data...4134055622</v>
        <stp/>
        <stp>BDP|15261260681979468308</stp>
        <tr r="N2225" s="2"/>
      </tp>
      <tp t="s">
        <v>#N/A Requesting Data...4249375732</v>
        <stp/>
        <stp>BDP|18094881669924528752</stp>
        <tr r="G1040" s="2"/>
      </tp>
      <tp t="b">
        <v>0</v>
        <stp/>
        <stp>BDS|14749160041267477360</stp>
        <tr r="I1501" s="2"/>
      </tp>
      <tp t="s">
        <v>#N/A Requesting Data...4216451744</v>
        <stp/>
        <stp>BDP|15431483290068530582</stp>
        <tr r="N2129" s="2"/>
      </tp>
      <tp t="s">
        <v>#N/A Requesting Data...4257427350</v>
        <stp/>
        <stp>BDP|17159726805373327643</stp>
        <tr r="C1721" s="2"/>
      </tp>
      <tp t="s">
        <v>#N/A Requesting Data...4261005847</v>
        <stp/>
        <stp>BDP|14712213123114460504</stp>
        <tr r="C2384" s="2"/>
      </tp>
      <tp t="s">
        <v>#N/A Requesting Data...4214550164</v>
        <stp/>
        <stp>BDP|10170013890255301926</stp>
        <tr r="H1942" s="2"/>
      </tp>
      <tp t="s">
        <v>#N/A Requesting Data...4156149809</v>
        <stp/>
        <stp>BDP|10029217376363343352</stp>
        <tr r="C1283" s="2"/>
      </tp>
      <tp t="s">
        <v>#N/A Requesting Data...4150883576</v>
        <stp/>
        <stp>BDP|11038034337236007155</stp>
        <tr r="A2328" s="2"/>
      </tp>
      <tp t="s">
        <v>#N/A Requesting Data...4137921684</v>
        <stp/>
        <stp>BDP|12975152555171179293</stp>
        <tr r="S2283" s="2"/>
      </tp>
      <tp t="b">
        <v>0</v>
        <stp/>
        <stp>BDS|13825381641247041635</stp>
        <tr r="I60" s="2"/>
      </tp>
      <tp t="b">
        <v>0</v>
        <stp/>
        <stp>BDS|11861137008196779367</stp>
        <tr r="I2464" s="2"/>
      </tp>
      <tp t="s">
        <v>#N/A Requesting Data...4174517613</v>
        <stp/>
        <stp>BDP|15751236295329178210</stp>
        <tr r="A156" s="2"/>
      </tp>
      <tp t="s">
        <v>#N/A Requesting Data...4211444256</v>
        <stp/>
        <stp>BDP|15772165181211516846</stp>
        <tr r="J328" s="2"/>
      </tp>
      <tp t="s">
        <v>#N/A Requesting Data...4239491572</v>
        <stp/>
        <stp>BDP|15408511769493574085</stp>
        <tr r="F2171" s="2"/>
      </tp>
      <tp t="s">
        <v>#N/A Requesting Data...4291932221</v>
        <stp/>
        <stp>BDP|16226236064620176752</stp>
        <tr r="N942" s="2"/>
      </tp>
      <tp t="s">
        <v>#N/A Requesting Data...4193679654</v>
        <stp/>
        <stp>BDP|18047726584055005775</stp>
        <tr r="F471" s="2"/>
      </tp>
      <tp t="b">
        <v>0</v>
        <stp/>
        <stp>BDS|11444948781880104522</stp>
        <tr r="I117" s="2"/>
      </tp>
      <tp t="s">
        <v>#N/A Requesting Data...4262019733</v>
        <stp/>
        <stp>BDP|15068106716558054876</stp>
        <tr r="S2050" s="2"/>
      </tp>
      <tp t="s">
        <v>#N/A Requesting Data...4268492482</v>
        <stp/>
        <stp>BDP|15349280469206113221</stp>
        <tr r="H1407" s="2"/>
      </tp>
      <tp t="s">
        <v>#N/A Requesting Data...4291288518</v>
        <stp/>
        <stp>BDP|12303435352514668250</stp>
        <tr r="T1265" s="2"/>
      </tp>
      <tp t="s">
        <v>#N/A Requesting Data...4276521176</v>
        <stp/>
        <stp>BDP|10987986091780795566</stp>
        <tr r="M90" s="2"/>
      </tp>
      <tp t="s">
        <v>#N/A Requesting Data...4192858432</v>
        <stp/>
        <stp>BDP|11145582213442906224</stp>
        <tr r="G1155" s="2"/>
      </tp>
      <tp t="s">
        <v>#N/A Requesting Data...4221271795</v>
        <stp/>
        <stp>BDP|15941669684368813629</stp>
        <tr r="D2028" s="2"/>
      </tp>
      <tp t="s">
        <v>#N/A Requesting Data...4244788681</v>
        <stp/>
        <stp>BDP|13433632454593587679</stp>
        <tr r="G964" s="2"/>
      </tp>
      <tp t="s">
        <v>#N/A Requesting Data...4261455808</v>
        <stp/>
        <stp>BDP|15370672846972305009</stp>
        <tr r="P489" s="2"/>
      </tp>
      <tp t="s">
        <v>#N/A Requesting Data...4237928436</v>
        <stp/>
        <stp>BDP|10444033924936381112</stp>
        <tr r="N115" s="2"/>
      </tp>
      <tp t="s">
        <v>#N/A Requesting Data...4211314287</v>
        <stp/>
        <stp>BDP|11028105224002504503</stp>
        <tr r="F1908" s="2"/>
      </tp>
      <tp t="s">
        <v>#N/A Requesting Data...4187951939</v>
        <stp/>
        <stp>BDP|10353534471395419247</stp>
        <tr r="M1628" s="2"/>
      </tp>
      <tp t="s">
        <v>#N/A Requesting Data...4217307399</v>
        <stp/>
        <stp>BDP|17113844920588473003</stp>
        <tr r="O2351" s="2"/>
      </tp>
      <tp t="s">
        <v>#N/A Requesting Data...4263751153</v>
        <stp/>
        <stp>BDP|17533980570865993956</stp>
        <tr r="N996" s="2"/>
      </tp>
      <tp t="s">
        <v>#N/A Requesting Data...4209707947</v>
        <stp/>
        <stp>BDP|12265709754466269346</stp>
        <tr r="O2523" s="2"/>
      </tp>
      <tp t="s">
        <v>#N/A Requesting Data...4231017512</v>
        <stp/>
        <stp>BDP|15727621845504252628</stp>
        <tr r="A98" s="2"/>
      </tp>
      <tp t="s">
        <v>#N/A Requesting Data...4203680937</v>
        <stp/>
        <stp>BDP|16683326405699333920</stp>
        <tr r="H2016" s="2"/>
      </tp>
      <tp t="s">
        <v>#N/A Requesting Data...4270967168</v>
        <stp/>
        <stp>BDP|18233353957869242227</stp>
        <tr r="P294" s="2"/>
      </tp>
      <tp t="s">
        <v>#N/A Requesting Data...4241351881</v>
        <stp/>
        <stp>BDP|11159400563875150333</stp>
        <tr r="F10" s="2"/>
      </tp>
      <tp t="s">
        <v>#N/A Requesting Data...4250115763</v>
        <stp/>
        <stp>BDP|18296313981215465365</stp>
        <tr r="O773" s="2"/>
      </tp>
      <tp t="s">
        <v>#N/A Requesting Data...4213485714</v>
        <stp/>
        <stp>BDP|15324317662822317737</stp>
        <tr r="O1523" s="2"/>
      </tp>
      <tp t="s">
        <v>#N/A Requesting Data...4219241851</v>
        <stp/>
        <stp>BDP|16277551423942160652</stp>
        <tr r="P2031" s="2"/>
      </tp>
      <tp t="s">
        <v>#N/A Requesting Data...4292815202</v>
        <stp/>
        <stp>BDP|14155038209620923122</stp>
        <tr r="P453" s="2"/>
      </tp>
      <tp t="s">
        <v>#N/A Requesting Data...4275995253</v>
        <stp/>
        <stp>BDP|14342214638568284886</stp>
        <tr r="T1761" s="2"/>
      </tp>
      <tp t="s">
        <v>#N/A Requesting Data...4250421309</v>
        <stp/>
        <stp>BDP|14854343186243890926</stp>
        <tr r="S655" s="2"/>
      </tp>
      <tp t="s">
        <v>#N/A Requesting Data...4261357604</v>
        <stp/>
        <stp>BDP|10108955884825252123</stp>
        <tr r="P113" s="2"/>
      </tp>
      <tp t="s">
        <v>#N/A Requesting Data...4279826760</v>
        <stp/>
        <stp>BDP|12257969694387702075</stp>
        <tr r="M898" s="2"/>
      </tp>
      <tp t="s">
        <v>#N/A Requesting Data...4257480192</v>
        <stp/>
        <stp>BDP|10235963517828125520</stp>
        <tr r="E1887" s="2"/>
      </tp>
      <tp t="s">
        <v>#N/A Requesting Data...4287785845</v>
        <stp/>
        <stp>BDP|11149278319586865175</stp>
        <tr r="M1964" s="2"/>
      </tp>
      <tp t="s">
        <v>#N/A Requesting Data...4285980795</v>
        <stp/>
        <stp>BDP|14634635262197472639</stp>
        <tr r="J1464" s="2"/>
      </tp>
      <tp t="s">
        <v>#N/A Requesting Data...4267957488</v>
        <stp/>
        <stp>BDP|14677877173769263708</stp>
        <tr r="R644" s="2"/>
      </tp>
      <tp t="s">
        <v>#N/A Requesting Data...4259374429</v>
        <stp/>
        <stp>BDP|11284606703517270535</stp>
        <tr r="C829" s="2"/>
      </tp>
      <tp t="s">
        <v>#N/A Requesting Data...4278674410</v>
        <stp/>
        <stp>BDP|10988308950066088590</stp>
        <tr r="Q1875" s="2"/>
      </tp>
      <tp t="s">
        <v>#N/A Requesting Data...4261494136</v>
        <stp/>
        <stp>BDP|14810001808766699766</stp>
        <tr r="S580" s="2"/>
      </tp>
      <tp t="s">
        <v>#N/A Requesting Data...4253444435</v>
        <stp/>
        <stp>BDP|16004200200875936493</stp>
        <tr r="P1518" s="2"/>
      </tp>
      <tp t="s">
        <v>#N/A Requesting Data...4288442841</v>
        <stp/>
        <stp>BDP|13611287399868072571</stp>
        <tr r="F1538" s="2"/>
      </tp>
      <tp t="s">
        <v>#N/A Requesting Data...4282824754</v>
        <stp/>
        <stp>BDP|16823646108482399771</stp>
        <tr r="R1986" s="2"/>
      </tp>
      <tp t="s">
        <v>#N/A Requesting Data...4290735998</v>
        <stp/>
        <stp>BDP|17778771464380789332</stp>
        <tr r="J2212" s="2"/>
      </tp>
      <tp t="s">
        <v>#N/A Requesting Data...4263299033</v>
        <stp/>
        <stp>BDP|12965500965777895347</stp>
        <tr r="A1485" s="2"/>
      </tp>
      <tp t="s">
        <v>#N/A Requesting Data...4291791082</v>
        <stp/>
        <stp>BDP|16163115518195944619</stp>
        <tr r="M584" s="2"/>
      </tp>
      <tp t="b">
        <v>0</v>
        <stp/>
        <stp>BDS|18263018895377209372</stp>
        <tr r="I1616" s="2"/>
      </tp>
      <tp t="s">
        <v>#N/A Requesting Data...4277671340</v>
        <stp/>
        <stp>BDP|18101175570569685207</stp>
        <tr r="H1052" s="2"/>
      </tp>
      <tp t="b">
        <v>0</v>
        <stp/>
        <stp>BDS|16524161149165192384</stp>
        <tr r="I2123" s="2"/>
      </tp>
      <tp t="s">
        <v>#N/A Requesting Data...4280687072</v>
        <stp/>
        <stp>BDP|10196426954722501626</stp>
        <tr r="G1954" s="2"/>
      </tp>
      <tp t="s">
        <v>#N/A Requesting Data...4289111511</v>
        <stp/>
        <stp>BDP|16188545342111164364</stp>
        <tr r="A2247" s="2"/>
      </tp>
      <tp t="s">
        <v>#N/A Requesting Data...4288000492</v>
        <stp/>
        <stp>BDP|14502082152902706685</stp>
        <tr r="T528" s="2"/>
      </tp>
      <tp t="s">
        <v>#N/A Requesting Data...4292146621</v>
        <stp/>
        <stp>BDP|17324043582543382962</stp>
        <tr r="C1246" s="2"/>
      </tp>
      <tp t="s">
        <v>#N/A Requesting Data...4291338291</v>
        <stp/>
        <stp>BDP|15335823112679200018</stp>
        <tr r="E2427" s="2"/>
      </tp>
      <tp t="s">
        <v>#N/A Requesting Data...4289229053</v>
        <stp/>
        <stp>BDP|11135776423911502002</stp>
        <tr r="H576" s="2"/>
      </tp>
      <tp t="s">
        <v>#N/A Requesting Data...4293139435</v>
        <stp/>
        <stp>BDP|11563141703847412260</stp>
        <tr r="N2119" s="2"/>
      </tp>
      <tp t="s">
        <v>#N/A Requesting Data...4294563036</v>
        <stp/>
        <stp>BDP|16218957339548992177</stp>
        <tr r="E1578" s="2"/>
      </tp>
      <tp t="s">
        <v>#N/A Requesting Data...1597779836</v>
        <stp/>
        <stp>BDP|15791844297521324077</stp>
        <tr r="J1712" s="2"/>
      </tp>
      <tp t="s">
        <v>#N/A Requesting Data...582264932</v>
        <stp/>
        <stp>BDP|12498266233693155501</stp>
        <tr r="N1065" s="2"/>
      </tp>
      <tp t="s">
        <v>#N/A Requesting Data...2542627673</v>
        <stp/>
        <stp>BDP|17052084670931041481</stp>
        <tr r="C1474" s="2"/>
      </tp>
      <tp t="s">
        <v>#N/A Requesting Data...1314122035</v>
        <stp/>
        <stp>BDP|18370323660839445155</stp>
        <tr r="H749" s="2"/>
      </tp>
      <tp t="s">
        <v>#N/A Requesting Data...2102432349</v>
        <stp/>
        <stp>BDP|17870635257192979359</stp>
        <tr r="G1635" s="2"/>
      </tp>
      <tp t="s">
        <v>#N/A Requesting Data...1985071514</v>
        <stp/>
        <stp>BDP|15795291071775928061</stp>
        <tr r="M1978" s="2"/>
      </tp>
      <tp t="s">
        <v>#N/A Requesting Data...642154314</v>
        <stp/>
        <stp>BDP|13198271230554063368</stp>
        <tr r="M982" s="2"/>
      </tp>
      <tp t="s">
        <v>#N/A Requesting Data...913447850</v>
        <stp/>
        <stp>BDP|10008309162124584473</stp>
        <tr r="N2093" s="2"/>
      </tp>
      <tp t="s">
        <v>#N/A Requesting Data...4050113658</v>
        <stp/>
        <stp>BDP|16849456077959992931</stp>
        <tr r="S508" s="2"/>
      </tp>
      <tp t="s">
        <v>#N/A Requesting Data...4230866608</v>
        <stp/>
        <stp>BDP|14782230564386496341</stp>
        <tr r="K1233" s="2"/>
      </tp>
      <tp t="s">
        <v>#N/A Requesting Data...4144148179</v>
        <stp/>
        <stp>BDP|12774627731015458706</stp>
        <tr r="M1672" s="2"/>
      </tp>
      <tp t="s">
        <v>#N/A Requesting Data...553319472</v>
        <stp/>
        <stp>BDP|15258794708222508560</stp>
        <tr r="G1910" s="2"/>
      </tp>
      <tp t="s">
        <v>#N/A Requesting Data...161525663</v>
        <stp/>
        <stp>BDP|15476153932283560163</stp>
        <tr r="N583" s="2"/>
      </tp>
      <tp t="s">
        <v>#N/A Requesting Data...4015581744</v>
        <stp/>
        <stp>BDP|15098375423735489400</stp>
        <tr r="F516" s="2"/>
      </tp>
      <tp t="s">
        <v>#N/A Requesting Data...182630524</v>
        <stp/>
        <stp>BDP|17101686114270446593</stp>
        <tr r="Q1302" s="2"/>
      </tp>
      <tp t="s">
        <v>#N/A Requesting Data...2188117647</v>
        <stp/>
        <stp>BDP|16122568062848136842</stp>
        <tr r="N1084" s="2"/>
      </tp>
      <tp t="s">
        <v>#N/A Requesting Data...1231960566</v>
        <stp/>
        <stp>BDP|17732737677302664052</stp>
        <tr r="A738" s="2"/>
      </tp>
      <tp t="s">
        <v>#N/A Requesting Data...2531717176</v>
        <stp/>
        <stp>BDP|10015843115835215938</stp>
        <tr r="K2141" s="2"/>
      </tp>
      <tp t="b">
        <v>0</v>
        <stp/>
        <stp>BDS|15208512521757361021</stp>
        <tr r="I244" s="2"/>
      </tp>
      <tp t="s">
        <v>#N/A Requesting Data...4025877889</v>
        <stp/>
        <stp>BDP|13002345076895163739</stp>
        <tr r="H2185" s="2"/>
      </tp>
      <tp t="s">
        <v>#N/A Requesting Data...1204514942</v>
        <stp/>
        <stp>BDP|11525456042563206703</stp>
        <tr r="F843" s="2"/>
      </tp>
      <tp t="s">
        <v>#N/A Requesting Data...2549205636</v>
        <stp/>
        <stp>BDP|16032120279857890230</stp>
        <tr r="S1247" s="2"/>
      </tp>
      <tp t="s">
        <v>#N/A Requesting Data...505790044</v>
        <stp/>
        <stp>BDP|10015921311654127926</stp>
        <tr r="T230" s="2"/>
      </tp>
      <tp t="s">
        <v>#N/A Requesting Data...67081404</v>
        <stp/>
        <stp>BDP|11243445467342067416</stp>
        <tr r="O1343" s="2"/>
      </tp>
      <tp t="s">
        <v>#N/A Requesting Data...3796812755</v>
        <stp/>
        <stp>BDP|14480078412666374623</stp>
        <tr r="H791" s="2"/>
      </tp>
      <tp t="s">
        <v>#N/A Requesting Data...2460814213</v>
        <stp/>
        <stp>BDP|15236400400445726157</stp>
        <tr r="M991" s="2"/>
      </tp>
      <tp t="s">
        <v>#N/A Requesting Data...2158432207</v>
        <stp/>
        <stp>BDP|17112674830422154575</stp>
        <tr r="P2162" s="2"/>
      </tp>
      <tp t="s">
        <v>#N/A Requesting Data...3097671941</v>
        <stp/>
        <stp>BDP|15604743190679359711</stp>
        <tr r="S2303" s="2"/>
      </tp>
      <tp t="s">
        <v>#N/A Requesting Data...4208991662</v>
        <stp/>
        <stp>BDP|18030370686136903083</stp>
        <tr r="S262" s="2"/>
      </tp>
      <tp t="s">
        <v>#N/A Requesting Data...1319608907</v>
        <stp/>
        <stp>BDP|17984045816496394581</stp>
        <tr r="F1318" s="2"/>
      </tp>
      <tp t="s">
        <v>#N/A Requesting Data...3107559834</v>
        <stp/>
        <stp>BDP|15494155826053796005</stp>
        <tr r="Q598" s="2"/>
      </tp>
      <tp t="s">
        <v>#N/A Requesting Data...363507531</v>
        <stp/>
        <stp>BDP|10786527367851449763</stp>
        <tr r="S1334" s="2"/>
      </tp>
      <tp t="s">
        <v>#N/A Requesting Data...324879781</v>
        <stp/>
        <stp>BDP|16718577655416716523</stp>
        <tr r="A1122" s="2"/>
      </tp>
      <tp t="s">
        <v>#N/A Requesting Data...435379935</v>
        <stp/>
        <stp>BDP|10405086783268930567</stp>
        <tr r="H1391" s="2"/>
      </tp>
      <tp t="b">
        <v>0</v>
        <stp/>
        <stp>BDS|14660211271442447617</stp>
        <tr r="I584" s="2"/>
      </tp>
      <tp t="b">
        <v>0</v>
        <stp/>
        <stp>BDS|17648442596588565725</stp>
        <tr r="I2426" s="2"/>
      </tp>
      <tp t="s">
        <v>#N/A Requesting Data...187435596</v>
        <stp/>
        <stp>BDP|14335828564357369869</stp>
        <tr r="N1217" s="2"/>
      </tp>
      <tp t="s">
        <v>#N/A Requesting Data...2117026618</v>
        <stp/>
        <stp>BDP|11956027324633637591</stp>
        <tr r="F200" s="2"/>
      </tp>
      <tp t="s">
        <v>#N/A Requesting Data...4013845466</v>
        <stp/>
        <stp>BDP|16813551417466800122</stp>
        <tr r="K513" s="2"/>
      </tp>
      <tp t="s">
        <v>#N/A Requesting Data...1987339047</v>
        <stp/>
        <stp>BDP|13805395769000121391</stp>
        <tr r="S628" s="2"/>
      </tp>
      <tp t="s">
        <v>#N/A Requesting Data...831907281</v>
        <stp/>
        <stp>BDP|12131089029590523558</stp>
        <tr r="O1195" s="2"/>
      </tp>
      <tp t="s">
        <v>#N/A Requesting Data...1703198185</v>
        <stp/>
        <stp>BDP|14929130401231219194</stp>
        <tr r="F2054" s="2"/>
      </tp>
      <tp t="s">
        <v>#N/A Requesting Data...2782174611</v>
        <stp/>
        <stp>BDP|10255793108377515561</stp>
        <tr r="D1833" s="2"/>
      </tp>
      <tp t="s">
        <v>#N/A Requesting Data...1132667483</v>
        <stp/>
        <stp>BDP|17930511729723553645</stp>
        <tr r="T262" s="2"/>
      </tp>
      <tp t="s">
        <v>#N/A Requesting Data...3494360906</v>
        <stp/>
        <stp>BDP|17242976249219861643</stp>
        <tr r="D1838" s="2"/>
      </tp>
      <tp t="s">
        <v>#N/A Requesting Data...1877055663</v>
        <stp/>
        <stp>BDP|10548101526197686159</stp>
        <tr r="K767" s="2"/>
      </tp>
      <tp t="s">
        <v>#N/A Requesting Data...2969761592</v>
        <stp/>
        <stp>BDP|15759788064361893033</stp>
        <tr r="A1759" s="2"/>
      </tp>
      <tp t="s">
        <v>#N/A Requesting Data...3746337599</v>
        <stp/>
        <stp>BDP|12502224905033337613</stp>
        <tr r="Q75" s="2"/>
      </tp>
      <tp t="s">
        <v>#N/A Requesting Data...1753873029</v>
        <stp/>
        <stp>BDP|12355375010350238564</stp>
        <tr r="G2044" s="2"/>
      </tp>
      <tp t="s">
        <v>#N/A Requesting Data...2859774236</v>
        <stp/>
        <stp>BDP|10519504762722519427</stp>
        <tr r="K2408" s="2"/>
      </tp>
      <tp t="s">
        <v>#N/A Requesting Data...176474093</v>
        <stp/>
        <stp>BDP|11214296853107069484</stp>
        <tr r="E549" s="2"/>
      </tp>
      <tp t="s">
        <v>#N/A Requesting Data...1284258433</v>
        <stp/>
        <stp>BDP|18054290383451244681</stp>
        <tr r="A347" s="2"/>
      </tp>
      <tp t="b">
        <v>0</v>
        <stp/>
        <stp>BDS|14200875782579231867</stp>
        <tr r="I1473" s="2"/>
      </tp>
      <tp t="b">
        <v>0</v>
        <stp/>
        <stp>BDS|13150829030899779477</stp>
        <tr r="I2401" s="2"/>
      </tp>
      <tp t="s">
        <v>#N/A Requesting Data...1159272860</v>
        <stp/>
        <stp>BDP|11268307173534709460</stp>
        <tr r="P2340" s="2"/>
      </tp>
      <tp t="s">
        <v>#N/A Requesting Data...1257371447</v>
        <stp/>
        <stp>BDP|16768244467930633713</stp>
        <tr r="D704" s="2"/>
      </tp>
      <tp t="s">
        <v>#N/A Requesting Data...2623050827</v>
        <stp/>
        <stp>BDP|18373942235865809296</stp>
        <tr r="R377" s="2"/>
      </tp>
      <tp t="s">
        <v>#N/A Requesting Data...4141488668</v>
        <stp/>
        <stp>BDP|12498155641060310206</stp>
        <tr r="T1833" s="2"/>
      </tp>
      <tp t="s">
        <v>#N/A Requesting Data...2970316269</v>
        <stp/>
        <stp>BDP|16184664143671109061</stp>
        <tr r="R1403" s="2"/>
      </tp>
      <tp t="s">
        <v>#N/A Requesting Data...238048118</v>
        <stp/>
        <stp>BDP|15267518653090072032</stp>
        <tr r="A543" s="2"/>
      </tp>
      <tp t="s">
        <v>#N/A Requesting Data...4117155830</v>
        <stp/>
        <stp>BDP|14282215445967174048</stp>
        <tr r="Q1870" s="2"/>
      </tp>
      <tp t="s">
        <v>#N/A Requesting Data...2045680121</v>
        <stp/>
        <stp>BDP|18437310890486346158</stp>
        <tr r="J1892" s="2"/>
      </tp>
      <tp t="s">
        <v>#N/A Requesting Data...4063288545</v>
        <stp/>
        <stp>BDP|10516637834649498952</stp>
        <tr r="P1812" s="2"/>
      </tp>
      <tp t="s">
        <v>#N/A Requesting Data...3897843827</v>
        <stp/>
        <stp>BDP|13411840609736346899</stp>
        <tr r="D103" s="2"/>
      </tp>
      <tp t="s">
        <v>#N/A Requesting Data...1840489489</v>
        <stp/>
        <stp>BDP|14192418432702999485</stp>
        <tr r="M2086" s="2"/>
      </tp>
      <tp t="s">
        <v>#N/A Requesting Data...913289634</v>
        <stp/>
        <stp>BDP|12850623245385484087</stp>
        <tr r="M2461" s="2"/>
      </tp>
      <tp t="s">
        <v>#N/A Requesting Data...1068804558</v>
        <stp/>
        <stp>BDP|17076359325091072233</stp>
        <tr r="H1749" s="2"/>
      </tp>
      <tp t="s">
        <v>#N/A Requesting Data...863031908</v>
        <stp/>
        <stp>BDP|12398253144437523646</stp>
        <tr r="A689" s="2"/>
      </tp>
      <tp t="s">
        <v>#N/A Requesting Data...3212933513</v>
        <stp/>
        <stp>BDP|11967316669889512873</stp>
        <tr r="Q2303" s="2"/>
      </tp>
      <tp t="s">
        <v>#N/A Requesting Data...1232752378</v>
        <stp/>
        <stp>BDP|10497578762635087325</stp>
        <tr r="C1934" s="2"/>
      </tp>
      <tp t="s">
        <v>#N/A Requesting Data...1736847178</v>
        <stp/>
        <stp>BDP|17397129607504667739</stp>
        <tr r="J1986" s="2"/>
      </tp>
      <tp t="s">
        <v>#N/A Requesting Data...3300809927</v>
        <stp/>
        <stp>BDP|16932734429491533759</stp>
        <tr r="O1967" s="2"/>
      </tp>
      <tp t="s">
        <v>#N/A Requesting Data...2310132773</v>
        <stp/>
        <stp>BDP|15902365279070241478</stp>
        <tr r="Q1504" s="2"/>
      </tp>
      <tp t="s">
        <v>#N/A Requesting Data...341739983</v>
        <stp/>
        <stp>BDP|13650120824034648158</stp>
        <tr r="T638" s="2"/>
      </tp>
      <tp t="s">
        <v>#N/A Requesting Data...1008385046</v>
        <stp/>
        <stp>BDP|17013612386674159858</stp>
        <tr r="S942" s="2"/>
      </tp>
      <tp t="s">
        <v>#N/A Requesting Data...1803169672</v>
        <stp/>
        <stp>BDP|12240028931135033126</stp>
        <tr r="J1363" s="2"/>
      </tp>
      <tp t="s">
        <v>#N/A Requesting Data...386942004</v>
        <stp/>
        <stp>BDP|11663551178945963310</stp>
        <tr r="M2173" s="2"/>
      </tp>
      <tp t="s">
        <v>#N/A Requesting Data...868312681</v>
        <stp/>
        <stp>BDP|10906593356123083652</stp>
        <tr r="H644" s="2"/>
      </tp>
      <tp t="s">
        <v>#N/A Requesting Data...2236616914</v>
        <stp/>
        <stp>BDP|11732542166567552039</stp>
        <tr r="G163" s="2"/>
      </tp>
      <tp t="s">
        <v>#N/A Requesting Data...883516033</v>
        <stp/>
        <stp>BDP|12400815807349680671</stp>
        <tr r="H606" s="2"/>
      </tp>
      <tp t="b">
        <v>0</v>
        <stp/>
        <stp>BDS|10004654842940766704</stp>
        <tr r="I489" s="2"/>
      </tp>
      <tp t="s">
        <v>#N/A Requesting Data...903081871</v>
        <stp/>
        <stp>BDP|13578343437490561609</stp>
        <tr r="J691" s="2"/>
      </tp>
      <tp t="s">
        <v>#N/A Requesting Data...3150695258</v>
        <stp/>
        <stp>BDP|17640029305174002623</stp>
        <tr r="T1665" s="2"/>
      </tp>
      <tp t="s">
        <v>#N/A Requesting Data...4125481968</v>
        <stp/>
        <stp>BDP|18255445096802753242</stp>
        <tr r="A1665" s="2"/>
      </tp>
      <tp t="s">
        <v>#N/A Requesting Data...2367121241</v>
        <stp/>
        <stp>BDP|13464184215810866623</stp>
        <tr r="S369" s="2"/>
      </tp>
      <tp t="s">
        <v>#N/A Requesting Data...423501413</v>
        <stp/>
        <stp>BDP|14487288454971258792</stp>
        <tr r="S2248" s="2"/>
      </tp>
      <tp t="s">
        <v>#N/A Requesting Data...4059757928</v>
        <stp/>
        <stp>BDP|12468619274370177635</stp>
        <tr r="T209" s="2"/>
      </tp>
      <tp t="s">
        <v>#N/A Requesting Data...2325360597</v>
        <stp/>
        <stp>BDP|10194464759046932240</stp>
        <tr r="O479" s="2"/>
      </tp>
      <tp t="s">
        <v>#N/A Requesting Data...3691105163</v>
        <stp/>
        <stp>BDP|15484435307114762044</stp>
        <tr r="S1527" s="2"/>
      </tp>
      <tp t="s">
        <v>#N/A Requesting Data...1811054116</v>
        <stp/>
        <stp>BDP|13790252646945194565</stp>
        <tr r="T783" s="2"/>
      </tp>
      <tp t="s">
        <v>#N/A Requesting Data...3660342935</v>
        <stp/>
        <stp>BDP|18237420360958577763</stp>
        <tr r="K837" s="2"/>
      </tp>
      <tp t="s">
        <v>#N/A Requesting Data...1239060189</v>
        <stp/>
        <stp>BDP|13611336641360793103</stp>
        <tr r="M597" s="2"/>
      </tp>
      <tp t="s">
        <v>#N/A Requesting Data...927106548</v>
        <stp/>
        <stp>BDP|17684912934818091006</stp>
        <tr r="D1540" s="2"/>
      </tp>
      <tp t="s">
        <v>#N/A Requesting Data...3649789987</v>
        <stp/>
        <stp>BDP|15633161811845356512</stp>
        <tr r="A1924" s="2"/>
      </tp>
      <tp t="s">
        <v>#N/A Requesting Data...798294552</v>
        <stp/>
        <stp>BDP|17985635147365616582</stp>
        <tr r="C1789" s="2"/>
      </tp>
      <tp t="s">
        <v>#N/A Requesting Data...3452430198</v>
        <stp/>
        <stp>BDP|18376019117214581839</stp>
        <tr r="E587" s="2"/>
      </tp>
      <tp t="s">
        <v>#N/A Requesting Data...990905303</v>
        <stp/>
        <stp>BDP|12539555116573469018</stp>
        <tr r="O1899" s="2"/>
      </tp>
      <tp t="s">
        <v>#N/A Requesting Data...1341465256</v>
        <stp/>
        <stp>BDP|15720736522345022058</stp>
        <tr r="N1697" s="2"/>
      </tp>
      <tp t="s">
        <v>#N/A Requesting Data...418579157</v>
        <stp/>
        <stp>BDP|16493242478087960121</stp>
        <tr r="P1268" s="2"/>
      </tp>
      <tp t="s">
        <v>#N/A Requesting Data...3187678883</v>
        <stp/>
        <stp>BDP|11640370812122501459</stp>
        <tr r="Q637" s="2"/>
      </tp>
      <tp t="s">
        <v>#N/A Requesting Data...2843725604</v>
        <stp/>
        <stp>BDP|15209235766865709131</stp>
        <tr r="A1075" s="2"/>
      </tp>
      <tp t="s">
        <v>#N/A Requesting Data...3031098597</v>
        <stp/>
        <stp>BDP|13285095728670055402</stp>
        <tr r="C540" s="2"/>
      </tp>
      <tp t="s">
        <v>#N/A Requesting Data...3572582308</v>
        <stp/>
        <stp>BDP|14275340981582794837</stp>
        <tr r="R367" s="2"/>
      </tp>
      <tp t="s">
        <v>#N/A Requesting Data...801453587</v>
        <stp/>
        <stp>BDP|15352658214313859498</stp>
        <tr r="S2234" s="2"/>
      </tp>
      <tp t="s">
        <v>#N/A Requesting Data...3137646566</v>
        <stp/>
        <stp>BDP|17337732842516746763</stp>
        <tr r="C465" s="2"/>
      </tp>
      <tp t="s">
        <v>#N/A Requesting Data...3744251583</v>
        <stp/>
        <stp>BDP|15052482320495823332</stp>
        <tr r="M2514" s="2"/>
      </tp>
      <tp t="s">
        <v>#N/A Requesting Data...1023448160</v>
        <stp/>
        <stp>BDP|10599327305891279732</stp>
        <tr r="J1590" s="2"/>
      </tp>
      <tp t="s">
        <v>#N/A Requesting Data...3364834721</v>
        <stp/>
        <stp>BDP|12659376183049358525</stp>
        <tr r="Q2500" s="2"/>
      </tp>
      <tp t="s">
        <v>#N/A Requesting Data...3942114915</v>
        <stp/>
        <stp>BDP|16973540826665829100</stp>
        <tr r="P976" s="2"/>
      </tp>
      <tp t="s">
        <v>#N/A Requesting Data...868283178</v>
        <stp/>
        <stp>BDP|10220317261660323022</stp>
        <tr r="E1492" s="2"/>
      </tp>
      <tp t="s">
        <v>#N/A Requesting Data...1218123084</v>
        <stp/>
        <stp>BDP|15531738002076300148</stp>
        <tr r="M2238" s="2"/>
      </tp>
      <tp t="s">
        <v>#N/A Requesting Data...1377410990</v>
        <stp/>
        <stp>BDP|17578437408624806254</stp>
        <tr r="C1210" s="2"/>
      </tp>
      <tp t="s">
        <v>#N/A Requesting Data...2079192517</v>
        <stp/>
        <stp>BDP|14519737096088326706</stp>
        <tr r="S928" s="2"/>
      </tp>
      <tp t="s">
        <v>#N/A Requesting Data...2620839219</v>
        <stp/>
        <stp>BDP|14467850460157407865</stp>
        <tr r="E905" s="2"/>
      </tp>
      <tp t="s">
        <v>#N/A Requesting Data...3840182009</v>
        <stp/>
        <stp>BDP|16839683129416978131</stp>
        <tr r="E1065" s="2"/>
      </tp>
      <tp t="s">
        <v>#N/A Requesting Data...3392742837</v>
        <stp/>
        <stp>BDP|17935141547071036693</stp>
        <tr r="T2238" s="2"/>
      </tp>
      <tp t="s">
        <v>#N/A Requesting Data...1673682140</v>
        <stp/>
        <stp>BDP|17966335478724120204</stp>
        <tr r="J1332" s="2"/>
      </tp>
      <tp t="s">
        <v>#N/A Requesting Data...2201684253</v>
        <stp/>
        <stp>BDP|12749365411560406575</stp>
        <tr r="P1402" s="2"/>
      </tp>
      <tp t="s">
        <v>#N/A Requesting Data...951234525</v>
        <stp/>
        <stp>BDP|14520967807101234956</stp>
        <tr r="S2486" s="2"/>
      </tp>
      <tp t="s">
        <v>#N/A Requesting Data...2402319954</v>
        <stp/>
        <stp>BDP|16119960764678136415</stp>
        <tr r="H2514" s="2"/>
      </tp>
      <tp t="s">
        <v>#N/A Requesting Data...3292171322</v>
        <stp/>
        <stp>BDP|12229777624802696045</stp>
        <tr r="K2510" s="2"/>
      </tp>
      <tp t="s">
        <v>#N/A Requesting Data...3820669963</v>
        <stp/>
        <stp>BDP|12851327679210781379</stp>
        <tr r="G2388" s="2"/>
      </tp>
      <tp t="s">
        <v>#N/A Requesting Data...2813477531</v>
        <stp/>
        <stp>BDP|14871800710240915825</stp>
        <tr r="D2157" s="2"/>
      </tp>
      <tp t="s">
        <v>#N/A Requesting Data...1767563600</v>
        <stp/>
        <stp>BDP|14516136691488607123</stp>
        <tr r="K282" s="2"/>
      </tp>
      <tp t="s">
        <v>#N/A Requesting Data...2016744543</v>
        <stp/>
        <stp>BDP|14547004907069251835</stp>
        <tr r="G2286" s="2"/>
      </tp>
      <tp t="s">
        <v>#N/A Requesting Data...1097444398</v>
        <stp/>
        <stp>BDP|14216204751302924494</stp>
        <tr r="A1872" s="2"/>
      </tp>
      <tp t="s">
        <v>#N/A Requesting Data...569222337</v>
        <stp/>
        <stp>BDP|12423487678026043271</stp>
        <tr r="G2179" s="2"/>
      </tp>
      <tp t="s">
        <v>#N/A Requesting Data...678835458</v>
        <stp/>
        <stp>BDP|15872584212454372020</stp>
        <tr r="J573" s="2"/>
      </tp>
      <tp t="s">
        <v>#N/A Requesting Data...1539759855</v>
        <stp/>
        <stp>BDP|18315652211953035949</stp>
        <tr r="M1211" s="2"/>
      </tp>
      <tp t="s">
        <v>#N/A Requesting Data...2395244935</v>
        <stp/>
        <stp>BDP|17255140336397439775</stp>
        <tr r="A335" s="2"/>
      </tp>
      <tp t="s">
        <v>#N/A Requesting Data...2271387710</v>
        <stp/>
        <stp>BDP|17587501826386791373</stp>
        <tr r="O1981" s="2"/>
      </tp>
      <tp t="s">
        <v>#N/A Requesting Data...2491144919</v>
        <stp/>
        <stp>BDP|14889078822655649685</stp>
        <tr r="J624" s="2"/>
      </tp>
      <tp t="s">
        <v>#N/A Requesting Data...826670536</v>
        <stp/>
        <stp>BDP|10914254871954696482</stp>
        <tr r="H1579" s="2"/>
      </tp>
      <tp t="s">
        <v>#N/A Requesting Data...414259054</v>
        <stp/>
        <stp>BDP|13304865991005733201</stp>
        <tr r="D2240" s="2"/>
      </tp>
      <tp t="s">
        <v>#N/A Requesting Data...3954428816</v>
        <stp/>
        <stp>BDP|10137575648392441696</stp>
        <tr r="S2131" s="2"/>
      </tp>
      <tp t="s">
        <v>#N/A Requesting Data...2896762328</v>
        <stp/>
        <stp>BDP|13140770870316450015</stp>
        <tr r="P873" s="2"/>
      </tp>
      <tp t="s">
        <v>#N/A Requesting Data...1205460273</v>
        <stp/>
        <stp>BDP|13357667542202208667</stp>
        <tr r="M1985" s="2"/>
      </tp>
      <tp t="s">
        <v>#N/A Requesting Data...3421751019</v>
        <stp/>
        <stp>BDP|17979600657105535482</stp>
        <tr r="D2231" s="2"/>
      </tp>
      <tp t="s">
        <v>#N/A Requesting Data...1986897265</v>
        <stp/>
        <stp>BDP|14186448179677746585</stp>
        <tr r="N365" s="2"/>
      </tp>
      <tp t="s">
        <v>#N/A Requesting Data...1116602520</v>
        <stp/>
        <stp>BDP|14530511565374234605</stp>
        <tr r="E1603" s="2"/>
      </tp>
      <tp t="s">
        <v>#N/A Requesting Data...1636725240</v>
        <stp/>
        <stp>BDP|11739553978353835517</stp>
        <tr r="C950" s="2"/>
      </tp>
      <tp t="s">
        <v>#N/A Requesting Data...514271052</v>
        <stp/>
        <stp>BDP|14646436843410774127</stp>
        <tr r="K2530" s="2"/>
      </tp>
      <tp t="s">
        <v>#N/A Requesting Data...1911917023</v>
        <stp/>
        <stp>BDP|17644040430636377723</stp>
        <tr r="G1796" s="2"/>
      </tp>
      <tp t="s">
        <v>#N/A Requesting Data...1496197134</v>
        <stp/>
        <stp>BDP|10360001656288539830</stp>
        <tr r="K1479" s="2"/>
      </tp>
      <tp t="s">
        <v>#N/A Requesting Data...1213437603</v>
        <stp/>
        <stp>BDP|11591800922099760739</stp>
        <tr r="D1245" s="2"/>
      </tp>
      <tp t="s">
        <v>#N/A Requesting Data...521588782</v>
        <stp/>
        <stp>BDP|15210195709765400455</stp>
        <tr r="R643" s="2"/>
      </tp>
      <tp t="s">
        <v>#N/A Requesting Data...556000659</v>
        <stp/>
        <stp>BDP|11325551801330342171</stp>
        <tr r="Q1665" s="2"/>
      </tp>
      <tp t="s">
        <v>#N/A Requesting Data...2963739102</v>
        <stp/>
        <stp>BDP|15048375544220003706</stp>
        <tr r="H53" s="2"/>
      </tp>
      <tp t="s">
        <v>#N/A Requesting Data...874391280</v>
        <stp/>
        <stp>BDP|15409102663664107351</stp>
        <tr r="A1060" s="2"/>
      </tp>
      <tp t="s">
        <v>#N/A Requesting Data...423118222</v>
        <stp/>
        <stp>BDP|12316150372038732907</stp>
        <tr r="R747" s="2"/>
      </tp>
      <tp t="s">
        <v>#N/A Requesting Data...861794608</v>
        <stp/>
        <stp>BDP|16142201237461622336</stp>
        <tr r="M1868" s="2"/>
      </tp>
      <tp t="s">
        <v>#N/A Requesting Data...3420992344</v>
        <stp/>
        <stp>BDP|12323439254366596024</stp>
        <tr r="P222" s="2"/>
      </tp>
      <tp t="s">
        <v>#N/A Requesting Data...3206886994</v>
        <stp/>
        <stp>BDP|11577447411667703642</stp>
        <tr r="S1204" s="2"/>
      </tp>
      <tp t="s">
        <v>#N/A Requesting Data...3304601867</v>
        <stp/>
        <stp>BDP|17627660197534324971</stp>
        <tr r="J903" s="2"/>
      </tp>
      <tp t="s">
        <v>#N/A Requesting Data...783461511</v>
        <stp/>
        <stp>BDP|18426933641848085855</stp>
        <tr r="P1504" s="2"/>
      </tp>
      <tp t="s">
        <v>#N/A Requesting Data...1085379597</v>
        <stp/>
        <stp>BDP|14040338020089557942</stp>
        <tr r="C892" s="2"/>
      </tp>
      <tp t="s">
        <v>#N/A Requesting Data...1914947420</v>
        <stp/>
        <stp>BDP|14739597655838124985</stp>
        <tr r="G770" s="2"/>
      </tp>
      <tp t="s">
        <v>#N/A Requesting Data...2523188934</v>
        <stp/>
        <stp>BDP|17503050132842222321</stp>
        <tr r="G2174" s="2"/>
      </tp>
      <tp t="s">
        <v>#N/A Requesting Data...3481949083</v>
        <stp/>
        <stp>BDP|11431134063254763718</stp>
        <tr r="E1428" s="2"/>
      </tp>
      <tp t="s">
        <v>#N/A Requesting Data...1333141773</v>
        <stp/>
        <stp>BDP|18047693123921173892</stp>
        <tr r="O1065" s="2"/>
      </tp>
      <tp t="s">
        <v>#N/A Requesting Data...1611601827</v>
        <stp/>
        <stp>BDP|12907521848961558746</stp>
        <tr r="M1667" s="2"/>
      </tp>
      <tp t="s">
        <v>#N/A Requesting Data...4129980136</v>
        <stp/>
        <stp>BDP|16630764241283285317</stp>
        <tr r="C132" s="2"/>
      </tp>
      <tp t="s">
        <v>#N/A Requesting Data...4128327466</v>
        <stp/>
        <stp>BDP|11766468364660017673</stp>
        <tr r="M1195" s="2"/>
      </tp>
      <tp t="b">
        <v>0</v>
        <stp/>
        <stp>BDS|17628377436230189275</stp>
        <tr r="I1507" s="2"/>
      </tp>
      <tp t="s">
        <v>#N/A Requesting Data...3400231434</v>
        <stp/>
        <stp>BDP|16509450191899200712</stp>
        <tr r="J714" s="2"/>
      </tp>
      <tp t="s">
        <v>#N/A Requesting Data...3442893063</v>
        <stp/>
        <stp>BDP|13488047503476527040</stp>
        <tr r="J288" s="2"/>
      </tp>
      <tp t="s">
        <v>#N/A Requesting Data...1860297529</v>
        <stp/>
        <stp>BDP|14378084375824444286</stp>
        <tr r="T335" s="2"/>
      </tp>
      <tp t="s">
        <v>#N/A Requesting Data...1033724340</v>
        <stp/>
        <stp>BDP|15375117474182084440</stp>
        <tr r="G204" s="2"/>
      </tp>
      <tp t="s">
        <v>#N/A Requesting Data...2315680906</v>
        <stp/>
        <stp>BDP|13036816282137799164</stp>
        <tr r="F1781" s="2"/>
      </tp>
      <tp t="s">
        <v>#N/A Requesting Data...2231771345</v>
        <stp/>
        <stp>BDP|12982356840923670389</stp>
        <tr r="D1318" s="2"/>
      </tp>
      <tp t="s">
        <v>#N/A Requesting Data...3408919084</v>
        <stp/>
        <stp>BDP|15699821173686268971</stp>
        <tr r="H269" s="2"/>
      </tp>
      <tp t="s">
        <v>#N/A Requesting Data...2257777102</v>
        <stp/>
        <stp>BDP|16315780343812866226</stp>
        <tr r="Q2104" s="2"/>
      </tp>
      <tp t="s">
        <v>#N/A Requesting Data...2223890540</v>
        <stp/>
        <stp>BDP|15420487098328061569</stp>
        <tr r="Q2142" s="2"/>
      </tp>
      <tp t="s">
        <v>#N/A Requesting Data...1144744158</v>
        <stp/>
        <stp>BDP|13500716156341988595</stp>
        <tr r="M328" s="2"/>
      </tp>
      <tp t="s">
        <v>#N/A Requesting Data...2468160322</v>
        <stp/>
        <stp>BDP|11398834665252765801</stp>
        <tr r="D684" s="2"/>
      </tp>
      <tp t="s">
        <v>#N/A Requesting Data...3096127611</v>
        <stp/>
        <stp>BDP|12941784532610393327</stp>
        <tr r="T1884" s="2"/>
      </tp>
      <tp t="b">
        <v>0</v>
        <stp/>
        <stp>BDS|16620175809814129685</stp>
        <tr r="I88" s="2"/>
      </tp>
      <tp t="s">
        <v>#N/A Requesting Data...1387829831</v>
        <stp/>
        <stp>BDP|14192586650736819736</stp>
        <tr r="A1383" s="2"/>
      </tp>
      <tp t="s">
        <v>#N/A Requesting Data...1028385362</v>
        <stp/>
        <stp>BDP|13577723133280794210</stp>
        <tr r="R1317" s="2"/>
      </tp>
      <tp t="s">
        <v>#N/A Requesting Data...2761228880</v>
        <stp/>
        <stp>BDP|14098943214688333110</stp>
        <tr r="H510" s="2"/>
      </tp>
      <tp t="s">
        <v>#N/A Requesting Data...2464904029</v>
        <stp/>
        <stp>BDP|11864910289517797255</stp>
        <tr r="C430" s="2"/>
      </tp>
      <tp t="s">
        <v>#N/A Requesting Data...943647441</v>
        <stp/>
        <stp>BDP|11680454550230595548</stp>
        <tr r="R613" s="2"/>
      </tp>
      <tp t="s">
        <v>#N/A Requesting Data...2866157413</v>
        <stp/>
        <stp>BDP|18056471225868160315</stp>
        <tr r="C2032" s="2"/>
      </tp>
      <tp t="s">
        <v>#N/A Requesting Data...3720133628</v>
        <stp/>
        <stp>BDP|17586482106625118383</stp>
        <tr r="Q27" s="2"/>
      </tp>
      <tp t="s">
        <v>#N/A Requesting Data...3658294948</v>
        <stp/>
        <stp>BDP|16406508341792062077</stp>
        <tr r="D486" s="2"/>
      </tp>
      <tp t="s">
        <v>#N/A Requesting Data...696482410</v>
        <stp/>
        <stp>BDP|11760214665340198006</stp>
        <tr r="S2396" s="2"/>
      </tp>
      <tp t="b">
        <v>0</v>
        <stp/>
        <stp>BDS|16129508057133130066</stp>
        <tr r="I1181" s="2"/>
      </tp>
      <tp t="b">
        <v>0</v>
        <stp/>
        <stp>BDS|17344668197404121924</stp>
        <tr r="I2250" s="2"/>
      </tp>
      <tp t="s">
        <v>#N/A Requesting Data...949212351</v>
        <stp/>
        <stp>BDP|14233883549345052818</stp>
        <tr r="J1766" s="2"/>
      </tp>
      <tp t="s">
        <v>#N/A Requesting Data...3665413341</v>
        <stp/>
        <stp>BDP|16302945589110434289</stp>
        <tr r="P2508" s="2"/>
      </tp>
      <tp t="s">
        <v>#N/A Requesting Data...3267026109</v>
        <stp/>
        <stp>BDP|17600367800505677448</stp>
        <tr r="O869" s="2"/>
      </tp>
      <tp t="s">
        <v>#N/A Requesting Data...2401732862</v>
        <stp/>
        <stp>BDP|17732778726636669126</stp>
        <tr r="Q1991" s="2"/>
      </tp>
      <tp t="b">
        <v>0</v>
        <stp/>
        <stp>BDS|10035651537093363309</stp>
        <tr r="I2377" s="2"/>
      </tp>
      <tp t="s">
        <v>#N/A Requesting Data...625321709</v>
        <stp/>
        <stp>BDP|14970342351827977077</stp>
        <tr r="A1372" s="2"/>
      </tp>
      <tp t="s">
        <v>#N/A Requesting Data...1217992389</v>
        <stp/>
        <stp>BDP|15473417567250965299</stp>
        <tr r="P694" s="2"/>
      </tp>
      <tp t="s">
        <v>#N/A Requesting Data...2426130386</v>
        <stp/>
        <stp>BDP|17042576722247550228</stp>
        <tr r="A1292" s="2"/>
      </tp>
      <tp t="s">
        <v>#N/A Requesting Data...2515285725</v>
        <stp/>
        <stp>BDP|12951123753226916538</stp>
        <tr r="F1031" s="2"/>
      </tp>
      <tp t="s">
        <v>#N/A Requesting Data...3891793312</v>
        <stp/>
        <stp>BDP|13169568524845687472</stp>
        <tr r="D1339" s="2"/>
      </tp>
      <tp t="s">
        <v>#N/A Requesting Data...3999332849</v>
        <stp/>
        <stp>BDP|17867746918800547430</stp>
        <tr r="J232" s="2"/>
      </tp>
      <tp t="s">
        <v>#N/A Requesting Data...3362431410</v>
        <stp/>
        <stp>BDP|16527105579245893060</stp>
        <tr r="G737" s="2"/>
      </tp>
      <tp t="s">
        <v>#N/A Requesting Data...963547944</v>
        <stp/>
        <stp>BDP|16967338483841921928</stp>
        <tr r="O730" s="2"/>
      </tp>
      <tp t="s">
        <v>#N/A Requesting Data...2626093506</v>
        <stp/>
        <stp>BDP|12264750405582049204</stp>
        <tr r="S1084" s="2"/>
      </tp>
      <tp t="s">
        <v>#N/A Requesting Data...803080113</v>
        <stp/>
        <stp>BDP|10647163515963094674</stp>
        <tr r="E836" s="2"/>
      </tp>
      <tp t="s">
        <v>#N/A Requesting Data...1029831394</v>
        <stp/>
        <stp>BDP|14219397122328234894</stp>
        <tr r="G2495" s="2"/>
      </tp>
      <tp t="s">
        <v>#N/A Requesting Data...3351543991</v>
        <stp/>
        <stp>BDP|15231729202655668268</stp>
        <tr r="K2249" s="2"/>
      </tp>
      <tp t="s">
        <v>#N/A Requesting Data...3693346937</v>
        <stp/>
        <stp>BDP|10715654805443470014</stp>
        <tr r="M816" s="2"/>
      </tp>
      <tp t="s">
        <v>#N/A Requesting Data...1356088831</v>
        <stp/>
        <stp>BDP|12978182366885079558</stp>
        <tr r="D1876" s="2"/>
      </tp>
      <tp t="s">
        <v>#N/A Requesting Data...1896269241</v>
        <stp/>
        <stp>BDP|16020245075415064337</stp>
        <tr r="N2214" s="2"/>
      </tp>
      <tp t="s">
        <v>#N/A Requesting Data...2060212569</v>
        <stp/>
        <stp>BDP|16337471884339469665</stp>
        <tr r="Q702" s="2"/>
      </tp>
      <tp t="s">
        <v>#N/A Requesting Data...1387036763</v>
        <stp/>
        <stp>BDP|13768857681217998188</stp>
        <tr r="D719" s="2"/>
      </tp>
      <tp t="s">
        <v>#N/A Requesting Data...3245226054</v>
        <stp/>
        <stp>BDP|12777057725214652135</stp>
        <tr r="Q373" s="2"/>
      </tp>
      <tp t="s">
        <v>#N/A Requesting Data...4218950466</v>
        <stp/>
        <stp>BDP|17235615965040464201</stp>
        <tr r="T299" s="2"/>
      </tp>
      <tp t="s">
        <v>#N/A Requesting Data...1846052103</v>
        <stp/>
        <stp>BDP|10603505084880555859</stp>
        <tr r="O1280" s="2"/>
      </tp>
      <tp t="b">
        <v>0</v>
        <stp/>
        <stp>BDS|18408714342926340858</stp>
        <tr r="I2068" s="2"/>
      </tp>
      <tp t="s">
        <v>#N/A Requesting Data...3342628480</v>
        <stp/>
        <stp>BDP|14495420315712192606</stp>
        <tr r="M433" s="2"/>
      </tp>
      <tp t="s">
        <v>#N/A Requesting Data...1314220469</v>
        <stp/>
        <stp>BDP|10085157444057163728</stp>
        <tr r="A1469" s="2"/>
      </tp>
      <tp t="s">
        <v>#N/A Requesting Data...2294430056</v>
        <stp/>
        <stp>BDP|14735672253890918289</stp>
        <tr r="E1397" s="2"/>
      </tp>
      <tp t="s">
        <v>#N/A Requesting Data...1459176973</v>
        <stp/>
        <stp>BDP|12128130420905823189</stp>
        <tr r="S2408" s="2"/>
      </tp>
      <tp t="s">
        <v>#N/A Requesting Data...1729918515</v>
        <stp/>
        <stp>BDP|14909777563625864577</stp>
        <tr r="D342" s="2"/>
      </tp>
      <tp t="s">
        <v>#N/A Requesting Data...2813788654</v>
        <stp/>
        <stp>BDP|13587226686069080536</stp>
        <tr r="P2455" s="2"/>
      </tp>
      <tp t="s">
        <v>#N/A Requesting Data...3562040440</v>
        <stp/>
        <stp>BDP|14006769418194589390</stp>
        <tr r="D2100" s="2"/>
      </tp>
      <tp t="s">
        <v>#N/A Requesting Data...3427204486</v>
        <stp/>
        <stp>BDP|18062048064453085822</stp>
        <tr r="F1970" s="2"/>
      </tp>
      <tp t="s">
        <v>#N/A Requesting Data...2752357535</v>
        <stp/>
        <stp>BDP|15002427794485531817</stp>
        <tr r="D404" s="2"/>
      </tp>
      <tp t="s">
        <v>#N/A Requesting Data...2160896383</v>
        <stp/>
        <stp>BDP|15871177808407245677</stp>
        <tr r="E1995" s="2"/>
      </tp>
      <tp t="s">
        <v>#N/A Requesting Data...1494219413</v>
        <stp/>
        <stp>BDP|10557479176782385454</stp>
        <tr r="O2230" s="2"/>
      </tp>
      <tp t="b">
        <v>0</v>
        <stp/>
        <stp>BDS|13289559744650471767</stp>
        <tr r="I1615" s="2"/>
      </tp>
      <tp t="s">
        <v>#N/A Requesting Data...1947803237</v>
        <stp/>
        <stp>BDP|12489349823230857691</stp>
        <tr r="G758" s="2"/>
      </tp>
      <tp t="b">
        <v>0</v>
        <stp/>
        <stp>BDS|10411340507346754010</stp>
        <tr r="I181" s="2"/>
      </tp>
      <tp t="s">
        <v>#N/A Requesting Data...851509818</v>
        <stp/>
        <stp>BDP|14514375729424077490</stp>
        <tr r="S1170" s="2"/>
      </tp>
      <tp t="s">
        <v>#N/A Requesting Data...2302085519</v>
        <stp/>
        <stp>BDP|16231352974503248437</stp>
        <tr r="H1937" s="2"/>
      </tp>
      <tp t="s">
        <v>#N/A Requesting Data...3129712081</v>
        <stp/>
        <stp>BDP|14210365248332663486</stp>
        <tr r="A918" s="2"/>
      </tp>
      <tp t="s">
        <v>#N/A Requesting Data...2792314713</v>
        <stp/>
        <stp>BDP|18056605568159964430</stp>
        <tr r="T346" s="2"/>
      </tp>
      <tp t="s">
        <v>#N/A Requesting Data...1495781047</v>
        <stp/>
        <stp>BDP|16722172240182265401</stp>
        <tr r="R1205" s="2"/>
      </tp>
      <tp t="s">
        <v>#N/A Requesting Data...2158430367</v>
        <stp/>
        <stp>BDP|10275247852656724412</stp>
        <tr r="P1758" s="2"/>
      </tp>
      <tp t="s">
        <v>#N/A Requesting Data...1339390766</v>
        <stp/>
        <stp>BDP|15929530200334877100</stp>
        <tr r="F2301" s="2"/>
      </tp>
      <tp t="s">
        <v>#N/A Requesting Data...3001084389</v>
        <stp/>
        <stp>BDP|10262503640445239124</stp>
        <tr r="N761" s="2"/>
      </tp>
      <tp t="b">
        <v>0</v>
        <stp/>
        <stp>BDS|11860271918675147273</stp>
        <tr r="I1858" s="2"/>
      </tp>
      <tp t="s">
        <v>#N/A Requesting Data...2187345751</v>
        <stp/>
        <stp>BDP|12550551925821081172</stp>
        <tr r="S1174" s="2"/>
      </tp>
      <tp t="s">
        <v>#N/A Requesting Data...3597124479</v>
        <stp/>
        <stp>BDP|15317085222195238790</stp>
        <tr r="M75" s="2"/>
      </tp>
      <tp t="s">
        <v>#N/A Requesting Data...3793194704</v>
        <stp/>
        <stp>BDP|17634728731440683611</stp>
        <tr r="S2496" s="2"/>
      </tp>
      <tp t="s">
        <v>#N/A Requesting Data...3495303614</v>
        <stp/>
        <stp>BDP|13786961997914729234</stp>
        <tr r="O1336" s="2"/>
      </tp>
      <tp t="s">
        <v>#N/A Requesting Data...1708715395</v>
        <stp/>
        <stp>BDP|14960516950083926234</stp>
        <tr r="P1218" s="2"/>
      </tp>
      <tp t="s">
        <v>#N/A Requesting Data...3186907203</v>
        <stp/>
        <stp>BDP|15920789376235580507</stp>
        <tr r="K1741" s="2"/>
      </tp>
      <tp t="s">
        <v>#N/A Requesting Data...975067385</v>
        <stp/>
        <stp>BDP|14081303729880940022</stp>
        <tr r="H156" s="2"/>
      </tp>
      <tp t="s">
        <v>#N/A Requesting Data...1667487570</v>
        <stp/>
        <stp>BDP|10583531865377188107</stp>
        <tr r="Q1171" s="2"/>
      </tp>
      <tp t="s">
        <v>#N/A Requesting Data...733135850</v>
        <stp/>
        <stp>BDP|10246023131287514160</stp>
        <tr r="O827" s="2"/>
      </tp>
      <tp t="s">
        <v>#N/A Requesting Data...4076918268</v>
        <stp/>
        <stp>BDP|12894339779734601763</stp>
        <tr r="A245" s="2"/>
      </tp>
      <tp t="s">
        <v>#N/A Requesting Data...966468066</v>
        <stp/>
        <stp>BDP|11017816182383477728</stp>
        <tr r="A125" s="2"/>
      </tp>
      <tp t="s">
        <v>#N/A Requesting Data...3850009603</v>
        <stp/>
        <stp>BDP|18108246077180198865</stp>
        <tr r="P237" s="2"/>
      </tp>
      <tp t="s">
        <v>#N/A Requesting Data...1515145257</v>
        <stp/>
        <stp>BDP|10172958239138829707</stp>
        <tr r="A2245" s="2"/>
      </tp>
      <tp t="s">
        <v>#N/A Requesting Data...3558054642</v>
        <stp/>
        <stp>BDP|11467730122861936096</stp>
        <tr r="F30" s="2"/>
      </tp>
      <tp t="s">
        <v>#N/A Requesting Data...3330474737</v>
        <stp/>
        <stp>BDP|15146183209136545709</stp>
        <tr r="N1191" s="2"/>
      </tp>
      <tp t="s">
        <v>#N/A Requesting Data...1485247774</v>
        <stp/>
        <stp>BDP|16471033137112373269</stp>
        <tr r="S1371" s="2"/>
      </tp>
      <tp t="s">
        <v>#N/A Requesting Data...2078687838</v>
        <stp/>
        <stp>BDP|16229428275626204626</stp>
        <tr r="J1938" s="2"/>
      </tp>
      <tp t="s">
        <v>#N/A Requesting Data...3586864412</v>
        <stp/>
        <stp>BDP|11745366154384123619</stp>
        <tr r="D74" s="2"/>
      </tp>
      <tp t="s">
        <v>#N/A Requesting Data...4077404156</v>
        <stp/>
        <stp>BDP|11872847918148026519</stp>
        <tr r="K2021" s="2"/>
      </tp>
      <tp t="s">
        <v>#N/A Requesting Data...4188005296</v>
        <stp/>
        <stp>BDP|18191403505649919087</stp>
        <tr r="G926" s="2"/>
      </tp>
      <tp t="s">
        <v>#N/A Requesting Data...3605315707</v>
        <stp/>
        <stp>BDP|12167631821530084360</stp>
        <tr r="E533" s="2"/>
      </tp>
      <tp t="s">
        <v>#N/A Requesting Data...2206594024</v>
        <stp/>
        <stp>BDP|10489636237082667232</stp>
        <tr r="Q1605" s="2"/>
      </tp>
      <tp t="s">
        <v>#N/A Requesting Data...2671522915</v>
        <stp/>
        <stp>BDP|11465139574503447124</stp>
        <tr r="J2247" s="2"/>
      </tp>
      <tp t="s">
        <v>#N/A Requesting Data...2790764676</v>
        <stp/>
        <stp>BDP|13736548377034757064</stp>
        <tr r="M1414" s="2"/>
      </tp>
      <tp t="s">
        <v>#N/A Requesting Data...3986539504</v>
        <stp/>
        <stp>BDP|16514451338277511389</stp>
        <tr r="J1177" s="2"/>
      </tp>
      <tp t="s">
        <v>#N/A Requesting Data...4286767602</v>
        <stp/>
        <stp>BDP|11233459073302861595</stp>
        <tr r="E1149" s="2"/>
      </tp>
      <tp t="s">
        <v>#N/A Requesting Data...1096284559</v>
        <stp/>
        <stp>BDP|14648004365366022168</stp>
        <tr r="S2463" s="2"/>
      </tp>
      <tp t="s">
        <v>#N/A Requesting Data...1271387132</v>
        <stp/>
        <stp>BDP|14234611064472568379</stp>
        <tr r="J1478" s="2"/>
      </tp>
      <tp t="s">
        <v>#N/A Requesting Data...2725331921</v>
        <stp/>
        <stp>BDP|15496075027424763667</stp>
        <tr r="R1606" s="2"/>
      </tp>
      <tp t="s">
        <v>#N/A Requesting Data...3252566773</v>
        <stp/>
        <stp>BDP|17419584155412817048</stp>
        <tr r="Q756" s="2"/>
      </tp>
      <tp t="s">
        <v>#N/A Requesting Data...3068075483</v>
        <stp/>
        <stp>BDP|11726683348163498561</stp>
        <tr r="P94" s="2"/>
      </tp>
      <tp t="s">
        <v>#N/A Requesting Data...2428737155</v>
        <stp/>
        <stp>BDP|12984590211215643626</stp>
        <tr r="H1395" s="2"/>
      </tp>
      <tp t="s">
        <v>#N/A Requesting Data...1737899500</v>
        <stp/>
        <stp>BDP|15967469701071314586</stp>
        <tr r="G207" s="2"/>
      </tp>
      <tp t="s">
        <v>#N/A Requesting Data...2735772990</v>
        <stp/>
        <stp>BDP|17587577293307407904</stp>
        <tr r="S1853" s="2"/>
      </tp>
      <tp t="s">
        <v>#N/A Requesting Data...3798697110</v>
        <stp/>
        <stp>BDP|15515555154484983487</stp>
        <tr r="J1809" s="2"/>
      </tp>
      <tp t="s">
        <v>#N/A Requesting Data...1920427700</v>
        <stp/>
        <stp>BDP|16218498022796528393</stp>
        <tr r="H785" s="2"/>
      </tp>
      <tp t="s">
        <v>#N/A Requesting Data...2950021561</v>
        <stp/>
        <stp>BDP|13822159270410829002</stp>
        <tr r="F787" s="2"/>
      </tp>
      <tp t="s">
        <v>#N/A Requesting Data...4167749576</v>
        <stp/>
        <stp>BDP|14116337849027887161</stp>
        <tr r="S2399" s="2"/>
      </tp>
      <tp t="s">
        <v>#N/A Requesting Data...1312555900</v>
        <stp/>
        <stp>BDP|10300123821831251771</stp>
        <tr r="Q1651" s="2"/>
      </tp>
      <tp t="s">
        <v>#N/A Requesting Data...2277339014</v>
        <stp/>
        <stp>BDP|15573102646760449529</stp>
        <tr r="E1360" s="2"/>
      </tp>
      <tp t="s">
        <v>#N/A Requesting Data...4150020791</v>
        <stp/>
        <stp>BDP|16298459150160485266</stp>
        <tr r="E1226" s="2"/>
      </tp>
      <tp t="s">
        <v>#N/A Requesting Data...1134069921</v>
        <stp/>
        <stp>BDP|13770395427974427386</stp>
        <tr r="J674" s="2"/>
      </tp>
      <tp t="s">
        <v>#N/A Requesting Data...3351960442</v>
        <stp/>
        <stp>BDP|12518334030382612558</stp>
        <tr r="T1421" s="2"/>
      </tp>
      <tp t="s">
        <v>#N/A Requesting Data...3309936769</v>
        <stp/>
        <stp>BDP|16247209476992328429</stp>
        <tr r="T390" s="2"/>
      </tp>
      <tp t="s">
        <v>#N/A Requesting Data...3141672408</v>
        <stp/>
        <stp>BDP|15770289238351063025</stp>
        <tr r="N2301" s="2"/>
      </tp>
      <tp t="s">
        <v>#N/A Requesting Data...2589785226</v>
        <stp/>
        <stp>BDP|14266328329863882340</stp>
        <tr r="T1029" s="2"/>
      </tp>
      <tp t="s">
        <v>#N/A Requesting Data...3964511152</v>
        <stp/>
        <stp>BDP|17999675275396610580</stp>
        <tr r="O342" s="2"/>
      </tp>
      <tp t="s">
        <v>#N/A Requesting Data...2576736050</v>
        <stp/>
        <stp>BDP|17461898181191136381</stp>
        <tr r="O545" s="2"/>
      </tp>
      <tp t="s">
        <v>#N/A Requesting Data...3635234777</v>
        <stp/>
        <stp>BDP|12448950421825620933</stp>
        <tr r="Q1341" s="2"/>
      </tp>
      <tp t="s">
        <v>#N/A Requesting Data...1695954450</v>
        <stp/>
        <stp>BDP|14604708471676649747</stp>
        <tr r="S1287" s="2"/>
      </tp>
      <tp t="s">
        <v>#N/A Requesting Data...2382206359</v>
        <stp/>
        <stp>BDP|10568496317991636187</stp>
        <tr r="K1476" s="2"/>
      </tp>
      <tp t="s">
        <v>#N/A Requesting Data...4261110681</v>
        <stp/>
        <stp>BDP|17602735573645177729</stp>
        <tr r="N339" s="2"/>
      </tp>
      <tp t="b">
        <v>0</v>
        <stp/>
        <stp>BDS|14486104613345133401</stp>
        <tr r="I2015" s="2"/>
      </tp>
      <tp t="s">
        <v>#N/A Requesting Data...2520722714</v>
        <stp/>
        <stp>BDP|11730877564429297334</stp>
        <tr r="P2453" s="2"/>
      </tp>
      <tp t="s">
        <v>#N/A Requesting Data...2154939959</v>
        <stp/>
        <stp>BDP|17289116363185501002</stp>
        <tr r="R1453" s="2"/>
      </tp>
      <tp t="s">
        <v>#N/A Requesting Data...2923749188</v>
        <stp/>
        <stp>BDP|16460111682872723850</stp>
        <tr r="S1996" s="2"/>
      </tp>
      <tp t="s">
        <v>#N/A Requesting Data...1395229943</v>
        <stp/>
        <stp>BDP|15151504063084255758</stp>
        <tr r="J1313" s="2"/>
      </tp>
      <tp t="s">
        <v>#N/A Requesting Data...1442366290</v>
        <stp/>
        <stp>BDP|13311187079684457439</stp>
        <tr r="O1358" s="2"/>
      </tp>
      <tp t="s">
        <v>#N/A Requesting Data...2640575720</v>
        <stp/>
        <stp>BDP|16249281204860993128</stp>
        <tr r="H314" s="2"/>
      </tp>
      <tp t="s">
        <v>#N/A Requesting Data...4196700400</v>
        <stp/>
        <stp>BDP|17662605681054388817</stp>
        <tr r="Q2156" s="2"/>
      </tp>
      <tp t="s">
        <v>#N/A Requesting Data...2754957853</v>
        <stp/>
        <stp>BDP|12595133871613367216</stp>
        <tr r="O1681" s="2"/>
      </tp>
      <tp t="s">
        <v>#N/A Requesting Data...2521800666</v>
        <stp/>
        <stp>BDP|17677731845227006658</stp>
        <tr r="N344" s="2"/>
      </tp>
      <tp t="s">
        <v>#N/A Requesting Data...3681669946</v>
        <stp/>
        <stp>BDP|12757066276114499468</stp>
        <tr r="C1990" s="2"/>
      </tp>
      <tp t="s">
        <v>#N/A Requesting Data...3084651252</v>
        <stp/>
        <stp>BDP|12414927499683346497</stp>
        <tr r="T1759" s="2"/>
      </tp>
      <tp t="s">
        <v>#N/A Requesting Data...970442637</v>
        <stp/>
        <stp>BDP|10467295104180817740</stp>
        <tr r="C683" s="2"/>
      </tp>
      <tp t="s">
        <v>#N/A Requesting Data...2013687433</v>
        <stp/>
        <stp>BDP|18326254022515281838</stp>
        <tr r="S1340" s="2"/>
      </tp>
      <tp t="s">
        <v>#N/A Requesting Data...1692208547</v>
        <stp/>
        <stp>BDP|11092178005363266657</stp>
        <tr r="H1912" s="2"/>
      </tp>
      <tp t="s">
        <v>#N/A Requesting Data...2415384834</v>
        <stp/>
        <stp>BDP|12055505861760776432</stp>
        <tr r="F1182" s="2"/>
      </tp>
      <tp t="s">
        <v>#N/A Requesting Data...4142560999</v>
        <stp/>
        <stp>BDP|10864972447678408090</stp>
        <tr r="S1087" s="2"/>
      </tp>
      <tp t="s">
        <v>#N/A Requesting Data...3466650651</v>
        <stp/>
        <stp>BDP|17606835960725193919</stp>
        <tr r="J1977" s="2"/>
      </tp>
      <tp t="s">
        <v>#N/A Requesting Data...1514524676</v>
        <stp/>
        <stp>BDP|14406856443235168860</stp>
        <tr r="N484" s="2"/>
      </tp>
      <tp t="s">
        <v>#N/A Requesting Data...2208925182</v>
        <stp/>
        <stp>BDP|11995234559907308456</stp>
        <tr r="D1582" s="2"/>
      </tp>
      <tp t="s">
        <v>#N/A Requesting Data...2228189469</v>
        <stp/>
        <stp>BDP|14777634514832689431</stp>
        <tr r="O2416" s="2"/>
      </tp>
      <tp t="s">
        <v>#N/A Requesting Data...4127995539</v>
        <stp/>
        <stp>BDP|17682678350493252263</stp>
        <tr r="Q599" s="2"/>
      </tp>
      <tp t="s">
        <v>#N/A Requesting Data...3645094481</v>
        <stp/>
        <stp>BDP|18038400582305091478</stp>
        <tr r="G877" s="2"/>
      </tp>
      <tp t="s">
        <v>#N/A Requesting Data...3252757177</v>
        <stp/>
        <stp>BDP|13202747972764183209</stp>
        <tr r="N1282" s="2"/>
      </tp>
      <tp t="s">
        <v>#N/A Requesting Data...1948239108</v>
        <stp/>
        <stp>BDP|10630649113816614422</stp>
        <tr r="Q1597" s="2"/>
      </tp>
      <tp t="s">
        <v>#N/A Requesting Data...2737742366</v>
        <stp/>
        <stp>BDP|13509556917623675146</stp>
        <tr r="A238" s="2"/>
      </tp>
      <tp t="s">
        <v>#N/A Requesting Data...3926323428</v>
        <stp/>
        <stp>BDP|12248717926005427740</stp>
        <tr r="J1124" s="2"/>
      </tp>
      <tp t="s">
        <v>#N/A Requesting Data...3696253807</v>
        <stp/>
        <stp>BDP|10502658773942632603</stp>
        <tr r="F1812" s="2"/>
      </tp>
      <tp t="s">
        <v>#N/A Requesting Data...1052439793</v>
        <stp/>
        <stp>BDP|12475493135874986444</stp>
        <tr r="A9" s="2"/>
      </tp>
      <tp t="s">
        <v>#N/A Requesting Data...1492378012</v>
        <stp/>
        <stp>BDP|14797129344584239066</stp>
        <tr r="E906" s="2"/>
      </tp>
      <tp t="s">
        <v>#N/A Requesting Data...1866580685</v>
        <stp/>
        <stp>BDP|12932291047777333616</stp>
        <tr r="R893" s="2"/>
      </tp>
      <tp t="s">
        <v>#N/A Requesting Data...3779086413</v>
        <stp/>
        <stp>BDP|11579044647396606650</stp>
        <tr r="N272" s="2"/>
      </tp>
      <tp t="s">
        <v>#N/A Requesting Data...1348784075</v>
        <stp/>
        <stp>BDP|17218403850401262250</stp>
        <tr r="H969" s="2"/>
      </tp>
      <tp t="s">
        <v>#N/A Requesting Data...4268165494</v>
        <stp/>
        <stp>BDP|17020936375519169520</stp>
        <tr r="F2087" s="2"/>
      </tp>
      <tp t="s">
        <v>#N/A Requesting Data...3769407209</v>
        <stp/>
        <stp>BDP|14501467457186472657</stp>
        <tr r="H220" s="2"/>
      </tp>
      <tp t="s">
        <v>#N/A Requesting Data...3289970050</v>
        <stp/>
        <stp>BDP|15909664560647977733</stp>
        <tr r="H1858" s="2"/>
      </tp>
      <tp t="b">
        <v>0</v>
        <stp/>
        <stp>BDS|10000160616060218547</stp>
        <tr r="I1209" s="2"/>
      </tp>
      <tp t="s">
        <v>#N/A Requesting Data...3036061285</v>
        <stp/>
        <stp>BDP|13082500626730312108</stp>
        <tr r="O766" s="2"/>
      </tp>
      <tp t="s">
        <v>#N/A Requesting Data...1884281615</v>
        <stp/>
        <stp>BDP|10095864960028288313</stp>
        <tr r="A545" s="2"/>
      </tp>
      <tp t="s">
        <v>#N/A Requesting Data...2649817903</v>
        <stp/>
        <stp>BDP|11954585816481567174</stp>
        <tr r="G261" s="2"/>
      </tp>
      <tp t="s">
        <v>#N/A Requesting Data...2252047731</v>
        <stp/>
        <stp>BDP|15708543034732647445</stp>
        <tr r="H1760" s="2"/>
      </tp>
      <tp t="s">
        <v>#N/A Requesting Data...1418069570</v>
        <stp/>
        <stp>BDP|13802770900513984238</stp>
        <tr r="O321" s="2"/>
      </tp>
      <tp t="s">
        <v>#N/A Requesting Data...3148152262</v>
        <stp/>
        <stp>BDP|11582698808624252636</stp>
        <tr r="T330" s="2"/>
      </tp>
      <tp t="b">
        <v>0</v>
        <stp/>
        <stp>BDS|10030076241194971596</stp>
        <tr r="I1510" s="2"/>
      </tp>
      <tp t="s">
        <v>#N/A Requesting Data...4058222591</v>
        <stp/>
        <stp>BDP|12391994945288327298</stp>
        <tr r="D2281" s="2"/>
      </tp>
      <tp t="s">
        <v>#N/A Requesting Data...4045261503</v>
        <stp/>
        <stp>BDP|17036106724032945384</stp>
        <tr r="C694" s="2"/>
      </tp>
      <tp t="s">
        <v>#N/A Requesting Data...2947517329</v>
        <stp/>
        <stp>BDP|13107702145072337724</stp>
        <tr r="R527" s="2"/>
      </tp>
      <tp t="s">
        <v>#N/A Requesting Data...1565808463</v>
        <stp/>
        <stp>BDP|13533749180171594817</stp>
        <tr r="O13" s="2"/>
      </tp>
      <tp t="s">
        <v>#N/A Requesting Data...1277319428</v>
        <stp/>
        <stp>BDP|16267825587553506073</stp>
        <tr r="H1952" s="2"/>
      </tp>
      <tp t="s">
        <v>#N/A Requesting Data...1595779438</v>
        <stp/>
        <stp>BDP|12419744957557535276</stp>
        <tr r="O1823" s="2"/>
      </tp>
      <tp t="s">
        <v>#N/A Requesting Data...2004287413</v>
        <stp/>
        <stp>BDP|10282076071001821399</stp>
        <tr r="F203" s="2"/>
      </tp>
      <tp t="s">
        <v>#N/A Requesting Data...2052076492</v>
        <stp/>
        <stp>BDP|15155405228955951359</stp>
        <tr r="R660" s="2"/>
      </tp>
      <tp t="s">
        <v>#N/A Requesting Data...2631235476</v>
        <stp/>
        <stp>BDP|15565750197009256706</stp>
        <tr r="P1122" s="2"/>
      </tp>
      <tp t="s">
        <v>#N/A Requesting Data...999660903</v>
        <stp/>
        <stp>BDP|16664821206683372842</stp>
        <tr r="E2040" s="2"/>
      </tp>
      <tp t="s">
        <v>#N/A Requesting Data...2617881559</v>
        <stp/>
        <stp>BDP|11599757543965101273</stp>
        <tr r="F308" s="2"/>
      </tp>
      <tp t="s">
        <v>#N/A Requesting Data...1840979690</v>
        <stp/>
        <stp>BDP|18180542543969266511</stp>
        <tr r="T1963" s="2"/>
      </tp>
      <tp t="s">
        <v>#N/A Requesting Data...1220921538</v>
        <stp/>
        <stp>BDP|18101496348568517506</stp>
        <tr r="A53" s="2"/>
      </tp>
      <tp t="s">
        <v>#N/A Requesting Data...3392475803</v>
        <stp/>
        <stp>BDP|14646340472881724435</stp>
        <tr r="P2242" s="2"/>
      </tp>
      <tp t="b">
        <v>0</v>
        <stp/>
        <stp>BDS|10908004553377940748</stp>
        <tr r="I263" s="2"/>
      </tp>
      <tp t="b">
        <v>0</v>
        <stp/>
        <stp>BDS|13109354906860673530</stp>
        <tr r="I1494" s="2"/>
      </tp>
      <tp t="s">
        <v>#N/A Requesting Data...4211588037</v>
        <stp/>
        <stp>BDP|13637527336269545939</stp>
        <tr r="K2528" s="2"/>
      </tp>
      <tp t="s">
        <v>#N/A Requesting Data...4018256231</v>
        <stp/>
        <stp>BDP|14556000452725717148</stp>
        <tr r="S1339" s="2"/>
      </tp>
      <tp t="s">
        <v>#N/A Requesting Data...3134168295</v>
        <stp/>
        <stp>BDP|17578233622087581557</stp>
        <tr r="F283" s="2"/>
      </tp>
      <tp t="s">
        <v>#N/A Requesting Data...3917875904</v>
        <stp/>
        <stp>BDP|17414738363216486548</stp>
        <tr r="T915" s="2"/>
      </tp>
      <tp t="s">
        <v>#N/A Requesting Data...3151075106</v>
        <stp/>
        <stp>BDP|14612303023685185506</stp>
        <tr r="G819" s="2"/>
      </tp>
      <tp t="s">
        <v>#N/A Requesting Data...4131259926</v>
        <stp/>
        <stp>BDP|10825690299383927959</stp>
        <tr r="F1579" s="2"/>
      </tp>
      <tp t="s">
        <v>#N/A Requesting Data...2473077266</v>
        <stp/>
        <stp>BDP|12470378849149966972</stp>
        <tr r="S2063" s="2"/>
      </tp>
      <tp t="s">
        <v>#N/A Requesting Data...1965154118</v>
        <stp/>
        <stp>BDP|15164382458302652438</stp>
        <tr r="G2453" s="2"/>
      </tp>
      <tp t="s">
        <v>#N/A Requesting Data...1143131697</v>
        <stp/>
        <stp>BDP|10419453223836615502</stp>
        <tr r="R2301" s="2"/>
      </tp>
      <tp t="s">
        <v>#N/A Requesting Data...3169662550</v>
        <stp/>
        <stp>BDP|16098453530046154206</stp>
        <tr r="J1594" s="2"/>
      </tp>
      <tp t="s">
        <v>#N/A Requesting Data...1156722044</v>
        <stp/>
        <stp>BDP|16229542437910001550</stp>
        <tr r="S1827" s="2"/>
      </tp>
      <tp t="s">
        <v>#N/A Requesting Data...1343402207</v>
        <stp/>
        <stp>BDP|14577456974815323732</stp>
        <tr r="P2109" s="2"/>
      </tp>
      <tp t="s">
        <v>#N/A Requesting Data...2023512812</v>
        <stp/>
        <stp>BDP|11930098842098176875</stp>
        <tr r="C471" s="2"/>
      </tp>
      <tp t="s">
        <v>#N/A Requesting Data...3326973885</v>
        <stp/>
        <stp>BDP|12754176211954045357</stp>
        <tr r="Q1097" s="2"/>
      </tp>
      <tp t="s">
        <v>#N/A Requesting Data...2774478093</v>
        <stp/>
        <stp>BDP|17181000225165818580</stp>
        <tr r="E1101" s="2"/>
      </tp>
      <tp t="s">
        <v>#N/A Requesting Data...2440691360</v>
        <stp/>
        <stp>BDP|15283279753683660449</stp>
        <tr r="E470" s="2"/>
      </tp>
      <tp t="s">
        <v>#N/A Requesting Data...2605534589</v>
        <stp/>
        <stp>BDP|16974973305233678999</stp>
        <tr r="N357" s="2"/>
      </tp>
      <tp t="s">
        <v>#N/A Requesting Data...1338635938</v>
        <stp/>
        <stp>BDP|15489221822914515459</stp>
        <tr r="M2305" s="2"/>
      </tp>
      <tp t="s">
        <v>#N/A Requesting Data...3079578609</v>
        <stp/>
        <stp>BDP|16442250246087696252</stp>
        <tr r="O1243" s="2"/>
      </tp>
      <tp t="b">
        <v>0</v>
        <stp/>
        <stp>BDS|15462272969955867154</stp>
        <tr r="I12" s="2"/>
      </tp>
      <tp t="s">
        <v>#N/A Requesting Data...2467554084</v>
        <stp/>
        <stp>BDP|13169772172884928291</stp>
        <tr r="O2402" s="2"/>
      </tp>
      <tp t="s">
        <v>#N/A Requesting Data...2106760498</v>
        <stp/>
        <stp>BDP|15990677948913000128</stp>
        <tr r="C2251" s="2"/>
      </tp>
      <tp t="s">
        <v>#N/A Requesting Data...3102613751</v>
        <stp/>
        <stp>BDP|18156319127195176925</stp>
        <tr r="O468" s="2"/>
      </tp>
      <tp t="s">
        <v>#N/A Requesting Data...1432216862</v>
        <stp/>
        <stp>BDP|15072238609192886069</stp>
        <tr r="N653" s="2"/>
      </tp>
      <tp t="b">
        <v>0</v>
        <stp/>
        <stp>BDS|15330948205818056159</stp>
        <tr r="I717" s="2"/>
      </tp>
      <tp t="s">
        <v>#N/A Requesting Data...1745113454</v>
        <stp/>
        <stp>BDP|14239079910502844294</stp>
        <tr r="M2151" s="2"/>
      </tp>
      <tp t="s">
        <v>#N/A Requesting Data...1886961960</v>
        <stp/>
        <stp>BDP|10785423371033633567</stp>
        <tr r="D1588" s="2"/>
      </tp>
      <tp t="s">
        <v>#N/A Requesting Data...2199936077</v>
        <stp/>
        <stp>BDP|14771898002071105890</stp>
        <tr r="K1501" s="2"/>
      </tp>
      <tp t="s">
        <v>#N/A Requesting Data...1280172408</v>
        <stp/>
        <stp>BDP|10849578644547674390</stp>
        <tr r="T441" s="2"/>
      </tp>
      <tp t="s">
        <v>#N/A Requesting Data...3051273017</v>
        <stp/>
        <stp>BDP|13429438930568339902</stp>
        <tr r="Q1152" s="2"/>
      </tp>
      <tp t="s">
        <v>#N/A Requesting Data...2417307023</v>
        <stp/>
        <stp>BDP|14671298908234472774</stp>
        <tr r="C813" s="2"/>
      </tp>
      <tp t="s">
        <v>#N/A Requesting Data...4072617175</v>
        <stp/>
        <stp>BDP|10068560060135203309</stp>
        <tr r="M684" s="2"/>
      </tp>
      <tp t="b">
        <v>0</v>
        <stp/>
        <stp>BDS|12680708876657717009</stp>
        <tr r="I265" s="2"/>
      </tp>
      <tp t="s">
        <v>#N/A Requesting Data...2722538050</v>
        <stp/>
        <stp>BDP|10015816295547986394</stp>
        <tr r="J2376" s="2"/>
      </tp>
      <tp t="s">
        <v>#N/A Requesting Data...4087803137</v>
        <stp/>
        <stp>BDP|11927649109070614264</stp>
        <tr r="H1068" s="2"/>
      </tp>
      <tp t="s">
        <v>#N/A Requesting Data...1430059761</v>
        <stp/>
        <stp>BDP|16002709755252067313</stp>
        <tr r="S788" s="2"/>
      </tp>
      <tp t="s">
        <v>#N/A Requesting Data...1621475144</v>
        <stp/>
        <stp>BDP|12614967930135527818</stp>
        <tr r="G376" s="2"/>
      </tp>
      <tp t="s">
        <v>#N/A Requesting Data...2669685219</v>
        <stp/>
        <stp>BDP|17102517345886520540</stp>
        <tr r="F1341" s="2"/>
      </tp>
      <tp t="s">
        <v>#N/A Requesting Data...2534026922</v>
        <stp/>
        <stp>BDP|13475110161155899482</stp>
        <tr r="Q819" s="2"/>
      </tp>
      <tp t="s">
        <v>#N/A Requesting Data...2221641577</v>
        <stp/>
        <stp>BDP|13983693939557975444</stp>
        <tr r="K165" s="2"/>
      </tp>
      <tp t="s">
        <v>#N/A Requesting Data...3771377557</v>
        <stp/>
        <stp>BDP|16554633554906565634</stp>
        <tr r="C490" s="2"/>
      </tp>
      <tp t="s">
        <v>#N/A Requesting Data...1441218695</v>
        <stp/>
        <stp>BDP|17002570641626082523</stp>
        <tr r="O2202" s="2"/>
      </tp>
      <tp t="s">
        <v>#N/A Requesting Data...2138415530</v>
        <stp/>
        <stp>BDP|16794290178865044328</stp>
        <tr r="F701" s="2"/>
      </tp>
      <tp t="s">
        <v>#N/A Requesting Data...4068565939</v>
        <stp/>
        <stp>BDP|18263951805733659708</stp>
        <tr r="K1336" s="2"/>
      </tp>
      <tp t="s">
        <v>#N/A Requesting Data...2748630451</v>
        <stp/>
        <stp>BDP|13517537337073693332</stp>
        <tr r="O1862" s="2"/>
      </tp>
      <tp t="s">
        <v>#N/A Requesting Data...3562049431</v>
        <stp/>
        <stp>BDP|10314158550690501173</stp>
        <tr r="S2511" s="2"/>
      </tp>
      <tp t="s">
        <v>#N/A Requesting Data...3855111911</v>
        <stp/>
        <stp>BDP|17847345222512810129</stp>
        <tr r="H2117" s="2"/>
      </tp>
      <tp t="s">
        <v>#N/A Requesting Data...2618165119</v>
        <stp/>
        <stp>BDP|12466159611525753233</stp>
        <tr r="J1200" s="2"/>
      </tp>
      <tp t="s">
        <v>#N/A Requesting Data...2948835851</v>
        <stp/>
        <stp>BDP|11487771162445342065</stp>
        <tr r="G265" s="2"/>
      </tp>
      <tp t="s">
        <v>#N/A Requesting Data...3925059487</v>
        <stp/>
        <stp>BDP|12309337433886045177</stp>
        <tr r="P1033" s="2"/>
      </tp>
      <tp t="s">
        <v>#N/A Requesting Data...2613360908</v>
        <stp/>
        <stp>BDP|16401748815442490756</stp>
        <tr r="Q424" s="2"/>
      </tp>
      <tp t="s">
        <v>#N/A Requesting Data...2386167685</v>
        <stp/>
        <stp>BDP|16084822459038888671</stp>
        <tr r="F1973" s="2"/>
      </tp>
      <tp t="s">
        <v>#N/A Requesting Data...1273408295</v>
        <stp/>
        <stp>BDP|11603931436159107763</stp>
        <tr r="G1419" s="2"/>
      </tp>
      <tp t="s">
        <v>#N/A Requesting Data...3006186749</v>
        <stp/>
        <stp>BDP|15001045331976081517</stp>
        <tr r="F98" s="2"/>
      </tp>
      <tp t="s">
        <v>#N/A Requesting Data...4232181017</v>
        <stp/>
        <stp>BDP|11779717724192344356</stp>
        <tr r="D829" s="2"/>
      </tp>
      <tp t="s">
        <v>#N/A Requesting Data...1507232599</v>
        <stp/>
        <stp>BDP|12118635583990566908</stp>
        <tr r="M1162" s="2"/>
      </tp>
      <tp t="s">
        <v>#N/A Requesting Data...4217374763</v>
        <stp/>
        <stp>BDP|10272081658493651305</stp>
        <tr r="C1626" s="2"/>
      </tp>
      <tp t="s">
        <v>#N/A Requesting Data...1555578234</v>
        <stp/>
        <stp>BDP|16250706353089373866</stp>
        <tr r="G997" s="2"/>
      </tp>
      <tp t="s">
        <v>#N/A Requesting Data...3334229890</v>
        <stp/>
        <stp>BDP|17733856170084252942</stp>
        <tr r="T800" s="2"/>
      </tp>
      <tp t="s">
        <v>#N/A Requesting Data...3499420545</v>
        <stp/>
        <stp>BDP|16628728927462152469</stp>
        <tr r="K1482" s="2"/>
      </tp>
      <tp t="s">
        <v>#N/A Requesting Data...1274572898</v>
        <stp/>
        <stp>BDP|16743481578073264311</stp>
        <tr r="G1440" s="2"/>
      </tp>
      <tp t="s">
        <v>#N/A Requesting Data...3888222089</v>
        <stp/>
        <stp>BDP|16691714061966543472</stp>
        <tr r="D1030" s="2"/>
      </tp>
      <tp t="s">
        <v>#N/A Requesting Data...1198958011</v>
        <stp/>
        <stp>BDP|11670879105754623869</stp>
        <tr r="M1147" s="2"/>
      </tp>
      <tp t="s">
        <v>#N/A Requesting Data...2403128946</v>
        <stp/>
        <stp>BDP|16508649231824139250</stp>
        <tr r="E904" s="2"/>
      </tp>
      <tp t="s">
        <v>#N/A Requesting Data...1500438768</v>
        <stp/>
        <stp>BDP|13597688942844928029</stp>
        <tr r="D1789" s="2"/>
      </tp>
      <tp t="s">
        <v>#N/A Requesting Data...2449926124</v>
        <stp/>
        <stp>BDP|16670743960435547735</stp>
        <tr r="S2350" s="2"/>
      </tp>
      <tp t="s">
        <v>#N/A Requesting Data...1713333833</v>
        <stp/>
        <stp>BDP|11625706633589385928</stp>
        <tr r="A314" s="2"/>
      </tp>
      <tp t="s">
        <v>#N/A Requesting Data...2431936089</v>
        <stp/>
        <stp>BDP|16786603550867552767</stp>
        <tr r="K1396" s="2"/>
      </tp>
      <tp t="b">
        <v>0</v>
        <stp/>
        <stp>BDS|11968312853533965156</stp>
        <tr r="I2141" s="2"/>
      </tp>
      <tp t="s">
        <v>#N/A Requesting Data...1211587959</v>
        <stp/>
        <stp>BDP|15907338578926221242</stp>
        <tr r="C1071" s="2"/>
      </tp>
      <tp t="s">
        <v>#N/A Requesting Data...3203633725</v>
        <stp/>
        <stp>BDP|11138539313685143549</stp>
        <tr r="N1219" s="2"/>
      </tp>
      <tp t="s">
        <v>#N/A Requesting Data...1255840600</v>
        <stp/>
        <stp>BDP|14261412474163363102</stp>
        <tr r="K478" s="2"/>
      </tp>
      <tp t="s">
        <v>#N/A Requesting Data...3090063263</v>
        <stp/>
        <stp>BDP|11335020171167161455</stp>
        <tr r="G846" s="2"/>
      </tp>
      <tp t="s">
        <v>#N/A Requesting Data...1330404684</v>
        <stp/>
        <stp>BDP|10063443324371779231</stp>
        <tr r="E702" s="2"/>
      </tp>
      <tp t="s">
        <v>#N/A Requesting Data...3327164571</v>
        <stp/>
        <stp>BDP|14227524033843096477</stp>
        <tr r="E2431" s="2"/>
      </tp>
      <tp t="s">
        <v>#N/A Requesting Data...2024620677</v>
        <stp/>
        <stp>BDP|17651693456465805452</stp>
        <tr r="N2464" s="2"/>
      </tp>
      <tp t="s">
        <v>#N/A Requesting Data...3834382379</v>
        <stp/>
        <stp>BDP|14136650483499474677</stp>
        <tr r="H2278" s="2"/>
      </tp>
      <tp t="s">
        <v>#N/A Requesting Data...3225282732</v>
        <stp/>
        <stp>BDP|11809087144225812583</stp>
        <tr r="O626" s="2"/>
      </tp>
      <tp t="b">
        <v>0</v>
        <stp/>
        <stp>BDS|10591695805371894261</stp>
        <tr r="I1596" s="2"/>
      </tp>
      <tp t="s">
        <v>#N/A Requesting Data...2763466931</v>
        <stp/>
        <stp>BDP|10510593039526544544</stp>
        <tr r="A728" s="2"/>
      </tp>
      <tp t="s">
        <v>#N/A Requesting Data...1602261098</v>
        <stp/>
        <stp>BDP|10684501510708680941</stp>
        <tr r="G1187" s="2"/>
      </tp>
      <tp t="s">
        <v>#N/A Requesting Data...3799935522</v>
        <stp/>
        <stp>BDP|10857417677323803526</stp>
        <tr r="E1371" s="2"/>
      </tp>
      <tp t="s">
        <v>#N/A Requesting Data...2810550306</v>
        <stp/>
        <stp>BDP|17557463572754514507</stp>
        <tr r="K223" s="2"/>
      </tp>
      <tp t="s">
        <v>#N/A Requesting Data...1947530855</v>
        <stp/>
        <stp>BDP|16562765803112746630</stp>
        <tr r="N1919" s="2"/>
      </tp>
      <tp t="s">
        <v>#N/A Requesting Data...1975042533</v>
        <stp/>
        <stp>BDP|13344794959370553420</stp>
        <tr r="T291" s="2"/>
      </tp>
      <tp t="s">
        <v>#N/A Requesting Data...3785275456</v>
        <stp/>
        <stp>BDP|12878972503249013780</stp>
        <tr r="F884" s="2"/>
      </tp>
      <tp t="s">
        <v>#N/A Requesting Data...3477632650</v>
        <stp/>
        <stp>BDP|13666697327260852240</stp>
        <tr r="R570" s="2"/>
      </tp>
      <tp t="s">
        <v>#N/A Requesting Data...1877178240</v>
        <stp/>
        <stp>BDP|14834910482589968966</stp>
        <tr r="S89" s="2"/>
      </tp>
      <tp t="b">
        <v>0</v>
        <stp/>
        <stp>BDS|12002094334913833728</stp>
        <tr r="I2169" s="2"/>
      </tp>
      <tp t="s">
        <v>#N/A Requesting Data...1924802670</v>
        <stp/>
        <stp>BDP|11630637014294734720</stp>
        <tr r="K1144" s="2"/>
      </tp>
      <tp t="s">
        <v>#N/A Requesting Data...2228081859</v>
        <stp/>
        <stp>BDP|11443254814463881499</stp>
        <tr r="H1513" s="2"/>
      </tp>
      <tp t="s">
        <v>#N/A Requesting Data...2241604377</v>
        <stp/>
        <stp>BDP|12383402861783618609</stp>
        <tr r="J1506" s="2"/>
      </tp>
      <tp t="s">
        <v>#N/A Requesting Data...1754942741</v>
        <stp/>
        <stp>BDP|12665395833171851602</stp>
        <tr r="K1156" s="2"/>
      </tp>
      <tp t="s">
        <v>#N/A Requesting Data...3049522923</v>
        <stp/>
        <stp>BDP|10256627960290505515</stp>
        <tr r="T91" s="2"/>
      </tp>
      <tp t="s">
        <v>#N/A Requesting Data...1975085916</v>
        <stp/>
        <stp>BDP|17868953079385032900</stp>
        <tr r="K464" s="2"/>
      </tp>
      <tp t="s">
        <v>#N/A Requesting Data...1330795443</v>
        <stp/>
        <stp>BDP|10045583618044009543</stp>
        <tr r="G455" s="2"/>
      </tp>
      <tp t="s">
        <v>#N/A Requesting Data...2599348983</v>
        <stp/>
        <stp>BDP|15616265513621668210</stp>
        <tr r="F1087" s="2"/>
      </tp>
      <tp t="s">
        <v>#N/A Requesting Data...3306474095</v>
        <stp/>
        <stp>BDP|15367156030252364010</stp>
        <tr r="N1890" s="2"/>
      </tp>
      <tp t="s">
        <v>#N/A Requesting Data...3782620878</v>
        <stp/>
        <stp>BDP|13227899140509937369</stp>
        <tr r="R2475" s="2"/>
      </tp>
      <tp t="s">
        <v>#N/A Requesting Data...1341619638</v>
        <stp/>
        <stp>BDP|17614084108120616241</stp>
        <tr r="C352" s="2"/>
      </tp>
      <tp t="s">
        <v>#N/A Requesting Data...3824006660</v>
        <stp/>
        <stp>BDP|11827779032941933105</stp>
        <tr r="E988" s="2"/>
      </tp>
      <tp t="s">
        <v>#N/A Requesting Data...1830659742</v>
        <stp/>
        <stp>BDP|15226824714489397000</stp>
        <tr r="O2519" s="2"/>
      </tp>
      <tp t="s">
        <v>#N/A Requesting Data...2218144595</v>
        <stp/>
        <stp>BDP|17678865177868648565</stp>
        <tr r="S2430" s="2"/>
      </tp>
      <tp t="s">
        <v>#N/A Requesting Data...4002684228</v>
        <stp/>
        <stp>BDP|16020116730920577131</stp>
        <tr r="E743" s="2"/>
      </tp>
      <tp t="s">
        <v>#N/A Requesting Data...3487057414</v>
        <stp/>
        <stp>BDP|16121075788488983301</stp>
        <tr r="F680" s="2"/>
      </tp>
      <tp t="s">
        <v>#N/A Requesting Data...4271966404</v>
        <stp/>
        <stp>BDP|13687739833625395724</stp>
        <tr r="C2195" s="2"/>
      </tp>
      <tp t="s">
        <v>#N/A Requesting Data...2335499042</v>
        <stp/>
        <stp>BDP|13459510616035397776</stp>
        <tr r="A2188" s="2"/>
      </tp>
      <tp t="s">
        <v>#N/A Requesting Data...3585751877</v>
        <stp/>
        <stp>BDP|16448730241060687076</stp>
        <tr r="N1927" s="2"/>
      </tp>
      <tp t="s">
        <v>#N/A Requesting Data...2452198527</v>
        <stp/>
        <stp>BDP|10983857385053610684</stp>
        <tr r="P2370" s="2"/>
      </tp>
      <tp t="s">
        <v>#N/A Requesting Data...2578982401</v>
        <stp/>
        <stp>BDP|11863403826367988504</stp>
        <tr r="P1322" s="2"/>
      </tp>
      <tp t="s">
        <v>#N/A Requesting Data...2026978035</v>
        <stp/>
        <stp>BDP|10234169483048153415</stp>
        <tr r="R1826" s="2"/>
      </tp>
      <tp t="s">
        <v>#N/A Requesting Data...1459046171</v>
        <stp/>
        <stp>BDP|13436339381505855890</stp>
        <tr r="H36" s="2"/>
      </tp>
      <tp t="s">
        <v>#N/A Requesting Data...2408524313</v>
        <stp/>
        <stp>BDP|15107555233874442243</stp>
        <tr r="F915" s="2"/>
      </tp>
      <tp t="b">
        <v>0</v>
        <stp/>
        <stp>BDS|18304758687184479614</stp>
        <tr r="I299" s="2"/>
      </tp>
      <tp t="s">
        <v>#N/A Requesting Data...2449935155</v>
        <stp/>
        <stp>BDP|14773864190422342259</stp>
        <tr r="E2094" s="2"/>
      </tp>
      <tp t="s">
        <v>#N/A Requesting Data...3932581623</v>
        <stp/>
        <stp>BDP|16340014353036122078</stp>
        <tr r="O333" s="2"/>
      </tp>
      <tp t="s">
        <v>#N/A Requesting Data...3391032248</v>
        <stp/>
        <stp>BDP|16417554071617284651</stp>
        <tr r="E2499" s="2"/>
      </tp>
      <tp t="s">
        <v>#N/A Requesting Data...3235967519</v>
        <stp/>
        <stp>BDP|10006127144586795662</stp>
        <tr r="O1732" s="2"/>
      </tp>
      <tp t="s">
        <v>#N/A Requesting Data...3121363159</v>
        <stp/>
        <stp>BDP|14585484671513244194</stp>
        <tr r="Q321" s="2"/>
      </tp>
      <tp t="s">
        <v>#N/A Requesting Data...2832098503</v>
        <stp/>
        <stp>BDP|14725324466010186457</stp>
        <tr r="G2370" s="2"/>
      </tp>
      <tp t="s">
        <v>#N/A Requesting Data...4125874410</v>
        <stp/>
        <stp>BDP|13330357071835852780</stp>
        <tr r="C1557" s="2"/>
      </tp>
      <tp t="s">
        <v>#N/A Requesting Data...1338283613</v>
        <stp/>
        <stp>BDP|16175727562303621108</stp>
        <tr r="E630" s="2"/>
      </tp>
      <tp t="s">
        <v>#N/A Requesting Data...1412196743</v>
        <stp/>
        <stp>BDP|17193564353496008430</stp>
        <tr r="C1469" s="2"/>
      </tp>
      <tp t="s">
        <v>#N/A Requesting Data...1640983849</v>
        <stp/>
        <stp>BDP|11178768436506303652</stp>
        <tr r="P1915" s="2"/>
      </tp>
      <tp t="s">
        <v>#N/A Requesting Data...4196681710</v>
        <stp/>
        <stp>BDP|15743510905013350679</stp>
        <tr r="G1759" s="2"/>
      </tp>
      <tp t="s">
        <v>#N/A Requesting Data...1683265014</v>
        <stp/>
        <stp>BDP|15226267802835658770</stp>
        <tr r="R793" s="2"/>
      </tp>
      <tp t="s">
        <v>#N/A Requesting Data...2078256574</v>
        <stp/>
        <stp>BDP|11862138171462411093</stp>
        <tr r="P553" s="2"/>
      </tp>
      <tp t="s">
        <v>#N/A Requesting Data...3300242717</v>
        <stp/>
        <stp>BDP|12328052668899973807</stp>
        <tr r="T2438" s="2"/>
      </tp>
      <tp t="s">
        <v>#N/A Requesting Data...3871221937</v>
        <stp/>
        <stp>BDP|14311812376568592667</stp>
        <tr r="M2528" s="2"/>
      </tp>
      <tp t="s">
        <v>#N/A Requesting Data...2554043714</v>
        <stp/>
        <stp>BDP|13623646663476483020</stp>
        <tr r="R1596" s="2"/>
      </tp>
      <tp t="s">
        <v>#N/A Requesting Data...3469808712</v>
        <stp/>
        <stp>BDP|10842083440079181867</stp>
        <tr r="A869" s="2"/>
      </tp>
      <tp t="s">
        <v>#N/A Requesting Data...2913650365</v>
        <stp/>
        <stp>BDP|18160818796805077919</stp>
        <tr r="Q336" s="2"/>
      </tp>
      <tp t="s">
        <v>#N/A Requesting Data...3845703594</v>
        <stp/>
        <stp>BDP|11166829331639519607</stp>
        <tr r="C1518" s="2"/>
      </tp>
      <tp t="s">
        <v>#N/A Requesting Data...4075789855</v>
        <stp/>
        <stp>BDP|11615838227369220777</stp>
        <tr r="D133" s="2"/>
      </tp>
      <tp t="s">
        <v>#N/A Requesting Data...1510774875</v>
        <stp/>
        <stp>BDP|10210722970144753109</stp>
        <tr r="D2430" s="2"/>
      </tp>
      <tp t="s">
        <v>#N/A Requesting Data...3901163307</v>
        <stp/>
        <stp>BDP|10122693912004492696</stp>
        <tr r="H646" s="2"/>
      </tp>
      <tp t="s">
        <v>#N/A Requesting Data...3540637842</v>
        <stp/>
        <stp>BDP|18189274147722722917</stp>
        <tr r="Q760" s="2"/>
      </tp>
      <tp t="s">
        <v>#N/A Requesting Data...3629925870</v>
        <stp/>
        <stp>BDP|14574604658874835626</stp>
        <tr r="S1187" s="2"/>
      </tp>
      <tp t="s">
        <v>#N/A Requesting Data...3020387041</v>
        <stp/>
        <stp>BDP|13058043304202438439</stp>
        <tr r="N2033" s="2"/>
      </tp>
      <tp t="s">
        <v>#N/A Requesting Data...2816387332</v>
        <stp/>
        <stp>BDP|13445837575128250179</stp>
        <tr r="K1357" s="2"/>
      </tp>
      <tp t="s">
        <v>#N/A Requesting Data...2178275212</v>
        <stp/>
        <stp>BDP|12532022196868159671</stp>
        <tr r="G524" s="2"/>
      </tp>
      <tp t="s">
        <v>#N/A Requesting Data...3018304597</v>
        <stp/>
        <stp>BDP|18438967242562283254</stp>
        <tr r="O1624" s="2"/>
      </tp>
      <tp t="s">
        <v>#N/A Requesting Data...3896132756</v>
        <stp/>
        <stp>BDP|13691116634865528118</stp>
        <tr r="K179" s="2"/>
      </tp>
      <tp t="s">
        <v>#N/A Requesting Data...2804007408</v>
        <stp/>
        <stp>BDP|11254805001829400505</stp>
        <tr r="M2517" s="2"/>
      </tp>
      <tp t="s">
        <v>#N/A Requesting Data...3933165019</v>
        <stp/>
        <stp>BDP|16767481746470786396</stp>
        <tr r="Q2115" s="2"/>
      </tp>
      <tp t="s">
        <v>#N/A Requesting Data...3142148665</v>
        <stp/>
        <stp>BDP|17785920604932698904</stp>
        <tr r="O619" s="2"/>
      </tp>
      <tp t="s">
        <v>#N/A Requesting Data...4213059037</v>
        <stp/>
        <stp>BDP|11702918484675544006</stp>
        <tr r="S1696" s="2"/>
      </tp>
      <tp t="s">
        <v>#N/A Requesting Data...1824760945</v>
        <stp/>
        <stp>BDP|18206465682400950188</stp>
        <tr r="R485" s="2"/>
      </tp>
      <tp t="s">
        <v>#N/A Requesting Data...2169971558</v>
        <stp/>
        <stp>BDP|17111108871724239051</stp>
        <tr r="C1132" s="2"/>
      </tp>
      <tp t="s">
        <v>#N/A Requesting Data...2294070669</v>
        <stp/>
        <stp>BDP|15006998519870624811</stp>
        <tr r="M1790" s="2"/>
      </tp>
      <tp t="s">
        <v>#N/A Requesting Data...3774927508</v>
        <stp/>
        <stp>BDP|16277969071954761952</stp>
        <tr r="T1947" s="2"/>
      </tp>
      <tp t="s">
        <v>#N/A Requesting Data...2997714256</v>
        <stp/>
        <stp>BDP|16628817293006757442</stp>
        <tr r="D325" s="2"/>
      </tp>
      <tp t="s">
        <v>#N/A Requesting Data...3106810548</v>
        <stp/>
        <stp>BDP|12091082308611579628</stp>
        <tr r="H712" s="2"/>
      </tp>
      <tp t="s">
        <v>#N/A Requesting Data...1660364760</v>
        <stp/>
        <stp>BDP|16376031622036707724</stp>
        <tr r="T1504" s="2"/>
      </tp>
      <tp t="s">
        <v>#N/A Requesting Data...1821647458</v>
        <stp/>
        <stp>BDP|10989385553132179149</stp>
        <tr r="S2317" s="2"/>
      </tp>
      <tp t="s">
        <v>#N/A Requesting Data...1730405249</v>
        <stp/>
        <stp>BDP|12026580065824802028</stp>
        <tr r="K543" s="2"/>
      </tp>
      <tp t="s">
        <v>#N/A Requesting Data...4267597254</v>
        <stp/>
        <stp>BDP|12871770107852793284</stp>
        <tr r="M869" s="2"/>
      </tp>
      <tp t="s">
        <v>#N/A Requesting Data...1670031690</v>
        <stp/>
        <stp>BDP|11623565920491722203</stp>
        <tr r="R2211" s="2"/>
      </tp>
      <tp t="s">
        <v>#N/A Requesting Data...2949728675</v>
        <stp/>
        <stp>BDP|18011963770020235333</stp>
        <tr r="T540" s="2"/>
      </tp>
      <tp t="s">
        <v>#N/A Requesting Data...4194387629</v>
        <stp/>
        <stp>BDP|11607318320160021509</stp>
        <tr r="A1938" s="2"/>
      </tp>
      <tp t="s">
        <v>#N/A Requesting Data...3289221938</v>
        <stp/>
        <stp>BDP|16940164250440055783</stp>
        <tr r="K905" s="2"/>
      </tp>
      <tp t="s">
        <v>#N/A Requesting Data...2111806897</v>
        <stp/>
        <stp>BDP|18015849173564871688</stp>
        <tr r="G540" s="2"/>
      </tp>
      <tp t="s">
        <v>#N/A Requesting Data...3162455526</v>
        <stp/>
        <stp>BDP|18261742821118977093</stp>
        <tr r="C2331" s="2"/>
      </tp>
      <tp t="s">
        <v>#N/A Requesting Data...3307525737</v>
        <stp/>
        <stp>BDP|15207203315386652564</stp>
        <tr r="Q1368" s="2"/>
      </tp>
      <tp t="s">
        <v>#N/A Requesting Data...3263207015</v>
        <stp/>
        <stp>BDP|14563435154101539100</stp>
        <tr r="A26" s="2"/>
      </tp>
      <tp t="s">
        <v>#N/A Requesting Data...3450953466</v>
        <stp/>
        <stp>BDP|14111260852750306617</stp>
        <tr r="O2322" s="2"/>
      </tp>
      <tp t="s">
        <v>#N/A Requesting Data...2674300987</v>
        <stp/>
        <stp>BDP|12733542563503513724</stp>
        <tr r="J987" s="2"/>
      </tp>
      <tp t="s">
        <v>#N/A Requesting Data...1661773752</v>
        <stp/>
        <stp>BDP|13724868788300895661</stp>
        <tr r="N782" s="2"/>
      </tp>
      <tp t="s">
        <v>#N/A Requesting Data...3400202585</v>
        <stp/>
        <stp>BDP|17811595270528290849</stp>
        <tr r="M1983" s="2"/>
      </tp>
      <tp t="s">
        <v>#N/A Requesting Data...4036435471</v>
        <stp/>
        <stp>BDP|10542706276212591718</stp>
        <tr r="K483" s="2"/>
      </tp>
      <tp t="s">
        <v>#N/A Requesting Data...2728534346</v>
        <stp/>
        <stp>BDP|18336154542521411972</stp>
        <tr r="S139" s="2"/>
      </tp>
      <tp t="s">
        <v>#N/A Requesting Data...4104625048</v>
        <stp/>
        <stp>BDP|13773756376741422774</stp>
        <tr r="P989" s="2"/>
      </tp>
      <tp t="s">
        <v>#N/A Requesting Data...2022574337</v>
        <stp/>
        <stp>BDP|17148511981748435721</stp>
        <tr r="P2079" s="2"/>
      </tp>
      <tp t="s">
        <v>#N/A Requesting Data...1734621356</v>
        <stp/>
        <stp>BDP|11259855273699061230</stp>
        <tr r="J1151" s="2"/>
      </tp>
      <tp t="s">
        <v>#N/A Requesting Data...2915805261</v>
        <stp/>
        <stp>BDP|15989528028556203162</stp>
        <tr r="D2122" s="2"/>
      </tp>
      <tp t="s">
        <v>#N/A Requesting Data...3338864002</v>
        <stp/>
        <stp>BDP|16505564477796536767</stp>
        <tr r="C1602" s="2"/>
      </tp>
      <tp t="s">
        <v>#N/A Requesting Data...2078125307</v>
        <stp/>
        <stp>BDP|17808617125441959721</stp>
        <tr r="E1230" s="2"/>
      </tp>
      <tp t="s">
        <v>#N/A Requesting Data...3737446026</v>
        <stp/>
        <stp>BDP|17244062772812814798</stp>
        <tr r="A1976" s="2"/>
      </tp>
      <tp t="s">
        <v>#N/A Requesting Data...4067137423</v>
        <stp/>
        <stp>BDP|17640264169427655186</stp>
        <tr r="S702" s="2"/>
      </tp>
      <tp t="s">
        <v>#N/A Requesting Data...3464512057</v>
        <stp/>
        <stp>BDP|10255940014329496418</stp>
        <tr r="A1904" s="2"/>
      </tp>
      <tp t="s">
        <v>#N/A Requesting Data...2443188068</v>
        <stp/>
        <stp>BDP|13347373328331937620</stp>
        <tr r="H1189" s="2"/>
      </tp>
      <tp t="s">
        <v>#N/A Requesting Data...2545044251</v>
        <stp/>
        <stp>BDP|18322358709729987712</stp>
        <tr r="S2445" s="2"/>
      </tp>
      <tp t="s">
        <v>#N/A Requesting Data...4149209159</v>
        <stp/>
        <stp>BDP|13356534007697620463</stp>
        <tr r="C1368" s="2"/>
      </tp>
      <tp t="s">
        <v>#N/A Requesting Data...3896654291</v>
        <stp/>
        <stp>BDP|16494410763929169800</stp>
        <tr r="H2357" s="2"/>
      </tp>
      <tp t="s">
        <v>#N/A Requesting Data...2388192827</v>
        <stp/>
        <stp>BDP|10378664237667067755</stp>
        <tr r="G1559" s="2"/>
      </tp>
      <tp t="s">
        <v>#N/A Requesting Data...4174427440</v>
        <stp/>
        <stp>BDP|10972277124157412296</stp>
        <tr r="D52" s="2"/>
      </tp>
      <tp t="s">
        <v>#N/A Requesting Data...2056935776</v>
        <stp/>
        <stp>BDP|11608352274284946492</stp>
        <tr r="C903" s="2"/>
      </tp>
      <tp t="s">
        <v>#N/A Requesting Data...3758070463</v>
        <stp/>
        <stp>BDP|16811651170636812421</stp>
        <tr r="N1182" s="2"/>
      </tp>
      <tp t="s">
        <v>#N/A Requesting Data...1760813367</v>
        <stp/>
        <stp>BDP|11908048008735598170</stp>
        <tr r="R710" s="2"/>
      </tp>
      <tp t="s">
        <v>#N/A Requesting Data...3225479887</v>
        <stp/>
        <stp>BDP|15285750383167698855</stp>
        <tr r="F751" s="2"/>
      </tp>
      <tp t="s">
        <v>#N/A Requesting Data...3374658781</v>
        <stp/>
        <stp>BDP|14749660803273233470</stp>
        <tr r="R369" s="2"/>
      </tp>
      <tp t="s">
        <v>#N/A Requesting Data...2558377506</v>
        <stp/>
        <stp>BDP|15136579453929477961</stp>
        <tr r="S1374" s="2"/>
      </tp>
      <tp t="s">
        <v>#N/A Requesting Data...3246368541</v>
        <stp/>
        <stp>BDP|14722046750612702637</stp>
        <tr r="F1475" s="2"/>
      </tp>
      <tp t="b">
        <v>0</v>
        <stp/>
        <stp>BDS|12087408725062217334</stp>
        <tr r="I738" s="2"/>
      </tp>
      <tp t="s">
        <v>#N/A Requesting Data...3524099130</v>
        <stp/>
        <stp>BDP|16107379022436608459</stp>
        <tr r="E2195" s="2"/>
      </tp>
      <tp t="s">
        <v>#N/A Requesting Data...2910470235</v>
        <stp/>
        <stp>BDP|13615426121437368711</stp>
        <tr r="G533" s="2"/>
      </tp>
      <tp t="s">
        <v>#N/A Requesting Data...2761911589</v>
        <stp/>
        <stp>BDP|15485517717850558406</stp>
        <tr r="O2034" s="2"/>
      </tp>
      <tp t="s">
        <v>#N/A Requesting Data...1655640926</v>
        <stp/>
        <stp>BDP|17773215415993466209</stp>
        <tr r="O838" s="2"/>
      </tp>
      <tp t="s">
        <v>#N/A Requesting Data...2984018807</v>
        <stp/>
        <stp>BDP|10779677652771473714</stp>
        <tr r="G2148" s="2"/>
      </tp>
      <tp t="s">
        <v>#N/A Requesting Data...1792005963</v>
        <stp/>
        <stp>BDP|14448731660383961394</stp>
        <tr r="A946" s="2"/>
      </tp>
      <tp t="s">
        <v>#N/A Requesting Data...3793758166</v>
        <stp/>
        <stp>BDP|17136448320906647242</stp>
        <tr r="A1772" s="2"/>
      </tp>
      <tp t="s">
        <v>#N/A Requesting Data...2763635391</v>
        <stp/>
        <stp>BDP|15463930373348096627</stp>
        <tr r="M1124" s="2"/>
      </tp>
      <tp t="s">
        <v>#N/A Requesting Data...2067852910</v>
        <stp/>
        <stp>BDP|15982547657815497585</stp>
        <tr r="G2153" s="2"/>
      </tp>
      <tp t="s">
        <v>#N/A Requesting Data...1677424656</v>
        <stp/>
        <stp>BDP|13848535459800431600</stp>
        <tr r="H1275" s="2"/>
      </tp>
      <tp t="s">
        <v>#N/A Requesting Data...2234138941</v>
        <stp/>
        <stp>BDP|11378483887991367991</stp>
        <tr r="D458" s="2"/>
      </tp>
      <tp t="s">
        <v>#N/A Requesting Data...3069623522</v>
        <stp/>
        <stp>BDP|11798423767036285068</stp>
        <tr r="R2454" s="2"/>
      </tp>
      <tp t="s">
        <v>#N/A Requesting Data...3834432846</v>
        <stp/>
        <stp>BDP|13085845898060923735</stp>
        <tr r="T524" s="2"/>
      </tp>
      <tp t="s">
        <v>#N/A Requesting Data...1846547016</v>
        <stp/>
        <stp>BDP|11844252547526495480</stp>
        <tr r="N1666" s="2"/>
      </tp>
      <tp t="s">
        <v>#N/A Requesting Data...3248138107</v>
        <stp/>
        <stp>BDP|17565421005794289261</stp>
        <tr r="Q1628" s="2"/>
      </tp>
      <tp t="b">
        <v>0</v>
        <stp/>
        <stp>BDS|16627614748687994631</stp>
        <tr r="I819" s="2"/>
      </tp>
      <tp t="s">
        <v>#N/A Requesting Data...2651671039</v>
        <stp/>
        <stp>BDP|14029181673282588581</stp>
        <tr r="N235" s="2"/>
      </tp>
      <tp t="s">
        <v>#N/A Requesting Data...3009118811</v>
        <stp/>
        <stp>BDP|11873099148906777688</stp>
        <tr r="A1030" s="2"/>
      </tp>
      <tp t="s">
        <v>#N/A Requesting Data...3493432705</v>
        <stp/>
        <stp>BDP|14417529501127585349</stp>
        <tr r="Q386" s="2"/>
      </tp>
      <tp t="s">
        <v>#N/A Requesting Data...1593785607</v>
        <stp/>
        <stp>BDP|14996081651171662507</stp>
        <tr r="F2368" s="2"/>
      </tp>
      <tp t="s">
        <v>#N/A Requesting Data...3799656351</v>
        <stp/>
        <stp>BDP|14243617741901538216</stp>
        <tr r="A938" s="2"/>
      </tp>
      <tp t="s">
        <v>#N/A Requesting Data...3670451692</v>
        <stp/>
        <stp>BDP|11048761278410185496</stp>
        <tr r="K1434" s="2"/>
      </tp>
      <tp t="s">
        <v>#N/A Requesting Data...3030087659</v>
        <stp/>
        <stp>BDP|11654181209913579645</stp>
        <tr r="G179" s="2"/>
      </tp>
      <tp t="s">
        <v>#N/A Requesting Data...2132149535</v>
        <stp/>
        <stp>BDP|11245525572995731334</stp>
        <tr r="O1376" s="2"/>
      </tp>
      <tp t="s">
        <v>#N/A Requesting Data...3050932928</v>
        <stp/>
        <stp>BDP|16604616884865361867</stp>
        <tr r="R1066" s="2"/>
      </tp>
      <tp t="s">
        <v>#N/A Requesting Data...1964044268</v>
        <stp/>
        <stp>BDP|10449270596169380702</stp>
        <tr r="E2398" s="2"/>
      </tp>
      <tp t="s">
        <v>#N/A Requesting Data...2711089861</v>
        <stp/>
        <stp>BDP|11493642975221042432</stp>
        <tr r="P799" s="2"/>
      </tp>
      <tp t="s">
        <v>#N/A Requesting Data...4194469692</v>
        <stp/>
        <stp>BDP|10375312267113592362</stp>
        <tr r="J996" s="2"/>
      </tp>
      <tp t="s">
        <v>#N/A Requesting Data...1922168378</v>
        <stp/>
        <stp>BDP|11494958092920432414</stp>
        <tr r="E2181" s="2"/>
      </tp>
      <tp t="s">
        <v>#N/A Requesting Data...1760047548</v>
        <stp/>
        <stp>BDP|10014528030065425604</stp>
        <tr r="A681" s="2"/>
      </tp>
      <tp t="s">
        <v>#N/A Requesting Data...3255985614</v>
        <stp/>
        <stp>BDP|18084037596525065133</stp>
        <tr r="D2386" s="2"/>
      </tp>
      <tp t="s">
        <v>#N/A Requesting Data...2215253784</v>
        <stp/>
        <stp>BDP|13451676215945246421</stp>
        <tr r="D1424" s="2"/>
      </tp>
      <tp t="s">
        <v>#N/A Requesting Data...3209098105</v>
        <stp/>
        <stp>BDP|15943685346266696475</stp>
        <tr r="N301" s="2"/>
      </tp>
      <tp t="b">
        <v>0</v>
        <stp/>
        <stp>BDS|15058838075736508965</stp>
        <tr r="I887" s="2"/>
      </tp>
      <tp t="s">
        <v>#N/A Requesting Data...2293267555</v>
        <stp/>
        <stp>BDP|10524493819897137725</stp>
        <tr r="R1963" s="2"/>
      </tp>
      <tp t="s">
        <v>#N/A Requesting Data...2131964828</v>
        <stp/>
        <stp>BDP|14445887581186945728</stp>
        <tr r="G1822" s="2"/>
      </tp>
      <tp t="s">
        <v>#N/A Requesting Data...3799517564</v>
        <stp/>
        <stp>BDP|15296805789313588389</stp>
        <tr r="N1846" s="2"/>
      </tp>
      <tp t="s">
        <v>#N/A Requesting Data...1904729602</v>
        <stp/>
        <stp>BDP|16390190433471808073</stp>
        <tr r="E1028" s="2"/>
      </tp>
      <tp t="s">
        <v>#N/A Requesting Data...3806046119</v>
        <stp/>
        <stp>BDP|10257433500804767506</stp>
        <tr r="J2024" s="2"/>
      </tp>
      <tp t="s">
        <v>#N/A Requesting Data...2753569629</v>
        <stp/>
        <stp>BDP|13756673529162903069</stp>
        <tr r="O2141" s="2"/>
      </tp>
      <tp t="s">
        <v>#N/A Requesting Data...2351687439</v>
        <stp/>
        <stp>BDP|13071839752272740906</stp>
        <tr r="S1690" s="2"/>
      </tp>
      <tp t="s">
        <v>#N/A Requesting Data...3397613475</v>
        <stp/>
        <stp>BDP|13030755175363624509</stp>
        <tr r="D64" s="2"/>
      </tp>
      <tp t="s">
        <v>#N/A Requesting Data...2669056054</v>
        <stp/>
        <stp>BDP|16247765937603332469</stp>
        <tr r="G345" s="2"/>
      </tp>
      <tp t="s">
        <v>#N/A Requesting Data...4020648862</v>
        <stp/>
        <stp>BDP|12659126832836878381</stp>
        <tr r="A1919" s="2"/>
      </tp>
      <tp t="s">
        <v>#N/A Requesting Data...3902093685</v>
        <stp/>
        <stp>BDP|18195007492316104240</stp>
        <tr r="E1210" s="2"/>
      </tp>
      <tp t="s">
        <v>#N/A Requesting Data...2219618896</v>
        <stp/>
        <stp>BDP|15357439502047450304</stp>
        <tr r="N1663" s="2"/>
      </tp>
      <tp t="s">
        <v>#N/A Requesting Data...2695466837</v>
        <stp/>
        <stp>BDP|16302269531305511776</stp>
        <tr r="E494" s="2"/>
      </tp>
      <tp t="s">
        <v>#N/A Requesting Data...4269839514</v>
        <stp/>
        <stp>BDP|16596325527061703311</stp>
        <tr r="F1359" s="2"/>
      </tp>
      <tp t="s">
        <v>#N/A Requesting Data...2867841912</v>
        <stp/>
        <stp>BDP|15360497901731929549</stp>
        <tr r="E1624" s="2"/>
      </tp>
      <tp t="s">
        <v>#N/A Requesting Data...2346431110</v>
        <stp/>
        <stp>BDP|12531895298332492461</stp>
        <tr r="O1092" s="2"/>
      </tp>
      <tp t="s">
        <v>#N/A Requesting Data...2007000941</v>
        <stp/>
        <stp>BDP|16577631451581299137</stp>
        <tr r="P2119" s="2"/>
      </tp>
      <tp t="s">
        <v>#N/A Requesting Data...3715240047</v>
        <stp/>
        <stp>BDP|16629741874575994692</stp>
        <tr r="N1569" s="2"/>
      </tp>
      <tp t="s">
        <v>#N/A Requesting Data...4048184883</v>
        <stp/>
        <stp>BDP|14198346711533013027</stp>
        <tr r="J290" s="2"/>
      </tp>
      <tp t="s">
        <v>#N/A Requesting Data...3266870466</v>
        <stp/>
        <stp>BDP|16709306774960437710</stp>
        <tr r="H228" s="2"/>
      </tp>
      <tp t="s">
        <v>#N/A Requesting Data...3781383370</v>
        <stp/>
        <stp>BDP|17288249560724891283</stp>
        <tr r="J1025" s="2"/>
      </tp>
      <tp t="b">
        <v>0</v>
        <stp/>
        <stp>BDS|10125013971684324679</stp>
        <tr r="I487" s="2"/>
      </tp>
      <tp t="s">
        <v>#N/A Requesting Data...3703420063</v>
        <stp/>
        <stp>BDP|18365847887135031860</stp>
        <tr r="G1983" s="2"/>
      </tp>
      <tp t="s">
        <v>#N/A Requesting Data...1822315826</v>
        <stp/>
        <stp>BDP|17247779952120986087</stp>
        <tr r="H2191" s="2"/>
      </tp>
      <tp t="s">
        <v>#N/A Requesting Data...3003381730</v>
        <stp/>
        <stp>BDP|14104563043142115230</stp>
        <tr r="K2185" s="2"/>
      </tp>
      <tp t="s">
        <v>#N/A Requesting Data...2900514761</v>
        <stp/>
        <stp>BDP|11859207176153119291</stp>
        <tr r="O58" s="2"/>
      </tp>
      <tp t="s">
        <v>#N/A Requesting Data...2587765888</v>
        <stp/>
        <stp>BDP|12958996836764267921</stp>
        <tr r="E730" s="2"/>
      </tp>
      <tp t="s">
        <v>#N/A Requesting Data...3702420202</v>
        <stp/>
        <stp>BDP|12529700356852302768</stp>
        <tr r="D119" s="2"/>
      </tp>
      <tp t="s">
        <v>#N/A Requesting Data...3363891528</v>
        <stp/>
        <stp>BDP|15127500663541529217</stp>
        <tr r="K1214" s="2"/>
      </tp>
      <tp t="s">
        <v>#N/A Requesting Data...2289669515</v>
        <stp/>
        <stp>BDP|15525230334385212462</stp>
        <tr r="J2517" s="2"/>
      </tp>
      <tp t="s">
        <v>#N/A Requesting Data...3893615677</v>
        <stp/>
        <stp>BDP|16223601821721507606</stp>
        <tr r="T2466" s="2"/>
      </tp>
      <tp t="s">
        <v>#N/A Requesting Data...3895075303</v>
        <stp/>
        <stp>BDP|17292400966826032620</stp>
        <tr r="R669" s="2"/>
      </tp>
      <tp t="s">
        <v>#N/A Requesting Data...3619099133</v>
        <stp/>
        <stp>BDP|14083978400928995082</stp>
        <tr r="T1926" s="2"/>
      </tp>
      <tp t="s">
        <v>#N/A Requesting Data...4162066773</v>
        <stp/>
        <stp>BDP|10654236406471704625</stp>
        <tr r="Q1113" s="2"/>
      </tp>
      <tp t="b">
        <v>0</v>
        <stp/>
        <stp>BDS|10739401368720317795</stp>
        <tr r="I407" s="2"/>
      </tp>
      <tp t="s">
        <v>#N/A Requesting Data...3307608623</v>
        <stp/>
        <stp>BDP|10543577220333579116</stp>
        <tr r="F722" s="2"/>
      </tp>
      <tp t="b">
        <v>0</v>
        <stp/>
        <stp>BDS|10325417790328634014</stp>
        <tr r="I1486" s="2"/>
      </tp>
      <tp t="s">
        <v>#N/A Requesting Data...2580445992</v>
        <stp/>
        <stp>BDP|11316218743771577328</stp>
        <tr r="R2147" s="2"/>
      </tp>
      <tp t="s">
        <v>#N/A Requesting Data...2564579488</v>
        <stp/>
        <stp>BDP|16212894989794033740</stp>
        <tr r="T555" s="2"/>
      </tp>
      <tp t="s">
        <v>#N/A Requesting Data...3843997492</v>
        <stp/>
        <stp>BDP|15486034081699383132</stp>
        <tr r="J105" s="2"/>
      </tp>
      <tp t="s">
        <v>#N/A Requesting Data...4096330502</v>
        <stp/>
        <stp>BDP|17628468175908342907</stp>
        <tr r="M2325" s="2"/>
      </tp>
      <tp t="s">
        <v>#N/A Requesting Data...3501781201</v>
        <stp/>
        <stp>BDP|16306045996243511926</stp>
        <tr r="E1107" s="2"/>
      </tp>
      <tp t="s">
        <v>#N/A Requesting Data...2819215862</v>
        <stp/>
        <stp>BDP|13280680166037916139</stp>
        <tr r="T1902" s="2"/>
      </tp>
      <tp t="s">
        <v>#N/A Requesting Data...2867393244</v>
        <stp/>
        <stp>BDP|15327864570607210811</stp>
        <tr r="Q74" s="2"/>
      </tp>
      <tp t="s">
        <v>#N/A Requesting Data...3747431020</v>
        <stp/>
        <stp>BDP|15486668942064273640</stp>
        <tr r="K117" s="2"/>
      </tp>
      <tp t="s">
        <v>#N/A Requesting Data...3614032240</v>
        <stp/>
        <stp>BDP|15932648484096785884</stp>
        <tr r="R854" s="2"/>
      </tp>
      <tp t="s">
        <v>#N/A Requesting Data...3405805973</v>
        <stp/>
        <stp>BDP|16585172270093094644</stp>
        <tr r="F2369" s="2"/>
      </tp>
      <tp t="s">
        <v>#N/A Requesting Data...3296384865</v>
        <stp/>
        <stp>BDP|17579241867173801580</stp>
        <tr r="K676" s="2"/>
      </tp>
      <tp t="s">
        <v>#N/A Requesting Data...3668908780</v>
        <stp/>
        <stp>BDP|12338152735596376364</stp>
        <tr r="H955" s="2"/>
      </tp>
      <tp t="s">
        <v>#N/A Requesting Data...2461796663</v>
        <stp/>
        <stp>BDP|15824004465045344385</stp>
        <tr r="K1242" s="2"/>
      </tp>
      <tp t="s">
        <v>#N/A Requesting Data...2866474866</v>
        <stp/>
        <stp>BDP|10090229200750234763</stp>
        <tr r="Q2493" s="2"/>
      </tp>
      <tp t="s">
        <v>#N/A Requesting Data...3363432538</v>
        <stp/>
        <stp>BDP|13790089178434641577</stp>
        <tr r="Q178" s="2"/>
      </tp>
      <tp t="s">
        <v>#N/A Requesting Data...2908011477</v>
        <stp/>
        <stp>BDP|13173603576763152401</stp>
        <tr r="A1201" s="2"/>
      </tp>
      <tp t="s">
        <v>#N/A Requesting Data...3822290807</v>
        <stp/>
        <stp>BDP|14229573844088444833</stp>
        <tr r="Q1191" s="2"/>
      </tp>
      <tp t="s">
        <v>#N/A Requesting Data...2894002955</v>
        <stp/>
        <stp>BDP|10162564510514439552</stp>
        <tr r="G2528" s="2"/>
      </tp>
      <tp t="b">
        <v>0</v>
        <stp/>
        <stp>BDS|14322756847662513015</stp>
        <tr r="I1727" s="2"/>
      </tp>
      <tp t="s">
        <v>#N/A Requesting Data...2565947987</v>
        <stp/>
        <stp>BDP|13339927360779754000</stp>
        <tr r="T1195" s="2"/>
      </tp>
      <tp t="s">
        <v>#N/A Requesting Data...1951237041</v>
        <stp/>
        <stp>BDP|15328925173908392671</stp>
        <tr r="M49" s="2"/>
      </tp>
      <tp t="s">
        <v>#N/A Requesting Data...3848066278</v>
        <stp/>
        <stp>BDP|12888653407687923659</stp>
        <tr r="K1469" s="2"/>
      </tp>
      <tp t="s">
        <v>#N/A Requesting Data...2629107847</v>
        <stp/>
        <stp>BDP|15732366175404404067</stp>
        <tr r="R218" s="2"/>
      </tp>
      <tp t="s">
        <v>#N/A Requesting Data...1872148882</v>
        <stp/>
        <stp>BDP|17346499537253311688</stp>
        <tr r="N1949" s="2"/>
      </tp>
      <tp t="s">
        <v>#N/A Requesting Data...1909953417</v>
        <stp/>
        <stp>BDP|10269986128287102954</stp>
        <tr r="Q1358" s="2"/>
      </tp>
      <tp t="s">
        <v>#N/A Requesting Data...3471846301</v>
        <stp/>
        <stp>BDP|12720120444505129760</stp>
        <tr r="D1301" s="2"/>
      </tp>
      <tp t="s">
        <v>#N/A Requesting Data...4008756919</v>
        <stp/>
        <stp>BDP|10775112753647548662</stp>
        <tr r="F206" s="2"/>
      </tp>
      <tp t="s">
        <v>#N/A Requesting Data...3180172047</v>
        <stp/>
        <stp>BDP|14758069235325096723</stp>
        <tr r="C271" s="2"/>
      </tp>
      <tp t="s">
        <v>#N/A Requesting Data...2266048401</v>
        <stp/>
        <stp>BDP|16672421547971239279</stp>
        <tr r="Q1455" s="2"/>
      </tp>
      <tp t="b">
        <v>0</v>
        <stp/>
        <stp>BDS|17528511506722736502</stp>
        <tr r="I984" s="2"/>
      </tp>
      <tp t="s">
        <v>#N/A Requesting Data...3698763560</v>
        <stp/>
        <stp>BDP|10639406910541820187</stp>
        <tr r="S2058" s="2"/>
      </tp>
      <tp t="s">
        <v>#N/A Requesting Data...2834538510</v>
        <stp/>
        <stp>BDP|11998795942986328172</stp>
        <tr r="H2302" s="2"/>
      </tp>
      <tp t="s">
        <v>#N/A Requesting Data...2164499820</v>
        <stp/>
        <stp>BDP|12460375036146715146</stp>
        <tr r="Q2285" s="2"/>
      </tp>
      <tp t="s">
        <v>#N/A Requesting Data...2564962119</v>
        <stp/>
        <stp>BDP|13250552816111678314</stp>
        <tr r="O2025" s="2"/>
      </tp>
      <tp t="s">
        <v>#N/A Requesting Data...4164908766</v>
        <stp/>
        <stp>BDP|12693218597255773911</stp>
        <tr r="A2505" s="2"/>
      </tp>
      <tp t="s">
        <v>#N/A Requesting Data...3679331678</v>
        <stp/>
        <stp>BDP|14328676120602769751</stp>
        <tr r="D549" s="2"/>
      </tp>
      <tp t="s">
        <v>#N/A Requesting Data...2204484300</v>
        <stp/>
        <stp>BDP|18441415560036617955</stp>
        <tr r="G847" s="2"/>
      </tp>
      <tp t="s">
        <v>#N/A Requesting Data...2637138105</v>
        <stp/>
        <stp>BDP|11531683043541856705</stp>
        <tr r="N978" s="2"/>
      </tp>
      <tp t="s">
        <v>#N/A Requesting Data...2065133979</v>
        <stp/>
        <stp>BDP|12189277900770054508</stp>
        <tr r="O2003" s="2"/>
      </tp>
      <tp t="s">
        <v>#N/A Requesting Data...2315324194</v>
        <stp/>
        <stp>BDP|18077975330525674275</stp>
        <tr r="C1051" s="2"/>
      </tp>
      <tp t="s">
        <v>#N/A Requesting Data...4007532013</v>
        <stp/>
        <stp>BDP|14802113099171778811</stp>
        <tr r="T1897" s="2"/>
      </tp>
      <tp t="s">
        <v>#N/A Requesting Data...4267416102</v>
        <stp/>
        <stp>BDP|13735167102222169544</stp>
        <tr r="E537" s="2"/>
      </tp>
      <tp t="s">
        <v>#N/A Requesting Data...3118918231</v>
        <stp/>
        <stp>BDP|10128807282024663137</stp>
        <tr r="Q1107" s="2"/>
      </tp>
      <tp t="s">
        <v>#N/A Requesting Data...2566153760</v>
        <stp/>
        <stp>BDP|13557772135332460056</stp>
        <tr r="M750" s="2"/>
      </tp>
    </main>
    <main first="bofaddin.rtdserver">
      <tp t="s">
        <v>#N/A Requesting Data...2398543091</v>
        <stp/>
        <stp>BDP|4297766667205997</stp>
        <tr r="R1432" s="2"/>
      </tp>
      <tp t="b">
        <v>0</v>
        <stp/>
        <stp>BDS|4898474475236119</stp>
        <tr r="I912" s="2"/>
      </tp>
      <tp t="s">
        <v>#N/A Requesting Data...4224873872</v>
        <stp/>
        <stp>BDP|1789635268032714</stp>
        <tr r="E2240" s="2"/>
      </tp>
      <tp t="s">
        <v>#N/A Requesting Data...3763732002</v>
        <stp/>
        <stp>BDP|3406986554131342</stp>
        <tr r="S564" s="2"/>
      </tp>
      <tp t="s">
        <v>#N/A Requesting Data...2869650904</v>
        <stp/>
        <stp>BDP|5031429135082935</stp>
        <tr r="Q121" s="2"/>
      </tp>
      <tp t="s">
        <v>#N/A Requesting Data...3478476473</v>
        <stp/>
        <stp>BDP|8777063586150997</stp>
        <tr r="M979" s="2"/>
      </tp>
      <tp t="s">
        <v>#N/A Requesting Data...3055319426</v>
        <stp/>
        <stp>BDP|4978883857907952</stp>
        <tr r="J1314" s="2"/>
      </tp>
      <tp t="s">
        <v>#N/A Requesting Data...3822291033</v>
        <stp/>
        <stp>BDP|3740710248178194</stp>
        <tr r="M1204" s="2"/>
      </tp>
      <tp t="s">
        <v>#N/A Requesting Data...2961393468</v>
        <stp/>
        <stp>BDP|5637396630535062</stp>
        <tr r="J1059" s="2"/>
      </tp>
      <tp t="s">
        <v>#N/A Requesting Data...3812206704</v>
        <stp/>
        <stp>BDP|7883115852530733</stp>
        <tr r="K54" s="2"/>
      </tp>
      <tp t="s">
        <v>#N/A Requesting Data...2250760733</v>
        <stp/>
        <stp>BDP|7078537659150758</stp>
        <tr r="M424" s="2"/>
      </tp>
      <tp t="s">
        <v>#N/A Requesting Data...2168997305</v>
        <stp/>
        <stp>BDP|6889298476523583</stp>
        <tr r="H2178" s="2"/>
      </tp>
      <tp t="s">
        <v>#N/A Requesting Data...3548902802</v>
        <stp/>
        <stp>BDP|5384334579672937</stp>
        <tr r="F1566" s="2"/>
      </tp>
      <tp t="s">
        <v>#N/A Requesting Data...4136398408</v>
        <stp/>
        <stp>BDP|4098760620040638</stp>
        <tr r="K1705" s="2"/>
      </tp>
      <tp t="s">
        <v>#N/A Requesting Data...4149184710</v>
        <stp/>
        <stp>BDP|8791968157616680</stp>
        <tr r="R1176" s="2"/>
      </tp>
      <tp t="s">
        <v>#N/A Requesting Data...3787654583</v>
        <stp/>
        <stp>BDP|7547033083661503</stp>
        <tr r="G2340" s="2"/>
      </tp>
      <tp t="s">
        <v>#N/A Requesting Data...3823158182</v>
        <stp/>
        <stp>BDP|9798051357212581</stp>
        <tr r="M370" s="2"/>
      </tp>
      <tp t="b">
        <v>0</v>
        <stp/>
        <stp>BDS|5336519034993140</stp>
        <tr r="I537" s="2"/>
      </tp>
      <tp t="s">
        <v>#N/A Requesting Data...4186159667</v>
        <stp/>
        <stp>BDP|2309607999530193112</stp>
        <tr r="D320" s="2"/>
      </tp>
      <tp t="s">
        <v>#N/A Requesting Data...2917653235</v>
        <stp/>
        <stp>BDP|9624388610235100251</stp>
        <tr r="N1848" s="2"/>
      </tp>
      <tp t="s">
        <v>#N/A Requesting Data...3340702550</v>
        <stp/>
        <stp>BDP|3620952063750296087</stp>
        <tr r="A1993" s="2"/>
      </tp>
      <tp t="s">
        <v>#N/A Requesting Data...3489972538</v>
        <stp/>
        <stp>BDP|6499512357052962814</stp>
        <tr r="C220" s="2"/>
      </tp>
      <tp t="s">
        <v>#N/A Requesting Data...2824456742</v>
        <stp/>
        <stp>BDP|5515374599610289332</stp>
        <tr r="G22" s="2"/>
      </tp>
      <tp t="s">
        <v>#N/A Requesting Data...3443854221</v>
        <stp/>
        <stp>BDP|5249372522459580183</stp>
        <tr r="S2351" s="2"/>
      </tp>
      <tp t="s">
        <v>#N/A Requesting Data...3713364915</v>
        <stp/>
        <stp>BDP|1494832600027913242</stp>
        <tr r="K1517" s="2"/>
      </tp>
      <tp t="s">
        <v>#N/A Requesting Data...3886410617</v>
        <stp/>
        <stp>BDP|1591928536491897634</stp>
        <tr r="N1176" s="2"/>
      </tp>
      <tp t="s">
        <v>#N/A Requesting Data...2633743165</v>
        <stp/>
        <stp>BDP|4648761720275862829</stp>
        <tr r="C1517" s="2"/>
      </tp>
      <tp t="s">
        <v>#N/A Requesting Data...3534670228</v>
        <stp/>
        <stp>BDP|6986712495037547325</stp>
        <tr r="P630" s="2"/>
      </tp>
      <tp t="s">
        <v>#N/A Requesting Data...4119071602</v>
        <stp/>
        <stp>BDP|2632428666648901416</stp>
        <tr r="R955" s="2"/>
      </tp>
      <tp t="s">
        <v>#N/A Requesting Data...3075269696</v>
        <stp/>
        <stp>BDP|9341600113727297580</stp>
        <tr r="K2081" s="2"/>
      </tp>
      <tp t="s">
        <v>#N/A Requesting Data...2055648995</v>
        <stp/>
        <stp>BDP|8593209248840752207</stp>
        <tr r="K431" s="2"/>
      </tp>
      <tp t="s">
        <v>#N/A Requesting Data...3298074693</v>
        <stp/>
        <stp>BDP|3566670503029835038</stp>
        <tr r="J2069" s="2"/>
      </tp>
      <tp t="s">
        <v>#N/A Requesting Data...2973944374</v>
        <stp/>
        <stp>BDP|8308310348467993490</stp>
        <tr r="J1571" s="2"/>
      </tp>
      <tp t="s">
        <v>#N/A Requesting Data...3674376051</v>
        <stp/>
        <stp>BDP|9000172937866827125</stp>
        <tr r="N1887" s="2"/>
      </tp>
      <tp t="s">
        <v>#N/A Requesting Data...2483970468</v>
        <stp/>
        <stp>BDP|9979544856530294533</stp>
        <tr r="H957" s="2"/>
      </tp>
      <tp t="s">
        <v>#N/A Requesting Data...3551783224</v>
        <stp/>
        <stp>BDP|1777332905238880633</stp>
        <tr r="H1888" s="2"/>
      </tp>
      <tp t="s">
        <v>#N/A Requesting Data...2211107755</v>
        <stp/>
        <stp>BDP|9526043832967853111</stp>
        <tr r="A559" s="2"/>
      </tp>
      <tp t="s">
        <v>#N/A Requesting Data...4274265031</v>
        <stp/>
        <stp>BDP|9336880482833043630</stp>
        <tr r="Q1046" s="2"/>
      </tp>
      <tp t="s">
        <v>#N/A Requesting Data...3611387513</v>
        <stp/>
        <stp>BDP|7491440320268971532</stp>
        <tr r="G47" s="2"/>
      </tp>
      <tp t="s">
        <v>#N/A Requesting Data...3751128403</v>
        <stp/>
        <stp>BDP|8930658124601553176</stp>
        <tr r="S887" s="2"/>
      </tp>
      <tp t="s">
        <v>#N/A Requesting Data...2494447818</v>
        <stp/>
        <stp>BDP|4401877873360982732</stp>
        <tr r="E1493" s="2"/>
      </tp>
      <tp t="s">
        <v>#N/A Requesting Data...4165742907</v>
        <stp/>
        <stp>BDP|7642087086552212106</stp>
        <tr r="O1164" s="2"/>
      </tp>
      <tp t="s">
        <v>#N/A Requesting Data...2299775197</v>
        <stp/>
        <stp>BDP|5581818200062837362</stp>
        <tr r="C967" s="2"/>
      </tp>
      <tp t="s">
        <v>#N/A Requesting Data...4266158253</v>
        <stp/>
        <stp>BDP|9031787430404277506</stp>
        <tr r="P2358" s="2"/>
      </tp>
      <tp t="s">
        <v>#N/A Requesting Data...4278311426</v>
        <stp/>
        <stp>BDP|9504271463293375285</stp>
        <tr r="K60" s="2"/>
      </tp>
      <tp t="s">
        <v>#N/A Requesting Data...2194036072</v>
        <stp/>
        <stp>BDP|4440663021088825414</stp>
        <tr r="S1382" s="2"/>
      </tp>
      <tp t="s">
        <v>#N/A Requesting Data...4167430318</v>
        <stp/>
        <stp>BDP|1925362727028049425</stp>
        <tr r="D307" s="2"/>
      </tp>
      <tp t="s">
        <v>#N/A Requesting Data...3411027997</v>
        <stp/>
        <stp>BDP|2445790167699074604</stp>
        <tr r="R1552" s="2"/>
      </tp>
      <tp t="s">
        <v>#N/A Requesting Data...3371926430</v>
        <stp/>
        <stp>BDP|7362747020079823753</stp>
        <tr r="J1284" s="2"/>
      </tp>
      <tp t="s">
        <v>#N/A Requesting Data...4281219685</v>
        <stp/>
        <stp>BDP|1714746270239165483</stp>
        <tr r="S2281" s="2"/>
      </tp>
      <tp t="s">
        <v>#N/A Requesting Data...2718392017</v>
        <stp/>
        <stp>BDP|6771259099395758468</stp>
        <tr r="R2241" s="2"/>
      </tp>
      <tp t="s">
        <v>#N/A Requesting Data...3642153321</v>
        <stp/>
        <stp>BDP|9454671645905881245</stp>
        <tr r="Q1803" s="2"/>
      </tp>
      <tp t="s">
        <v>#N/A Requesting Data...3104646754</v>
        <stp/>
        <stp>BDP|8828601450063236400</stp>
        <tr r="A1449" s="2"/>
      </tp>
      <tp t="s">
        <v>#N/A Requesting Data...4021113258</v>
        <stp/>
        <stp>BDP|5895159616380503943</stp>
        <tr r="K1995" s="2"/>
      </tp>
      <tp t="s">
        <v>#N/A Requesting Data...2788394440</v>
        <stp/>
        <stp>BDP|9538144912491950406</stp>
        <tr r="S1163" s="2"/>
      </tp>
      <tp t="b">
        <v>0</v>
        <stp/>
        <stp>BDS|4469197683131025041</stp>
        <tr r="I290" s="2"/>
      </tp>
      <tp t="s">
        <v>#N/A Requesting Data...4290645230</v>
        <stp/>
        <stp>BDP|2760159690883938517</stp>
        <tr r="K1365" s="2"/>
      </tp>
      <tp t="s">
        <v>#N/A Requesting Data...3566216128</v>
        <stp/>
        <stp>BDP|5337085086427193668</stp>
        <tr r="F227" s="2"/>
      </tp>
      <tp t="s">
        <v>#N/A Requesting Data...3990274461</v>
        <stp/>
        <stp>BDP|4920402363302564856</stp>
        <tr r="E2153" s="2"/>
      </tp>
      <tp t="s">
        <v>#N/A Requesting Data...2211347388</v>
        <stp/>
        <stp>BDP|2573982206352137506</stp>
        <tr r="T59" s="2"/>
      </tp>
      <tp t="s">
        <v>#N/A Requesting Data...2055468573</v>
        <stp/>
        <stp>BDP|4509515654160354892</stp>
        <tr r="F1304" s="2"/>
      </tp>
      <tp t="s">
        <v>#N/A Requesting Data...2300253511</v>
        <stp/>
        <stp>BDP|4298108197024761484</stp>
        <tr r="Q302" s="2"/>
      </tp>
      <tp t="s">
        <v>#N/A Requesting Data...3846919011</v>
        <stp/>
        <stp>BDP|5804242574038078426</stp>
        <tr r="P2470" s="2"/>
      </tp>
      <tp t="s">
        <v>#N/A Requesting Data...4154402740</v>
        <stp/>
        <stp>BDP|8724114128237240062</stp>
        <tr r="E143" s="2"/>
      </tp>
      <tp t="s">
        <v>#N/A Requesting Data...2928189165</v>
        <stp/>
        <stp>BDP|8414090900794053071</stp>
        <tr r="M826" s="2"/>
      </tp>
      <tp t="s">
        <v>#N/A Requesting Data...3080099911</v>
        <stp/>
        <stp>BDP|5592497383631621438</stp>
        <tr r="P2337" s="2"/>
      </tp>
      <tp t="s">
        <v>#N/A Requesting Data...3631197718</v>
        <stp/>
        <stp>BDP|8455716240013608491</stp>
        <tr r="K1749" s="2"/>
      </tp>
      <tp t="s">
        <v>#N/A Requesting Data...4013861021</v>
        <stp/>
        <stp>BDP|1713739893772446199</stp>
        <tr r="O1217" s="2"/>
      </tp>
      <tp t="s">
        <v>#N/A Requesting Data...4193727797</v>
        <stp/>
        <stp>BDP|3626099336089578569</stp>
        <tr r="Q185" s="2"/>
      </tp>
      <tp t="s">
        <v>#N/A Requesting Data...3101031162</v>
        <stp/>
        <stp>BDP|3836207797850419418</stp>
        <tr r="Q676" s="2"/>
      </tp>
      <tp t="s">
        <v>#N/A Requesting Data...2216800121</v>
        <stp/>
        <stp>BDP|5148052422132910953</stp>
        <tr r="G1942" s="2"/>
      </tp>
      <tp t="s">
        <v>#N/A Requesting Data...2759024013</v>
        <stp/>
        <stp>BDP|7135333849358540442</stp>
        <tr r="R1788" s="2"/>
      </tp>
      <tp t="s">
        <v>#N/A Requesting Data...2926297828</v>
        <stp/>
        <stp>BDP|8168401011284399599</stp>
        <tr r="R433" s="2"/>
      </tp>
      <tp t="s">
        <v>#N/A Requesting Data...2344265547</v>
        <stp/>
        <stp>BDP|2250843016357873026</stp>
        <tr r="K957" s="2"/>
      </tp>
      <tp t="s">
        <v>#N/A Requesting Data...3566522799</v>
        <stp/>
        <stp>BDP|8867242058606901576</stp>
        <tr r="T2034" s="2"/>
      </tp>
      <tp t="s">
        <v>#N/A Requesting Data...3688988568</v>
        <stp/>
        <stp>BDP|8482989487336815397</stp>
        <tr r="H1351" s="2"/>
      </tp>
      <tp t="s">
        <v>#N/A Requesting Data...3705699563</v>
        <stp/>
        <stp>BDP|7878807317375300767</stp>
        <tr r="D2490" s="2"/>
      </tp>
      <tp t="s">
        <v>#N/A Requesting Data...3010152685</v>
        <stp/>
        <stp>BDP|2040780242388834580</stp>
        <tr r="S1422" s="2"/>
      </tp>
      <tp t="s">
        <v>#N/A Requesting Data...4136220706</v>
        <stp/>
        <stp>BDP|8703725828232421331</stp>
        <tr r="S2214" s="2"/>
      </tp>
      <tp t="s">
        <v>#N/A Requesting Data...3421834710</v>
        <stp/>
        <stp>BDP|4686692481553611529</stp>
        <tr r="G1009" s="2"/>
      </tp>
      <tp t="s">
        <v>#N/A Requesting Data...2994897848</v>
        <stp/>
        <stp>BDP|7513317592204477584</stp>
        <tr r="P1132" s="2"/>
      </tp>
      <tp t="s">
        <v>#N/A Requesting Data...2991131354</v>
        <stp/>
        <stp>BDP|3527844720474211195</stp>
        <tr r="M169" s="2"/>
      </tp>
      <tp t="s">
        <v>#N/A Requesting Data...2854795028</v>
        <stp/>
        <stp>BDP|8038133579681439343</stp>
        <tr r="D2316" s="2"/>
      </tp>
      <tp t="s">
        <v>#N/A Requesting Data...2380393020</v>
        <stp/>
        <stp>BDP|9128190343245020514</stp>
        <tr r="A1179" s="2"/>
      </tp>
      <tp t="s">
        <v>#N/A Requesting Data...2764854650</v>
        <stp/>
        <stp>BDP|6368739347819932042</stp>
        <tr r="R60" s="2"/>
      </tp>
      <tp t="s">
        <v>#N/A Requesting Data...3897671593</v>
        <stp/>
        <stp>BDP|8164994867753103843</stp>
        <tr r="E2223" s="2"/>
      </tp>
      <tp t="s">
        <v>#N/A Requesting Data...2117517532</v>
        <stp/>
        <stp>BDP|9279994770549475248</stp>
        <tr r="R1195" s="2"/>
      </tp>
      <tp t="s">
        <v>#N/A Requesting Data...3714437314</v>
        <stp/>
        <stp>BDP|3547004754449881324</stp>
        <tr r="R2317" s="2"/>
      </tp>
      <tp t="s">
        <v>#N/A Requesting Data...3915652785</v>
        <stp/>
        <stp>BDP|4619549290795957102</stp>
        <tr r="G937" s="2"/>
      </tp>
      <tp t="s">
        <v>#N/A Requesting Data...2635945480</v>
        <stp/>
        <stp>BDP|4757225056849003680</stp>
        <tr r="J576" s="2"/>
      </tp>
      <tp t="s">
        <v>#N/A Requesting Data...2506313546</v>
        <stp/>
        <stp>BDP|6072968959926489006</stp>
        <tr r="Q1919" s="2"/>
      </tp>
      <tp t="s">
        <v>#N/A Requesting Data...4017584712</v>
        <stp/>
        <stp>BDP|8872208549732398099</stp>
        <tr r="T833" s="2"/>
      </tp>
      <tp t="s">
        <v>#N/A Requesting Data...2301782801</v>
        <stp/>
        <stp>BDP|3880312944618765012</stp>
        <tr r="C1195" s="2"/>
      </tp>
      <tp t="s">
        <v>#N/A Requesting Data...2251573338</v>
        <stp/>
        <stp>BDP|8867194497164898852</stp>
        <tr r="C2073" s="2"/>
      </tp>
      <tp t="s">
        <v>#N/A Requesting Data...4260188619</v>
        <stp/>
        <stp>BDP|3685766141694808823</stp>
        <tr r="E1029" s="2"/>
      </tp>
      <tp t="s">
        <v>#N/A Requesting Data...3068530458</v>
        <stp/>
        <stp>BDP|4269999451787446357</stp>
        <tr r="A2343" s="2"/>
      </tp>
      <tp t="s">
        <v>#N/A Requesting Data...3399071170</v>
        <stp/>
        <stp>BDP|1783982211682074750</stp>
        <tr r="D1665" s="2"/>
      </tp>
      <tp t="s">
        <v>#N/A Requesting Data...2844799571</v>
        <stp/>
        <stp>BDP|6910112839559240189</stp>
        <tr r="H2262" s="2"/>
      </tp>
      <tp t="s">
        <v>#N/A Requesting Data...3413179173</v>
        <stp/>
        <stp>BDP|6072400682820928606</stp>
        <tr r="H843" s="2"/>
      </tp>
      <tp t="s">
        <v>#N/A Requesting Data...3491989178</v>
        <stp/>
        <stp>BDP|5126343609592072878</stp>
        <tr r="D2150" s="2"/>
      </tp>
      <tp t="s">
        <v>#N/A Requesting Data...3827037336</v>
        <stp/>
        <stp>BDP|6191790518565346982</stp>
        <tr r="Q2322" s="2"/>
      </tp>
      <tp t="s">
        <v>#N/A Requesting Data...2500593538</v>
        <stp/>
        <stp>BDP|5460350298855717655</stp>
        <tr r="P1651" s="2"/>
      </tp>
      <tp t="s">
        <v>#N/A Requesting Data...2643376561</v>
        <stp/>
        <stp>BDP|5487518490152734798</stp>
        <tr r="D944" s="2"/>
      </tp>
      <tp t="s">
        <v>#N/A Requesting Data...2877737000</v>
        <stp/>
        <stp>BDP|3903274314128691476</stp>
        <tr r="T654" s="2"/>
      </tp>
      <tp t="s">
        <v>#N/A Requesting Data...4230147746</v>
        <stp/>
        <stp>BDP|8493470050203800601</stp>
        <tr r="Q2305" s="2"/>
      </tp>
      <tp t="b">
        <v>0</v>
        <stp/>
        <stp>BDS|9087176872526713593</stp>
        <tr r="I208" s="2"/>
      </tp>
      <tp t="s">
        <v>#N/A Requesting Data...3068490838</v>
        <stp/>
        <stp>BDP|4004788393737020100</stp>
        <tr r="M1678" s="2"/>
      </tp>
      <tp t="s">
        <v>#N/A Requesting Data...4224655928</v>
        <stp/>
        <stp>BDP|3725272089382068728</stp>
        <tr r="E2370" s="2"/>
      </tp>
      <tp t="s">
        <v>#N/A Requesting Data...4247997225</v>
        <stp/>
        <stp>BDP|6527191751639286740</stp>
        <tr r="N890" s="2"/>
      </tp>
      <tp t="s">
        <v>#N/A Requesting Data...4270028015</v>
        <stp/>
        <stp>BDP|8264762052835412390</stp>
        <tr r="F576" s="2"/>
      </tp>
      <tp t="s">
        <v>#N/A Requesting Data...3477160960</v>
        <stp/>
        <stp>BDP|4282285507008499229</stp>
        <tr r="O2124" s="2"/>
      </tp>
      <tp t="s">
        <v>#N/A Requesting Data...2583308268</v>
        <stp/>
        <stp>BDP|6249938243793116486</stp>
        <tr r="P35" s="2"/>
      </tp>
      <tp t="s">
        <v>#N/A Requesting Data...3187975310</v>
        <stp/>
        <stp>BDP|2790741688698868984</stp>
        <tr r="K1397" s="2"/>
      </tp>
      <tp t="s">
        <v>#N/A Requesting Data...3101797881</v>
        <stp/>
        <stp>BDP|5616687612528162669</stp>
        <tr r="E2141" s="2"/>
      </tp>
      <tp t="s">
        <v>#N/A Requesting Data...2916764059</v>
        <stp/>
        <stp>BDP|3056527532620392981</stp>
        <tr r="E301" s="2"/>
      </tp>
      <tp t="s">
        <v>#N/A Requesting Data...4118925834</v>
        <stp/>
        <stp>BDP|3856030387895028270</stp>
        <tr r="M1144" s="2"/>
      </tp>
      <tp t="s">
        <v>#N/A Requesting Data...4239808946</v>
        <stp/>
        <stp>BDP|2623589121061735837</stp>
        <tr r="F26" s="2"/>
      </tp>
      <tp t="s">
        <v>#N/A Requesting Data...3625873378</v>
        <stp/>
        <stp>BDP|6713582426419714459</stp>
        <tr r="N2189" s="2"/>
      </tp>
      <tp t="s">
        <v>#N/A Requesting Data...2654752610</v>
        <stp/>
        <stp>BDP|8985889390821378491</stp>
        <tr r="H1867" s="2"/>
      </tp>
      <tp t="s">
        <v>#N/A Requesting Data...3887380624</v>
        <stp/>
        <stp>BDP|4579463920288897600</stp>
        <tr r="A2117" s="2"/>
      </tp>
      <tp t="s">
        <v>#N/A Requesting Data...3098276668</v>
        <stp/>
        <stp>BDP|3676582224640258839</stp>
        <tr r="C757" s="2"/>
      </tp>
      <tp t="s">
        <v>#N/A Requesting Data...2761986619</v>
        <stp/>
        <stp>BDP|5832928232746619553</stp>
        <tr r="R200" s="2"/>
      </tp>
      <tp t="s">
        <v>#N/A Requesting Data...2438818505</v>
        <stp/>
        <stp>BDP|8877526708872158382</stp>
        <tr r="T394" s="2"/>
      </tp>
      <tp t="s">
        <v>#N/A Requesting Data...2630093449</v>
        <stp/>
        <stp>BDP|9804275460599471809</stp>
        <tr r="P321" s="2"/>
      </tp>
      <tp t="s">
        <v>#N/A Requesting Data...4022494379</v>
        <stp/>
        <stp>BDP|7577448288371679645</stp>
        <tr r="P1568" s="2"/>
      </tp>
      <tp t="s">
        <v>#N/A Requesting Data...4266414756</v>
        <stp/>
        <stp>BDP|1964982732324025384</stp>
        <tr r="K1471" s="2"/>
      </tp>
      <tp t="s">
        <v>#N/A Requesting Data...4144685271</v>
        <stp/>
        <stp>BDP|5793438497770107497</stp>
        <tr r="M345" s="2"/>
      </tp>
      <tp t="s">
        <v>#N/A Requesting Data...2952075592</v>
        <stp/>
        <stp>BDP|1889812124700589734</stp>
        <tr r="O1690" s="2"/>
      </tp>
      <tp t="s">
        <v>#N/A Requesting Data...3013580102</v>
        <stp/>
        <stp>BDP|2722551042688359781</stp>
        <tr r="D1285" s="2"/>
      </tp>
      <tp t="s">
        <v>#N/A Requesting Data...3382443425</v>
        <stp/>
        <stp>BDP|5496398141188293658</stp>
        <tr r="O1975" s="2"/>
      </tp>
      <tp t="s">
        <v>#N/A Requesting Data...2992997227</v>
        <stp/>
        <stp>BDP|9300324570583391299</stp>
        <tr r="O756" s="2"/>
      </tp>
      <tp t="s">
        <v>#N/A Requesting Data...2890344843</v>
        <stp/>
        <stp>BDP|8388279348750317246</stp>
        <tr r="Q1831" s="2"/>
      </tp>
      <tp t="s">
        <v>#N/A Requesting Data...3988953155</v>
        <stp/>
        <stp>BDP|2251722398043011336</stp>
        <tr r="S359" s="2"/>
      </tp>
      <tp t="s">
        <v>#N/A Requesting Data...3247935454</v>
        <stp/>
        <stp>BDP|1732211300609970643</stp>
        <tr r="H168" s="2"/>
      </tp>
      <tp t="s">
        <v>#N/A Requesting Data...3428360740</v>
        <stp/>
        <stp>BDP|4955515383114075106</stp>
        <tr r="K1598" s="2"/>
      </tp>
      <tp t="s">
        <v>#N/A Requesting Data...3464028172</v>
        <stp/>
        <stp>BDP|8641739721800879172</stp>
        <tr r="N89" s="2"/>
      </tp>
      <tp t="s">
        <v>#N/A Requesting Data...3239876374</v>
        <stp/>
        <stp>BDP|4102072564108053695</stp>
        <tr r="A699" s="2"/>
      </tp>
      <tp t="s">
        <v>#N/A Requesting Data...3424737883</v>
        <stp/>
        <stp>BDP|5904062794438415844</stp>
        <tr r="C2089" s="2"/>
      </tp>
      <tp t="s">
        <v>#N/A Requesting Data...2288877506</v>
        <stp/>
        <stp>BDP|4590919303791918055</stp>
        <tr r="T2236" s="2"/>
      </tp>
      <tp t="s">
        <v>#N/A Requesting Data...3844093800</v>
        <stp/>
        <stp>BDP|3399556149758330679</stp>
        <tr r="E1583" s="2"/>
      </tp>
      <tp t="s">
        <v>#N/A Requesting Data...3432585850</v>
        <stp/>
        <stp>BDP|2131844200201639784</stp>
        <tr r="O944" s="2"/>
      </tp>
      <tp t="s">
        <v>#N/A Requesting Data...2381457592</v>
        <stp/>
        <stp>BDP|6977946524203128233</stp>
        <tr r="S2079" s="2"/>
      </tp>
      <tp t="s">
        <v>#N/A Requesting Data...2458807134</v>
        <stp/>
        <stp>BDP|2133701894146617687</stp>
        <tr r="M103" s="2"/>
      </tp>
      <tp t="s">
        <v>#N/A Requesting Data...3758745173</v>
        <stp/>
        <stp>BDP|7158763343188656096</stp>
        <tr r="F763" s="2"/>
      </tp>
      <tp t="s">
        <v>#N/A Requesting Data...2613609633</v>
        <stp/>
        <stp>BDP|7911580161151330987</stp>
        <tr r="F2055" s="2"/>
      </tp>
      <tp t="s">
        <v>#N/A Requesting Data...2422606669</v>
        <stp/>
        <stp>BDP|7456160218223101803</stp>
        <tr r="M1225" s="2"/>
      </tp>
      <tp t="s">
        <v>#N/A Requesting Data...3603690351</v>
        <stp/>
        <stp>BDP|1486635483086716588</stp>
        <tr r="P948" s="2"/>
      </tp>
      <tp t="s">
        <v>#N/A Requesting Data...3532072858</v>
        <stp/>
        <stp>BDP|6078282472307441856</stp>
        <tr r="P663" s="2"/>
      </tp>
      <tp t="s">
        <v>#N/A Requesting Data...3889942631</v>
        <stp/>
        <stp>BDP|7579102919362739902</stp>
        <tr r="M1953" s="2"/>
      </tp>
      <tp t="s">
        <v>#N/A Requesting Data...2504200577</v>
        <stp/>
        <stp>BDP|3173595794256039574</stp>
        <tr r="O447" s="2"/>
      </tp>
      <tp t="s">
        <v>#N/A Requesting Data...3136864606</v>
        <stp/>
        <stp>BDP|8899784663034834109</stp>
        <tr r="R76" s="2"/>
      </tp>
      <tp t="s">
        <v>#N/A Requesting Data...3163844304</v>
        <stp/>
        <stp>BDP|5217771386230143690</stp>
        <tr r="J2328" s="2"/>
      </tp>
      <tp t="s">
        <v>#N/A Requesting Data...3378474542</v>
        <stp/>
        <stp>BDP|3878965180729567705</stp>
        <tr r="T831" s="2"/>
      </tp>
      <tp t="s">
        <v>#N/A Requesting Data...3739290875</v>
        <stp/>
        <stp>BDP|6862453488947928178</stp>
        <tr r="Q1920" s="2"/>
      </tp>
      <tp t="s">
        <v>#N/A Requesting Data...3891224483</v>
        <stp/>
        <stp>BDP|3452031699647535138</stp>
        <tr r="P1551" s="2"/>
      </tp>
      <tp t="s">
        <v>#N/A Requesting Data...2465883834</v>
        <stp/>
        <stp>BDP|3425812069044001549</stp>
        <tr r="T1626" s="2"/>
      </tp>
      <tp t="s">
        <v>#N/A Requesting Data...3203817408</v>
        <stp/>
        <stp>BDP|6696322495191059196</stp>
        <tr r="E286" s="2"/>
      </tp>
      <tp t="s">
        <v>#N/A Requesting Data...2413229318</v>
        <stp/>
        <stp>BDP|6653078059589148615</stp>
        <tr r="C1577" s="2"/>
      </tp>
      <tp t="s">
        <v>#N/A Requesting Data...3483130017</v>
        <stp/>
        <stp>BDP|8453977408928548566</stp>
        <tr r="T660" s="2"/>
      </tp>
      <tp t="s">
        <v>#N/A Requesting Data...3065747227</v>
        <stp/>
        <stp>BDP|7704989042680545602</stp>
        <tr r="T954" s="2"/>
      </tp>
      <tp t="s">
        <v>#N/A Requesting Data...3264171496</v>
        <stp/>
        <stp>BDP|4260834863377914139</stp>
        <tr r="D1280" s="2"/>
      </tp>
      <tp t="b">
        <v>0</v>
        <stp/>
        <stp>BDS|9905477706512406349</stp>
        <tr r="I437" s="2"/>
      </tp>
      <tp t="s">
        <v>#N/A Requesting Data...2910907017</v>
        <stp/>
        <stp>BDP|4645155619310225808</stp>
        <tr r="N2461" s="2"/>
      </tp>
      <tp t="s">
        <v>#N/A Requesting Data...3733366462</v>
        <stp/>
        <stp>BDP|5491669195463896575</stp>
        <tr r="S424" s="2"/>
      </tp>
      <tp t="s">
        <v>#N/A Requesting Data...3889465271</v>
        <stp/>
        <stp>BDP|6950057170654399975</stp>
        <tr r="N393" s="2"/>
      </tp>
      <tp t="s">
        <v>#N/A Requesting Data...3626936973</v>
        <stp/>
        <stp>BDP|7499292058238894458</stp>
        <tr r="C1539" s="2"/>
      </tp>
      <tp t="s">
        <v>#N/A Requesting Data...4222791859</v>
        <stp/>
        <stp>BDP|5404952729884563654</stp>
        <tr r="T85" s="2"/>
      </tp>
      <tp t="s">
        <v>#N/A Requesting Data...2780167974</v>
        <stp/>
        <stp>BDP|9818478562632605537</stp>
        <tr r="O53" s="2"/>
      </tp>
      <tp t="s">
        <v>#N/A Requesting Data...2808352651</v>
        <stp/>
        <stp>BDP|3934194038045551859</stp>
        <tr r="P1249" s="2"/>
      </tp>
      <tp t="s">
        <v>#N/A Requesting Data...3032279884</v>
        <stp/>
        <stp>BDP|7808970754440683757</stp>
        <tr r="T1121" s="2"/>
      </tp>
      <tp t="s">
        <v>#N/A Requesting Data...3508877203</v>
        <stp/>
        <stp>BDP|8728521003977875666</stp>
        <tr r="Q312" s="2"/>
      </tp>
      <tp t="s">
        <v>#N/A Requesting Data...2562121840</v>
        <stp/>
        <stp>BDP|4991605901638274627</stp>
        <tr r="K1027" s="2"/>
      </tp>
      <tp t="s">
        <v>#N/A Requesting Data...3360833160</v>
        <stp/>
        <stp>BDP|5591023382645402491</stp>
        <tr r="A617" s="2"/>
      </tp>
      <tp t="s">
        <v>#N/A Requesting Data...2888494890</v>
        <stp/>
        <stp>BDP|9021121714567692282</stp>
        <tr r="Q1769" s="2"/>
      </tp>
      <tp t="s">
        <v>#N/A Requesting Data...3222506270</v>
        <stp/>
        <stp>BDP|6575773328847388819</stp>
        <tr r="A2410" s="2"/>
      </tp>
      <tp t="s">
        <v>#N/A Requesting Data...4091614061</v>
        <stp/>
        <stp>BDP|8892628673880016515</stp>
        <tr r="F1177" s="2"/>
      </tp>
      <tp t="s">
        <v>#N/A Requesting Data...3520040999</v>
        <stp/>
        <stp>BDP|3491194530695479810</stp>
        <tr r="O146" s="2"/>
      </tp>
      <tp t="s">
        <v>#N/A Requesting Data...3161851844</v>
        <stp/>
        <stp>BDP|6380392612711923993</stp>
        <tr r="R118" s="2"/>
      </tp>
      <tp t="s">
        <v>#N/A Requesting Data...2434233924</v>
        <stp/>
        <stp>BDP|2432812455776994513</stp>
        <tr r="G2058" s="2"/>
      </tp>
      <tp t="s">
        <v>#N/A Requesting Data...4175677864</v>
        <stp/>
        <stp>BDP|1494882477120514267</stp>
        <tr r="H1564" s="2"/>
      </tp>
      <tp t="s">
        <v>#N/A Requesting Data...3492174069</v>
        <stp/>
        <stp>BDP|8822277636973942684</stp>
        <tr r="Q1757" s="2"/>
      </tp>
      <tp t="s">
        <v>#N/A Requesting Data...2933630437</v>
        <stp/>
        <stp>BDP|8169722444170704789</stp>
        <tr r="O862" s="2"/>
      </tp>
      <tp t="b">
        <v>0</v>
        <stp/>
        <stp>BDS|7938946050854237371</stp>
        <tr r="I834" s="2"/>
      </tp>
      <tp t="s">
        <v>#N/A Requesting Data...2480237274</v>
        <stp/>
        <stp>BDP|9937449314041960183</stp>
        <tr r="E159" s="2"/>
      </tp>
      <tp t="s">
        <v>#N/A Requesting Data...2709922819</v>
        <stp/>
        <stp>BDP|1976218722558646541</stp>
        <tr r="M915" s="2"/>
      </tp>
      <tp t="s">
        <v>#N/A Requesting Data...2479388833</v>
        <stp/>
        <stp>BDP|3302573639030359969</stp>
        <tr r="E2338" s="2"/>
      </tp>
      <tp t="s">
        <v>#N/A Requesting Data...3059740560</v>
        <stp/>
        <stp>BDP|7903261449175789897</stp>
        <tr r="N1509" s="2"/>
      </tp>
      <tp t="b">
        <v>0</v>
        <stp/>
        <stp>BDS|1317438589549793868</stp>
        <tr r="I1591" s="2"/>
      </tp>
      <tp t="s">
        <v>#N/A Requesting Data...3660382223</v>
        <stp/>
        <stp>BDP|8278145649800409134</stp>
        <tr r="M2316" s="2"/>
      </tp>
      <tp t="s">
        <v>#N/A Requesting Data...3664417256</v>
        <stp/>
        <stp>BDP|9841363800894641205</stp>
        <tr r="Q921" s="2"/>
      </tp>
      <tp t="s">
        <v>#N/A Requesting Data...3839244773</v>
        <stp/>
        <stp>BDP|8691457008188437872</stp>
        <tr r="G587" s="2"/>
      </tp>
      <tp t="s">
        <v>#N/A Requesting Data...3467480057</v>
        <stp/>
        <stp>BDP|8221830494072976744</stp>
        <tr r="J12" s="2"/>
      </tp>
      <tp t="s">
        <v>#N/A Requesting Data...3369046738</v>
        <stp/>
        <stp>BDP|5186582746049390142</stp>
        <tr r="H425" s="2"/>
      </tp>
      <tp t="s">
        <v>#N/A Requesting Data...3075418176</v>
        <stp/>
        <stp>BDP|8194282409031896703</stp>
        <tr r="R2279" s="2"/>
      </tp>
      <tp t="s">
        <v>#N/A Requesting Data...3023929455</v>
        <stp/>
        <stp>BDP|7916040657646758853</stp>
        <tr r="O1281" s="2"/>
      </tp>
      <tp t="s">
        <v>#N/A Requesting Data...4149144716</v>
        <stp/>
        <stp>BDP|9499273726827450296</stp>
        <tr r="F350" s="2"/>
      </tp>
      <tp t="s">
        <v>#N/A Requesting Data...3019078496</v>
        <stp/>
        <stp>BDP|8258212630630363586</stp>
        <tr r="R2233" s="2"/>
      </tp>
      <tp t="s">
        <v>#N/A Requesting Data...3039214792</v>
        <stp/>
        <stp>BDP|7796591834238082523</stp>
        <tr r="D1368" s="2"/>
      </tp>
      <tp t="b">
        <v>0</v>
        <stp/>
        <stp>BDS|9098285219143981507</stp>
        <tr r="I710" s="2"/>
      </tp>
      <tp t="s">
        <v>#N/A Requesting Data...4146354522</v>
        <stp/>
        <stp>BDP|8893348775907501748</stp>
        <tr r="A424" s="2"/>
      </tp>
      <tp t="s">
        <v>#N/A Requesting Data...3721722304</v>
        <stp/>
        <stp>BDP|3318212700819298482</stp>
        <tr r="O2019" s="2"/>
      </tp>
      <tp t="s">
        <v>#N/A Requesting Data...4084215806</v>
        <stp/>
        <stp>BDP|9158005816544776082</stp>
        <tr r="S2253" s="2"/>
      </tp>
      <tp t="s">
        <v>#N/A Requesting Data...2695794758</v>
        <stp/>
        <stp>BDP|9457783839482409392</stp>
        <tr r="R516" s="2"/>
      </tp>
      <tp t="s">
        <v>#N/A Requesting Data...3673457213</v>
        <stp/>
        <stp>BDP|4557263465595632980</stp>
        <tr r="H1606" s="2"/>
      </tp>
      <tp t="s">
        <v>#N/A Requesting Data...3086477309</v>
        <stp/>
        <stp>BDP|6729487139474736992</stp>
        <tr r="G915" s="2"/>
      </tp>
      <tp t="s">
        <v>#N/A Requesting Data...3903831058</v>
        <stp/>
        <stp>BDP|6519251936422959971</stp>
        <tr r="J1167" s="2"/>
      </tp>
      <tp t="s">
        <v>#N/A Requesting Data...3364500349</v>
        <stp/>
        <stp>BDP|9481249656195945774</stp>
        <tr r="G15" s="2"/>
      </tp>
      <tp t="s">
        <v>#N/A Requesting Data...2678195707</v>
        <stp/>
        <stp>BDP|2361297091603424676</stp>
        <tr r="E874" s="2"/>
      </tp>
      <tp t="s">
        <v>#N/A Requesting Data...4181387596</v>
        <stp/>
        <stp>BDP|4914436061172156820</stp>
        <tr r="E1608" s="2"/>
      </tp>
      <tp t="s">
        <v>#N/A Requesting Data...3192684405</v>
        <stp/>
        <stp>BDP|8827011363847605548</stp>
        <tr r="O1462" s="2"/>
      </tp>
      <tp t="s">
        <v>#N/A Requesting Data...3207749859</v>
        <stp/>
        <stp>BDP|8132923479269741355</stp>
        <tr r="F781" s="2"/>
      </tp>
      <tp t="s">
        <v>#N/A Requesting Data...3709208016</v>
        <stp/>
        <stp>BDP|9087504506809710996</stp>
        <tr r="F736" s="2"/>
      </tp>
      <tp t="s">
        <v>#N/A Requesting Data...3595719000</v>
        <stp/>
        <stp>BDP|7918848358985900343</stp>
        <tr r="J1495" s="2"/>
      </tp>
      <tp t="s">
        <v>#N/A Requesting Data...2573474228</v>
        <stp/>
        <stp>BDP|2717140957303443985</stp>
        <tr r="N827" s="2"/>
      </tp>
      <tp t="s">
        <v>#N/A Requesting Data...2912734981</v>
        <stp/>
        <stp>BDP|9757643309795550677</stp>
        <tr r="O1671" s="2"/>
      </tp>
      <tp t="s">
        <v>#N/A Requesting Data...3948371541</v>
        <stp/>
        <stp>BDP|2269222685371416595</stp>
        <tr r="D1547" s="2"/>
      </tp>
      <tp t="s">
        <v>#N/A Requesting Data...3257043621</v>
        <stp/>
        <stp>BDP|6586907825901177092</stp>
        <tr r="Q1872" s="2"/>
      </tp>
      <tp t="s">
        <v>#N/A Requesting Data...3225145190</v>
        <stp/>
        <stp>BDP|7815372154328272515</stp>
        <tr r="O1070" s="2"/>
      </tp>
      <tp t="s">
        <v>#N/A Requesting Data...2994633594</v>
        <stp/>
        <stp>BDP|3898093566799781087</stp>
        <tr r="A2203" s="2"/>
      </tp>
      <tp t="s">
        <v>#N/A Requesting Data...4093810582</v>
        <stp/>
        <stp>BDP|7649875018504179601</stp>
        <tr r="N116" s="2"/>
      </tp>
      <tp t="s">
        <v>#N/A Requesting Data...4271916096</v>
        <stp/>
        <stp>BDP|7437511293876689180</stp>
        <tr r="J186" s="2"/>
      </tp>
      <tp t="s">
        <v>#N/A Requesting Data...4046292331</v>
        <stp/>
        <stp>BDP|9993298409256889199</stp>
        <tr r="S212" s="2"/>
      </tp>
      <tp t="s">
        <v>#N/A Requesting Data...2516027826</v>
        <stp/>
        <stp>BDP|3922722182354461450</stp>
        <tr r="M672" s="2"/>
      </tp>
      <tp t="s">
        <v>#N/A Requesting Data...3506348388</v>
        <stp/>
        <stp>BDP|5522978748632197630</stp>
        <tr r="Q315" s="2"/>
      </tp>
      <tp t="s">
        <v>#N/A Requesting Data...2695727549</v>
        <stp/>
        <stp>BDP|5892101110919313035</stp>
        <tr r="C88" s="2"/>
      </tp>
      <tp t="s">
        <v>#N/A Requesting Data...3045346848</v>
        <stp/>
        <stp>BDP|7361683489310915532</stp>
        <tr r="P1643" s="2"/>
      </tp>
      <tp t="s">
        <v>#N/A Requesting Data...3857035820</v>
        <stp/>
        <stp>BDP|4465301642027642886</stp>
        <tr r="O2231" s="2"/>
      </tp>
      <tp t="s">
        <v>#N/A Requesting Data...3037051682</v>
        <stp/>
        <stp>BDP|6165844161023425785</stp>
        <tr r="A1865" s="2"/>
      </tp>
      <tp t="s">
        <v>#N/A Requesting Data...4256017286</v>
        <stp/>
        <stp>BDP|8882809390720350536</stp>
        <tr r="Q1806" s="2"/>
      </tp>
      <tp t="s">
        <v>#N/A Requesting Data...4031411155</v>
        <stp/>
        <stp>BDP|4130920328951088237</stp>
        <tr r="S68" s="2"/>
      </tp>
      <tp t="s">
        <v>#N/A Requesting Data...2792798324</v>
        <stp/>
        <stp>BDP|7980133697892501106</stp>
        <tr r="G678" s="2"/>
      </tp>
      <tp t="s">
        <v>#N/A Requesting Data...2669469059</v>
        <stp/>
        <stp>BDP|2950271571938783301</stp>
        <tr r="F1583" s="2"/>
      </tp>
      <tp t="s">
        <v>#N/A Requesting Data...4276336057</v>
        <stp/>
        <stp>BDP|8667588579510894676</stp>
        <tr r="Q2125" s="2"/>
      </tp>
      <tp t="b">
        <v>0</v>
        <stp/>
        <stp>BDS|3275995640161017335</stp>
        <tr r="I32" s="2"/>
      </tp>
      <tp t="s">
        <v>#N/A Requesting Data...2642345754</v>
        <stp/>
        <stp>BDP|2078008149123996983</stp>
        <tr r="O593" s="2"/>
      </tp>
      <tp t="s">
        <v>#N/A Requesting Data...3645970128</v>
        <stp/>
        <stp>BDP|2959973992296706830</stp>
        <tr r="P2501" s="2"/>
      </tp>
      <tp t="b">
        <v>0</v>
        <stp/>
        <stp>BDS|7428581736534749956</stp>
        <tr r="I2264" s="2"/>
      </tp>
      <tp t="s">
        <v>#N/A Requesting Data...4055603510</v>
        <stp/>
        <stp>BDP|1993802267914702715</stp>
        <tr r="J1128" s="2"/>
      </tp>
      <tp t="s">
        <v>#N/A Requesting Data...3008605439</v>
        <stp/>
        <stp>BDP|4477188955415651979</stp>
        <tr r="J2273" s="2"/>
      </tp>
      <tp t="b">
        <v>0</v>
        <stp/>
        <stp>BDS|7104261217479908111</stp>
        <tr r="I1177" s="2"/>
      </tp>
      <tp t="s">
        <v>#N/A Requesting Data...3638959628</v>
        <stp/>
        <stp>BDP|5004898355665305178</stp>
        <tr r="N772" s="2"/>
      </tp>
      <tp t="s">
        <v>#N/A Requesting Data...4100899802</v>
        <stp/>
        <stp>BDP|1637587296101752076</stp>
        <tr r="E1673" s="2"/>
      </tp>
      <tp t="s">
        <v>#N/A Requesting Data...4084727304</v>
        <stp/>
        <stp>BDP|5522952049270537447</stp>
        <tr r="N65" s="2"/>
      </tp>
      <tp t="s">
        <v>#N/A Requesting Data...2697501399</v>
        <stp/>
        <stp>BDP|8406133047491903011</stp>
        <tr r="S1781" s="2"/>
      </tp>
      <tp t="s">
        <v>#N/A Requesting Data...3109696879</v>
        <stp/>
        <stp>BDP|1176991857627247652</stp>
        <tr r="H1329" s="2"/>
      </tp>
      <tp t="s">
        <v>#N/A Requesting Data...3801824159</v>
        <stp/>
        <stp>BDP|9697580853262152757</stp>
        <tr r="M2393" s="2"/>
      </tp>
      <tp t="s">
        <v>#N/A Requesting Data...3367894171</v>
        <stp/>
        <stp>BDP|3585150816827609898</stp>
        <tr r="Q672" s="2"/>
      </tp>
      <tp t="s">
        <v>#N/A Requesting Data...3480879269</v>
        <stp/>
        <stp>BDP|3429050279809634171</stp>
        <tr r="H1531" s="2"/>
      </tp>
      <tp t="s">
        <v>#N/A Requesting Data...2610225471</v>
        <stp/>
        <stp>BDP|3822184615027498884</stp>
        <tr r="J1421" s="2"/>
      </tp>
      <tp t="s">
        <v>#N/A Requesting Data...4241360531</v>
        <stp/>
        <stp>BDP|9479797136976231701</stp>
        <tr r="C173" s="2"/>
      </tp>
      <tp t="s">
        <v>#N/A Requesting Data...3171147501</v>
        <stp/>
        <stp>BDP|3022763114098222198</stp>
        <tr r="J1671" s="2"/>
      </tp>
      <tp t="s">
        <v>#N/A Requesting Data...3839213549</v>
        <stp/>
        <stp>BDP|3545379134096624994</stp>
        <tr r="F325" s="2"/>
      </tp>
      <tp t="s">
        <v>#N/A Requesting Data...3316073414</v>
        <stp/>
        <stp>BDP|2666019013757563884</stp>
        <tr r="C1936" s="2"/>
      </tp>
      <tp t="s">
        <v>#N/A Requesting Data...2870946182</v>
        <stp/>
        <stp>BDP|3980077541589435223</stp>
        <tr r="D1482" s="2"/>
      </tp>
      <tp t="s">
        <v>#N/A Requesting Data...3299665237</v>
        <stp/>
        <stp>BDP|9227752996138927319</stp>
        <tr r="Q1802" s="2"/>
      </tp>
      <tp t="s">
        <v>#N/A Requesting Data...3857006875</v>
        <stp/>
        <stp>BDP|4443066729779514379</stp>
        <tr r="R1138" s="2"/>
      </tp>
      <tp t="s">
        <v>#N/A Requesting Data...3627464121</v>
        <stp/>
        <stp>BDP|9782097330313372546</stp>
        <tr r="S916" s="2"/>
      </tp>
      <tp t="s">
        <v>#N/A Requesting Data...3451345183</v>
        <stp/>
        <stp>BDP|5316279054236159882</stp>
        <tr r="Q432" s="2"/>
      </tp>
      <tp t="s">
        <v>#N/A Requesting Data...2596326650</v>
        <stp/>
        <stp>BDP|1267448966057850816</stp>
        <tr r="M1013" s="2"/>
      </tp>
      <tp t="s">
        <v>#N/A Requesting Data...4032198926</v>
        <stp/>
        <stp>BDP|2559703994910105093</stp>
        <tr r="O771" s="2"/>
      </tp>
      <tp t="s">
        <v>#N/A Requesting Data...2726580171</v>
        <stp/>
        <stp>BDP|3336463988265178659</stp>
        <tr r="E160" s="2"/>
      </tp>
      <tp t="s">
        <v>#N/A Requesting Data...2681997501</v>
        <stp/>
        <stp>BDP|7040937649715694351</stp>
        <tr r="A616" s="2"/>
      </tp>
      <tp t="s">
        <v>#N/A Requesting Data...3040551661</v>
        <stp/>
        <stp>BDP|9579043806935881069</stp>
        <tr r="H2109" s="2"/>
      </tp>
      <tp t="s">
        <v>#N/A Requesting Data...2654958157</v>
        <stp/>
        <stp>BDP|8129942989926728327</stp>
        <tr r="H326" s="2"/>
      </tp>
      <tp t="s">
        <v>#N/A Requesting Data...3877902300</v>
        <stp/>
        <stp>BDP|4502716339458640429</stp>
        <tr r="E1530" s="2"/>
      </tp>
      <tp t="s">
        <v>#N/A Requesting Data...4169515429</v>
        <stp/>
        <stp>BDP|7020450543928915365</stp>
        <tr r="M2434" s="2"/>
      </tp>
      <tp t="s">
        <v>#N/A Requesting Data...3391041912</v>
        <stp/>
        <stp>BDP|8877971236266230828</stp>
        <tr r="M1887" s="2"/>
      </tp>
      <tp t="s">
        <v>#N/A Requesting Data...4164428950</v>
        <stp/>
        <stp>BDP|4100694983014525279</stp>
        <tr r="E1972" s="2"/>
      </tp>
      <tp t="s">
        <v>#N/A Requesting Data...2763017518</v>
        <stp/>
        <stp>BDP|3810216558798062089</stp>
        <tr r="T2052" s="2"/>
      </tp>
      <tp t="s">
        <v>#N/A Requesting Data...3099785235</v>
        <stp/>
        <stp>BDP|8000476248090001469</stp>
        <tr r="S464" s="2"/>
      </tp>
      <tp t="s">
        <v>#N/A Requesting Data...4282303994</v>
        <stp/>
        <stp>BDP|6294963714230826214</stp>
        <tr r="H758" s="2"/>
      </tp>
      <tp t="s">
        <v>#N/A Requesting Data...3362102047</v>
        <stp/>
        <stp>BDP|7305649694656917230</stp>
        <tr r="K512" s="2"/>
      </tp>
      <tp t="s">
        <v>#N/A Requesting Data...2823013209</v>
        <stp/>
        <stp>BDP|2731832779479493802</stp>
        <tr r="J541" s="2"/>
      </tp>
      <tp t="s">
        <v>#N/A Requesting Data...2751095181</v>
        <stp/>
        <stp>BDP|6787248171628897731</stp>
        <tr r="J1533" s="2"/>
      </tp>
      <tp t="s">
        <v>#N/A Requesting Data...2640432118</v>
        <stp/>
        <stp>BDP|8913286270876805701</stp>
        <tr r="T1137" s="2"/>
      </tp>
      <tp t="s">
        <v>#N/A Requesting Data...3829025952</v>
        <stp/>
        <stp>BDP|6320446098963608403</stp>
        <tr r="E520" s="2"/>
      </tp>
      <tp t="s">
        <v>#N/A Requesting Data...2843727703</v>
        <stp/>
        <stp>BDP|1367606637231866955</stp>
        <tr r="M647" s="2"/>
      </tp>
      <tp t="s">
        <v>#N/A Requesting Data...3171788072</v>
        <stp/>
        <stp>BDP|4691770586842617581</stp>
        <tr r="H2368" s="2"/>
      </tp>
      <tp t="s">
        <v>#N/A Requesting Data...3586134044</v>
        <stp/>
        <stp>BDP|8050383980478010712</stp>
        <tr r="C374" s="2"/>
      </tp>
      <tp t="s">
        <v>#N/A Requesting Data...3662929334</v>
        <stp/>
        <stp>BDP|3939915951496043507</stp>
        <tr r="N2368" s="2"/>
      </tp>
      <tp t="s">
        <v>#N/A Requesting Data...3397353782</v>
        <stp/>
        <stp>BDP|4710358902162089990</stp>
        <tr r="G2365" s="2"/>
      </tp>
      <tp t="s">
        <v>#N/A Requesting Data...3493293411</v>
        <stp/>
        <stp>BDP|4366052395079952831</stp>
        <tr r="A1439" s="2"/>
      </tp>
      <tp t="b">
        <v>0</v>
        <stp/>
        <stp>BDS|9333315148287232514</stp>
        <tr r="I1163" s="2"/>
      </tp>
      <tp t="s">
        <v>#N/A Requesting Data...3832901468</v>
        <stp/>
        <stp>BDP|8040910389776046314</stp>
        <tr r="R408" s="2"/>
      </tp>
      <tp t="b">
        <v>0</v>
        <stp/>
        <stp>BDS|9694215490069894765</stp>
        <tr r="I1432" s="2"/>
      </tp>
      <tp t="s">
        <v>#N/A Requesting Data...3788341277</v>
        <stp/>
        <stp>BDP|5652893712883594314</stp>
        <tr r="J2026" s="2"/>
      </tp>
      <tp t="s">
        <v>#N/A Requesting Data...4009983264</v>
        <stp/>
        <stp>BDP|7079295395571606134</stp>
        <tr r="S1555" s="2"/>
      </tp>
      <tp t="s">
        <v>#N/A Requesting Data...2795187573</v>
        <stp/>
        <stp>BDP|4875072397425334420</stp>
        <tr r="J505" s="2"/>
      </tp>
      <tp t="s">
        <v>#N/A Requesting Data...2857385487</v>
        <stp/>
        <stp>BDP|5269839150617984313</stp>
        <tr r="F1561" s="2"/>
      </tp>
      <tp t="s">
        <v>#N/A Requesting Data...3874790601</v>
        <stp/>
        <stp>BDP|2223656828573664905</stp>
        <tr r="G1175" s="2"/>
      </tp>
      <tp t="s">
        <v>#N/A Requesting Data...2865038852</v>
        <stp/>
        <stp>BDP|2264527208143779865</stp>
        <tr r="S1513" s="2"/>
      </tp>
      <tp t="s">
        <v>#N/A Requesting Data...4011306644</v>
        <stp/>
        <stp>BDP|7907439027969455400</stp>
        <tr r="D1040" s="2"/>
      </tp>
      <tp t="s">
        <v>#N/A Requesting Data...3051428777</v>
        <stp/>
        <stp>BDP|2895612980194077408</stp>
        <tr r="A533" s="2"/>
      </tp>
      <tp t="s">
        <v>#N/A Requesting Data...2994185871</v>
        <stp/>
        <stp>BDP|6338590894493259556</stp>
        <tr r="F786" s="2"/>
      </tp>
      <tp t="s">
        <v>#N/A Requesting Data...3109455858</v>
        <stp/>
        <stp>BDP|3883520562828605474</stp>
        <tr r="H2190" s="2"/>
      </tp>
      <tp t="s">
        <v>#N/A Requesting Data...3981907670</v>
        <stp/>
        <stp>BDP|4349561887865306089</stp>
        <tr r="C2385" s="2"/>
      </tp>
      <tp t="s">
        <v>#N/A Requesting Data...3665139197</v>
        <stp/>
        <stp>BDP|6442587235349355531</stp>
        <tr r="D2426" s="2"/>
      </tp>
      <tp t="s">
        <v>#N/A Requesting Data...3605417586</v>
        <stp/>
        <stp>BDP|6462780348039901042</stp>
        <tr r="R1192" s="2"/>
      </tp>
      <tp t="s">
        <v>#N/A Requesting Data...2924360509</v>
        <stp/>
        <stp>BDP|2263970321252941747</stp>
        <tr r="T2504" s="2"/>
      </tp>
      <tp t="b">
        <v>0</v>
        <stp/>
        <stp>BDS|7827383354235521885</stp>
        <tr r="I148" s="2"/>
      </tp>
      <tp t="s">
        <v>#N/A Requesting Data...3265316246</v>
        <stp/>
        <stp>BDP|7359340353634418995</stp>
        <tr r="J1659" s="2"/>
      </tp>
      <tp t="s">
        <v>#N/A Requesting Data...4157664160</v>
        <stp/>
        <stp>BDP|8460650901123969106</stp>
        <tr r="F1343" s="2"/>
      </tp>
      <tp t="s">
        <v>#N/A Requesting Data...4073133891</v>
        <stp/>
        <stp>BDP|6003596580992613569</stp>
        <tr r="H1195" s="2"/>
      </tp>
      <tp t="s">
        <v>#N/A Requesting Data...3824920056</v>
        <stp/>
        <stp>BDP|1513983206296355212</stp>
        <tr r="H1361" s="2"/>
      </tp>
      <tp t="s">
        <v>#N/A Requesting Data...2745448956</v>
        <stp/>
        <stp>BDP|9624134479012105140</stp>
        <tr r="S2012" s="2"/>
      </tp>
      <tp t="s">
        <v>#N/A Requesting Data...3896285968</v>
        <stp/>
        <stp>BDP|4747707478441121973</stp>
        <tr r="K2395" s="2"/>
      </tp>
      <tp t="s">
        <v>#N/A Requesting Data...3014433775</v>
        <stp/>
        <stp>BDP|7356328285920967044</stp>
        <tr r="R86" s="2"/>
      </tp>
      <tp t="s">
        <v>#N/A Requesting Data...3544671738</v>
        <stp/>
        <stp>BDP|9248192316813611629</stp>
        <tr r="R1208" s="2"/>
      </tp>
      <tp t="s">
        <v>#N/A Requesting Data...3128004303</v>
        <stp/>
        <stp>BDP|8998584644785352086</stp>
        <tr r="J2380" s="2"/>
      </tp>
      <tp t="s">
        <v>#N/A Requesting Data...4286972776</v>
        <stp/>
        <stp>BDP|4246616459913376875</stp>
        <tr r="J1063" s="2"/>
      </tp>
      <tp t="s">
        <v>#N/A Requesting Data...3971230472</v>
        <stp/>
        <stp>BDP|9736636227645537489</stp>
        <tr r="M591" s="2"/>
      </tp>
      <tp t="s">
        <v>#N/A Requesting Data...4245124953</v>
        <stp/>
        <stp>BDP|8908056339070972728</stp>
        <tr r="A2066" s="2"/>
      </tp>
      <tp t="s">
        <v>#N/A Requesting Data...2837134080</v>
        <stp/>
        <stp>BDP|8152373969926760760</stp>
        <tr r="M1491" s="2"/>
      </tp>
      <tp t="s">
        <v>#N/A Requesting Data...3139178838</v>
        <stp/>
        <stp>BDP|1335187521027047948</stp>
        <tr r="F129" s="2"/>
      </tp>
      <tp t="s">
        <v>#N/A Requesting Data...3538210835</v>
        <stp/>
        <stp>BDP|8620835000245882935</stp>
        <tr r="R819" s="2"/>
      </tp>
      <tp t="s">
        <v>#N/A Requesting Data...3806501534</v>
        <stp/>
        <stp>BDP|9619889070363973994</stp>
        <tr r="G1803" s="2"/>
      </tp>
      <tp t="s">
        <v>#N/A Requesting Data...2986636749</v>
        <stp/>
        <stp>BDP|5897843564164431323</stp>
        <tr r="Q1310" s="2"/>
      </tp>
      <tp t="s">
        <v>#N/A Requesting Data...4294900819</v>
        <stp/>
        <stp>BDP|9928725234286372729</stp>
        <tr r="P1051" s="2"/>
      </tp>
      <tp t="s">
        <v>#N/A Requesting Data...3965100148</v>
        <stp/>
        <stp>BDP|2307291199902454796</stp>
        <tr r="A113" s="2"/>
      </tp>
      <tp t="s">
        <v>#N/A Requesting Data...2864212549</v>
        <stp/>
        <stp>BDP|2504148621338942574</stp>
        <tr r="D1712" s="2"/>
      </tp>
      <tp t="s">
        <v>#N/A Requesting Data...3807812826</v>
        <stp/>
        <stp>BDP|5615588842141326911</stp>
        <tr r="T2415" s="2"/>
      </tp>
      <tp t="s">
        <v>#N/A Requesting Data...4252762738</v>
        <stp/>
        <stp>BDP|4860056896781548008</stp>
        <tr r="A294" s="2"/>
      </tp>
      <tp t="s">
        <v>#N/A Requesting Data...3346662190</v>
        <stp/>
        <stp>BDP|3912544627179765138</stp>
        <tr r="G1335" s="2"/>
      </tp>
      <tp t="s">
        <v>#N/A Requesting Data...3403771368</v>
        <stp/>
        <stp>BDP|5393524219555652807</stp>
        <tr r="D2495" s="2"/>
      </tp>
      <tp t="s">
        <v>#N/A Requesting Data...4027525181</v>
        <stp/>
        <stp>BDP|6903322928698592387</stp>
        <tr r="T2055" s="2"/>
      </tp>
      <tp t="s">
        <v>#N/A Requesting Data...3626283054</v>
        <stp/>
        <stp>BDP|1796830959506737645</stp>
        <tr r="K1989" s="2"/>
      </tp>
      <tp t="s">
        <v>#N/A Requesting Data...3384793374</v>
        <stp/>
        <stp>BDP|2100316586227903219</stp>
        <tr r="A1655" s="2"/>
      </tp>
      <tp t="s">
        <v>#N/A Requesting Data...3688193535</v>
        <stp/>
        <stp>BDP|5233908721465547786</stp>
        <tr r="J453" s="2"/>
      </tp>
      <tp t="s">
        <v>#N/A Requesting Data...3638031626</v>
        <stp/>
        <stp>BDP|7504703099502483762</stp>
        <tr r="K496" s="2"/>
      </tp>
      <tp t="s">
        <v>#N/A Requesting Data...3729192339</v>
        <stp/>
        <stp>BDP|9245171243467946719</stp>
        <tr r="J74" s="2"/>
      </tp>
      <tp t="s">
        <v>#N/A Requesting Data...3710983273</v>
        <stp/>
        <stp>BDP|3409356005275290981</stp>
        <tr r="D2160" s="2"/>
      </tp>
      <tp t="s">
        <v>#N/A Requesting Data...2926891326</v>
        <stp/>
        <stp>BDP|9378238129272416730</stp>
        <tr r="A1591" s="2"/>
      </tp>
      <tp t="s">
        <v>#N/A Requesting Data...4289641190</v>
        <stp/>
        <stp>BDP|8002399816984799265</stp>
        <tr r="D164" s="2"/>
      </tp>
      <tp t="s">
        <v>#N/A Requesting Data...4158123248</v>
        <stp/>
        <stp>BDP|9340955369872526844</stp>
        <tr r="N2323" s="2"/>
      </tp>
      <tp t="s">
        <v>#N/A Requesting Data...3696072985</v>
        <stp/>
        <stp>BDP|5441187182889055901</stp>
        <tr r="E2415" s="2"/>
      </tp>
      <tp t="s">
        <v>#N/A Requesting Data...3280834904</v>
        <stp/>
        <stp>BDP|2096250017389827447</stp>
        <tr r="G2483" s="2"/>
      </tp>
      <tp t="s">
        <v>#N/A Requesting Data...3300644117</v>
        <stp/>
        <stp>BDP|7898850957316129057</stp>
        <tr r="K371" s="2"/>
      </tp>
      <tp t="s">
        <v>#N/A Requesting Data...3903667261</v>
        <stp/>
        <stp>BDP|3089430320788906141</stp>
        <tr r="D917" s="2"/>
      </tp>
      <tp t="s">
        <v>#N/A Requesting Data...3038831286</v>
        <stp/>
        <stp>BDP|4143926133064890665</stp>
        <tr r="O1157" s="2"/>
      </tp>
      <tp t="s">
        <v>#N/A Requesting Data...4115217140</v>
        <stp/>
        <stp>BDP|4331897108868530891</stp>
        <tr r="K163" s="2"/>
      </tp>
      <tp t="b">
        <v>0</v>
        <stp/>
        <stp>BDS|8083824706628844423</stp>
        <tr r="I1964" s="2"/>
      </tp>
      <tp t="s">
        <v>#N/A Requesting Data...3181400285</v>
        <stp/>
        <stp>BDP|9478689070162536672</stp>
        <tr r="A542" s="2"/>
      </tp>
      <tp t="s">
        <v>#N/A Requesting Data...3441044395</v>
        <stp/>
        <stp>BDP|5573508848688139024</stp>
        <tr r="N1344" s="2"/>
      </tp>
      <tp t="s">
        <v>#N/A Requesting Data...2937216395</v>
        <stp/>
        <stp>BDP|8773060138734476336</stp>
        <tr r="P276" s="2"/>
      </tp>
      <tp t="s">
        <v>#N/A Requesting Data...3408568443</v>
        <stp/>
        <stp>BDP|8031144315620911461</stp>
        <tr r="F1029" s="2"/>
      </tp>
      <tp t="s">
        <v>#N/A Requesting Data...4157166171</v>
        <stp/>
        <stp>BDP|4628073707441018985</stp>
        <tr r="H1319" s="2"/>
      </tp>
      <tp t="s">
        <v>#N/A Requesting Data...4251170262</v>
        <stp/>
        <stp>BDP|1461797077584176952</stp>
        <tr r="K2277" s="2"/>
      </tp>
      <tp t="s">
        <v>#N/A Requesting Data...4127686921</v>
        <stp/>
        <stp>BDP|2353025683131432782</stp>
        <tr r="O731" s="2"/>
      </tp>
      <tp t="s">
        <v>#N/A Requesting Data...3375515744</v>
        <stp/>
        <stp>BDP|1940234179828904048</stp>
        <tr r="K820" s="2"/>
      </tp>
      <tp t="s">
        <v>#N/A Requesting Data...4113562061</v>
        <stp/>
        <stp>BDP|9466443695719320180</stp>
        <tr r="K869" s="2"/>
      </tp>
      <tp t="s">
        <v>#N/A Requesting Data...3741669501</v>
        <stp/>
        <stp>BDP|2601263269609640311</stp>
        <tr r="Q2015" s="2"/>
      </tp>
      <tp t="s">
        <v>#N/A Requesting Data...2848695506</v>
        <stp/>
        <stp>BDP|9697794937073155278</stp>
        <tr r="A1232" s="2"/>
      </tp>
      <tp t="s">
        <v>#N/A Requesting Data...3235737884</v>
        <stp/>
        <stp>BDP|3028915016477937000</stp>
        <tr r="R1638" s="2"/>
      </tp>
      <tp t="b">
        <v>0</v>
        <stp/>
        <stp>BDS|6688604408419287523</stp>
        <tr r="I1242" s="2"/>
      </tp>
      <tp t="s">
        <v>#N/A Requesting Data...3752067490</v>
        <stp/>
        <stp>BDP|9887634417901168333</stp>
        <tr r="H1349" s="2"/>
      </tp>
      <tp t="s">
        <v>#N/A Requesting Data...3446089706</v>
        <stp/>
        <stp>BDP|5666821319571714140</stp>
        <tr r="K1806" s="2"/>
      </tp>
      <tp t="s">
        <v>#N/A Requesting Data...3165491483</v>
        <stp/>
        <stp>BDP|4480095511278655149</stp>
        <tr r="S2308" s="2"/>
      </tp>
      <tp t="s">
        <v>#N/A Requesting Data...3070513215</v>
        <stp/>
        <stp>BDP|9441290568009876830</stp>
        <tr r="F1157" s="2"/>
      </tp>
      <tp t="s">
        <v>#N/A Requesting Data...3139641469</v>
        <stp/>
        <stp>BDP|6026195182731329261</stp>
        <tr r="H11" s="2"/>
      </tp>
      <tp t="s">
        <v>#N/A Requesting Data...4139692582</v>
        <stp/>
        <stp>BDP|5562640873381427985</stp>
        <tr r="K821" s="2"/>
      </tp>
      <tp t="s">
        <v>#N/A Requesting Data...2974106444</v>
        <stp/>
        <stp>BDP|6592185137041782936</stp>
        <tr r="K1493" s="2"/>
      </tp>
      <tp t="s">
        <v>#N/A Requesting Data...2902145343</v>
        <stp/>
        <stp>BDP|8354270429265450170</stp>
        <tr r="C386" s="2"/>
      </tp>
      <tp t="s">
        <v>#N/A Requesting Data...3427897974</v>
        <stp/>
        <stp>BDP|3891924226425431168</stp>
        <tr r="G789" s="2"/>
      </tp>
      <tp t="s">
        <v>#N/A Requesting Data...3686236184</v>
        <stp/>
        <stp>BDP|7871910713200176350</stp>
        <tr r="A382" s="2"/>
      </tp>
      <tp t="s">
        <v>#N/A Requesting Data...3944344823</v>
        <stp/>
        <stp>BDP|8622476436347841411</stp>
        <tr r="G1687" s="2"/>
      </tp>
      <tp t="s">
        <v>#N/A Requesting Data...3855963343</v>
        <stp/>
        <stp>BDP|8883690894248893331</stp>
        <tr r="F1216" s="2"/>
      </tp>
      <tp t="s">
        <v>#N/A Requesting Data...3786273508</v>
        <stp/>
        <stp>BDP|1111267801437842804</stp>
        <tr r="G1894" s="2"/>
      </tp>
      <tp t="b">
        <v>0</v>
        <stp/>
        <stp>BDS|3988854116716130059</stp>
        <tr r="I539" s="2"/>
      </tp>
      <tp t="s">
        <v>#N/A Requesting Data...3532593534</v>
        <stp/>
        <stp>BDP|6504591726029118452</stp>
        <tr r="S334" s="2"/>
      </tp>
      <tp t="s">
        <v>#N/A Requesting Data...4253121498</v>
        <stp/>
        <stp>BDP|8114383478031627195</stp>
        <tr r="G2472" s="2"/>
      </tp>
      <tp t="s">
        <v>#N/A Requesting Data...4220526423</v>
        <stp/>
        <stp>BDP|2016812447644000680</stp>
        <tr r="H1630" s="2"/>
      </tp>
      <tp t="b">
        <v>0</v>
        <stp/>
        <stp>BDS|5262698071438797035</stp>
        <tr r="I285" s="2"/>
      </tp>
      <tp t="b">
        <v>0</v>
        <stp/>
        <stp>BDS|2943163717678354652</stp>
        <tr r="I1572" s="2"/>
      </tp>
      <tp t="s">
        <v>#N/A Requesting Data...2972279111</v>
        <stp/>
        <stp>BDP|8003579422826815535</stp>
        <tr r="A1236" s="2"/>
      </tp>
      <tp t="s">
        <v>#N/A Requesting Data...4065057618</v>
        <stp/>
        <stp>BDP|6589981834863015375</stp>
        <tr r="D1305" s="2"/>
      </tp>
      <tp t="s">
        <v>#N/A Requesting Data...3187101833</v>
        <stp/>
        <stp>BDP|5643784003867096934</stp>
        <tr r="D1520" s="2"/>
      </tp>
      <tp t="s">
        <v>#N/A Requesting Data...2972509048</v>
        <stp/>
        <stp>BDP|1272696967678111533</stp>
        <tr r="K729" s="2"/>
      </tp>
      <tp t="s">
        <v>#N/A Requesting Data...3346348092</v>
        <stp/>
        <stp>BDP|6602993997678341254</stp>
        <tr r="P1711" s="2"/>
      </tp>
      <tp t="s">
        <v>#N/A Requesting Data...3636385053</v>
        <stp/>
        <stp>BDP|5209070729212750952</stp>
        <tr r="E1491" s="2"/>
      </tp>
      <tp t="s">
        <v>#N/A Requesting Data...3521037920</v>
        <stp/>
        <stp>BDP|5776138099181584063</stp>
        <tr r="C1724" s="2"/>
      </tp>
      <tp t="s">
        <v>#N/A Requesting Data...3856489631</v>
        <stp/>
        <stp>BDP|9392889390221658532</stp>
        <tr r="H1403" s="2"/>
      </tp>
      <tp t="s">
        <v>#N/A Requesting Data...3828003362</v>
        <stp/>
        <stp>BDP|7013324697220375184</stp>
        <tr r="N1601" s="2"/>
      </tp>
      <tp t="s">
        <v>#N/A Requesting Data...3992995744</v>
        <stp/>
        <stp>BDP|2074931102281985668</stp>
        <tr r="Q571" s="2"/>
      </tp>
      <tp t="s">
        <v>#N/A Requesting Data...3208567021</v>
        <stp/>
        <stp>BDP|4587504881262292783</stp>
        <tr r="S1210" s="2"/>
      </tp>
      <tp t="s">
        <v>#N/A Requesting Data...3270048559</v>
        <stp/>
        <stp>BDP|8245963628407001824</stp>
        <tr r="G70" s="2"/>
      </tp>
      <tp t="s">
        <v>#N/A Requesting Data...4059972502</v>
        <stp/>
        <stp>BDP|8508448384301844938</stp>
        <tr r="R1094" s="2"/>
      </tp>
      <tp t="s">
        <v>#N/A Requesting Data...3974488162</v>
        <stp/>
        <stp>BDP|5138014438319524331</stp>
        <tr r="E1797" s="2"/>
      </tp>
      <tp t="s">
        <v>#N/A Requesting Data...3150039649</v>
        <stp/>
        <stp>BDP|5231306119629708224</stp>
        <tr r="A2314" s="2"/>
      </tp>
      <tp t="s">
        <v>#N/A Requesting Data...3641673008</v>
        <stp/>
        <stp>BDP|6164245114588947165</stp>
        <tr r="M2489" s="2"/>
      </tp>
      <tp t="b">
        <v>0</v>
        <stp/>
        <stp>BDS|5046050325279939271</stp>
        <tr r="I318" s="2"/>
      </tp>
      <tp t="s">
        <v>#N/A Requesting Data...3928384122</v>
        <stp/>
        <stp>BDP|7531322138483628871</stp>
        <tr r="E1165" s="2"/>
      </tp>
      <tp t="s">
        <v>#N/A Requesting Data...4129503878</v>
        <stp/>
        <stp>BDP|3889216879169804369</stp>
        <tr r="N1797" s="2"/>
      </tp>
      <tp t="s">
        <v>#N/A Requesting Data...3321264995</v>
        <stp/>
        <stp>BDP|5236686691445778320</stp>
        <tr r="E816" s="2"/>
      </tp>
      <tp t="b">
        <v>0</v>
        <stp/>
        <stp>BDS|9502593837130361361</stp>
        <tr r="I1634" s="2"/>
      </tp>
      <tp t="s">
        <v>#N/A Requesting Data...3968502832</v>
        <stp/>
        <stp>BDP|1439290480050439769</stp>
        <tr r="R1799" s="2"/>
      </tp>
      <tp t="s">
        <v>#N/A Requesting Data...4146907467</v>
        <stp/>
        <stp>BDP|2920795717520139898</stp>
        <tr r="M146" s="2"/>
      </tp>
      <tp t="s">
        <v>#N/A Requesting Data...3177312584</v>
        <stp/>
        <stp>BDP|3107697180995144463</stp>
        <tr r="A431" s="2"/>
      </tp>
      <tp t="s">
        <v>#N/A Requesting Data...3367521531</v>
        <stp/>
        <stp>BDP|7467013887272493197</stp>
        <tr r="O850" s="2"/>
      </tp>
      <tp t="s">
        <v>#N/A Requesting Data...3609829894</v>
        <stp/>
        <stp>BDP|6327407196620324799</stp>
        <tr r="D1071" s="2"/>
      </tp>
      <tp t="s">
        <v>#N/A Requesting Data...3734765611</v>
        <stp/>
        <stp>BDP|7589050808849307248</stp>
        <tr r="O1864" s="2"/>
      </tp>
      <tp t="b">
        <v>0</v>
        <stp/>
        <stp>BDS|3608574769209143569</stp>
        <tr r="I512" s="2"/>
      </tp>
      <tp t="s">
        <v>#N/A Requesting Data...3121752413</v>
        <stp/>
        <stp>BDP|9690594981401581949</stp>
        <tr r="G1844" s="2"/>
      </tp>
      <tp t="s">
        <v>#N/A Requesting Data...3826729819</v>
        <stp/>
        <stp>BDP|2551196188933909422</stp>
        <tr r="T1952" s="2"/>
      </tp>
      <tp t="s">
        <v>#N/A Requesting Data...3342646785</v>
        <stp/>
        <stp>BDP|7270881314883650173</stp>
        <tr r="G2149" s="2"/>
      </tp>
      <tp t="s">
        <v>#N/A Requesting Data...4114851429</v>
        <stp/>
        <stp>BDP|1805842815273290742</stp>
        <tr r="R1492" s="2"/>
      </tp>
      <tp t="s">
        <v>#N/A Requesting Data...3618639945</v>
        <stp/>
        <stp>BDP|5354703275589094091</stp>
        <tr r="Q1859" s="2"/>
      </tp>
      <tp t="s">
        <v>#N/A Requesting Data...3317325632</v>
        <stp/>
        <stp>BDP|4123789131639724505</stp>
        <tr r="F2066" s="2"/>
      </tp>
      <tp t="s">
        <v>#N/A Requesting Data...3232840288</v>
        <stp/>
        <stp>BDP|7145173949898670662</stp>
        <tr r="M456" s="2"/>
      </tp>
      <tp t="s">
        <v>#N/A Requesting Data...4148072964</v>
        <stp/>
        <stp>BDP|2024459425510956861</stp>
        <tr r="C2272" s="2"/>
      </tp>
      <tp t="s">
        <v>#N/A Requesting Data...3352773271</v>
        <stp/>
        <stp>BDP|3386124130554933970</stp>
        <tr r="M1015" s="2"/>
      </tp>
      <tp t="s">
        <v>#N/A Requesting Data...3833304472</v>
        <stp/>
        <stp>BDP|1210895424573390432</stp>
        <tr r="N329" s="2"/>
      </tp>
      <tp t="s">
        <v>#N/A Requesting Data...3798473699</v>
        <stp/>
        <stp>BDP|8389013598824311968</stp>
        <tr r="A1581" s="2"/>
      </tp>
      <tp t="s">
        <v>#N/A Requesting Data...3171453926</v>
        <stp/>
        <stp>BDP|8429170207321920429</stp>
        <tr r="J1427" s="2"/>
      </tp>
      <tp t="s">
        <v>#N/A Requesting Data...3129793337</v>
        <stp/>
        <stp>BDP|4989754271648159032</stp>
        <tr r="G711" s="2"/>
      </tp>
      <tp t="s">
        <v>#N/A Requesting Data...3092989461</v>
        <stp/>
        <stp>BDP|7095192381572633010</stp>
        <tr r="A641" s="2"/>
      </tp>
      <tp t="s">
        <v>#N/A Requesting Data...3292983731</v>
        <stp/>
        <stp>BDP|8883574668603167491</stp>
        <tr r="C756" s="2"/>
      </tp>
      <tp t="s">
        <v>#N/A Requesting Data...3174200458</v>
        <stp/>
        <stp>BDP|1685869827713122499</stp>
        <tr r="S373" s="2"/>
      </tp>
      <tp t="s">
        <v>#N/A Requesting Data...4095577025</v>
        <stp/>
        <stp>BDP|3874041711606047828</stp>
        <tr r="N828" s="2"/>
      </tp>
      <tp t="s">
        <v>#N/A Requesting Data...3972440794</v>
        <stp/>
        <stp>BDP|7320219885181937015</stp>
        <tr r="F1883" s="2"/>
      </tp>
      <tp t="s">
        <v>#N/A Requesting Data...3555534591</v>
        <stp/>
        <stp>BDP|5110594783080003449</stp>
        <tr r="Q1865" s="2"/>
      </tp>
      <tp t="s">
        <v>#N/A Requesting Data...3587111265</v>
        <stp/>
        <stp>BDP|5182472328309908685</stp>
        <tr r="F292" s="2"/>
      </tp>
      <tp t="s">
        <v>#N/A Requesting Data...3619953443</v>
        <stp/>
        <stp>BDP|1992955524787572123</stp>
        <tr r="M769" s="2"/>
      </tp>
      <tp t="s">
        <v>#N/A Requesting Data...4023354848</v>
        <stp/>
        <stp>BDP|5051057969948575763</stp>
        <tr r="P1577" s="2"/>
      </tp>
      <tp t="s">
        <v>#N/A Requesting Data...3878791797</v>
        <stp/>
        <stp>BDP|3211849302096330184</stp>
        <tr r="A977" s="2"/>
      </tp>
      <tp t="s">
        <v>#N/A Requesting Data...3590067643</v>
        <stp/>
        <stp>BDP|5875222493642451028</stp>
        <tr r="E856" s="2"/>
      </tp>
      <tp t="s">
        <v>#N/A Requesting Data...4103419685</v>
        <stp/>
        <stp>BDP|8399703165850199585</stp>
        <tr r="M1181" s="2"/>
      </tp>
      <tp t="s">
        <v>#N/A Requesting Data...3394835327</v>
        <stp/>
        <stp>BDP|9424830078518204229</stp>
        <tr r="D2302" s="2"/>
      </tp>
      <tp t="s">
        <v>#N/A Requesting Data...3458730129</v>
        <stp/>
        <stp>BDP|2581741329199365240</stp>
        <tr r="P311" s="2"/>
      </tp>
      <tp t="s">
        <v>#N/A Requesting Data...3191013270</v>
        <stp/>
        <stp>BDP|3638429361915294884</stp>
        <tr r="D1043" s="2"/>
      </tp>
      <tp t="s">
        <v>#N/A Requesting Data...4043032941</v>
        <stp/>
        <stp>BDP|2687514558726808885</stp>
        <tr r="M1036" s="2"/>
      </tp>
      <tp t="s">
        <v>#N/A Requesting Data...3703440458</v>
        <stp/>
        <stp>BDP|9799886492653231704</stp>
        <tr r="H1777" s="2"/>
      </tp>
      <tp t="s">
        <v>#N/A Requesting Data...3818023072</v>
        <stp/>
        <stp>BDP|1489144891722997773</stp>
        <tr r="T131" s="2"/>
      </tp>
      <tp t="s">
        <v>#N/A Requesting Data...3516070594</v>
        <stp/>
        <stp>BDP|3422050491236843075</stp>
        <tr r="T1461" s="2"/>
      </tp>
      <tp t="s">
        <v>#N/A Requesting Data...3210912633</v>
        <stp/>
        <stp>BDP|8425056641002643291</stp>
        <tr r="T606" s="2"/>
      </tp>
      <tp t="s">
        <v>#N/A Requesting Data...3453084650</v>
        <stp/>
        <stp>BDP|8870093023314843252</stp>
        <tr r="G2328" s="2"/>
      </tp>
      <tp t="s">
        <v>#N/A Requesting Data...4271558119</v>
        <stp/>
        <stp>BDP|1829937871964691735</stp>
        <tr r="H2279" s="2"/>
      </tp>
      <tp t="s">
        <v>#N/A Requesting Data...3681562861</v>
        <stp/>
        <stp>BDP|6374450791111075681</stp>
        <tr r="O2250" s="2"/>
      </tp>
      <tp t="s">
        <v>#N/A Requesting Data...3683754537</v>
        <stp/>
        <stp>BDP|1549284799475208394</stp>
        <tr r="Q1828" s="2"/>
      </tp>
      <tp t="s">
        <v>#N/A Requesting Data...4212196710</v>
        <stp/>
        <stp>BDP|1766903308443190718</stp>
        <tr r="G531" s="2"/>
      </tp>
      <tp t="s">
        <v>#N/A Requesting Data...3159750364</v>
        <stp/>
        <stp>BDP|4816586615025223985</stp>
        <tr r="M2060" s="2"/>
      </tp>
      <tp t="s">
        <v>#N/A Requesting Data...3249540055</v>
        <stp/>
        <stp>BDP|7635778169613684915</stp>
        <tr r="O1663" s="2"/>
      </tp>
      <tp t="s">
        <v>#N/A Requesting Data...3434704860</v>
        <stp/>
        <stp>BDP|2883656696609799831</stp>
        <tr r="M214" s="2"/>
      </tp>
      <tp t="s">
        <v>#N/A Requesting Data...3802444942</v>
        <stp/>
        <stp>BDP|9072685087682776973</stp>
        <tr r="T2403" s="2"/>
      </tp>
      <tp t="b">
        <v>0</v>
        <stp/>
        <stp>BDS|4239063608599138125</stp>
        <tr r="I2497" s="2"/>
      </tp>
      <tp t="s">
        <v>#N/A Requesting Data...3639393185</v>
        <stp/>
        <stp>BDP|4331995731765759734</stp>
        <tr r="D1319" s="2"/>
      </tp>
      <tp t="s">
        <v>#N/A Requesting Data...3842498153</v>
        <stp/>
        <stp>BDP|3724124273579913001</stp>
        <tr r="A1367" s="2"/>
      </tp>
      <tp t="s">
        <v>#N/A Requesting Data...4087079138</v>
        <stp/>
        <stp>BDP|1431048256259938109</stp>
        <tr r="T925" s="2"/>
      </tp>
      <tp t="s">
        <v>#N/A Requesting Data...3169260352</v>
        <stp/>
        <stp>BDP|9878739750914231367</stp>
        <tr r="S1086" s="2"/>
      </tp>
      <tp t="b">
        <v>0</v>
        <stp/>
        <stp>BDS|9900823093276718200</stp>
        <tr r="I911" s="2"/>
      </tp>
      <tp t="s">
        <v>#N/A Requesting Data...3859250368</v>
        <stp/>
        <stp>BDP|2740532698436381408</stp>
        <tr r="P75" s="2"/>
      </tp>
      <tp t="s">
        <v>#N/A Requesting Data...3703894903</v>
        <stp/>
        <stp>BDP|1451637431209020190</stp>
        <tr r="O403" s="2"/>
      </tp>
      <tp t="s">
        <v>#N/A Requesting Data...3761755478</v>
        <stp/>
        <stp>BDP|1005897901647500223</stp>
        <tr r="C2387" s="2"/>
      </tp>
      <tp t="s">
        <v>#N/A Requesting Data...3305377642</v>
        <stp/>
        <stp>BDP|2876840627180162452</stp>
        <tr r="G1774" s="2"/>
      </tp>
      <tp t="s">
        <v>#N/A Requesting Data...3694766989</v>
        <stp/>
        <stp>BDP|9065560714160830151</stp>
        <tr r="D542" s="2"/>
      </tp>
      <tp t="s">
        <v>#N/A Requesting Data...3321206377</v>
        <stp/>
        <stp>BDP|1040327619888499707</stp>
        <tr r="J2030" s="2"/>
      </tp>
      <tp t="s">
        <v>#N/A Requesting Data...3668650935</v>
        <stp/>
        <stp>BDP|1671467688638669915</stp>
        <tr r="O2245" s="2"/>
      </tp>
      <tp t="s">
        <v>#N/A Requesting Data...4086167062</v>
        <stp/>
        <stp>BDP|7112752302748991409</stp>
        <tr r="H1476" s="2"/>
      </tp>
      <tp t="s">
        <v>#N/A Requesting Data...3988116572</v>
        <stp/>
        <stp>BDP|4541582261099445276</stp>
        <tr r="H985" s="2"/>
      </tp>
      <tp t="s">
        <v>#N/A Requesting Data...3403815625</v>
        <stp/>
        <stp>BDP|8286784057685081326</stp>
        <tr r="F2154" s="2"/>
      </tp>
      <tp t="b">
        <v>0</v>
        <stp/>
        <stp>BDS|7582836869827412240</stp>
        <tr r="I2238" s="2"/>
      </tp>
      <tp t="s">
        <v>#N/A Requesting Data...4194427999</v>
        <stp/>
        <stp>BDP|7847618337647284935</stp>
        <tr r="R1840" s="2"/>
      </tp>
      <tp t="s">
        <v>#N/A Requesting Data...3237160269</v>
        <stp/>
        <stp>BDP|9783682141625235238</stp>
        <tr r="O531" s="2"/>
      </tp>
      <tp t="s">
        <v>#N/A Requesting Data...3563346291</v>
        <stp/>
        <stp>BDP|2978939974115807598</stp>
        <tr r="G128" s="2"/>
      </tp>
      <tp t="s">
        <v>#N/A Requesting Data...3927194968</v>
        <stp/>
        <stp>BDP|3132971130744837111</stp>
        <tr r="D646" s="2"/>
      </tp>
      <tp t="b">
        <v>0</v>
        <stp/>
        <stp>BDS|5010621497572243485</stp>
        <tr r="I287" s="2"/>
      </tp>
      <tp t="s">
        <v>#N/A Requesting Data...3442207042</v>
        <stp/>
        <stp>BDP|5237981865464775276</stp>
        <tr r="K561" s="2"/>
      </tp>
      <tp t="s">
        <v>#N/A Requesting Data...3701190379</v>
        <stp/>
        <stp>BDP|8342622069990394441</stp>
        <tr r="O859" s="2"/>
      </tp>
      <tp t="s">
        <v>#N/A Requesting Data...3750808847</v>
        <stp/>
        <stp>BDP|5623964234300927321</stp>
        <tr r="M215" s="2"/>
      </tp>
      <tp t="s">
        <v>#N/A Requesting Data...4189422082</v>
        <stp/>
        <stp>BDP|9873097043009840852</stp>
        <tr r="A209" s="2"/>
      </tp>
      <tp t="s">
        <v>#N/A Requesting Data...4205089798</v>
        <stp/>
        <stp>BDP|2550769693367966750</stp>
        <tr r="J1641" s="2"/>
      </tp>
      <tp t="b">
        <v>0</v>
        <stp/>
        <stp>BDS|1106839170253795198</stp>
        <tr r="I1888" s="2"/>
      </tp>
      <tp t="s">
        <v>#N/A Requesting Data...3218955953</v>
        <stp/>
        <stp>BDP|8061760693063180987</stp>
        <tr r="A2027" s="2"/>
      </tp>
      <tp t="s">
        <v>#N/A Requesting Data...3428377025</v>
        <stp/>
        <stp>BDP|8887608244456393034</stp>
        <tr r="A775" s="2"/>
      </tp>
      <tp t="s">
        <v>#N/A Requesting Data...3510685942</v>
        <stp/>
        <stp>BDP|9926538965767646150</stp>
        <tr r="H1236" s="2"/>
      </tp>
      <tp t="s">
        <v>#N/A Requesting Data...3577279814</v>
        <stp/>
        <stp>BDP|1482280881304612373</stp>
        <tr r="N1595" s="2"/>
      </tp>
      <tp t="s">
        <v>#N/A Requesting Data...3808050330</v>
        <stp/>
        <stp>BDP|2966970915561399742</stp>
        <tr r="A305" s="2"/>
      </tp>
      <tp t="b">
        <v>0</v>
        <stp/>
        <stp>BDS|3020727688044583436</stp>
        <tr r="I843" s="2"/>
      </tp>
      <tp t="s">
        <v>#N/A Requesting Data...4072115781</v>
        <stp/>
        <stp>BDP|4848052296802439335</stp>
        <tr r="O204" s="2"/>
      </tp>
      <tp t="s">
        <v>#N/A Requesting Data...4102379924</v>
        <stp/>
        <stp>BDP|9390650018742551070</stp>
        <tr r="J1713" s="2"/>
      </tp>
      <tp t="s">
        <v>#N/A Requesting Data...4069700263</v>
        <stp/>
        <stp>BDP|6224144328818016124</stp>
        <tr r="J846" s="2"/>
      </tp>
      <tp t="s">
        <v>#N/A Requesting Data...3606563438</v>
        <stp/>
        <stp>BDP|4805994316716295691</stp>
        <tr r="F697" s="2"/>
      </tp>
      <tp t="s">
        <v>#N/A Requesting Data...3924263137</v>
        <stp/>
        <stp>BDP|6168094825031491950</stp>
        <tr r="G236" s="2"/>
      </tp>
      <tp t="s">
        <v>#N/A Requesting Data...3987414582</v>
        <stp/>
        <stp>BDP|7349151133989063091</stp>
        <tr r="P1777" s="2"/>
      </tp>
      <tp t="s">
        <v>#N/A Requesting Data...4146173086</v>
        <stp/>
        <stp>BDP|9918141413602340719</stp>
        <tr r="Q958" s="2"/>
      </tp>
      <tp t="s">
        <v>#N/A Requesting Data...4179857143</v>
        <stp/>
        <stp>BDP|6138235478217585837</stp>
        <tr r="O2219" s="2"/>
      </tp>
      <tp t="s">
        <v>#N/A Requesting Data...3811221761</v>
        <stp/>
        <stp>BDP|3134162583537998116</stp>
        <tr r="J2185" s="2"/>
      </tp>
      <tp t="s">
        <v>#N/A Requesting Data...3812852906</v>
        <stp/>
        <stp>BDP|2995804636556232311</stp>
        <tr r="E182" s="2"/>
      </tp>
      <tp t="s">
        <v>#N/A Requesting Data...3785483794</v>
        <stp/>
        <stp>BDP|2061399380451611430</stp>
        <tr r="R127" s="2"/>
      </tp>
      <tp t="s">
        <v>#N/A Requesting Data...3565280011</v>
        <stp/>
        <stp>BDP|1408387489395896317</stp>
        <tr r="J43" s="2"/>
      </tp>
      <tp t="s">
        <v>#N/A Requesting Data...3635263902</v>
        <stp/>
        <stp>BDP|6379443777691473888</stp>
        <tr r="S2021" s="2"/>
      </tp>
      <tp t="s">
        <v>#N/A Requesting Data...3423810978</v>
        <stp/>
        <stp>BDP|7402949739745516402</stp>
        <tr r="S2213" s="2"/>
      </tp>
      <tp t="s">
        <v>#N/A Requesting Data...3341460222</v>
        <stp/>
        <stp>BDP|8168449010685073493</stp>
        <tr r="P787" s="2"/>
      </tp>
      <tp t="s">
        <v>#N/A Requesting Data...4206449154</v>
        <stp/>
        <stp>BDP|7473998920355580549</stp>
        <tr r="C2011" s="2"/>
      </tp>
      <tp t="b">
        <v>0</v>
        <stp/>
        <stp>BDS|6295840807021454392</stp>
        <tr r="I578" s="2"/>
      </tp>
      <tp t="s">
        <v>#N/A Requesting Data...3926344073</v>
        <stp/>
        <stp>BDP|6354620327909364796</stp>
        <tr r="D571" s="2"/>
      </tp>
      <tp t="s">
        <v>#N/A Requesting Data...3792176456</v>
        <stp/>
        <stp>BDP|8830490138986652533</stp>
        <tr r="C2348" s="2"/>
      </tp>
      <tp t="s">
        <v>#N/A Requesting Data...4107270229</v>
        <stp/>
        <stp>BDP|9051774299928145333</stp>
        <tr r="J627" s="2"/>
      </tp>
      <tp t="b">
        <v>0</v>
        <stp/>
        <stp>BDS|4241571039906955895</stp>
        <tr r="I363" s="2"/>
      </tp>
      <tp t="s">
        <v>#N/A Requesting Data...3532215958</v>
        <stp/>
        <stp>BDP|1099374592001009692</stp>
        <tr r="K2429" s="2"/>
      </tp>
      <tp t="s">
        <v>#N/A Requesting Data...3712618544</v>
        <stp/>
        <stp>BDP|9499257524792120784</stp>
        <tr r="M437" s="2"/>
      </tp>
      <tp t="s">
        <v>#N/A Requesting Data...4209051475</v>
        <stp/>
        <stp>BDP|9771271002215836268</stp>
        <tr r="H1302" s="2"/>
      </tp>
      <tp t="s">
        <v>#N/A Requesting Data...3379960478</v>
        <stp/>
        <stp>BDP|8153191087495097836</stp>
        <tr r="K1503" s="2"/>
      </tp>
      <tp t="s">
        <v>#N/A Requesting Data...4274029694</v>
        <stp/>
        <stp>BDP|9576667769891023465</stp>
        <tr r="A2172" s="2"/>
      </tp>
      <tp t="s">
        <v>#N/A Requesting Data...4227286676</v>
        <stp/>
        <stp>BDP|1733452193665902549</stp>
        <tr r="O1197" s="2"/>
      </tp>
      <tp t="s">
        <v>#N/A Requesting Data...3964292048</v>
        <stp/>
        <stp>BDP|4229112028978330344</stp>
        <tr r="M617" s="2"/>
      </tp>
      <tp t="s">
        <v>#N/A Requesting Data...4201104661</v>
        <stp/>
        <stp>BDP|2086590787386530576</stp>
        <tr r="E1257" s="2"/>
      </tp>
      <tp t="s">
        <v>#N/A Requesting Data...3935842356</v>
        <stp/>
        <stp>BDP|6987941356960206651</stp>
        <tr r="T1733" s="2"/>
      </tp>
      <tp t="s">
        <v>#N/A Requesting Data...3592824299</v>
        <stp/>
        <stp>BDP|2056052321304904815</stp>
        <tr r="F716" s="2"/>
      </tp>
      <tp t="b">
        <v>0</v>
        <stp/>
        <stp>BDS|2530822970765924426</stp>
        <tr r="I1765" s="2"/>
      </tp>
      <tp t="s">
        <v>#N/A Requesting Data...4165532886</v>
        <stp/>
        <stp>BDP|9137425636903984107</stp>
        <tr r="S1497" s="2"/>
      </tp>
      <tp t="s">
        <v>#N/A Requesting Data...3856906682</v>
        <stp/>
        <stp>BDP|5173057184188437982</stp>
        <tr r="K382" s="2"/>
      </tp>
      <tp t="s">
        <v>#N/A Requesting Data...3557102108</v>
        <stp/>
        <stp>BDP|7367454798065513370</stp>
        <tr r="R1258" s="2"/>
      </tp>
      <tp t="s">
        <v>#N/A Requesting Data...3972885372</v>
        <stp/>
        <stp>BDP|8395009269632403025</stp>
        <tr r="G894" s="2"/>
      </tp>
      <tp t="s">
        <v>#N/A Requesting Data...4151883955</v>
        <stp/>
        <stp>BDP|4156145470466004897</stp>
        <tr r="P100" s="2"/>
      </tp>
      <tp t="s">
        <v>#N/A Requesting Data...3477675245</v>
        <stp/>
        <stp>BDP|4037717099935585316</stp>
        <tr r="D487" s="2"/>
      </tp>
      <tp t="s">
        <v>#N/A Requesting Data...3895174455</v>
        <stp/>
        <stp>BDP|9288723257173207499</stp>
        <tr r="E1209" s="2"/>
      </tp>
      <tp t="s">
        <v>#N/A Requesting Data...4099468217</v>
        <stp/>
        <stp>BDP|8513571001497971660</stp>
        <tr r="M1332" s="2"/>
      </tp>
      <tp t="s">
        <v>#N/A Requesting Data...3371907904</v>
        <stp/>
        <stp>BDP|9626531370682016597</stp>
        <tr r="N1456" s="2"/>
      </tp>
      <tp t="s">
        <v>#N/A Requesting Data...4116616050</v>
        <stp/>
        <stp>BDP|9932168445442449228</stp>
        <tr r="M1131" s="2"/>
      </tp>
      <tp t="s">
        <v>#N/A Requesting Data...4127397237</v>
        <stp/>
        <stp>BDP|3613270265268122393</stp>
        <tr r="M2021" s="2"/>
      </tp>
      <tp t="s">
        <v>#N/A Requesting Data...3470183009</v>
        <stp/>
        <stp>BDP|2382538361904491992</stp>
        <tr r="E564" s="2"/>
      </tp>
      <tp t="s">
        <v>#N/A Requesting Data...3507645976</v>
        <stp/>
        <stp>BDP|7931603603409155473</stp>
        <tr r="H2449" s="2"/>
      </tp>
      <tp t="b">
        <v>0</v>
        <stp/>
        <stp>BDS|4091969236057838542</stp>
        <tr r="I693" s="2"/>
      </tp>
      <tp t="s">
        <v>#N/A Requesting Data...3963791185</v>
        <stp/>
        <stp>BDP|7138611607604935925</stp>
        <tr r="A1208" s="2"/>
      </tp>
      <tp t="s">
        <v>#N/A Requesting Data...3443938109</v>
        <stp/>
        <stp>BDP|6122791943498446136</stp>
        <tr r="S1926" s="2"/>
      </tp>
      <tp t="s">
        <v>#N/A Requesting Data...3489133337</v>
        <stp/>
        <stp>BDP|9124533206054857401</stp>
        <tr r="T2225" s="2"/>
      </tp>
      <tp t="s">
        <v>#N/A Requesting Data...3709645555</v>
        <stp/>
        <stp>BDP|3149605289784063545</stp>
        <tr r="T1597" s="2"/>
      </tp>
      <tp t="s">
        <v>#N/A Requesting Data...3850888159</v>
        <stp/>
        <stp>BDP|2809922556393356131</stp>
        <tr r="A2367" s="2"/>
      </tp>
      <tp t="s">
        <v>#N/A Requesting Data...3810836503</v>
        <stp/>
        <stp>BDP|9819387470456825745</stp>
        <tr r="D1553" s="2"/>
      </tp>
      <tp t="s">
        <v>#N/A Requesting Data...3905041010</v>
        <stp/>
        <stp>BDP|3628208073959913307</stp>
        <tr r="D1436" s="2"/>
      </tp>
      <tp t="s">
        <v>#N/A Requesting Data...4083825972</v>
        <stp/>
        <stp>BDP|8263303638385436120</stp>
        <tr r="S1626" s="2"/>
      </tp>
      <tp t="s">
        <v>#N/A Requesting Data...3857108977</v>
        <stp/>
        <stp>BDP|6896758699424876006</stp>
        <tr r="A1491" s="2"/>
      </tp>
      <tp t="s">
        <v>#N/A Requesting Data...3808118752</v>
        <stp/>
        <stp>BDP|1722213599333502566</stp>
        <tr r="J2213" s="2"/>
      </tp>
      <tp t="s">
        <v>#N/A Requesting Data...3774816205</v>
        <stp/>
        <stp>BDP|7630172846386877831</stp>
        <tr r="A1255" s="2"/>
      </tp>
      <tp t="s">
        <v>#N/A Requesting Data...3708345569</v>
        <stp/>
        <stp>BDP|8838663823366526645</stp>
        <tr r="D388" s="2"/>
      </tp>
      <tp t="s">
        <v>#N/A Requesting Data...4086963596</v>
        <stp/>
        <stp>BDP|3626807816710567690</stp>
        <tr r="F1811" s="2"/>
      </tp>
      <tp t="s">
        <v>#N/A Requesting Data...4199583469</v>
        <stp/>
        <stp>BDP|8299185161511751208</stp>
        <tr r="Q1416" s="2"/>
      </tp>
      <tp t="s">
        <v>#N/A Requesting Data...3737253198</v>
        <stp/>
        <stp>BDP|4070811218834315568</stp>
        <tr r="H389" s="2"/>
      </tp>
      <tp t="s">
        <v>#N/A Requesting Data...3680846440</v>
        <stp/>
        <stp>BDP|1855662538028884028</stp>
        <tr r="J923" s="2"/>
      </tp>
      <tp t="s">
        <v>#N/A Requesting Data...3954985120</v>
        <stp/>
        <stp>BDP|9514357012634707397</stp>
        <tr r="R78" s="2"/>
      </tp>
      <tp t="s">
        <v>#N/A Requesting Data...4232157191</v>
        <stp/>
        <stp>BDP|9047097064073523046</stp>
        <tr r="D860" s="2"/>
      </tp>
      <tp t="s">
        <v>#N/A Requesting Data...3918846951</v>
        <stp/>
        <stp>BDP|9348857719298343403</stp>
        <tr r="O135" s="2"/>
      </tp>
      <tp t="s">
        <v>#N/A Requesting Data...3956447283</v>
        <stp/>
        <stp>BDP|9473711667423707794</stp>
        <tr r="S2242" s="2"/>
      </tp>
      <tp t="s">
        <v>#N/A Requesting Data...3743312056</v>
        <stp/>
        <stp>BDP|1369289116296322829</stp>
        <tr r="P1948" s="2"/>
      </tp>
      <tp t="s">
        <v>#N/A Requesting Data...3692028786</v>
        <stp/>
        <stp>BDP|2196058568891961999</stp>
        <tr r="S32" s="2"/>
      </tp>
      <tp t="s">
        <v>#N/A Requesting Data...3568087542</v>
        <stp/>
        <stp>BDP|1761722489170553249</stp>
        <tr r="O32" s="2"/>
      </tp>
      <tp t="s">
        <v>#N/A Requesting Data...3930017917</v>
        <stp/>
        <stp>BDP|2086896457553606052</stp>
        <tr r="Q2400" s="2"/>
      </tp>
      <tp t="s">
        <v>#N/A Requesting Data...4243442291</v>
        <stp/>
        <stp>BDP|2441881663270263008</stp>
        <tr r="R2432" s="2"/>
      </tp>
      <tp t="s">
        <v>#N/A Requesting Data...4199028687</v>
        <stp/>
        <stp>BDP|5999799990985576287</stp>
        <tr r="E1870" s="2"/>
      </tp>
      <tp t="s">
        <v>#N/A Requesting Data...3906462834</v>
        <stp/>
        <stp>BDP|9179085294315982990</stp>
        <tr r="F1753" s="2"/>
      </tp>
      <tp t="s">
        <v>#N/A Requesting Data...4243407299</v>
        <stp/>
        <stp>BDP|9527670013994525690</stp>
        <tr r="K2401" s="2"/>
      </tp>
      <tp t="s">
        <v>#N/A Requesting Data...3779621221</v>
        <stp/>
        <stp>BDP|9759159469664470624</stp>
        <tr r="R2111" s="2"/>
      </tp>
      <tp t="s">
        <v>#N/A Requesting Data...4157143470</v>
        <stp/>
        <stp>BDP|1066263609957214805</stp>
        <tr r="Q2197" s="2"/>
      </tp>
      <tp t="s">
        <v>#N/A Requesting Data...3563662194</v>
        <stp/>
        <stp>BDP|4913932951484652009</stp>
        <tr r="A2110" s="2"/>
      </tp>
      <tp t="s">
        <v>#N/A Requesting Data...4157985374</v>
        <stp/>
        <stp>BDP|9680622657255942377</stp>
        <tr r="M1731" s="2"/>
      </tp>
      <tp t="s">
        <v>#N/A Requesting Data...3470698347</v>
        <stp/>
        <stp>BDP|3922614101151094845</stp>
        <tr r="E731" s="2"/>
      </tp>
      <tp t="s">
        <v>#N/A Requesting Data...4032251044</v>
        <stp/>
        <stp>BDP|7938938310942002179</stp>
        <tr r="E608" s="2"/>
      </tp>
      <tp t="s">
        <v>#N/A Requesting Data...3778056573</v>
        <stp/>
        <stp>BDP|3719292060823334803</stp>
        <tr r="F1594" s="2"/>
      </tp>
      <tp t="s">
        <v>#N/A Requesting Data...4238995527</v>
        <stp/>
        <stp>BDP|3929675421843646840</stp>
        <tr r="Q338" s="2"/>
      </tp>
      <tp t="s">
        <v>#N/A Requesting Data...3709685269</v>
        <stp/>
        <stp>BDP|8350229379727098659</stp>
        <tr r="H2467" s="2"/>
      </tp>
      <tp t="b">
        <v>0</v>
        <stp/>
        <stp>BDS|8538603169890959485</stp>
        <tr r="I2259" s="2"/>
      </tp>
      <tp t="s">
        <v>#N/A Requesting Data...3690659483</v>
        <stp/>
        <stp>BDP|3047749596300678192</stp>
        <tr r="F358" s="2"/>
      </tp>
      <tp t="s">
        <v>#N/A Requesting Data...4203901063</v>
        <stp/>
        <stp>BDP|8476122946663992241</stp>
        <tr r="C760" s="2"/>
      </tp>
      <tp t="s">
        <v>#N/A Requesting Data...3578823523</v>
        <stp/>
        <stp>BDP|3844972119074884334</stp>
        <tr r="D1971" s="2"/>
      </tp>
      <tp t="s">
        <v>#N/A Requesting Data...3880031282</v>
        <stp/>
        <stp>BDP|4231789697442942490</stp>
        <tr r="J2166" s="2"/>
      </tp>
      <tp t="s">
        <v>#N/A Requesting Data...3949805556</v>
        <stp/>
        <stp>BDP|8934349613207533161</stp>
        <tr r="E1327" s="2"/>
      </tp>
      <tp t="s">
        <v>#N/A Requesting Data...3828486782</v>
        <stp/>
        <stp>BDP|8766139059430917090</stp>
        <tr r="E1514" s="2"/>
      </tp>
      <tp t="s">
        <v>#N/A Requesting Data...4261436233</v>
        <stp/>
        <stp>BDP|8072395174286392633</stp>
        <tr r="E1791" s="2"/>
      </tp>
      <tp t="s">
        <v>#N/A Requesting Data...3599321459</v>
        <stp/>
        <stp>BDP|7876385698968762920</stp>
        <tr r="N2418" s="2"/>
      </tp>
      <tp t="s">
        <v>#N/A Requesting Data...3918831707</v>
        <stp/>
        <stp>BDP|7222956464972630683</stp>
        <tr r="K1723" s="2"/>
      </tp>
      <tp t="s">
        <v>#N/A Requesting Data...3746408991</v>
        <stp/>
        <stp>BDP|7393991291323412827</stp>
        <tr r="K625" s="2"/>
      </tp>
      <tp t="b">
        <v>0</v>
        <stp/>
        <stp>BDS|2493879769373251358</stp>
        <tr r="I46" s="2"/>
      </tp>
      <tp t="s">
        <v>#N/A Requesting Data...3492804335</v>
        <stp/>
        <stp>BDP|9657375392397761898</stp>
        <tr r="K2166" s="2"/>
      </tp>
      <tp t="s">
        <v>#N/A Requesting Data...4241976064</v>
        <stp/>
        <stp>BDP|4920258836159132065</stp>
        <tr r="E2343" s="2"/>
      </tp>
      <tp t="s">
        <v>#N/A Requesting Data...4014583060</v>
        <stp/>
        <stp>BDP|2048958921137995208</stp>
        <tr r="K1489" s="2"/>
      </tp>
      <tp t="s">
        <v>#N/A Requesting Data...3572252321</v>
        <stp/>
        <stp>BDP|2815698680467435782</stp>
        <tr r="S140" s="2"/>
      </tp>
      <tp t="s">
        <v>#N/A Requesting Data...4043192465</v>
        <stp/>
        <stp>BDP|8672352768837104671</stp>
        <tr r="M1989" s="2"/>
      </tp>
      <tp t="s">
        <v>#N/A Requesting Data...3951439803</v>
        <stp/>
        <stp>BDP|6816394499396627638</stp>
        <tr r="S2148" s="2"/>
      </tp>
      <tp t="s">
        <v>#N/A Requesting Data...3789847807</v>
        <stp/>
        <stp>BDP|3582955878395126443</stp>
        <tr r="F615" s="2"/>
      </tp>
      <tp t="s">
        <v>#N/A Requesting Data...4104078472</v>
        <stp/>
        <stp>BDP|7993808634442994293</stp>
        <tr r="C2293" s="2"/>
      </tp>
      <tp t="s">
        <v>#N/A Requesting Data...3671847499</v>
        <stp/>
        <stp>BDP|9919374036976631330</stp>
        <tr r="G382" s="2"/>
      </tp>
      <tp t="s">
        <v>#N/A Requesting Data...3522051280</v>
        <stp/>
        <stp>BDP|9672285902960337727</stp>
        <tr r="R1281" s="2"/>
      </tp>
      <tp t="b">
        <v>0</v>
        <stp/>
        <stp>BDS|8344001419926389348</stp>
        <tr r="I1920" s="2"/>
      </tp>
      <tp t="s">
        <v>#N/A Requesting Data...3601383668</v>
        <stp/>
        <stp>BDP|9730644542322827548</stp>
        <tr r="R890" s="2"/>
      </tp>
      <tp t="b">
        <v>0</v>
        <stp/>
        <stp>BDS|5333149693864160589</stp>
        <tr r="I505" s="2"/>
      </tp>
      <tp t="s">
        <v>#N/A Requesting Data...3837012114</v>
        <stp/>
        <stp>BDP|3492417016828918279</stp>
        <tr r="D1309" s="2"/>
      </tp>
      <tp t="s">
        <v>#N/A Requesting Data...3542937429</v>
        <stp/>
        <stp>BDP|3371553418612550966</stp>
        <tr r="D2050" s="2"/>
      </tp>
      <tp t="s">
        <v>#N/A Requesting Data...4096621218</v>
        <stp/>
        <stp>BDP|7710420665371555886</stp>
        <tr r="T124" s="2"/>
      </tp>
      <tp t="s">
        <v>#N/A Requesting Data...3726271053</v>
        <stp/>
        <stp>BDP|4553407339479607677</stp>
        <tr r="O1856" s="2"/>
      </tp>
      <tp t="s">
        <v>#N/A Requesting Data...4048532945</v>
        <stp/>
        <stp>BDP|5061561497111924455</stp>
        <tr r="N1587" s="2"/>
      </tp>
      <tp t="s">
        <v>#N/A Requesting Data...3855890522</v>
        <stp/>
        <stp>BDP|9734037579140636267</stp>
        <tr r="P1129" s="2"/>
      </tp>
      <tp t="s">
        <v>#N/A Requesting Data...4215086142</v>
        <stp/>
        <stp>BDP|5120724488281562733</stp>
        <tr r="E600" s="2"/>
      </tp>
      <tp t="s">
        <v>#N/A Requesting Data...4248568124</v>
        <stp/>
        <stp>BDP|8362111435340237687</stp>
        <tr r="A2342" s="2"/>
      </tp>
      <tp t="s">
        <v>#N/A Requesting Data...4147156865</v>
        <stp/>
        <stp>BDP|6116232569018013662</stp>
        <tr r="R786" s="2"/>
      </tp>
      <tp t="s">
        <v>#N/A Requesting Data...3638177126</v>
        <stp/>
        <stp>BDP|8039707641390837744</stp>
        <tr r="Q1262" s="2"/>
      </tp>
      <tp t="s">
        <v>#N/A Requesting Data...4203168956</v>
        <stp/>
        <stp>BDP|9252247568031469074</stp>
        <tr r="K1908" s="2"/>
      </tp>
      <tp t="s">
        <v>#N/A Requesting Data...3788698875</v>
        <stp/>
        <stp>BDP|8793462709195786522</stp>
        <tr r="G1412" s="2"/>
      </tp>
      <tp t="s">
        <v>#N/A Requesting Data...4235880773</v>
        <stp/>
        <stp>BDP|7589307240188056488</stp>
        <tr r="D181" s="2"/>
      </tp>
      <tp t="s">
        <v>#N/A Requesting Data...4101324950</v>
        <stp/>
        <stp>BDP|8014431909681360143</stp>
        <tr r="F904" s="2"/>
      </tp>
      <tp t="s">
        <v>#N/A Requesting Data...4169335502</v>
        <stp/>
        <stp>BDP|1422462286255825413</stp>
        <tr r="P687" s="2"/>
      </tp>
      <tp t="s">
        <v>#N/A Requesting Data...3763541357</v>
        <stp/>
        <stp>BDP|2057893076539105830</stp>
        <tr r="S903" s="2"/>
      </tp>
      <tp t="s">
        <v>#N/A Requesting Data...4221568443</v>
        <stp/>
        <stp>BDP|9964415212088046874</stp>
        <tr r="A2259" s="2"/>
      </tp>
      <tp t="s">
        <v>#N/A Requesting Data...3717422522</v>
        <stp/>
        <stp>BDP|3878652737499402333</stp>
        <tr r="E2293" s="2"/>
      </tp>
      <tp t="s">
        <v>#N/A Requesting Data...3688829516</v>
        <stp/>
        <stp>BDP|3309233718039108541</stp>
        <tr r="S1059" s="2"/>
      </tp>
      <tp t="s">
        <v>#N/A Requesting Data...3739613280</v>
        <stp/>
        <stp>BDP|3457470125908391187</stp>
        <tr r="H2361" s="2"/>
      </tp>
      <tp t="s">
        <v>#N/A Requesting Data...3869765722</v>
        <stp/>
        <stp>BDP|8645427288040650874</stp>
        <tr r="S2169" s="2"/>
      </tp>
      <tp t="s">
        <v>#N/A Requesting Data...4100313314</v>
        <stp/>
        <stp>BDP|2739367668219335277</stp>
        <tr r="E60" s="2"/>
      </tp>
      <tp t="s">
        <v>#N/A Requesting Data...3998709620</v>
        <stp/>
        <stp>BDP|7485099215058766222</stp>
        <tr r="F157" s="2"/>
      </tp>
      <tp t="s">
        <v>#N/A Requesting Data...4092488012</v>
        <stp/>
        <stp>BDP|1576807790258873400</stp>
        <tr r="D755" s="2"/>
      </tp>
      <tp t="s">
        <v>#N/A Requesting Data...3653611320</v>
        <stp/>
        <stp>BDP|6457811135468912944</stp>
        <tr r="H2348" s="2"/>
      </tp>
      <tp t="b">
        <v>0</v>
        <stp/>
        <stp>BDS|6556735815519621581</stp>
        <tr r="I2167" s="2"/>
      </tp>
      <tp t="s">
        <v>#N/A Requesting Data...3769993021</v>
        <stp/>
        <stp>BDP|9695356858973432020</stp>
        <tr r="T2382" s="2"/>
      </tp>
      <tp t="s">
        <v>#N/A Requesting Data...4210998354</v>
        <stp/>
        <stp>BDP|5249560689004461046</stp>
        <tr r="E1893" s="2"/>
      </tp>
      <tp t="s">
        <v>#N/A Requesting Data...4044987518</v>
        <stp/>
        <stp>BDP|7965927437710094118</stp>
        <tr r="S1982" s="2"/>
      </tp>
      <tp t="s">
        <v>#N/A Requesting Data...4261302203</v>
        <stp/>
        <stp>BDP|3396997627484646069</stp>
        <tr r="C1465" s="2"/>
      </tp>
      <tp t="s">
        <v>#N/A Requesting Data...4112018836</v>
        <stp/>
        <stp>BDP|9788155749862713213</stp>
        <tr r="F2237" s="2"/>
      </tp>
      <tp t="s">
        <v>#N/A Requesting Data...3675938346</v>
        <stp/>
        <stp>BDP|6055888713821717212</stp>
        <tr r="N317" s="2"/>
      </tp>
      <tp t="s">
        <v>#N/A Requesting Data...3814964297</v>
        <stp/>
        <stp>BDP|6382694008364916868</stp>
        <tr r="G205" s="2"/>
      </tp>
      <tp t="s">
        <v>#N/A Requesting Data...4101146398</v>
        <stp/>
        <stp>BDP|8509009017545931069</stp>
        <tr r="D1502" s="2"/>
      </tp>
      <tp t="s">
        <v>#N/A Requesting Data...3653717279</v>
        <stp/>
        <stp>BDP|9266083633697057140</stp>
        <tr r="J376" s="2"/>
      </tp>
      <tp t="s">
        <v>#N/A Requesting Data...4206955636</v>
        <stp/>
        <stp>BDP|5138392895771398239</stp>
        <tr r="A1248" s="2"/>
      </tp>
      <tp t="s">
        <v>#N/A Requesting Data...3667222939</v>
        <stp/>
        <stp>BDP|1828344681772643463</stp>
        <tr r="N17" s="2"/>
      </tp>
      <tp t="s">
        <v>#N/A Requesting Data...3671083783</v>
        <stp/>
        <stp>BDP|4699169998732748225</stp>
        <tr r="S550" s="2"/>
      </tp>
      <tp t="s">
        <v>#N/A Requesting Data...3826681240</v>
        <stp/>
        <stp>BDP|6309449663520268843</stp>
        <tr r="K549" s="2"/>
      </tp>
      <tp t="s">
        <v>#N/A Requesting Data...3723556771</v>
        <stp/>
        <stp>BDP|2583987849046751513</stp>
        <tr r="P966" s="2"/>
      </tp>
      <tp t="s">
        <v>#N/A Requesting Data...4017873928</v>
        <stp/>
        <stp>BDP|8667011009992931654</stp>
        <tr r="D803" s="2"/>
      </tp>
      <tp t="s">
        <v>#N/A Requesting Data...4277221772</v>
        <stp/>
        <stp>BDP|7324502962850650854</stp>
        <tr r="O360" s="2"/>
      </tp>
      <tp t="s">
        <v>#N/A Requesting Data...3959402228</v>
        <stp/>
        <stp>BDP|4298753183332163576</stp>
        <tr r="D1359" s="2"/>
      </tp>
      <tp t="s">
        <v>#N/A Requesting Data...3955042316</v>
        <stp/>
        <stp>BDP|5554831600994071543</stp>
        <tr r="S90" s="2"/>
      </tp>
      <tp t="s">
        <v>#N/A Requesting Data...4270576858</v>
        <stp/>
        <stp>BDP|8318758628295853446</stp>
        <tr r="O1875" s="2"/>
      </tp>
      <tp t="s">
        <v>#N/A Requesting Data...3756118502</v>
        <stp/>
        <stp>BDP|9516665835529708939</stp>
        <tr r="P627" s="2"/>
      </tp>
      <tp t="s">
        <v>#N/A Requesting Data...3833527884</v>
        <stp/>
        <stp>BDP|5117752354059387213</stp>
        <tr r="G605" s="2"/>
      </tp>
      <tp t="s">
        <v>#N/A Requesting Data...4023609827</v>
        <stp/>
        <stp>BDP|9465116500710660419</stp>
        <tr r="J1154" s="2"/>
      </tp>
      <tp t="s">
        <v>#N/A Requesting Data...4067844944</v>
        <stp/>
        <stp>BDP|7603871223457298624</stp>
        <tr r="D1488" s="2"/>
      </tp>
      <tp t="s">
        <v>#N/A Requesting Data...3665774506</v>
        <stp/>
        <stp>BDP|9203109409170829412</stp>
        <tr r="P2520" s="2"/>
      </tp>
      <tp t="s">
        <v>#N/A Requesting Data...4159119849</v>
        <stp/>
        <stp>BDP|8455448510446520770</stp>
        <tr r="O2367" s="2"/>
      </tp>
      <tp t="s">
        <v>#N/A Requesting Data...4173073789</v>
        <stp/>
        <stp>BDP|2342769106571713862</stp>
        <tr r="A1570" s="2"/>
      </tp>
      <tp t="s">
        <v>#N/A Requesting Data...4065063851</v>
        <stp/>
        <stp>BDP|4263587035079533789</stp>
        <tr r="K916" s="2"/>
      </tp>
      <tp t="s">
        <v>#N/A Requesting Data...4050980128</v>
        <stp/>
        <stp>BDP|1247446252255489923</stp>
        <tr r="O2343" s="2"/>
      </tp>
      <tp t="s">
        <v>#N/A Requesting Data...4266084130</v>
        <stp/>
        <stp>BDP|4110815504949314956</stp>
        <tr r="A1981" s="2"/>
      </tp>
      <tp t="s">
        <v>#N/A Requesting Data...3910847856</v>
        <stp/>
        <stp>BDP|4770378627480549905</stp>
        <tr r="F2119" s="2"/>
      </tp>
      <tp t="s">
        <v>#N/A Requesting Data...3927936023</v>
        <stp/>
        <stp>BDP|2400418138200891979</stp>
        <tr r="E565" s="2"/>
      </tp>
      <tp t="s">
        <v>#N/A Requesting Data...3875858787</v>
        <stp/>
        <stp>BDP|5602628559938624299</stp>
        <tr r="R1964" s="2"/>
      </tp>
      <tp t="s">
        <v>#N/A Requesting Data...3759063230</v>
        <stp/>
        <stp>BDP|2330962772529174949</stp>
        <tr r="H305" s="2"/>
      </tp>
      <tp t="s">
        <v>#N/A Requesting Data...4016420280</v>
        <stp/>
        <stp>BDP|4070088385790767084</stp>
        <tr r="R492" s="2"/>
      </tp>
      <tp t="s">
        <v>#N/A Requesting Data...4194997889</v>
        <stp/>
        <stp>BDP|4084856994200655953</stp>
        <tr r="T52" s="2"/>
      </tp>
      <tp t="s">
        <v>#N/A Requesting Data...3982478786</v>
        <stp/>
        <stp>BDP|5152060699753897346</stp>
        <tr r="H133" s="2"/>
      </tp>
      <tp t="s">
        <v>#N/A Requesting Data...3773894395</v>
        <stp/>
        <stp>BDP|1811900426954537296</stp>
        <tr r="D1642" s="2"/>
      </tp>
      <tp t="s">
        <v>#N/A Requesting Data...3871227055</v>
        <stp/>
        <stp>BDP|2603327895682752649</stp>
        <tr r="N2388" s="2"/>
      </tp>
      <tp t="s">
        <v>#N/A Requesting Data...3836828020</v>
        <stp/>
        <stp>BDP|5387731374618367154</stp>
        <tr r="G1295" s="2"/>
      </tp>
      <tp t="s">
        <v>#N/A Requesting Data...3975642758</v>
        <stp/>
        <stp>BDP|2269068155288373306</stp>
        <tr r="J1446" s="2"/>
      </tp>
      <tp t="s">
        <v>#N/A Requesting Data...3815980379</v>
        <stp/>
        <stp>BDP|7403977505797283565</stp>
        <tr r="A2382" s="2"/>
      </tp>
      <tp t="s">
        <v>#N/A Requesting Data...3744139450</v>
        <stp/>
        <stp>BDP|4791126277729608765</stp>
        <tr r="T1400" s="2"/>
      </tp>
      <tp t="s">
        <v>#N/A Requesting Data...3930250020</v>
        <stp/>
        <stp>BDP|3697865951654140623</stp>
        <tr r="F1078" s="2"/>
      </tp>
      <tp t="s">
        <v>#N/A Requesting Data...4007813209</v>
        <stp/>
        <stp>BDP|9749068630655631354</stp>
        <tr r="A1241" s="2"/>
      </tp>
      <tp t="s">
        <v>#N/A Requesting Data...3884656579</v>
        <stp/>
        <stp>BDP|5760088703678964172</stp>
        <tr r="D551" s="2"/>
      </tp>
      <tp t="s">
        <v>#N/A Requesting Data...4169498897</v>
        <stp/>
        <stp>BDP|2631202781556106248</stp>
        <tr r="N338" s="2"/>
      </tp>
      <tp t="s">
        <v>#N/A Requesting Data...4184719795</v>
        <stp/>
        <stp>BDP|7014079393703747117</stp>
        <tr r="H2432" s="2"/>
      </tp>
      <tp t="s">
        <v>#N/A Requesting Data...4270136533</v>
        <stp/>
        <stp>BDP|9299555255384436143</stp>
        <tr r="D594" s="2"/>
      </tp>
      <tp t="s">
        <v>#N/A Requesting Data...4023723610</v>
        <stp/>
        <stp>BDP|4164494148911052921</stp>
        <tr r="M1557" s="2"/>
      </tp>
      <tp t="s">
        <v>#N/A Requesting Data...4064784626</v>
        <stp/>
        <stp>BDP|2229591859756434848</stp>
        <tr r="P2307" s="2"/>
      </tp>
      <tp t="s">
        <v>#N/A Requesting Data...3982596651</v>
        <stp/>
        <stp>BDP|3324682072578233699</stp>
        <tr r="S1753" s="2"/>
      </tp>
      <tp t="s">
        <v>#N/A Requesting Data...3751746407</v>
        <stp/>
        <stp>BDP|9046305756966267561</stp>
        <tr r="S618" s="2"/>
      </tp>
      <tp t="s">
        <v>#N/A Requesting Data...3945565833</v>
        <stp/>
        <stp>BDP|9356030481908323501</stp>
        <tr r="K2453" s="2"/>
      </tp>
      <tp t="s">
        <v>#N/A Requesting Data...3814414622</v>
        <stp/>
        <stp>BDP|7844199192477541442</stp>
        <tr r="D519" s="2"/>
      </tp>
      <tp t="s">
        <v>#N/A Requesting Data...4145451880</v>
        <stp/>
        <stp>BDP|9028079553851397155</stp>
        <tr r="H2189" s="2"/>
      </tp>
      <tp t="s">
        <v>#N/A Requesting Data...4065205571</v>
        <stp/>
        <stp>BDP|1195821939351819704</stp>
        <tr r="K1393" s="2"/>
      </tp>
      <tp t="b">
        <v>0</v>
        <stp/>
        <stp>BDS|8163909296203674738</stp>
        <tr r="I817" s="2"/>
      </tp>
      <tp t="s">
        <v>#N/A Requesting Data...3988980159</v>
        <stp/>
        <stp>BDP|2660104412177275945</stp>
        <tr r="N677" s="2"/>
      </tp>
      <tp t="s">
        <v>#N/A Requesting Data...3777299710</v>
        <stp/>
        <stp>BDP|8882706912590192293</stp>
        <tr r="O1752" s="2"/>
      </tp>
      <tp t="s">
        <v>#N/A Requesting Data...3964311842</v>
        <stp/>
        <stp>BDP|2153167699305849344</stp>
        <tr r="C1791" s="2"/>
      </tp>
      <tp t="s">
        <v>#N/A Requesting Data...4009672456</v>
        <stp/>
        <stp>BDP|7266230582494906583</stp>
        <tr r="P2298" s="2"/>
      </tp>
      <tp t="s">
        <v>#N/A Requesting Data...3947777810</v>
        <stp/>
        <stp>BDP|9557315910116033163</stp>
        <tr r="O2199" s="2"/>
      </tp>
      <tp t="s">
        <v>#N/A Requesting Data...3995925347</v>
        <stp/>
        <stp>BDP|8448571002130022137</stp>
        <tr r="G824" s="2"/>
      </tp>
      <tp t="s">
        <v>#N/A Requesting Data...4001137510</v>
        <stp/>
        <stp>BDP|3081992867953846346</stp>
        <tr r="S2449" s="2"/>
      </tp>
      <tp t="s">
        <v>#N/A Requesting Data...4233958012</v>
        <stp/>
        <stp>BDP|5249821674234057263</stp>
        <tr r="C1863" s="2"/>
      </tp>
      <tp t="s">
        <v>#N/A Requesting Data...3859216339</v>
        <stp/>
        <stp>BDP|4875934108875197402</stp>
        <tr r="N649" s="2"/>
      </tp>
      <tp t="s">
        <v>#N/A Requesting Data...3971123540</v>
        <stp/>
        <stp>BDP|9455351484007615915</stp>
        <tr r="K1415" s="2"/>
      </tp>
      <tp t="s">
        <v>#N/A Requesting Data...3879525598</v>
        <stp/>
        <stp>BDP|1365814367420502326</stp>
        <tr r="R904" s="2"/>
      </tp>
      <tp t="s">
        <v>#N/A Requesting Data...4014533413</v>
        <stp/>
        <stp>BDP|1466005415304644854</stp>
        <tr r="N1287" s="2"/>
      </tp>
      <tp t="s">
        <v>#N/A Requesting Data...4091634658</v>
        <stp/>
        <stp>BDP|3472009774200482864</stp>
        <tr r="E2000" s="2"/>
      </tp>
      <tp t="s">
        <v>#N/A Requesting Data...4054146440</v>
        <stp/>
        <stp>BDP|4082376045236490945</stp>
        <tr r="C1438" s="2"/>
      </tp>
      <tp t="s">
        <v>#N/A Requesting Data...4138749767</v>
        <stp/>
        <stp>BDP|2169064527275799959</stp>
        <tr r="A743" s="2"/>
      </tp>
      <tp t="s">
        <v>#N/A Requesting Data...4019372175</v>
        <stp/>
        <stp>BDP|3049876531095607122</stp>
        <tr r="H1405" s="2"/>
      </tp>
      <tp t="s">
        <v>#N/A Requesting Data...3818709625</v>
        <stp/>
        <stp>BDP|5648251242998340708</stp>
        <tr r="E946" s="2"/>
      </tp>
      <tp t="s">
        <v>#N/A Requesting Data...4167731239</v>
        <stp/>
        <stp>BDP|3606903974934793573</stp>
        <tr r="S1018" s="2"/>
      </tp>
      <tp t="s">
        <v>#N/A Requesting Data...4011243064</v>
        <stp/>
        <stp>BDP|8503689445087806129</stp>
        <tr r="F511" s="2"/>
      </tp>
      <tp t="s">
        <v>#N/A Requesting Data...4046201444</v>
        <stp/>
        <stp>BDP|6477820202501040365</stp>
        <tr r="O429" s="2"/>
      </tp>
      <tp t="s">
        <v>#N/A Requesting Data...4273064118</v>
        <stp/>
        <stp>BDP|7020500062341121910</stp>
        <tr r="O1397" s="2"/>
      </tp>
      <tp t="s">
        <v>#N/A Requesting Data...4201508756</v>
        <stp/>
        <stp>BDP|1676507304338196019</stp>
        <tr r="D205" s="2"/>
      </tp>
      <tp t="s">
        <v>#N/A Requesting Data...3914557993</v>
        <stp/>
        <stp>BDP|2689635426992114806</stp>
        <tr r="R2095" s="2"/>
      </tp>
      <tp t="b">
        <v>0</v>
        <stp/>
        <stp>BDS|2545495199146748504</stp>
        <tr r="I26" s="2"/>
      </tp>
      <tp t="s">
        <v>#N/A Requesting Data...4265345162</v>
        <stp/>
        <stp>BDP|4006150791098363855</stp>
        <tr r="T1848" s="2"/>
      </tp>
      <tp t="s">
        <v>#N/A Requesting Data...3983013217</v>
        <stp/>
        <stp>BDP|5643837511941596131</stp>
        <tr r="G788" s="2"/>
      </tp>
      <tp t="s">
        <v>#N/A Requesting Data...4211891048</v>
        <stp/>
        <stp>BDP|8202817400279715566</stp>
        <tr r="G1432" s="2"/>
      </tp>
      <tp t="s">
        <v>#N/A Requesting Data...3892169577</v>
        <stp/>
        <stp>BDP|9006030246802721308</stp>
        <tr r="O2273" s="2"/>
      </tp>
      <tp t="s">
        <v>#N/A Requesting Data...4100121167</v>
        <stp/>
        <stp>BDP|7245181078564334931</stp>
        <tr r="E1375" s="2"/>
      </tp>
      <tp t="s">
        <v>#N/A Requesting Data...3953981574</v>
        <stp/>
        <stp>BDP|7251965332204125552</stp>
        <tr r="D354" s="2"/>
      </tp>
      <tp t="s">
        <v>#N/A Requesting Data...3918260402</v>
        <stp/>
        <stp>BDP|5362609543983522876</stp>
        <tr r="P1688" s="2"/>
      </tp>
      <tp t="s">
        <v>#N/A Requesting Data...3954674248</v>
        <stp/>
        <stp>BDP|1613026050789014163</stp>
        <tr r="Q1996" s="2"/>
      </tp>
      <tp t="s">
        <v>#N/A Requesting Data...3953978765</v>
        <stp/>
        <stp>BDP|1669396797300866727</stp>
        <tr r="Q572" s="2"/>
      </tp>
      <tp t="s">
        <v>#N/A Requesting Data...4279696676</v>
        <stp/>
        <stp>BDP|2006875588409829751</stp>
        <tr r="P214" s="2"/>
      </tp>
      <tp t="s">
        <v>#N/A Requesting Data...4008070330</v>
        <stp/>
        <stp>BDP|5132124483294424465</stp>
        <tr r="Q1014" s="2"/>
      </tp>
      <tp t="s">
        <v>#N/A Requesting Data...4146220639</v>
        <stp/>
        <stp>BDP|9289311267152025268</stp>
        <tr r="R1116" s="2"/>
      </tp>
      <tp t="b">
        <v>0</v>
        <stp/>
        <stp>BDS|4616828703861130144</stp>
        <tr r="I254" s="2"/>
      </tp>
      <tp t="s">
        <v>#N/A Requesting Data...4033063475</v>
        <stp/>
        <stp>BDP|6132453852193562812</stp>
        <tr r="R560" s="2"/>
      </tp>
      <tp t="s">
        <v>#N/A Requesting Data...4112623620</v>
        <stp/>
        <stp>BDP|7564536445733421950</stp>
        <tr r="J1198" s="2"/>
      </tp>
      <tp t="b">
        <v>0</v>
        <stp/>
        <stp>BDS|1777946449645095588</stp>
        <tr r="I1439" s="2"/>
      </tp>
      <tp t="s">
        <v>#N/A Requesting Data...3880469446</v>
        <stp/>
        <stp>BDP|5989961704810165082</stp>
        <tr r="Q1460" s="2"/>
      </tp>
      <tp t="s">
        <v>#N/A Requesting Data...4085053229</v>
        <stp/>
        <stp>BDP|9701163188755374987</stp>
        <tr r="N2436" s="2"/>
      </tp>
      <tp t="s">
        <v>#N/A Requesting Data...4206970532</v>
        <stp/>
        <stp>BDP|3124197376241971854</stp>
        <tr r="P1776" s="2"/>
      </tp>
      <tp t="s">
        <v>#N/A Requesting Data...4152521671</v>
        <stp/>
        <stp>BDP|9972243845190341395</stp>
        <tr r="M445" s="2"/>
      </tp>
      <tp t="b">
        <v>0</v>
        <stp/>
        <stp>BDS|6171871067590204414</stp>
        <tr r="I664" s="2"/>
      </tp>
      <tp t="s">
        <v>#N/A Requesting Data...4198960204</v>
        <stp/>
        <stp>BDP|7097736962268595260</stp>
        <tr r="J20" s="2"/>
      </tp>
      <tp t="s">
        <v>#N/A Requesting Data...4070619995</v>
        <stp/>
        <stp>BDP|7031400958302863822</stp>
        <tr r="S1563" s="2"/>
      </tp>
      <tp t="s">
        <v>#N/A Requesting Data...4286899064</v>
        <stp/>
        <stp>BDP|5025842853186750223</stp>
        <tr r="O509" s="2"/>
      </tp>
      <tp t="s">
        <v>#N/A Requesting Data...4289850578</v>
        <stp/>
        <stp>BDP|1580374036814717912</stp>
        <tr r="N1254" s="2"/>
      </tp>
      <tp t="s">
        <v>#N/A Requesting Data...3956562548</v>
        <stp/>
        <stp>BDP|8170605741203200507</stp>
        <tr r="G1651" s="2"/>
      </tp>
      <tp t="s">
        <v>#N/A Requesting Data...4217438779</v>
        <stp/>
        <stp>BDP|4768038328542887864</stp>
        <tr r="E2109" s="2"/>
      </tp>
      <tp t="s">
        <v>#N/A Requesting Data...3934207940</v>
        <stp/>
        <stp>BDP|5451122164627068900</stp>
        <tr r="G392" s="2"/>
      </tp>
      <tp t="s">
        <v>#N/A Requesting Data...4244332127</v>
        <stp/>
        <stp>BDP|4830084830178424363</stp>
        <tr r="R102" s="2"/>
      </tp>
      <tp t="s">
        <v>#N/A Requesting Data...4248004728</v>
        <stp/>
        <stp>BDP|7332810947533043475</stp>
        <tr r="R1215" s="2"/>
      </tp>
      <tp t="s">
        <v>#N/A Requesting Data...4040371124</v>
        <stp/>
        <stp>BDP|8120936000729046401</stp>
        <tr r="G2273" s="2"/>
      </tp>
      <tp t="b">
        <v>0</v>
        <stp/>
        <stp>BDS|8331198219541532548</stp>
        <tr r="I1963" s="2"/>
      </tp>
      <tp t="s">
        <v>#N/A Requesting Data...4036551372</v>
        <stp/>
        <stp>BDP|5121307187525502716</stp>
        <tr r="N2453" s="2"/>
      </tp>
      <tp t="s">
        <v>#N/A Requesting Data...3935843165</v>
        <stp/>
        <stp>BDP|4774107486878074939</stp>
        <tr r="G1941" s="2"/>
      </tp>
      <tp t="s">
        <v>#N/A Requesting Data...4252814293</v>
        <stp/>
        <stp>BDP|8552258974321185070</stp>
        <tr r="E23" s="2"/>
      </tp>
      <tp t="s">
        <v>#N/A Requesting Data...3993037180</v>
        <stp/>
        <stp>BDP|8861438805804584498</stp>
        <tr r="H1583" s="2"/>
      </tp>
      <tp t="s">
        <v>#N/A Requesting Data...4287289258</v>
        <stp/>
        <stp>BDP|9634165760673591160</stp>
        <tr r="J1417" s="2"/>
      </tp>
      <tp t="s">
        <v>#N/A Requesting Data...4200311959</v>
        <stp/>
        <stp>BDP|5528816963876756130</stp>
        <tr r="N569" s="2"/>
      </tp>
      <tp t="s">
        <v>#N/A Requesting Data...4182444009</v>
        <stp/>
        <stp>BDP|8951169310726463284</stp>
        <tr r="T1023" s="2"/>
      </tp>
      <tp t="s">
        <v>#N/A Requesting Data...4271763690</v>
        <stp/>
        <stp>BDP|1956390524594597820</stp>
        <tr r="A826" s="2"/>
      </tp>
      <tp t="s">
        <v>#N/A Requesting Data...4028509513</v>
        <stp/>
        <stp>BDP|1428367562229071139</stp>
        <tr r="G1096" s="2"/>
      </tp>
      <tp t="s">
        <v>#N/A Requesting Data...3953008033</v>
        <stp/>
        <stp>BDP|7456158991337765441</stp>
        <tr r="P2380" s="2"/>
      </tp>
      <tp t="s">
        <v>#N/A Requesting Data...4092856122</v>
        <stp/>
        <stp>BDP|1398952914427556242</stp>
        <tr r="O389" s="2"/>
      </tp>
      <tp t="s">
        <v>#N/A Requesting Data...4013219404</v>
        <stp/>
        <stp>BDP|9806925758778293133</stp>
        <tr r="J1317" s="2"/>
      </tp>
      <tp t="s">
        <v>#N/A Requesting Data...4188044282</v>
        <stp/>
        <stp>BDP|5134348771445720805</stp>
        <tr r="P546" s="2"/>
      </tp>
      <tp t="s">
        <v>#N/A Requesting Data...3961082154</v>
        <stp/>
        <stp>BDP|8336046364065190714</stp>
        <tr r="D1163" s="2"/>
      </tp>
      <tp t="s">
        <v>#N/A Requesting Data...4236570512</v>
        <stp/>
        <stp>BDP|2290049737985620843</stp>
        <tr r="A2164" s="2"/>
      </tp>
      <tp t="s">
        <v>#N/A Requesting Data...3994574327</v>
        <stp/>
        <stp>BDP|9591434932410402231</stp>
        <tr r="S2473" s="2"/>
      </tp>
      <tp t="b">
        <v>0</v>
        <stp/>
        <stp>BDS|5356901643364682057</stp>
        <tr r="I775" s="2"/>
      </tp>
      <tp t="s">
        <v>#N/A Requesting Data...4217142971</v>
        <stp/>
        <stp>BDP|1048348715748705750</stp>
        <tr r="C1955" s="2"/>
      </tp>
      <tp t="s">
        <v>#N/A Requesting Data...4052630239</v>
        <stp/>
        <stp>BDP|8779218292728340747</stp>
        <tr r="R2270" s="2"/>
      </tp>
      <tp t="s">
        <v>#N/A Requesting Data...4047060283</v>
        <stp/>
        <stp>BDP|8613342701451344639</stp>
        <tr r="J416" s="2"/>
      </tp>
      <tp t="s">
        <v>#N/A Requesting Data...4102444355</v>
        <stp/>
        <stp>BDP|4201454284753597750</stp>
        <tr r="F632" s="2"/>
      </tp>
      <tp t="s">
        <v>#N/A Requesting Data...4131963128</v>
        <stp/>
        <stp>BDP|8994896382315117107</stp>
        <tr r="N1356" s="2"/>
      </tp>
      <tp t="s">
        <v>#N/A Requesting Data...3991648277</v>
        <stp/>
        <stp>BDP|4824663564129190183</stp>
        <tr r="A2260" s="2"/>
      </tp>
      <tp t="s">
        <v>#N/A Requesting Data...4291038709</v>
        <stp/>
        <stp>BDP|5190953404062691259</stp>
        <tr r="G1229" s="2"/>
      </tp>
      <tp t="s">
        <v>#N/A Requesting Data...4293429174</v>
        <stp/>
        <stp>BDP|7188386383028036897</stp>
        <tr r="R615" s="2"/>
      </tp>
      <tp t="s">
        <v>#N/A Requesting Data...4274068090</v>
        <stp/>
        <stp>BDP|3899836417931656799</stp>
        <tr r="R1976" s="2"/>
      </tp>
      <tp t="s">
        <v>#N/A Requesting Data...4138169137</v>
        <stp/>
        <stp>BDP|4710980370255881346</stp>
        <tr r="R954" s="2"/>
      </tp>
      <tp t="s">
        <v>#N/A Requesting Data...4086289000</v>
        <stp/>
        <stp>BDP|1382960918411717490</stp>
        <tr r="P2452" s="2"/>
      </tp>
      <tp t="s">
        <v>#N/A Requesting Data...4198563002</v>
        <stp/>
        <stp>BDP|9564141459059888832</stp>
        <tr r="T499" s="2"/>
      </tp>
      <tp t="s">
        <v>#N/A Requesting Data...4058620692</v>
        <stp/>
        <stp>BDP|3335774865177094922</stp>
        <tr r="E2226" s="2"/>
      </tp>
      <tp t="s">
        <v>#N/A Requesting Data...4235651287</v>
        <stp/>
        <stp>BDP|8517834793396637308</stp>
        <tr r="K92" s="2"/>
      </tp>
      <tp t="s">
        <v>#N/A Requesting Data...4086347738</v>
        <stp/>
        <stp>BDP|5071139111380811991</stp>
        <tr r="P2165" s="2"/>
      </tp>
      <tp t="s">
        <v>#N/A Requesting Data...4111476460</v>
        <stp/>
        <stp>BDP|2394873696719807691</stp>
        <tr r="E1114" s="2"/>
      </tp>
      <tp t="s">
        <v>#N/A Requesting Data...4032051733</v>
        <stp/>
        <stp>BDP|8385400572345050222</stp>
        <tr r="O107" s="2"/>
      </tp>
      <tp t="s">
        <v>#N/A Requesting Data...4284140112</v>
        <stp/>
        <stp>BDP|2022431522248055028</stp>
        <tr r="D1197" s="2"/>
      </tp>
      <tp t="s">
        <v>#N/A Requesting Data...4258045939</v>
        <stp/>
        <stp>BDP|4375716246933033877</stp>
        <tr r="F1309" s="2"/>
      </tp>
      <tp t="s">
        <v>#N/A Requesting Data...4256942882</v>
        <stp/>
        <stp>BDP|8211835791950421573</stp>
        <tr r="P530" s="2"/>
      </tp>
      <tp t="s">
        <v>#N/A Requesting Data...4048446152</v>
        <stp/>
        <stp>BDP|9264563100749363948</stp>
        <tr r="R3" s="2"/>
      </tp>
      <tp t="s">
        <v>#N/A Requesting Data...4212124140</v>
        <stp/>
        <stp>BDP|8031226923926226202</stp>
        <tr r="Q329" s="2"/>
      </tp>
      <tp t="s">
        <v>#N/A Requesting Data...4088306809</v>
        <stp/>
        <stp>BDP|4520836444045489150</stp>
        <tr r="C1073" s="2"/>
      </tp>
      <tp t="s">
        <v>#N/A Requesting Data...4204936680</v>
        <stp/>
        <stp>BDP|7075548709366833860</stp>
        <tr r="T742" s="2"/>
      </tp>
      <tp t="s">
        <v>#N/A Requesting Data...4034942452</v>
        <stp/>
        <stp>BDP|3363137690932434574</stp>
        <tr r="A602" s="2"/>
      </tp>
      <tp t="b">
        <v>0</v>
        <stp/>
        <stp>BDS|9058661905832680168</stp>
        <tr r="I432" s="2"/>
      </tp>
      <tp t="s">
        <v>#N/A Requesting Data...4259121581</v>
        <stp/>
        <stp>BDP|8549459072075810293</stp>
        <tr r="O1086" s="2"/>
      </tp>
      <tp t="s">
        <v>#N/A Requesting Data...4181585530</v>
        <stp/>
        <stp>BDP|3320629746159638426</stp>
        <tr r="F343" s="2"/>
      </tp>
      <tp t="s">
        <v>#N/A Requesting Data...4292848879</v>
        <stp/>
        <stp>BDP|3123244567838560346</stp>
        <tr r="T58" s="2"/>
      </tp>
      <tp t="s">
        <v>#N/A Requesting Data...4194673926</v>
        <stp/>
        <stp>BDP|2603359537756534823</stp>
        <tr r="E1129" s="2"/>
      </tp>
      <tp t="s">
        <v>#N/A Requesting Data...4271853162</v>
        <stp/>
        <stp>BDP|6360871080548357249</stp>
        <tr r="O2215" s="2"/>
      </tp>
      <tp t="s">
        <v>#N/A Requesting Data...4199421240</v>
        <stp/>
        <stp>BDP|2397450191132519117</stp>
        <tr r="D909" s="2"/>
      </tp>
      <tp t="s">
        <v>#N/A Requesting Data...4271673726</v>
        <stp/>
        <stp>BDP|5029878361593259474</stp>
        <tr r="S732" s="2"/>
      </tp>
      <tp t="s">
        <v>#N/A Requesting Data...4172703996</v>
        <stp/>
        <stp>BDP|1164557147444055801</stp>
        <tr r="J1773" s="2"/>
      </tp>
      <tp t="s">
        <v>#N/A Requesting Data...4081847815</v>
        <stp/>
        <stp>BDP|5313562266133802983</stp>
        <tr r="R1710" s="2"/>
      </tp>
      <tp t="s">
        <v>#N/A Requesting Data...4204525163</v>
        <stp/>
        <stp>BDP|2420007897080722776</stp>
        <tr r="E1527" s="2"/>
      </tp>
      <tp t="s">
        <v>#N/A Requesting Data...4153875557</v>
        <stp/>
        <stp>BDP|7043811312203122114</stp>
        <tr r="A2240" s="2"/>
      </tp>
      <tp t="s">
        <v>#N/A Requesting Data...4239137104</v>
        <stp/>
        <stp>BDP|6550222728182942853</stp>
        <tr r="O2490" s="2"/>
      </tp>
      <tp t="s">
        <v>#N/A Requesting Data...4153910236</v>
        <stp/>
        <stp>BDP|5053633092746479067</stp>
        <tr r="H1635" s="2"/>
      </tp>
      <tp t="s">
        <v>#N/A Requesting Data...4193183939</v>
        <stp/>
        <stp>BDP|8602746774746705221</stp>
        <tr r="D238" s="2"/>
      </tp>
      <tp t="s">
        <v>#N/A Requesting Data...4122551082</v>
        <stp/>
        <stp>BDP|4315446404504807882</stp>
        <tr r="K2500" s="2"/>
      </tp>
      <tp t="s">
        <v>#N/A Requesting Data...4163174343</v>
        <stp/>
        <stp>BDP|8877751316657157595</stp>
        <tr r="H947" s="2"/>
      </tp>
      <tp t="s">
        <v>#N/A Requesting Data...4182857654</v>
        <stp/>
        <stp>BDP|1107317421244354810</stp>
        <tr r="Q1034" s="2"/>
      </tp>
      <tp t="s">
        <v>#N/A Requesting Data...4162150245</v>
        <stp/>
        <stp>BDP|4059893106531827141</stp>
        <tr r="R1422" s="2"/>
      </tp>
      <tp t="s">
        <v>#N/A Requesting Data...4183483363</v>
        <stp/>
        <stp>BDP|8889507055322747698</stp>
        <tr r="K2466" s="2"/>
      </tp>
      <tp t="s">
        <v>#N/A Requesting Data...4197681389</v>
        <stp/>
        <stp>BDP|1803020393280241486</stp>
        <tr r="P497" s="2"/>
      </tp>
      <tp t="s">
        <v>#N/A Requesting Data...4149224738</v>
        <stp/>
        <stp>BDP|9191612206183792023</stp>
        <tr r="N2449" s="2"/>
      </tp>
      <tp t="s">
        <v>#N/A Requesting Data...4178562202</v>
        <stp/>
        <stp>BDP|2077602180232445270</stp>
        <tr r="D1822" s="2"/>
      </tp>
      <tp t="s">
        <v>#N/A Requesting Data...4157019072</v>
        <stp/>
        <stp>BDP|4852340786127165481</stp>
        <tr r="T1537" s="2"/>
      </tp>
      <tp t="s">
        <v>#N/A Requesting Data...4219130282</v>
        <stp/>
        <stp>BDP|9712693280722950943</stp>
        <tr r="G690" s="2"/>
      </tp>
      <tp t="s">
        <v>#N/A Requesting Data...4252674495</v>
        <stp/>
        <stp>BDP|9296749705546579451</stp>
        <tr r="G1622" s="2"/>
      </tp>
      <tp t="s">
        <v>#N/A Requesting Data...4267711506</v>
        <stp/>
        <stp>BDP|2510420302398762217</stp>
        <tr r="G984" s="2"/>
      </tp>
      <tp t="s">
        <v>#N/A Requesting Data...4194436058</v>
        <stp/>
        <stp>BDP|6688800344332810499</stp>
        <tr r="P2478" s="2"/>
      </tp>
      <tp t="b">
        <v>0</v>
        <stp/>
        <stp>BDS|1118598700940973827</stp>
        <tr r="I2334" s="2"/>
      </tp>
      <tp t="s">
        <v>#N/A Requesting Data...4165300503</v>
        <stp/>
        <stp>BDP|4148655647318905291</stp>
        <tr r="N1351" s="2"/>
      </tp>
      <tp t="b">
        <v>0</v>
        <stp/>
        <stp>BDS|4747643372579038021</stp>
        <tr r="I2465" s="2"/>
      </tp>
      <tp t="s">
        <v>#N/A Requesting Data...4226939504</v>
        <stp/>
        <stp>BDP|8053985410645361982</stp>
        <tr r="A1882" s="2"/>
      </tp>
      <tp t="s">
        <v>#N/A Requesting Data...4141153433</v>
        <stp/>
        <stp>BDP|9499253061688772949</stp>
        <tr r="E1472" s="2"/>
      </tp>
      <tp t="b">
        <v>0</v>
        <stp/>
        <stp>BDS|6387025997934021757</stp>
        <tr r="I1654" s="2"/>
      </tp>
      <tp t="s">
        <v>#N/A Requesting Data...4227226292</v>
        <stp/>
        <stp>BDP|3823102512499977601</stp>
        <tr r="R1505" s="2"/>
      </tp>
      <tp t="s">
        <v>#N/A Requesting Data...4182591554</v>
        <stp/>
        <stp>BDP|2759030670799302047</stp>
        <tr r="D2311" s="2"/>
      </tp>
      <tp t="s">
        <v>#N/A Requesting Data...4224742675</v>
        <stp/>
        <stp>BDP|6251264086604933481</stp>
        <tr r="P256" s="2"/>
      </tp>
      <tp t="s">
        <v>#N/A Requesting Data...4271988671</v>
        <stp/>
        <stp>BDP|9145121742425122536</stp>
        <tr r="E982" s="2"/>
      </tp>
      <tp t="b">
        <v>0</v>
        <stp/>
        <stp>BDS|3505883217343821514</stp>
        <tr r="I2310" s="2"/>
      </tp>
      <tp t="s">
        <v>#N/A Requesting Data...4222582795</v>
        <stp/>
        <stp>BDP|4632441856700744904</stp>
        <tr r="R2070" s="2"/>
      </tp>
      <tp t="s">
        <v>#N/A Requesting Data...4185984845</v>
        <stp/>
        <stp>BDP|9714374251886101538</stp>
        <tr r="D2345" s="2"/>
      </tp>
      <tp t="s">
        <v>#N/A Requesting Data...4231820623</v>
        <stp/>
        <stp>BDP|2539875971372313330</stp>
        <tr r="H2181" s="2"/>
      </tp>
      <tp t="s">
        <v>#N/A Requesting Data...4266169304</v>
        <stp/>
        <stp>BDP|8483592415239840938</stp>
        <tr r="P2150" s="2"/>
      </tp>
      <tp t="s">
        <v>#N/A Requesting Data...4288218664</v>
        <stp/>
        <stp>BDP|9154360520551342570</stp>
        <tr r="K1004" s="2"/>
      </tp>
      <tp t="s">
        <v>#N/A Requesting Data...4220996390</v>
        <stp/>
        <stp>BDP|7504177571415277820</stp>
        <tr r="H895" s="2"/>
      </tp>
      <tp t="s">
        <v>#N/A Requesting Data...4256954249</v>
        <stp/>
        <stp>BDP|8413389843960533396</stp>
        <tr r="K1196" s="2"/>
      </tp>
      <tp t="b">
        <v>0</v>
        <stp/>
        <stp>BDS|7465133442278508630</stp>
        <tr r="I750" s="2"/>
      </tp>
      <tp t="b">
        <v>0</v>
        <stp/>
        <stp>BDS|2088607721058495261</stp>
        <tr r="I1987" s="2"/>
      </tp>
      <tp t="s">
        <v>#N/A Requesting Data...4220961304</v>
        <stp/>
        <stp>BDP|6547722344369539052</stp>
        <tr r="A2457" s="2"/>
      </tp>
      <tp t="s">
        <v>#N/A Requesting Data...4262997391</v>
        <stp/>
        <stp>BDP|7439724930639106646</stp>
        <tr r="E1158" s="2"/>
      </tp>
      <tp t="s">
        <v>#N/A Requesting Data...4278316688</v>
        <stp/>
        <stp>BDP|2197839411675142215</stp>
        <tr r="K523" s="2"/>
      </tp>
      <tp t="s">
        <v>#N/A Requesting Data...4183574494</v>
        <stp/>
        <stp>BDP|8205871586317556350</stp>
        <tr r="R1537" s="2"/>
      </tp>
      <tp t="s">
        <v>#N/A Requesting Data...4179596576</v>
        <stp/>
        <stp>BDP|6631653834556300972</stp>
        <tr r="T1541" s="2"/>
      </tp>
      <tp t="s">
        <v>#N/A Requesting Data...4193951764</v>
        <stp/>
        <stp>BDP|4751967510699532970</stp>
        <tr r="S1860" s="2"/>
      </tp>
      <tp t="s">
        <v>#N/A Requesting Data...4210141758</v>
        <stp/>
        <stp>BDP|5880990435952438135</stp>
        <tr r="D1338" s="2"/>
      </tp>
      <tp t="s">
        <v>#N/A Requesting Data...4233428809</v>
        <stp/>
        <stp>BDP|7475177636338069162</stp>
        <tr r="T837" s="2"/>
      </tp>
      <tp t="s">
        <v>#N/A Requesting Data...4196832909</v>
        <stp/>
        <stp>BDP|9206107247244134470</stp>
        <tr r="R2180" s="2"/>
      </tp>
      <tp t="s">
        <v>#N/A Requesting Data...4260514770</v>
        <stp/>
        <stp>BDP|8002076732403663402</stp>
        <tr r="H1400" s="2"/>
      </tp>
      <tp t="s">
        <v>#N/A Requesting Data...4281014714</v>
        <stp/>
        <stp>BDP|9356255482519051676</stp>
        <tr r="R1989" s="2"/>
      </tp>
      <tp t="s">
        <v>#N/A Requesting Data...4194636072</v>
        <stp/>
        <stp>BDP|9552145177153065051</stp>
        <tr r="K2524" s="2"/>
      </tp>
      <tp t="s">
        <v>#N/A Requesting Data...4242623139</v>
        <stp/>
        <stp>BDP|4718755790727361123</stp>
        <tr r="P1639" s="2"/>
      </tp>
      <tp t="s">
        <v>#N/A Requesting Data...4222786574</v>
        <stp/>
        <stp>BDP|9031675801773426015</stp>
        <tr r="O937" s="2"/>
      </tp>
      <tp t="s">
        <v>#N/A Requesting Data...4227490660</v>
        <stp/>
        <stp>BDP|4398766397055497350</stp>
        <tr r="Q576" s="2"/>
      </tp>
      <tp t="s">
        <v>#N/A Requesting Data...4240434752</v>
        <stp/>
        <stp>BDP|6897011851906335984</stp>
        <tr r="N674" s="2"/>
      </tp>
      <tp t="s">
        <v>#N/A Requesting Data...4286486595</v>
        <stp/>
        <stp>BDP|4115815077706081172</stp>
        <tr r="D650" s="2"/>
      </tp>
      <tp t="s">
        <v>#N/A Requesting Data...4285494031</v>
        <stp/>
        <stp>BDP|6945099430859280024</stp>
        <tr r="G499" s="2"/>
      </tp>
      <tp t="b">
        <v>0</v>
        <stp/>
        <stp>BDS|8874648366271845523</stp>
        <tr r="I2095" s="2"/>
      </tp>
      <tp t="s">
        <v>#N/A Requesting Data...4267548015</v>
        <stp/>
        <stp>BDP|5017395209069093304</stp>
        <tr r="F1935" s="2"/>
      </tp>
      <tp t="b">
        <v>0</v>
        <stp/>
        <stp>BDS|6526198580001970257</stp>
        <tr r="I2415" s="2"/>
      </tp>
      <tp t="s">
        <v>#N/A Requesting Data...4287728305</v>
        <stp/>
        <stp>BDP|3784762447994495823</stp>
        <tr r="E1898" s="2"/>
      </tp>
      <tp t="s">
        <v>#N/A Requesting Data...4263215647</v>
        <stp/>
        <stp>BDP|8380395938742563675</stp>
        <tr r="P279" s="2"/>
      </tp>
      <tp t="s">
        <v>#N/A Requesting Data...4273065660</v>
        <stp/>
        <stp>BDP|4031641947812221811</stp>
        <tr r="E1543" s="2"/>
      </tp>
      <tp t="s">
        <v>#N/A Requesting Data...4268034178</v>
        <stp/>
        <stp>BDP|7416200992377082763</stp>
        <tr r="E2284" s="2"/>
      </tp>
      <tp t="s">
        <v>#N/A Requesting Data...4285438407</v>
        <stp/>
        <stp>BDP|2669908332173718736</stp>
        <tr r="P1774" s="2"/>
      </tp>
      <tp t="s">
        <v>#N/A Requesting Data...4269680180</v>
        <stp/>
        <stp>BDP|5916328431969301098</stp>
        <tr r="Q692" s="2"/>
      </tp>
      <tp t="s">
        <v>#N/A Requesting Data...4282613197</v>
        <stp/>
        <stp>BDP|9275973200629095553</stp>
        <tr r="S1338" s="2"/>
      </tp>
      <tp t="s">
        <v>#N/A Requesting Data...4276610894</v>
        <stp/>
        <stp>BDP|3314211649041907828</stp>
        <tr r="G1634" s="2"/>
      </tp>
      <tp t="s">
        <v>#N/A Requesting Data...4289893129</v>
        <stp/>
        <stp>BDP|6607257793657504659</stp>
        <tr r="A812" s="2"/>
      </tp>
      <tp t="s">
        <v>#N/A Requesting Data...4246035489</v>
        <stp/>
        <stp>BDP|8576065373422575159</stp>
        <tr r="K1896" s="2"/>
      </tp>
      <tp t="s">
        <v>#N/A Requesting Data...4287215846</v>
        <stp/>
        <stp>BDP|3311931155816135540</stp>
        <tr r="O1218" s="2"/>
      </tp>
      <tp t="s">
        <v>#N/A Requesting Data...4264244491</v>
        <stp/>
        <stp>BDP|8926814188155447148</stp>
        <tr r="G1157" s="2"/>
      </tp>
      <tp t="s">
        <v>#N/A Requesting Data...4263973523</v>
        <stp/>
        <stp>BDP|1873754984024989600</stp>
        <tr r="O1356" s="2"/>
      </tp>
      <tp t="s">
        <v>#N/A Requesting Data...4262240564</v>
        <stp/>
        <stp>BDP|8040696033991828022</stp>
        <tr r="Q2195" s="2"/>
      </tp>
      <tp t="s">
        <v>#N/A Requesting Data...4266915776</v>
        <stp/>
        <stp>BDP|3635858956560454210</stp>
        <tr r="G1700" s="2"/>
      </tp>
      <tp t="s">
        <v>#N/A Requesting Data...4271936003</v>
        <stp/>
        <stp>BDP|4831403181866028291</stp>
        <tr r="N746" s="2"/>
      </tp>
      <tp t="s">
        <v>#N/A Requesting Data...4287600084</v>
        <stp/>
        <stp>BDP|5090040980458649923</stp>
        <tr r="S797" s="2"/>
      </tp>
      <tp t="b">
        <v>0</v>
        <stp/>
        <stp>BDS|2656018780175146361</stp>
        <tr r="I950" s="2"/>
      </tp>
      <tp t="s">
        <v>#N/A Requesting Data...4279706326</v>
        <stp/>
        <stp>BDP|7917403088914205331</stp>
        <tr r="T288" s="2"/>
      </tp>
      <tp t="b">
        <v>0</v>
        <stp/>
        <stp>BDS|3768029295617738173</stp>
        <tr r="I1211" s="2"/>
      </tp>
      <tp t="s">
        <v>#N/A Requesting Data...4285884578</v>
        <stp/>
        <stp>BDP|1329345860398765008</stp>
        <tr r="C1496" s="2"/>
      </tp>
      <tp t="s">
        <v>#N/A Requesting Data...4286295198</v>
        <stp/>
        <stp>BDP|9174765803343427109</stp>
        <tr r="E285" s="2"/>
      </tp>
      <tp t="s">
        <v>#N/A Requesting Data...4290779838</v>
        <stp/>
        <stp>BDP|4166060487434375438</stp>
        <tr r="R1872" s="2"/>
      </tp>
      <tp t="s">
        <v>#N/A Requesting Data...4285716805</v>
        <stp/>
        <stp>BDP|6182091825091514985</stp>
        <tr r="O1094" s="2"/>
      </tp>
      <tp t="s">
        <v>#N/A Requesting Data...4293755049</v>
        <stp/>
        <stp>BDP|3950690643168581561</stp>
        <tr r="Q1986" s="2"/>
      </tp>
      <tp t="s">
        <v>#N/A Requesting Data...4290907945</v>
        <stp/>
        <stp>BDP|4004215227940573836</stp>
        <tr r="H761" s="2"/>
      </tp>
      <tp t="s">
        <v>#N/A Requesting Data...4292075282</v>
        <stp/>
        <stp>BDP|6099577917698218624</stp>
        <tr r="C1963" s="2"/>
      </tp>
      <tp t="s">
        <v>#N/A Requesting Data...4294207753</v>
        <stp/>
        <stp>BDP|3474899929470666521</stp>
        <tr r="O631" s="2"/>
      </tp>
      <tp t="s">
        <v>#N/A Requesting Data...2614311325</v>
        <stp/>
        <stp>BDP|9647146160194287606</stp>
        <tr r="D1451" s="2"/>
      </tp>
      <tp t="s">
        <v>#N/A Requesting Data...2291481535</v>
        <stp/>
        <stp>BDP|7595691392895696184</stp>
        <tr r="C1145" s="2"/>
      </tp>
      <tp t="b">
        <v>0</v>
        <stp/>
        <stp>BDS|2624237317988315513</stp>
        <tr r="I145" s="2"/>
      </tp>
      <tp t="s">
        <v>#N/A Requesting Data...3607705204</v>
        <stp/>
        <stp>BDP|9154502663215594370</stp>
        <tr r="O401" s="2"/>
      </tp>
      <tp t="s">
        <v>#N/A Requesting Data...4166720545</v>
        <stp/>
        <stp>BDP|7290169675558781561</stp>
        <tr r="F1054" s="2"/>
      </tp>
      <tp t="s">
        <v>#N/A Requesting Data...2098022572</v>
        <stp/>
        <stp>BDP|7485747986191407522</stp>
        <tr r="F2504" s="2"/>
      </tp>
      <tp t="s">
        <v>#N/A Requesting Data...2543892687</v>
        <stp/>
        <stp>BDP|2554959526556369353</stp>
        <tr r="R2440" s="2"/>
      </tp>
      <tp t="s">
        <v>#N/A Requesting Data...821338895</v>
        <stp/>
        <stp>BDP|3345538580943109119</stp>
        <tr r="P1297" s="2"/>
      </tp>
      <tp t="s">
        <v>#N/A Requesting Data...3332090585</v>
        <stp/>
        <stp>BDP|6164234846895558913</stp>
        <tr r="M2244" s="2"/>
      </tp>
      <tp t="s">
        <v>#N/A Requesting Data...3437284716</v>
        <stp/>
        <stp>BDP|5621900236581624269</stp>
        <tr r="P869" s="2"/>
      </tp>
      <tp t="s">
        <v>#N/A Requesting Data...3313399278</v>
        <stp/>
        <stp>BDP|7605171383886057420</stp>
        <tr r="H25" s="2"/>
      </tp>
      <tp t="s">
        <v>#N/A Requesting Data...1087144963</v>
        <stp/>
        <stp>BDP|5017717734905514801</stp>
        <tr r="R1864" s="2"/>
      </tp>
      <tp t="s">
        <v>#N/A Requesting Data...708193617</v>
        <stp/>
        <stp>BDP|4716846557837385278</stp>
        <tr r="R2424" s="2"/>
      </tp>
      <tp t="s">
        <v>#N/A Requesting Data...1485153322</v>
        <stp/>
        <stp>BDP|5173878554170491468</stp>
        <tr r="S1679" s="2"/>
      </tp>
      <tp t="s">
        <v>#N/A Requesting Data...99284085</v>
        <stp/>
        <stp>BDP|7537131726361166918</stp>
        <tr r="S757" s="2"/>
      </tp>
      <tp t="s">
        <v>#N/A Requesting Data...2147494740</v>
        <stp/>
        <stp>BDP|8577408606968594860</stp>
        <tr r="D1104" s="2"/>
      </tp>
      <tp t="s">
        <v>#N/A Requesting Data...2326732106</v>
        <stp/>
        <stp>BDP|9016001125373658439</stp>
        <tr r="P480" s="2"/>
      </tp>
      <tp t="s">
        <v>#N/A Requesting Data...2552027303</v>
        <stp/>
        <stp>BDP|6152304278448081693</stp>
        <tr r="N690" s="2"/>
      </tp>
      <tp t="s">
        <v>#N/A Requesting Data...1220477905</v>
        <stp/>
        <stp>BDP|6453121567028684572</stp>
        <tr r="G323" s="2"/>
      </tp>
      <tp t="s">
        <v>#N/A Requesting Data...2507867369</v>
        <stp/>
        <stp>BDP|7122529964390242852</stp>
        <tr r="Q120" s="2"/>
      </tp>
      <tp t="s">
        <v>#N/A Requesting Data...2672305414</v>
        <stp/>
        <stp>BDP|5886153626162217895</stp>
        <tr r="T1617" s="2"/>
      </tp>
      <tp t="s">
        <v>#N/A Requesting Data...3554444253</v>
        <stp/>
        <stp>BDP|1707084169099027268</stp>
        <tr r="T905" s="2"/>
      </tp>
      <tp t="s">
        <v>#N/A Requesting Data...378039294</v>
        <stp/>
        <stp>BDP|7460286594882835205</stp>
        <tr r="O2521" s="2"/>
      </tp>
      <tp t="s">
        <v>#N/A Requesting Data...4249673162</v>
        <stp/>
        <stp>BDP|7620081564145365895</stp>
        <tr r="N1524" s="2"/>
      </tp>
      <tp t="s">
        <v>#N/A Requesting Data...3246977855</v>
        <stp/>
        <stp>BDP|9203901597411413415</stp>
        <tr r="D1061" s="2"/>
      </tp>
      <tp t="s">
        <v>#N/A Requesting Data...1666751033</v>
        <stp/>
        <stp>BDP|6102555946288636345</stp>
        <tr r="E2179" s="2"/>
      </tp>
      <tp t="s">
        <v>#N/A Requesting Data...2739567502</v>
        <stp/>
        <stp>BDP|4291301479818812430</stp>
        <tr r="C1357" s="2"/>
      </tp>
      <tp t="s">
        <v>#N/A Requesting Data...204689415</v>
        <stp/>
        <stp>BDP|4887901858473554759</stp>
        <tr r="T2223" s="2"/>
      </tp>
      <tp t="s">
        <v>#N/A Requesting Data...3021649622</v>
        <stp/>
        <stp>BDP|6280421606896676807</stp>
        <tr r="N2062" s="2"/>
      </tp>
      <tp t="s">
        <v>#N/A Requesting Data...3909274757</v>
        <stp/>
        <stp>BDP|2216040978091812860</stp>
        <tr r="C554" s="2"/>
      </tp>
      <tp t="s">
        <v>#N/A Requesting Data...2590598687</v>
        <stp/>
        <stp>BDP|9069573047285256122</stp>
        <tr r="T666" s="2"/>
      </tp>
      <tp t="s">
        <v>#N/A Requesting Data...3071525243</v>
        <stp/>
        <stp>BDP|9747066004403606636</stp>
        <tr r="M2338" s="2"/>
      </tp>
      <tp t="s">
        <v>#N/A Requesting Data...3690481828</v>
        <stp/>
        <stp>BDP|7915860019183151175</stp>
        <tr r="H1904" s="2"/>
      </tp>
      <tp t="s">
        <v>#N/A Requesting Data...2470249398</v>
        <stp/>
        <stp>BDP|8069507136377643506</stp>
        <tr r="D680" s="2"/>
      </tp>
      <tp t="s">
        <v>#N/A Requesting Data...2036314762</v>
        <stp/>
        <stp>BDP|7916962928233653314</stp>
        <tr r="Q2351" s="2"/>
      </tp>
      <tp t="s">
        <v>#N/A Requesting Data...454002747</v>
        <stp/>
        <stp>BDP|1344178914978322537</stp>
        <tr r="C1136" s="2"/>
      </tp>
      <tp t="s">
        <v>#N/A Requesting Data...1155281961</v>
        <stp/>
        <stp>BDP|4250072681495674524</stp>
        <tr r="P9" s="2"/>
      </tp>
      <tp t="s">
        <v>#N/A Requesting Data...513436716</v>
        <stp/>
        <stp>BDP|9957744243814792293</stp>
        <tr r="D19" s="2"/>
      </tp>
      <tp t="s">
        <v>#N/A Requesting Data...1301811863</v>
        <stp/>
        <stp>BDP|4064819053451186430</stp>
        <tr r="P670" s="2"/>
      </tp>
      <tp t="s">
        <v>#N/A Requesting Data...426402422</v>
        <stp/>
        <stp>BDP|5109069441199024469</stp>
        <tr r="C2526" s="2"/>
      </tp>
      <tp t="s">
        <v>#N/A Requesting Data...2381058619</v>
        <stp/>
        <stp>BDP|9707805394016314207</stp>
        <tr r="F213" s="2"/>
      </tp>
      <tp t="s">
        <v>#N/A Requesting Data...456916737</v>
        <stp/>
        <stp>BDP|9741943539539286689</stp>
        <tr r="E1205" s="2"/>
      </tp>
      <tp t="s">
        <v>#N/A Requesting Data...236875742</v>
        <stp/>
        <stp>BDP|7145697889496906384</stp>
        <tr r="H2239" s="2"/>
      </tp>
      <tp t="s">
        <v>#N/A Requesting Data...3057224577</v>
        <stp/>
        <stp>BDP|8953048034027072099</stp>
        <tr r="T1324" s="2"/>
      </tp>
      <tp t="b">
        <v>0</v>
        <stp/>
        <stp>BDS|5714190903378803052</stp>
        <tr r="I1739" s="2"/>
      </tp>
      <tp t="s">
        <v>#N/A Requesting Data...2067980753</v>
        <stp/>
        <stp>BDP|9593117403754787003</stp>
        <tr r="D895" s="2"/>
      </tp>
      <tp t="s">
        <v>#N/A Requesting Data...3161863630</v>
        <stp/>
        <stp>BDP|6335391798055691549</stp>
        <tr r="Q1922" s="2"/>
      </tp>
      <tp t="s">
        <v>#N/A Requesting Data...1641598767</v>
        <stp/>
        <stp>BDP|5232923640906936298</stp>
        <tr r="J717" s="2"/>
      </tp>
      <tp t="s">
        <v>#N/A Requesting Data...2334678854</v>
        <stp/>
        <stp>BDP|7302272816351353916</stp>
        <tr r="D2384" s="2"/>
      </tp>
      <tp t="s">
        <v>#N/A Requesting Data...1410620196</v>
        <stp/>
        <stp>BDP|6033565559262769880</stp>
        <tr r="M1662" s="2"/>
      </tp>
      <tp t="s">
        <v>#N/A Requesting Data...214299835</v>
        <stp/>
        <stp>BDP|3058811683327138831</stp>
        <tr r="S159" s="2"/>
      </tp>
      <tp t="s">
        <v>#N/A Requesting Data...727751976</v>
        <stp/>
        <stp>BDP|4380970140532396771</stp>
        <tr r="H306" s="2"/>
      </tp>
      <tp t="s">
        <v>#N/A Requesting Data...385261578</v>
        <stp/>
        <stp>BDP|9941891526629177671</stp>
        <tr r="C1171" s="2"/>
      </tp>
      <tp t="s">
        <v>#N/A Requesting Data...3660660404</v>
        <stp/>
        <stp>BDP|9405120386049861583</stp>
        <tr r="D2235" s="2"/>
      </tp>
      <tp t="s">
        <v>#N/A Requesting Data...3952615695</v>
        <stp/>
        <stp>BDP|3075466222421308870</stp>
        <tr r="R883" s="2"/>
      </tp>
      <tp t="s">
        <v>#N/A Requesting Data...4080736100</v>
        <stp/>
        <stp>BDP|1374033720199965696</stp>
        <tr r="H2425" s="2"/>
      </tp>
      <tp t="s">
        <v>#N/A Requesting Data...2248409384</v>
        <stp/>
        <stp>BDP|5469300463558060470</stp>
        <tr r="K2250" s="2"/>
      </tp>
      <tp t="s">
        <v>#N/A Requesting Data...956948644</v>
        <stp/>
        <stp>BDP|2946898045843456115</stp>
        <tr r="O1551" s="2"/>
      </tp>
      <tp t="s">
        <v>#N/A Requesting Data...3333825927</v>
        <stp/>
        <stp>BDP|1874776658049776602</stp>
        <tr r="J1430" s="2"/>
      </tp>
      <tp t="s">
        <v>#N/A Requesting Data...2117333357</v>
        <stp/>
        <stp>BDP|4915950757230930424</stp>
        <tr r="P650" s="2"/>
      </tp>
      <tp t="s">
        <v>#N/A Requesting Data...2758011634</v>
        <stp/>
        <stp>BDP|5660679904869476614</stp>
        <tr r="H1025" s="2"/>
      </tp>
      <tp t="b">
        <v>0</v>
        <stp/>
        <stp>BDS|1367846300860289557</stp>
        <tr r="I1225" s="2"/>
      </tp>
      <tp t="s">
        <v>#N/A Requesting Data...3170365621</v>
        <stp/>
        <stp>BDP|1450966142719824981</stp>
        <tr r="T183" s="2"/>
      </tp>
      <tp t="s">
        <v>#N/A Requesting Data...296016205</v>
        <stp/>
        <stp>BDP|8934823600144955823</stp>
        <tr r="R1502" s="2"/>
      </tp>
      <tp t="s">
        <v>#N/A Requesting Data...2401437529</v>
        <stp/>
        <stp>BDP|2593173151772499873</stp>
        <tr r="O1511" s="2"/>
      </tp>
      <tp t="s">
        <v>#N/A Requesting Data...4071920387</v>
        <stp/>
        <stp>BDP|9797627060291532408</stp>
        <tr r="E539" s="2"/>
      </tp>
      <tp t="s">
        <v>#N/A Requesting Data...2157857394</v>
        <stp/>
        <stp>BDP|4385914510362198231</stp>
        <tr r="D1239" s="2"/>
      </tp>
      <tp t="s">
        <v>#N/A Requesting Data...1651641899</v>
        <stp/>
        <stp>BDP|2969405698875593645</stp>
        <tr r="H2524" s="2"/>
      </tp>
      <tp t="s">
        <v>#N/A Requesting Data...778991788</v>
        <stp/>
        <stp>BDP|2209749177256488855</stp>
        <tr r="J1867" s="2"/>
      </tp>
      <tp t="s">
        <v>#N/A Requesting Data...1625566660</v>
        <stp/>
        <stp>BDP|3792116417756675979</stp>
        <tr r="S1317" s="2"/>
      </tp>
      <tp t="s">
        <v>#N/A Requesting Data...2643283176</v>
        <stp/>
        <stp>BDP|2005487399797178401</stp>
        <tr r="D2278" s="2"/>
      </tp>
      <tp t="s">
        <v>#N/A Requesting Data...4260591271</v>
        <stp/>
        <stp>BDP|8692214174745180424</stp>
        <tr r="K59" s="2"/>
      </tp>
      <tp t="s">
        <v>#N/A Requesting Data...3125826230</v>
        <stp/>
        <stp>BDP|9500508928882501086</stp>
        <tr r="F159" s="2"/>
      </tp>
      <tp t="s">
        <v>#N/A Requesting Data...4064531125</v>
        <stp/>
        <stp>BDP|1863289008976185998</stp>
        <tr r="R576" s="2"/>
      </tp>
      <tp t="s">
        <v>#N/A Requesting Data...1475297093</v>
        <stp/>
        <stp>BDP|9288535975507692027</stp>
        <tr r="O4" s="2"/>
      </tp>
      <tp t="s">
        <v>#N/A Requesting Data...512610629</v>
        <stp/>
        <stp>BDP|7206963820634671424</stp>
        <tr r="R1369" s="2"/>
      </tp>
      <tp t="s">
        <v>#N/A Requesting Data...2916041535</v>
        <stp/>
        <stp>BDP|1071826313761709560</stp>
        <tr r="A700" s="2"/>
      </tp>
      <tp t="s">
        <v>#N/A Requesting Data...1056069960</v>
        <stp/>
        <stp>BDP|5163907151255880092</stp>
        <tr r="Q1701" s="2"/>
      </tp>
      <tp t="s">
        <v>#N/A Requesting Data...4262975007</v>
        <stp/>
        <stp>BDP|5815038646364839940</stp>
        <tr r="N636" s="2"/>
      </tp>
      <tp t="s">
        <v>#N/A Requesting Data...4294353611</v>
        <stp/>
        <stp>BDP|1932865835823915526</stp>
        <tr r="T1178" s="2"/>
      </tp>
      <tp t="s">
        <v>#N/A Requesting Data...1276777264</v>
        <stp/>
        <stp>BDP|7362966903907766506</stp>
        <tr r="C1348" s="2"/>
      </tp>
      <tp t="s">
        <v>#N/A Requesting Data...2211510916</v>
        <stp/>
        <stp>BDP|8893989680884783169</stp>
        <tr r="M255" s="2"/>
      </tp>
      <tp t="s">
        <v>#N/A Requesting Data...1448232423</v>
        <stp/>
        <stp>BDP|7267348403880562819</stp>
        <tr r="F2470" s="2"/>
      </tp>
      <tp t="s">
        <v>#N/A Requesting Data...1381709470</v>
        <stp/>
        <stp>BDP|2683261337708154773</stp>
        <tr r="F562" s="2"/>
      </tp>
      <tp t="s">
        <v>#N/A Requesting Data...276347055</v>
        <stp/>
        <stp>BDP|4557228240778102672</stp>
        <tr r="D837" s="2"/>
      </tp>
      <tp t="s">
        <v>#N/A Requesting Data...2826499391</v>
        <stp/>
        <stp>BDP|4939286422980754851</stp>
        <tr r="K18" s="2"/>
      </tp>
      <tp t="s">
        <v>#N/A Requesting Data...3646140692</v>
        <stp/>
        <stp>BDP|2588029990242689503</stp>
        <tr r="F1789" s="2"/>
      </tp>
      <tp t="s">
        <v>#N/A Requesting Data...2284406856</v>
        <stp/>
        <stp>BDP|1178972880958238457</stp>
        <tr r="D1286" s="2"/>
      </tp>
      <tp t="s">
        <v>#N/A Requesting Data...407867259</v>
        <stp/>
        <stp>BDP|5020247085454008709</stp>
        <tr r="P673" s="2"/>
      </tp>
      <tp t="s">
        <v>#N/A Requesting Data...3936187662</v>
        <stp/>
        <stp>BDP|8325344604080070729</stp>
        <tr r="N1278" s="2"/>
      </tp>
      <tp t="s">
        <v>#N/A Requesting Data...558184713</v>
        <stp/>
        <stp>BDP|7171461897966179003</stp>
        <tr r="M735" s="2"/>
      </tp>
      <tp t="s">
        <v>#N/A Requesting Data...3380879860</v>
        <stp/>
        <stp>BDP|8354313294426309849</stp>
        <tr r="D2530" s="2"/>
      </tp>
      <tp t="s">
        <v>#N/A Requesting Data...559603115</v>
        <stp/>
        <stp>BDP|2093933580606622944</stp>
        <tr r="S2054" s="2"/>
      </tp>
      <tp t="s">
        <v>#N/A Requesting Data...662437703</v>
        <stp/>
        <stp>BDP|5336999669110134632</stp>
        <tr r="O319" s="2"/>
      </tp>
      <tp t="s">
        <v>#N/A Requesting Data...1467153400</v>
        <stp/>
        <stp>BDP|9915191964995237770</stp>
        <tr r="A186" s="2"/>
      </tp>
      <tp t="s">
        <v>#N/A Requesting Data...2517067702</v>
        <stp/>
        <stp>BDP|9009969755679224007</stp>
        <tr r="A1249" s="2"/>
      </tp>
      <tp t="s">
        <v>#N/A Requesting Data...2177567165</v>
        <stp/>
        <stp>BDP|9090062575487433566</stp>
        <tr r="E2056" s="2"/>
      </tp>
      <tp t="s">
        <v>#N/A Requesting Data...3878834918</v>
        <stp/>
        <stp>BDP|7766682190200624489</stp>
        <tr r="F1692" s="2"/>
      </tp>
      <tp t="s">
        <v>#N/A Requesting Data...3019842557</v>
        <stp/>
        <stp>BDP|1714706387336101408</stp>
        <tr r="N1258" s="2"/>
      </tp>
      <tp t="s">
        <v>#N/A Requesting Data...1538801541</v>
        <stp/>
        <stp>BDP|5341919086698568001</stp>
        <tr r="M2323" s="2"/>
      </tp>
      <tp t="s">
        <v>#N/A Requesting Data...1587809051</v>
        <stp/>
        <stp>BDP|8295558023444291770</stp>
        <tr r="S1500" s="2"/>
      </tp>
      <tp t="s">
        <v>#N/A Requesting Data...2743510554</v>
        <stp/>
        <stp>BDP|2476949844304201771</stp>
        <tr r="R1407" s="2"/>
      </tp>
      <tp t="s">
        <v>#N/A Requesting Data...978933446</v>
        <stp/>
        <stp>BDP|5115628494800749619</stp>
        <tr r="N2138" s="2"/>
      </tp>
      <tp t="s">
        <v>#N/A Requesting Data...2309580600</v>
        <stp/>
        <stp>BDP|8434234736481757479</stp>
        <tr r="S2246" s="2"/>
      </tp>
      <tp t="s">
        <v>#N/A Requesting Data...2535602759</v>
        <stp/>
        <stp>BDP|2634219216069969493</stp>
        <tr r="G1010" s="2"/>
      </tp>
      <tp t="s">
        <v>#N/A Requesting Data...2793509392</v>
        <stp/>
        <stp>BDP|7194719111874519956</stp>
        <tr r="K989" s="2"/>
      </tp>
      <tp t="s">
        <v>#N/A Requesting Data...4063957394</v>
        <stp/>
        <stp>BDP|7986586781017926182</stp>
        <tr r="J700" s="2"/>
      </tp>
      <tp t="s">
        <v>#N/A Requesting Data...2276826312</v>
        <stp/>
        <stp>BDP|7585456288915191280</stp>
        <tr r="C684" s="2"/>
      </tp>
      <tp t="s">
        <v>#N/A Requesting Data...1200790410</v>
        <stp/>
        <stp>BDP|4926794463148486161</stp>
        <tr r="Q497" s="2"/>
      </tp>
      <tp t="s">
        <v>#N/A Requesting Data...1362123972</v>
        <stp/>
        <stp>BDP|7686979607025673718</stp>
        <tr r="O2051" s="2"/>
      </tp>
      <tp t="s">
        <v>#N/A Requesting Data...2352870207</v>
        <stp/>
        <stp>BDP|9677242160445670458</stp>
        <tr r="G586" s="2"/>
      </tp>
      <tp t="s">
        <v>#N/A Requesting Data...3666113629</v>
        <stp/>
        <stp>BDP|2165145462869139076</stp>
        <tr r="E670" s="2"/>
      </tp>
      <tp t="s">
        <v>#N/A Requesting Data...1058941228</v>
        <stp/>
        <stp>BDP|2329834007373230548</stp>
        <tr r="F108" s="2"/>
      </tp>
      <tp t="s">
        <v>#N/A Requesting Data...474384134</v>
        <stp/>
        <stp>BDP|5028667799471876768</stp>
        <tr r="K6" s="2"/>
      </tp>
      <tp t="s">
        <v>#N/A Requesting Data...1320865466</v>
        <stp/>
        <stp>BDP|5755487696053859709</stp>
        <tr r="E2257" s="2"/>
      </tp>
      <tp t="s">
        <v>#N/A Requesting Data...2709381999</v>
        <stp/>
        <stp>BDP|7100229856295419904</stp>
        <tr r="E834" s="2"/>
      </tp>
      <tp t="s">
        <v>#N/A Requesting Data...3544755928</v>
        <stp/>
        <stp>BDP|3670833030751563514</stp>
        <tr r="Q2434" s="2"/>
      </tp>
      <tp t="s">
        <v>#N/A Requesting Data...1981761576</v>
        <stp/>
        <stp>BDP|3829473957377866915</stp>
        <tr r="Q636" s="2"/>
      </tp>
      <tp t="s">
        <v>#N/A Requesting Data...4193117265</v>
        <stp/>
        <stp>BDP|6356264317358001133</stp>
        <tr r="E1064" s="2"/>
      </tp>
      <tp t="s">
        <v>#N/A Requesting Data...3101838564</v>
        <stp/>
        <stp>BDP|3945098719946944810</stp>
        <tr r="C500" s="2"/>
      </tp>
      <tp t="s">
        <v>#N/A Requesting Data...2638226386</v>
        <stp/>
        <stp>BDP|5600603187480455743</stp>
        <tr r="G449" s="2"/>
      </tp>
      <tp t="b">
        <v>0</v>
        <stp/>
        <stp>BDS|4836775158008369252</stp>
        <tr r="I2044" s="2"/>
      </tp>
      <tp t="s">
        <v>#N/A Requesting Data...777174033</v>
        <stp/>
        <stp>BDP|2404610190698466901</stp>
        <tr r="N163" s="2"/>
      </tp>
      <tp t="s">
        <v>#N/A Requesting Data...1572583631</v>
        <stp/>
        <stp>BDP|5420363952527831896</stp>
        <tr r="O1859" s="2"/>
      </tp>
      <tp t="s">
        <v>#N/A Requesting Data...419556062</v>
        <stp/>
        <stp>BDP|3688869900462945581</stp>
        <tr r="E329" s="2"/>
      </tp>
      <tp t="s">
        <v>#N/A Requesting Data...2732932765</v>
        <stp/>
        <stp>BDP|8090452324992066004</stp>
        <tr r="G414" s="2"/>
      </tp>
      <tp t="s">
        <v>#N/A Requesting Data...2057875191</v>
        <stp/>
        <stp>BDP|2799160194812366477</stp>
        <tr r="P616" s="2"/>
      </tp>
      <tp t="s">
        <v>#N/A Requesting Data...1684652739</v>
        <stp/>
        <stp>BDP|6608120672595458930</stp>
        <tr r="H1081" s="2"/>
      </tp>
      <tp t="s">
        <v>#N/A Requesting Data...874286299</v>
        <stp/>
        <stp>BDP|5988385573825774842</stp>
        <tr r="F1829" s="2"/>
      </tp>
      <tp t="s">
        <v>#N/A Requesting Data...3891870792</v>
        <stp/>
        <stp>BDP|7955611395522478685</stp>
        <tr r="A1838" s="2"/>
      </tp>
      <tp t="s">
        <v>#N/A Requesting Data...1560712717</v>
        <stp/>
        <stp>BDP|4227959833430255279</stp>
        <tr r="O1494" s="2"/>
      </tp>
      <tp t="s">
        <v>#N/A Requesting Data...2061474859</v>
        <stp/>
        <stp>BDP|1876291756539639303</stp>
        <tr r="K1052" s="2"/>
      </tp>
      <tp t="s">
        <v>#N/A Requesting Data...1505098366</v>
        <stp/>
        <stp>BDP|4659779527805547823</stp>
        <tr r="P955" s="2"/>
      </tp>
      <tp t="s">
        <v>#N/A Requesting Data...687566754</v>
        <stp/>
        <stp>BDP|9745798016123186087</stp>
        <tr r="C2281" s="2"/>
      </tp>
      <tp t="s">
        <v>#N/A Requesting Data...1665755855</v>
        <stp/>
        <stp>BDP|8524973725807491822</stp>
        <tr r="A1446" s="2"/>
      </tp>
      <tp t="s">
        <v>#N/A Requesting Data...1500132303</v>
        <stp/>
        <stp>BDP|8083506053801568572</stp>
        <tr r="P696" s="2"/>
      </tp>
      <tp t="s">
        <v>#N/A Requesting Data...1074385824</v>
        <stp/>
        <stp>BDP|6590926721719252858</stp>
        <tr r="R1819" s="2"/>
      </tp>
      <tp t="s">
        <v>#N/A Requesting Data...2336974347</v>
        <stp/>
        <stp>BDP|8086849145310532854</stp>
        <tr r="H1970" s="2"/>
      </tp>
      <tp t="s">
        <v>#N/A Requesting Data...963840317</v>
        <stp/>
        <stp>BDP|8875545114065134584</stp>
        <tr r="T1924" s="2"/>
      </tp>
      <tp t="s">
        <v>#N/A Requesting Data...3665545248</v>
        <stp/>
        <stp>BDP|7666004027018357132</stp>
        <tr r="F1746" s="2"/>
      </tp>
      <tp t="s">
        <v>#N/A Requesting Data...3011264829</v>
        <stp/>
        <stp>BDP|5864882986171182868</stp>
        <tr r="M937" s="2"/>
      </tp>
      <tp t="s">
        <v>#N/A Requesting Data...3836727919</v>
        <stp/>
        <stp>BDP|8786532842636519329</stp>
        <tr r="G721" s="2"/>
      </tp>
      <tp t="s">
        <v>#N/A Requesting Data...1589178164</v>
        <stp/>
        <stp>BDP|3682778564676007842</stp>
        <tr r="S2097" s="2"/>
      </tp>
      <tp t="s">
        <v>#N/A Requesting Data...3802200099</v>
        <stp/>
        <stp>BDP|7944247704758915111</stp>
        <tr r="M1767" s="2"/>
      </tp>
      <tp t="s">
        <v>#N/A Requesting Data...3351691122</v>
        <stp/>
        <stp>BDP|9413734817633503047</stp>
        <tr r="E547" s="2"/>
      </tp>
      <tp t="s">
        <v>#N/A Requesting Data...2372972271</v>
        <stp/>
        <stp>BDP|6303581458093668940</stp>
        <tr r="R2505" s="2"/>
      </tp>
      <tp t="s">
        <v>#N/A Requesting Data...3112725899</v>
        <stp/>
        <stp>BDP|3077796195317540681</stp>
        <tr r="J1670" s="2"/>
      </tp>
      <tp t="s">
        <v>#N/A Requesting Data...2654727434</v>
        <stp/>
        <stp>BDP|6266420847792616807</stp>
        <tr r="Q493" s="2"/>
      </tp>
      <tp t="s">
        <v>#N/A Requesting Data...1743877711</v>
        <stp/>
        <stp>BDP|7762111304349669355</stp>
        <tr r="Q1158" s="2"/>
      </tp>
      <tp t="s">
        <v>#N/A Requesting Data...4168212271</v>
        <stp/>
        <stp>BDP|2227233814314223967</stp>
        <tr r="C1140" s="2"/>
      </tp>
      <tp t="s">
        <v>#N/A Requesting Data...1483120414</v>
        <stp/>
        <stp>BDP|1336120289610935400</stp>
        <tr r="J1407" s="2"/>
      </tp>
      <tp t="s">
        <v>#N/A Requesting Data...1488847305</v>
        <stp/>
        <stp>BDP|6559658722116083832</stp>
        <tr r="R318" s="2"/>
      </tp>
      <tp t="s">
        <v>#N/A Requesting Data...1382553552</v>
        <stp/>
        <stp>BDP|8715512973137443100</stp>
        <tr r="K1318" s="2"/>
      </tp>
      <tp t="s">
        <v>#N/A Requesting Data...4048024230</v>
        <stp/>
        <stp>BDP|5209892096471411981</stp>
        <tr r="R454" s="2"/>
      </tp>
      <tp t="s">
        <v>#N/A Requesting Data...1038542896</v>
        <stp/>
        <stp>BDP|6065857411496531500</stp>
        <tr r="J106" s="2"/>
      </tp>
      <tp t="s">
        <v>#N/A Requesting Data...3585893388</v>
        <stp/>
        <stp>BDP|4776664276350995980</stp>
        <tr r="Q937" s="2"/>
      </tp>
      <tp t="s">
        <v>#N/A Requesting Data...4233604844</v>
        <stp/>
        <stp>BDP|6239758001884984992</stp>
        <tr r="J1087" s="2"/>
      </tp>
      <tp t="s">
        <v>#N/A Requesting Data...3852986007</v>
        <stp/>
        <stp>BDP|1022809152606775633</stp>
        <tr r="F257" s="2"/>
      </tp>
      <tp t="s">
        <v>#N/A Requesting Data...892434656</v>
        <stp/>
        <stp>BDP|5715754518888558791</stp>
        <tr r="E934" s="2"/>
      </tp>
      <tp t="s">
        <v>#N/A Requesting Data...1622914761</v>
        <stp/>
        <stp>BDP|8888792099359863366</stp>
        <tr r="P1048" s="2"/>
      </tp>
      <tp t="s">
        <v>#N/A Requesting Data...2819470422</v>
        <stp/>
        <stp>BDP|1009939046271505162</stp>
        <tr r="C677" s="2"/>
      </tp>
      <tp t="s">
        <v>#N/A Requesting Data...1427904941</v>
        <stp/>
        <stp>BDP|5530116193874058510</stp>
        <tr r="O24" s="2"/>
      </tp>
      <tp t="s">
        <v>#N/A Requesting Data...4178191856</v>
        <stp/>
        <stp>BDP|8132157623246940189</stp>
        <tr r="E902" s="2"/>
      </tp>
      <tp t="b">
        <v>0</v>
        <stp/>
        <stp>BDS|4006846330322187135</stp>
        <tr r="I2256" s="2"/>
      </tp>
      <tp t="s">
        <v>#N/A Requesting Data...3426907086</v>
        <stp/>
        <stp>BDP|5024339491255456607</stp>
        <tr r="J583" s="2"/>
      </tp>
      <tp t="s">
        <v>#N/A Requesting Data...3233710463</v>
        <stp/>
        <stp>BDP|1880180591586761300</stp>
        <tr r="D634" s="2"/>
      </tp>
      <tp t="s">
        <v>#N/A Requesting Data...1168263381</v>
        <stp/>
        <stp>BDP|9290152935933505419</stp>
        <tr r="D96" s="2"/>
      </tp>
      <tp t="b">
        <v>0</v>
        <stp/>
        <stp>BDS|1458468015140666872</stp>
        <tr r="I250" s="2"/>
      </tp>
      <tp t="s">
        <v>#N/A Requesting Data...3037479311</v>
        <stp/>
        <stp>BDP|9185767636670601113</stp>
        <tr r="E1253" s="2"/>
      </tp>
      <tp t="s">
        <v>#N/A Requesting Data...4009354156</v>
        <stp/>
        <stp>BDP|3743411790956723474</stp>
        <tr r="K795" s="2"/>
      </tp>
      <tp t="s">
        <v>#N/A Requesting Data...2762514566</v>
        <stp/>
        <stp>BDP|4408849783150352867</stp>
        <tr r="S2433" s="2"/>
      </tp>
      <tp t="s">
        <v>#N/A Requesting Data...1581596788</v>
        <stp/>
        <stp>BDP|3451928290136811980</stp>
        <tr r="F693" s="2"/>
      </tp>
      <tp t="s">
        <v>#N/A Requesting Data...1100834385</v>
        <stp/>
        <stp>BDP|9874452106148890950</stp>
        <tr r="T734" s="2"/>
      </tp>
      <tp t="s">
        <v>#N/A Requesting Data...1173988910</v>
        <stp/>
        <stp>BDP|1780176691580200556</stp>
        <tr r="N987" s="2"/>
      </tp>
      <tp t="b">
        <v>0</v>
        <stp/>
        <stp>BDS|3743650983846357747</stp>
        <tr r="I2181" s="2"/>
      </tp>
      <tp t="s">
        <v>#N/A Requesting Data...927511846</v>
        <stp/>
        <stp>BDP|1384731175298048533</stp>
        <tr r="D775" s="2"/>
      </tp>
      <tp t="s">
        <v>#N/A Requesting Data...2525776688</v>
        <stp/>
        <stp>BDP|5583289470558304488</stp>
        <tr r="F496" s="2"/>
      </tp>
      <tp t="s">
        <v>#N/A Requesting Data...2596316613</v>
        <stp/>
        <stp>BDP|9093150254753472235</stp>
        <tr r="O2177" s="2"/>
      </tp>
      <tp t="s">
        <v>#N/A Requesting Data...3989508443</v>
        <stp/>
        <stp>BDP|5933822279961626726</stp>
        <tr r="D194" s="2"/>
      </tp>
      <tp t="s">
        <v>#N/A Requesting Data...3689027173</v>
        <stp/>
        <stp>BDP|7712260016929632177</stp>
        <tr r="K2283" s="2"/>
      </tp>
      <tp t="b">
        <v>0</v>
        <stp/>
        <stp>BDS|5033999022593508180</stp>
        <tr r="I2062" s="2"/>
      </tp>
      <tp t="s">
        <v>#N/A Requesting Data...3351646355</v>
        <stp/>
        <stp>BDP|8628411981569529158</stp>
        <tr r="F2073" s="2"/>
      </tp>
      <tp t="s">
        <v>#N/A Requesting Data...1616876951</v>
        <stp/>
        <stp>BDP|6246316799214849448</stp>
        <tr r="H1803" s="2"/>
      </tp>
      <tp t="s">
        <v>#N/A Requesting Data...3836267569</v>
        <stp/>
        <stp>BDP|8679964383087686234</stp>
        <tr r="R571" s="2"/>
      </tp>
      <tp t="s">
        <v>#N/A Requesting Data...3863904662</v>
        <stp/>
        <stp>BDP|4662099973019998639</stp>
        <tr r="T652" s="2"/>
      </tp>
      <tp t="s">
        <v>#N/A Requesting Data...3476419509</v>
        <stp/>
        <stp>BDP|1107590488193769318</stp>
        <tr r="F1605" s="2"/>
      </tp>
      <tp t="s">
        <v>#N/A Requesting Data...2362023916</v>
        <stp/>
        <stp>BDP|7226156582984322600</stp>
        <tr r="Q2248" s="2"/>
      </tp>
      <tp t="s">
        <v>#N/A Requesting Data...2704007691</v>
        <stp/>
        <stp>BDP|4781536866719602226</stp>
        <tr r="F882" s="2"/>
      </tp>
      <tp t="s">
        <v>#N/A Requesting Data...2264139316</v>
        <stp/>
        <stp>BDP|6576936969432026798</stp>
        <tr r="K764" s="2"/>
      </tp>
      <tp t="s">
        <v>#N/A Requesting Data...1742482004</v>
        <stp/>
        <stp>BDP|6719246647215324918</stp>
        <tr r="N2429" s="2"/>
      </tp>
      <tp t="s">
        <v>#N/A Requesting Data...1597886228</v>
        <stp/>
        <stp>BDP|7935999332290242162</stp>
        <tr r="D884" s="2"/>
      </tp>
      <tp t="s">
        <v>#N/A Requesting Data...2395127949</v>
        <stp/>
        <stp>BDP|9036940901409004539</stp>
        <tr r="P376" s="2"/>
      </tp>
      <tp t="s">
        <v>#N/A Requesting Data...2814031937</v>
        <stp/>
        <stp>BDP|6759332083355448451</stp>
        <tr r="H2448" s="2"/>
      </tp>
      <tp t="s">
        <v>#N/A Requesting Data...1613822939</v>
        <stp/>
        <stp>BDP|6316621070563566822</stp>
        <tr r="C2459" s="2"/>
      </tp>
      <tp t="s">
        <v>#N/A Requesting Data...638042310</v>
        <stp/>
        <stp>BDP|8569727487128088369</stp>
        <tr r="F1923" s="2"/>
      </tp>
      <tp t="s">
        <v>#N/A Requesting Data...798156522</v>
        <stp/>
        <stp>BDP|7871343551879393484</stp>
        <tr r="H531" s="2"/>
      </tp>
      <tp t="b">
        <v>0</v>
        <stp/>
        <stp>BDS|5990581334907453876</stp>
        <tr r="I326" s="2"/>
      </tp>
      <tp t="s">
        <v>#N/A Requesting Data...1764885774</v>
        <stp/>
        <stp>BDP|4200256966484210852</stp>
        <tr r="N1426" s="2"/>
      </tp>
      <tp t="s">
        <v>#N/A Requesting Data...760380192</v>
        <stp/>
        <stp>BDP|9569513032440341334</stp>
        <tr r="P859" s="2"/>
      </tp>
      <tp t="s">
        <v>#N/A Requesting Data...1034346976</v>
        <stp/>
        <stp>BDP|9614644654694115213</stp>
        <tr r="E1657" s="2"/>
      </tp>
      <tp t="s">
        <v>#N/A Requesting Data...3146120010</v>
        <stp/>
        <stp>BDP|2495313304974109962</stp>
        <tr r="G973" s="2"/>
      </tp>
      <tp t="s">
        <v>#N/A Requesting Data...743685661</v>
        <stp/>
        <stp>BDP|8973253373381951003</stp>
        <tr r="D1718" s="2"/>
      </tp>
      <tp t="s">
        <v>#N/A Requesting Data...2566909638</v>
        <stp/>
        <stp>BDP|1160834908404562191</stp>
        <tr r="G843" s="2"/>
      </tp>
      <tp t="s">
        <v>#N/A Requesting Data...3307592669</v>
        <stp/>
        <stp>BDP|7591831278807045384</stp>
        <tr r="O1800" s="2"/>
      </tp>
      <tp t="b">
        <v>0</v>
        <stp/>
        <stp>BDS|4433983139096179424</stp>
        <tr r="I1028" s="2"/>
      </tp>
      <tp t="s">
        <v>#N/A Requesting Data...2055307012</v>
        <stp/>
        <stp>BDP|3607327463192019817</stp>
        <tr r="T1994" s="2"/>
      </tp>
      <tp t="s">
        <v>#N/A Requesting Data...3099616110</v>
        <stp/>
        <stp>BDP|8556043862104502607</stp>
        <tr r="J1729" s="2"/>
      </tp>
      <tp t="s">
        <v>#N/A Requesting Data...1995722760</v>
        <stp/>
        <stp>BDP|9220047070643678167</stp>
        <tr r="G1409" s="2"/>
      </tp>
      <tp t="s">
        <v>#N/A Requesting Data...1139136056</v>
        <stp/>
        <stp>BDP|5357022926783951887</stp>
        <tr r="E955" s="2"/>
      </tp>
      <tp t="b">
        <v>0</v>
        <stp/>
        <stp>BDS|8660200917410668715</stp>
        <tr r="I2439" s="2"/>
      </tp>
      <tp t="s">
        <v>#N/A Requesting Data...1066198388</v>
        <stp/>
        <stp>BDP|4009136614219500146</stp>
        <tr r="M1274" s="2"/>
      </tp>
      <tp t="s">
        <v>#N/A Requesting Data...2749270885</v>
        <stp/>
        <stp>BDP|6426735824277057852</stp>
        <tr r="C77" s="2"/>
      </tp>
      <tp t="s">
        <v>#N/A Requesting Data...1182814945</v>
        <stp/>
        <stp>BDP|4491297770044296992</stp>
        <tr r="G2428" s="2"/>
      </tp>
      <tp t="s">
        <v>#N/A Requesting Data...2834003176</v>
        <stp/>
        <stp>BDP|5285018336039331306</stp>
        <tr r="J604" s="2"/>
      </tp>
      <tp t="s">
        <v>#N/A Requesting Data...1073928075</v>
        <stp/>
        <stp>BDP|7386022267054794976</stp>
        <tr r="P1979" s="2"/>
      </tp>
      <tp t="s">
        <v>#N/A Requesting Data...3694135127</v>
        <stp/>
        <stp>BDP|7309635641790750902</stp>
        <tr r="F1767" s="2"/>
      </tp>
      <tp t="s">
        <v>#N/A Requesting Data...956679999</v>
        <stp/>
        <stp>BDP|9363764637754097549</stp>
        <tr r="D638" s="2"/>
      </tp>
      <tp t="s">
        <v>#N/A Requesting Data...2271147907</v>
        <stp/>
        <stp>BDP|7463467726534257904</stp>
        <tr r="O665" s="2"/>
      </tp>
      <tp t="s">
        <v>#N/A Requesting Data...4266480367</v>
        <stp/>
        <stp>BDP|4524491884605833163</stp>
        <tr r="F1712" s="2"/>
      </tp>
      <tp t="s">
        <v>#N/A Requesting Data...2726858272</v>
        <stp/>
        <stp>BDP|3175033354973598951</stp>
        <tr r="R887" s="2"/>
      </tp>
      <tp t="s">
        <v>#N/A Requesting Data...989670781</v>
        <stp/>
        <stp>BDP|5072560910008972595</stp>
        <tr r="Q506" s="2"/>
      </tp>
      <tp t="s">
        <v>#N/A Requesting Data...3997740487</v>
        <stp/>
        <stp>BDP|3530847442064768727</stp>
        <tr r="H440" s="2"/>
      </tp>
      <tp t="s">
        <v>#N/A Requesting Data...2475161126</v>
        <stp/>
        <stp>BDP|9738562279792929571</stp>
        <tr r="M1761" s="2"/>
      </tp>
      <tp t="s">
        <v>#N/A Requesting Data...1183790768</v>
        <stp/>
        <stp>BDP|9033151755276026766</stp>
        <tr r="N450" s="2"/>
      </tp>
      <tp t="s">
        <v>#N/A Requesting Data...1443799083</v>
        <stp/>
        <stp>BDP|9117900270453485839</stp>
        <tr r="T1871" s="2"/>
      </tp>
      <tp t="s">
        <v>#N/A Requesting Data...1822078794</v>
        <stp/>
        <stp>BDP|2843529935359139189</stp>
        <tr r="S2126" s="2"/>
      </tp>
      <tp t="s">
        <v>#N/A Requesting Data...1814312674</v>
        <stp/>
        <stp>BDP|7888920522683782392</stp>
        <tr r="F1174" s="2"/>
      </tp>
      <tp t="s">
        <v>#N/A Requesting Data...2293708696</v>
        <stp/>
        <stp>BDP|4680818311320903197</stp>
        <tr r="S1206" s="2"/>
      </tp>
      <tp t="s">
        <v>#N/A Requesting Data...757490016</v>
        <stp/>
        <stp>BDP|1102964781999911598</stp>
        <tr r="R284" s="2"/>
      </tp>
      <tp t="s">
        <v>#N/A Requesting Data...3271492818</v>
        <stp/>
        <stp>BDP|2549435252257046823</stp>
        <tr r="A2514" s="2"/>
      </tp>
      <tp t="s">
        <v>#N/A Requesting Data...1961537547</v>
        <stp/>
        <stp>BDP|2245428083052125049</stp>
        <tr r="O2464" s="2"/>
      </tp>
      <tp t="s">
        <v>#N/A Requesting Data...2497264791</v>
        <stp/>
        <stp>BDP|2980808052361520286</stp>
        <tr r="P1248" s="2"/>
      </tp>
      <tp t="s">
        <v>#N/A Requesting Data...3132653865</v>
        <stp/>
        <stp>BDP|3144881570475871571</stp>
        <tr r="A1784" s="2"/>
      </tp>
      <tp t="s">
        <v>#N/A Requesting Data...3711791693</v>
        <stp/>
        <stp>BDP|1282004534349211729</stp>
        <tr r="R1563" s="2"/>
      </tp>
      <tp t="s">
        <v>#N/A Requesting Data...4111361722</v>
        <stp/>
        <stp>BDP|6143036682533089168</stp>
        <tr r="C181" s="2"/>
      </tp>
      <tp t="s">
        <v>#N/A Requesting Data...4229308419</v>
        <stp/>
        <stp>BDP|9609042816005617145</stp>
        <tr r="P690" s="2"/>
      </tp>
      <tp t="s">
        <v>#N/A Requesting Data...1456939971</v>
        <stp/>
        <stp>BDP|7853765970483905812</stp>
        <tr r="M2182" s="2"/>
      </tp>
      <tp t="s">
        <v>#N/A Requesting Data...1203086208</v>
        <stp/>
        <stp>BDP|9580612621487600658</stp>
        <tr r="J692" s="2"/>
      </tp>
      <tp t="s">
        <v>#N/A Requesting Data...3069709714</v>
        <stp/>
        <stp>BDP|3501420676874005861</stp>
        <tr r="Q299" s="2"/>
      </tp>
      <tp t="s">
        <v>#N/A Requesting Data...4039641884</v>
        <stp/>
        <stp>BDP|3573686348534354918</stp>
        <tr r="N83" s="2"/>
      </tp>
      <tp t="s">
        <v>#N/A Requesting Data...4142633849</v>
        <stp/>
        <stp>BDP|1758030584896307344</stp>
        <tr r="J578" s="2"/>
      </tp>
      <tp t="s">
        <v>#N/A Requesting Data...2165813826</v>
        <stp/>
        <stp>BDP|2347216793973414623</stp>
        <tr r="Q879" s="2"/>
      </tp>
      <tp t="s">
        <v>#N/A Requesting Data...3056295007</v>
        <stp/>
        <stp>BDP|1782952663182340056</stp>
        <tr r="M575" s="2"/>
      </tp>
      <tp t="s">
        <v>#N/A Requesting Data...1068716208</v>
        <stp/>
        <stp>BDP|3169811257373491144</stp>
        <tr r="G1376" s="2"/>
      </tp>
      <tp t="s">
        <v>#N/A Requesting Data...812323220</v>
        <stp/>
        <stp>BDP|3110118345342603842</stp>
        <tr r="N708" s="2"/>
      </tp>
      <tp t="s">
        <v>#N/A Requesting Data...3903637688</v>
        <stp/>
        <stp>BDP|1320117457360287906</stp>
        <tr r="Q894" s="2"/>
      </tp>
      <tp t="s">
        <v>#N/A Requesting Data...1971620821</v>
        <stp/>
        <stp>BDP|9370779690462211913</stp>
        <tr r="P300" s="2"/>
      </tp>
      <tp t="s">
        <v>#N/A Requesting Data...3374132805</v>
        <stp/>
        <stp>BDP|6601665954071541869</stp>
        <tr r="E1792" s="2"/>
      </tp>
      <tp t="s">
        <v>#N/A Requesting Data...750818363</v>
        <stp/>
        <stp>BDP|9290639951917056174</stp>
        <tr r="H207" s="2"/>
      </tp>
      <tp t="b">
        <v>0</v>
        <stp/>
        <stp>BDS|7217097532469720198</stp>
        <tr r="I2429" s="2"/>
      </tp>
      <tp t="s">
        <v>#N/A Requesting Data...4198070747</v>
        <stp/>
        <stp>BDP|2654230761523526969</stp>
        <tr r="K506" s="2"/>
      </tp>
      <tp t="s">
        <v>#N/A Requesting Data...2054117741</v>
        <stp/>
        <stp>BDP|5724728193653837494</stp>
        <tr r="S2506" s="2"/>
      </tp>
      <tp t="s">
        <v>#N/A Requesting Data...3924909547</v>
        <stp/>
        <stp>BDP|4127992595831845926</stp>
        <tr r="O601" s="2"/>
      </tp>
      <tp t="s">
        <v>#N/A Requesting Data...1504073812</v>
        <stp/>
        <stp>BDP|5247707100657487917</stp>
        <tr r="H1934" s="2"/>
      </tp>
      <tp t="s">
        <v>#N/A Requesting Data...906959650</v>
        <stp/>
        <stp>BDP|9350830690815121165</stp>
        <tr r="H2387" s="2"/>
      </tp>
      <tp t="s">
        <v>#N/A Requesting Data...3410324487</v>
        <stp/>
        <stp>BDP|1687226482347246033</stp>
        <tr r="T658" s="2"/>
      </tp>
      <tp t="s">
        <v>#N/A Requesting Data...836550633</v>
        <stp/>
        <stp>BDP|7836084894750088232</stp>
        <tr r="T2037" s="2"/>
      </tp>
      <tp t="s">
        <v>#N/A Requesting Data...1826074614</v>
        <stp/>
        <stp>BDP|5572870771980230667</stp>
        <tr r="D504" s="2"/>
      </tp>
      <tp t="s">
        <v>#N/A Requesting Data...3226971970</v>
        <stp/>
        <stp>BDP|4521516833466495843</stp>
        <tr r="F2146" s="2"/>
      </tp>
      <tp t="s">
        <v>#N/A Requesting Data...2728545941</v>
        <stp/>
        <stp>BDP|4583401781082656656</stp>
        <tr r="N997" s="2"/>
      </tp>
      <tp t="s">
        <v>#N/A Requesting Data...1163067226</v>
        <stp/>
        <stp>BDP|9643365691619722618</stp>
        <tr r="J344" s="2"/>
      </tp>
      <tp t="s">
        <v>#N/A Requesting Data...1929230763</v>
        <stp/>
        <stp>BDP|5988208038988527036</stp>
        <tr r="D2039" s="2"/>
      </tp>
      <tp t="s">
        <v>#N/A Requesting Data...1199192713</v>
        <stp/>
        <stp>BDP|2317889618794607322</stp>
        <tr r="P535" s="2"/>
      </tp>
      <tp t="s">
        <v>#N/A Requesting Data...1331889992</v>
        <stp/>
        <stp>BDP|7553063350897346977</stp>
        <tr r="H73" s="2"/>
      </tp>
      <tp t="b">
        <v>0</v>
        <stp/>
        <stp>BDS|1056340154583297857</stp>
        <tr r="I2472" s="2"/>
      </tp>
      <tp t="s">
        <v>#N/A Requesting Data...3307393422</v>
        <stp/>
        <stp>BDP|8012046569701992335</stp>
        <tr r="A1858" s="2"/>
      </tp>
      <tp t="s">
        <v>#N/A Requesting Data...1346265067</v>
        <stp/>
        <stp>BDP|9836108897428073584</stp>
        <tr r="R1486" s="2"/>
      </tp>
      <tp t="s">
        <v>#N/A Requesting Data...1694386213</v>
        <stp/>
        <stp>BDP|2347617085483108318</stp>
        <tr r="N63" s="2"/>
      </tp>
      <tp t="s">
        <v>#N/A Requesting Data...2896798772</v>
        <stp/>
        <stp>BDP|3201697525748077398</stp>
        <tr r="N656" s="2"/>
      </tp>
      <tp t="s">
        <v>#N/A Requesting Data...3692088279</v>
        <stp/>
        <stp>BDP|5996134695142133390</stp>
        <tr r="T2336" s="2"/>
      </tp>
      <tp t="s">
        <v>#N/A Requesting Data...3596198236</v>
        <stp/>
        <stp>BDP|1696237359468963223</stp>
        <tr r="N1901" s="2"/>
      </tp>
      <tp t="s">
        <v>#N/A Requesting Data...3137326872</v>
        <stp/>
        <stp>BDP|7100138709622538892</stp>
        <tr r="F27" s="2"/>
      </tp>
      <tp t="s">
        <v>#N/A Requesting Data...1507474402</v>
        <stp/>
        <stp>BDP|9716211205696507119</stp>
        <tr r="J982" s="2"/>
      </tp>
      <tp t="s">
        <v>#N/A Requesting Data...1372391741</v>
        <stp/>
        <stp>BDP|4712835471563285407</stp>
        <tr r="G479" s="2"/>
      </tp>
      <tp t="s">
        <v>#N/A Requesting Data...1329096809</v>
        <stp/>
        <stp>BDP|4383624497900030718</stp>
        <tr r="E1386" s="2"/>
      </tp>
      <tp t="s">
        <v>#N/A Requesting Data...3942934941</v>
        <stp/>
        <stp>BDP|1215351867148094076</stp>
        <tr r="C75" s="2"/>
      </tp>
      <tp t="s">
        <v>#N/A Requesting Data...3691205232</v>
        <stp/>
        <stp>BDP|7642224953418034406</stp>
        <tr r="M1126" s="2"/>
      </tp>
      <tp t="s">
        <v>#N/A Requesting Data...1292538468</v>
        <stp/>
        <stp>BDP|9767566419009704880</stp>
        <tr r="S2068" s="2"/>
      </tp>
      <tp t="s">
        <v>#N/A Requesting Data...2689441661</v>
        <stp/>
        <stp>BDP|3373468042258854788</stp>
        <tr r="J2296" s="2"/>
      </tp>
      <tp t="s">
        <v>#N/A Requesting Data...3935243369</v>
        <stp/>
        <stp>BDP|8133361073187418772</stp>
        <tr r="J336" s="2"/>
      </tp>
      <tp t="s">
        <v>#N/A Requesting Data...907793104</v>
        <stp/>
        <stp>BDP|8352052062770109220</stp>
        <tr r="S870" s="2"/>
      </tp>
      <tp t="s">
        <v>#N/A Requesting Data...1554943331</v>
        <stp/>
        <stp>BDP|5663975248061985578</stp>
        <tr r="E963" s="2"/>
      </tp>
      <tp t="s">
        <v>#N/A Requesting Data...3615842269</v>
        <stp/>
        <stp>BDP|5088957634387688407</stp>
        <tr r="G1242" s="2"/>
      </tp>
      <tp t="b">
        <v>0</v>
        <stp/>
        <stp>BDS|8003156880079712457</stp>
        <tr r="I2485" s="2"/>
      </tp>
      <tp t="s">
        <v>#N/A Requesting Data...3386697281</v>
        <stp/>
        <stp>BDP|2448139407578434738</stp>
        <tr r="T190" s="2"/>
      </tp>
      <tp t="s">
        <v>#N/A Requesting Data...1218018015</v>
        <stp/>
        <stp>BDP|2852866618093835493</stp>
        <tr r="C1545" s="2"/>
      </tp>
      <tp t="s">
        <v>#N/A Requesting Data...3241516931</v>
        <stp/>
        <stp>BDP|4008916917607655777</stp>
        <tr r="G252" s="2"/>
      </tp>
      <tp t="s">
        <v>#N/A Requesting Data...1936550793</v>
        <stp/>
        <stp>BDP|4424012025463146962</stp>
        <tr r="R2482" s="2"/>
      </tp>
      <tp t="s">
        <v>#N/A Requesting Data...2846055681</v>
        <stp/>
        <stp>BDP|7462841776274664071</stp>
        <tr r="A1694" s="2"/>
      </tp>
      <tp t="s">
        <v>#N/A Requesting Data...2119275285</v>
        <stp/>
        <stp>BDP|8896835583804744082</stp>
        <tr r="N1221" s="2"/>
      </tp>
      <tp t="s">
        <v>#N/A Requesting Data...2109967819</v>
        <stp/>
        <stp>BDP|9722135803056873282</stp>
        <tr r="A1985" s="2"/>
      </tp>
      <tp t="s">
        <v>#N/A Requesting Data...1828881691</v>
        <stp/>
        <stp>BDP|5689263881945158675</stp>
        <tr r="G735" s="2"/>
      </tp>
      <tp t="s">
        <v>#N/A Requesting Data...3945112355</v>
        <stp/>
        <stp>BDP|1268238637989139506</stp>
        <tr r="K139" s="2"/>
      </tp>
      <tp t="s">
        <v>#N/A Requesting Data...2920898719</v>
        <stp/>
        <stp>BDP|3146745994460026165</stp>
        <tr r="H1271" s="2"/>
      </tp>
      <tp t="s">
        <v>#N/A Requesting Data...1246221314</v>
        <stp/>
        <stp>BDP|1806722966408875433</stp>
        <tr r="D2397" s="2"/>
      </tp>
      <tp t="s">
        <v>#N/A Requesting Data...3191550205</v>
        <stp/>
        <stp>BDP|2436052284743070524</stp>
        <tr r="T1362" s="2"/>
      </tp>
      <tp t="s">
        <v>#N/A Requesting Data...2636900988</v>
        <stp/>
        <stp>BDP|3119932413961379658</stp>
        <tr r="A1281" s="2"/>
      </tp>
      <tp t="s">
        <v>#N/A Requesting Data...3797476764</v>
        <stp/>
        <stp>BDP|2413308411405192930</stp>
        <tr r="P52" s="2"/>
      </tp>
      <tp t="s">
        <v>#N/A Requesting Data...1889398128</v>
        <stp/>
        <stp>BDP|7753603294233367776</stp>
        <tr r="H2337" s="2"/>
      </tp>
      <tp t="s">
        <v>#N/A Requesting Data...2707736935</v>
        <stp/>
        <stp>BDP|7471257666006476943</stp>
        <tr r="G2160" s="2"/>
      </tp>
      <tp t="s">
        <v>#N/A Requesting Data...1746571503</v>
        <stp/>
        <stp>BDP|9041260007595249241</stp>
        <tr r="E1853" s="2"/>
      </tp>
      <tp t="s">
        <v>#N/A Requesting Data...2834212131</v>
        <stp/>
        <stp>BDP|7290177675419798407</stp>
        <tr r="R1632" s="2"/>
      </tp>
      <tp t="s">
        <v>#N/A Requesting Data...919480681</v>
        <stp/>
        <stp>BDP|6321687922749655783</stp>
        <tr r="C2250" s="2"/>
      </tp>
      <tp t="s">
        <v>#N/A Requesting Data...2766652311</v>
        <stp/>
        <stp>BDP|1712642547157447871</stp>
        <tr r="J362" s="2"/>
      </tp>
      <tp t="s">
        <v>#N/A Requesting Data...2887092564</v>
        <stp/>
        <stp>BDP|4588277495637089406</stp>
        <tr r="D2317" s="2"/>
      </tp>
      <tp t="s">
        <v>#N/A Requesting Data...2224929557</v>
        <stp/>
        <stp>BDP|4243866357551059445</stp>
        <tr r="S2095" s="2"/>
      </tp>
      <tp t="s">
        <v>#N/A Requesting Data...3185996506</v>
        <stp/>
        <stp>BDP|8232319405760129708</stp>
        <tr r="G1626" s="2"/>
      </tp>
      <tp t="b">
        <v>0</v>
        <stp/>
        <stp>BDS|4167352876334138841</stp>
        <tr r="I1258" s="2"/>
      </tp>
      <tp t="s">
        <v>#N/A Requesting Data...3902372084</v>
        <stp/>
        <stp>BDP|8711508375674512208</stp>
        <tr r="K1683" s="2"/>
      </tp>
      <tp t="s">
        <v>#N/A Requesting Data...2239139489</v>
        <stp/>
        <stp>BDP|1705596281717054782</stp>
        <tr r="T961" s="2"/>
      </tp>
      <tp t="s">
        <v>#N/A Requesting Data...3046908311</v>
        <stp/>
        <stp>BDP|5656162636132820992</stp>
        <tr r="R2353" s="2"/>
      </tp>
      <tp t="b">
        <v>0</v>
        <stp/>
        <stp>BDS|5056071987489774802</stp>
        <tr r="I533" s="2"/>
      </tp>
      <tp t="s">
        <v>#N/A Requesting Data...2341549067</v>
        <stp/>
        <stp>BDP|3613605681329758874</stp>
        <tr r="R513" s="2"/>
      </tp>
      <tp t="s">
        <v>#N/A Requesting Data...3810503554</v>
        <stp/>
        <stp>BDP|2429016101876295813</stp>
        <tr r="S1449" s="2"/>
      </tp>
      <tp t="s">
        <v>#N/A Requesting Data...1242256371</v>
        <stp/>
        <stp>BDP|9561423900948096903</stp>
        <tr r="K1050" s="2"/>
      </tp>
      <tp t="s">
        <v>#N/A Requesting Data...3112773545</v>
        <stp/>
        <stp>BDP|4094310766405626856</stp>
        <tr r="T1392" s="2"/>
      </tp>
      <tp t="s">
        <v>#N/A Requesting Data...2118593950</v>
        <stp/>
        <stp>BDP|4685337115252617825</stp>
        <tr r="Q820" s="2"/>
      </tp>
      <tp t="s">
        <v>#N/A Requesting Data...2916637483</v>
        <stp/>
        <stp>BDP|9787671564555110014</stp>
        <tr r="S1592" s="2"/>
      </tp>
      <tp t="s">
        <v>#N/A Requesting Data...3313404835</v>
        <stp/>
        <stp>BDP|6172850401490193203</stp>
        <tr r="R975" s="2"/>
      </tp>
      <tp t="s">
        <v>#N/A Requesting Data...3444024331</v>
        <stp/>
        <stp>BDP|4530968827543559053</stp>
        <tr r="K2321" s="2"/>
      </tp>
      <tp t="s">
        <v>#N/A Requesting Data...1223968446</v>
        <stp/>
        <stp>BDP|5847890384848260132</stp>
        <tr r="S1328" s="2"/>
      </tp>
      <tp t="s">
        <v>#N/A Requesting Data...1131611546</v>
        <stp/>
        <stp>BDP|8288527868672487589</stp>
        <tr r="G699" s="2"/>
      </tp>
      <tp t="s">
        <v>#N/A Requesting Data...3847358365</v>
        <stp/>
        <stp>BDP|4219990428393098073</stp>
        <tr r="T1099" s="2"/>
      </tp>
      <tp t="s">
        <v>#N/A Requesting Data...1988030954</v>
        <stp/>
        <stp>BDP|1817770698080504369</stp>
        <tr r="D764" s="2"/>
      </tp>
      <tp t="s">
        <v>#N/A Requesting Data...3971026492</v>
        <stp/>
        <stp>BDP|1058359141532452844</stp>
        <tr r="N2221" s="2"/>
      </tp>
      <tp t="s">
        <v>#N/A Requesting Data...3429454707</v>
        <stp/>
        <stp>BDP|9289798168040586420</stp>
        <tr r="S137" s="2"/>
      </tp>
      <tp t="s">
        <v>#N/A Requesting Data...3038652546</v>
        <stp/>
        <stp>BDP|8189116352564026462</stp>
        <tr r="T1446" s="2"/>
      </tp>
      <tp t="s">
        <v>#N/A Requesting Data...1704821596</v>
        <stp/>
        <stp>BDP|8503268653164068744</stp>
        <tr r="R2269" s="2"/>
      </tp>
      <tp t="s">
        <v>#N/A Requesting Data...3531692285</v>
        <stp/>
        <stp>BDP|6001980278024034049</stp>
        <tr r="D1649" s="2"/>
      </tp>
      <tp t="s">
        <v>#N/A Requesting Data...3381162518</v>
        <stp/>
        <stp>BDP|2026928077065740564</stp>
        <tr r="F598" s="2"/>
      </tp>
      <tp t="s">
        <v>#N/A Requesting Data...1073867377</v>
        <stp/>
        <stp>BDP|4808277493590814309</stp>
        <tr r="C2355" s="2"/>
      </tp>
      <tp t="s">
        <v>#N/A Requesting Data...2830146757</v>
        <stp/>
        <stp>BDP|3460971115457517078</stp>
        <tr r="O1988" s="2"/>
      </tp>
      <tp t="s">
        <v>#N/A Requesting Data...4260814595</v>
        <stp/>
        <stp>BDP|8639736546811269656</stp>
        <tr r="E764" s="2"/>
      </tp>
      <tp t="s">
        <v>#N/A Requesting Data...1202020430</v>
        <stp/>
        <stp>BDP|7529909074144753122</stp>
        <tr r="Q407" s="2"/>
      </tp>
      <tp t="s">
        <v>#N/A Requesting Data...3915468414</v>
        <stp/>
        <stp>BDP|4649401716998578516</stp>
        <tr r="S985" s="2"/>
      </tp>
      <tp t="s">
        <v>#N/A Requesting Data...2353225250</v>
        <stp/>
        <stp>BDP|3808943155107561489</stp>
        <tr r="Q2090" s="2"/>
      </tp>
      <tp t="s">
        <v>#N/A Requesting Data...4126280536</v>
        <stp/>
        <stp>BDP|3324705156854825991</stp>
        <tr r="H830" s="2"/>
      </tp>
      <tp t="s">
        <v>#N/A Requesting Data...2891532504</v>
        <stp/>
        <stp>BDP|2728929576350634017</stp>
        <tr r="G1020" s="2"/>
      </tp>
      <tp t="s">
        <v>#N/A Requesting Data...1495125422</v>
        <stp/>
        <stp>BDP|3557521697940118350</stp>
        <tr r="Q1030" s="2"/>
      </tp>
      <tp t="s">
        <v>#N/A Requesting Data...1260464956</v>
        <stp/>
        <stp>BDP|6981031800903644988</stp>
        <tr r="K2030" s="2"/>
      </tp>
      <tp t="s">
        <v>#N/A Requesting Data...3098122407</v>
        <stp/>
        <stp>BDP|7186243255595128953</stp>
        <tr r="M1010" s="2"/>
      </tp>
      <tp t="s">
        <v>#N/A Requesting Data...2691914486</v>
        <stp/>
        <stp>BDP|3135924369864987478</stp>
        <tr r="S84" s="2"/>
      </tp>
      <tp t="s">
        <v>#N/A Requesting Data...1284651777</v>
        <stp/>
        <stp>BDP|6366611701049707508</stp>
        <tr r="N1856" s="2"/>
      </tp>
      <tp t="s">
        <v>#N/A Requesting Data...1707490970</v>
        <stp/>
        <stp>BDP|2593085520328818411</stp>
        <tr r="S1246" s="2"/>
      </tp>
      <tp t="s">
        <v>#N/A Requesting Data...1050730161</v>
        <stp/>
        <stp>BDP|8248591769852754517</stp>
        <tr r="N413" s="2"/>
      </tp>
      <tp t="s">
        <v>#N/A Requesting Data...2461960960</v>
        <stp/>
        <stp>BDP|3222068887643601413</stp>
        <tr r="C912" s="2"/>
      </tp>
      <tp t="s">
        <v>#N/A Requesting Data...1867803041</v>
        <stp/>
        <stp>BDP|8674149854711405166</stp>
        <tr r="M2274" s="2"/>
      </tp>
      <tp t="s">
        <v>#N/A Requesting Data...3121616903</v>
        <stp/>
        <stp>BDP|6105471121268097434</stp>
        <tr r="J1749" s="2"/>
      </tp>
      <tp t="s">
        <v>#N/A Requesting Data...3314471318</v>
        <stp/>
        <stp>BDP|6997325258504640813</stp>
        <tr r="P1047" s="2"/>
      </tp>
      <tp t="s">
        <v>#N/A Requesting Data...1336268929</v>
        <stp/>
        <stp>BDP|5030615751988024243</stp>
        <tr r="H231" s="2"/>
      </tp>
      <tp t="s">
        <v>#N/A Requesting Data...3093784712</v>
        <stp/>
        <stp>BDP|1739332556012329952</stp>
        <tr r="H1653" s="2"/>
      </tp>
      <tp t="s">
        <v>#N/A Requesting Data...4094993507</v>
        <stp/>
        <stp>BDP|2021804270355348470</stp>
        <tr r="F420" s="2"/>
      </tp>
      <tp t="s">
        <v>#N/A Requesting Data...1862317080</v>
        <stp/>
        <stp>BDP|3703241893454110055</stp>
        <tr r="R1060" s="2"/>
      </tp>
      <tp t="s">
        <v>#N/A Requesting Data...1326483355</v>
        <stp/>
        <stp>BDP|4386620297862642544</stp>
        <tr r="G1249" s="2"/>
      </tp>
      <tp t="s">
        <v>#N/A Requesting Data...4117700978</v>
        <stp/>
        <stp>BDP|5102846221324272722</stp>
        <tr r="R1608" s="2"/>
      </tp>
      <tp t="s">
        <v>#N/A Requesting Data...2941653167</v>
        <stp/>
        <stp>BDP|7461583340763174995</stp>
        <tr r="G522" s="2"/>
      </tp>
      <tp t="s">
        <v>#N/A Requesting Data...1993484342</v>
        <stp/>
        <stp>BDP|7976374969996495873</stp>
        <tr r="Q65" s="2"/>
      </tp>
      <tp t="s">
        <v>#N/A Requesting Data...2206345336</v>
        <stp/>
        <stp>BDP|8774576177221654756</stp>
        <tr r="F90" s="2"/>
      </tp>
      <tp t="s">
        <v>#N/A Requesting Data...3012732571</v>
        <stp/>
        <stp>BDP|6337421268001859957</stp>
        <tr r="F1093" s="2"/>
      </tp>
      <tp t="s">
        <v>#N/A Requesting Data...1713899139</v>
        <stp/>
        <stp>BDP|9220546857557160247</stp>
        <tr r="R1198" s="2"/>
      </tp>
      <tp t="s">
        <v>#N/A Requesting Data...1926317058</v>
        <stp/>
        <stp>BDP|7796713907264582800</stp>
        <tr r="J1795" s="2"/>
      </tp>
      <tp t="b">
        <v>0</v>
        <stp/>
        <stp>BDS|1584841716156396201</stp>
        <tr r="I50" s="2"/>
      </tp>
      <tp t="s">
        <v>#N/A Requesting Data...3420271108</v>
        <stp/>
        <stp>BDP|7630731450669131004</stp>
        <tr r="S892" s="2"/>
      </tp>
      <tp t="s">
        <v>#N/A Requesting Data...2302288976</v>
        <stp/>
        <stp>BDP|7547841836735170526</stp>
        <tr r="T221" s="2"/>
      </tp>
      <tp t="s">
        <v>#N/A Requesting Data...2394535776</v>
        <stp/>
        <stp>BDP|6694320581768598944</stp>
        <tr r="T318" s="2"/>
      </tp>
      <tp t="s">
        <v>#N/A Requesting Data...3418395342</v>
        <stp/>
        <stp>BDP|5737358079559859478</stp>
        <tr r="H2123" s="2"/>
      </tp>
      <tp t="s">
        <v>#N/A Requesting Data...1727454389</v>
        <stp/>
        <stp>BDP|1000889569567285476</stp>
        <tr r="C336" s="2"/>
      </tp>
      <tp t="s">
        <v>#N/A Requesting Data...2420240617</v>
        <stp/>
        <stp>BDP|2432482284032475084</stp>
        <tr r="J1989" s="2"/>
      </tp>
      <tp t="s">
        <v>#N/A Requesting Data...3408578253</v>
        <stp/>
        <stp>BDP|1029521354084473966</stp>
        <tr r="G1984" s="2"/>
      </tp>
      <tp t="s">
        <v>#N/A Requesting Data...3341178749</v>
        <stp/>
        <stp>BDP|3098068150328469266</stp>
        <tr r="R1725" s="2"/>
      </tp>
      <tp t="s">
        <v>#N/A Requesting Data...1661323362</v>
        <stp/>
        <stp>BDP|3077502932820072968</stp>
        <tr r="K1576" s="2"/>
      </tp>
      <tp t="s">
        <v>#N/A Requesting Data...1950801947</v>
        <stp/>
        <stp>BDP|3570580141187853901</stp>
        <tr r="G394" s="2"/>
      </tp>
      <tp t="s">
        <v>#N/A Requesting Data...3602495325</v>
        <stp/>
        <stp>BDP|7662456570948588023</stp>
        <tr r="E2425" s="2"/>
      </tp>
      <tp t="s">
        <v>#N/A Requesting Data...2693379118</v>
        <stp/>
        <stp>BDP|1278950710680372503</stp>
        <tr r="P313" s="2"/>
      </tp>
      <tp t="s">
        <v>#N/A Requesting Data...3467132881</v>
        <stp/>
        <stp>BDP|3646027781664425352</stp>
        <tr r="T1720" s="2"/>
      </tp>
      <tp t="s">
        <v>#N/A Requesting Data...1459048077</v>
        <stp/>
        <stp>BDP|4961114558448132450</stp>
        <tr r="D2267" s="2"/>
      </tp>
      <tp t="s">
        <v>#N/A Requesting Data...1930802083</v>
        <stp/>
        <stp>BDP|3800348280875106195</stp>
        <tr r="A1152" s="2"/>
      </tp>
      <tp t="s">
        <v>#N/A Requesting Data...2187624738</v>
        <stp/>
        <stp>BDP|4832985015360847094</stp>
        <tr r="M2387" s="2"/>
      </tp>
      <tp t="s">
        <v>#N/A Requesting Data...4046272831</v>
        <stp/>
        <stp>BDP|8797375765194900588</stp>
        <tr r="D1303" s="2"/>
      </tp>
      <tp t="s">
        <v>#N/A Requesting Data...2694333976</v>
        <stp/>
        <stp>BDP|3840818928053007659</stp>
        <tr r="C640" s="2"/>
      </tp>
      <tp t="b">
        <v>0</v>
        <stp/>
        <stp>BDS|4569746343759154274</stp>
        <tr r="I928" s="2"/>
      </tp>
      <tp t="s">
        <v>#N/A Requesting Data...1498168824</v>
        <stp/>
        <stp>BDP|7804803971281503585</stp>
        <tr r="D2121" s="2"/>
      </tp>
      <tp t="s">
        <v>#N/A Requesting Data...2047044953</v>
        <stp/>
        <stp>BDP|2326730241308755520</stp>
        <tr r="S421" s="2"/>
      </tp>
      <tp t="s">
        <v>#N/A Requesting Data...2228994125</v>
        <stp/>
        <stp>BDP|7164496076641201982</stp>
        <tr r="F921" s="2"/>
      </tp>
      <tp t="s">
        <v>#N/A Requesting Data...1748712358</v>
        <stp/>
        <stp>BDP|4451332483255943695</stp>
        <tr r="R1311" s="2"/>
      </tp>
      <tp t="s">
        <v>#N/A Requesting Data...2315459609</v>
        <stp/>
        <stp>BDP|3365461896744556621</stp>
        <tr r="J1205" s="2"/>
      </tp>
      <tp t="s">
        <v>#N/A Requesting Data...2642981042</v>
        <stp/>
        <stp>BDP|5041005997471664157</stp>
        <tr r="D1219" s="2"/>
      </tp>
      <tp t="s">
        <v>#N/A Requesting Data...1315900847</v>
        <stp/>
        <stp>BDP|6951984825704785579</stp>
        <tr r="Q595" s="2"/>
      </tp>
      <tp t="s">
        <v>#N/A Requesting Data...1582127307</v>
        <stp/>
        <stp>BDP|5918083590413172346</stp>
        <tr r="D1858" s="2"/>
      </tp>
      <tp t="s">
        <v>#N/A Requesting Data...3127338053</v>
        <stp/>
        <stp>BDP|1215817820950390741</stp>
        <tr r="C2000" s="2"/>
      </tp>
      <tp t="s">
        <v>#N/A Requesting Data...2411552485</v>
        <stp/>
        <stp>BDP|7513287798589635977</stp>
        <tr r="A1877" s="2"/>
      </tp>
      <tp t="s">
        <v>#N/A Requesting Data...1887258144</v>
        <stp/>
        <stp>BDP|7928691855258509047</stp>
        <tr r="Q1817" s="2"/>
      </tp>
      <tp t="s">
        <v>#N/A Requesting Data...3421810636</v>
        <stp/>
        <stp>BDP|1973275911518345685</stp>
        <tr r="N226" s="2"/>
      </tp>
      <tp t="s">
        <v>#N/A Requesting Data...1685224873</v>
        <stp/>
        <stp>BDP|3002618093947593721</stp>
        <tr r="T1022" s="2"/>
      </tp>
      <tp t="s">
        <v>#N/A Requesting Data...3299223452</v>
        <stp/>
        <stp>BDP|2698189609999360616</stp>
        <tr r="A691" s="2"/>
      </tp>
      <tp t="s">
        <v>#N/A Requesting Data...4270014668</v>
        <stp/>
        <stp>BDP|7666348863718368676</stp>
        <tr r="F112" s="2"/>
      </tp>
      <tp t="s">
        <v>#N/A Requesting Data...2808124677</v>
        <stp/>
        <stp>BDP|3560176988901618791</stp>
        <tr r="P930" s="2"/>
      </tp>
      <tp t="s">
        <v>#N/A Requesting Data...2291506552</v>
        <stp/>
        <stp>BDP|7282147587461349376</stp>
        <tr r="O2270" s="2"/>
      </tp>
      <tp t="s">
        <v>#N/A Requesting Data...1822379787</v>
        <stp/>
        <stp>BDP|1451603176685391940</stp>
        <tr r="N624" s="2"/>
      </tp>
      <tp t="s">
        <v>#N/A Requesting Data...4200854980</v>
        <stp/>
        <stp>BDP|2561945461644055558</stp>
        <tr r="Q1982" s="2"/>
      </tp>
      <tp t="s">
        <v>#N/A Requesting Data...1394491424</v>
        <stp/>
        <stp>BDP|7297525381496199059</stp>
        <tr r="K1332" s="2"/>
      </tp>
      <tp t="s">
        <v>#N/A Requesting Data...2090501201</v>
        <stp/>
        <stp>BDP|8742154075107791550</stp>
        <tr r="G656" s="2"/>
      </tp>
      <tp t="s">
        <v>#N/A Requesting Data...1267630384</v>
        <stp/>
        <stp>BDP|2403867621557198373</stp>
        <tr r="N2202" s="2"/>
      </tp>
      <tp t="s">
        <v>#N/A Requesting Data...3287072065</v>
        <stp/>
        <stp>BDP|3109956850325867698</stp>
        <tr r="R1503" s="2"/>
      </tp>
      <tp t="s">
        <v>#N/A Requesting Data...2031545643</v>
        <stp/>
        <stp>BDP|5798361182563708116</stp>
        <tr r="K629" s="2"/>
      </tp>
      <tp t="s">
        <v>#N/A Requesting Data...3207811281</v>
        <stp/>
        <stp>BDP|1754365482544487226</stp>
        <tr r="N1835" s="2"/>
      </tp>
      <tp t="s">
        <v>#N/A Requesting Data...3526656431</v>
        <stp/>
        <stp>BDP|2579823653010890396</stp>
        <tr r="F1315" s="2"/>
      </tp>
      <tp t="s">
        <v>#N/A Requesting Data...3007596727</v>
        <stp/>
        <stp>BDP|3102472582345828698</stp>
        <tr r="C2261" s="2"/>
      </tp>
      <tp t="s">
        <v>#N/A Requesting Data...1658176387</v>
        <stp/>
        <stp>BDP|7069366839182922938</stp>
        <tr r="N1606" s="2"/>
      </tp>
      <tp t="s">
        <v>#N/A Requesting Data...3924633661</v>
        <stp/>
        <stp>BDP|3482916753797328401</stp>
        <tr r="O885" s="2"/>
      </tp>
      <tp t="b">
        <v>0</v>
        <stp/>
        <stp>BDS|6463460104377240918</stp>
        <tr r="I492" s="2"/>
      </tp>
      <tp t="s">
        <v>#N/A Requesting Data...3660810861</v>
        <stp/>
        <stp>BDP|1631417332978003207</stp>
        <tr r="C2430" s="2"/>
      </tp>
      <tp t="s">
        <v>#N/A Requesting Data...2637675492</v>
        <stp/>
        <stp>BDP|6763825407707391547</stp>
        <tr r="N1301" s="2"/>
      </tp>
      <tp t="s">
        <v>#N/A Requesting Data...3984513090</v>
        <stp/>
        <stp>BDP|4463930931716537468</stp>
        <tr r="S1266" s="2"/>
      </tp>
      <tp t="s">
        <v>#N/A Requesting Data...3714054009</v>
        <stp/>
        <stp>BDP|8487847359098850140</stp>
        <tr r="G798" s="2"/>
      </tp>
      <tp t="s">
        <v>#N/A Requesting Data...2932140243</v>
        <stp/>
        <stp>BDP|2246274982534065029</stp>
        <tr r="J2018" s="2"/>
      </tp>
      <tp t="s">
        <v>#N/A Requesting Data...2985202655</v>
        <stp/>
        <stp>BDP|9415109292379474471</stp>
        <tr r="M130" s="2"/>
      </tp>
      <tp t="s">
        <v>#N/A Requesting Data...2779668441</v>
        <stp/>
        <stp>BDP|2335969740183837085</stp>
        <tr r="C10" s="2"/>
      </tp>
      <tp t="s">
        <v>#N/A Requesting Data...3218392173</v>
        <stp/>
        <stp>BDP|7434257244085986891</stp>
        <tr r="R323" s="2"/>
      </tp>
      <tp t="s">
        <v>#N/A Requesting Data...1970936710</v>
        <stp/>
        <stp>BDP|4861044590964119587</stp>
        <tr r="O1106" s="2"/>
      </tp>
      <tp t="s">
        <v>#N/A Requesting Data...3969297535</v>
        <stp/>
        <stp>BDP|1537927921946006031</stp>
        <tr r="Q912" s="2"/>
      </tp>
      <tp t="s">
        <v>#N/A Requesting Data...2531599580</v>
        <stp/>
        <stp>BDP|3854960079272489363</stp>
        <tr r="E641" s="2"/>
      </tp>
      <tp t="s">
        <v>#N/A Requesting Data...3600739157</v>
        <stp/>
        <stp>BDP|4254931774783291526</stp>
        <tr r="O1615" s="2"/>
      </tp>
      <tp t="s">
        <v>#N/A Requesting Data...2207593055</v>
        <stp/>
        <stp>BDP|8980515846510373583</stp>
        <tr r="K1456" s="2"/>
      </tp>
      <tp t="s">
        <v>#N/A Requesting Data...1462368089</v>
        <stp/>
        <stp>BDP|9433766810974717701</stp>
        <tr r="O2335" s="2"/>
      </tp>
      <tp t="s">
        <v>#N/A Requesting Data...2114278170</v>
        <stp/>
        <stp>BDP|6161930498932752885</stp>
        <tr r="E1143" s="2"/>
      </tp>
      <tp t="s">
        <v>#N/A Requesting Data...3327750455</v>
        <stp/>
        <stp>BDP|9395719527258041809</stp>
        <tr r="D521" s="2"/>
      </tp>
      <tp t="s">
        <v>#N/A Requesting Data...1987974860</v>
        <stp/>
        <stp>BDP|9530629520197668642</stp>
        <tr r="R2470" s="2"/>
      </tp>
      <tp t="s">
        <v>#N/A Requesting Data...3686147401</v>
        <stp/>
        <stp>BDP|9974128976401919215</stp>
        <tr r="K427" s="2"/>
      </tp>
      <tp t="s">
        <v>#N/A Requesting Data...4099036598</v>
        <stp/>
        <stp>BDP|5212525312844162965</stp>
        <tr r="Q2118" s="2"/>
      </tp>
      <tp t="s">
        <v>#N/A Requesting Data...3033687925</v>
        <stp/>
        <stp>BDP|7751979243711212745</stp>
        <tr r="C233" s="2"/>
      </tp>
      <tp t="s">
        <v>#N/A Requesting Data...3424411248</v>
        <stp/>
        <stp>BDP|9984890791587568314</stp>
        <tr r="G1288" s="2"/>
      </tp>
      <tp t="s">
        <v>#N/A Requesting Data...2305632494</v>
        <stp/>
        <stp>BDP|1268381563278592093</stp>
        <tr r="H869" s="2"/>
      </tp>
      <tp t="s">
        <v>#N/A Requesting Data...1965124602</v>
        <stp/>
        <stp>BDP|3893003100097471892</stp>
        <tr r="T581" s="2"/>
      </tp>
      <tp t="s">
        <v>#N/A Requesting Data...1925936474</v>
        <stp/>
        <stp>BDP|7750359686152645277</stp>
        <tr r="J967" s="2"/>
      </tp>
      <tp t="s">
        <v>#N/A Requesting Data...2844567061</v>
        <stp/>
        <stp>BDP|7870534299045380245</stp>
        <tr r="H911" s="2"/>
      </tp>
      <tp t="s">
        <v>#N/A Requesting Data...2644317031</v>
        <stp/>
        <stp>BDP|1075954351825534446</stp>
        <tr r="S492" s="2"/>
      </tp>
      <tp t="s">
        <v>#N/A Requesting Data...1903829386</v>
        <stp/>
        <stp>BDP|2654484929791415969</stp>
        <tr r="E1412" s="2"/>
      </tp>
      <tp t="s">
        <v>#N/A Requesting Data...1773187623</v>
        <stp/>
        <stp>BDP|3131119784187540141</stp>
        <tr r="T1018" s="2"/>
      </tp>
      <tp t="s">
        <v>#N/A Requesting Data...3416923062</v>
        <stp/>
        <stp>BDP|2865873573668061994</stp>
        <tr r="D1528" s="2"/>
      </tp>
      <tp t="s">
        <v>#N/A Requesting Data...2738991021</v>
        <stp/>
        <stp>BDP|5334178538602090995</stp>
        <tr r="Q1173" s="2"/>
      </tp>
      <tp t="s">
        <v>#N/A Requesting Data...3101438703</v>
        <stp/>
        <stp>BDP|5846430934276279880</stp>
        <tr r="D1205" s="2"/>
      </tp>
      <tp t="s">
        <v>#N/A Requesting Data...4229445471</v>
        <stp/>
        <stp>BDP|2079424055429528674</stp>
        <tr r="R1892" s="2"/>
      </tp>
      <tp t="s">
        <v>#N/A Requesting Data...2189196063</v>
        <stp/>
        <stp>BDP|4406087589138343833</stp>
        <tr r="T1122" s="2"/>
      </tp>
      <tp t="s">
        <v>#N/A Requesting Data...2421544504</v>
        <stp/>
        <stp>BDP|4754664291802592500</stp>
        <tr r="T827" s="2"/>
      </tp>
      <tp t="s">
        <v>#N/A Requesting Data...4243645762</v>
        <stp/>
        <stp>BDP|6624580969999181033</stp>
        <tr r="P644" s="2"/>
      </tp>
      <tp t="s">
        <v>#N/A Requesting Data...2681832154</v>
        <stp/>
        <stp>BDP|4265812460304368251</stp>
        <tr r="G924" s="2"/>
      </tp>
      <tp t="s">
        <v>#N/A Requesting Data...2544899513</v>
        <stp/>
        <stp>BDP|4303158788047389680</stp>
        <tr r="K2349" s="2"/>
      </tp>
      <tp t="b">
        <v>0</v>
        <stp/>
        <stp>BDS|2602832340612654061</stp>
        <tr r="I8" s="2"/>
      </tp>
      <tp t="s">
        <v>#N/A Requesting Data...3712534561</v>
        <stp/>
        <stp>BDP|7244929491253040848</stp>
        <tr r="R416" s="2"/>
      </tp>
      <tp t="s">
        <v>#N/A Requesting Data...3141526697</v>
        <stp/>
        <stp>BDP|9101417785061025806</stp>
        <tr r="P791" s="2"/>
      </tp>
      <tp t="b">
        <v>0</v>
        <stp/>
        <stp>BDS|6094475307458204678</stp>
        <tr r="I2099" s="2"/>
      </tp>
      <tp t="s">
        <v>#N/A Requesting Data...2094933303</v>
        <stp/>
        <stp>BDP|8664422494701017851</stp>
        <tr r="K1595" s="2"/>
      </tp>
      <tp t="s">
        <v>#N/A Requesting Data...2119200157</v>
        <stp/>
        <stp>BDP|9760038101303791677</stp>
        <tr r="T1895" s="2"/>
      </tp>
      <tp t="s">
        <v>#N/A Requesting Data...1427846827</v>
        <stp/>
        <stp>BDP|3231954002572445445</stp>
        <tr r="D685" s="2"/>
      </tp>
      <tp t="s">
        <v>#N/A Requesting Data...2528784868</v>
        <stp/>
        <stp>BDP|8837237833686574386</stp>
        <tr r="G1552" s="2"/>
      </tp>
      <tp t="s">
        <v>#N/A Requesting Data...2863653961</v>
        <stp/>
        <stp>BDP|7306034741157349872</stp>
        <tr r="A712" s="2"/>
      </tp>
      <tp t="s">
        <v>#N/A Requesting Data...1931225905</v>
        <stp/>
        <stp>BDP|1309062965798736325</stp>
        <tr r="S111" s="2"/>
      </tp>
      <tp t="s">
        <v>#N/A Requesting Data...2508147087</v>
        <stp/>
        <stp>BDP|1575101681036538246</stp>
        <tr r="O1084" s="2"/>
      </tp>
      <tp t="b">
        <v>0</v>
        <stp/>
        <stp>BDS|8991459118386432750</stp>
        <tr r="I853" s="2"/>
      </tp>
      <tp t="s">
        <v>#N/A Requesting Data...2454932522</v>
        <stp/>
        <stp>BDP|8147063052480394139</stp>
        <tr r="P1230" s="2"/>
      </tp>
      <tp t="s">
        <v>#N/A Requesting Data...2737259150</v>
        <stp/>
        <stp>BDP|9380899234608335686</stp>
        <tr r="Q372" s="2"/>
      </tp>
      <tp t="s">
        <v>#N/A Requesting Data...2762125022</v>
        <stp/>
        <stp>BDP|9555760502862768039</stp>
        <tr r="M2271" s="2"/>
      </tp>
      <tp t="s">
        <v>#N/A Requesting Data...2219349738</v>
        <stp/>
        <stp>BDP|9629565188268847053</stp>
        <tr r="C769" s="2"/>
      </tp>
      <tp t="s">
        <v>#N/A Requesting Data...2580890460</v>
        <stp/>
        <stp>BDP|3305120277708422170</stp>
        <tr r="D1117" s="2"/>
      </tp>
      <tp t="s">
        <v>#N/A Requesting Data...1944204355</v>
        <stp/>
        <stp>BDP|9930689363122390747</stp>
        <tr r="C144" s="2"/>
      </tp>
      <tp t="b">
        <v>0</v>
        <stp/>
        <stp>BDS|9916271850272208094</stp>
        <tr r="I1913" s="2"/>
      </tp>
      <tp t="s">
        <v>#N/A Requesting Data...3316533965</v>
        <stp/>
        <stp>BDP|2997996276801026130</stp>
        <tr r="F2121" s="2"/>
      </tp>
      <tp t="s">
        <v>#N/A Requesting Data...2298980483</v>
        <stp/>
        <stp>BDP|7712660543810345948</stp>
        <tr r="D1793" s="2"/>
      </tp>
      <tp t="s">
        <v>#N/A Requesting Data...2209161402</v>
        <stp/>
        <stp>BDP|2416300643789554076</stp>
        <tr r="K2191" s="2"/>
      </tp>
      <tp t="s">
        <v>#N/A Requesting Data...2315700516</v>
        <stp/>
        <stp>BDP|1882288793174138277</stp>
        <tr r="K42" s="2"/>
      </tp>
      <tp t="s">
        <v>#N/A Requesting Data...3488849963</v>
        <stp/>
        <stp>BDP|2647881459093650045</stp>
        <tr r="D38" s="2"/>
      </tp>
      <tp t="s">
        <v>#N/A Requesting Data...1808121694</v>
        <stp/>
        <stp>BDP|2892598062138165572</stp>
        <tr r="O736" s="2"/>
      </tp>
      <tp t="s">
        <v>#N/A Requesting Data...1414204602</v>
        <stp/>
        <stp>BDP|4529809837206595524</stp>
        <tr r="J1323" s="2"/>
      </tp>
      <tp t="s">
        <v>#N/A Requesting Data...3863597811</v>
        <stp/>
        <stp>BDP|3014109483555180371</stp>
        <tr r="M2276" s="2"/>
      </tp>
      <tp t="s">
        <v>#N/A Requesting Data...3205975502</v>
        <stp/>
        <stp>BDP|9974014571416906453</stp>
        <tr r="R1824" s="2"/>
      </tp>
      <tp t="s">
        <v>#N/A Requesting Data...1620249846</v>
        <stp/>
        <stp>BDP|6751231697147312650</stp>
        <tr r="O1087" s="2"/>
      </tp>
      <tp t="s">
        <v>#N/A Requesting Data...2754050553</v>
        <stp/>
        <stp>BDP|1317589089747620719</stp>
        <tr r="H1276" s="2"/>
      </tp>
      <tp t="s">
        <v>#N/A Requesting Data...2282494485</v>
        <stp/>
        <stp>BDP|3352534410438589309</stp>
        <tr r="T959" s="2"/>
      </tp>
      <tp t="s">
        <v>#N/A Requesting Data...3843998554</v>
        <stp/>
        <stp>BDP|1513140602175769912</stp>
        <tr r="D964" s="2"/>
      </tp>
      <tp t="s">
        <v>#N/A Requesting Data...3552999881</v>
        <stp/>
        <stp>BDP|5737935927993313159</stp>
        <tr r="A1613" s="2"/>
      </tp>
      <tp t="s">
        <v>#N/A Requesting Data...2137604348</v>
        <stp/>
        <stp>BDP|5732684895140948665</stp>
        <tr r="P2053" s="2"/>
      </tp>
      <tp t="s">
        <v>#N/A Requesting Data...3358487594</v>
        <stp/>
        <stp>BDP|4655971705640734166</stp>
        <tr r="Q343" s="2"/>
      </tp>
      <tp t="s">
        <v>#N/A Requesting Data...2243464141</v>
        <stp/>
        <stp>BDP|7361709979908764387</stp>
        <tr r="Q993" s="2"/>
      </tp>
      <tp t="b">
        <v>0</v>
        <stp/>
        <stp>BDS|5749326573624202910</stp>
        <tr r="I1180" s="2"/>
      </tp>
      <tp t="b">
        <v>0</v>
        <stp/>
        <stp>BDS|8830480612093403237</stp>
        <tr r="I2440" s="2"/>
      </tp>
      <tp t="b">
        <v>0</v>
        <stp/>
        <stp>BDS|5727053094635100522</stp>
        <tr r="I1890" s="2"/>
      </tp>
      <tp t="s">
        <v>#N/A Requesting Data...2865726713</v>
        <stp/>
        <stp>BDP|3390509683182328065</stp>
        <tr r="K1976" s="2"/>
      </tp>
      <tp t="s">
        <v>#N/A Requesting Data...3492819906</v>
        <stp/>
        <stp>BDP|3579822621382477777</stp>
        <tr r="D584" s="2"/>
      </tp>
      <tp t="s">
        <v>#N/A Requesting Data...3110755721</v>
        <stp/>
        <stp>BDP|2314245537258087758</stp>
        <tr r="N1014" s="2"/>
      </tp>
      <tp t="b">
        <v>0</v>
        <stp/>
        <stp>BDS|8064794614930979219</stp>
        <tr r="I1061" s="2"/>
      </tp>
      <tp t="s">
        <v>#N/A Requesting Data...4076451349</v>
        <stp/>
        <stp>BDP|1582238904706382949</stp>
        <tr r="N1371" s="2"/>
      </tp>
      <tp t="b">
        <v>0</v>
        <stp/>
        <stp>BDS|4842931551683409649</stp>
        <tr r="I1267" s="2"/>
      </tp>
      <tp t="s">
        <v>#N/A Requesting Data...3856150696</v>
        <stp/>
        <stp>BDP|5195753407258194788</stp>
        <tr r="N903" s="2"/>
      </tp>
      <tp t="s">
        <v>#N/A Requesting Data...3001151013</v>
        <stp/>
        <stp>BDP|4535081495462699246</stp>
        <tr r="H1005" s="2"/>
      </tp>
      <tp t="s">
        <v>#N/A Requesting Data...3658759651</v>
        <stp/>
        <stp>BDP|8870255098829868775</stp>
        <tr r="G1677" s="2"/>
      </tp>
      <tp t="s">
        <v>#N/A Requesting Data...2560843450</v>
        <stp/>
        <stp>BDP|6429866843592316588</stp>
        <tr r="D1168" s="2"/>
      </tp>
      <tp t="s">
        <v>#N/A Requesting Data...3624940143</v>
        <stp/>
        <stp>BDP|2176916640887902531</stp>
        <tr r="M407" s="2"/>
      </tp>
      <tp t="b">
        <v>0</v>
        <stp/>
        <stp>BDS|9833220634636292364</stp>
        <tr r="I1581" s="2"/>
      </tp>
      <tp t="b">
        <v>0</v>
        <stp/>
        <stp>BDS|3711222014809927421</stp>
        <tr r="I2267" s="2"/>
      </tp>
      <tp t="s">
        <v>#N/A Requesting Data...3372764472</v>
        <stp/>
        <stp>BDP|3663812407081871728</stp>
        <tr r="J276" s="2"/>
      </tp>
      <tp t="s">
        <v>#N/A Requesting Data...4282382618</v>
        <stp/>
        <stp>BDP|4488171388243761366</stp>
        <tr r="Q1010" s="2"/>
      </tp>
      <tp t="s">
        <v>#N/A Requesting Data...4150911703</v>
        <stp/>
        <stp>BDP|8807454697441831989</stp>
        <tr r="O1740" s="2"/>
      </tp>
      <tp t="s">
        <v>#N/A Requesting Data...2586989334</v>
        <stp/>
        <stp>BDP|2855162795437311028</stp>
        <tr r="O2183" s="2"/>
      </tp>
      <tp t="s">
        <v>#N/A Requesting Data...3078977864</v>
        <stp/>
        <stp>BDP|2015011859988277204</stp>
        <tr r="N183" s="2"/>
      </tp>
      <tp t="s">
        <v>#N/A Requesting Data...1729868294</v>
        <stp/>
        <stp>BDP|9590749500421385286</stp>
        <tr r="K1187" s="2"/>
      </tp>
      <tp t="s">
        <v>#N/A Requesting Data...2095458308</v>
        <stp/>
        <stp>BDP|7533810225873902326</stp>
        <tr r="A433" s="2"/>
      </tp>
      <tp t="s">
        <v>#N/A Requesting Data...3887241780</v>
        <stp/>
        <stp>BDP|9706155049175903489</stp>
        <tr r="S1410" s="2"/>
      </tp>
      <tp t="s">
        <v>#N/A Requesting Data...2261556170</v>
        <stp/>
        <stp>BDP|4190535718054076907</stp>
        <tr r="M824" s="2"/>
      </tp>
      <tp t="s">
        <v>#N/A Requesting Data...3994187663</v>
        <stp/>
        <stp>BDP|1280126779402229814</stp>
        <tr r="R280" s="2"/>
      </tp>
      <tp t="s">
        <v>#N/A Requesting Data...4004315050</v>
        <stp/>
        <stp>BDP|6433703427989930706</stp>
        <tr r="H2234" s="2"/>
      </tp>
      <tp t="b">
        <v>0</v>
        <stp/>
        <stp>BDS|8294713526088916864</stp>
        <tr r="I2157" s="2"/>
      </tp>
      <tp t="s">
        <v>#N/A Requesting Data...1511331679</v>
        <stp/>
        <stp>BDP|9902592451172388687</stp>
        <tr r="S633" s="2"/>
      </tp>
      <tp t="s">
        <v>#N/A Requesting Data...3701452028</v>
        <stp/>
        <stp>BDP|2432003754862219885</stp>
        <tr r="S1200" s="2"/>
      </tp>
      <tp t="s">
        <v>#N/A Requesting Data...3479787432</v>
        <stp/>
        <stp>BDP|8802597624703862179</stp>
        <tr r="A1272" s="2"/>
      </tp>
      <tp t="s">
        <v>#N/A Requesting Data...4119258857</v>
        <stp/>
        <stp>BDP|7703066994945717681</stp>
        <tr r="H116" s="2"/>
      </tp>
      <tp t="s">
        <v>#N/A Requesting Data...3236813904</v>
        <stp/>
        <stp>BDP|6663621610904633883</stp>
        <tr r="H21" s="2"/>
      </tp>
      <tp t="s">
        <v>#N/A Requesting Data...3116145166</v>
        <stp/>
        <stp>BDP|4620439687475016080</stp>
        <tr r="E79" s="2"/>
      </tp>
      <tp t="s">
        <v>#N/A Requesting Data...2334123266</v>
        <stp/>
        <stp>BDP|8613558120831960309</stp>
        <tr r="J2052" s="2"/>
      </tp>
      <tp t="s">
        <v>#N/A Requesting Data...2456874641</v>
        <stp/>
        <stp>BDP|1424858358380363101</stp>
        <tr r="S1191" s="2"/>
      </tp>
      <tp t="s">
        <v>#N/A Requesting Data...2660084925</v>
        <stp/>
        <stp>BDP|2141831445022842150</stp>
        <tr r="H1242" s="2"/>
      </tp>
      <tp t="s">
        <v>#N/A Requesting Data...3112305732</v>
        <stp/>
        <stp>BDP|6112413180216297188</stp>
        <tr r="M488" s="2"/>
      </tp>
      <tp t="s">
        <v>#N/A Requesting Data...1707118497</v>
        <stp/>
        <stp>BDP|9804691382653957903</stp>
        <tr r="S1719" s="2"/>
      </tp>
      <tp t="s">
        <v>#N/A Requesting Data...1607074814</v>
        <stp/>
        <stp>BDP|1678904061616458591</stp>
        <tr r="P2139" s="2"/>
      </tp>
      <tp t="s">
        <v>#N/A Requesting Data...3381298154</v>
        <stp/>
        <stp>BDP|5425154017439454186</stp>
        <tr r="Q794" s="2"/>
      </tp>
      <tp t="s">
        <v>#N/A Requesting Data...2917210250</v>
        <stp/>
        <stp>BDP|6259542390243960452</stp>
        <tr r="M529" s="2"/>
      </tp>
      <tp t="s">
        <v>#N/A Requesting Data...3646931939</v>
        <stp/>
        <stp>BDP|5905906365367334056</stp>
        <tr r="E880" s="2"/>
      </tp>
      <tp t="s">
        <v>#N/A Requesting Data...2388057426</v>
        <stp/>
        <stp>BDP|7877426091256156106</stp>
        <tr r="S745" s="2"/>
      </tp>
      <tp t="s">
        <v>#N/A Requesting Data...2189855609</v>
        <stp/>
        <stp>BDP|8251237503616002184</stp>
        <tr r="T974" s="2"/>
      </tp>
      <tp t="s">
        <v>#N/A Requesting Data...3985320158</v>
        <stp/>
        <stp>BDP|2691954150053857018</stp>
        <tr r="K2294" s="2"/>
      </tp>
      <tp t="s">
        <v>#N/A Requesting Data...3247751956</v>
        <stp/>
        <stp>BDP|1049494935042627902</stp>
        <tr r="P969" s="2"/>
      </tp>
      <tp t="s">
        <v>#N/A Requesting Data...1656085335</v>
        <stp/>
        <stp>BDP|1532998497949828590</stp>
        <tr r="S1262" s="2"/>
      </tp>
      <tp t="s">
        <v>#N/A Requesting Data...4285007523</v>
        <stp/>
        <stp>BDP|1462581155554642855</stp>
        <tr r="F1334" s="2"/>
      </tp>
      <tp t="s">
        <v>#N/A Requesting Data...1714928657</v>
        <stp/>
        <stp>BDP|1511586215519507171</stp>
        <tr r="O886" s="2"/>
      </tp>
      <tp t="s">
        <v>#N/A Requesting Data...1734741128</v>
        <stp/>
        <stp>BDP|7109293832299618263</stp>
        <tr r="O2005" s="2"/>
      </tp>
      <tp t="s">
        <v>#N/A Requesting Data...3453981409</v>
        <stp/>
        <stp>BDP|8925014458701913133</stp>
        <tr r="D2510" s="2"/>
      </tp>
      <tp t="s">
        <v>#N/A Requesting Data...3413436106</v>
        <stp/>
        <stp>BDP|5637948715472959249</stp>
        <tr r="J1193" s="2"/>
      </tp>
      <tp t="s">
        <v>#N/A Requesting Data...3183464567</v>
        <stp/>
        <stp>BDP|9893222741882993089</stp>
        <tr r="Q1649" s="2"/>
      </tp>
      <tp t="s">
        <v>#N/A Requesting Data...3162722710</v>
        <stp/>
        <stp>BDP|7275287018580824904</stp>
        <tr r="F1188" s="2"/>
      </tp>
      <tp t="s">
        <v>#N/A Requesting Data...2642619612</v>
        <stp/>
        <stp>BDP|6929870233511121166</stp>
        <tr r="S1929" s="2"/>
      </tp>
      <tp t="s">
        <v>#N/A Requesting Data...2729487466</v>
        <stp/>
        <stp>BDP|4674251187773952076</stp>
        <tr r="J1636" s="2"/>
      </tp>
      <tp t="b">
        <v>0</v>
        <stp/>
        <stp>BDS|3867055077638454141</stp>
        <tr r="I18" s="2"/>
      </tp>
      <tp t="s">
        <v>#N/A Requesting Data...4079313637</v>
        <stp/>
        <stp>BDP|6972579631884530907</stp>
        <tr r="K189" s="2"/>
      </tp>
      <tp t="s">
        <v>#N/A Requesting Data...3209891116</v>
        <stp/>
        <stp>BDP|8032464923377622494</stp>
        <tr r="F1804" s="2"/>
      </tp>
      <tp t="s">
        <v>#N/A Requesting Data...3798021860</v>
        <stp/>
        <stp>BDP|3071430519753715874</stp>
        <tr r="T1492" s="2"/>
      </tp>
      <tp t="s">
        <v>#N/A Requesting Data...3864291984</v>
        <stp/>
        <stp>BDP|2411146488620020626</stp>
        <tr r="M1431" s="2"/>
      </tp>
      <tp t="s">
        <v>#N/A Requesting Data...3999066472</v>
        <stp/>
        <stp>BDP|6302740472372611997</stp>
        <tr r="J619" s="2"/>
      </tp>
      <tp t="s">
        <v>#N/A Requesting Data...2025754326</v>
        <stp/>
        <stp>BDP|8154458440033883660</stp>
        <tr r="A2147" s="2"/>
      </tp>
      <tp t="s">
        <v>#N/A Requesting Data...3369887155</v>
        <stp/>
        <stp>BDP|8945420862776236115</stp>
        <tr r="O1234" s="2"/>
      </tp>
      <tp t="s">
        <v>#N/A Requesting Data...3001476142</v>
        <stp/>
        <stp>BDP|2864345884881269508</stp>
        <tr r="P1073" s="2"/>
      </tp>
      <tp t="s">
        <v>#N/A Requesting Data...3542299572</v>
        <stp/>
        <stp>BDP|6362401399092426440</stp>
        <tr r="Q1023" s="2"/>
      </tp>
      <tp t="s">
        <v>#N/A Requesting Data...2142872825</v>
        <stp/>
        <stp>BDP|3135086474401609814</stp>
        <tr r="N1881" s="2"/>
      </tp>
      <tp t="s">
        <v>#N/A Requesting Data...2016634719</v>
        <stp/>
        <stp>BDP|6343537987702832452</stp>
        <tr r="P755" s="2"/>
      </tp>
      <tp t="s">
        <v>#N/A Requesting Data...2769252333</v>
        <stp/>
        <stp>BDP|4350966165003374590</stp>
        <tr r="Q997" s="2"/>
      </tp>
      <tp t="s">
        <v>#N/A Requesting Data...3551616711</v>
        <stp/>
        <stp>BDP|2879793829063316911</stp>
        <tr r="P80" s="2"/>
      </tp>
      <tp t="s">
        <v>#N/A Requesting Data...4156431662</v>
        <stp/>
        <stp>BDP|9512496267496813096</stp>
        <tr r="M533" s="2"/>
      </tp>
      <tp t="s">
        <v>#N/A Requesting Data...4132638839</v>
        <stp/>
        <stp>BDP|1977839033621273618</stp>
        <tr r="E1818" s="2"/>
      </tp>
      <tp t="s">
        <v>#N/A Requesting Data...1622534069</v>
        <stp/>
        <stp>BDP|1777393051058565205</stp>
        <tr r="Q1487" s="2"/>
      </tp>
      <tp t="s">
        <v>#N/A Requesting Data...2021319732</v>
        <stp/>
        <stp>BDP|1258726180600208382</stp>
        <tr r="N550" s="2"/>
      </tp>
      <tp t="s">
        <v>#N/A Requesting Data...3943853443</v>
        <stp/>
        <stp>BDP|8742275479527168725</stp>
        <tr r="C2119" s="2"/>
      </tp>
      <tp t="s">
        <v>#N/A Requesting Data...2590322231</v>
        <stp/>
        <stp>BDP|8299312741077987514</stp>
        <tr r="N2063" s="2"/>
      </tp>
      <tp t="s">
        <v>#N/A Requesting Data...3139637362</v>
        <stp/>
        <stp>BDP|9152193354675458522</stp>
        <tr r="S1685" s="2"/>
      </tp>
      <tp t="s">
        <v>#N/A Requesting Data...2693667582</v>
        <stp/>
        <stp>BDP|7036197836160361864</stp>
        <tr r="G2386" s="2"/>
      </tp>
      <tp t="s">
        <v>#N/A Requesting Data...3329966900</v>
        <stp/>
        <stp>BDP|9301523013371822104</stp>
        <tr r="N1029" s="2"/>
      </tp>
      <tp t="s">
        <v>#N/A Requesting Data...4184743842</v>
        <stp/>
        <stp>BDP|5395228481037372590</stp>
        <tr r="A732" s="2"/>
      </tp>
      <tp t="s">
        <v>#N/A Requesting Data...4230758123</v>
        <stp/>
        <stp>BDP|9655955628176124905</stp>
        <tr r="F1760" s="2"/>
      </tp>
      <tp t="s">
        <v>#N/A Requesting Data...3128964783</v>
        <stp/>
        <stp>BDP|5953525620759161607</stp>
        <tr r="S1222" s="2"/>
      </tp>
      <tp t="s">
        <v>#N/A Requesting Data...4032521924</v>
        <stp/>
        <stp>BDP|3670495521489470107</stp>
        <tr r="F2436" s="2"/>
      </tp>
      <tp t="s">
        <v>#N/A Requesting Data...2196455724</v>
        <stp/>
        <stp>BDP|8049444209589396855</stp>
        <tr r="Q948" s="2"/>
      </tp>
      <tp t="s">
        <v>#N/A Requesting Data...2242262638</v>
        <stp/>
        <stp>BDP|4085546222008826655</stp>
        <tr r="D1142" s="2"/>
      </tp>
      <tp t="s">
        <v>#N/A Requesting Data...2038230129</v>
        <stp/>
        <stp>BDP|8995370145151402341</stp>
        <tr r="J1467" s="2"/>
      </tp>
      <tp t="s">
        <v>#N/A Requesting Data...3623172262</v>
        <stp/>
        <stp>BDP|7345295263686596877</stp>
        <tr r="E821" s="2"/>
      </tp>
      <tp t="s">
        <v>#N/A Requesting Data...2966485492</v>
        <stp/>
        <stp>BDP|1398115092191854530</stp>
        <tr r="H537" s="2"/>
      </tp>
      <tp t="s">
        <v>#N/A Requesting Data...4203663104</v>
        <stp/>
        <stp>BDP|7683236696611141094</stp>
        <tr r="K1411" s="2"/>
      </tp>
      <tp t="s">
        <v>#N/A Requesting Data...1997862051</v>
        <stp/>
        <stp>BDP|5601289934709408056</stp>
        <tr r="Q1265" s="2"/>
      </tp>
      <tp t="s">
        <v>#N/A Requesting Data...4042807305</v>
        <stp/>
        <stp>BDP|9929167897364495877</stp>
        <tr r="M1668" s="2"/>
      </tp>
      <tp t="s">
        <v>#N/A Requesting Data...3331325739</v>
        <stp/>
        <stp>BDP|7642200425689122398</stp>
        <tr r="F82" s="2"/>
      </tp>
      <tp t="s">
        <v>#N/A Requesting Data...3692502366</v>
        <stp/>
        <stp>BDP|6860038586435252644</stp>
        <tr r="F115" s="2"/>
      </tp>
      <tp t="s">
        <v>#N/A Requesting Data...2630012521</v>
        <stp/>
        <stp>BDP|4188870302248718980</stp>
        <tr r="G1429" s="2"/>
      </tp>
      <tp t="s">
        <v>#N/A Requesting Data...3591556820</v>
        <stp/>
        <stp>BDP|2613269168162145926</stp>
        <tr r="A592" s="2"/>
      </tp>
      <tp t="s">
        <v>#N/A Requesting Data...1992350071</v>
        <stp/>
        <stp>BDP|5257533689056788345</stp>
        <tr r="P660" s="2"/>
      </tp>
      <tp t="b">
        <v>0</v>
        <stp/>
        <stp>BDS|1396852864503134185</stp>
        <tr r="I1167" s="2"/>
      </tp>
      <tp t="s">
        <v>#N/A Requesting Data...3992728466</v>
        <stp/>
        <stp>BDP|6943134484364197640</stp>
        <tr r="H1174" s="2"/>
      </tp>
      <tp t="s">
        <v>#N/A Requesting Data...3247907434</v>
        <stp/>
        <stp>BDP|1612603603579651388</stp>
        <tr r="S1157" s="2"/>
      </tp>
      <tp t="s">
        <v>#N/A Requesting Data...3261580789</v>
        <stp/>
        <stp>BDP|8363429908697431660</stp>
        <tr r="A709" s="2"/>
      </tp>
      <tp t="s">
        <v>#N/A Requesting Data...3804230143</v>
        <stp/>
        <stp>BDP|2864752496905168411</stp>
        <tr r="D1570" s="2"/>
      </tp>
      <tp t="s">
        <v>#N/A Requesting Data...3389436311</v>
        <stp/>
        <stp>BDP|7368399131022452840</stp>
        <tr r="J165" s="2"/>
      </tp>
      <tp t="s">
        <v>#N/A Requesting Data...4291214753</v>
        <stp/>
        <stp>BDP|9117523723922245192</stp>
        <tr r="S645" s="2"/>
      </tp>
      <tp t="s">
        <v>#N/A Requesting Data...2541625509</v>
        <stp/>
        <stp>BDP|9447055753994819514</stp>
        <tr r="K1691" s="2"/>
      </tp>
      <tp t="s">
        <v>#N/A Requesting Data...2171028624</v>
        <stp/>
        <stp>BDP|1231383891733326538</stp>
        <tr r="S1835" s="2"/>
      </tp>
      <tp t="b">
        <v>0</v>
        <stp/>
        <stp>BDS|8590311501410848666</stp>
        <tr r="I1144" s="2"/>
      </tp>
      <tp t="s">
        <v>#N/A Requesting Data...3355111301</v>
        <stp/>
        <stp>BDP|2178283467852324963</stp>
        <tr r="S1023" s="2"/>
      </tp>
      <tp t="s">
        <v>#N/A Requesting Data...2083957794</v>
        <stp/>
        <stp>BDP|8953668043244218353</stp>
        <tr r="C2320" s="2"/>
      </tp>
      <tp t="s">
        <v>#N/A Requesting Data...3700855446</v>
        <stp/>
        <stp>BDP|4184983492679532052</stp>
        <tr r="G1964" s="2"/>
      </tp>
      <tp t="b">
        <v>0</v>
        <stp/>
        <stp>BDS|4538041218290375818</stp>
        <tr r="I520" s="2"/>
      </tp>
      <tp t="s">
        <v>#N/A Requesting Data...3315504876</v>
        <stp/>
        <stp>BDP|8830843130926111864</stp>
        <tr r="A161" s="2"/>
      </tp>
      <tp t="s">
        <v>#N/A Requesting Data...2365341692</v>
        <stp/>
        <stp>BDP|8758996820839570700</stp>
        <tr r="J1786" s="2"/>
      </tp>
      <tp t="b">
        <v>0</v>
        <stp/>
        <stp>BDS|5622605062239822178</stp>
        <tr r="I1946" s="2"/>
      </tp>
      <tp t="s">
        <v>#N/A Requesting Data...4163915874</v>
        <stp/>
        <stp>BDP|9862157170987467522</stp>
        <tr r="K1186" s="2"/>
      </tp>
      <tp t="s">
        <v>#N/A Requesting Data...2066480482</v>
        <stp/>
        <stp>BDP|1115924586998671587</stp>
        <tr r="M38" s="2"/>
      </tp>
      <tp t="s">
        <v>#N/A Requesting Data...2642349271</v>
        <stp/>
        <stp>BDP|9892132846708061966</stp>
        <tr r="S1734" s="2"/>
      </tp>
      <tp t="s">
        <v>#N/A Requesting Data...2366852083</v>
        <stp/>
        <stp>BDP|5070766589194089347</stp>
        <tr r="O1001" s="2"/>
      </tp>
      <tp t="s">
        <v>#N/A Requesting Data...3465552082</v>
        <stp/>
        <stp>BDP|2627840684906917945</stp>
        <tr r="Q445" s="2"/>
      </tp>
      <tp t="s">
        <v>#N/A Requesting Data...3351302558</v>
        <stp/>
        <stp>BDP|1615479849485522961</stp>
        <tr r="J2222" s="2"/>
      </tp>
      <tp t="b">
        <v>0</v>
        <stp/>
        <stp>BDS|8360100068316300439</stp>
        <tr r="I207" s="2"/>
      </tp>
      <tp t="s">
        <v>#N/A Requesting Data...1894112921</v>
        <stp/>
        <stp>BDP|3276934571150995024</stp>
        <tr r="C2436" s="2"/>
      </tp>
      <tp t="s">
        <v>#N/A Requesting Data...2691550223</v>
        <stp/>
        <stp>BDP|5814018295399371842</stp>
        <tr r="J1805" s="2"/>
      </tp>
      <tp t="s">
        <v>#N/A Requesting Data...4045709986</v>
        <stp/>
        <stp>BDP|8115969178629568217</stp>
        <tr r="P980" s="2"/>
      </tp>
      <tp t="s">
        <v>#N/A Requesting Data...2723397485</v>
        <stp/>
        <stp>BDP|7942339089720018184</stp>
        <tr r="G313" s="2"/>
      </tp>
      <tp t="s">
        <v>#N/A Requesting Data...4285868698</v>
        <stp/>
        <stp>BDP|8258378158893288042</stp>
        <tr r="Q798" s="2"/>
      </tp>
      <tp t="s">
        <v>#N/A Requesting Data...3039512561</v>
        <stp/>
        <stp>BDP|3642411416928373395</stp>
        <tr r="S1376" s="2"/>
      </tp>
      <tp t="s">
        <v>#N/A Requesting Data...4282483316</v>
        <stp/>
        <stp>BDP|3631694286825168537</stp>
        <tr r="Q2220" s="2"/>
      </tp>
      <tp t="s">
        <v>#N/A Requesting Data...2627404341</v>
        <stp/>
        <stp>BDP|8101892103894853981</stp>
        <tr r="F64" s="2"/>
      </tp>
      <tp t="s">
        <v>#N/A Requesting Data...2597406795</v>
        <stp/>
        <stp>BDP|3666651999326886792</stp>
        <tr r="F1202" s="2"/>
      </tp>
      <tp t="s">
        <v>#N/A Requesting Data...2346097516</v>
        <stp/>
        <stp>BDP|9062254175911386082</stp>
        <tr r="P2116" s="2"/>
      </tp>
      <tp t="s">
        <v>#N/A Requesting Data...3107004192</v>
        <stp/>
        <stp>BDP|1273703697266735494</stp>
        <tr r="N498" s="2"/>
      </tp>
      <tp t="s">
        <v>#N/A Requesting Data...2110783057</v>
        <stp/>
        <stp>BDP|6974190499746352514</stp>
        <tr r="G850" s="2"/>
      </tp>
      <tp t="s">
        <v>#N/A Requesting Data...2536036233</v>
        <stp/>
        <stp>BDP|9767096823311668704</stp>
        <tr r="H1741" s="2"/>
      </tp>
      <tp t="s">
        <v>#N/A Requesting Data...4007524634</v>
        <stp/>
        <stp>BDP|9995364988736498982</stp>
        <tr r="T786" s="2"/>
      </tp>
      <tp t="s">
        <v>#N/A Requesting Data...3640849371</v>
        <stp/>
        <stp>BDP|9872503362011163603</stp>
        <tr r="J406" s="2"/>
      </tp>
      <tp t="s">
        <v>#N/A Requesting Data...3845119850</v>
        <stp/>
        <stp>BDP|9105911808149051434</stp>
        <tr r="N145" s="2"/>
      </tp>
      <tp t="s">
        <v>#N/A Requesting Data...2992559322</v>
        <stp/>
        <stp>BDP|4734882530441471302</stp>
        <tr r="N313" s="2"/>
      </tp>
      <tp t="s">
        <v>#N/A Requesting Data...2730064096</v>
        <stp/>
        <stp>BDP|6868960402007528524</stp>
        <tr r="D1636" s="2"/>
      </tp>
      <tp t="s">
        <v>#N/A Requesting Data...2598617361</v>
        <stp/>
        <stp>BDP|2204335503768062494</stp>
        <tr r="G284" s="2"/>
      </tp>
      <tp t="s">
        <v>#N/A Requesting Data...4232767648</v>
        <stp/>
        <stp>BDP|5313268125821930922</stp>
        <tr r="O2419" s="2"/>
      </tp>
      <tp t="s">
        <v>#N/A Requesting Data...3741091782</v>
        <stp/>
        <stp>BDP|1044603488392205014</stp>
        <tr r="M1155" s="2"/>
      </tp>
      <tp t="s">
        <v>#N/A Requesting Data...4271271250</v>
        <stp/>
        <stp>BDP|8158719613212161198</stp>
        <tr r="P1313" s="2"/>
      </tp>
      <tp t="s">
        <v>#N/A Requesting Data...3102339495</v>
        <stp/>
        <stp>BDP|9639345678523432350</stp>
        <tr r="R1383" s="2"/>
      </tp>
      <tp t="s">
        <v>#N/A Requesting Data...1944659340</v>
        <stp/>
        <stp>BDP|4718458524147593881</stp>
        <tr r="T84" s="2"/>
      </tp>
      <tp t="s">
        <v>#N/A Requesting Data...2116400413</v>
        <stp/>
        <stp>BDP|9018911544308799199</stp>
        <tr r="D2404" s="2"/>
      </tp>
      <tp t="s">
        <v>#N/A Requesting Data...3319051414</v>
        <stp/>
        <stp>BDP|3825515314589329353</stp>
        <tr r="H504" s="2"/>
      </tp>
      <tp t="s">
        <v>#N/A Requesting Data...3507402668</v>
        <stp/>
        <stp>BDP|7297471910198637789</stp>
        <tr r="J216" s="2"/>
      </tp>
      <tp t="s">
        <v>#N/A Requesting Data...1838749503</v>
        <stp/>
        <stp>BDP|9456215588177265944</stp>
        <tr r="J466" s="2"/>
      </tp>
      <tp t="s">
        <v>#N/A Requesting Data...3725073581</v>
        <stp/>
        <stp>BDP|2468101510428847774</stp>
        <tr r="D1557" s="2"/>
      </tp>
      <tp t="s">
        <v>#N/A Requesting Data...2129663059</v>
        <stp/>
        <stp>BDP|4110172173236739991</stp>
        <tr r="C112" s="2"/>
      </tp>
      <tp t="s">
        <v>#N/A Requesting Data...3230491669</v>
        <stp/>
        <stp>BDP|3865456397972984183</stp>
        <tr r="J478" s="2"/>
      </tp>
      <tp t="s">
        <v>#N/A Requesting Data...2298803282</v>
        <stp/>
        <stp>BDP|3626791190417215764</stp>
        <tr r="P996" s="2"/>
      </tp>
      <tp t="s">
        <v>#N/A Requesting Data...2811275050</v>
        <stp/>
        <stp>BDP|1093134456149986171</stp>
        <tr r="O365" s="2"/>
      </tp>
      <tp t="s">
        <v>#N/A Requesting Data...3784728431</v>
        <stp/>
        <stp>BDP|7906714336726762820</stp>
        <tr r="M763" s="2"/>
      </tp>
      <tp t="s">
        <v>#N/A Requesting Data...3116023777</v>
        <stp/>
        <stp>BDP|6393138768034615855</stp>
        <tr r="M911" s="2"/>
      </tp>
      <tp t="b">
        <v>0</v>
        <stp/>
        <stp>BDS|9005789076642703629</stp>
        <tr r="I763" s="2"/>
      </tp>
      <tp t="s">
        <v>#N/A Requesting Data...3467656752</v>
        <stp/>
        <stp>BDP|2353533938359340004</stp>
        <tr r="Q706" s="2"/>
      </tp>
      <tp t="s">
        <v>#N/A Requesting Data...3780577596</v>
        <stp/>
        <stp>BDP|3338836262941115188</stp>
        <tr r="T916" s="2"/>
      </tp>
      <tp t="s">
        <v>#N/A Requesting Data...3604297670</v>
        <stp/>
        <stp>BDP|2670761538582779940</stp>
        <tr r="D1975" s="2"/>
      </tp>
      <tp t="s">
        <v>#N/A Requesting Data...2338811301</v>
        <stp/>
        <stp>BDP|5735111994238002894</stp>
        <tr r="E1302" s="2"/>
      </tp>
      <tp t="s">
        <v>#N/A Requesting Data...3375798436</v>
        <stp/>
        <stp>BDP|4964130880812489251</stp>
        <tr r="E482" s="2"/>
      </tp>
      <tp t="s">
        <v>#N/A Requesting Data...3961875576</v>
        <stp/>
        <stp>BDP|2112566431248514183</stp>
        <tr r="K2258" s="2"/>
      </tp>
      <tp t="s">
        <v>#N/A Requesting Data...3594651307</v>
        <stp/>
        <stp>BDP|9642598435894648677</stp>
        <tr r="G1922" s="2"/>
      </tp>
      <tp t="s">
        <v>#N/A Requesting Data...3704625370</v>
        <stp/>
        <stp>BDP|6570489684575291205</stp>
        <tr r="H696" s="2"/>
      </tp>
      <tp t="s">
        <v>#N/A Requesting Data...2194375027</v>
        <stp/>
        <stp>BDP|9192408651136956322</stp>
        <tr r="K161" s="2"/>
      </tp>
      <tp t="s">
        <v>#N/A Requesting Data...2875753477</v>
        <stp/>
        <stp>BDP|9720933896900179488</stp>
        <tr r="A868" s="2"/>
      </tp>
      <tp t="s">
        <v>#N/A Requesting Data...3595959034</v>
        <stp/>
        <stp>BDP|7797629860262927877</stp>
        <tr r="S640" s="2"/>
      </tp>
      <tp t="s">
        <v>#N/A Requesting Data...3106899955</v>
        <stp/>
        <stp>BDP|9914967537699677750</stp>
        <tr r="N2282" s="2"/>
      </tp>
      <tp t="s">
        <v>#N/A Requesting Data...3031189707</v>
        <stp/>
        <stp>BDP|8096927857871670886</stp>
        <tr r="A939" s="2"/>
      </tp>
      <tp t="s">
        <v>#N/A Requesting Data...3677195132</v>
        <stp/>
        <stp>BDP|5211302100948051399</stp>
        <tr r="K1990" s="2"/>
      </tp>
      <tp t="s">
        <v>#N/A Requesting Data...3668280292</v>
        <stp/>
        <stp>BDP|1542781342208497708</stp>
        <tr r="K2078" s="2"/>
      </tp>
      <tp t="s">
        <v>#N/A Requesting Data...3658092919</v>
        <stp/>
        <stp>BDP|5547894608732675296</stp>
        <tr r="A1898" s="2"/>
      </tp>
      <tp t="s">
        <v>#N/A Requesting Data...3146913722</v>
        <stp/>
        <stp>BDP|7292327798713574368</stp>
        <tr r="M719" s="2"/>
      </tp>
      <tp t="s">
        <v>#N/A Requesting Data...3903427232</v>
        <stp/>
        <stp>BDP|3007405814172747986</stp>
        <tr r="R2384" s="2"/>
      </tp>
      <tp t="s">
        <v>#N/A Requesting Data...2095963539</v>
        <stp/>
        <stp>BDP|8473279009801394616</stp>
        <tr r="M1356" s="2"/>
      </tp>
      <tp t="s">
        <v>#N/A Requesting Data...1982949277</v>
        <stp/>
        <stp>BDP|9863281522861321594</stp>
        <tr r="H2055" s="2"/>
      </tp>
      <tp t="s">
        <v>#N/A Requesting Data...3534332539</v>
        <stp/>
        <stp>BDP|2086683391340909081</stp>
        <tr r="G1940" s="2"/>
      </tp>
      <tp t="s">
        <v>#N/A Requesting Data...2269933761</v>
        <stp/>
        <stp>BDP|5761284385081331318</stp>
        <tr r="T1138" s="2"/>
      </tp>
      <tp t="s">
        <v>#N/A Requesting Data...4136071761</v>
        <stp/>
        <stp>BDP|3043973142840860351</stp>
        <tr r="P2339" s="2"/>
      </tp>
      <tp t="s">
        <v>#N/A Requesting Data...3446496481</v>
        <stp/>
        <stp>BDP|3897894415222536594</stp>
        <tr r="M1845" s="2"/>
      </tp>
      <tp t="s">
        <v>#N/A Requesting Data...2734848536</v>
        <stp/>
        <stp>BDP|2287539110872801911</stp>
        <tr r="M123" s="2"/>
      </tp>
      <tp t="s">
        <v>#N/A Requesting Data...2007334849</v>
        <stp/>
        <stp>BDP|8990314702734326210</stp>
        <tr r="F408" s="2"/>
      </tp>
      <tp t="s">
        <v>#N/A Requesting Data...4144155207</v>
        <stp/>
        <stp>BDP|5125391993832151026</stp>
        <tr r="D319" s="2"/>
      </tp>
      <tp t="b">
        <v>0</v>
        <stp/>
        <stp>BDS|4804213674049298571</stp>
        <tr r="I1876" s="2"/>
      </tp>
      <tp t="s">
        <v>#N/A Requesting Data...2283007695</v>
        <stp/>
        <stp>BDP|1674728338150706835</stp>
        <tr r="A660" s="2"/>
      </tp>
      <tp t="s">
        <v>#N/A Requesting Data...3345640169</v>
        <stp/>
        <stp>BDP|1372291718946934937</stp>
        <tr r="J200" s="2"/>
      </tp>
      <tp t="s">
        <v>#N/A Requesting Data...3639235636</v>
        <stp/>
        <stp>BDP|2931241238777961948</stp>
        <tr r="J4" s="2"/>
      </tp>
      <tp t="b">
        <v>0</v>
        <stp/>
        <stp>BDS|4175819663015857233</stp>
        <tr r="I9" s="2"/>
      </tp>
      <tp t="s">
        <v>#N/A Requesting Data...4064602756</v>
        <stp/>
        <stp>BDP|2976427136808461015</stp>
        <tr r="A1537" s="2"/>
      </tp>
      <tp t="s">
        <v>#N/A Requesting Data...3939175646</v>
        <stp/>
        <stp>BDP|3724537493617707588</stp>
        <tr r="G1319" s="2"/>
      </tp>
      <tp t="s">
        <v>#N/A Requesting Data...2433626364</v>
        <stp/>
        <stp>BDP|9535159059233840397</stp>
        <tr r="A350" s="2"/>
      </tp>
      <tp t="s">
        <v>#N/A Requesting Data...2221335264</v>
        <stp/>
        <stp>BDP|1563829210614637191</stp>
        <tr r="A1786" s="2"/>
      </tp>
      <tp t="s">
        <v>#N/A Requesting Data...3257872955</v>
        <stp/>
        <stp>BDP|3297175082316971163</stp>
        <tr r="F1509" s="2"/>
      </tp>
      <tp t="s">
        <v>#N/A Requesting Data...3393494578</v>
        <stp/>
        <stp>BDP|5962436872783942898</stp>
        <tr r="E940" s="2"/>
      </tp>
      <tp t="s">
        <v>#N/A Requesting Data...2286905576</v>
        <stp/>
        <stp>BDP|8941164687444663869</stp>
        <tr r="T1955" s="2"/>
      </tp>
      <tp t="s">
        <v>#N/A Requesting Data...3393039354</v>
        <stp/>
        <stp>BDP|3632855609225277308</stp>
        <tr r="G1073" s="2"/>
      </tp>
      <tp t="s">
        <v>#N/A Requesting Data...2794111697</v>
        <stp/>
        <stp>BDP|9178704910586181485</stp>
        <tr r="O2272" s="2"/>
      </tp>
      <tp t="s">
        <v>#N/A Requesting Data...3694628030</v>
        <stp/>
        <stp>BDP|5576970390821852920</stp>
        <tr r="D1442" s="2"/>
      </tp>
      <tp t="s">
        <v>#N/A Requesting Data...1987472349</v>
        <stp/>
        <stp>BDP|2541094054948573254</stp>
        <tr r="S1139" s="2"/>
      </tp>
      <tp t="s">
        <v>#N/A Requesting Data...2133045502</v>
        <stp/>
        <stp>BDP|3341454481053936169</stp>
        <tr r="F1211" s="2"/>
      </tp>
      <tp t="s">
        <v>#N/A Requesting Data...2512277287</v>
        <stp/>
        <stp>BDP|2623760668639761778</stp>
        <tr r="K829" s="2"/>
      </tp>
      <tp t="s">
        <v>#N/A Requesting Data...3180478653</v>
        <stp/>
        <stp>BDP|3293802057571546280</stp>
        <tr r="D1178" s="2"/>
      </tp>
      <tp t="s">
        <v>#N/A Requesting Data...4073671955</v>
        <stp/>
        <stp>BDP|5683031783357752795</stp>
        <tr r="J514" s="2"/>
      </tp>
      <tp t="s">
        <v>#N/A Requesting Data...2891739044</v>
        <stp/>
        <stp>BDP|6871099549537804881</stp>
        <tr r="C1944" s="2"/>
      </tp>
      <tp t="s">
        <v>#N/A Requesting Data...3375637027</v>
        <stp/>
        <stp>BDP|2931299847070945964</stp>
        <tr r="A1588" s="2"/>
      </tp>
      <tp t="s">
        <v>#N/A Requesting Data...4152050626</v>
        <stp/>
        <stp>BDP|8724457787229835059</stp>
        <tr r="P2311" s="2"/>
      </tp>
      <tp t="s">
        <v>#N/A Requesting Data...2071852847</v>
        <stp/>
        <stp>BDP|3125064374841805833</stp>
        <tr r="N1101" s="2"/>
      </tp>
      <tp t="s">
        <v>#N/A Requesting Data...3778543530</v>
        <stp/>
        <stp>BDP|9189251583828759688</stp>
        <tr r="C2193" s="2"/>
      </tp>
      <tp t="s">
        <v>#N/A Requesting Data...2424852834</v>
        <stp/>
        <stp>BDP|3566920358546370448</stp>
        <tr r="M2032" s="2"/>
      </tp>
      <tp t="s">
        <v>#N/A Requesting Data...3407341948</v>
        <stp/>
        <stp>BDP|2690096614197210913</stp>
        <tr r="A389" s="2"/>
      </tp>
      <tp t="s">
        <v>#N/A Requesting Data...2907662604</v>
        <stp/>
        <stp>BDP|5285000687051529186</stp>
        <tr r="D2362" s="2"/>
      </tp>
      <tp t="s">
        <v>#N/A Requesting Data...3189425772</v>
        <stp/>
        <stp>BDP|8805201543303188026</stp>
        <tr r="E1561" s="2"/>
      </tp>
      <tp t="s">
        <v>#N/A Requesting Data...3562018396</v>
        <stp/>
        <stp>BDP|3390422508168317224</stp>
        <tr r="D1421" s="2"/>
      </tp>
      <tp t="s">
        <v>#N/A Requesting Data...4090818772</v>
        <stp/>
        <stp>BDP|9196849598104295177</stp>
        <tr r="N533" s="2"/>
      </tp>
      <tp t="s">
        <v>#N/A Requesting Data...2707360692</v>
        <stp/>
        <stp>BDP|2347780095878462925</stp>
        <tr r="N608" s="2"/>
      </tp>
      <tp t="s">
        <v>#N/A Requesting Data...3147286657</v>
        <stp/>
        <stp>BDP|7421107178955359976</stp>
        <tr r="P959" s="2"/>
      </tp>
      <tp t="s">
        <v>#N/A Requesting Data...3308103434</v>
        <stp/>
        <stp>BDP|8397125048804089413</stp>
        <tr r="M115" s="2"/>
      </tp>
      <tp t="s">
        <v>#N/A Requesting Data...2238118001</v>
        <stp/>
        <stp>BDP|7614894485113335919</stp>
        <tr r="H1251" s="2"/>
      </tp>
      <tp t="s">
        <v>#N/A Requesting Data...2394437548</v>
        <stp/>
        <stp>BDP|1907432586665325578</stp>
        <tr r="R618" s="2"/>
      </tp>
      <tp t="s">
        <v>#N/A Requesting Data...2493795720</v>
        <stp/>
        <stp>BDP|8957358671857685633</stp>
        <tr r="F1155" s="2"/>
      </tp>
      <tp t="s">
        <v>#N/A Requesting Data...2820613330</v>
        <stp/>
        <stp>BDP|5401158212159258192</stp>
        <tr r="O1053" s="2"/>
      </tp>
      <tp t="s">
        <v>#N/A Requesting Data...4218493998</v>
        <stp/>
        <stp>BDP|7363468807169375796</stp>
        <tr r="F2384" s="2"/>
      </tp>
      <tp t="s">
        <v>#N/A Requesting Data...2284360681</v>
        <stp/>
        <stp>BDP|8474616198989067350</stp>
        <tr r="G1576" s="2"/>
      </tp>
      <tp t="s">
        <v>#N/A Requesting Data...2204549727</v>
        <stp/>
        <stp>BDP|8508921201429833568</stp>
        <tr r="C1223" s="2"/>
      </tp>
      <tp t="s">
        <v>#N/A Requesting Data...4206764286</v>
        <stp/>
        <stp>BDP|3276676280221914143</stp>
        <tr r="H817" s="2"/>
      </tp>
      <tp t="s">
        <v>#N/A Requesting Data...3873844281</v>
        <stp/>
        <stp>BDP|6995108515172195958</stp>
        <tr r="J1394" s="2"/>
      </tp>
      <tp t="s">
        <v>#N/A Requesting Data...3827055204</v>
        <stp/>
        <stp>BDP|2456120248588493228</stp>
        <tr r="A392" s="2"/>
      </tp>
      <tp t="b">
        <v>0</v>
        <stp/>
        <stp>BDS|1036966069174708706</stp>
        <tr r="I707" s="2"/>
      </tp>
      <tp t="s">
        <v>#N/A Requesting Data...2980265425</v>
        <stp/>
        <stp>BDP|8489010514365090193</stp>
        <tr r="K1461" s="2"/>
      </tp>
      <tp t="b">
        <v>0</v>
        <stp/>
        <stp>BDS|5235841104604933434</stp>
        <tr r="I2438" s="2"/>
      </tp>
      <tp t="s">
        <v>#N/A Requesting Data...4251677097</v>
        <stp/>
        <stp>BDP|2491741656208797593</stp>
        <tr r="A1228" s="2"/>
      </tp>
      <tp t="s">
        <v>#N/A Requesting Data...4147276571</v>
        <stp/>
        <stp>BDP|1221847567425814710</stp>
        <tr r="R1878" s="2"/>
      </tp>
      <tp t="s">
        <v>#N/A Requesting Data...3816545154</v>
        <stp/>
        <stp>BDP|7917547404587403853</stp>
        <tr r="J1544" s="2"/>
      </tp>
      <tp t="s">
        <v>#N/A Requesting Data...2572724027</v>
        <stp/>
        <stp>BDP|2719162788330679674</stp>
        <tr r="K34" s="2"/>
      </tp>
      <tp t="s">
        <v>#N/A Requesting Data...3778538799</v>
        <stp/>
        <stp>BDP|7836704871788973284</stp>
        <tr r="T1650" s="2"/>
      </tp>
      <tp t="s">
        <v>#N/A Requesting Data...2140897330</v>
        <stp/>
        <stp>BDP|3032410786664851673</stp>
        <tr r="J2371" s="2"/>
      </tp>
      <tp t="s">
        <v>#N/A Requesting Data...2595797567</v>
        <stp/>
        <stp>BDP|4823235919459892329</stp>
        <tr r="P2070" s="2"/>
      </tp>
      <tp t="s">
        <v>#N/A Requesting Data...4195185766</v>
        <stp/>
        <stp>BDP|4113993496258258146</stp>
        <tr r="A2439" s="2"/>
      </tp>
      <tp t="s">
        <v>#N/A Requesting Data...3401655731</v>
        <stp/>
        <stp>BDP|8634647458735589378</stp>
        <tr r="A1611" s="2"/>
      </tp>
      <tp t="s">
        <v>#N/A Requesting Data...2573311524</v>
        <stp/>
        <stp>BDP|2510626604410993928</stp>
        <tr r="S1027" s="2"/>
      </tp>
      <tp t="s">
        <v>#N/A Requesting Data...2661371414</v>
        <stp/>
        <stp>BDP|6903312016709102077</stp>
        <tr r="G668" s="2"/>
      </tp>
      <tp t="s">
        <v>#N/A Requesting Data...2758442998</v>
        <stp/>
        <stp>BDP|8104648949380187751</stp>
        <tr r="F2390" s="2"/>
      </tp>
      <tp t="s">
        <v>#N/A Requesting Data...3528637177</v>
        <stp/>
        <stp>BDP|7489090515922046907</stp>
        <tr r="E1309" s="2"/>
      </tp>
      <tp t="s">
        <v>#N/A Requesting Data...2414838073</v>
        <stp/>
        <stp>BDP|5738866100764959402</stp>
        <tr r="D698" s="2"/>
      </tp>
      <tp t="s">
        <v>#N/A Requesting Data...3870134650</v>
        <stp/>
        <stp>BDP|4911036254938691402</stp>
        <tr r="H988" s="2"/>
      </tp>
      <tp t="s">
        <v>#N/A Requesting Data...2180886933</v>
        <stp/>
        <stp>BDP|7340913019562447073</stp>
        <tr r="F805" s="2"/>
      </tp>
      <tp t="s">
        <v>#N/A Requesting Data...3154791358</v>
        <stp/>
        <stp>BDP|9911476753777353260</stp>
        <tr r="G1054" s="2"/>
      </tp>
      <tp t="s">
        <v>#N/A Requesting Data...3358713841</v>
        <stp/>
        <stp>BDP|4740903063474959253</stp>
        <tr r="K283" s="2"/>
      </tp>
      <tp t="s">
        <v>#N/A Requesting Data...3911497773</v>
        <stp/>
        <stp>BDP|7823179551879158773</stp>
        <tr r="O897" s="2"/>
      </tp>
      <tp t="s">
        <v>#N/A Requesting Data...3965734465</v>
        <stp/>
        <stp>BDP|7839004240247356935</stp>
        <tr r="E1936" s="2"/>
      </tp>
      <tp t="s">
        <v>#N/A Requesting Data...2830291141</v>
        <stp/>
        <stp>BDP|9509955120157920812</stp>
        <tr r="H1897" s="2"/>
      </tp>
      <tp t="s">
        <v>#N/A Requesting Data...4178725749</v>
        <stp/>
        <stp>BDP|6745200558595546921</stp>
        <tr r="P2486" s="2"/>
      </tp>
      <tp t="s">
        <v>#N/A Requesting Data...4015128464</v>
        <stp/>
        <stp>BDP|5598146091937859704</stp>
        <tr r="D1427" s="2"/>
      </tp>
      <tp t="s">
        <v>#N/A Requesting Data...2989252168</v>
        <stp/>
        <stp>BDP|8452791004957839599</stp>
        <tr r="H1233" s="2"/>
      </tp>
      <tp t="s">
        <v>#N/A Requesting Data...3408569410</v>
        <stp/>
        <stp>BDP|1362978149415589405</stp>
        <tr r="F1396" s="2"/>
      </tp>
      <tp t="s">
        <v>#N/A Requesting Data...3363331339</v>
        <stp/>
        <stp>BDP|1917081239667670867</stp>
        <tr r="S1366" s="2"/>
      </tp>
      <tp t="s">
        <v>#N/A Requesting Data...2893207572</v>
        <stp/>
        <stp>BDP|6223873237677225783</stp>
        <tr r="O2241" s="2"/>
      </tp>
      <tp t="s">
        <v>#N/A Requesting Data...2186487644</v>
        <stp/>
        <stp>BDP|2347543648156259855</stp>
        <tr r="O1912" s="2"/>
      </tp>
      <tp t="s">
        <v>#N/A Requesting Data...2919684330</v>
        <stp/>
        <stp>BDP|3213827062891311199</stp>
        <tr r="J1857" s="2"/>
      </tp>
      <tp t="s">
        <v>#N/A Requesting Data...2210843469</v>
        <stp/>
        <stp>BDP|1744905515377882333</stp>
        <tr r="J392" s="2"/>
      </tp>
      <tp t="s">
        <v>#N/A Requesting Data...3249964614</v>
        <stp/>
        <stp>BDP|3087412383150905222</stp>
        <tr r="S2440" s="2"/>
      </tp>
      <tp t="s">
        <v>#N/A Requesting Data...2535476544</v>
        <stp/>
        <stp>BDP|1108791771594783875</stp>
        <tr r="Q2344" s="2"/>
      </tp>
      <tp t="s">
        <v>#N/A Requesting Data...3923449598</v>
        <stp/>
        <stp>BDP|4190753842258948265</stp>
        <tr r="P1097" s="2"/>
      </tp>
      <tp t="s">
        <v>#N/A Requesting Data...2931863898</v>
        <stp/>
        <stp>BDP|2504449523139314080</stp>
        <tr r="S1137" s="2"/>
      </tp>
      <tp t="s">
        <v>#N/A Requesting Data...3730991240</v>
        <stp/>
        <stp>BDP|4758301889344096677</stp>
        <tr r="H2372" s="2"/>
      </tp>
      <tp t="s">
        <v>#N/A Requesting Data...3832940414</v>
        <stp/>
        <stp>BDP|9443296324840266425</stp>
        <tr r="F259" s="2"/>
      </tp>
      <tp t="s">
        <v>#N/A Requesting Data...2863359942</v>
        <stp/>
        <stp>BDP|7710789313795053953</stp>
        <tr r="E16" s="2"/>
      </tp>
      <tp t="s">
        <v>#N/A Requesting Data...3821697644</v>
        <stp/>
        <stp>BDP|9494776743900068799</stp>
        <tr r="R1364" s="2"/>
      </tp>
      <tp t="s">
        <v>#N/A Requesting Data...4265753741</v>
        <stp/>
        <stp>BDP|4644866208875514443</stp>
        <tr r="J1790" s="2"/>
      </tp>
      <tp t="s">
        <v>#N/A Requesting Data...3699503272</v>
        <stp/>
        <stp>BDP|5504440019394338928</stp>
        <tr r="N2523" s="2"/>
      </tp>
      <tp t="s">
        <v>#N/A Requesting Data...2242891157</v>
        <stp/>
        <stp>BDP|6981801360012273726</stp>
        <tr r="T2416" s="2"/>
      </tp>
      <tp t="s">
        <v>#N/A Requesting Data...3132385356</v>
        <stp/>
        <stp>BDP|9772334107825800223</stp>
        <tr r="H1746" s="2"/>
      </tp>
      <tp t="s">
        <v>#N/A Requesting Data...2628961984</v>
        <stp/>
        <stp>BDP|5898271398782648183</stp>
        <tr r="O254" s="2"/>
      </tp>
      <tp t="s">
        <v>#N/A Requesting Data...2525576519</v>
        <stp/>
        <stp>BDP|1897517341035502845</stp>
        <tr r="E1965" s="2"/>
      </tp>
      <tp t="s">
        <v>#N/A Requesting Data...3329466860</v>
        <stp/>
        <stp>BDP|8511377261872364293</stp>
        <tr r="R1120" s="2"/>
      </tp>
      <tp t="s">
        <v>#N/A Requesting Data...2734724757</v>
        <stp/>
        <stp>BDP|5286795346622696929</stp>
        <tr r="C2433" s="2"/>
      </tp>
      <tp t="s">
        <v>#N/A Requesting Data...3934055372</v>
        <stp/>
        <stp>BDP|1327988436385733331</stp>
        <tr r="K966" s="2"/>
      </tp>
      <tp t="s">
        <v>#N/A Requesting Data...3896195852</v>
        <stp/>
        <stp>BDP|9983756045511464647</stp>
        <tr r="M508" s="2"/>
      </tp>
      <tp t="s">
        <v>#N/A Requesting Data...3789315013</v>
        <stp/>
        <stp>BDP|7907437985804009265</stp>
        <tr r="Q1153" s="2"/>
      </tp>
      <tp t="b">
        <v>0</v>
        <stp/>
        <stp>BDS|2212913172864804503</stp>
        <tr r="I825" s="2"/>
      </tp>
      <tp t="s">
        <v>#N/A Requesting Data...3083448849</v>
        <stp/>
        <stp>BDP|1465229598757308042</stp>
        <tr r="Q1895" s="2"/>
      </tp>
      <tp t="s">
        <v>#N/A Requesting Data...3816719977</v>
        <stp/>
        <stp>BDP|4105698090785405355</stp>
        <tr r="O276" s="2"/>
      </tp>
      <tp t="s">
        <v>#N/A Requesting Data...2685185674</v>
        <stp/>
        <stp>BDP|7161644484894904010</stp>
        <tr r="S2189" s="2"/>
      </tp>
      <tp t="s">
        <v>#N/A Requesting Data...2425963258</v>
        <stp/>
        <stp>BDP|3268134128409852489</stp>
        <tr r="K1758" s="2"/>
      </tp>
      <tp t="s">
        <v>#N/A Requesting Data...3856562388</v>
        <stp/>
        <stp>BDP|5410930451234973069</stp>
        <tr r="N250" s="2"/>
      </tp>
      <tp t="s">
        <v>#N/A Requesting Data...2317699547</v>
        <stp/>
        <stp>BDP|9817393631587024398</stp>
        <tr r="Q994" s="2"/>
      </tp>
      <tp t="s">
        <v>#N/A Requesting Data...3081186348</v>
        <stp/>
        <stp>BDP|6285152497707802411</stp>
        <tr r="G754" s="2"/>
      </tp>
      <tp t="s">
        <v>#N/A Requesting Data...2600639537</v>
        <stp/>
        <stp>BDP|2893771985575052534</stp>
        <tr r="A1587" s="2"/>
      </tp>
      <tp t="s">
        <v>#N/A Requesting Data...3074162449</v>
        <stp/>
        <stp>BDP|3999168424044456968</stp>
        <tr r="G1425" s="2"/>
      </tp>
      <tp t="s">
        <v>#N/A Requesting Data...4006145342</v>
        <stp/>
        <stp>BDP|9898222243730436243</stp>
        <tr r="H800" s="2"/>
      </tp>
      <tp t="s">
        <v>#N/A Requesting Data...2952345808</v>
        <stp/>
        <stp>BDP|2860394769469198303</stp>
        <tr r="R2319" s="2"/>
      </tp>
      <tp t="s">
        <v>#N/A Requesting Data...3535916062</v>
        <stp/>
        <stp>BDP|1161575474987829937</stp>
        <tr r="Q816" s="2"/>
      </tp>
      <tp t="s">
        <v>#N/A Requesting Data...4285538634</v>
        <stp/>
        <stp>BDP|6081086747176781918</stp>
        <tr r="F1715" s="2"/>
      </tp>
      <tp t="s">
        <v>#N/A Requesting Data...3020291452</v>
        <stp/>
        <stp>BDP|3216547197880103291</stp>
        <tr r="P326" s="2"/>
      </tp>
      <tp t="s">
        <v>#N/A Requesting Data...2713793111</v>
        <stp/>
        <stp>BDP|6848825343621511659</stp>
        <tr r="S542" s="2"/>
      </tp>
      <tp t="s">
        <v>#N/A Requesting Data...3574158470</v>
        <stp/>
        <stp>BDP|1146043868672093847</stp>
        <tr r="O498" s="2"/>
      </tp>
      <tp t="s">
        <v>#N/A Requesting Data...4271656741</v>
        <stp/>
        <stp>BDP|4787967849722961680</stp>
        <tr r="F839" s="2"/>
      </tp>
      <tp t="s">
        <v>#N/A Requesting Data...3743926051</v>
        <stp/>
        <stp>BDP|7350751797883904712</stp>
        <tr r="M315" s="2"/>
      </tp>
      <tp t="b">
        <v>0</v>
        <stp/>
        <stp>BDS|7916861337334895598</stp>
        <tr r="I20" s="2"/>
      </tp>
      <tp t="s">
        <v>#N/A Requesting Data...2360945972</v>
        <stp/>
        <stp>BDP|4714331384691148382</stp>
        <tr r="C1244" s="2"/>
      </tp>
      <tp t="s">
        <v>#N/A Requesting Data...2326102750</v>
        <stp/>
        <stp>BDP|4626225743226760993</stp>
        <tr r="D532" s="2"/>
      </tp>
      <tp t="s">
        <v>#N/A Requesting Data...3987690938</v>
        <stp/>
        <stp>BDP|1564928261092677199</stp>
        <tr r="M2478" s="2"/>
      </tp>
      <tp t="s">
        <v>#N/A Requesting Data...2671125276</v>
        <stp/>
        <stp>BDP|2351896510375288318</stp>
        <tr r="M536" s="2"/>
      </tp>
      <tp t="s">
        <v>#N/A Requesting Data...2824652220</v>
        <stp/>
        <stp>BDP|5525272794386731580</stp>
        <tr r="T1572" s="2"/>
      </tp>
      <tp t="s">
        <v>#N/A Requesting Data...3398165430</v>
        <stp/>
        <stp>BDP|4512729638404094966</stp>
        <tr r="R1268" s="2"/>
      </tp>
      <tp t="s">
        <v>#N/A Requesting Data...2778002533</v>
        <stp/>
        <stp>BDP|9915840115118304523</stp>
        <tr r="G1716" s="2"/>
      </tp>
      <tp t="s">
        <v>#N/A Requesting Data...2576355479</v>
        <stp/>
        <stp>BDP|5670731508966491905</stp>
        <tr r="O700" s="2"/>
      </tp>
      <tp t="s">
        <v>#N/A Requesting Data...4091394596</v>
        <stp/>
        <stp>BDP|8869416761445157202</stp>
        <tr r="F2516" s="2"/>
      </tp>
      <tp t="s">
        <v>#N/A Requesting Data...3924401863</v>
        <stp/>
        <stp>BDP|4246824801211111090</stp>
        <tr r="T793" s="2"/>
      </tp>
      <tp t="s">
        <v>#N/A Requesting Data...2348706527</v>
        <stp/>
        <stp>BDP|6688598877581967880</stp>
        <tr r="P1808" s="2"/>
      </tp>
      <tp t="s">
        <v>#N/A Requesting Data...2900516248</v>
        <stp/>
        <stp>BDP|9777585317531043111</stp>
        <tr r="A1003" s="2"/>
      </tp>
      <tp t="s">
        <v>#N/A Requesting Data...2811596918</v>
        <stp/>
        <stp>BDP|9785527575867026197</stp>
        <tr r="C2008" s="2"/>
      </tp>
      <tp t="s">
        <v>#N/A Requesting Data...3395672330</v>
        <stp/>
        <stp>BDP|4948673305428394718</stp>
        <tr r="Q1454" s="2"/>
      </tp>
      <tp t="s">
        <v>#N/A Requesting Data...2903806138</v>
        <stp/>
        <stp>BDP|6626307167166869800</stp>
        <tr r="S539" s="2"/>
      </tp>
      <tp t="s">
        <v>#N/A Requesting Data...2767708033</v>
        <stp/>
        <stp>BDP|9857476547492142601</stp>
        <tr r="E97" s="2"/>
      </tp>
      <tp t="s">
        <v>#N/A Requesting Data...3139994640</v>
        <stp/>
        <stp>BDP|1120278489923555533</stp>
        <tr r="D1377" s="2"/>
      </tp>
      <tp t="s">
        <v>#N/A Requesting Data...3909860887</v>
        <stp/>
        <stp>BDP|9703991293421440504</stp>
        <tr r="K150" s="2"/>
      </tp>
      <tp t="s">
        <v>#N/A Requesting Data...4007519245</v>
        <stp/>
        <stp>BDP|9934688629298646878</stp>
        <tr r="J738" s="2"/>
      </tp>
      <tp t="b">
        <v>0</v>
        <stp/>
        <stp>BDS|9598458841626949215</stp>
        <tr r="I502" s="2"/>
      </tp>
      <tp t="s">
        <v>#N/A Requesting Data...3477589558</v>
        <stp/>
        <stp>BDP|6741580170509131076</stp>
        <tr r="O1921" s="2"/>
      </tp>
      <tp t="s">
        <v>#N/A Requesting Data...2416691084</v>
        <stp/>
        <stp>BDP|6541388437768491376</stp>
        <tr r="J1732" s="2"/>
      </tp>
      <tp t="s">
        <v>#N/A Requesting Data...3684445795</v>
        <stp/>
        <stp>BDP|1814867405277494369</stp>
        <tr r="P963" s="2"/>
      </tp>
      <tp t="s">
        <v>#N/A Requesting Data...2825225319</v>
        <stp/>
        <stp>BDP|5225727759108768276</stp>
        <tr r="Q2241" s="2"/>
      </tp>
      <tp t="s">
        <v>#N/A Requesting Data...3363894077</v>
        <stp/>
        <stp>BDP|7686755449508748148</stp>
        <tr r="Q2183" s="2"/>
      </tp>
      <tp t="s">
        <v>#N/A Requesting Data...2729651845</v>
        <stp/>
        <stp>BDP|8485449078755575346</stp>
        <tr r="G2256" s="2"/>
      </tp>
      <tp t="s">
        <v>#N/A Requesting Data...3275094181</v>
        <stp/>
        <stp>BDP|9723188057913855391</stp>
        <tr r="E1951" s="2"/>
      </tp>
      <tp t="s">
        <v>#N/A Requesting Data...2399338933</v>
        <stp/>
        <stp>BDP|4830384430440120986</stp>
        <tr r="M2187" s="2"/>
      </tp>
      <tp t="s">
        <v>#N/A Requesting Data...2552998787</v>
        <stp/>
        <stp>BDP|5216107015431746991</stp>
        <tr r="N1201" s="2"/>
      </tp>
      <tp t="s">
        <v>#N/A Requesting Data...2627754989</v>
        <stp/>
        <stp>BDP|1003400569529949796</stp>
        <tr r="D2315" s="2"/>
      </tp>
      <tp t="s">
        <v>#N/A Requesting Data...3483814034</v>
        <stp/>
        <stp>BDP|4352164809560522801</stp>
        <tr r="M856" s="2"/>
      </tp>
      <tp t="s">
        <v>#N/A Requesting Data...3072386474</v>
        <stp/>
        <stp>BDP|7943999821101824009</stp>
        <tr r="H590" s="2"/>
      </tp>
      <tp t="s">
        <v>#N/A Requesting Data...3702236988</v>
        <stp/>
        <stp>BDP|8890187152922967327</stp>
        <tr r="A1698" s="2"/>
      </tp>
      <tp t="s">
        <v>#N/A Requesting Data...4205130759</v>
        <stp/>
        <stp>BDP|5612081005119241103</stp>
        <tr r="D777" s="2"/>
      </tp>
      <tp t="s">
        <v>#N/A Requesting Data...3913597750</v>
        <stp/>
        <stp>BDP|6665274899616241636</stp>
        <tr r="S1154" s="2"/>
      </tp>
      <tp t="s">
        <v>#N/A Requesting Data...3919991192</v>
        <stp/>
        <stp>BDP|5419151582635926432</stp>
        <tr r="P1835" s="2"/>
      </tp>
      <tp t="s">
        <v>#N/A Requesting Data...2699735514</v>
        <stp/>
        <stp>BDP|6164429432458955467</stp>
        <tr r="R1853" s="2"/>
      </tp>
      <tp t="s">
        <v>#N/A Requesting Data...2955755395</v>
        <stp/>
        <stp>BDP|1761917744211999053</stp>
        <tr r="G739" s="2"/>
      </tp>
      <tp t="s">
        <v>#N/A Requesting Data...3529960021</v>
        <stp/>
        <stp>BDP|7170279288882495246</stp>
        <tr r="J1050" s="2"/>
      </tp>
      <tp t="s">
        <v>#N/A Requesting Data...2912082343</v>
        <stp/>
        <stp>BDP|2049118067350124894</stp>
        <tr r="H2226" s="2"/>
      </tp>
      <tp t="s">
        <v>#N/A Requesting Data...3225767006</v>
        <stp/>
        <stp>BDP|9823908493784156041</stp>
        <tr r="A666" s="2"/>
      </tp>
      <tp t="s">
        <v>#N/A Requesting Data...3023731249</v>
        <stp/>
        <stp>BDP|6673199861245454940</stp>
        <tr r="A1593" s="2"/>
      </tp>
      <tp t="s">
        <v>#N/A Requesting Data...3281008668</v>
        <stp/>
        <stp>BDP|5995101391558433826</stp>
        <tr r="M478" s="2"/>
      </tp>
      <tp t="s">
        <v>#N/A Requesting Data...4028022856</v>
        <stp/>
        <stp>BDP|7419368445625041893</stp>
        <tr r="O1873" s="2"/>
      </tp>
      <tp t="s">
        <v>#N/A Requesting Data...2821594411</v>
        <stp/>
        <stp>BDP|4348911638852078141</stp>
        <tr r="H154" s="2"/>
      </tp>
      <tp t="s">
        <v>#N/A Requesting Data...2781751723</v>
        <stp/>
        <stp>BDP|4927656164279559038</stp>
        <tr r="C1785" s="2"/>
      </tp>
      <tp t="s">
        <v>#N/A Requesting Data...2870483957</v>
        <stp/>
        <stp>BDP|8859037641025086441</stp>
        <tr r="J68" s="2"/>
      </tp>
      <tp t="s">
        <v>#N/A Requesting Data...2492972416</v>
        <stp/>
        <stp>BDP|2583863200651522685</stp>
        <tr r="E1062" s="2"/>
      </tp>
      <tp t="s">
        <v>#N/A Requesting Data...3380070199</v>
        <stp/>
        <stp>BDP|2479493693197261529</stp>
        <tr r="T2303" s="2"/>
      </tp>
      <tp t="s">
        <v>#N/A Requesting Data...3868114036</v>
        <stp/>
        <stp>BDP|1829314895941008725</stp>
        <tr r="S2113" s="2"/>
      </tp>
      <tp t="s">
        <v>#N/A Requesting Data...2998867110</v>
        <stp/>
        <stp>BDP|3972243693881712477</stp>
        <tr r="R430" s="2"/>
      </tp>
      <tp t="s">
        <v>#N/A Requesting Data...2944875428</v>
        <stp/>
        <stp>BDP|4828429486532062725</stp>
        <tr r="H1321" s="2"/>
      </tp>
      <tp t="s">
        <v>#N/A Requesting Data...3280764075</v>
        <stp/>
        <stp>BDP|6378545568270893894</stp>
        <tr r="A1181" s="2"/>
      </tp>
      <tp t="s">
        <v>#N/A Requesting Data...4135083887</v>
        <stp/>
        <stp>BDP|1336691333561585823</stp>
        <tr r="Q677" s="2"/>
      </tp>
      <tp t="s">
        <v>#N/A Requesting Data...2423196367</v>
        <stp/>
        <stp>BDP|9203683082829257342</stp>
        <tr r="D2232" s="2"/>
      </tp>
      <tp t="s">
        <v>#N/A Requesting Data...4080202395</v>
        <stp/>
        <stp>BDP|5887341957596278877</stp>
        <tr r="N1474" s="2"/>
      </tp>
      <tp t="s">
        <v>#N/A Requesting Data...3907141401</v>
        <stp/>
        <stp>BDP|8992974356449761010</stp>
        <tr r="Q2144" s="2"/>
      </tp>
      <tp t="s">
        <v>#N/A Requesting Data...2840136144</v>
        <stp/>
        <stp>BDP|4095908421960747283</stp>
        <tr r="M2277" s="2"/>
      </tp>
      <tp t="s">
        <v>#N/A Requesting Data...4089539221</v>
        <stp/>
        <stp>BDP|8041076106356995367</stp>
        <tr r="F755" s="2"/>
      </tp>
      <tp t="s">
        <v>#N/A Requesting Data...3222492672</v>
        <stp/>
        <stp>BDP|8692943480155853141</stp>
        <tr r="A1395" s="2"/>
      </tp>
      <tp t="s">
        <v>#N/A Requesting Data...3229784005</v>
        <stp/>
        <stp>BDP|7176894254743633448</stp>
        <tr r="M2466" s="2"/>
      </tp>
      <tp t="s">
        <v>#N/A Requesting Data...2687757223</v>
        <stp/>
        <stp>BDP|9757248846764327687</stp>
        <tr r="O66" s="2"/>
      </tp>
      <tp t="s">
        <v>#N/A Requesting Data...3603222194</v>
        <stp/>
        <stp>BDP|4344468754690710884</stp>
        <tr r="C1520" s="2"/>
      </tp>
      <tp t="b">
        <v>0</v>
        <stp/>
        <stp>BDS|3463981851667096534</stp>
        <tr r="I1250" s="2"/>
      </tp>
      <tp t="s">
        <v>#N/A Requesting Data...2758918883</v>
        <stp/>
        <stp>BDP|8510878489337163242</stp>
        <tr r="Q3" s="2"/>
      </tp>
      <tp t="s">
        <v>#N/A Requesting Data...3323398604</v>
        <stp/>
        <stp>BDP|6685831651582218483</stp>
        <tr r="O1604" s="2"/>
      </tp>
      <tp t="s">
        <v>#N/A Requesting Data...3534877381</v>
        <stp/>
        <stp>BDP|4815817920293650010</stp>
        <tr r="D2501" s="2"/>
      </tp>
      <tp t="s">
        <v>#N/A Requesting Data...3689154706</v>
        <stp/>
        <stp>BDP|7216841199673825895</stp>
        <tr r="Q1709" s="2"/>
      </tp>
      <tp t="s">
        <v>#N/A Requesting Data...4051954815</v>
        <stp/>
        <stp>BDP|3316080450519121247</stp>
        <tr r="C2410" s="2"/>
      </tp>
      <tp t="s">
        <v>#N/A Requesting Data...2620594042</v>
        <stp/>
        <stp>BDP|1966481881916691686</stp>
        <tr r="E2401" s="2"/>
      </tp>
      <tp t="s">
        <v>#N/A Requesting Data...2960332651</v>
        <stp/>
        <stp>BDP|3849571784104216774</stp>
        <tr r="F1819" s="2"/>
      </tp>
      <tp t="s">
        <v>#N/A Requesting Data...2945424958</v>
        <stp/>
        <stp>BDP|8511462075745945310</stp>
        <tr r="N2170" s="2"/>
      </tp>
      <tp t="s">
        <v>#N/A Requesting Data...2800419364</v>
        <stp/>
        <stp>BDP|4580295007853547801</stp>
        <tr r="H1232" s="2"/>
      </tp>
      <tp t="b">
        <v>0</v>
        <stp/>
        <stp>BDS|4647525289685101124</stp>
        <tr r="I1098" s="2"/>
      </tp>
      <tp t="s">
        <v>#N/A Requesting Data...3522125494</v>
        <stp/>
        <stp>BDP|8194285826343871698</stp>
        <tr r="R1676" s="2"/>
      </tp>
      <tp t="s">
        <v>#N/A Requesting Data...2843803756</v>
        <stp/>
        <stp>BDP|8131597350097051261</stp>
        <tr r="M1715" s="2"/>
      </tp>
      <tp t="s">
        <v>#N/A Requesting Data...3936036858</v>
        <stp/>
        <stp>BDP|9826975706474641914</stp>
        <tr r="D1405" s="2"/>
      </tp>
      <tp t="s">
        <v>#N/A Requesting Data...2895107245</v>
        <stp/>
        <stp>BDP|8938455338760211283</stp>
        <tr r="E1683" s="2"/>
      </tp>
      <tp t="s">
        <v>#N/A Requesting Data...4079325555</v>
        <stp/>
        <stp>BDP|8157517969011631712</stp>
        <tr r="P1163" s="2"/>
      </tp>
      <tp t="s">
        <v>#N/A Requesting Data...2653059381</v>
        <stp/>
        <stp>BDP|7928736634739659764</stp>
        <tr r="Q2417" s="2"/>
      </tp>
      <tp t="b">
        <v>0</v>
        <stp/>
        <stp>BDS|5412158835652391897</stp>
        <tr r="I1851" s="2"/>
      </tp>
      <tp t="s">
        <v>#N/A Requesting Data...4131162682</v>
        <stp/>
        <stp>BDP|6559828027215853468</stp>
        <tr r="R2489" s="2"/>
      </tp>
      <tp t="s">
        <v>#N/A Requesting Data...4212450455</v>
        <stp/>
        <stp>BDP|8596476545524871118</stp>
        <tr r="A955" s="2"/>
      </tp>
      <tp t="s">
        <v>#N/A Requesting Data...2764777885</v>
        <stp/>
        <stp>BDP|9664517773482889428</stp>
        <tr r="N1257" s="2"/>
      </tp>
      <tp t="s">
        <v>#N/A Requesting Data...2877533627</v>
        <stp/>
        <stp>BDP|2951775240588776477</stp>
        <tr r="P2477" s="2"/>
      </tp>
      <tp t="s">
        <v>#N/A Requesting Data...4049680979</v>
        <stp/>
        <stp>BDP|9748505115067451781</stp>
        <tr r="O1840" s="2"/>
      </tp>
      <tp t="b">
        <v>0</v>
        <stp/>
        <stp>BDS|8253668172441188597</stp>
        <tr r="I612" s="2"/>
      </tp>
      <tp t="s">
        <v>#N/A Requesting Data...3890404954</v>
        <stp/>
        <stp>BDP|1606953301565909053</stp>
        <tr r="R679" s="2"/>
      </tp>
      <tp t="s">
        <v>#N/A Requesting Data...4058303953</v>
        <stp/>
        <stp>BDP|6863763563659537364</stp>
        <tr r="S2311" s="2"/>
      </tp>
      <tp t="s">
        <v>#N/A Requesting Data...2989113175</v>
        <stp/>
        <stp>BDP|5967953345900282550</stp>
        <tr r="M733" s="2"/>
      </tp>
      <tp t="s">
        <v>#N/A Requesting Data...3296757643</v>
        <stp/>
        <stp>BDP|7427897233436140711</stp>
        <tr r="D948" s="2"/>
      </tp>
      <tp t="s">
        <v>#N/A Requesting Data...3041078011</v>
        <stp/>
        <stp>BDP|3941745231148327216</stp>
        <tr r="G1450" s="2"/>
      </tp>
      <tp t="b">
        <v>0</v>
        <stp/>
        <stp>BDS|9632526114778945871</stp>
        <tr r="I2332" s="2"/>
      </tp>
      <tp t="s">
        <v>#N/A Requesting Data...3502690157</v>
        <stp/>
        <stp>BDP|2930952151610302303</stp>
        <tr r="P2484" s="2"/>
      </tp>
      <tp t="b">
        <v>0</v>
        <stp/>
        <stp>BDS|2565437034311929957</stp>
        <tr r="I2088" s="2"/>
      </tp>
      <tp t="s">
        <v>#N/A Requesting Data...3901229627</v>
        <stp/>
        <stp>BDP|8630928483081095596</stp>
        <tr r="H1916" s="2"/>
      </tp>
      <tp t="s">
        <v>#N/A Requesting Data...3382016046</v>
        <stp/>
        <stp>BDP|2373052958679719375</stp>
        <tr r="K28" s="2"/>
      </tp>
      <tp t="s">
        <v>#N/A Requesting Data...2544463850</v>
        <stp/>
        <stp>BDP|1564100326146404990</stp>
        <tr r="T544" s="2"/>
      </tp>
      <tp t="s">
        <v>#N/A Requesting Data...3518547804</v>
        <stp/>
        <stp>BDP|2324513485072007096</stp>
        <tr r="J177" s="2"/>
      </tp>
      <tp t="s">
        <v>#N/A Requesting Data...3576399003</v>
        <stp/>
        <stp>BDP|4753824691609364196</stp>
        <tr r="A1854" s="2"/>
      </tp>
      <tp t="s">
        <v>#N/A Requesting Data...2570131769</v>
        <stp/>
        <stp>BDP|2327107984607064192</stp>
        <tr r="R162" s="2"/>
      </tp>
      <tp t="s">
        <v>#N/A Requesting Data...3053506037</v>
        <stp/>
        <stp>BDP|1152207279849190075</stp>
        <tr r="N556" s="2"/>
      </tp>
      <tp t="s">
        <v>#N/A Requesting Data...3104391598</v>
        <stp/>
        <stp>BDP|4459165018540319972</stp>
        <tr r="T850" s="2"/>
      </tp>
      <tp t="b">
        <v>0</v>
        <stp/>
        <stp>BDS|6414059388853432036</stp>
        <tr r="I1878" s="2"/>
      </tp>
      <tp t="s">
        <v>#N/A Requesting Data...3944255052</v>
        <stp/>
        <stp>BDP|5747720169820025928</stp>
        <tr r="H422" s="2"/>
      </tp>
      <tp t="s">
        <v>#N/A Requesting Data...3135887340</v>
        <stp/>
        <stp>BDP|7480280003218758069</stp>
        <tr r="G132" s="2"/>
      </tp>
      <tp t="s">
        <v>#N/A Requesting Data...3702437491</v>
        <stp/>
        <stp>BDP|4433731490276817108</stp>
        <tr r="C1404" s="2"/>
      </tp>
      <tp t="s">
        <v>#N/A Requesting Data...3338683272</v>
        <stp/>
        <stp>BDP|5941364160065616868</stp>
        <tr r="Q634" s="2"/>
      </tp>
      <tp t="s">
        <v>#N/A Requesting Data...3497500683</v>
        <stp/>
        <stp>BDP|4325846372796381092</stp>
        <tr r="P1131" s="2"/>
      </tp>
      <tp t="s">
        <v>#N/A Requesting Data...4146850532</v>
        <stp/>
        <stp>BDP|6427734699603789661</stp>
        <tr r="E1548" s="2"/>
      </tp>
      <tp t="s">
        <v>#N/A Requesting Data...4119963666</v>
        <stp/>
        <stp>BDP|8640523829737401569</stp>
        <tr r="A1606" s="2"/>
      </tp>
      <tp t="s">
        <v>#N/A Requesting Data...3135698785</v>
        <stp/>
        <stp>BDP|9572390101424084323</stp>
        <tr r="Q1513" s="2"/>
      </tp>
      <tp t="s">
        <v>#N/A Requesting Data...3987408687</v>
        <stp/>
        <stp>BDP|6072824596349880330</stp>
        <tr r="S114" s="2"/>
      </tp>
      <tp t="s">
        <v>#N/A Requesting Data...3880836127</v>
        <stp/>
        <stp>BDP|4170702375799987022</stp>
        <tr r="S1764" s="2"/>
      </tp>
      <tp t="s">
        <v>#N/A Requesting Data...3164164858</v>
        <stp/>
        <stp>BDP|2697038697714879259</stp>
        <tr r="A1642" s="2"/>
      </tp>
      <tp t="s">
        <v>#N/A Requesting Data...2808291902</v>
        <stp/>
        <stp>BDP|4657286052846102820</stp>
        <tr r="F1487" s="2"/>
      </tp>
      <tp t="s">
        <v>#N/A Requesting Data...3972636325</v>
        <stp/>
        <stp>BDP|3606504964269997444</stp>
        <tr r="G1526" s="2"/>
      </tp>
      <tp t="s">
        <v>#N/A Requesting Data...3261692513</v>
        <stp/>
        <stp>BDP|9739108412155980139</stp>
        <tr r="H323" s="2"/>
      </tp>
      <tp t="s">
        <v>#N/A Requesting Data...3494148099</v>
        <stp/>
        <stp>BDP|6895910211392448134</stp>
        <tr r="T890" s="2"/>
      </tp>
      <tp t="s">
        <v>#N/A Requesting Data...3803967638</v>
        <stp/>
        <stp>BDP|4990727296547006021</stp>
        <tr r="R2479" s="2"/>
      </tp>
      <tp t="s">
        <v>#N/A Requesting Data...2983111387</v>
        <stp/>
        <stp>BDP|3438292309565896937</stp>
        <tr r="C1674" s="2"/>
      </tp>
      <tp t="s">
        <v>#N/A Requesting Data...4086974816</v>
        <stp/>
        <stp>BDP|7252855228825266523</stp>
        <tr r="N2122" s="2"/>
      </tp>
      <tp t="s">
        <v>#N/A Requesting Data...3594628226</v>
        <stp/>
        <stp>BDP|2910249485117277253</stp>
        <tr r="N967" s="2"/>
      </tp>
      <tp t="s">
        <v>#N/A Requesting Data...2973678736</v>
        <stp/>
        <stp>BDP|7221593953833273953</stp>
        <tr r="O503" s="2"/>
      </tp>
      <tp t="s">
        <v>#N/A Requesting Data...4130380711</v>
        <stp/>
        <stp>BDP|3136546622561893805</stp>
        <tr r="C1737" s="2"/>
      </tp>
      <tp t="s">
        <v>#N/A Requesting Data...3560336133</v>
        <stp/>
        <stp>BDP|6075971154101924659</stp>
        <tr r="K1958" s="2"/>
      </tp>
      <tp t="b">
        <v>0</v>
        <stp/>
        <stp>BDS|9067010902246928259</stp>
        <tr r="I563" s="2"/>
      </tp>
      <tp t="s">
        <v>#N/A Requesting Data...2921719190</v>
        <stp/>
        <stp>BDP|1512977470452880056</stp>
        <tr r="M2260" s="2"/>
      </tp>
      <tp t="s">
        <v>#N/A Requesting Data...3719987667</v>
        <stp/>
        <stp>BDP|8676994700135781976</stp>
        <tr r="H661" s="2"/>
      </tp>
      <tp t="s">
        <v>#N/A Requesting Data...2644183169</v>
        <stp/>
        <stp>BDP|3305579002302065993</stp>
        <tr r="E2436" s="2"/>
      </tp>
      <tp t="s">
        <v>#N/A Requesting Data...4130940646</v>
        <stp/>
        <stp>BDP|9471563308860259176</stp>
        <tr r="S330" s="2"/>
      </tp>
      <tp t="s">
        <v>#N/A Requesting Data...2954229240</v>
        <stp/>
        <stp>BDP|1310768899854283616</stp>
        <tr r="D2105" s="2"/>
      </tp>
      <tp t="s">
        <v>#N/A Requesting Data...4272654998</v>
        <stp/>
        <stp>BDP|9856412913895006451</stp>
        <tr r="S258" s="2"/>
      </tp>
      <tp t="s">
        <v>#N/A Requesting Data...3066697381</v>
        <stp/>
        <stp>BDP|7486918443916802117</stp>
        <tr r="H2187" s="2"/>
      </tp>
      <tp t="b">
        <v>0</v>
        <stp/>
        <stp>BDS|8397551323273862121</stp>
        <tr r="I1052" s="2"/>
      </tp>
      <tp t="s">
        <v>#N/A Requesting Data...2860273294</v>
        <stp/>
        <stp>BDP|9689046025627168190</stp>
        <tr r="S989" s="2"/>
      </tp>
      <tp t="s">
        <v>#N/A Requesting Data...3376961841</v>
        <stp/>
        <stp>BDP|2325690883158797914</stp>
        <tr r="F1541" s="2"/>
      </tp>
      <tp t="s">
        <v>#N/A Requesting Data...3547832370</v>
        <stp/>
        <stp>BDP|7834231188902524298</stp>
        <tr r="D1543" s="2"/>
      </tp>
      <tp t="s">
        <v>#N/A Requesting Data...3478284056</v>
        <stp/>
        <stp>BDP|2906001104158341715</stp>
        <tr r="F774" s="2"/>
      </tp>
      <tp t="s">
        <v>#N/A Requesting Data...3335914110</v>
        <stp/>
        <stp>BDP|9262845249251346934</stp>
        <tr r="D2181" s="2"/>
      </tp>
      <tp t="s">
        <v>#N/A Requesting Data...4152594437</v>
        <stp/>
        <stp>BDP|8416347466169858913</stp>
        <tr r="R2334" s="2"/>
      </tp>
      <tp t="s">
        <v>#N/A Requesting Data...3853138043</v>
        <stp/>
        <stp>BDP|9660342929556731333</stp>
        <tr r="S562" s="2"/>
      </tp>
      <tp t="s">
        <v>#N/A Requesting Data...2873425817</v>
        <stp/>
        <stp>BDP|7301916324542018393</stp>
        <tr r="F2282" s="2"/>
      </tp>
      <tp t="b">
        <v>0</v>
        <stp/>
        <stp>BDS|4962519962303161948</stp>
        <tr r="I1142" s="2"/>
      </tp>
      <tp t="s">
        <v>#N/A Requesting Data...3426908691</v>
        <stp/>
        <stp>BDP|2757077669160722911</stp>
        <tr r="P242" s="2"/>
      </tp>
      <tp t="s">
        <v>#N/A Requesting Data...2842375193</v>
        <stp/>
        <stp>BDP|3915034467940080824</stp>
        <tr r="T1840" s="2"/>
      </tp>
      <tp t="s">
        <v>#N/A Requesting Data...3636842430</v>
        <stp/>
        <stp>BDP|7936876057811191674</stp>
        <tr r="G2335" s="2"/>
      </tp>
      <tp t="s">
        <v>#N/A Requesting Data...3453680396</v>
        <stp/>
        <stp>BDP|9215442018747761662</stp>
        <tr r="J1477" s="2"/>
      </tp>
      <tp t="s">
        <v>#N/A Requesting Data...3040053827</v>
        <stp/>
        <stp>BDP|8472313994416809960</stp>
        <tr r="S747" s="2"/>
      </tp>
      <tp t="s">
        <v>#N/A Requesting Data...3720167668</v>
        <stp/>
        <stp>BDP|4153760098704177316</stp>
        <tr r="A1615" s="2"/>
      </tp>
      <tp t="b">
        <v>0</v>
        <stp/>
        <stp>BDS|4575346655326215993</stp>
        <tr r="I914" s="2"/>
      </tp>
      <tp t="s">
        <v>#N/A Requesting Data...3787403757</v>
        <stp/>
        <stp>BDP|6132659482877164287</stp>
        <tr r="D445" s="2"/>
      </tp>
      <tp t="s">
        <v>#N/A Requesting Data...2967950031</v>
        <stp/>
        <stp>BDP|6343487394802717479</stp>
        <tr r="E913" s="2"/>
      </tp>
      <tp t="s">
        <v>#N/A Requesting Data...4190848497</v>
        <stp/>
        <stp>BDP|6751999316462225159</stp>
        <tr r="C1732" s="2"/>
      </tp>
      <tp t="s">
        <v>#N/A Requesting Data...2891271584</v>
        <stp/>
        <stp>BDP|8518752309796173470</stp>
        <tr r="J1102" s="2"/>
      </tp>
      <tp t="b">
        <v>0</v>
        <stp/>
        <stp>BDS|8131395551584162775</stp>
        <tr r="I1392" s="2"/>
      </tp>
      <tp t="s">
        <v>#N/A Requesting Data...3399160354</v>
        <stp/>
        <stp>BDP|6806800637579308936</stp>
        <tr r="K1632" s="2"/>
      </tp>
      <tp t="s">
        <v>#N/A Requesting Data...3195720885</v>
        <stp/>
        <stp>BDP|1858654303702161803</stp>
        <tr r="N697" s="2"/>
      </tp>
      <tp t="s">
        <v>#N/A Requesting Data...2969077370</v>
        <stp/>
        <stp>BDP|5122001230023787899</stp>
        <tr r="N2205" s="2"/>
      </tp>
      <tp t="s">
        <v>#N/A Requesting Data...3657720834</v>
        <stp/>
        <stp>BDP|1105114690674743084</stp>
        <tr r="P2114" s="2"/>
      </tp>
      <tp t="s">
        <v>#N/A Requesting Data...4167969133</v>
        <stp/>
        <stp>BDP|9589596637153743139</stp>
        <tr r="O421" s="2"/>
      </tp>
      <tp t="b">
        <v>0</v>
        <stp/>
        <stp>BDS|9279082883009117572</stp>
        <tr r="I1440" s="2"/>
      </tp>
      <tp t="s">
        <v>#N/A Requesting Data...4277767079</v>
        <stp/>
        <stp>BDP|2356114085192053480</stp>
        <tr r="K1526" s="2"/>
      </tp>
      <tp t="b">
        <v>0</v>
        <stp/>
        <stp>BDS|8500522591088032197</stp>
        <tr r="I2100" s="2"/>
      </tp>
      <tp t="s">
        <v>#N/A Requesting Data...3401497268</v>
        <stp/>
        <stp>BDP|8580857282662983745</stp>
        <tr r="J1360" s="2"/>
      </tp>
      <tp t="s">
        <v>#N/A Requesting Data...2953793713</v>
        <stp/>
        <stp>BDP|8808174188578009485</stp>
        <tr r="D947" s="2"/>
      </tp>
      <tp t="s">
        <v>#N/A Requesting Data...3263581555</v>
        <stp/>
        <stp>BDP|1459540907781839805</stp>
        <tr r="C73" s="2"/>
      </tp>
      <tp t="s">
        <v>#N/A Requesting Data...3864225947</v>
        <stp/>
        <stp>BDP|1503131528277820895</stp>
        <tr r="T1339" s="2"/>
      </tp>
      <tp t="s">
        <v>#N/A Requesting Data...4108906419</v>
        <stp/>
        <stp>BDP|7431592731808097434</stp>
        <tr r="O2459" s="2"/>
      </tp>
      <tp t="s">
        <v>#N/A Requesting Data...3334777268</v>
        <stp/>
        <stp>BDP|7868420107596341813</stp>
        <tr r="R1207" s="2"/>
      </tp>
      <tp t="s">
        <v>#N/A Requesting Data...3833437644</v>
        <stp/>
        <stp>BDP|4911946802298363837</stp>
        <tr r="N2491" s="2"/>
      </tp>
      <tp t="s">
        <v>#N/A Requesting Data...3728100621</v>
        <stp/>
        <stp>BDP|3907068055829368262</stp>
        <tr r="N2025" s="2"/>
      </tp>
      <tp t="s">
        <v>#N/A Requesting Data...4116644636</v>
        <stp/>
        <stp>BDP|7199604727507143988</stp>
        <tr r="T2012" s="2"/>
      </tp>
      <tp t="s">
        <v>#N/A Requesting Data...3179378405</v>
        <stp/>
        <stp>BDP|1918056585721575533</stp>
        <tr r="R558" s="2"/>
      </tp>
      <tp t="s">
        <v>#N/A Requesting Data...3038321259</v>
        <stp/>
        <stp>BDP|1060881776160351324</stp>
        <tr r="O2001" s="2"/>
      </tp>
      <tp t="s">
        <v>#N/A Requesting Data...2902853062</v>
        <stp/>
        <stp>BDP|1523182984672122773</stp>
        <tr r="D1525" s="2"/>
      </tp>
      <tp t="s">
        <v>#N/A Requesting Data...3095918892</v>
        <stp/>
        <stp>BDP|6405695822569932694</stp>
        <tr r="Q2396" s="2"/>
      </tp>
      <tp t="s">
        <v>#N/A Requesting Data...3425425318</v>
        <stp/>
        <stp>BDP|9965326064780817181</stp>
        <tr r="P1903" s="2"/>
      </tp>
      <tp t="s">
        <v>#N/A Requesting Data...3844341917</v>
        <stp/>
        <stp>BDP|9748259818920337761</stp>
        <tr r="R2307" s="2"/>
      </tp>
      <tp t="s">
        <v>#N/A Requesting Data...3681634565</v>
        <stp/>
        <stp>BDP|4298548173219819224</stp>
        <tr r="S297" s="2"/>
      </tp>
      <tp t="s">
        <v>#N/A Requesting Data...4103419837</v>
        <stp/>
        <stp>BDP|7228664992750047593</stp>
        <tr r="H1885" s="2"/>
      </tp>
      <tp t="s">
        <v>#N/A Requesting Data...4273598627</v>
        <stp/>
        <stp>BDP|5558862701321466194</stp>
        <tr r="H1360" s="2"/>
      </tp>
      <tp t="s">
        <v>#N/A Requesting Data...3714395373</v>
        <stp/>
        <stp>BDP|9460499307978391856</stp>
        <tr r="N202" s="2"/>
      </tp>
      <tp t="s">
        <v>#N/A Requesting Data...3283151345</v>
        <stp/>
        <stp>BDP|6542488881077904095</stp>
        <tr r="D1612" s="2"/>
      </tp>
      <tp t="s">
        <v>#N/A Requesting Data...3801094440</v>
        <stp/>
        <stp>BDP|3695537541098043783</stp>
        <tr r="O2210" s="2"/>
      </tp>
      <tp t="s">
        <v>#N/A Requesting Data...3837871928</v>
        <stp/>
        <stp>BDP|6881537096687143004</stp>
        <tr r="J2490" s="2"/>
      </tp>
      <tp t="s">
        <v>#N/A Requesting Data...4287188975</v>
        <stp/>
        <stp>BDP|8543904303998962436</stp>
        <tr r="C2503" s="2"/>
      </tp>
      <tp t="s">
        <v>#N/A Requesting Data...3662165566</v>
        <stp/>
        <stp>BDP|5612782348372303998</stp>
        <tr r="T732" s="2"/>
      </tp>
      <tp t="s">
        <v>#N/A Requesting Data...3682770398</v>
        <stp/>
        <stp>BDP|1156929014467806330</stp>
        <tr r="T1632" s="2"/>
      </tp>
      <tp t="s">
        <v>#N/A Requesting Data...3128489867</v>
        <stp/>
        <stp>BDP|4173249061764973916</stp>
        <tr r="P1790" s="2"/>
      </tp>
      <tp t="s">
        <v>#N/A Requesting Data...3928590606</v>
        <stp/>
        <stp>BDP|4756877385369914008</stp>
        <tr r="E177" s="2"/>
      </tp>
      <tp t="s">
        <v>#N/A Requesting Data...3736772062</v>
        <stp/>
        <stp>BDP|2075869679257635757</stp>
        <tr r="K1887" s="2"/>
      </tp>
      <tp t="s">
        <v>#N/A Requesting Data...3448756910</v>
        <stp/>
        <stp>BDP|5541836517753552288</stp>
        <tr r="F1528" s="2"/>
      </tp>
      <tp t="s">
        <v>#N/A Requesting Data...3794197424</v>
        <stp/>
        <stp>BDP|9097439049060282440</stp>
        <tr r="R94" s="2"/>
      </tp>
      <tp t="s">
        <v>#N/A Requesting Data...3185165293</v>
        <stp/>
        <stp>BDP|3928318661398329363</stp>
        <tr r="G2274" s="2"/>
      </tp>
      <tp t="s">
        <v>#N/A Requesting Data...4071658765</v>
        <stp/>
        <stp>BDP|5283487747040668871</stp>
        <tr r="M2284" s="2"/>
      </tp>
      <tp t="s">
        <v>#N/A Requesting Data...3493662002</v>
        <stp/>
        <stp>BDP|9079946459741790967</stp>
        <tr r="N299" s="2"/>
      </tp>
      <tp t="s">
        <v>#N/A Requesting Data...3904588726</v>
        <stp/>
        <stp>BDP|2539885766124088574</stp>
        <tr r="S1895" s="2"/>
      </tp>
      <tp t="s">
        <v>#N/A Requesting Data...3381087403</v>
        <stp/>
        <stp>BDP|7602014065794689880</stp>
        <tr r="D1051" s="2"/>
      </tp>
      <tp t="s">
        <v>#N/A Requesting Data...4002709168</v>
        <stp/>
        <stp>BDP|6911609524096642977</stp>
        <tr r="K1425" s="2"/>
      </tp>
      <tp t="s">
        <v>#N/A Requesting Data...3905603661</v>
        <stp/>
        <stp>BDP|4149686790844732222</stp>
        <tr r="Q2462" s="2"/>
      </tp>
      <tp t="s">
        <v>#N/A Requesting Data...3257565584</v>
        <stp/>
        <stp>BDP|6040529628248542431</stp>
        <tr r="R1227" s="2"/>
      </tp>
      <tp t="s">
        <v>#N/A Requesting Data...3055560904</v>
        <stp/>
        <stp>BDP|5934750786346757118</stp>
        <tr r="J802" s="2"/>
      </tp>
      <tp t="s">
        <v>#N/A Requesting Data...3407426286</v>
        <stp/>
        <stp>BDP|5901245431070701978</stp>
        <tr r="P1914" s="2"/>
      </tp>
      <tp t="s">
        <v>#N/A Requesting Data...3336866141</v>
        <stp/>
        <stp>BDP|3674550299213389150</stp>
        <tr r="P1280" s="2"/>
      </tp>
      <tp t="s">
        <v>#N/A Requesting Data...2938702016</v>
        <stp/>
        <stp>BDP|1412428090599902830</stp>
        <tr r="S2392" s="2"/>
      </tp>
      <tp t="s">
        <v>#N/A Requesting Data...2874869493</v>
        <stp/>
        <stp>BDP|4998880984248040190</stp>
        <tr r="H1997" s="2"/>
      </tp>
      <tp t="s">
        <v>#N/A Requesting Data...3654304762</v>
        <stp/>
        <stp>BDP|8917239592808672628</stp>
        <tr r="D849" s="2"/>
      </tp>
      <tp t="s">
        <v>#N/A Requesting Data...3457999926</v>
        <stp/>
        <stp>BDP|9163179145043834273</stp>
        <tr r="D2486" s="2"/>
      </tp>
      <tp t="s">
        <v>#N/A Requesting Data...3108667795</v>
        <stp/>
        <stp>BDP|7746986232180442058</stp>
        <tr r="H1490" s="2"/>
      </tp>
      <tp t="s">
        <v>#N/A Requesting Data...3660509587</v>
        <stp/>
        <stp>BDP|2317211709398293555</stp>
        <tr r="N1989" s="2"/>
      </tp>
      <tp t="s">
        <v>#N/A Requesting Data...3605752431</v>
        <stp/>
        <stp>BDP|6872733883867278365</stp>
        <tr r="C498" s="2"/>
      </tp>
      <tp t="s">
        <v>#N/A Requesting Data...3897684463</v>
        <stp/>
        <stp>BDP|9940238756770944391</stp>
        <tr r="J1807" s="2"/>
      </tp>
      <tp t="s">
        <v>#N/A Requesting Data...3605723444</v>
        <stp/>
        <stp>BDP|6440778636409073691</stp>
        <tr r="C2207" s="2"/>
      </tp>
      <tp t="s">
        <v>#N/A Requesting Data...3401474433</v>
        <stp/>
        <stp>BDP|4887340286552726011</stp>
        <tr r="T1534" s="2"/>
      </tp>
      <tp t="b">
        <v>0</v>
        <stp/>
        <stp>BDS|7221788641569626010</stp>
        <tr r="I2348" s="2"/>
      </tp>
      <tp t="b">
        <v>0</v>
        <stp/>
        <stp>BDS|9816561464620737718</stp>
        <tr r="I2336" s="2"/>
      </tp>
      <tp t="s">
        <v>#N/A Requesting Data...3110070814</v>
        <stp/>
        <stp>BDP|6922451867921368842</stp>
        <tr r="H1419" s="2"/>
      </tp>
      <tp t="s">
        <v>#N/A Requesting Data...3960561560</v>
        <stp/>
        <stp>BDP|8355339716282948534</stp>
        <tr r="A905" s="2"/>
      </tp>
      <tp t="s">
        <v>#N/A Requesting Data...3792981879</v>
        <stp/>
        <stp>BDP|3269020021324987843</stp>
        <tr r="E1093" s="2"/>
      </tp>
      <tp t="s">
        <v>#N/A Requesting Data...3483138746</v>
        <stp/>
        <stp>BDP|3735606911861335890</stp>
        <tr r="M317" s="2"/>
      </tp>
      <tp t="s">
        <v>#N/A Requesting Data...3076509142</v>
        <stp/>
        <stp>BDP|1811842409985138188</stp>
        <tr r="P1547" s="2"/>
      </tp>
      <tp t="s">
        <v>#N/A Requesting Data...3762473064</v>
        <stp/>
        <stp>BDP|6092266473768805619</stp>
        <tr r="P981" s="2"/>
      </tp>
      <tp t="s">
        <v>#N/A Requesting Data...4170685666</v>
        <stp/>
        <stp>BDP|4679164789301148145</stp>
        <tr r="K1991" s="2"/>
      </tp>
      <tp t="s">
        <v>#N/A Requesting Data...4039667636</v>
        <stp/>
        <stp>BDP|4346099864689191633</stp>
        <tr r="F38" s="2"/>
      </tp>
      <tp t="s">
        <v>#N/A Requesting Data...3891430496</v>
        <stp/>
        <stp>BDP|1968342001797632861</stp>
        <tr r="G474" s="2"/>
      </tp>
      <tp t="s">
        <v>#N/A Requesting Data...3220768610</v>
        <stp/>
        <stp>BDP|5526536441228343183</stp>
        <tr r="E479" s="2"/>
      </tp>
      <tp t="s">
        <v>#N/A Requesting Data...3421111178</v>
        <stp/>
        <stp>BDP|3819284091521947445</stp>
        <tr r="T593" s="2"/>
      </tp>
      <tp t="s">
        <v>#N/A Requesting Data...4255830080</v>
        <stp/>
        <stp>BDP|4950561796460759524</stp>
        <tr r="S945" s="2"/>
      </tp>
      <tp t="s">
        <v>#N/A Requesting Data...3568254053</v>
        <stp/>
        <stp>BDP|7348522139435303973</stp>
        <tr r="D1337" s="2"/>
      </tp>
      <tp t="s">
        <v>#N/A Requesting Data...3440972692</v>
        <stp/>
        <stp>BDP|2102297884633353635</stp>
        <tr r="S1192" s="2"/>
      </tp>
      <tp t="s">
        <v>#N/A Requesting Data...3247400051</v>
        <stp/>
        <stp>BDP|1303915928904041369</stp>
        <tr r="H1706" s="2"/>
      </tp>
      <tp t="b">
        <v>0</v>
        <stp/>
        <stp>BDS|6561951700015943750</stp>
        <tr r="I2340" s="2"/>
      </tp>
      <tp t="s">
        <v>#N/A Requesting Data...4233134069</v>
        <stp/>
        <stp>BDP|1274926125877885011</stp>
        <tr r="H1962" s="2"/>
      </tp>
      <tp t="s">
        <v>#N/A Requesting Data...3582175512</v>
        <stp/>
        <stp>BDP|2455435992321932300</stp>
        <tr r="Q1877" s="2"/>
      </tp>
      <tp t="s">
        <v>#N/A Requesting Data...4131393295</v>
        <stp/>
        <stp>BDP|8824570313154404540</stp>
        <tr r="M1406" s="2"/>
      </tp>
      <tp t="s">
        <v>#N/A Requesting Data...4235313439</v>
        <stp/>
        <stp>BDP|1742536410368800002</stp>
        <tr r="J1832" s="2"/>
      </tp>
      <tp t="s">
        <v>#N/A Requesting Data...3025941516</v>
        <stp/>
        <stp>BDP|8493493860785970289</stp>
        <tr r="H1652" s="2"/>
      </tp>
      <tp t="s">
        <v>#N/A Requesting Data...4249876999</v>
        <stp/>
        <stp>BDP|9230332316996339088</stp>
        <tr r="A595" s="2"/>
      </tp>
      <tp t="s">
        <v>#N/A Requesting Data...4139682418</v>
        <stp/>
        <stp>BDP|6466836294398648295</stp>
        <tr r="D498" s="2"/>
      </tp>
      <tp t="s">
        <v>#N/A Requesting Data...3001059369</v>
        <stp/>
        <stp>BDP|8317886022057655830</stp>
        <tr r="Q298" s="2"/>
      </tp>
      <tp t="s">
        <v>#N/A Requesting Data...3244141074</v>
        <stp/>
        <stp>BDP|8883989282117970375</stp>
        <tr r="Q564" s="2"/>
      </tp>
      <tp t="s">
        <v>#N/A Requesting Data...3570056838</v>
        <stp/>
        <stp>BDP|6329325349344356873</stp>
        <tr r="J1647" s="2"/>
      </tp>
      <tp t="s">
        <v>#N/A Requesting Data...3882853099</v>
        <stp/>
        <stp>BDP|8351482517779659967</stp>
        <tr r="E776" s="2"/>
      </tp>
      <tp t="s">
        <v>#N/A Requesting Data...3739944804</v>
        <stp/>
        <stp>BDP|8547088310984836094</stp>
        <tr r="P2099" s="2"/>
      </tp>
      <tp t="s">
        <v>#N/A Requesting Data...3492085894</v>
        <stp/>
        <stp>BDP|7948537593500036657</stp>
        <tr r="K141" s="2"/>
      </tp>
      <tp t="s">
        <v>#N/A Requesting Data...3695551914</v>
        <stp/>
        <stp>BDP|9385469096539983069</stp>
        <tr r="E1716" s="2"/>
      </tp>
      <tp t="s">
        <v>#N/A Requesting Data...3088316827</v>
        <stp/>
        <stp>BDP|8966416785758669174</stp>
        <tr r="E1484" s="2"/>
      </tp>
      <tp t="s">
        <v>#N/A Requesting Data...3286999688</v>
        <stp/>
        <stp>BDP|3541894027187661312</stp>
        <tr r="O340" s="2"/>
      </tp>
      <tp t="s">
        <v>#N/A Requesting Data...4088407842</v>
        <stp/>
        <stp>BDP|9521232072918187995</stp>
        <tr r="D1464" s="2"/>
      </tp>
      <tp t="s">
        <v>#N/A Requesting Data...3349343973</v>
        <stp/>
        <stp>BDP|1530632875309769480</stp>
        <tr r="J1036" s="2"/>
      </tp>
      <tp t="s">
        <v>#N/A Requesting Data...3563774268</v>
        <stp/>
        <stp>BDP|7526681485110122454</stp>
        <tr r="G1721" s="2"/>
      </tp>
      <tp t="s">
        <v>#N/A Requesting Data...3214167371</v>
        <stp/>
        <stp>BDP|8345292509161858676</stp>
        <tr r="J2343" s="2"/>
      </tp>
      <tp t="s">
        <v>#N/A Requesting Data...3804392596</v>
        <stp/>
        <stp>BDP|9187295759114508788</stp>
        <tr r="T522" s="2"/>
      </tp>
      <tp t="s">
        <v>#N/A Requesting Data...3191698810</v>
        <stp/>
        <stp>BDP|4968846241200451543</stp>
        <tr r="F2391" s="2"/>
      </tp>
      <tp t="s">
        <v>#N/A Requesting Data...3724321135</v>
        <stp/>
        <stp>BDP|5524831449905085135</stp>
        <tr r="M454" s="2"/>
      </tp>
      <tp t="s">
        <v>#N/A Requesting Data...3386412876</v>
        <stp/>
        <stp>BDP|9092830499506220349</stp>
        <tr r="P1897" s="2"/>
      </tp>
      <tp t="s">
        <v>#N/A Requesting Data...3837580637</v>
        <stp/>
        <stp>BDP|1159841627991987772</stp>
        <tr r="O1580" s="2"/>
      </tp>
      <tp t="s">
        <v>#N/A Requesting Data...3493736169</v>
        <stp/>
        <stp>BDP|8709287870605410577</stp>
        <tr r="O1957" s="2"/>
      </tp>
      <tp t="s">
        <v>#N/A Requesting Data...3930142146</v>
        <stp/>
        <stp>BDP|4311797348372676885</stp>
        <tr r="G303" s="2"/>
      </tp>
      <tp t="s">
        <v>#N/A Requesting Data...4290615360</v>
        <stp/>
        <stp>BDP|9853128436881102712</stp>
        <tr r="C2231" s="2"/>
      </tp>
      <tp t="b">
        <v>0</v>
        <stp/>
        <stp>BDS|5832265646128518612</stp>
        <tr r="I211" s="2"/>
      </tp>
      <tp t="b">
        <v>0</v>
        <stp/>
        <stp>BDS|6918495258113583919</stp>
        <tr r="I1120" s="2"/>
      </tp>
      <tp t="s">
        <v>#N/A Requesting Data...3575225070</v>
        <stp/>
        <stp>BDP|1770683924670317844</stp>
        <tr r="P783" s="2"/>
      </tp>
      <tp t="s">
        <v>#N/A Requesting Data...3031718447</v>
        <stp/>
        <stp>BDP|9926808582480192460</stp>
        <tr r="C860" s="2"/>
      </tp>
      <tp t="s">
        <v>#N/A Requesting Data...3798372672</v>
        <stp/>
        <stp>BDP|1630275817467265883</stp>
        <tr r="K1352" s="2"/>
      </tp>
      <tp t="s">
        <v>#N/A Requesting Data...3392592510</v>
        <stp/>
        <stp>BDP|5637102178717673947</stp>
        <tr r="D86" s="2"/>
      </tp>
      <tp t="s">
        <v>#N/A Requesting Data...3979839440</v>
        <stp/>
        <stp>BDP|8949525272662748525</stp>
        <tr r="J14" s="2"/>
      </tp>
      <tp t="s">
        <v>#N/A Requesting Data...3609740518</v>
        <stp/>
        <stp>BDP|9389708935593359396</stp>
        <tr r="A1971" s="2"/>
      </tp>
      <tp t="s">
        <v>#N/A Requesting Data...3141208866</v>
        <stp/>
        <stp>BDP|8454465563156979140</stp>
        <tr r="E571" s="2"/>
      </tp>
      <tp t="s">
        <v>#N/A Requesting Data...3895211414</v>
        <stp/>
        <stp>BDP|4174505941441543994</stp>
        <tr r="D784" s="2"/>
      </tp>
      <tp t="s">
        <v>#N/A Requesting Data...3079030346</v>
        <stp/>
        <stp>BDP|6833502363870563836</stp>
        <tr r="M1328" s="2"/>
      </tp>
      <tp t="s">
        <v>#N/A Requesting Data...4108139206</v>
        <stp/>
        <stp>BDP|8969671753031890787</stp>
        <tr r="C2063" s="2"/>
      </tp>
      <tp t="s">
        <v>#N/A Requesting Data...3461617373</v>
        <stp/>
        <stp>BDP|9235488986738330026</stp>
        <tr r="C282" s="2"/>
      </tp>
      <tp t="b">
        <v>0</v>
        <stp/>
        <stp>BDS|1074007060583974948</stp>
        <tr r="I1386" s="2"/>
      </tp>
      <tp t="s">
        <v>#N/A Requesting Data...4084547403</v>
        <stp/>
        <stp>BDP|2576153779958503115</stp>
        <tr r="E1259" s="2"/>
      </tp>
      <tp t="s">
        <v>#N/A Requesting Data...3752864026</v>
        <stp/>
        <stp>BDP|9160773481622991932</stp>
        <tr r="M1927" s="2"/>
      </tp>
      <tp t="s">
        <v>#N/A Requesting Data...4172650148</v>
        <stp/>
        <stp>BDP|2352983676927836684</stp>
        <tr r="G2455" s="2"/>
      </tp>
      <tp t="s">
        <v>#N/A Requesting Data...3705305306</v>
        <stp/>
        <stp>BDP|5310913108144098572</stp>
        <tr r="G1490" s="2"/>
      </tp>
      <tp t="s">
        <v>#N/A Requesting Data...3919099294</v>
        <stp/>
        <stp>BDP|8926933787175389130</stp>
        <tr r="J828" s="2"/>
      </tp>
      <tp t="s">
        <v>#N/A Requesting Data...3999196842</v>
        <stp/>
        <stp>BDP|9597462962326449087</stp>
        <tr r="N74" s="2"/>
      </tp>
      <tp t="s">
        <v>#N/A Requesting Data...3193011589</v>
        <stp/>
        <stp>BDP|3903907075863447350</stp>
        <tr r="A1237" s="2"/>
      </tp>
      <tp t="s">
        <v>#N/A Requesting Data...4214313146</v>
        <stp/>
        <stp>BDP|7523353079377188951</stp>
        <tr r="A535" s="2"/>
      </tp>
      <tp t="s">
        <v>#N/A Requesting Data...3670820733</v>
        <stp/>
        <stp>BDP|2377853393059079788</stp>
        <tr r="M349" s="2"/>
      </tp>
      <tp t="s">
        <v>#N/A Requesting Data...3821925219</v>
        <stp/>
        <stp>BDP|5558452517915824827</stp>
        <tr r="N1957" s="2"/>
      </tp>
      <tp t="s">
        <v>#N/A Requesting Data...3553971957</v>
        <stp/>
        <stp>BDP|9832102443483065268</stp>
        <tr r="D2066" s="2"/>
      </tp>
      <tp t="s">
        <v>#N/A Requesting Data...3217875688</v>
        <stp/>
        <stp>BDP|9069790216551719358</stp>
        <tr r="S366" s="2"/>
      </tp>
      <tp t="s">
        <v>#N/A Requesting Data...4135654451</v>
        <stp/>
        <stp>BDP|2120414048097454819</stp>
        <tr r="E2183" s="2"/>
      </tp>
      <tp t="s">
        <v>#N/A Requesting Data...3459390073</v>
        <stp/>
        <stp>BDP|9618553492109404189</stp>
        <tr r="G1809" s="2"/>
      </tp>
      <tp t="s">
        <v>#N/A Requesting Data...3150072984</v>
        <stp/>
        <stp>BDP|7093566981882996533</stp>
        <tr r="A1187" s="2"/>
      </tp>
      <tp t="s">
        <v>#N/A Requesting Data...3245343395</v>
        <stp/>
        <stp>BDP|9397079868784391623</stp>
        <tr r="D2194" s="2"/>
      </tp>
      <tp t="s">
        <v>#N/A Requesting Data...3117626414</v>
        <stp/>
        <stp>BDP|4190144236678942372</stp>
        <tr r="G1600" s="2"/>
      </tp>
      <tp t="s">
        <v>#N/A Requesting Data...3376996470</v>
        <stp/>
        <stp>BDP|6431523740148842238</stp>
        <tr r="E255" s="2"/>
      </tp>
      <tp t="s">
        <v>#N/A Requesting Data...3457858597</v>
        <stp/>
        <stp>BDP|4413200513122995834</stp>
        <tr r="P347" s="2"/>
      </tp>
      <tp t="s">
        <v>#N/A Requesting Data...4286514253</v>
        <stp/>
        <stp>BDP|8941500813292722309</stp>
        <tr r="K1615" s="2"/>
      </tp>
      <tp t="s">
        <v>#N/A Requesting Data...3582412667</v>
        <stp/>
        <stp>BDP|5939534182830210573</stp>
        <tr r="O1979" s="2"/>
      </tp>
      <tp t="s">
        <v>#N/A Requesting Data...3618691066</v>
        <stp/>
        <stp>BDP|2230457633201095993</stp>
        <tr r="Q2307" s="2"/>
      </tp>
      <tp t="s">
        <v>#N/A Requesting Data...4247924671</v>
        <stp/>
        <stp>BDP|3662108508769042631</stp>
        <tr r="F1720" s="2"/>
      </tp>
      <tp t="b">
        <v>0</v>
        <stp/>
        <stp>BDS|8435981757490088962</stp>
        <tr r="I988" s="2"/>
      </tp>
      <tp t="s">
        <v>#N/A Requesting Data...4269467669</v>
        <stp/>
        <stp>BDP|9205539846316940331</stp>
        <tr r="K102" s="2"/>
      </tp>
      <tp t="s">
        <v>#N/A Requesting Data...3488579736</v>
        <stp/>
        <stp>BDP|3368189794651617747</stp>
        <tr r="C698" s="2"/>
      </tp>
      <tp t="s">
        <v>#N/A Requesting Data...4195857884</v>
        <stp/>
        <stp>BDP|2077067087787894041</stp>
        <tr r="S1213" s="2"/>
      </tp>
      <tp t="b">
        <v>0</v>
        <stp/>
        <stp>BDS|3148914329633599612</stp>
        <tr r="I666" s="2"/>
      </tp>
      <tp t="s">
        <v>#N/A Requesting Data...3941381127</v>
        <stp/>
        <stp>BDP|1921054034828631733</stp>
        <tr r="Q494" s="2"/>
      </tp>
      <tp t="s">
        <v>#N/A Requesting Data...4019390533</v>
        <stp/>
        <stp>BDP|9132588933632216052</stp>
        <tr r="E210" s="2"/>
      </tp>
      <tp t="s">
        <v>#N/A Requesting Data...4008663270</v>
        <stp/>
        <stp>BDP|1525336438869692554</stp>
        <tr r="P1427" s="2"/>
      </tp>
      <tp t="b">
        <v>0</v>
        <stp/>
        <stp>BDS|5952109500939704037</stp>
        <tr r="I931" s="2"/>
      </tp>
      <tp t="s">
        <v>#N/A Requesting Data...3551268788</v>
        <stp/>
        <stp>BDP|6351391814558184128</stp>
        <tr r="T1342" s="2"/>
      </tp>
      <tp t="s">
        <v>#N/A Requesting Data...3780667455</v>
        <stp/>
        <stp>BDP|1527221467208997048</stp>
        <tr r="R2521" s="2"/>
      </tp>
      <tp t="s">
        <v>#N/A Requesting Data...4183946651</v>
        <stp/>
        <stp>BDP|4690066897483824329</stp>
        <tr r="S2092" s="2"/>
      </tp>
      <tp t="s">
        <v>#N/A Requesting Data...3763419544</v>
        <stp/>
        <stp>BDP|2011786797691102031</stp>
        <tr r="P15" s="2"/>
      </tp>
      <tp t="b">
        <v>0</v>
        <stp/>
        <stp>BDS|8309566771844094394</stp>
        <tr r="I1527" s="2"/>
      </tp>
      <tp t="s">
        <v>#N/A Requesting Data...4267611593</v>
        <stp/>
        <stp>BDP|3395526204533990810</stp>
        <tr r="K846" s="2"/>
      </tp>
      <tp t="s">
        <v>#N/A Requesting Data...3500952141</v>
        <stp/>
        <stp>BDP|1011134499554075074</stp>
        <tr r="K280" s="2"/>
      </tp>
      <tp t="s">
        <v>#N/A Requesting Data...3226320087</v>
        <stp/>
        <stp>BDP|3840994442762903174</stp>
        <tr r="G2052" s="2"/>
      </tp>
      <tp t="s">
        <v>#N/A Requesting Data...3862273525</v>
        <stp/>
        <stp>BDP|6900732584581161522</stp>
        <tr r="O999" s="2"/>
      </tp>
      <tp t="s">
        <v>#N/A Requesting Data...3430127344</v>
        <stp/>
        <stp>BDP|3329171726248675595</stp>
        <tr r="N2341" s="2"/>
      </tp>
      <tp t="s">
        <v>#N/A Requesting Data...3280432995</v>
        <stp/>
        <stp>BDP|3394414728088470039</stp>
        <tr r="E2386" s="2"/>
      </tp>
      <tp t="s">
        <v>#N/A Requesting Data...3690846322</v>
        <stp/>
        <stp>BDP|4934826477374777263</stp>
        <tr r="F1130" s="2"/>
      </tp>
      <tp t="s">
        <v>#N/A Requesting Data...3480203171</v>
        <stp/>
        <stp>BDP|9539764320101928076</stp>
        <tr r="M1337" s="2"/>
      </tp>
      <tp t="s">
        <v>#N/A Requesting Data...3403226666</v>
        <stp/>
        <stp>BDP|1703470032358835372</stp>
        <tr r="E2132" s="2"/>
      </tp>
      <tp t="s">
        <v>#N/A Requesting Data...3359570683</v>
        <stp/>
        <stp>BDP|3258220439519522610</stp>
        <tr r="Q431" s="2"/>
      </tp>
      <tp t="s">
        <v>#N/A Requesting Data...3863877759</v>
        <stp/>
        <stp>BDP|1237082671542196978</stp>
        <tr r="O367" s="2"/>
      </tp>
      <tp t="s">
        <v>#N/A Requesting Data...3717882208</v>
        <stp/>
        <stp>BDP|9743891654161030872</stp>
        <tr r="Q1923" s="2"/>
      </tp>
      <tp t="s">
        <v>#N/A Requesting Data...4204212233</v>
        <stp/>
        <stp>BDP|7655004899662750157</stp>
        <tr r="A1242" s="2"/>
      </tp>
      <tp t="s">
        <v>#N/A Requesting Data...4118581265</v>
        <stp/>
        <stp>BDP|6957806511632244075</stp>
        <tr r="Q2272" s="2"/>
      </tp>
      <tp t="s">
        <v>#N/A Requesting Data...3941990019</v>
        <stp/>
        <stp>BDP|8622249268403180263</stp>
        <tr r="G2333" s="2"/>
      </tp>
      <tp t="b">
        <v>0</v>
        <stp/>
        <stp>BDS|8343178521340812609</stp>
        <tr r="I1671" s="2"/>
      </tp>
      <tp t="s">
        <v>#N/A Requesting Data...4106870339</v>
        <stp/>
        <stp>BDP|5769702088503728457</stp>
        <tr r="T1806" s="2"/>
      </tp>
      <tp t="s">
        <v>#N/A Requesting Data...3656754165</v>
        <stp/>
        <stp>BDP|6697063508993728825</stp>
        <tr r="P1526" s="2"/>
      </tp>
      <tp t="s">
        <v>#N/A Requesting Data...3396242930</v>
        <stp/>
        <stp>BDP|1355126049051708827</stp>
        <tr r="H973" s="2"/>
      </tp>
      <tp t="s">
        <v>#N/A Requesting Data...3352223154</v>
        <stp/>
        <stp>BDP|7396482619999953663</stp>
        <tr r="N1152" s="2"/>
      </tp>
      <tp t="s">
        <v>#N/A Requesting Data...3620900671</v>
        <stp/>
        <stp>BDP|7262801133271533091</stp>
        <tr r="Q2151" s="2"/>
      </tp>
      <tp t="s">
        <v>#N/A Requesting Data...4033417872</v>
        <stp/>
        <stp>BDP|3936770641539081429</stp>
        <tr r="T2079" s="2"/>
      </tp>
      <tp t="s">
        <v>#N/A Requesting Data...3417943331</v>
        <stp/>
        <stp>BDP|7970125606658640367</stp>
        <tr r="S1855" s="2"/>
      </tp>
      <tp t="s">
        <v>#N/A Requesting Data...3571177853</v>
        <stp/>
        <stp>BDP|4965281899761367361</stp>
        <tr r="N1950" s="2"/>
      </tp>
      <tp t="s">
        <v>#N/A Requesting Data...3310163720</v>
        <stp/>
        <stp>BDP|1462304740343809816</stp>
        <tr r="J639" s="2"/>
      </tp>
      <tp t="s">
        <v>#N/A Requesting Data...3527991407</v>
        <stp/>
        <stp>BDP|3936525401142632912</stp>
        <tr r="C1969" s="2"/>
      </tp>
      <tp t="s">
        <v>#N/A Requesting Data...4074369223</v>
        <stp/>
        <stp>BDP|8969186433425659297</stp>
        <tr r="J1631" s="2"/>
      </tp>
      <tp t="s">
        <v>#N/A Requesting Data...4151858345</v>
        <stp/>
        <stp>BDP|2287099308859796696</stp>
        <tr r="A1576" s="2"/>
      </tp>
      <tp t="s">
        <v>#N/A Requesting Data...3455980753</v>
        <stp/>
        <stp>BDP|4914691688205320266</stp>
        <tr r="O510" s="2"/>
      </tp>
      <tp t="s">
        <v>#N/A Requesting Data...3413400918</v>
        <stp/>
        <stp>BDP|8081340689218789674</stp>
        <tr r="J1545" s="2"/>
      </tp>
      <tp t="s">
        <v>#N/A Requesting Data...4055941687</v>
        <stp/>
        <stp>BDP|8879411531226574405</stp>
        <tr r="S2531" s="2"/>
      </tp>
      <tp t="s">
        <v>#N/A Requesting Data...3682675679</v>
        <stp/>
        <stp>BDP|4393574996466987367</stp>
        <tr r="G1909" s="2"/>
      </tp>
      <tp t="s">
        <v>#N/A Requesting Data...3517515327</v>
        <stp/>
        <stp>BDP|6864168788730144254</stp>
        <tr r="J2424" s="2"/>
      </tp>
      <tp t="s">
        <v>#N/A Requesting Data...4107851315</v>
        <stp/>
        <stp>BDP|5046060736728122338</stp>
        <tr r="T2319" s="2"/>
      </tp>
      <tp t="s">
        <v>#N/A Requesting Data...3381118214</v>
        <stp/>
        <stp>BDP|6185419317119386761</stp>
        <tr r="F1673" s="2"/>
      </tp>
      <tp t="s">
        <v>#N/A Requesting Data...3328325042</v>
        <stp/>
        <stp>BDP|5970895902821178114</stp>
        <tr r="N346" s="2"/>
      </tp>
      <tp t="s">
        <v>#N/A Requesting Data...3984057651</v>
        <stp/>
        <stp>BDP|3854384873529092314</stp>
        <tr r="A1040" s="2"/>
      </tp>
      <tp t="s">
        <v>#N/A Requesting Data...3463449878</v>
        <stp/>
        <stp>BDP|9242083048686711679</stp>
        <tr r="S331" s="2"/>
      </tp>
      <tp t="s">
        <v>#N/A Requesting Data...4090775234</v>
        <stp/>
        <stp>BDP|4556529912715479834</stp>
        <tr r="F382" s="2"/>
      </tp>
      <tp t="s">
        <v>#N/A Requesting Data...3782011776</v>
        <stp/>
        <stp>BDP|7993932791202863817</stp>
        <tr r="K1602" s="2"/>
      </tp>
      <tp t="s">
        <v>#N/A Requesting Data...3758030445</v>
        <stp/>
        <stp>BDP|4647295652248795682</stp>
        <tr r="H255" s="2"/>
      </tp>
      <tp t="s">
        <v>#N/A Requesting Data...3598397280</v>
        <stp/>
        <stp>BDP|4699200314189572357</stp>
        <tr r="J2301" s="2"/>
      </tp>
      <tp t="s">
        <v>#N/A Requesting Data...3767684415</v>
        <stp/>
        <stp>BDP|8940472233353647199</stp>
        <tr r="R2210" s="2"/>
      </tp>
      <tp t="s">
        <v>#N/A Requesting Data...3526591286</v>
        <stp/>
        <stp>BDP|9138381742573975008</stp>
        <tr r="H647" s="2"/>
      </tp>
      <tp t="s">
        <v>#N/A Requesting Data...3638513446</v>
        <stp/>
        <stp>BDP|9055048334127300017</stp>
        <tr r="N2181" s="2"/>
      </tp>
      <tp t="s">
        <v>#N/A Requesting Data...4082335637</v>
        <stp/>
        <stp>BDP|4682991042365661197</stp>
        <tr r="J1334" s="2"/>
      </tp>
      <tp t="s">
        <v>#N/A Requesting Data...3771462810</v>
        <stp/>
        <stp>BDP|2245456397074691640</stp>
        <tr r="P501" s="2"/>
      </tp>
      <tp t="s">
        <v>#N/A Requesting Data...4038937773</v>
        <stp/>
        <stp>BDP|7391075895685331602</stp>
        <tr r="N1478" s="2"/>
      </tp>
      <tp t="s">
        <v>#N/A Requesting Data...4029958015</v>
        <stp/>
        <stp>BDP|3903908112983932509</stp>
        <tr r="E1384" s="2"/>
      </tp>
      <tp t="s">
        <v>#N/A Requesting Data...3770252390</v>
        <stp/>
        <stp>BDP|9754020901864723014</stp>
        <tr r="K746" s="2"/>
      </tp>
      <tp t="s">
        <v>#N/A Requesting Data...3429801055</v>
        <stp/>
        <stp>BDP|9214713010473499154</stp>
        <tr r="P1108" s="2"/>
      </tp>
      <tp t="s">
        <v>#N/A Requesting Data...4156855330</v>
        <stp/>
        <stp>BDP|4191996138440453364</stp>
        <tr r="E418" s="2"/>
      </tp>
      <tp t="s">
        <v>#N/A Requesting Data...3362605280</v>
        <stp/>
        <stp>BDP|7892119208812240916</stp>
        <tr r="A1070" s="2"/>
      </tp>
      <tp t="s">
        <v>#N/A Requesting Data...4146461624</v>
        <stp/>
        <stp>BDP|7433458156812010958</stp>
        <tr r="D887" s="2"/>
      </tp>
      <tp t="s">
        <v>#N/A Requesting Data...4029658735</v>
        <stp/>
        <stp>BDP|1689536981087374653</stp>
        <tr r="O1186" s="2"/>
      </tp>
      <tp t="s">
        <v>#N/A Requesting Data...3351134051</v>
        <stp/>
        <stp>BDP|3376418483084545661</stp>
        <tr r="Q585" s="2"/>
      </tp>
      <tp t="s">
        <v>#N/A Requesting Data...3479495009</v>
        <stp/>
        <stp>BDP|4437524780555291166</stp>
        <tr r="S162" s="2"/>
      </tp>
      <tp t="s">
        <v>#N/A Requesting Data...3970194958</v>
        <stp/>
        <stp>BDP|5711446120747990984</stp>
        <tr r="P481" s="2"/>
      </tp>
      <tp t="b">
        <v>0</v>
        <stp/>
        <stp>BDS|8667024285909031436</stp>
        <tr r="I202" s="2"/>
      </tp>
      <tp t="s">
        <v>#N/A Requesting Data...3787242596</v>
        <stp/>
        <stp>BDP|6397868571255584136</stp>
        <tr r="H1123" s="2"/>
      </tp>
      <tp t="s">
        <v>#N/A Requesting Data...3588697212</v>
        <stp/>
        <stp>BDP|8788915324886300838</stp>
        <tr r="T879" s="2"/>
      </tp>
      <tp t="s">
        <v>#N/A Requesting Data...4120409367</v>
        <stp/>
        <stp>BDP|5013489093275059092</stp>
        <tr r="Q2466" s="2"/>
      </tp>
      <tp t="s">
        <v>#N/A Requesting Data...3810240850</v>
        <stp/>
        <stp>BDP|8842947998026066368</stp>
        <tr r="M1558" s="2"/>
      </tp>
      <tp t="s">
        <v>#N/A Requesting Data...3839172806</v>
        <stp/>
        <stp>BDP|1765458844765633927</stp>
        <tr r="G79" s="2"/>
      </tp>
      <tp t="s">
        <v>#N/A Requesting Data...4264150822</v>
        <stp/>
        <stp>BDP|7178738791255273137</stp>
        <tr r="R817" s="2"/>
      </tp>
      <tp t="s">
        <v>#N/A Requesting Data...3819055130</v>
        <stp/>
        <stp>BDP|8914072141992905347</stp>
        <tr r="S1603" s="2"/>
      </tp>
      <tp t="b">
        <v>0</v>
        <stp/>
        <stp>BDS|8772138110602779710</stp>
        <tr r="I332" s="2"/>
      </tp>
      <tp t="s">
        <v>#N/A Requesting Data...4016306770</v>
        <stp/>
        <stp>BDP|1916671673225686896</stp>
        <tr r="R2029" s="2"/>
      </tp>
      <tp t="s">
        <v>#N/A Requesting Data...3455520392</v>
        <stp/>
        <stp>BDP|8254064825196553169</stp>
        <tr r="N2390" s="2"/>
      </tp>
      <tp t="s">
        <v>#N/A Requesting Data...3910855308</v>
        <stp/>
        <stp>BDP|1186040100895193965</stp>
        <tr r="C546" s="2"/>
      </tp>
      <tp t="s">
        <v>#N/A Requesting Data...4049444517</v>
        <stp/>
        <stp>BDP|1797913650592176254</stp>
        <tr r="G1036" s="2"/>
      </tp>
      <tp t="s">
        <v>#N/A Requesting Data...4006327837</v>
        <stp/>
        <stp>BDP|5262653972469387045</stp>
        <tr r="C1235" s="2"/>
      </tp>
      <tp t="b">
        <v>0</v>
        <stp/>
        <stp>BDS|4174439987787577222</stp>
        <tr r="I2175" s="2"/>
      </tp>
      <tp t="s">
        <v>#N/A Requesting Data...3397573384</v>
        <stp/>
        <stp>BDP|2612715333238718318</stp>
        <tr r="C2279" s="2"/>
      </tp>
      <tp t="s">
        <v>#N/A Requesting Data...3583368821</v>
        <stp/>
        <stp>BDP|9510736789952534983</stp>
        <tr r="D2040" s="2"/>
      </tp>
      <tp t="s">
        <v>#N/A Requesting Data...3846956512</v>
        <stp/>
        <stp>BDP|5405008716919460049</stp>
        <tr r="S2193" s="2"/>
      </tp>
      <tp t="s">
        <v>#N/A Requesting Data...4193544408</v>
        <stp/>
        <stp>BDP|5515917001928599928</stp>
        <tr r="G1965" s="2"/>
      </tp>
      <tp t="s">
        <v>#N/A Requesting Data...4267650450</v>
        <stp/>
        <stp>BDP|5591055350288155535</stp>
        <tr r="C1706" s="2"/>
      </tp>
      <tp t="s">
        <v>#N/A Requesting Data...3515381326</v>
        <stp/>
        <stp>BDP|4187167232072299958</stp>
        <tr r="E597" s="2"/>
      </tp>
      <tp t="b">
        <v>0</v>
        <stp/>
        <stp>BDS|8693445046974131174</stp>
        <tr r="I1108" s="2"/>
      </tp>
      <tp t="s">
        <v>#N/A Requesting Data...3886118719</v>
        <stp/>
        <stp>BDP|9786044170907451451</stp>
        <tr r="J2416" s="2"/>
      </tp>
      <tp t="s">
        <v>#N/A Requesting Data...3415157451</v>
        <stp/>
        <stp>BDP|6466879452916220015</stp>
        <tr r="T1673" s="2"/>
      </tp>
      <tp t="s">
        <v>#N/A Requesting Data...3892557662</v>
        <stp/>
        <stp>BDP|7855228392945851420</stp>
        <tr r="F2416" s="2"/>
      </tp>
      <tp t="s">
        <v>#N/A Requesting Data...4142679183</v>
        <stp/>
        <stp>BDP|7018729490326420248</stp>
        <tr r="O1512" s="2"/>
      </tp>
      <tp t="s">
        <v>#N/A Requesting Data...3923396929</v>
        <stp/>
        <stp>BDP|9128246738703801672</stp>
        <tr r="C1574" s="2"/>
      </tp>
      <tp t="s">
        <v>#N/A Requesting Data...3992107296</v>
        <stp/>
        <stp>BDP|1879052903749452587</stp>
        <tr r="M839" s="2"/>
      </tp>
      <tp t="s">
        <v>#N/A Requesting Data...3807336271</v>
        <stp/>
        <stp>BDP|6257870845773309412</stp>
        <tr r="P1116" s="2"/>
      </tp>
      <tp t="s">
        <v>#N/A Requesting Data...4226763405</v>
        <stp/>
        <stp>BDP|8114293772865936519</stp>
        <tr r="K724" s="2"/>
      </tp>
      <tp t="s">
        <v>#N/A Requesting Data...3499407262</v>
        <stp/>
        <stp>BDP|3642987954136966414</stp>
        <tr r="Q697" s="2"/>
      </tp>
      <tp t="s">
        <v>#N/A Requesting Data...3882509614</v>
        <stp/>
        <stp>BDP|6038131719203076887</stp>
        <tr r="Q1944" s="2"/>
      </tp>
      <tp t="s">
        <v>#N/A Requesting Data...3626815763</v>
        <stp/>
        <stp>BDP|6110722529279119790</stp>
        <tr r="N1291" s="2"/>
      </tp>
      <tp t="s">
        <v>#N/A Requesting Data...3859303630</v>
        <stp/>
        <stp>BDP|4540163965298037645</stp>
        <tr r="K247" s="2"/>
      </tp>
      <tp t="s">
        <v>#N/A Requesting Data...4042225612</v>
        <stp/>
        <stp>BDP|4146039289120876118</stp>
        <tr r="H1720" s="2"/>
      </tp>
      <tp t="s">
        <v>#N/A Requesting Data...4077967256</v>
        <stp/>
        <stp>BDP|8418444501072078331</stp>
        <tr r="O1890" s="2"/>
      </tp>
      <tp t="s">
        <v>#N/A Requesting Data...3573986242</v>
        <stp/>
        <stp>BDP|4643230967065921895</stp>
        <tr r="O1308" s="2"/>
      </tp>
      <tp t="s">
        <v>#N/A Requesting Data...3483913392</v>
        <stp/>
        <stp>BDP|3771780986811241098</stp>
        <tr r="C1965" s="2"/>
      </tp>
      <tp t="b">
        <v>0</v>
        <stp/>
        <stp>BDS|3909540398360234250</stp>
        <tr r="I1364" s="2"/>
      </tp>
      <tp t="s">
        <v>#N/A Requesting Data...3858249464</v>
        <stp/>
        <stp>BDP|2201938093406271929</stp>
        <tr r="H1750" s="2"/>
      </tp>
      <tp t="s">
        <v>#N/A Requesting Data...3708085674</v>
        <stp/>
        <stp>BDP|8030683122706870702</stp>
        <tr r="K2212" s="2"/>
      </tp>
      <tp t="s">
        <v>#N/A Requesting Data...3818005530</v>
        <stp/>
        <stp>BDP|6803888116696099445</stp>
        <tr r="Q1478" s="2"/>
      </tp>
      <tp t="b">
        <v>0</v>
        <stp/>
        <stp>BDS|7176109063804079900</stp>
        <tr r="I410" s="2"/>
      </tp>
      <tp t="s">
        <v>#N/A Requesting Data...4051556114</v>
        <stp/>
        <stp>BDP|3781931250903529130</stp>
        <tr r="D1911" s="2"/>
      </tp>
      <tp t="s">
        <v>#N/A Requesting Data...3598571878</v>
        <stp/>
        <stp>BDP|6718842301344925790</stp>
        <tr r="S1274" s="2"/>
      </tp>
      <tp t="s">
        <v>#N/A Requesting Data...3572253521</v>
        <stp/>
        <stp>BDP|5263059746488407479</stp>
        <tr r="C387" s="2"/>
      </tp>
      <tp t="s">
        <v>#N/A Requesting Data...3548250159</v>
        <stp/>
        <stp>BDP|5753442840088928087</stp>
        <tr r="M2215" s="2"/>
      </tp>
      <tp t="s">
        <v>#N/A Requesting Data...4039549567</v>
        <stp/>
        <stp>BDP|2514258988212278789</stp>
        <tr r="G1726" s="2"/>
      </tp>
      <tp t="s">
        <v>#N/A Requesting Data...4235723102</v>
        <stp/>
        <stp>BDP|6317543441702247864</stp>
        <tr r="G922" s="2"/>
      </tp>
      <tp t="s">
        <v>#N/A Requesting Data...3962319414</v>
        <stp/>
        <stp>BDP|8553915626279236724</stp>
        <tr r="F484" s="2"/>
      </tp>
      <tp t="s">
        <v>#N/A Requesting Data...3736096067</v>
        <stp/>
        <stp>BDP|3456711780509201854</stp>
        <tr r="N2070" s="2"/>
      </tp>
      <tp t="s">
        <v>#N/A Requesting Data...4187858906</v>
        <stp/>
        <stp>BDP|6708562246123738925</stp>
        <tr r="M1038" s="2"/>
      </tp>
      <tp t="b">
        <v>0</v>
        <stp/>
        <stp>BDS|3690424447136737869</stp>
        <tr r="I1524" s="2"/>
      </tp>
      <tp t="s">
        <v>#N/A Requesting Data...4145434522</v>
        <stp/>
        <stp>BDP|8147126426033502527</stp>
        <tr r="E1252" s="2"/>
      </tp>
      <tp t="s">
        <v>#N/A Requesting Data...3875886288</v>
        <stp/>
        <stp>BDP|6209417898222056494</stp>
        <tr r="M1741" s="2"/>
      </tp>
      <tp t="s">
        <v>#N/A Requesting Data...3635387391</v>
        <stp/>
        <stp>BDP|8124414436770450200</stp>
        <tr r="F1652" s="2"/>
      </tp>
      <tp t="s">
        <v>#N/A Requesting Data...3612057464</v>
        <stp/>
        <stp>BDP|9745738125294636559</stp>
        <tr r="E1156" s="2"/>
      </tp>
      <tp t="s">
        <v>#N/A Requesting Data...3952625812</v>
        <stp/>
        <stp>BDP|4724893336255876723</stp>
        <tr r="K1772" s="2"/>
      </tp>
      <tp t="s">
        <v>#N/A Requesting Data...4285011442</v>
        <stp/>
        <stp>BDP|6066558533855552814</stp>
        <tr r="S1029" s="2"/>
      </tp>
      <tp t="s">
        <v>#N/A Requesting Data...4135726235</v>
        <stp/>
        <stp>BDP|7872087193343801094</stp>
        <tr r="F403" s="2"/>
      </tp>
      <tp t="s">
        <v>#N/A Requesting Data...3976677803</v>
        <stp/>
        <stp>BDP|6526320461376522814</stp>
        <tr r="Q1644" s="2"/>
      </tp>
      <tp t="b">
        <v>0</v>
        <stp/>
        <stp>BDS|8754232057160225230</stp>
        <tr r="I311" s="2"/>
      </tp>
      <tp t="s">
        <v>#N/A Requesting Data...3838467527</v>
        <stp/>
        <stp>BDP|7924093275718068577</stp>
        <tr r="T2357" s="2"/>
      </tp>
      <tp t="s">
        <v>#N/A Requesting Data...3519000526</v>
        <stp/>
        <stp>BDP|5931106094186940667</stp>
        <tr r="T357" s="2"/>
      </tp>
      <tp t="s">
        <v>#N/A Requesting Data...4060836693</v>
        <stp/>
        <stp>BDP|8468162131367154005</stp>
        <tr r="R1202" s="2"/>
      </tp>
      <tp t="s">
        <v>#N/A Requesting Data...4196311253</v>
        <stp/>
        <stp>BDP|4229824128650327394</stp>
        <tr r="D446" s="2"/>
      </tp>
      <tp t="b">
        <v>0</v>
        <stp/>
        <stp>BDS|7444349385791488028</stp>
        <tr r="I2521" s="2"/>
      </tp>
      <tp t="s">
        <v>#N/A Requesting Data...3538489819</v>
        <stp/>
        <stp>BDP|6095461582021622613</stp>
        <tr r="N646" s="2"/>
      </tp>
      <tp t="s">
        <v>#N/A Requesting Data...4177831247</v>
        <stp/>
        <stp>BDP|9614020736875345224</stp>
        <tr r="K1878" s="2"/>
      </tp>
      <tp t="s">
        <v>#N/A Requesting Data...3655690275</v>
        <stp/>
        <stp>BDP|5172168342654589938</stp>
        <tr r="F2507" s="2"/>
      </tp>
      <tp t="s">
        <v>#N/A Requesting Data...3728608387</v>
        <stp/>
        <stp>BDP|6174669781541759427</stp>
        <tr r="O1594" s="2"/>
      </tp>
      <tp t="s">
        <v>#N/A Requesting Data...3779531753</v>
        <stp/>
        <stp>BDP|2741442380505085603</stp>
        <tr r="P1321" s="2"/>
      </tp>
      <tp t="s">
        <v>#N/A Requesting Data...4082998144</v>
        <stp/>
        <stp>BDP|9240264727905664167</stp>
        <tr r="D1236" s="2"/>
      </tp>
      <tp t="s">
        <v>#N/A Requesting Data...3532452020</v>
        <stp/>
        <stp>BDP|1756316766149439079</stp>
        <tr r="A2376" s="2"/>
      </tp>
      <tp t="s">
        <v>#N/A Requesting Data...3867530219</v>
        <stp/>
        <stp>BDP|2608571584377026568</stp>
        <tr r="S426" s="2"/>
      </tp>
      <tp t="s">
        <v>#N/A Requesting Data...3783631061</v>
        <stp/>
        <stp>BDP|1575501822209440208</stp>
        <tr r="H47" s="2"/>
      </tp>
      <tp t="b">
        <v>0</v>
        <stp/>
        <stp>BDS|8992332645483904154</stp>
        <tr r="I1206" s="2"/>
      </tp>
      <tp t="s">
        <v>#N/A Requesting Data...3625585575</v>
        <stp/>
        <stp>BDP|2676869031247748350</stp>
        <tr r="K2243" s="2"/>
      </tp>
      <tp t="s">
        <v>#N/A Requesting Data...3825698118</v>
        <stp/>
        <stp>BDP|8168671813802124076</stp>
        <tr r="G1274" s="2"/>
      </tp>
      <tp t="s">
        <v>#N/A Requesting Data...3572228189</v>
        <stp/>
        <stp>BDP|8496305963261358170</stp>
        <tr r="S1041" s="2"/>
      </tp>
      <tp t="s">
        <v>#N/A Requesting Data...3811108972</v>
        <stp/>
        <stp>BDP|7163148681860451338</stp>
        <tr r="F1305" s="2"/>
      </tp>
      <tp t="s">
        <v>#N/A Requesting Data...3956653056</v>
        <stp/>
        <stp>BDP|2097924051732367137</stp>
        <tr r="N1625" s="2"/>
      </tp>
      <tp t="s">
        <v>#N/A Requesting Data...3585979145</v>
        <stp/>
        <stp>BDP|9761109480238635525</stp>
        <tr r="H2182" s="2"/>
      </tp>
      <tp t="s">
        <v>#N/A Requesting Data...3708971677</v>
        <stp/>
        <stp>BDP|7987266441575808950</stp>
        <tr r="Q2103" s="2"/>
      </tp>
      <tp t="b">
        <v>0</v>
        <stp/>
        <stp>BDS|9969409243434047097</stp>
        <tr r="I688" s="2"/>
      </tp>
      <tp t="s">
        <v>#N/A Requesting Data...4123705604</v>
        <stp/>
        <stp>BDP|1356859434021529645</stp>
        <tr r="O2530" s="2"/>
      </tp>
      <tp t="s">
        <v>#N/A Requesting Data...3591955579</v>
        <stp/>
        <stp>BDP|3898514960239244481</stp>
        <tr r="F1615" s="2"/>
      </tp>
      <tp t="s">
        <v>#N/A Requesting Data...3645314215</v>
        <stp/>
        <stp>BDP|1258401031003366838</stp>
        <tr r="P548" s="2"/>
      </tp>
      <tp t="s">
        <v>#N/A Requesting Data...3869526331</v>
        <stp/>
        <stp>BDP|2482457582387875481</stp>
        <tr r="P432" s="2"/>
      </tp>
      <tp t="s">
        <v>#N/A Requesting Data...3969309371</v>
        <stp/>
        <stp>BDP|7274751716378010429</stp>
        <tr r="N2416" s="2"/>
      </tp>
      <tp t="s">
        <v>#N/A Requesting Data...4192798151</v>
        <stp/>
        <stp>BDP|4956999822486533446</stp>
        <tr r="F2224" s="2"/>
      </tp>
      <tp t="s">
        <v>#N/A Requesting Data...3763452419</v>
        <stp/>
        <stp>BDP|5915390775065094965</stp>
        <tr r="M2272" s="2"/>
      </tp>
      <tp t="s">
        <v>#N/A Requesting Data...3930174652</v>
        <stp/>
        <stp>BDP|8755538521171055364</stp>
        <tr r="H234" s="2"/>
      </tp>
      <tp t="s">
        <v>#N/A Requesting Data...3978020804</v>
        <stp/>
        <stp>BDP|3220118906578512733</stp>
        <tr r="D510" s="2"/>
      </tp>
      <tp t="s">
        <v>#N/A Requesting Data...3721012312</v>
        <stp/>
        <stp>BDP|3272417311752383923</stp>
        <tr r="H1070" s="2"/>
      </tp>
      <tp t="s">
        <v>#N/A Requesting Data...3790112466</v>
        <stp/>
        <stp>BDP|5662730556433074909</stp>
        <tr r="J1107" s="2"/>
      </tp>
      <tp t="s">
        <v>#N/A Requesting Data...3909805822</v>
        <stp/>
        <stp>BDP|5977269847368236692</stp>
        <tr r="A2154" s="2"/>
      </tp>
      <tp t="s">
        <v>#N/A Requesting Data...3998221036</v>
        <stp/>
        <stp>BDP|2184852142640608330</stp>
        <tr r="Q2383" s="2"/>
      </tp>
      <tp t="s">
        <v>#N/A Requesting Data...3633135570</v>
        <stp/>
        <stp>BDP|8399028040937210605</stp>
        <tr r="H3" s="2"/>
      </tp>
      <tp t="s">
        <v>#N/A Requesting Data...4243336784</v>
        <stp/>
        <stp>BDP|6607507152963454834</stp>
        <tr r="T845" s="2"/>
      </tp>
      <tp t="s">
        <v>#N/A Requesting Data...4076689432</v>
        <stp/>
        <stp>BDP|9187068492328384554</stp>
        <tr r="K2406" s="2"/>
      </tp>
      <tp t="s">
        <v>#N/A Requesting Data...4211186132</v>
        <stp/>
        <stp>BDP|1957006509559007539</stp>
        <tr r="D1598" s="2"/>
      </tp>
      <tp t="s">
        <v>#N/A Requesting Data...4262749320</v>
        <stp/>
        <stp>BDP|3926449058566231942</stp>
        <tr r="H829" s="2"/>
      </tp>
      <tp t="s">
        <v>#N/A Requesting Data...3678501374</v>
        <stp/>
        <stp>BDP|5699656297706065171</stp>
        <tr r="S2039" s="2"/>
      </tp>
      <tp t="s">
        <v>#N/A Requesting Data...3726253293</v>
        <stp/>
        <stp>BDP|7947887563387072318</stp>
        <tr r="P2156" s="2"/>
      </tp>
      <tp t="s">
        <v>#N/A Requesting Data...4193596466</v>
        <stp/>
        <stp>BDP|8799717350260354766</stp>
        <tr r="S1387" s="2"/>
      </tp>
      <tp t="s">
        <v>#N/A Requesting Data...3991432479</v>
        <stp/>
        <stp>BDP|9366462876311986690</stp>
        <tr r="N1526" s="2"/>
      </tp>
      <tp t="s">
        <v>#N/A Requesting Data...3761095383</v>
        <stp/>
        <stp>BDP|1590391250703929962</stp>
        <tr r="C1233" s="2"/>
      </tp>
      <tp t="s">
        <v>#N/A Requesting Data...4166190671</v>
        <stp/>
        <stp>BDP|4117814557895560114</stp>
        <tr r="G140" s="2"/>
      </tp>
      <tp t="s">
        <v>#N/A Requesting Data...3850057302</v>
        <stp/>
        <stp>BDP|1564890530035986260</stp>
        <tr r="O1272" s="2"/>
      </tp>
      <tp t="s">
        <v>#N/A Requesting Data...3675664239</v>
        <stp/>
        <stp>BDP|9694559086508291142</stp>
        <tr r="E1344" s="2"/>
      </tp>
      <tp t="s">
        <v>#N/A Requesting Data...3922934028</v>
        <stp/>
        <stp>BDP|8087462930401413311</stp>
        <tr r="T694" s="2"/>
      </tp>
      <tp t="s">
        <v>#N/A Requesting Data...4081501089</v>
        <stp/>
        <stp>BDP|8953868898264099047</stp>
        <tr r="T1859" s="2"/>
      </tp>
      <tp t="s">
        <v>#N/A Requesting Data...3821488161</v>
        <stp/>
        <stp>BDP|4009156399392845370</stp>
        <tr r="M867" s="2"/>
      </tp>
      <tp t="s">
        <v>#N/A Requesting Data...3985044431</v>
        <stp/>
        <stp>BDP|1748957936127708103</stp>
        <tr r="S1270" s="2"/>
      </tp>
      <tp t="s">
        <v>#N/A Requesting Data...4247832067</v>
        <stp/>
        <stp>BDP|4678370389196866430</stp>
        <tr r="M586" s="2"/>
      </tp>
      <tp t="s">
        <v>#N/A Requesting Data...3928314017</v>
        <stp/>
        <stp>BDP|3812899537972075756</stp>
        <tr r="S224" s="2"/>
      </tp>
      <tp t="s">
        <v>#N/A Requesting Data...4065780552</v>
        <stp/>
        <stp>BDP|3853292183227331326</stp>
        <tr r="C2369" s="2"/>
      </tp>
      <tp t="s">
        <v>#N/A Requesting Data...4126471567</v>
        <stp/>
        <stp>BDP|1823059877928074395</stp>
        <tr r="G1748" s="2"/>
      </tp>
      <tp t="s">
        <v>#N/A Requesting Data...3938126336</v>
        <stp/>
        <stp>BDP|1981463159564568908</stp>
        <tr r="M2008" s="2"/>
      </tp>
      <tp t="b">
        <v>0</v>
        <stp/>
        <stp>BDS|9512941882042737770</stp>
        <tr r="I960" s="2"/>
      </tp>
      <tp t="s">
        <v>#N/A Requesting Data...4027539440</v>
        <stp/>
        <stp>BDP|7914120149317290838</stp>
        <tr r="A1106" s="2"/>
      </tp>
      <tp t="s">
        <v>#N/A Requesting Data...3709027722</v>
        <stp/>
        <stp>BDP|9584479063495320314</stp>
        <tr r="F509" s="2"/>
      </tp>
      <tp t="s">
        <v>#N/A Requesting Data...3708856187</v>
        <stp/>
        <stp>BDP|8202975830767254844</stp>
        <tr r="K1843" s="2"/>
      </tp>
      <tp t="s">
        <v>#N/A Requesting Data...4070558711</v>
        <stp/>
        <stp>BDP|5334328419978261296</stp>
        <tr r="J2045" s="2"/>
      </tp>
      <tp t="s">
        <v>#N/A Requesting Data...3857647728</v>
        <stp/>
        <stp>BDP|9806072231461955641</stp>
        <tr r="O630" s="2"/>
      </tp>
      <tp t="s">
        <v>#N/A Requesting Data...3737605500</v>
        <stp/>
        <stp>BDP|9375546907951429078</stp>
        <tr r="J211" s="2"/>
      </tp>
      <tp t="s">
        <v>#N/A Requesting Data...4218319138</v>
        <stp/>
        <stp>BDP|4803190356879295463</stp>
        <tr r="F2192" s="2"/>
      </tp>
      <tp t="s">
        <v>#N/A Requesting Data...4290445847</v>
        <stp/>
        <stp>BDP|8552136593754529934</stp>
        <tr r="A1165" s="2"/>
      </tp>
      <tp t="s">
        <v>#N/A Requesting Data...3700321813</v>
        <stp/>
        <stp>BDP|6169957015370228305</stp>
        <tr r="N1502" s="2"/>
      </tp>
      <tp t="s">
        <v>#N/A Requesting Data...4142002641</v>
        <stp/>
        <stp>BDP|7211834020926202609</stp>
        <tr r="E475" s="2"/>
      </tp>
      <tp t="s">
        <v>#N/A Requesting Data...4110063695</v>
        <stp/>
        <stp>BDP|8637368263955032504</stp>
        <tr r="H173" s="2"/>
      </tp>
      <tp t="b">
        <v>0</v>
        <stp/>
        <stp>BDS|4843981517535016447</stp>
        <tr r="I2005" s="2"/>
      </tp>
      <tp t="s">
        <v>#N/A Requesting Data...4217634425</v>
        <stp/>
        <stp>BDP|3858153351239996368</stp>
        <tr r="A2083" s="2"/>
      </tp>
      <tp t="s">
        <v>#N/A Requesting Data...4052547713</v>
        <stp/>
        <stp>BDP|9345651227318168835</stp>
        <tr r="Q1666" s="2"/>
      </tp>
      <tp t="s">
        <v>#N/A Requesting Data...3805113967</v>
        <stp/>
        <stp>BDP|1656922254132758246</stp>
        <tr r="G1002" s="2"/>
      </tp>
      <tp t="s">
        <v>#N/A Requesting Data...3970043973</v>
        <stp/>
        <stp>BDP|2046911923982487650</stp>
        <tr r="G858" s="2"/>
      </tp>
      <tp t="s">
        <v>#N/A Requesting Data...4059181526</v>
        <stp/>
        <stp>BDP|9383817942289290110</stp>
        <tr r="A1527" s="2"/>
      </tp>
      <tp t="s">
        <v>#N/A Requesting Data...3852784374</v>
        <stp/>
        <stp>BDP|8616886214135854917</stp>
        <tr r="H138" s="2"/>
      </tp>
      <tp t="s">
        <v>#N/A Requesting Data...4250040432</v>
        <stp/>
        <stp>BDP|3469214392020215567</stp>
        <tr r="H190" s="2"/>
      </tp>
      <tp t="s">
        <v>#N/A Requesting Data...3778340152</v>
        <stp/>
        <stp>BDP|5068387973195925916</stp>
        <tr r="E1088" s="2"/>
      </tp>
      <tp t="s">
        <v>#N/A Requesting Data...4169536269</v>
        <stp/>
        <stp>BDP|8298674645611090636</stp>
        <tr r="M385" s="2"/>
      </tp>
      <tp t="s">
        <v>#N/A Requesting Data...4068320941</v>
        <stp/>
        <stp>BDP|6314324812419655060</stp>
        <tr r="P1878" s="2"/>
      </tp>
      <tp t="s">
        <v>#N/A Requesting Data...3980941550</v>
        <stp/>
        <stp>BDP|7884572094880857603</stp>
        <tr r="F1048" s="2"/>
      </tp>
      <tp t="s">
        <v>#N/A Requesting Data...4241587098</v>
        <stp/>
        <stp>BDP|3557568480925906693</stp>
        <tr r="S2036" s="2"/>
      </tp>
      <tp t="b">
        <v>0</v>
        <stp/>
        <stp>BDS|2490553010143373818</stp>
        <tr r="I1673" s="2"/>
      </tp>
      <tp t="s">
        <v>#N/A Requesting Data...4106781281</v>
        <stp/>
        <stp>BDP|9869746953754845244</stp>
        <tr r="S2324" s="2"/>
      </tp>
      <tp t="s">
        <v>#N/A Requesting Data...3751591012</v>
        <stp/>
        <stp>BDP|6713222713188422017</stp>
        <tr r="J2350" s="2"/>
      </tp>
      <tp t="s">
        <v>#N/A Requesting Data...4172119537</v>
        <stp/>
        <stp>BDP|8840799167593092756</stp>
        <tr r="F1957" s="2"/>
      </tp>
      <tp t="s">
        <v>#N/A Requesting Data...3923019783</v>
        <stp/>
        <stp>BDP|5012571173252052871</stp>
        <tr r="Q1187" s="2"/>
      </tp>
      <tp t="s">
        <v>#N/A Requesting Data...3873679880</v>
        <stp/>
        <stp>BDP|2454348876698386365</stp>
        <tr r="D3" s="2"/>
      </tp>
      <tp t="s">
        <v>#N/A Requesting Data...4006482443</v>
        <stp/>
        <stp>BDP|2755044840139444242</stp>
        <tr r="T287" s="2"/>
      </tp>
      <tp t="s">
        <v>#N/A Requesting Data...4149267206</v>
        <stp/>
        <stp>BDP|6982693134606789803</stp>
        <tr r="K1640" s="2"/>
      </tp>
      <tp t="s">
        <v>#N/A Requesting Data...3795507195</v>
        <stp/>
        <stp>BDP|1609796025840379990</stp>
        <tr r="P56" s="2"/>
      </tp>
      <tp t="s">
        <v>#N/A Requesting Data...4129327330</v>
        <stp/>
        <stp>BDP|1296932652037555767</stp>
        <tr r="T2510" s="2"/>
      </tp>
      <tp t="s">
        <v>#N/A Requesting Data...3914602058</v>
        <stp/>
        <stp>BDP|5477942008482809308</stp>
        <tr r="Q1177" s="2"/>
      </tp>
      <tp t="s">
        <v>#N/A Requesting Data...4176807722</v>
        <stp/>
        <stp>BDP|2557255535249021759</stp>
        <tr r="D1277" s="2"/>
      </tp>
      <tp t="s">
        <v>#N/A Requesting Data...3794820574</v>
        <stp/>
        <stp>BDP|4773534124518162619</stp>
        <tr r="K1550" s="2"/>
      </tp>
      <tp t="s">
        <v>#N/A Requesting Data...4128378895</v>
        <stp/>
        <stp>BDP|6404487989890729724</stp>
        <tr r="P820" s="2"/>
      </tp>
      <tp t="s">
        <v>#N/A Requesting Data...3830217906</v>
        <stp/>
        <stp>BDP|1945726186533478099</stp>
        <tr r="D111" s="2"/>
      </tp>
      <tp t="s">
        <v>#N/A Requesting Data...4073924976</v>
        <stp/>
        <stp>BDP|1601593297258886801</stp>
        <tr r="K524" s="2"/>
      </tp>
      <tp t="s">
        <v>#N/A Requesting Data...4079846731</v>
        <stp/>
        <stp>BDP|2053920024035751118</stp>
        <tr r="F957" s="2"/>
      </tp>
      <tp t="b">
        <v>0</v>
        <stp/>
        <stp>BDS|8305073380304534918</stp>
        <tr r="I61" s="2"/>
      </tp>
      <tp t="s">
        <v>#N/A Requesting Data...3995763272</v>
        <stp/>
        <stp>BDP|2761864964539785827</stp>
        <tr r="T1831" s="2"/>
      </tp>
      <tp t="s">
        <v>#N/A Requesting Data...3927479277</v>
        <stp/>
        <stp>BDP|8351514937736185546</stp>
        <tr r="F941" s="2"/>
      </tp>
      <tp t="s">
        <v>#N/A Requesting Data...3874707025</v>
        <stp/>
        <stp>BDP|3186251931037394868</stp>
        <tr r="F1272" s="2"/>
      </tp>
      <tp t="s">
        <v>#N/A Requesting Data...4291275487</v>
        <stp/>
        <stp>BDP|4697986206449958916</stp>
        <tr r="K732" s="2"/>
      </tp>
      <tp t="s">
        <v>#N/A Requesting Data...4231172868</v>
        <stp/>
        <stp>BDP|2761221006174593964</stp>
        <tr r="K2334" s="2"/>
      </tp>
      <tp t="s">
        <v>#N/A Requesting Data...4219743406</v>
        <stp/>
        <stp>BDP|9039548853752255652</stp>
        <tr r="J1510" s="2"/>
      </tp>
      <tp t="s">
        <v>#N/A Requesting Data...3879260758</v>
        <stp/>
        <stp>BDP|1440606767985712941</stp>
        <tr r="R1128" s="2"/>
      </tp>
      <tp t="s">
        <v>#N/A Requesting Data...3997850947</v>
        <stp/>
        <stp>BDP|7408661735906202953</stp>
        <tr r="S1302" s="2"/>
      </tp>
      <tp t="s">
        <v>#N/A Requesting Data...3845996399</v>
        <stp/>
        <stp>BDP|6687251259398255484</stp>
        <tr r="T1480" s="2"/>
      </tp>
      <tp t="s">
        <v>#N/A Requesting Data...4016939323</v>
        <stp/>
        <stp>BDP|1491943574761349372</stp>
        <tr r="E1153" s="2"/>
      </tp>
      <tp t="s">
        <v>#N/A Requesting Data...3875381180</v>
        <stp/>
        <stp>BDP|6635211644855363806</stp>
        <tr r="R2198" s="2"/>
      </tp>
      <tp t="b">
        <v>0</v>
        <stp/>
        <stp>BDS|5774428284016532245</stp>
        <tr r="I2449" s="2"/>
      </tp>
      <tp t="s">
        <v>#N/A Requesting Data...4100219118</v>
        <stp/>
        <stp>BDP|8072261925780133528</stp>
        <tr r="N273" s="2"/>
      </tp>
      <tp t="s">
        <v>#N/A Requesting Data...4235343768</v>
        <stp/>
        <stp>BDP|4441654058763886915</stp>
        <tr r="R1999" s="2"/>
      </tp>
      <tp t="s">
        <v>#N/A Requesting Data...4090183462</v>
        <stp/>
        <stp>BDP|1862611882986831437</stp>
        <tr r="K1828" s="2"/>
      </tp>
      <tp t="s">
        <v>#N/A Requesting Data...4238580236</v>
        <stp/>
        <stp>BDP|2669843103713011419</stp>
        <tr r="G1012" s="2"/>
      </tp>
      <tp t="b">
        <v>0</v>
        <stp/>
        <stp>BDS|6742827210200170248</stp>
        <tr r="I172" s="2"/>
      </tp>
      <tp t="s">
        <v>#N/A Requesting Data...3881009544</v>
        <stp/>
        <stp>BDP|5095914912901690150</stp>
        <tr r="C402" s="2"/>
      </tp>
      <tp t="s">
        <v>#N/A Requesting Data...3966890303</v>
        <stp/>
        <stp>BDP|2254910170968099938</stp>
        <tr r="C98" s="2"/>
      </tp>
      <tp t="s">
        <v>#N/A Requesting Data...4092297873</v>
        <stp/>
        <stp>BDP|4238359740076552822</stp>
        <tr r="G1514" s="2"/>
      </tp>
      <tp t="s">
        <v>#N/A Requesting Data...4194289001</v>
        <stp/>
        <stp>BDP|3216405416312028948</stp>
        <tr r="K662" s="2"/>
      </tp>
      <tp t="s">
        <v>#N/A Requesting Data...3916938292</v>
        <stp/>
        <stp>BDP|4501766609946268884</stp>
        <tr r="G612" s="2"/>
      </tp>
      <tp t="s">
        <v>#N/A Requesting Data...4131598025</v>
        <stp/>
        <stp>BDP|2300932023133196726</stp>
        <tr r="J1368" s="2"/>
      </tp>
      <tp t="s">
        <v>#N/A Requesting Data...3898017163</v>
        <stp/>
        <stp>BDP|3683300277343610976</stp>
        <tr r="J845" s="2"/>
      </tp>
      <tp t="s">
        <v>#N/A Requesting Data...3917491020</v>
        <stp/>
        <stp>BDP|6207751583361374579</stp>
        <tr r="J971" s="2"/>
      </tp>
      <tp t="s">
        <v>#N/A Requesting Data...4117977451</v>
        <stp/>
        <stp>BDP|9803415661707895107</stp>
        <tr r="F1366" s="2"/>
      </tp>
      <tp t="s">
        <v>#N/A Requesting Data...4054879925</v>
        <stp/>
        <stp>BDP|5983040649454343874</stp>
        <tr r="K1892" s="2"/>
      </tp>
      <tp t="b">
        <v>0</v>
        <stp/>
        <stp>BDS|4193955862107046166</stp>
        <tr r="I1844" s="2"/>
      </tp>
      <tp t="s">
        <v>#N/A Requesting Data...4064911810</v>
        <stp/>
        <stp>BDP|7670226863817206955</stp>
        <tr r="A2504" s="2"/>
      </tp>
      <tp t="s">
        <v>#N/A Requesting Data...4232275211</v>
        <stp/>
        <stp>BDP|8473618906327790449</stp>
        <tr r="Q568" s="2"/>
      </tp>
      <tp t="s">
        <v>#N/A Requesting Data...4146907868</v>
        <stp/>
        <stp>BDP|7663541965960538922</stp>
        <tr r="E1083" s="2"/>
      </tp>
      <tp t="s">
        <v>#N/A Requesting Data...4023608649</v>
        <stp/>
        <stp>BDP|7569849660112048615</stp>
        <tr r="A2067" s="2"/>
      </tp>
      <tp t="s">
        <v>#N/A Requesting Data...4024034886</v>
        <stp/>
        <stp>BDP|3401030080636615018</stp>
        <tr r="O743" s="2"/>
      </tp>
      <tp t="s">
        <v>#N/A Requesting Data...4197426917</v>
        <stp/>
        <stp>BDP|5343419296274111151</stp>
        <tr r="K566" s="2"/>
      </tp>
      <tp t="s">
        <v>#N/A Requesting Data...4141814012</v>
        <stp/>
        <stp>BDP|9866561908307788613</stp>
        <tr r="O2172" s="2"/>
      </tp>
      <tp t="s">
        <v>#N/A Requesting Data...4170621642</v>
        <stp/>
        <stp>BDP|8266101403531183505</stp>
        <tr r="C2113" s="2"/>
      </tp>
      <tp t="s">
        <v>#N/A Requesting Data...4123835716</v>
        <stp/>
        <stp>BDP|9691029651913379261</stp>
        <tr r="M1278" s="2"/>
      </tp>
      <tp t="s">
        <v>#N/A Requesting Data...4273658758</v>
        <stp/>
        <stp>BDP|9312596766682566598</stp>
        <tr r="C781" s="2"/>
      </tp>
      <tp t="s">
        <v>#N/A Requesting Data...4116186197</v>
        <stp/>
        <stp>BDP|5000538878982264899</stp>
        <tr r="E2084" s="2"/>
      </tp>
      <tp t="s">
        <v>#N/A Requesting Data...3920488202</v>
        <stp/>
        <stp>BDP|5630221120821054941</stp>
        <tr r="C329" s="2"/>
      </tp>
      <tp t="s">
        <v>#N/A Requesting Data...3998171090</v>
        <stp/>
        <stp>BDP|8219720852244657348</stp>
        <tr r="D2151" s="2"/>
      </tp>
      <tp t="s">
        <v>#N/A Requesting Data...4170286723</v>
        <stp/>
        <stp>BDP|9751186425240947734</stp>
        <tr r="O2100" s="2"/>
      </tp>
      <tp t="s">
        <v>#N/A Requesting Data...3961403738</v>
        <stp/>
        <stp>BDP|5052541221386125944</stp>
        <tr r="R425" s="2"/>
      </tp>
      <tp t="s">
        <v>#N/A Requesting Data...4235284163</v>
        <stp/>
        <stp>BDP|3910224978418142324</stp>
        <tr r="M545" s="2"/>
      </tp>
      <tp t="s">
        <v>#N/A Requesting Data...3991104719</v>
        <stp/>
        <stp>BDP|8797778057266449137</stp>
        <tr r="D1394" s="2"/>
      </tp>
      <tp t="s">
        <v>#N/A Requesting Data...4049068808</v>
        <stp/>
        <stp>BDP|3328090989642241413</stp>
        <tr r="Q1531" s="2"/>
      </tp>
      <tp t="s">
        <v>#N/A Requesting Data...4165636137</v>
        <stp/>
        <stp>BDP|4399688404206769986</stp>
        <tr r="K2419" s="2"/>
      </tp>
      <tp t="s">
        <v>#N/A Requesting Data...4152535489</v>
        <stp/>
        <stp>BDP|1762131736298609646</stp>
        <tr r="O317" s="2"/>
      </tp>
      <tp t="s">
        <v>#N/A Requesting Data...3945164919</v>
        <stp/>
        <stp>BDP|6230430436135441935</stp>
        <tr r="C1700" s="2"/>
      </tp>
      <tp t="b">
        <v>0</v>
        <stp/>
        <stp>BDS|9300850483721561501</stp>
        <tr r="I2506" s="2"/>
      </tp>
      <tp t="s">
        <v>#N/A Requesting Data...3942088850</v>
        <stp/>
        <stp>BDP|4213564725029207736</stp>
        <tr r="F2321" s="2"/>
      </tp>
      <tp t="s">
        <v>#N/A Requesting Data...4006793121</v>
        <stp/>
        <stp>BDP|9242066026442467463</stp>
        <tr r="A1495" s="2"/>
      </tp>
      <tp t="s">
        <v>#N/A Requesting Data...4172367029</v>
        <stp/>
        <stp>BDP|9415192513510830466</stp>
        <tr r="O772" s="2"/>
      </tp>
      <tp t="s">
        <v>#N/A Requesting Data...4011013216</v>
        <stp/>
        <stp>BDP|3548860032566062314</stp>
        <tr r="R1254" s="2"/>
      </tp>
      <tp t="b">
        <v>0</v>
        <stp/>
        <stp>BDS|3815986843355575663</stp>
        <tr r="I1462" s="2"/>
      </tp>
      <tp t="s">
        <v>#N/A Requesting Data...4257297564</v>
        <stp/>
        <stp>BDP|5937459289480645439</stp>
        <tr r="J1207" s="2"/>
      </tp>
      <tp t="s">
        <v>#N/A Requesting Data...4270470354</v>
        <stp/>
        <stp>BDP|2372726923508342213</stp>
        <tr r="G441" s="2"/>
      </tp>
      <tp t="s">
        <v>#N/A Requesting Data...4089744296</v>
        <stp/>
        <stp>BDP|3609684838799511230</stp>
        <tr r="O10" s="2"/>
      </tp>
      <tp t="s">
        <v>#N/A Requesting Data...4148248834</v>
        <stp/>
        <stp>BDP|4167836128425871626</stp>
        <tr r="J2013" s="2"/>
      </tp>
      <tp t="s">
        <v>#N/A Requesting Data...4156948739</v>
        <stp/>
        <stp>BDP|6193821825975019465</stp>
        <tr r="N2345" s="2"/>
      </tp>
      <tp t="s">
        <v>#N/A Requesting Data...4120902394</v>
        <stp/>
        <stp>BDP|6147979367463342728</stp>
        <tr r="N741" s="2"/>
      </tp>
      <tp t="s">
        <v>#N/A Requesting Data...4229156185</v>
        <stp/>
        <stp>BDP|4011516971728706375</stp>
        <tr r="K1367" s="2"/>
      </tp>
      <tp t="s">
        <v>#N/A Requesting Data...4211612637</v>
        <stp/>
        <stp>BDP|4217133366229148761</stp>
        <tr r="E1939" s="2"/>
      </tp>
      <tp t="s">
        <v>#N/A Requesting Data...4162738836</v>
        <stp/>
        <stp>BDP|2312414596475649720</stp>
        <tr r="T103" s="2"/>
      </tp>
      <tp t="s">
        <v>#N/A Requesting Data...4220836983</v>
        <stp/>
        <stp>BDP|2274443238301803963</stp>
        <tr r="N850" s="2"/>
      </tp>
      <tp t="b">
        <v>0</v>
        <stp/>
        <stp>BDS|6627933500075760720</stp>
        <tr r="I1049" s="2"/>
      </tp>
      <tp t="s">
        <v>#N/A Requesting Data...4186031247</v>
        <stp/>
        <stp>BDP|5223544793717252370</stp>
        <tr r="J2504" s="2"/>
      </tp>
      <tp t="s">
        <v>#N/A Requesting Data...4224821554</v>
        <stp/>
        <stp>BDP|1574129617485288926</stp>
        <tr r="H1557" s="2"/>
      </tp>
      <tp t="s">
        <v>#N/A Requesting Data...4242073494</v>
        <stp/>
        <stp>BDP|1680422210469588012</stp>
        <tr r="D1977" s="2"/>
      </tp>
      <tp t="s">
        <v>#N/A Requesting Data...4270567142</v>
        <stp/>
        <stp>BDP|3004665791165168466</stp>
        <tr r="K1789" s="2"/>
      </tp>
      <tp t="s">
        <v>#N/A Requesting Data...4063463454</v>
        <stp/>
        <stp>BDP|4338339604299359379</stp>
        <tr r="F579" s="2"/>
      </tp>
      <tp t="s">
        <v>#N/A Requesting Data...4120506581</v>
        <stp/>
        <stp>BDP|8188061328281696695</stp>
        <tr r="R1519" s="2"/>
      </tp>
      <tp t="s">
        <v>#N/A Requesting Data...4218236320</v>
        <stp/>
        <stp>BDP|4915904825644938657</stp>
        <tr r="C1714" s="2"/>
      </tp>
      <tp t="s">
        <v>#N/A Requesting Data...4066545090</v>
        <stp/>
        <stp>BDP|4962050098244207463</stp>
        <tr r="Q513" s="2"/>
      </tp>
      <tp t="s">
        <v>#N/A Requesting Data...4128295220</v>
        <stp/>
        <stp>BDP|1783793489061593225</stp>
        <tr r="S1886" s="2"/>
      </tp>
      <tp t="s">
        <v>#N/A Requesting Data...3991294934</v>
        <stp/>
        <stp>BDP|2140848355885664765</stp>
        <tr r="G1841" s="2"/>
      </tp>
      <tp t="s">
        <v>#N/A Requesting Data...4163081381</v>
        <stp/>
        <stp>BDP|8956698219240098291</stp>
        <tr r="O1360" s="2"/>
      </tp>
      <tp t="s">
        <v>#N/A Requesting Data...4250634520</v>
        <stp/>
        <stp>BDP|7600310196235809595</stp>
        <tr r="M1315" s="2"/>
      </tp>
      <tp t="s">
        <v>#N/A Requesting Data...4050887952</v>
        <stp/>
        <stp>BDP|1335174716478521477</stp>
        <tr r="N1662" s="2"/>
      </tp>
      <tp t="s">
        <v>#N/A Requesting Data...4161311345</v>
        <stp/>
        <stp>BDP|7737142505352023966</stp>
        <tr r="P587" s="2"/>
      </tp>
      <tp t="s">
        <v>#N/A Requesting Data...4243171885</v>
        <stp/>
        <stp>BDP|6771845575315113176</stp>
        <tr r="R311" s="2"/>
      </tp>
      <tp t="s">
        <v>#N/A Requesting Data...4087038984</v>
        <stp/>
        <stp>BDP|6805664281174926161</stp>
        <tr r="R1467" s="2"/>
      </tp>
      <tp t="s">
        <v>#N/A Requesting Data...4016436530</v>
        <stp/>
        <stp>BDP|8720597123346523482</stp>
        <tr r="M120" s="2"/>
      </tp>
      <tp t="s">
        <v>#N/A Requesting Data...4228739257</v>
        <stp/>
        <stp>BDP|2566901004010260637</stp>
        <tr r="N2094" s="2"/>
      </tp>
      <tp t="b">
        <v>0</v>
        <stp/>
        <stp>BDS|6215945266674970090</stp>
        <tr r="I806" s="2"/>
      </tp>
      <tp t="s">
        <v>#N/A Requesting Data...4212905036</v>
        <stp/>
        <stp>BDP|4607942760257534175</stp>
        <tr r="P713" s="2"/>
      </tp>
      <tp t="s">
        <v>#N/A Requesting Data...4029746044</v>
        <stp/>
        <stp>BDP|5711292536041022887</stp>
        <tr r="F609" s="2"/>
      </tp>
      <tp t="s">
        <v>#N/A Requesting Data...4138593438</v>
        <stp/>
        <stp>BDP|9187446662966375046</stp>
        <tr r="A140" s="2"/>
      </tp>
      <tp t="b">
        <v>0</v>
        <stp/>
        <stp>BDS|2367870856082748057</stp>
        <tr r="I2294" s="2"/>
      </tp>
      <tp t="s">
        <v>#N/A Requesting Data...4219190652</v>
        <stp/>
        <stp>BDP|1976550819110465816</stp>
        <tr r="Q2250" s="2"/>
      </tp>
      <tp t="s">
        <v>#N/A Requesting Data...4100377089</v>
        <stp/>
        <stp>BDP|5526737247679169203</stp>
        <tr r="R1641" s="2"/>
      </tp>
      <tp t="s">
        <v>#N/A Requesting Data...4216077025</v>
        <stp/>
        <stp>BDP|2125068284791149630</stp>
        <tr r="J864" s="2"/>
      </tp>
      <tp t="s">
        <v>#N/A Requesting Data...4171313582</v>
        <stp/>
        <stp>BDP|2000458582563213045</stp>
        <tr r="J2251" s="2"/>
      </tp>
      <tp t="s">
        <v>#N/A Requesting Data...4247685608</v>
        <stp/>
        <stp>BDP|8626369320541460551</stp>
        <tr r="J2384" s="2"/>
      </tp>
      <tp t="s">
        <v>#N/A Requesting Data...4265800172</v>
        <stp/>
        <stp>BDP|6291382072228931703</stp>
        <tr r="N1561" s="2"/>
      </tp>
      <tp t="b">
        <v>0</v>
        <stp/>
        <stp>BDS|3784940564020611103</stp>
        <tr r="I2067" s="2"/>
      </tp>
      <tp t="s">
        <v>#N/A Requesting Data...4102139698</v>
        <stp/>
        <stp>BDP|8694710085479050331</stp>
        <tr r="R1712" s="2"/>
      </tp>
      <tp t="s">
        <v>#N/A Requesting Data...4280763404</v>
        <stp/>
        <stp>BDP|5071032792885941490</stp>
        <tr r="H1925" s="2"/>
      </tp>
      <tp t="s">
        <v>#N/A Requesting Data...4253266719</v>
        <stp/>
        <stp>BDP|5105148889659960841</stp>
        <tr r="C1417" s="2"/>
      </tp>
      <tp t="s">
        <v>#N/A Requesting Data...4150192753</v>
        <stp/>
        <stp>BDP|1960444983725892575</stp>
        <tr r="R1628" s="2"/>
      </tp>
      <tp t="s">
        <v>#N/A Requesting Data...4278281965</v>
        <stp/>
        <stp>BDP|9879114677440961268</stp>
        <tr r="S197" s="2"/>
      </tp>
      <tp t="s">
        <v>#N/A Requesting Data...4265696584</v>
        <stp/>
        <stp>BDP|5671318588764686788</stp>
        <tr r="C2270" s="2"/>
      </tp>
      <tp t="s">
        <v>#N/A Requesting Data...4152435014</v>
        <stp/>
        <stp>BDP|9473608332705425432</stp>
        <tr r="C1587" s="2"/>
      </tp>
      <tp t="b">
        <v>0</v>
        <stp/>
        <stp>BDS|1644767756357082970</stp>
        <tr r="I797" s="2"/>
      </tp>
      <tp t="s">
        <v>#N/A Requesting Data...4255946442</v>
        <stp/>
        <stp>BDP|1364140476772386832</stp>
        <tr r="D1172" s="2"/>
      </tp>
      <tp t="s">
        <v>#N/A Requesting Data...4237497196</v>
        <stp/>
        <stp>BDP|6692413438199691589</stp>
        <tr r="G1417" s="2"/>
      </tp>
      <tp t="s">
        <v>#N/A Requesting Data...4215256788</v>
        <stp/>
        <stp>BDP|7039367163146162958</stp>
        <tr r="S79" s="2"/>
      </tp>
      <tp t="s">
        <v>#N/A Requesting Data...4241711206</v>
        <stp/>
        <stp>BDP|8335077877571195333</stp>
        <tr r="A102" s="2"/>
      </tp>
      <tp t="s">
        <v>#N/A Requesting Data...4231893482</v>
        <stp/>
        <stp>BDP|9626676205683186141</stp>
        <tr r="Q1689" s="2"/>
      </tp>
      <tp t="s">
        <v>#N/A Requesting Data...4164453794</v>
        <stp/>
        <stp>BDP|7428527336379957588</stp>
        <tr r="M2117" s="2"/>
      </tp>
      <tp t="s">
        <v>#N/A Requesting Data...4240987361</v>
        <stp/>
        <stp>BDP|1898295450498142316</stp>
        <tr r="D2427" s="2"/>
      </tp>
      <tp t="s">
        <v>#N/A Requesting Data...4207474866</v>
        <stp/>
        <stp>BDP|9782108957627755769</stp>
        <tr r="H992" s="2"/>
      </tp>
      <tp t="b">
        <v>0</v>
        <stp/>
        <stp>BDS|7762110185804538774</stp>
        <tr r="I760" s="2"/>
      </tp>
      <tp t="s">
        <v>#N/A Requesting Data...4185822403</v>
        <stp/>
        <stp>BDP|7270258536128607363</stp>
        <tr r="M235" s="2"/>
      </tp>
      <tp t="s">
        <v>#N/A Requesting Data...4121735279</v>
        <stp/>
        <stp>BDP|8474416307932064333</stp>
        <tr r="T726" s="2"/>
      </tp>
      <tp t="s">
        <v>#N/A Requesting Data...4193638142</v>
        <stp/>
        <stp>BDP|9032608445157562111</stp>
        <tr r="F1779" s="2"/>
      </tp>
      <tp t="s">
        <v>#N/A Requesting Data...4214683022</v>
        <stp/>
        <stp>BDP|2336583592264866709</stp>
        <tr r="Q680" s="2"/>
      </tp>
      <tp t="s">
        <v>#N/A Requesting Data...4192859227</v>
        <stp/>
        <stp>BDP|7106825564942424623</stp>
        <tr r="H74" s="2"/>
      </tp>
      <tp t="s">
        <v>#N/A Requesting Data...4265681810</v>
        <stp/>
        <stp>BDP|8082340161449214960</stp>
        <tr r="S1994" s="2"/>
      </tp>
      <tp t="s">
        <v>#N/A Requesting Data...4160128493</v>
        <stp/>
        <stp>BDP|4636577743249539168</stp>
        <tr r="F45" s="2"/>
      </tp>
      <tp t="s">
        <v>#N/A Requesting Data...4269025168</v>
        <stp/>
        <stp>BDP|2746939126625320105</stp>
        <tr r="N1765" s="2"/>
      </tp>
      <tp t="s">
        <v>#N/A Requesting Data...4136281144</v>
        <stp/>
        <stp>BDP|6005516557622545928</stp>
        <tr r="M2373" s="2"/>
      </tp>
      <tp t="s">
        <v>#N/A Requesting Data...4161072403</v>
        <stp/>
        <stp>BDP|6783576435868591513</stp>
        <tr r="E421" s="2"/>
      </tp>
      <tp t="b">
        <v>0</v>
        <stp/>
        <stp>BDS|4427971125970542221</stp>
        <tr r="I1321" s="2"/>
      </tp>
      <tp t="s">
        <v>#N/A Requesting Data...4199775789</v>
        <stp/>
        <stp>BDP|6704647843189429058</stp>
        <tr r="D1643" s="2"/>
      </tp>
      <tp t="s">
        <v>#N/A Requesting Data...4271666808</v>
        <stp/>
        <stp>BDP|1388039517879105475</stp>
        <tr r="J1274" s="2"/>
      </tp>
      <tp t="s">
        <v>#N/A Requesting Data...4212830674</v>
        <stp/>
        <stp>BDP|1463075687402091651</stp>
        <tr r="C511" s="2"/>
      </tp>
      <tp t="s">
        <v>#N/A Requesting Data...4210842207</v>
        <stp/>
        <stp>BDP|5247910716664192454</stp>
        <tr r="E2068" s="2"/>
      </tp>
      <tp t="s">
        <v>#N/A Requesting Data...4280713238</v>
        <stp/>
        <stp>BDP|7954212075927874846</stp>
        <tr r="Q2076" s="2"/>
      </tp>
      <tp t="s">
        <v>#N/A Requesting Data...4249697049</v>
        <stp/>
        <stp>BDP|3953195332514328808</stp>
        <tr r="G2422" s="2"/>
      </tp>
      <tp t="s">
        <v>#N/A Requesting Data...4188727091</v>
        <stp/>
        <stp>BDP|4521621049108789384</stp>
        <tr r="C1460" s="2"/>
      </tp>
      <tp t="s">
        <v>#N/A Requesting Data...4241541752</v>
        <stp/>
        <stp>BDP|9381239766683317348</stp>
        <tr r="D1685" s="2"/>
      </tp>
      <tp t="b">
        <v>0</v>
        <stp/>
        <stp>BDS|8435757972010294500</stp>
        <tr r="I1299" s="2"/>
      </tp>
      <tp t="s">
        <v>#N/A Requesting Data...4234855942</v>
        <stp/>
        <stp>BDP|4709357163948627462</stp>
        <tr r="K1035" s="2"/>
      </tp>
      <tp t="s">
        <v>#N/A Requesting Data...4162591654</v>
        <stp/>
        <stp>BDP|6220462214158790669</stp>
        <tr r="D1992" s="2"/>
      </tp>
      <tp t="s">
        <v>#N/A Requesting Data...4278308066</v>
        <stp/>
        <stp>BDP|6916510248743837994</stp>
        <tr r="P1370" s="2"/>
      </tp>
      <tp t="s">
        <v>#N/A Requesting Data...4202287378</v>
        <stp/>
        <stp>BDP|1531804126805390317</stp>
        <tr r="S1535" s="2"/>
      </tp>
      <tp t="s">
        <v>#N/A Requesting Data...4175916802</v>
        <stp/>
        <stp>BDP|3832959194327110999</stp>
        <tr r="F2430" s="2"/>
      </tp>
      <tp t="s">
        <v>#N/A Requesting Data...4265663348</v>
        <stp/>
        <stp>BDP|5115655730314171941</stp>
        <tr r="K1468" s="2"/>
      </tp>
      <tp t="s">
        <v>#N/A Requesting Data...4178000406</v>
        <stp/>
        <stp>BDP|7701815320190415034</stp>
        <tr r="H1712" s="2"/>
      </tp>
      <tp t="s">
        <v>#N/A Requesting Data...4164976020</v>
        <stp/>
        <stp>BDP|2466071948048902336</stp>
        <tr r="S608" s="2"/>
      </tp>
      <tp t="s">
        <v>#N/A Requesting Data...4231075804</v>
        <stp/>
        <stp>BDP|8820781871464824184</stp>
        <tr r="S2427" s="2"/>
      </tp>
      <tp t="s">
        <v>#N/A Requesting Data...4273345265</v>
        <stp/>
        <stp>BDP|6139748594507599257</stp>
        <tr r="O2244" s="2"/>
      </tp>
      <tp t="s">
        <v>#N/A Requesting Data...4180041310</v>
        <stp/>
        <stp>BDP|5230655735468646556</stp>
        <tr r="S455" s="2"/>
      </tp>
      <tp t="s">
        <v>#N/A Requesting Data...4288275973</v>
        <stp/>
        <stp>BDP|6221910528346931632</stp>
        <tr r="D1567" s="2"/>
      </tp>
      <tp t="s">
        <v>#N/A Requesting Data...4219838214</v>
        <stp/>
        <stp>BDP|2486875158273873128</stp>
        <tr r="F415" s="2"/>
      </tp>
      <tp t="s">
        <v>#N/A Requesting Data...4219107998</v>
        <stp/>
        <stp>BDP|1787556883132470348</stp>
        <tr r="H448" s="2"/>
      </tp>
      <tp t="s">
        <v>#N/A Requesting Data...4267635074</v>
        <stp/>
        <stp>BDP|9638156974457679506</stp>
        <tr r="P698" s="2"/>
      </tp>
      <tp t="s">
        <v>#N/A Requesting Data...4285057387</v>
        <stp/>
        <stp>BDP|5258851375573422473</stp>
        <tr r="M2234" s="2"/>
      </tp>
      <tp t="s">
        <v>#N/A Requesting Data...4258831513</v>
        <stp/>
        <stp>BDP|7992984373630338408</stp>
        <tr r="S1902" s="2"/>
      </tp>
      <tp t="s">
        <v>#N/A Requesting Data...4256967281</v>
        <stp/>
        <stp>BDP|9722917114619066536</stp>
        <tr r="R234" s="2"/>
      </tp>
      <tp t="s">
        <v>#N/A Requesting Data...4227920541</v>
        <stp/>
        <stp>BDP|2412104710148724725</stp>
        <tr r="H1039" s="2"/>
      </tp>
      <tp t="s">
        <v>#N/A Requesting Data...4259016830</v>
        <stp/>
        <stp>BDP|8971137422234915200</stp>
        <tr r="G61" s="2"/>
      </tp>
      <tp t="s">
        <v>#N/A Requesting Data...4268490479</v>
        <stp/>
        <stp>BDP|3838735154008650480</stp>
        <tr r="P317" s="2"/>
      </tp>
      <tp t="s">
        <v>#N/A Requesting Data...4261374712</v>
        <stp/>
        <stp>BDP|8441381247130379290</stp>
        <tr r="H2180" s="2"/>
      </tp>
      <tp t="s">
        <v>#N/A Requesting Data...4206582254</v>
        <stp/>
        <stp>BDP|2070993268267752771</stp>
        <tr r="H2434" s="2"/>
      </tp>
      <tp t="s">
        <v>#N/A Requesting Data...4287278639</v>
        <stp/>
        <stp>BDP|2194957796677485872</stp>
        <tr r="O2509" s="2"/>
      </tp>
      <tp t="s">
        <v>#N/A Requesting Data...4227250364</v>
        <stp/>
        <stp>BDP|4556855063332234502</stp>
        <tr r="F1007" s="2"/>
      </tp>
      <tp t="b">
        <v>0</v>
        <stp/>
        <stp>BDS|3035954398308939656</stp>
        <tr r="I720" s="2"/>
      </tp>
      <tp t="s">
        <v>#N/A Requesting Data...4253011375</v>
        <stp/>
        <stp>BDP|6690548810237260817</stp>
        <tr r="M985" s="2"/>
      </tp>
      <tp t="s">
        <v>#N/A Requesting Data...4229560652</v>
        <stp/>
        <stp>BDP|2343502574739703414</stp>
        <tr r="E2432" s="2"/>
      </tp>
      <tp t="s">
        <v>#N/A Requesting Data...4232130962</v>
        <stp/>
        <stp>BDP|3186029308676855827</stp>
        <tr r="E732" s="2"/>
      </tp>
      <tp t="s">
        <v>#N/A Requesting Data...4290382129</v>
        <stp/>
        <stp>BDP|4462880054291089599</stp>
        <tr r="C1128" s="2"/>
      </tp>
      <tp t="s">
        <v>#N/A Requesting Data...4246241192</v>
        <stp/>
        <stp>BDP|6717751293550182518</stp>
        <tr r="R1206" s="2"/>
      </tp>
      <tp t="s">
        <v>#N/A Requesting Data...4294058709</v>
        <stp/>
        <stp>BDP|1282636065014190842</stp>
        <tr r="D294" s="2"/>
      </tp>
      <tp t="s">
        <v>#N/A Requesting Data...4254894647</v>
        <stp/>
        <stp>BDP|6807723598380642550</stp>
        <tr r="E1038" s="2"/>
      </tp>
      <tp t="s">
        <v>#N/A Requesting Data...4281690069</v>
        <stp/>
        <stp>BDP|1538116233657275940</stp>
        <tr r="A967" s="2"/>
      </tp>
      <tp t="s">
        <v>#N/A Requesting Data...4242043517</v>
        <stp/>
        <stp>BDP|1839539192657987710</stp>
        <tr r="P1299" s="2"/>
      </tp>
      <tp t="s">
        <v>#N/A Requesting Data...4258067590</v>
        <stp/>
        <stp>BDP|1863190282607543273</stp>
        <tr r="R502" s="2"/>
      </tp>
      <tp t="s">
        <v>#N/A Requesting Data...4294477528</v>
        <stp/>
        <stp>BDP|9994141899669319568</stp>
        <tr r="A517" s="2"/>
      </tp>
      <tp t="s">
        <v>#N/A Requesting Data...4254855472</v>
        <stp/>
        <stp>BDP|8206393271730239190</stp>
        <tr r="R2380" s="2"/>
      </tp>
      <tp t="s">
        <v>#N/A Requesting Data...4294740720</v>
        <stp/>
        <stp>BDP|5087716090787884186</stp>
        <tr r="E1332" s="2"/>
      </tp>
      <tp t="s">
        <v>#N/A Requesting Data...4279668219</v>
        <stp/>
        <stp>BDP|5258173049064515980</stp>
        <tr r="M688" s="2"/>
      </tp>
      <tp t="b">
        <v>0</v>
        <stp/>
        <stp>BDS|3043190836074617881</stp>
        <tr r="I899" s="2"/>
      </tp>
      <tp t="s">
        <v>#N/A Requesting Data...4278395125</v>
        <stp/>
        <stp>BDP|1686728094203073113</stp>
        <tr r="S133" s="2"/>
      </tp>
      <tp t="s">
        <v>#N/A Requesting Data...4286998069</v>
        <stp/>
        <stp>BDP|6023992570700185599</stp>
        <tr r="G2077" s="2"/>
      </tp>
      <tp t="s">
        <v>#N/A Requesting Data...4287004424</v>
        <stp/>
        <stp>BDP|4873933069360738642</stp>
        <tr r="H1455" s="2"/>
      </tp>
      <tp t="s">
        <v>#N/A Requesting Data...4290995179</v>
        <stp/>
        <stp>BDP|5182093621622829809</stp>
        <tr r="P929" s="2"/>
      </tp>
      <tp t="s">
        <v>#N/A Requesting Data...4282629387</v>
        <stp/>
        <stp>BDP|7538630639839939601</stp>
        <tr r="N693" s="2"/>
      </tp>
      <tp t="s">
        <v>#N/A Requesting Data...4269579599</v>
        <stp/>
        <stp>BDP|6616810737623795317</stp>
        <tr r="D2169" s="2"/>
      </tp>
      <tp t="s">
        <v>#N/A Requesting Data...4286334536</v>
        <stp/>
        <stp>BDP|5057039747629358516</stp>
        <tr r="K1179" s="2"/>
      </tp>
      <tp t="s">
        <v>#N/A Requesting Data...4284001134</v>
        <stp/>
        <stp>BDP|3470556696882195009</stp>
        <tr r="M2306" s="2"/>
      </tp>
      <tp t="s">
        <v>#N/A Requesting Data...4280556021</v>
        <stp/>
        <stp>BDP|9267283429363081756</stp>
        <tr r="D2195" s="2"/>
      </tp>
      <tp t="s">
        <v>#N/A Requesting Data...4286268903</v>
        <stp/>
        <stp>BDP|9104054343142754268</stp>
        <tr r="N91" s="2"/>
      </tp>
      <tp t="s">
        <v>#N/A Requesting Data...4287229402</v>
        <stp/>
        <stp>BDP|1440736100303382821</stp>
        <tr r="K200" s="2"/>
      </tp>
      <tp t="s">
        <v>#N/A Requesting Data...4289975028</v>
        <stp/>
        <stp>BDP|1867685095374593761</stp>
        <tr r="O189" s="2"/>
      </tp>
      <tp t="s">
        <v>#N/A Requesting Data...4291914659</v>
        <stp/>
        <stp>BDP|5390861372086276137</stp>
        <tr r="N1878" s="2"/>
      </tp>
      <tp t="s">
        <v>#N/A Requesting Data...4291584249</v>
        <stp/>
        <stp>BDP|7726747329296981957</stp>
        <tr r="A2064" s="2"/>
      </tp>
      <tp t="s">
        <v>#N/A Requesting Data...4294075908</v>
        <stp/>
        <stp>BDP|9227945263903738845</stp>
        <tr r="M887" s="2"/>
      </tp>
      <tp t="s">
        <v>#N/A Requesting Data...1954681817</v>
        <stp/>
        <stp>BDP|2604100890910072706</stp>
        <tr r="N780" s="2"/>
      </tp>
      <tp t="s">
        <v>#N/A Requesting Data...71520595</v>
        <stp/>
        <stp>BDP|9018095771835968671</stp>
        <tr r="K1039" s="2"/>
      </tp>
      <tp t="s">
        <v>#N/A Requesting Data...4186811356</v>
        <stp/>
        <stp>BDP|9284388368101133059</stp>
        <tr r="R714" s="2"/>
      </tp>
      <tp t="s">
        <v>#N/A Requesting Data...42595253</v>
        <stp/>
        <stp>BDP|4282211315372430842</stp>
        <tr r="N2386" s="2"/>
      </tp>
      <tp t="s">
        <v>#N/A Requesting Data...1966957972</v>
        <stp/>
        <stp>BDP|6968819927119967803</stp>
        <tr r="R268" s="2"/>
      </tp>
      <tp t="s">
        <v>#N/A Requesting Data...3041817110</v>
        <stp/>
        <stp>BDP|8245571226423197143</stp>
        <tr r="P2195" s="2"/>
      </tp>
      <tp t="s">
        <v>#N/A Requesting Data...2300734876</v>
        <stp/>
        <stp>BDP|7320921677215024108</stp>
        <tr r="D2101" s="2"/>
      </tp>
      <tp t="s">
        <v>#N/A Requesting Data...862191273</v>
        <stp/>
        <stp>BDP|9160442681791580970</stp>
        <tr r="C983" s="2"/>
      </tp>
      <tp t="s">
        <v>#N/A Requesting Data...4123483157</v>
        <stp/>
        <stp>BDP|3794506885484062747</stp>
        <tr r="C2428" s="2"/>
      </tp>
      <tp t="s">
        <v>#N/A Requesting Data...3751043355</v>
        <stp/>
        <stp>BDP|5917660242913803932</stp>
        <tr r="G1546" s="2"/>
      </tp>
      <tp t="s">
        <v>#N/A Requesting Data...3789323932</v>
        <stp/>
        <stp>BDP|9766026025076336059</stp>
        <tr r="N374" s="2"/>
      </tp>
      <tp t="s">
        <v>#N/A Requesting Data...3844423225</v>
        <stp/>
        <stp>BDP|5670824190091309819</stp>
        <tr r="E2039" s="2"/>
      </tp>
      <tp t="s">
        <v>#N/A Requesting Data...887153751</v>
        <stp/>
        <stp>BDP|3199360093027719352</stp>
        <tr r="N1741" s="2"/>
      </tp>
      <tp t="s">
        <v>#N/A Requesting Data...1454058454</v>
        <stp/>
        <stp>BDP|5108156868638891723</stp>
        <tr r="K2197" s="2"/>
      </tp>
      <tp t="s">
        <v>#N/A Requesting Data...1393226882</v>
        <stp/>
        <stp>BDP|8140705411033298042</stp>
        <tr r="C2061" s="2"/>
      </tp>
      <tp t="s">
        <v>#N/A Requesting Data...1020923283</v>
        <stp/>
        <stp>BDP|9668777415851160335</stp>
        <tr r="K194" s="2"/>
      </tp>
      <tp t="s">
        <v>#N/A Requesting Data...859683534</v>
        <stp/>
        <stp>BDP|7376972435750296056</stp>
        <tr r="D2086" s="2"/>
      </tp>
      <tp t="s">
        <v>#N/A Requesting Data...3010094152</v>
        <stp/>
        <stp>BDP|9226248271343973283</stp>
        <tr r="C2146" s="2"/>
      </tp>
      <tp t="s">
        <v>#N/A Requesting Data...813246483</v>
        <stp/>
        <stp>BDP|7499732590497569344</stp>
        <tr r="H311" s="2"/>
      </tp>
      <tp t="b">
        <v>0</v>
        <stp/>
        <stp>BDS|2428995523954890009</stp>
        <tr r="I1554" s="2"/>
      </tp>
      <tp t="s">
        <v>#N/A Requesting Data...2091277501</v>
        <stp/>
        <stp>BDP|9690842434476857986</stp>
        <tr r="S1397" s="2"/>
      </tp>
      <tp t="s">
        <v>#N/A Requesting Data...96526918</v>
        <stp/>
        <stp>BDP|6605583424249940559</stp>
        <tr r="F101" s="2"/>
      </tp>
      <tp t="s">
        <v>#N/A Requesting Data...1407884358</v>
        <stp/>
        <stp>BDP|8941618248223010463</stp>
        <tr r="F1165" s="2"/>
      </tp>
      <tp t="s">
        <v>#N/A Requesting Data...441757604</v>
        <stp/>
        <stp>BDP|5941386785841011227</stp>
        <tr r="S1521" s="2"/>
      </tp>
      <tp t="b">
        <v>0</v>
        <stp/>
        <stp>BDS|6068601791006582220</stp>
        <tr r="I431" s="2"/>
      </tp>
      <tp t="s">
        <v>#N/A Requesting Data...506705223</v>
        <stp/>
        <stp>BDP|2886737938823792822</stp>
        <tr r="N1645" s="2"/>
      </tp>
      <tp t="s">
        <v>#N/A Requesting Data...521772422</v>
        <stp/>
        <stp>BDP|7205741282787497263</stp>
        <tr r="A627" s="2"/>
      </tp>
      <tp t="s">
        <v>#N/A Requesting Data...2613183759</v>
        <stp/>
        <stp>BDP|9614795638418258839</stp>
        <tr r="P1381" s="2"/>
      </tp>
      <tp t="s">
        <v>#N/A Requesting Data...312643581</v>
        <stp/>
        <stp>BDP|9006757747791388677</stp>
        <tr r="D968" s="2"/>
      </tp>
      <tp t="s">
        <v>#N/A Requesting Data...1758891873</v>
        <stp/>
        <stp>BDP|7111027190160094351</stp>
        <tr r="D2344" s="2"/>
      </tp>
      <tp t="s">
        <v>#N/A Requesting Data...2516241836</v>
        <stp/>
        <stp>BDP|4633938816535555404</stp>
        <tr r="O989" s="2"/>
      </tp>
      <tp t="s">
        <v>#N/A Requesting Data...1169471937</v>
        <stp/>
        <stp>BDP|1475974576364660658</stp>
        <tr r="Q1505" s="2"/>
      </tp>
      <tp t="s">
        <v>#N/A Requesting Data...103458694</v>
        <stp/>
        <stp>BDP|2418713869536805829</stp>
        <tr r="H170" s="2"/>
      </tp>
      <tp t="s">
        <v>#N/A Requesting Data...1605110433</v>
        <stp/>
        <stp>BDP|3761809742541154321</stp>
        <tr r="R1611" s="2"/>
      </tp>
      <tp t="s">
        <v>#N/A Requesting Data...1956816182</v>
        <stp/>
        <stp>BDP|6133653979348989225</stp>
        <tr r="J137" s="2"/>
      </tp>
      <tp t="s">
        <v>#N/A Requesting Data...1964318894</v>
        <stp/>
        <stp>BDP|3324710195558001819</stp>
        <tr r="C911" s="2"/>
      </tp>
      <tp t="s">
        <v>#N/A Requesting Data...2008753710</v>
        <stp/>
        <stp>BDP|4311950204776015649</stp>
        <tr r="M279" s="2"/>
      </tp>
      <tp t="s">
        <v>#N/A Requesting Data...3965362521</v>
        <stp/>
        <stp>BDP|1624972775413330119</stp>
        <tr r="D360" s="2"/>
      </tp>
      <tp t="s">
        <v>#N/A Requesting Data...768806317</v>
        <stp/>
        <stp>BDP|6096994631881926079</stp>
        <tr r="M1429" s="2"/>
      </tp>
      <tp t="s">
        <v>#N/A Requesting Data...579953183</v>
        <stp/>
        <stp>BDP|2166717849104971869</stp>
        <tr r="A232" s="2"/>
      </tp>
      <tp t="s">
        <v>#N/A Requesting Data...1580847518</v>
        <stp/>
        <stp>BDP|2237567122051131916</stp>
        <tr r="P889" s="2"/>
      </tp>
      <tp t="s">
        <v>#N/A Requesting Data...2093144184</v>
        <stp/>
        <stp>BDP|3671071460291542921</stp>
        <tr r="N2331" s="2"/>
      </tp>
      <tp t="s">
        <v>#N/A Requesting Data...965773137</v>
        <stp/>
        <stp>BDP|4423897312402968206</stp>
        <tr r="O112" s="2"/>
      </tp>
      <tp t="s">
        <v>#N/A Requesting Data...4288688720</v>
        <stp/>
        <stp>BDP|9605357041500051347</stp>
        <tr r="C268" s="2"/>
      </tp>
      <tp t="s">
        <v>#N/A Requesting Data...1852755081</v>
        <stp/>
        <stp>BDP|4974921291211802844</stp>
        <tr r="E1206" s="2"/>
      </tp>
      <tp t="s">
        <v>#N/A Requesting Data...3764674281</v>
        <stp/>
        <stp>BDP|3083871778634885517</stp>
        <tr r="N2487" s="2"/>
      </tp>
      <tp t="s">
        <v>#N/A Requesting Data...2512595215</v>
        <stp/>
        <stp>BDP|3762434172235492849</stp>
        <tr r="P2059" s="2"/>
      </tp>
      <tp t="s">
        <v>#N/A Requesting Data...2730383366</v>
        <stp/>
        <stp>BDP|8845521092748952177</stp>
        <tr r="A974" s="2"/>
      </tp>
      <tp t="s">
        <v>#N/A Requesting Data...4165829093</v>
        <stp/>
        <stp>BDP|9863665729566877692</stp>
        <tr r="S15" s="2"/>
      </tp>
      <tp t="s">
        <v>#N/A Requesting Data...4011813267</v>
        <stp/>
        <stp>BDP|9004403169872985460</stp>
        <tr r="T1459" s="2"/>
      </tp>
      <tp t="s">
        <v>#N/A Requesting Data...1532710564</v>
        <stp/>
        <stp>BDP|9175070374663317073</stp>
        <tr r="R276" s="2"/>
      </tp>
      <tp t="s">
        <v>#N/A Requesting Data...3183809393</v>
        <stp/>
        <stp>BDP|9721681533453953231</stp>
        <tr r="D1345" s="2"/>
      </tp>
      <tp t="s">
        <v>#N/A Requesting Data...483051477</v>
        <stp/>
        <stp>BDP|4269751580150131606</stp>
        <tr r="N2087" s="2"/>
      </tp>
      <tp t="s">
        <v>#N/A Requesting Data...4196188103</v>
        <stp/>
        <stp>BDP|7369400732505056875</stp>
        <tr r="S707" s="2"/>
      </tp>
      <tp t="s">
        <v>#N/A Requesting Data...3067269794</v>
        <stp/>
        <stp>BDP|7746220974547200852</stp>
        <tr r="A715" s="2"/>
      </tp>
      <tp t="s">
        <v>#N/A Requesting Data...4053572143</v>
        <stp/>
        <stp>BDP|4525041467647415846</stp>
        <tr r="N67" s="2"/>
      </tp>
      <tp t="s">
        <v>#N/A Requesting Data...680077541</v>
        <stp/>
        <stp>BDP|7011362150848614468</stp>
        <tr r="E213" s="2"/>
      </tp>
      <tp t="s">
        <v>#N/A Requesting Data...3752188161</v>
        <stp/>
        <stp>BDP|5128173862467544873</stp>
        <tr r="O391" s="2"/>
      </tp>
      <tp t="s">
        <v>#N/A Requesting Data...3432331464</v>
        <stp/>
        <stp>BDP|3870274846139956165</stp>
        <tr r="D418" s="2"/>
      </tp>
      <tp t="b">
        <v>0</v>
        <stp/>
        <stp>BDS|2290824966979853880</stp>
        <tr r="I1455" s="2"/>
      </tp>
      <tp t="s">
        <v>#N/A Requesting Data...4055735370</v>
        <stp/>
        <stp>BDP|4315270853348037613</stp>
        <tr r="P1023" s="2"/>
      </tp>
      <tp t="s">
        <v>#N/A Requesting Data...2162321237</v>
        <stp/>
        <stp>BDP|1593483786034975449</stp>
        <tr r="D13" s="2"/>
      </tp>
      <tp t="s">
        <v>#N/A Requesting Data...4054244562</v>
        <stp/>
        <stp>BDP|9513726769342093789</stp>
        <tr r="N1297" s="2"/>
      </tp>
      <tp t="s">
        <v>#N/A Requesting Data...2607441028</v>
        <stp/>
        <stp>BDP|7247652494361508401</stp>
        <tr r="D1225" s="2"/>
      </tp>
      <tp t="s">
        <v>#N/A Requesting Data...840576286</v>
        <stp/>
        <stp>BDP|1944276088225938397</stp>
        <tr r="Q499" s="2"/>
      </tp>
      <tp t="s">
        <v>#N/A Requesting Data...1325307110</v>
        <stp/>
        <stp>BDP|8397549418577156687</stp>
        <tr r="N1469" s="2"/>
      </tp>
      <tp t="s">
        <v>#N/A Requesting Data...789297071</v>
        <stp/>
        <stp>BDP|3898878804011915746</stp>
        <tr r="K104" s="2"/>
      </tp>
      <tp t="s">
        <v>#N/A Requesting Data...2519045777</v>
        <stp/>
        <stp>BDP|5398929600085033475</stp>
        <tr r="N1418" s="2"/>
      </tp>
      <tp t="s">
        <v>#N/A Requesting Data...3644012283</v>
        <stp/>
        <stp>BDP|2316043175370037844</stp>
        <tr r="D533" s="2"/>
      </tp>
      <tp t="s">
        <v>#N/A Requesting Data...2396868372</v>
        <stp/>
        <stp>BDP|2644341116664504975</stp>
        <tr r="H312" s="2"/>
      </tp>
      <tp t="s">
        <v>#N/A Requesting Data...2173274598</v>
        <stp/>
        <stp>BDP|7080023587131157329</stp>
        <tr r="Q129" s="2"/>
      </tp>
      <tp t="s">
        <v>#N/A Requesting Data...3357668267</v>
        <stp/>
        <stp>BDP|9711061075480318313</stp>
        <tr r="T1907" s="2"/>
      </tp>
      <tp t="s">
        <v>#N/A Requesting Data...431145839</v>
        <stp/>
        <stp>BDP|3742114475950191846</stp>
        <tr r="D851" s="2"/>
      </tp>
      <tp t="s">
        <v>#N/A Requesting Data...1711562355</v>
        <stp/>
        <stp>BDP|9755205305381667723</stp>
        <tr r="P1895" s="2"/>
      </tp>
      <tp t="s">
        <v>#N/A Requesting Data...3606344062</v>
        <stp/>
        <stp>BDP|7815821513333609095</stp>
        <tr r="O92" s="2"/>
      </tp>
      <tp t="s">
        <v>#N/A Requesting Data...3927455270</v>
        <stp/>
        <stp>BDP|5770959860907403001</stp>
        <tr r="Q2252" s="2"/>
      </tp>
      <tp t="s">
        <v>#N/A Requesting Data...1152180606</v>
        <stp/>
        <stp>BDP|7059000892845761622</stp>
        <tr r="C2040" s="2"/>
      </tp>
      <tp t="s">
        <v>#N/A Requesting Data...579086455</v>
        <stp/>
        <stp>BDP|2983147101179347783</stp>
        <tr r="F138" s="2"/>
      </tp>
      <tp t="s">
        <v>#N/A Requesting Data...2379257672</v>
        <stp/>
        <stp>BDP|8742338614065247250</stp>
        <tr r="T854" s="2"/>
      </tp>
      <tp t="s">
        <v>#N/A Requesting Data...501692583</v>
        <stp/>
        <stp>BDP|4587000420412005924</stp>
        <tr r="Q31" s="2"/>
      </tp>
      <tp t="s">
        <v>#N/A Requesting Data...3568159689</v>
        <stp/>
        <stp>BDP|4781961180629535134</stp>
        <tr r="R2458" s="2"/>
      </tp>
      <tp t="s">
        <v>#N/A Requesting Data...1013646042</v>
        <stp/>
        <stp>BDP|3743178159179974372</stp>
        <tr r="F1314" s="2"/>
      </tp>
      <tp t="s">
        <v>#N/A Requesting Data...3464032849</v>
        <stp/>
        <stp>BDP|2403872823436687316</stp>
        <tr r="Q689" s="2"/>
      </tp>
      <tp t="s">
        <v>#N/A Requesting Data...3583575244</v>
        <stp/>
        <stp>BDP|8579216100493598464</stp>
        <tr r="F730" s="2"/>
      </tp>
      <tp t="s">
        <v>#N/A Requesting Data...1279567927</v>
        <stp/>
        <stp>BDP|5345048816711066865</stp>
        <tr r="R1899" s="2"/>
      </tp>
      <tp t="s">
        <v>#N/A Requesting Data...2915056797</v>
        <stp/>
        <stp>BDP|1111628092025547636</stp>
        <tr r="J2487" s="2"/>
      </tp>
      <tp t="s">
        <v>#N/A Requesting Data...1747564649</v>
        <stp/>
        <stp>BDP|6521893999283005928</stp>
        <tr r="E238" s="2"/>
      </tp>
      <tp t="s">
        <v>#N/A Requesting Data...1498798164</v>
        <stp/>
        <stp>BDP|2521221491607599347</stp>
        <tr r="T1638" s="2"/>
      </tp>
      <tp t="s">
        <v>#N/A Requesting Data...1903075379</v>
        <stp/>
        <stp>BDP|2300918214281042615</stp>
        <tr r="S1771" s="2"/>
      </tp>
      <tp t="s">
        <v>#N/A Requesting Data...1989166164</v>
        <stp/>
        <stp>BDP|6182986143290402697</stp>
        <tr r="O1184" s="2"/>
      </tp>
      <tp t="s">
        <v>#N/A Requesting Data...932383193</v>
        <stp/>
        <stp>BDP|5641303655688226668</stp>
        <tr r="H2034" s="2"/>
      </tp>
      <tp t="s">
        <v>#N/A Requesting Data...896336676</v>
        <stp/>
        <stp>BDP|4246888678573563505</stp>
        <tr r="F955" s="2"/>
      </tp>
      <tp t="s">
        <v>#N/A Requesting Data...2595569276</v>
        <stp/>
        <stp>BDP|4178319007703619962</stp>
        <tr r="O347" s="2"/>
      </tp>
      <tp t="s">
        <v>#N/A Requesting Data...837387303</v>
        <stp/>
        <stp>BDP|7333468000448135636</stp>
        <tr r="O1677" s="2"/>
      </tp>
      <tp t="s">
        <v>#N/A Requesting Data...3530300110</v>
        <stp/>
        <stp>BDP|8186305574793226202</stp>
        <tr r="O1846" s="2"/>
      </tp>
      <tp t="s">
        <v>#N/A Requesting Data...2213078250</v>
        <stp/>
        <stp>BDP|7465567725525496840</stp>
        <tr r="M1968" s="2"/>
      </tp>
      <tp t="s">
        <v>#N/A Requesting Data...1703338998</v>
        <stp/>
        <stp>BDP|3651726712318946089</stp>
        <tr r="E40" s="2"/>
      </tp>
      <tp t="s">
        <v>#N/A Requesting Data...4226027286</v>
        <stp/>
        <stp>BDP|4320906344866076206</stp>
        <tr r="M1738" s="2"/>
      </tp>
      <tp t="b">
        <v>0</v>
        <stp/>
        <stp>BDS|5401085767617854948</stp>
        <tr r="I560" s="2"/>
      </tp>
      <tp t="s">
        <v>#N/A Requesting Data...4082435089</v>
        <stp/>
        <stp>BDP|9522071886004363808</stp>
        <tr r="O1047" s="2"/>
      </tp>
      <tp t="s">
        <v>#N/A Requesting Data...1042321639</v>
        <stp/>
        <stp>BDP|5821124988125590403</stp>
        <tr r="M504" s="2"/>
      </tp>
      <tp t="s">
        <v>#N/A Requesting Data...976487409</v>
        <stp/>
        <stp>BDP|4224520377573597852</stp>
        <tr r="T865" s="2"/>
      </tp>
      <tp t="s">
        <v>#N/A Requesting Data...718145568</v>
        <stp/>
        <stp>BDP|1507866042851713113</stp>
        <tr r="E852" s="2"/>
      </tp>
      <tp t="s">
        <v>#N/A Requesting Data...2350771696</v>
        <stp/>
        <stp>BDP|6332473330135053938</stp>
        <tr r="R493" s="2"/>
      </tp>
      <tp t="s">
        <v>#N/A Requesting Data...3814932404</v>
        <stp/>
        <stp>BDP|7758936820861654052</stp>
        <tr r="F563" s="2"/>
      </tp>
      <tp t="s">
        <v>#N/A Requesting Data...718562962</v>
        <stp/>
        <stp>BDP|9619618602185639747</stp>
        <tr r="Q449" s="2"/>
      </tp>
      <tp t="s">
        <v>#N/A Requesting Data...2206117948</v>
        <stp/>
        <stp>BDP|8705503124356299465</stp>
        <tr r="T691" s="2"/>
      </tp>
      <tp t="s">
        <v>#N/A Requesting Data...666328463</v>
        <stp/>
        <stp>BDP|8334381628823669720</stp>
        <tr r="J2208" s="2"/>
      </tp>
      <tp t="s">
        <v>#N/A Requesting Data...2971585034</v>
        <stp/>
        <stp>BDP|7467056274998566573</stp>
        <tr r="F2412" s="2"/>
      </tp>
      <tp t="b">
        <v>0</v>
        <stp/>
        <stp>BDS|3206839224387246301</stp>
        <tr r="I1724" s="2"/>
      </tp>
      <tp t="s">
        <v>#N/A Requesting Data...1083317308</v>
        <stp/>
        <stp>BDP|4256699497614378281</stp>
        <tr r="A1043" s="2"/>
      </tp>
      <tp t="b">
        <v>0</v>
        <stp/>
        <stp>BDS|7442703855961387959</stp>
        <tr r="I227" s="2"/>
      </tp>
      <tp t="s">
        <v>#N/A Requesting Data...1918761327</v>
        <stp/>
        <stp>BDP|8362457160735511248</stp>
        <tr r="K237" s="2"/>
      </tp>
      <tp t="s">
        <v>#N/A Requesting Data...1526317512</v>
        <stp/>
        <stp>BDP|1080560197750097069</stp>
        <tr r="T450" s="2"/>
      </tp>
      <tp t="s">
        <v>#N/A Requesting Data...2722162552</v>
        <stp/>
        <stp>BDP|3204156209838956704</stp>
        <tr r="P2352" s="2"/>
      </tp>
      <tp t="s">
        <v>#N/A Requesting Data...1852424211</v>
        <stp/>
        <stp>BDP|8400256761925020473</stp>
        <tr r="G2363" s="2"/>
      </tp>
      <tp t="s">
        <v>#N/A Requesting Data...2889942267</v>
        <stp/>
        <stp>BDP|6520482542318155398</stp>
        <tr r="E208" s="2"/>
      </tp>
      <tp t="s">
        <v>#N/A Requesting Data...1191973878</v>
        <stp/>
        <stp>BDP|1056935621341457618</stp>
        <tr r="M2130" s="2"/>
      </tp>
      <tp t="b">
        <v>0</v>
        <stp/>
        <stp>BDS|9555701873523547748</stp>
        <tr r="I1694" s="2"/>
      </tp>
      <tp t="s">
        <v>#N/A Requesting Data...2290448982</v>
        <stp/>
        <stp>BDP|2684533263274538844</stp>
        <tr r="O179" s="2"/>
      </tp>
      <tp t="s">
        <v>#N/A Requesting Data...3558926171</v>
        <stp/>
        <stp>BDP|6633956626963408362</stp>
        <tr r="J2160" s="2"/>
      </tp>
      <tp t="s">
        <v>#N/A Requesting Data...3376134842</v>
        <stp/>
        <stp>BDP|4587670083255597232</stp>
        <tr r="J248" s="2"/>
      </tp>
      <tp t="s">
        <v>#N/A Requesting Data...2024368822</v>
        <stp/>
        <stp>BDP|9341524750274616002</stp>
        <tr r="G189" s="2"/>
      </tp>
      <tp t="s">
        <v>#N/A Requesting Data...1526197330</v>
        <stp/>
        <stp>BDP|7652964771633634705</stp>
        <tr r="S563" s="2"/>
      </tp>
      <tp t="s">
        <v>#N/A Requesting Data...4224062179</v>
        <stp/>
        <stp>BDP|4516016847149639424</stp>
        <tr r="S57" s="2"/>
      </tp>
      <tp t="s">
        <v>#N/A Requesting Data...2526887504</v>
        <stp/>
        <stp>BDP|8772057704741342422</stp>
        <tr r="P1682" s="2"/>
      </tp>
      <tp t="s">
        <v>#N/A Requesting Data...1690596114</v>
        <stp/>
        <stp>BDP|5277366992376867495</stp>
        <tr r="A1474" s="2"/>
      </tp>
      <tp t="s">
        <v>#N/A Requesting Data...2389657401</v>
        <stp/>
        <stp>BDP|2610054247189712244</stp>
        <tr r="D1707" s="2"/>
      </tp>
      <tp t="s">
        <v>#N/A Requesting Data...1520723396</v>
        <stp/>
        <stp>BDP|2215035536805049909</stp>
        <tr r="G2261" s="2"/>
      </tp>
      <tp t="s">
        <v>#N/A Requesting Data...2477432974</v>
        <stp/>
        <stp>BDP|6149504505526274813</stp>
        <tr r="F2290" s="2"/>
      </tp>
      <tp t="s">
        <v>#N/A Requesting Data...3315052228</v>
        <stp/>
        <stp>BDP|3523942465701661051</stp>
        <tr r="F1641" s="2"/>
      </tp>
      <tp t="s">
        <v>#N/A Requesting Data...3460664828</v>
        <stp/>
        <stp>BDP|6659701836178360743</stp>
        <tr r="A2018" s="2"/>
      </tp>
      <tp t="s">
        <v>#N/A Requesting Data...3396264319</v>
        <stp/>
        <stp>BDP|8340062933102665471</stp>
        <tr r="S2219" s="2"/>
      </tp>
      <tp t="s">
        <v>#N/A Requesting Data...717848572</v>
        <stp/>
        <stp>BDP|1183413796891373024</stp>
        <tr r="N578" s="2"/>
      </tp>
      <tp t="s">
        <v>#N/A Requesting Data...559923815</v>
        <stp/>
        <stp>BDP|6020135100862698826</stp>
        <tr r="T2230" s="2"/>
      </tp>
      <tp t="s">
        <v>#N/A Requesting Data...3457201439</v>
        <stp/>
        <stp>BDP|7879091094036631545</stp>
        <tr r="P2064" s="2"/>
      </tp>
      <tp t="s">
        <v>#N/A Requesting Data...3274854653</v>
        <stp/>
        <stp>BDP|5566923172152523475</stp>
        <tr r="C2178" s="2"/>
      </tp>
      <tp t="s">
        <v>#N/A Requesting Data...1364995112</v>
        <stp/>
        <stp>BDP|3837253535099616692</stp>
        <tr r="R2113" s="2"/>
      </tp>
      <tp t="s">
        <v>#N/A Requesting Data...3666252852</v>
        <stp/>
        <stp>BDP|1098130095900136400</stp>
        <tr r="T26" s="2"/>
      </tp>
      <tp t="s">
        <v>#N/A Requesting Data...1151784238</v>
        <stp/>
        <stp>BDP|8185436310896760623</stp>
        <tr r="M213" s="2"/>
      </tp>
      <tp t="s">
        <v>#N/A Requesting Data...2422367020</v>
        <stp/>
        <stp>BDP|9187144905015366049</stp>
        <tr r="R297" s="2"/>
      </tp>
      <tp t="s">
        <v>#N/A Requesting Data...1475975836</v>
        <stp/>
        <stp>BDP|9228000448396805653</stp>
        <tr r="A2236" s="2"/>
      </tp>
      <tp t="s">
        <v>#N/A Requesting Data...4222166931</v>
        <stp/>
        <stp>BDP|7605530107706626937</stp>
        <tr r="J1813" s="2"/>
      </tp>
      <tp t="s">
        <v>#N/A Requesting Data...2887554467</v>
        <stp/>
        <stp>BDP|6115487468311769811</stp>
        <tr r="Q663" s="2"/>
      </tp>
      <tp t="s">
        <v>#N/A Requesting Data...775411004</v>
        <stp/>
        <stp>BDP|7051383586078956906</stp>
        <tr r="M97" s="2"/>
      </tp>
      <tp t="s">
        <v>#N/A Requesting Data...1246991673</v>
        <stp/>
        <stp>BDP|2463780958444469971</stp>
        <tr r="S2493" s="2"/>
      </tp>
      <tp t="s">
        <v>#N/A Requesting Data...2225269690</v>
        <stp/>
        <stp>BDP|8836132224366965011</stp>
        <tr r="P322" s="2"/>
      </tp>
      <tp t="b">
        <v>0</v>
        <stp/>
        <stp>BDS|2745311448108862014</stp>
        <tr r="I1834" s="2"/>
      </tp>
      <tp t="s">
        <v>#N/A Requesting Data...2459304244</v>
        <stp/>
        <stp>BDP|9401319050146559478</stp>
        <tr r="D1041" s="2"/>
      </tp>
      <tp t="s">
        <v>#N/A Requesting Data...2152398662</v>
        <stp/>
        <stp>BDP|9549908432836476846</stp>
        <tr r="A1291" s="2"/>
      </tp>
      <tp t="s">
        <v>#N/A Requesting Data...3129751721</v>
        <stp/>
        <stp>BDP|8216754870105067007</stp>
        <tr r="M409" s="2"/>
      </tp>
      <tp t="s">
        <v>#N/A Requesting Data...1085927048</v>
        <stp/>
        <stp>BDP|3594398647348422184</stp>
        <tr r="Q1281" s="2"/>
      </tp>
      <tp t="s">
        <v>#N/A Requesting Data...913195284</v>
        <stp/>
        <stp>BDP|1017468336228186367</stp>
        <tr r="Q643" s="2"/>
      </tp>
      <tp t="s">
        <v>#N/A Requesting Data...3921407364</v>
        <stp/>
        <stp>BDP|8533818782646191300</stp>
        <tr r="N2492" s="2"/>
      </tp>
      <tp t="s">
        <v>#N/A Requesting Data...3045241537</v>
        <stp/>
        <stp>BDP|9250328717930055605</stp>
        <tr r="C1364" s="2"/>
      </tp>
      <tp t="s">
        <v>#N/A Requesting Data...2747190155</v>
        <stp/>
        <stp>BDP|1316413399461871045</stp>
        <tr r="O277" s="2"/>
      </tp>
      <tp t="s">
        <v>#N/A Requesting Data...2575453501</v>
        <stp/>
        <stp>BDP|8037780328769020972</stp>
        <tr r="P1140" s="2"/>
      </tp>
      <tp t="s">
        <v>#N/A Requesting Data...3553378857</v>
        <stp/>
        <stp>BDP|5655185958384809897</stp>
        <tr r="N1455" s="2"/>
      </tp>
      <tp t="s">
        <v>#N/A Requesting Data...3174969601</v>
        <stp/>
        <stp>BDP|5092814881518350049</stp>
        <tr r="C1149" s="2"/>
      </tp>
      <tp t="s">
        <v>#N/A Requesting Data...2599560225</v>
        <stp/>
        <stp>BDP|2401027695761725735</stp>
        <tr r="S1985" s="2"/>
      </tp>
      <tp t="s">
        <v>#N/A Requesting Data...1581737057</v>
        <stp/>
        <stp>BDP|2624002090011403757</stp>
        <tr r="H2329" s="2"/>
      </tp>
      <tp t="s">
        <v>#N/A Requesting Data...1712216934</v>
        <stp/>
        <stp>BDP|5569475696595160027</stp>
        <tr r="M1645" s="2"/>
      </tp>
      <tp t="s">
        <v>#N/A Requesting Data...2659046420</v>
        <stp/>
        <stp>BDP|7697304591854861484</stp>
        <tr r="P830" s="2"/>
      </tp>
      <tp t="s">
        <v>#N/A Requesting Data...1683599171</v>
        <stp/>
        <stp>BDP|9534657801765273743</stp>
        <tr r="Q415" s="2"/>
      </tp>
      <tp t="s">
        <v>#N/A Requesting Data...4125849961</v>
        <stp/>
        <stp>BDP|7634910544096003144</stp>
        <tr r="J936" s="2"/>
      </tp>
      <tp t="s">
        <v>#N/A Requesting Data...1061790310</v>
        <stp/>
        <stp>BDP|3767721085454537526</stp>
        <tr r="C1688" s="2"/>
      </tp>
      <tp t="s">
        <v>#N/A Requesting Data...4123488504</v>
        <stp/>
        <stp>BDP|1755265626119625565</stp>
        <tr r="H792" s="2"/>
      </tp>
      <tp t="s">
        <v>#N/A Requesting Data...3414923748</v>
        <stp/>
        <stp>BDP|5743962959612963660</stp>
        <tr r="S179" s="2"/>
      </tp>
      <tp t="s">
        <v>#N/A Requesting Data...1253705707</v>
        <stp/>
        <stp>BDP|5104447335857036845</stp>
        <tr r="N2008" s="2"/>
      </tp>
      <tp t="s">
        <v>#N/A Requesting Data...570355749</v>
        <stp/>
        <stp>BDP|4481655083360749713</stp>
        <tr r="Q1336" s="2"/>
      </tp>
      <tp t="s">
        <v>#N/A Requesting Data...3467549134</v>
        <stp/>
        <stp>BDP|6663463131549599500</stp>
        <tr r="D1628" s="2"/>
      </tp>
      <tp t="s">
        <v>#N/A Requesting Data...686255142</v>
        <stp/>
        <stp>BDP|8258246840981001223</stp>
        <tr r="T1216" s="2"/>
      </tp>
      <tp t="s">
        <v>#N/A Requesting Data...1471918323</v>
        <stp/>
        <stp>BDP|8293431430922600039</stp>
        <tr r="E146" s="2"/>
      </tp>
      <tp t="s">
        <v>#N/A Requesting Data...4254192463</v>
        <stp/>
        <stp>BDP|8540506723142620049</stp>
        <tr r="D559" s="2"/>
      </tp>
      <tp t="s">
        <v>#N/A Requesting Data...864469208</v>
        <stp/>
        <stp>BDP|8436547811802261372</stp>
        <tr r="Q716" s="2"/>
      </tp>
      <tp t="b">
        <v>0</v>
        <stp/>
        <stp>BDS|7828570604069717688</stp>
        <tr r="I1037" s="2"/>
      </tp>
      <tp t="s">
        <v>#N/A Requesting Data...2392233310</v>
        <stp/>
        <stp>BDP|8502828705894638908</stp>
        <tr r="A1663" s="2"/>
      </tp>
      <tp t="s">
        <v>#N/A Requesting Data...2539890554</v>
        <stp/>
        <stp>BDP|7310264320379588345</stp>
        <tr r="A2388" s="2"/>
      </tp>
      <tp t="s">
        <v>#N/A Requesting Data...2165221327</v>
        <stp/>
        <stp>BDP|7520309996641752103</stp>
        <tr r="E318" s="2"/>
      </tp>
      <tp t="s">
        <v>#N/A Requesting Data...3370279187</v>
        <stp/>
        <stp>BDP|7706559286245437242</stp>
        <tr r="D1816" s="2"/>
      </tp>
      <tp t="s">
        <v>#N/A Requesting Data...2314488498</v>
        <stp/>
        <stp>BDP|6586560684601611755</stp>
        <tr r="K462" s="2"/>
      </tp>
      <tp t="s">
        <v>#N/A Requesting Data...774066019</v>
        <stp/>
        <stp>BDP|4971836805429395886</stp>
        <tr r="J912" s="2"/>
      </tp>
      <tp t="s">
        <v>#N/A Requesting Data...3861755328</v>
        <stp/>
        <stp>BDP|2143968069745912537</stp>
        <tr r="E1584" s="2"/>
      </tp>
      <tp t="s">
        <v>#N/A Requesting Data...986548364</v>
        <stp/>
        <stp>BDP|7572894306950861261</stp>
        <tr r="C2409" s="2"/>
      </tp>
      <tp t="s">
        <v>#N/A Requesting Data...3562215166</v>
        <stp/>
        <stp>BDP|2053922276371381031</stp>
        <tr r="N744" s="2"/>
      </tp>
      <tp t="s">
        <v>#N/A Requesting Data...1698961406</v>
        <stp/>
        <stp>BDP|5208161085814629536</stp>
        <tr r="D2314" s="2"/>
      </tp>
      <tp t="s">
        <v>#N/A Requesting Data...2855507322</v>
        <stp/>
        <stp>BDP|8358788671161625483</stp>
        <tr r="F717" s="2"/>
      </tp>
      <tp t="s">
        <v>#N/A Requesting Data...3356488003</v>
        <stp/>
        <stp>BDP|9525037932694278329</stp>
        <tr r="R1086" s="2"/>
      </tp>
      <tp t="s">
        <v>#N/A Requesting Data...2038786968</v>
        <stp/>
        <stp>BDP|7537706282930258514</stp>
        <tr r="N2361" s="2"/>
      </tp>
      <tp t="s">
        <v>#N/A Requesting Data...3017681612</v>
        <stp/>
        <stp>BDP|9757018014386504333</stp>
        <tr r="H2013" s="2"/>
      </tp>
      <tp t="s">
        <v>#N/A Requesting Data...1832270892</v>
        <stp/>
        <stp>BDP|8288065808954182190</stp>
        <tr r="R414" s="2"/>
      </tp>
      <tp t="s">
        <v>#N/A Requesting Data...2051287798</v>
        <stp/>
        <stp>BDP|6180923245206163033</stp>
        <tr r="E1200" s="2"/>
      </tp>
      <tp t="s">
        <v>#N/A Requesting Data...2977865314</v>
        <stp/>
        <stp>BDP|9309753432498985893</stp>
        <tr r="R586" s="2"/>
      </tp>
      <tp t="s">
        <v>#N/A Requesting Data...3348482148</v>
        <stp/>
        <stp>BDP|6977989561374519010</stp>
        <tr r="S656" s="2"/>
      </tp>
      <tp t="b">
        <v>0</v>
        <stp/>
        <stp>BDS|4690653666629479054</stp>
        <tr r="I881" s="2"/>
      </tp>
      <tp t="s">
        <v>#N/A Requesting Data...1574898515</v>
        <stp/>
        <stp>BDP|5106538334488712651</stp>
        <tr r="P1636" s="2"/>
      </tp>
      <tp t="s">
        <v>#N/A Requesting Data...2193230357</v>
        <stp/>
        <stp>BDP|4001828616654366437</stp>
        <tr r="A60" s="2"/>
      </tp>
      <tp t="s">
        <v>#N/A Requesting Data...690506514</v>
        <stp/>
        <stp>BDP|7734129258657107983</stp>
        <tr r="M822" s="2"/>
      </tp>
      <tp t="s">
        <v>#N/A Requesting Data...1041202266</v>
        <stp/>
        <stp>BDP|2401766685972116221</stp>
        <tr r="M2196" s="2"/>
      </tp>
      <tp t="s">
        <v>#N/A Requesting Data...2883685400</v>
        <stp/>
        <stp>BDP|4726328619619861205</stp>
        <tr r="A1876" s="2"/>
      </tp>
      <tp t="s">
        <v>#N/A Requesting Data...879549832</v>
        <stp/>
        <stp>BDP|6674079311969581310</stp>
        <tr r="S1103" s="2"/>
      </tp>
      <tp t="s">
        <v>#N/A Requesting Data...2625814342</v>
        <stp/>
        <stp>BDP|6946362685352835269</stp>
        <tr r="N84" s="2"/>
      </tp>
      <tp t="s">
        <v>#N/A Requesting Data...1074565177</v>
        <stp/>
        <stp>BDP|8654204702954806387</stp>
        <tr r="H786" s="2"/>
      </tp>
      <tp t="s">
        <v>#N/A Requesting Data...2348391800</v>
        <stp/>
        <stp>BDP|8542552701214588403</stp>
        <tr r="K839" s="2"/>
      </tp>
      <tp t="s">
        <v>#N/A Requesting Data...3490148352</v>
        <stp/>
        <stp>BDP|8430743974511283422</stp>
        <tr r="F80" s="2"/>
      </tp>
      <tp t="b">
        <v>0</v>
        <stp/>
        <stp>BDS|8021759440490870695</stp>
        <tr r="I2025" s="2"/>
      </tp>
      <tp t="s">
        <v>#N/A Requesting Data...2491122795</v>
        <stp/>
        <stp>BDP|1164858326611759713</stp>
        <tr r="C1089" s="2"/>
      </tp>
      <tp t="s">
        <v>#N/A Requesting Data...3970167914</v>
        <stp/>
        <stp>BDP|8948072658186119638</stp>
        <tr r="M620" s="2"/>
      </tp>
      <tp t="s">
        <v>#N/A Requesting Data...2692608677</v>
        <stp/>
        <stp>BDP|8543630352086330039</stp>
        <tr r="K1362" s="2"/>
      </tp>
      <tp t="s">
        <v>#N/A Requesting Data...1615492164</v>
        <stp/>
        <stp>BDP|8467353992036229956</stp>
        <tr r="J683" s="2"/>
      </tp>
      <tp t="s">
        <v>#N/A Requesting Data...2544196278</v>
        <stp/>
        <stp>BDP|8145522355300243500</stp>
        <tr r="F1471" s="2"/>
      </tp>
      <tp t="s">
        <v>#N/A Requesting Data...1337847720</v>
        <stp/>
        <stp>BDP|3634057732129112445</stp>
        <tr r="Q378" s="2"/>
      </tp>
      <tp t="s">
        <v>#N/A Requesting Data...4165588723</v>
        <stp/>
        <stp>BDP|6374376823569336306</stp>
        <tr r="G2048" s="2"/>
      </tp>
      <tp t="s">
        <v>#N/A Requesting Data...1344119323</v>
        <stp/>
        <stp>BDP|4270365535128169144</stp>
        <tr r="M2531" s="2"/>
      </tp>
      <tp t="s">
        <v>#N/A Requesting Data...1798390156</v>
        <stp/>
        <stp>BDP|6849539338649481432</stp>
        <tr r="J2043" s="2"/>
      </tp>
      <tp t="s">
        <v>#N/A Requesting Data...3174733385</v>
        <stp/>
        <stp>BDP|7119958798729975318</stp>
        <tr r="C2049" s="2"/>
      </tp>
      <tp t="s">
        <v>#N/A Requesting Data...3840788574</v>
        <stp/>
        <stp>BDP|8716442886450642972</stp>
        <tr r="K1363" s="2"/>
      </tp>
      <tp t="s">
        <v>#N/A Requesting Data...2807082237</v>
        <stp/>
        <stp>BDP|9192472753983444657</stp>
        <tr r="G738" s="2"/>
      </tp>
      <tp t="s">
        <v>#N/A Requesting Data...3646286603</v>
        <stp/>
        <stp>BDP|7356947908396211590</stp>
        <tr r="K604" s="2"/>
      </tp>
      <tp t="b">
        <v>0</v>
        <stp/>
        <stp>BDS|7158055921330355825</stp>
        <tr r="I751" s="2"/>
      </tp>
      <tp t="s">
        <v>#N/A Requesting Data...2575937276</v>
        <stp/>
        <stp>BDP|6299938927725463560</stp>
        <tr r="R724" s="2"/>
      </tp>
      <tp t="s">
        <v>#N/A Requesting Data...2468426681</v>
        <stp/>
        <stp>BDP|9399351946815103650</stp>
        <tr r="K658" s="2"/>
      </tp>
      <tp t="s">
        <v>#N/A Requesting Data...1923738002</v>
        <stp/>
        <stp>BDP|5182174982356971798</stp>
        <tr r="S846" s="2"/>
      </tp>
      <tp t="s">
        <v>#N/A Requesting Data...3805618047</v>
        <stp/>
        <stp>BDP|5802250911733177890</stp>
        <tr r="D1149" s="2"/>
      </tp>
      <tp t="s">
        <v>#N/A Requesting Data...4255941991</v>
        <stp/>
        <stp>BDP|9866049068770899281</stp>
        <tr r="O2050" s="2"/>
      </tp>
      <tp t="s">
        <v>#N/A Requesting Data...2842756658</v>
        <stp/>
        <stp>BDP|4194724483995570313</stp>
        <tr r="G705" s="2"/>
      </tp>
      <tp t="s">
        <v>#N/A Requesting Data...3499264126</v>
        <stp/>
        <stp>BDP|1298313040069335249</stp>
        <tr r="M1774" s="2"/>
      </tp>
      <tp t="s">
        <v>#N/A Requesting Data...1813848983</v>
        <stp/>
        <stp>BDP|9038052402473360703</stp>
        <tr r="K1189" s="2"/>
      </tp>
      <tp t="s">
        <v>#N/A Requesting Data...2971268422</v>
        <stp/>
        <stp>BDP|3359217894750530575</stp>
        <tr r="P1112" s="2"/>
      </tp>
      <tp t="s">
        <v>#N/A Requesting Data...1855013671</v>
        <stp/>
        <stp>BDP|1224081329879185760</stp>
        <tr r="O1636" s="2"/>
      </tp>
      <tp t="s">
        <v>#N/A Requesting Data...767681888</v>
        <stp/>
        <stp>BDP|8445463263085139247</stp>
        <tr r="C2400" s="2"/>
      </tp>
      <tp t="s">
        <v>#N/A Requesting Data...2013679681</v>
        <stp/>
        <stp>BDP|9297109573420420215</stp>
        <tr r="K1785" s="2"/>
      </tp>
      <tp t="s">
        <v>#N/A Requesting Data...2254271319</v>
        <stp/>
        <stp>BDP|9156165732217853194</stp>
        <tr r="H747" s="2"/>
      </tp>
      <tp t="s">
        <v>#N/A Requesting Data...2600481131</v>
        <stp/>
        <stp>BDP|7115476607587094958</stp>
        <tr r="C1352" s="2"/>
      </tp>
      <tp t="s">
        <v>#N/A Requesting Data...1717291976</v>
        <stp/>
        <stp>BDP|4688983597639886056</stp>
        <tr r="G2150" s="2"/>
      </tp>
      <tp t="s">
        <v>#N/A Requesting Data...3683873404</v>
        <stp/>
        <stp>BDP|7324536758033824944</stp>
        <tr r="E1994" s="2"/>
      </tp>
      <tp t="s">
        <v>#N/A Requesting Data...2947515828</v>
        <stp/>
        <stp>BDP|7906507256529357385</stp>
        <tr r="G379" s="2"/>
      </tp>
      <tp t="s">
        <v>#N/A Requesting Data...3811990966</v>
        <stp/>
        <stp>BDP|6365118154228665748</stp>
        <tr r="S1131" s="2"/>
      </tp>
      <tp t="s">
        <v>#N/A Requesting Data...1266518971</v>
        <stp/>
        <stp>BDP|3121832364346249605</stp>
        <tr r="K522" s="2"/>
      </tp>
      <tp t="s">
        <v>#N/A Requesting Data...1305757566</v>
        <stp/>
        <stp>BDP|5409770712707127947</stp>
        <tr r="P148" s="2"/>
      </tp>
      <tp t="s">
        <v>#N/A Requesting Data...2234499659</v>
        <stp/>
        <stp>BDP|1479263257608210331</stp>
        <tr r="G1077" s="2"/>
      </tp>
      <tp t="s">
        <v>#N/A Requesting Data...3771230171</v>
        <stp/>
        <stp>BDP|3019660527373240974</stp>
        <tr r="H821" s="2"/>
      </tp>
      <tp t="s">
        <v>#N/A Requesting Data...2898204981</v>
        <stp/>
        <stp>BDP|6153905905395607766</stp>
        <tr r="G771" s="2"/>
      </tp>
      <tp t="s">
        <v>#N/A Requesting Data...1354692369</v>
        <stp/>
        <stp>BDP|2397336395273782660</stp>
        <tr r="T1856" s="2"/>
      </tp>
      <tp t="s">
        <v>#N/A Requesting Data...2674002451</v>
        <stp/>
        <stp>BDP|5503992412473341397</stp>
        <tr r="P1734" s="2"/>
      </tp>
      <tp t="s">
        <v>#N/A Requesting Data...3004772251</v>
        <stp/>
        <stp>BDP|1365751073405259933</stp>
        <tr r="K500" s="2"/>
      </tp>
      <tp t="s">
        <v>#N/A Requesting Data...2256291265</v>
        <stp/>
        <stp>BDP|2580546795495096606</stp>
        <tr r="E1214" s="2"/>
      </tp>
      <tp t="s">
        <v>#N/A Requesting Data...4090506399</v>
        <stp/>
        <stp>BDP|3721339596544229049</stp>
        <tr r="N1139" s="2"/>
      </tp>
      <tp t="s">
        <v>#N/A Requesting Data...3749759635</v>
        <stp/>
        <stp>BDP|4155475193680147407</stp>
        <tr r="H806" s="2"/>
      </tp>
      <tp t="s">
        <v>#N/A Requesting Data...3480480001</v>
        <stp/>
        <stp>BDP|4842880444860811589</stp>
        <tr r="N689" s="2"/>
      </tp>
      <tp t="s">
        <v>#N/A Requesting Data...840455282</v>
        <stp/>
        <stp>BDP|6512368073598112759</stp>
        <tr r="C287" s="2"/>
      </tp>
      <tp t="s">
        <v>#N/A Requesting Data...2189985327</v>
        <stp/>
        <stp>BDP|4451654006526228912</stp>
        <tr r="J2469" s="2"/>
      </tp>
      <tp t="s">
        <v>#N/A Requesting Data...2843081569</v>
        <stp/>
        <stp>BDP|9180665071713491664</stp>
        <tr r="F2311" s="2"/>
      </tp>
      <tp t="s">
        <v>#N/A Requesting Data...3174332660</v>
        <stp/>
        <stp>BDP|1437306785154474314</stp>
        <tr r="C1543" s="2"/>
      </tp>
      <tp t="s">
        <v>#N/A Requesting Data...2986429545</v>
        <stp/>
        <stp>BDP|6195979351232144521</stp>
        <tr r="P1822" s="2"/>
      </tp>
      <tp t="s">
        <v>#N/A Requesting Data...3984855538</v>
        <stp/>
        <stp>BDP|4253958693718159118</stp>
        <tr r="D2049" s="2"/>
      </tp>
      <tp t="s">
        <v>#N/A Requesting Data...1305346129</v>
        <stp/>
        <stp>BDP|4985381860948566401</stp>
        <tr r="D1605" s="2"/>
      </tp>
      <tp t="s">
        <v>#N/A Requesting Data...4234371639</v>
        <stp/>
        <stp>BDP|5894159340799026492</stp>
        <tr r="G557" s="2"/>
      </tp>
      <tp t="s">
        <v>#N/A Requesting Data...1334176854</v>
        <stp/>
        <stp>BDP|1552859203710698415</stp>
        <tr r="H880" s="2"/>
      </tp>
      <tp t="s">
        <v>#N/A Requesting Data...2107693912</v>
        <stp/>
        <stp>BDP|4627802110198646842</stp>
        <tr r="H520" s="2"/>
      </tp>
      <tp t="s">
        <v>#N/A Requesting Data...3853176859</v>
        <stp/>
        <stp>BDP|2841366257611564884</stp>
        <tr r="D2304" s="2"/>
      </tp>
      <tp t="s">
        <v>#N/A Requesting Data...4189594455</v>
        <stp/>
        <stp>BDP|2371981105421925736</stp>
        <tr r="F1718" s="2"/>
      </tp>
      <tp t="s">
        <v>#N/A Requesting Data...1307979492</v>
        <stp/>
        <stp>BDP|5304135213929535129</stp>
        <tr r="A983" s="2"/>
      </tp>
      <tp t="s">
        <v>#N/A Requesting Data...3899002496</v>
        <stp/>
        <stp>BDP|4012189499972229375</stp>
        <tr r="M1637" s="2"/>
      </tp>
      <tp t="s">
        <v>#N/A Requesting Data...3669945735</v>
        <stp/>
        <stp>BDP|7689969106182106129</stp>
        <tr r="A85" s="2"/>
      </tp>
      <tp t="s">
        <v>#N/A Requesting Data...2299231970</v>
        <stp/>
        <stp>BDP|3611186019586138838</stp>
        <tr r="Q2262" s="2"/>
      </tp>
      <tp t="s">
        <v>#N/A Requesting Data...3065653247</v>
        <stp/>
        <stp>BDP|9787220543301733341</stp>
        <tr r="Q1449" s="2"/>
      </tp>
      <tp t="s">
        <v>#N/A Requesting Data...1864680920</v>
        <stp/>
        <stp>BDP|6412943295423760879</stp>
        <tr r="S1454" s="2"/>
      </tp>
      <tp t="s">
        <v>#N/A Requesting Data...3188162378</v>
        <stp/>
        <stp>BDP|8966998489194978051</stp>
        <tr r="K152" s="2"/>
      </tp>
      <tp t="s">
        <v>#N/A Requesting Data...2128368465</v>
        <stp/>
        <stp>BDP|5689858803963439313</stp>
        <tr r="F1743" s="2"/>
      </tp>
      <tp t="s">
        <v>#N/A Requesting Data...1818009914</v>
        <stp/>
        <stp>BDP|9566109845298309964</stp>
        <tr r="P1669" s="2"/>
      </tp>
      <tp t="s">
        <v>#N/A Requesting Data...962483984</v>
        <stp/>
        <stp>BDP|3495801011052335533</stp>
        <tr r="T627" s="2"/>
      </tp>
      <tp t="s">
        <v>#N/A Requesting Data...2923677876</v>
        <stp/>
        <stp>BDP|7262694881904726081</stp>
        <tr r="S1284" s="2"/>
      </tp>
      <tp t="s">
        <v>#N/A Requesting Data...1498930928</v>
        <stp/>
        <stp>BDP|9290868541219338138</stp>
        <tr r="P2052" s="2"/>
      </tp>
      <tp t="s">
        <v>#N/A Requesting Data...2160633676</v>
        <stp/>
        <stp>BDP|8128287765849026897</stp>
        <tr r="P200" s="2"/>
      </tp>
      <tp t="s">
        <v>#N/A Requesting Data...4129051830</v>
        <stp/>
        <stp>BDP|8089192568775723737</stp>
        <tr r="Q317" s="2"/>
      </tp>
      <tp t="s">
        <v>#N/A Requesting Data...3203986448</v>
        <stp/>
        <stp>BDP|9630527672975030335</stp>
        <tr r="J739" s="2"/>
      </tp>
      <tp t="s">
        <v>#N/A Requesting Data...2804374331</v>
        <stp/>
        <stp>BDP|2298222917845397911</stp>
        <tr r="D1341" s="2"/>
      </tp>
      <tp t="s">
        <v>#N/A Requesting Data...2705471589</v>
        <stp/>
        <stp>BDP|4031720507898259624</stp>
        <tr r="H975" s="2"/>
      </tp>
      <tp t="s">
        <v>#N/A Requesting Data...2824476957</v>
        <stp/>
        <stp>BDP|9967764531778373888</stp>
        <tr r="S597" s="2"/>
      </tp>
      <tp t="s">
        <v>#N/A Requesting Data...3677576119</v>
        <stp/>
        <stp>BDP|6097047019073810905</stp>
        <tr r="K397" s="2"/>
      </tp>
      <tp t="s">
        <v>#N/A Requesting Data...2574937834</v>
        <stp/>
        <stp>BDP|6416206171327366938</stp>
        <tr r="H1234" s="2"/>
      </tp>
      <tp t="s">
        <v>#N/A Requesting Data...2787923330</v>
        <stp/>
        <stp>BDP|1997172960429344281</stp>
        <tr r="A2325" s="2"/>
      </tp>
      <tp t="s">
        <v>#N/A Requesting Data...3175616419</v>
        <stp/>
        <stp>BDP|2311551383800004205</stp>
        <tr r="N224" s="2"/>
      </tp>
      <tp t="s">
        <v>#N/A Requesting Data...1300803564</v>
        <stp/>
        <stp>BDP|2476909262452360201</stp>
        <tr r="F1521" s="2"/>
      </tp>
      <tp t="s">
        <v>#N/A Requesting Data...1372642276</v>
        <stp/>
        <stp>BDP|7699848624386684657</stp>
        <tr r="G1567" s="2"/>
      </tp>
      <tp t="s">
        <v>#N/A Requesting Data...2170403490</v>
        <stp/>
        <stp>BDP|7008445061471192915</stp>
        <tr r="H1086" s="2"/>
      </tp>
      <tp t="b">
        <v>0</v>
        <stp/>
        <stp>BDS|7463472673500098956</stp>
        <tr r="I464" s="2"/>
      </tp>
      <tp t="s">
        <v>#N/A Requesting Data...908317220</v>
        <stp/>
        <stp>BDP|3245082995412873528</stp>
        <tr r="N1967" s="2"/>
      </tp>
      <tp t="s">
        <v>#N/A Requesting Data...2061287748</v>
        <stp/>
        <stp>BDP|4158311643888349655</stp>
        <tr r="R396" s="2"/>
      </tp>
      <tp t="s">
        <v>#N/A Requesting Data...1264866283</v>
        <stp/>
        <stp>BDP|5875380380891617233</stp>
        <tr r="M183" s="2"/>
      </tp>
      <tp t="s">
        <v>#N/A Requesting Data...950507878</v>
        <stp/>
        <stp>BDP|6061624517724893880</stp>
        <tr r="G403" s="2"/>
      </tp>
      <tp t="s">
        <v>#N/A Requesting Data...1993222312</v>
        <stp/>
        <stp>BDP|9137072344823035376</stp>
        <tr r="H1656" s="2"/>
      </tp>
      <tp t="s">
        <v>#N/A Requesting Data...2134083315</v>
        <stp/>
        <stp>BDP|9079379917647769122</stp>
        <tr r="A1143" s="2"/>
      </tp>
      <tp t="s">
        <v>#N/A Requesting Data...1345796177</v>
        <stp/>
        <stp>BDP|3604402881513585173</stp>
        <tr r="A2317" s="2"/>
      </tp>
      <tp t="s">
        <v>#N/A Requesting Data...2589024225</v>
        <stp/>
        <stp>BDP|6718289188057708657</stp>
        <tr r="G1351" s="2"/>
      </tp>
      <tp t="s">
        <v>#N/A Requesting Data...1696478411</v>
        <stp/>
        <stp>BDP|7191662190582066727</stp>
        <tr r="O1756" s="2"/>
      </tp>
      <tp t="s">
        <v>#N/A Requesting Data...2568254545</v>
        <stp/>
        <stp>BDP|2910358169853661969</stp>
        <tr r="Q1601" s="2"/>
      </tp>
      <tp t="s">
        <v>#N/A Requesting Data...1651186587</v>
        <stp/>
        <stp>BDP|5583146799402475293</stp>
        <tr r="M2403" s="2"/>
      </tp>
      <tp t="s">
        <v>#N/A Requesting Data...2385908397</v>
        <stp/>
        <stp>BDP|3593162486482845585</stp>
        <tr r="Q1687" s="2"/>
      </tp>
      <tp t="s">
        <v>#N/A Requesting Data...2129512154</v>
        <stp/>
        <stp>BDP|9784647745530684653</stp>
        <tr r="T2244" s="2"/>
      </tp>
      <tp t="s">
        <v>#N/A Requesting Data...3730521604</v>
        <stp/>
        <stp>BDP|8016045125371135655</stp>
        <tr r="C2028" s="2"/>
      </tp>
      <tp t="s">
        <v>#N/A Requesting Data...3562569877</v>
        <stp/>
        <stp>BDP|1981828442072811240</stp>
        <tr r="C38" s="2"/>
      </tp>
      <tp t="b">
        <v>0</v>
        <stp/>
        <stp>BDS|6700462988797973050</stp>
        <tr r="I1602" s="2"/>
      </tp>
      <tp t="s">
        <v>#N/A Requesting Data...2010331078</v>
        <stp/>
        <stp>BDP|4702316183403707172</stp>
        <tr r="N1233" s="2"/>
      </tp>
      <tp t="s">
        <v>#N/A Requesting Data...1169678693</v>
        <stp/>
        <stp>BDP|7083490325929852514</stp>
        <tr r="N290" s="2"/>
      </tp>
      <tp t="s">
        <v>#N/A Requesting Data...3596826829</v>
        <stp/>
        <stp>BDP|1126325703149447612</stp>
        <tr r="E1440" s="2"/>
      </tp>
      <tp t="s">
        <v>#N/A Requesting Data...2413415973</v>
        <stp/>
        <stp>BDP|6140810538471531183</stp>
        <tr r="E1240" s="2"/>
      </tp>
      <tp t="s">
        <v>#N/A Requesting Data...2222552981</v>
        <stp/>
        <stp>BDP|4449122655518733510</stp>
        <tr r="K628" s="2"/>
      </tp>
      <tp t="s">
        <v>#N/A Requesting Data...3970903162</v>
        <stp/>
        <stp>BDP|1042744766964418938</stp>
        <tr r="E760" s="2"/>
      </tp>
      <tp t="s">
        <v>#N/A Requesting Data...3963706392</v>
        <stp/>
        <stp>BDP|5675380684205648691</stp>
        <tr r="O1527" s="2"/>
      </tp>
      <tp t="b">
        <v>0</v>
        <stp/>
        <stp>BDS|6885904301644409689</stp>
        <tr r="I1842" s="2"/>
      </tp>
      <tp t="s">
        <v>#N/A Requesting Data...1983690663</v>
        <stp/>
        <stp>BDP|1642847915290057527</stp>
        <tr r="D471" s="2"/>
      </tp>
      <tp t="s">
        <v>#N/A Requesting Data...2871129211</v>
        <stp/>
        <stp>BDP|6322040203432103905</stp>
        <tr r="D1057" s="2"/>
      </tp>
      <tp t="s">
        <v>#N/A Requesting Data...1544173584</v>
        <stp/>
        <stp>BDP|8527265467178674972</stp>
        <tr r="P2362" s="2"/>
      </tp>
      <tp t="s">
        <v>#N/A Requesting Data...3246081410</v>
        <stp/>
        <stp>BDP|3966296785232263627</stp>
        <tr r="O1179" s="2"/>
      </tp>
      <tp t="s">
        <v>#N/A Requesting Data...1328908612</v>
        <stp/>
        <stp>BDP|6327251388427974623</stp>
        <tr r="F1527" s="2"/>
      </tp>
      <tp t="s">
        <v>#N/A Requesting Data...1824529062</v>
        <stp/>
        <stp>BDP|4627429594972258674</stp>
        <tr r="A828" s="2"/>
      </tp>
      <tp t="s">
        <v>#N/A Requesting Data...4054869489</v>
        <stp/>
        <stp>BDP|8158387077033936222</stp>
        <tr r="G859" s="2"/>
      </tp>
      <tp t="s">
        <v>#N/A Requesting Data...2601392882</v>
        <stp/>
        <stp>BDP|5884314355018098696</stp>
        <tr r="M1384" s="2"/>
      </tp>
      <tp t="s">
        <v>#N/A Requesting Data...3891178186</v>
        <stp/>
        <stp>BDP|8387859932648130607</stp>
        <tr r="J1074" s="2"/>
      </tp>
      <tp t="s">
        <v>#N/A Requesting Data...2406873419</v>
        <stp/>
        <stp>BDP|6614807593193843980</stp>
        <tr r="Q1174" s="2"/>
      </tp>
      <tp t="s">
        <v>#N/A Requesting Data...3920764132</v>
        <stp/>
        <stp>BDP|3338428855909114601</stp>
        <tr r="M495" s="2"/>
      </tp>
      <tp t="s">
        <v>#N/A Requesting Data...3638225748</v>
        <stp/>
        <stp>BDP|4403522679829203288</stp>
        <tr r="F2335" s="2"/>
      </tp>
      <tp t="s">
        <v>#N/A Requesting Data...2956056930</v>
        <stp/>
        <stp>BDP|4652259450967359952</stp>
        <tr r="F723" s="2"/>
      </tp>
      <tp t="s">
        <v>#N/A Requesting Data...1593393965</v>
        <stp/>
        <stp>BDP|4548112086143557320</stp>
        <tr r="O1654" s="2"/>
      </tp>
      <tp t="s">
        <v>#N/A Requesting Data...4056064579</v>
        <stp/>
        <stp>BDP|7716856547433514557</stp>
        <tr r="H861" s="2"/>
      </tp>
      <tp t="s">
        <v>#N/A Requesting Data...4147578656</v>
        <stp/>
        <stp>BDP|5967846441113075793</stp>
        <tr r="R196" s="2"/>
      </tp>
      <tp t="s">
        <v>#N/A Requesting Data...2847510199</v>
        <stp/>
        <stp>BDP|6218504391057629002</stp>
        <tr r="C986" s="2"/>
      </tp>
      <tp t="s">
        <v>#N/A Requesting Data...1190616421</v>
        <stp/>
        <stp>BDP|9953894210724724921</stp>
        <tr r="G176" s="2"/>
      </tp>
      <tp t="s">
        <v>#N/A Requesting Data...2313737339</v>
        <stp/>
        <stp>BDP|7054226655374514974</stp>
        <tr r="G1407" s="2"/>
      </tp>
      <tp t="s">
        <v>#N/A Requesting Data...3726146736</v>
        <stp/>
        <stp>BDP|4703907794668118175</stp>
        <tr r="M2155" s="2"/>
      </tp>
      <tp t="s">
        <v>#N/A Requesting Data...2696337230</v>
        <stp/>
        <stp>BDP|9707604372827802288</stp>
        <tr r="Q753" s="2"/>
      </tp>
      <tp t="s">
        <v>#N/A Requesting Data...3240114856</v>
        <stp/>
        <stp>BDP|7091429483713517512</stp>
        <tr r="J2033" s="2"/>
      </tp>
      <tp t="s">
        <v>#N/A Requesting Data...1233801224</v>
        <stp/>
        <stp>BDP|9532861306238171413</stp>
        <tr r="O1655" s="2"/>
      </tp>
      <tp t="s">
        <v>#N/A Requesting Data...3064702379</v>
        <stp/>
        <stp>BDP|6663860870123737720</stp>
        <tr r="D389" s="2"/>
      </tp>
      <tp t="s">
        <v>#N/A Requesting Data...1367070989</v>
        <stp/>
        <stp>BDP|7319706103368680538</stp>
        <tr r="K1223" s="2"/>
      </tp>
      <tp t="s">
        <v>#N/A Requesting Data...1845630403</v>
        <stp/>
        <stp>BDP|9579314145503707032</stp>
        <tr r="E2122" s="2"/>
      </tp>
      <tp t="s">
        <v>#N/A Requesting Data...3277747555</v>
        <stp/>
        <stp>BDP|1720956052102604232</stp>
        <tr r="R263" s="2"/>
      </tp>
      <tp t="s">
        <v>#N/A Requesting Data...3183510916</v>
        <stp/>
        <stp>BDP|5113930112544002453</stp>
        <tr r="D2103" s="2"/>
      </tp>
      <tp t="s">
        <v>#N/A Requesting Data...2409248981</v>
        <stp/>
        <stp>BDP|9301718102654101749</stp>
        <tr r="O1426" s="2"/>
      </tp>
      <tp t="s">
        <v>#N/A Requesting Data...1016195022</v>
        <stp/>
        <stp>BDP|3397919599157642982</stp>
        <tr r="F766" s="2"/>
      </tp>
      <tp t="s">
        <v>#N/A Requesting Data...2705258668</v>
        <stp/>
        <stp>BDP|3954948619803274535</stp>
        <tr r="N1992" s="2"/>
      </tp>
      <tp t="s">
        <v>#N/A Requesting Data...3659708286</v>
        <stp/>
        <stp>BDP|9481069102382144641</stp>
        <tr r="O2283" s="2"/>
      </tp>
      <tp t="s">
        <v>#N/A Requesting Data...3681931285</v>
        <stp/>
        <stp>BDP|7593102481284167708</stp>
        <tr r="O1715" s="2"/>
      </tp>
      <tp t="s">
        <v>#N/A Requesting Data...2773572906</v>
        <stp/>
        <stp>BDP|4392319127418028001</stp>
        <tr r="A122" s="2"/>
      </tp>
      <tp t="s">
        <v>#N/A Requesting Data...1323859150</v>
        <stp/>
        <stp>BDP|3334665230652847982</stp>
        <tr r="N2028" s="2"/>
      </tp>
      <tp t="s">
        <v>#N/A Requesting Data...1907874920</v>
        <stp/>
        <stp>BDP|7694120086595299653</stp>
        <tr r="D1317" s="2"/>
      </tp>
      <tp t="s">
        <v>#N/A Requesting Data...2084451999</v>
        <stp/>
        <stp>BDP|7718528090882731474</stp>
        <tr r="D1673" s="2"/>
      </tp>
      <tp t="s">
        <v>#N/A Requesting Data...3400646262</v>
        <stp/>
        <stp>BDP|9853623495878291381</stp>
        <tr r="G2278" s="2"/>
      </tp>
      <tp t="s">
        <v>#N/A Requesting Data...1942653774</v>
        <stp/>
        <stp>BDP|1417107170613525944</stp>
        <tr r="A2481" s="2"/>
      </tp>
      <tp t="s">
        <v>#N/A Requesting Data...2882204449</v>
        <stp/>
        <stp>BDP|8240334636365552070</stp>
        <tr r="F1666" s="2"/>
      </tp>
      <tp t="s">
        <v>#N/A Requesting Data...2552054923</v>
        <stp/>
        <stp>BDP|7630812500004376610</stp>
        <tr r="Q158" s="2"/>
      </tp>
      <tp t="s">
        <v>#N/A Requesting Data...2965646661</v>
        <stp/>
        <stp>BDP|1432119404439908727</stp>
        <tr r="O2454" s="2"/>
      </tp>
      <tp t="s">
        <v>#N/A Requesting Data...3216945584</v>
        <stp/>
        <stp>BDP|3483050563242106992</stp>
        <tr r="J849" s="2"/>
      </tp>
      <tp t="s">
        <v>#N/A Requesting Data...1725086481</v>
        <stp/>
        <stp>BDP|7280110299362040307</stp>
        <tr r="K2424" s="2"/>
      </tp>
      <tp t="s">
        <v>#N/A Requesting Data...3151717423</v>
        <stp/>
        <stp>BDP|9410658240942803738</stp>
        <tr r="C861" s="2"/>
      </tp>
      <tp t="s">
        <v>#N/A Requesting Data...2632604943</v>
        <stp/>
        <stp>BDP|3814495781862265382</stp>
        <tr r="T1873" s="2"/>
      </tp>
      <tp t="s">
        <v>#N/A Requesting Data...3031827737</v>
        <stp/>
        <stp>BDP|7722982781969573116</stp>
        <tr r="G784" s="2"/>
      </tp>
      <tp t="s">
        <v>#N/A Requesting Data...2653835665</v>
        <stp/>
        <stp>BDP|1313071311987924963</stp>
        <tr r="O2461" s="2"/>
      </tp>
      <tp t="s">
        <v>#N/A Requesting Data...3639142972</v>
        <stp/>
        <stp>BDP|6335880990920612973</stp>
        <tr r="N1624" s="2"/>
      </tp>
      <tp t="s">
        <v>#N/A Requesting Data...3579986632</v>
        <stp/>
        <stp>BDP|7214219850206022890</stp>
        <tr r="S949" s="2"/>
      </tp>
      <tp t="b">
        <v>0</v>
        <stp/>
        <stp>BDS|1036908959061116221</stp>
        <tr r="I2307" s="2"/>
      </tp>
      <tp t="s">
        <v>#N/A Requesting Data...1621141943</v>
        <stp/>
        <stp>BDP|7294045197395314586</stp>
        <tr r="T304" s="2"/>
      </tp>
      <tp t="s">
        <v>#N/A Requesting Data...1476862708</v>
        <stp/>
        <stp>BDP|1107498713339980388</stp>
        <tr r="H723" s="2"/>
      </tp>
      <tp t="s">
        <v>#N/A Requesting Data...2081437261</v>
        <stp/>
        <stp>BDP|9523983937005926898</stp>
        <tr r="O45" s="2"/>
      </tp>
      <tp t="s">
        <v>#N/A Requesting Data...1932021227</v>
        <stp/>
        <stp>BDP|4888140463639105445</stp>
        <tr r="H123" s="2"/>
      </tp>
      <tp t="s">
        <v>#N/A Requesting Data...2890409949</v>
        <stp/>
        <stp>BDP|6643820846157995317</stp>
        <tr r="F857" s="2"/>
      </tp>
      <tp t="b">
        <v>0</v>
        <stp/>
        <stp>BDS|7216814559903707775</stp>
        <tr r="I1308" s="2"/>
      </tp>
      <tp t="s">
        <v>#N/A Requesting Data...3466823735</v>
        <stp/>
        <stp>BDP|4244784013905451976</stp>
        <tr r="C881" s="2"/>
      </tp>
      <tp t="s">
        <v>#N/A Requesting Data...1420087123</v>
        <stp/>
        <stp>BDP|7099333480161027393</stp>
        <tr r="D1144" s="2"/>
      </tp>
      <tp t="s">
        <v>#N/A Requesting Data...3774900166</v>
        <stp/>
        <stp>BDP|5719991275874963184</stp>
        <tr r="D2388" s="2"/>
      </tp>
      <tp t="s">
        <v>#N/A Requesting Data...4284641290</v>
        <stp/>
        <stp>BDP|3456099593413459707</stp>
        <tr r="D1695" s="2"/>
      </tp>
      <tp t="s">
        <v>#N/A Requesting Data...2554413596</v>
        <stp/>
        <stp>BDP|6101028677166757990</stp>
        <tr r="O354" s="2"/>
      </tp>
      <tp t="s">
        <v>#N/A Requesting Data...2435563294</v>
        <stp/>
        <stp>BDP|6261172566129880611</stp>
        <tr r="Q1781" s="2"/>
      </tp>
      <tp t="s">
        <v>#N/A Requesting Data...3661083596</v>
        <stp/>
        <stp>BDP|4086194438349846137</stp>
        <tr r="G158" s="2"/>
      </tp>
      <tp t="s">
        <v>#N/A Requesting Data...1404486698</v>
        <stp/>
        <stp>BDP|1158471758367637928</stp>
        <tr r="R658" s="2"/>
      </tp>
      <tp t="s">
        <v>#N/A Requesting Data...2593923161</v>
        <stp/>
        <stp>BDP|7850850468442748589</stp>
        <tr r="K1379" s="2"/>
      </tp>
      <tp t="s">
        <v>#N/A Requesting Data...1781696010</v>
        <stp/>
        <stp>BDP|1566446420600388982</stp>
        <tr r="J1657" s="2"/>
      </tp>
      <tp t="s">
        <v>#N/A Requesting Data...3014319923</v>
        <stp/>
        <stp>BDP|6974369307119299209</stp>
        <tr r="N1975" s="2"/>
      </tp>
      <tp t="s">
        <v>#N/A Requesting Data...3192032569</v>
        <stp/>
        <stp>BDP|6448479125268596699</stp>
        <tr r="E496" s="2"/>
      </tp>
      <tp t="s">
        <v>#N/A Requesting Data...3664548982</v>
        <stp/>
        <stp>BDP|1166998040792079020</stp>
        <tr r="N1921" s="2"/>
      </tp>
      <tp t="s">
        <v>#N/A Requesting Data...2355077846</v>
        <stp/>
        <stp>BDP|5226651517038396494</stp>
        <tr r="G2501" s="2"/>
      </tp>
      <tp t="s">
        <v>#N/A Requesting Data...4150076311</v>
        <stp/>
        <stp>BDP|8480125413713702584</stp>
        <tr r="M560" s="2"/>
      </tp>
      <tp t="s">
        <v>#N/A Requesting Data...3170960064</v>
        <stp/>
        <stp>BDP|5149712809054116829</stp>
        <tr r="A630" s="2"/>
      </tp>
      <tp t="s">
        <v>#N/A Requesting Data...2016037871</v>
        <stp/>
        <stp>BDP|2246455600851419996</stp>
        <tr r="S124" s="2"/>
      </tp>
      <tp t="s">
        <v>#N/A Requesting Data...1757551869</v>
        <stp/>
        <stp>BDP|6364268245557368993</stp>
        <tr r="J2235" s="2"/>
      </tp>
      <tp t="s">
        <v>#N/A Requesting Data...1854416297</v>
        <stp/>
        <stp>BDP|9733267619174199032</stp>
        <tr r="F1881" s="2"/>
      </tp>
      <tp t="s">
        <v>#N/A Requesting Data...2636557485</v>
        <stp/>
        <stp>BDP|9942495723173912200</stp>
        <tr r="E1909" s="2"/>
      </tp>
      <tp t="s">
        <v>#N/A Requesting Data...1486352134</v>
        <stp/>
        <stp>BDP|3865937353862011329</stp>
        <tr r="O1841" s="2"/>
      </tp>
      <tp t="s">
        <v>#N/A Requesting Data...2992227001</v>
        <stp/>
        <stp>BDP|7106285579189333596</stp>
        <tr r="A1688" s="2"/>
      </tp>
      <tp t="s">
        <v>#N/A Requesting Data...2448088206</v>
        <stp/>
        <stp>BDP|2835094981985295187</stp>
        <tr r="N2178" s="2"/>
      </tp>
      <tp t="s">
        <v>#N/A Requesting Data...1316522937</v>
        <stp/>
        <stp>BDP|2559945739047687148</stp>
        <tr r="Q1691" s="2"/>
      </tp>
      <tp t="s">
        <v>#N/A Requesting Data...2425751280</v>
        <stp/>
        <stp>BDP|8405784981591438832</stp>
        <tr r="E1388" s="2"/>
      </tp>
      <tp t="s">
        <v>#N/A Requesting Data...4220810564</v>
        <stp/>
        <stp>BDP|8918074295608614772</stp>
        <tr r="C1594" s="2"/>
      </tp>
      <tp t="b">
        <v>0</v>
        <stp/>
        <stp>BDS|6539947299348637047</stp>
        <tr r="I2299" s="2"/>
      </tp>
      <tp t="s">
        <v>#N/A Requesting Data...1262269804</v>
        <stp/>
        <stp>BDP|3279236101996825929</stp>
        <tr r="Q1226" s="2"/>
      </tp>
      <tp t="s">
        <v>#N/A Requesting Data...2140327249</v>
        <stp/>
        <stp>BDP|4586864764006875258</stp>
        <tr r="P2208" s="2"/>
      </tp>
      <tp t="s">
        <v>#N/A Requesting Data...2986890148</v>
        <stp/>
        <stp>BDP|9916964381452665424</stp>
        <tr r="O315" s="2"/>
      </tp>
      <tp t="s">
        <v>#N/A Requesting Data...3570801899</v>
        <stp/>
        <stp>BDP|6667876809581234105</stp>
        <tr r="F296" s="2"/>
      </tp>
      <tp t="s">
        <v>#N/A Requesting Data...3385343836</v>
        <stp/>
        <stp>BDP|8895460527931643156</stp>
        <tr r="Q1172" s="2"/>
      </tp>
      <tp t="b">
        <v>0</v>
        <stp/>
        <stp>BDS|5355885556605360341</stp>
        <tr r="I1447" s="2"/>
      </tp>
      <tp t="s">
        <v>#N/A Requesting Data...1205786242</v>
        <stp/>
        <stp>BDP|6618394786482105123</stp>
        <tr r="K1875" s="2"/>
      </tp>
      <tp t="s">
        <v>#N/A Requesting Data...2360035169</v>
        <stp/>
        <stp>BDP|8995280657127592693</stp>
        <tr r="D1887" s="2"/>
      </tp>
      <tp t="s">
        <v>#N/A Requesting Data...2155382949</v>
        <stp/>
        <stp>BDP|2132016345440710885</stp>
        <tr r="Q590" s="2"/>
      </tp>
      <tp t="s">
        <v>#N/A Requesting Data...2225213322</v>
        <stp/>
        <stp>BDP|6219089872909644640</stp>
        <tr r="H1986" s="2"/>
      </tp>
      <tp t="s">
        <v>#N/A Requesting Data...2322855471</v>
        <stp/>
        <stp>BDP|8296493798623095890</stp>
        <tr r="R1917" s="2"/>
      </tp>
      <tp t="s">
        <v>#N/A Requesting Data...3351084991</v>
        <stp/>
        <stp>BDP|3137680439871363998</stp>
        <tr r="S2494" s="2"/>
      </tp>
      <tp t="s">
        <v>#N/A Requesting Data...3678119738</v>
        <stp/>
        <stp>BDP|9875832410619929784</stp>
        <tr r="Q196" s="2"/>
      </tp>
      <tp t="s">
        <v>#N/A Requesting Data...4112341918</v>
        <stp/>
        <stp>BDP|5637857599003005900</stp>
        <tr r="R1446" s="2"/>
      </tp>
      <tp t="s">
        <v>#N/A Requesting Data...1344399622</v>
        <stp/>
        <stp>BDP|7846776400008042652</stp>
        <tr r="F2169" s="2"/>
      </tp>
      <tp t="s">
        <v>#N/A Requesting Data...3455922714</v>
        <stp/>
        <stp>BDP|5927915200824134638</stp>
        <tr r="H295" s="2"/>
      </tp>
      <tp t="s">
        <v>#N/A Requesting Data...2298972735</v>
        <stp/>
        <stp>BDP|5560806212441475394</stp>
        <tr r="E828" s="2"/>
      </tp>
      <tp t="s">
        <v>#N/A Requesting Data...2144417744</v>
        <stp/>
        <stp>BDP|5179500799437612045</stp>
        <tr r="O1827" s="2"/>
      </tp>
      <tp t="b">
        <v>0</v>
        <stp/>
        <stp>BDS|6700487667503449962</stp>
        <tr r="I608" s="2"/>
      </tp>
      <tp t="s">
        <v>#N/A Requesting Data...4140200489</v>
        <stp/>
        <stp>BDP|7690460349269755048</stp>
        <tr r="J299" s="2"/>
      </tp>
      <tp t="s">
        <v>#N/A Requesting Data...2462924493</v>
        <stp/>
        <stp>BDP|4179750632149453785</stp>
        <tr r="S67" s="2"/>
      </tp>
      <tp t="s">
        <v>#N/A Requesting Data...1544996828</v>
        <stp/>
        <stp>BDP|5628267526353441884</stp>
        <tr r="P1796" s="2"/>
      </tp>
      <tp t="s">
        <v>#N/A Requesting Data...3691902400</v>
        <stp/>
        <stp>BDP|7122489989962376793</stp>
        <tr r="O1450" s="2"/>
      </tp>
      <tp t="s">
        <v>#N/A Requesting Data...1477749062</v>
        <stp/>
        <stp>BDP|3124009547540460991</stp>
        <tr r="N114" s="2"/>
      </tp>
      <tp t="s">
        <v>#N/A Requesting Data...3680503784</v>
        <stp/>
        <stp>BDP|7753671216088559688</stp>
        <tr r="M195" s="2"/>
      </tp>
      <tp t="s">
        <v>#N/A Requesting Data...1701039967</v>
        <stp/>
        <stp>BDP|5951529220579626562</stp>
        <tr r="D1714" s="2"/>
      </tp>
      <tp t="s">
        <v>#N/A Requesting Data...4013165866</v>
        <stp/>
        <stp>BDP|2977561718460427888</stp>
        <tr r="T1354" s="2"/>
      </tp>
      <tp t="s">
        <v>#N/A Requesting Data...3263796089</v>
        <stp/>
        <stp>BDP|4838564843808631304</stp>
        <tr r="N1507" s="2"/>
      </tp>
      <tp t="s">
        <v>#N/A Requesting Data...2924502391</v>
        <stp/>
        <stp>BDP|9554986292542193557</stp>
        <tr r="P1226" s="2"/>
      </tp>
      <tp t="s">
        <v>#N/A Requesting Data...4125406764</v>
        <stp/>
        <stp>BDP|3800801343471197014</stp>
        <tr r="R2265" s="2"/>
      </tp>
      <tp t="s">
        <v>#N/A Requesting Data...3757564097</v>
        <stp/>
        <stp>BDP|9388390774601442211</stp>
        <tr r="T1455" s="2"/>
      </tp>
      <tp t="s">
        <v>#N/A Requesting Data...3700535479</v>
        <stp/>
        <stp>BDP|1038998038101870426</stp>
        <tr r="M1661" s="2"/>
      </tp>
      <tp t="s">
        <v>#N/A Requesting Data...3588792765</v>
        <stp/>
        <stp>BDP|7694250846348782799</stp>
        <tr r="O2438" s="2"/>
      </tp>
      <tp t="s">
        <v>#N/A Requesting Data...2346347568</v>
        <stp/>
        <stp>BDP|1565589675474647955</stp>
        <tr r="H256" s="2"/>
      </tp>
      <tp t="s">
        <v>#N/A Requesting Data...3152031397</v>
        <stp/>
        <stp>BDP|8366660708846238647</stp>
        <tr r="F2372" s="2"/>
      </tp>
      <tp t="s">
        <v>#N/A Requesting Data...2541908262</v>
        <stp/>
        <stp>BDP|8287572514392335090</stp>
        <tr r="K17" s="2"/>
      </tp>
      <tp t="s">
        <v>#N/A Requesting Data...3995291561</v>
        <stp/>
        <stp>BDP|4447048704593770984</stp>
        <tr r="P1168" s="2"/>
      </tp>
      <tp t="s">
        <v>#N/A Requesting Data...2093479489</v>
        <stp/>
        <stp>BDP|3139056802949920443</stp>
        <tr r="J2134" s="2"/>
      </tp>
      <tp t="s">
        <v>#N/A Requesting Data...2218517819</v>
        <stp/>
        <stp>BDP|7299648111997940951</stp>
        <tr r="Q1741" s="2"/>
      </tp>
      <tp t="s">
        <v>#N/A Requesting Data...2923693083</v>
        <stp/>
        <stp>BDP|9522401171074879079</stp>
        <tr r="O70" s="2"/>
      </tp>
      <tp t="s">
        <v>#N/A Requesting Data...2831818074</v>
        <stp/>
        <stp>BDP|2709770674815920967</stp>
        <tr r="N1920" s="2"/>
      </tp>
      <tp t="s">
        <v>#N/A Requesting Data...3239711346</v>
        <stp/>
        <stp>BDP|6494552011899295597</stp>
        <tr r="J2265" s="2"/>
      </tp>
      <tp t="s">
        <v>#N/A Requesting Data...1537630109</v>
        <stp/>
        <stp>BDP|1887026241193610862</stp>
        <tr r="K2323" s="2"/>
      </tp>
      <tp t="s">
        <v>#N/A Requesting Data...3700967408</v>
        <stp/>
        <stp>BDP|6479034519749797021</stp>
        <tr r="R2311" s="2"/>
      </tp>
      <tp t="s">
        <v>#N/A Requesting Data...3550767606</v>
        <stp/>
        <stp>BDP|4892678560678617229</stp>
        <tr r="D1068" s="2"/>
      </tp>
      <tp t="s">
        <v>#N/A Requesting Data...2944074028</v>
        <stp/>
        <stp>BDP|4014040389534534638</stp>
        <tr r="N927" s="2"/>
      </tp>
      <tp t="s">
        <v>#N/A Requesting Data...1388477681</v>
        <stp/>
        <stp>BDP|2789615736469909026</stp>
        <tr r="A2142" s="2"/>
      </tp>
      <tp t="s">
        <v>#N/A Requesting Data...3355415201</v>
        <stp/>
        <stp>BDP|5214198187246623416</stp>
        <tr r="N1370" s="2"/>
      </tp>
      <tp t="s">
        <v>#N/A Requesting Data...2116810161</v>
        <stp/>
        <stp>BDP|3111816209346439368</stp>
        <tr r="E930" s="2"/>
      </tp>
      <tp t="s">
        <v>#N/A Requesting Data...3971754690</v>
        <stp/>
        <stp>BDP|8838897701826372884</stp>
        <tr r="O597" s="2"/>
      </tp>
      <tp t="s">
        <v>#N/A Requesting Data...2818078893</v>
        <stp/>
        <stp>BDP|2491184697711522556</stp>
        <tr r="C849" s="2"/>
      </tp>
      <tp t="s">
        <v>#N/A Requesting Data...3109710804</v>
        <stp/>
        <stp>BDP|1587946863689142982</stp>
        <tr r="Q1001" s="2"/>
      </tp>
      <tp t="s">
        <v>#N/A Requesting Data...1592229812</v>
        <stp/>
        <stp>BDP|4350699863042109832</stp>
        <tr r="F1221" s="2"/>
      </tp>
      <tp t="s">
        <v>#N/A Requesting Data...4101155514</v>
        <stp/>
        <stp>BDP|4662109165595148890</stp>
        <tr r="A2192" s="2"/>
      </tp>
      <tp t="b">
        <v>0</v>
        <stp/>
        <stp>BDS|4534500454739901339</stp>
        <tr r="I1203" s="2"/>
      </tp>
      <tp t="s">
        <v>#N/A Requesting Data...1598503272</v>
        <stp/>
        <stp>BDP|9639090663964115565</stp>
        <tr r="T1757" s="2"/>
      </tp>
      <tp t="s">
        <v>#N/A Requesting Data...2770157285</v>
        <stp/>
        <stp>BDP|6492224922151913963</stp>
        <tr r="E1474" s="2"/>
      </tp>
      <tp t="s">
        <v>#N/A Requesting Data...2720031890</v>
        <stp/>
        <stp>BDP|3693126102584954841</stp>
        <tr r="Q392" s="2"/>
      </tp>
      <tp t="s">
        <v>#N/A Requesting Data...1698888359</v>
        <stp/>
        <stp>BDP|1240612620983931812</stp>
        <tr r="G2461" s="2"/>
      </tp>
      <tp t="s">
        <v>#N/A Requesting Data...2680044582</v>
        <stp/>
        <stp>BDP|8629598076237115337</stp>
        <tr r="H52" s="2"/>
      </tp>
      <tp t="s">
        <v>#N/A Requesting Data...1632031629</v>
        <stp/>
        <stp>BDP|3653989104797695373</stp>
        <tr r="M644" s="2"/>
      </tp>
      <tp t="s">
        <v>#N/A Requesting Data...1457222069</v>
        <stp/>
        <stp>BDP|5966110835330338956</stp>
        <tr r="M835" s="2"/>
      </tp>
      <tp t="s">
        <v>#N/A Requesting Data...2628452001</v>
        <stp/>
        <stp>BDP|9176840573110517887</stp>
        <tr r="H918" s="2"/>
      </tp>
      <tp t="s">
        <v>#N/A Requesting Data...1674080400</v>
        <stp/>
        <stp>BDP|5937337293551467067</stp>
        <tr r="R1069" s="2"/>
      </tp>
      <tp t="s">
        <v>#N/A Requesting Data...2164558968</v>
        <stp/>
        <stp>BDP|2003315868331728854</stp>
        <tr r="S210" s="2"/>
      </tp>
      <tp t="s">
        <v>#N/A Requesting Data...2857907436</v>
        <stp/>
        <stp>BDP|6866884409065039521</stp>
        <tr r="H1525" s="2"/>
      </tp>
      <tp t="s">
        <v>#N/A Requesting Data...4224096587</v>
        <stp/>
        <stp>BDP|7803612746069626223</stp>
        <tr r="Q952" s="2"/>
      </tp>
      <tp t="s">
        <v>#N/A Requesting Data...3568799882</v>
        <stp/>
        <stp>BDP|8524456009154706656</stp>
        <tr r="H561" s="2"/>
      </tp>
      <tp t="s">
        <v>#N/A Requesting Data...4061009688</v>
        <stp/>
        <stp>BDP|5811849693963473905</stp>
        <tr r="K716" s="2"/>
      </tp>
      <tp t="s">
        <v>#N/A Requesting Data...3216913130</v>
        <stp/>
        <stp>BDP|4907337743368177531</stp>
        <tr r="D1966" s="2"/>
      </tp>
      <tp t="s">
        <v>#N/A Requesting Data...1704236322</v>
        <stp/>
        <stp>BDP|8345264836650005784</stp>
        <tr r="R2302" s="2"/>
      </tp>
      <tp t="s">
        <v>#N/A Requesting Data...1495095595</v>
        <stp/>
        <stp>BDP|3469115915279869435</stp>
        <tr r="A1911" s="2"/>
      </tp>
      <tp t="s">
        <v>#N/A Requesting Data...3776381106</v>
        <stp/>
        <stp>BDP|7719591530747323867</stp>
        <tr r="R1895" s="2"/>
      </tp>
      <tp t="s">
        <v>#N/A Requesting Data...1942823282</v>
        <stp/>
        <stp>BDP|3834306161121342915</stp>
        <tr r="F2215" s="2"/>
      </tp>
      <tp t="s">
        <v>#N/A Requesting Data...2486546546</v>
        <stp/>
        <stp>BDP|4100881409412308080</stp>
        <tr r="H1128" s="2"/>
      </tp>
      <tp t="s">
        <v>#N/A Requesting Data...2343650699</v>
        <stp/>
        <stp>BDP|8992692385650999871</stp>
        <tr r="M1206" s="2"/>
      </tp>
      <tp t="s">
        <v>#N/A Requesting Data...2640279613</v>
        <stp/>
        <stp>BDP|7152263407503928824</stp>
        <tr r="M772" s="2"/>
      </tp>
      <tp t="s">
        <v>#N/A Requesting Data...3283294495</v>
        <stp/>
        <stp>BDP|1998908312385327234</stp>
        <tr r="R806" s="2"/>
      </tp>
      <tp t="s">
        <v>#N/A Requesting Data...3383229021</v>
        <stp/>
        <stp>BDP|8907402514714444725</stp>
        <tr r="H13" s="2"/>
      </tp>
      <tp t="s">
        <v>#N/A Requesting Data...2232167764</v>
        <stp/>
        <stp>BDP|6160727169321111807</stp>
        <tr r="M1830" s="2"/>
      </tp>
      <tp t="s">
        <v>#N/A Requesting Data...3525213577</v>
        <stp/>
        <stp>BDP|3930321442192400867</stp>
        <tr r="D1735" s="2"/>
      </tp>
      <tp t="s">
        <v>#N/A Requesting Data...2168525530</v>
        <stp/>
        <stp>BDP|8932047531083250655</stp>
        <tr r="Q89" s="2"/>
      </tp>
      <tp t="s">
        <v>#N/A Requesting Data...1672786092</v>
        <stp/>
        <stp>BDP|3353288819637972908</stp>
        <tr r="F298" s="2"/>
      </tp>
      <tp t="s">
        <v>#N/A Requesting Data...2012054522</v>
        <stp/>
        <stp>BDP|2976370988533967440</stp>
        <tr r="E1471" s="2"/>
      </tp>
      <tp t="s">
        <v>#N/A Requesting Data...3206168648</v>
        <stp/>
        <stp>BDP|6203226326971413999</stp>
        <tr r="D1768" s="2"/>
      </tp>
      <tp t="s">
        <v>#N/A Requesting Data...2721799059</v>
        <stp/>
        <stp>BDP|9354404643761290698</stp>
        <tr r="G1247" s="2"/>
      </tp>
      <tp t="s">
        <v>#N/A Requesting Data...2784346056</v>
        <stp/>
        <stp>BDP|2835661361158063442</stp>
        <tr r="O1256" s="2"/>
      </tp>
      <tp t="s">
        <v>#N/A Requesting Data...2380385880</v>
        <stp/>
        <stp>BDP|2394688771335061813</stp>
        <tr r="T1301" s="2"/>
      </tp>
      <tp t="s">
        <v>#N/A Requesting Data...3028618979</v>
        <stp/>
        <stp>BDP|6075868778790698736</stp>
        <tr r="G1580" s="2"/>
      </tp>
      <tp t="s">
        <v>#N/A Requesting Data...3804210040</v>
        <stp/>
        <stp>BDP|7357912644854583081</stp>
        <tr r="D1268" s="2"/>
      </tp>
      <tp t="b">
        <v>0</v>
        <stp/>
        <stp>BDS|3157956149950683038</stp>
        <tr r="I989" s="2"/>
      </tp>
      <tp t="s">
        <v>#N/A Requesting Data...2377180684</v>
        <stp/>
        <stp>BDP|3593734067584129883</stp>
        <tr r="A780" s="2"/>
      </tp>
      <tp t="s">
        <v>#N/A Requesting Data...1458478537</v>
        <stp/>
        <stp>BDP|8815528113165110700</stp>
        <tr r="F1251" s="2"/>
      </tp>
      <tp t="s">
        <v>#N/A Requesting Data...3819908610</v>
        <stp/>
        <stp>BDP|6188497096245153070</stp>
        <tr r="G278" s="2"/>
      </tp>
      <tp t="s">
        <v>#N/A Requesting Data...2078528738</v>
        <stp/>
        <stp>BDP|4318937249996218136</stp>
        <tr r="N1171" s="2"/>
      </tp>
      <tp t="s">
        <v>#N/A Requesting Data...3705928453</v>
        <stp/>
        <stp>BDP|5031225749709482472</stp>
        <tr r="S223" s="2"/>
      </tp>
      <tp t="s">
        <v>#N/A Requesting Data...2892856123</v>
        <stp/>
        <stp>BDP|7202650331844635880</stp>
        <tr r="C1472" s="2"/>
      </tp>
      <tp t="s">
        <v>#N/A Requesting Data...3319576156</v>
        <stp/>
        <stp>BDP|6022633840528267299</stp>
        <tr r="D2413" s="2"/>
      </tp>
      <tp t="b">
        <v>0</v>
        <stp/>
        <stp>BDS|3199798984470498204</stp>
        <tr r="I730" s="2"/>
      </tp>
      <tp t="s">
        <v>#N/A Requesting Data...2681796021</v>
        <stp/>
        <stp>BDP|3911539387561563101</stp>
        <tr r="N1885" s="2"/>
      </tp>
      <tp t="s">
        <v>#N/A Requesting Data...2572685796</v>
        <stp/>
        <stp>BDP|6474527143149422099</stp>
        <tr r="Q899" s="2"/>
      </tp>
      <tp t="s">
        <v>#N/A Requesting Data...3998076922</v>
        <stp/>
        <stp>BDP|8991089993349993630</stp>
        <tr r="F718" s="2"/>
      </tp>
      <tp t="s">
        <v>#N/A Requesting Data...1854078005</v>
        <stp/>
        <stp>BDP|5398726048650107803</stp>
        <tr r="O1537" s="2"/>
      </tp>
      <tp t="s">
        <v>#N/A Requesting Data...4060680662</v>
        <stp/>
        <stp>BDP|4590935827164842514</stp>
        <tr r="F2284" s="2"/>
      </tp>
      <tp t="s">
        <v>#N/A Requesting Data...4029139636</v>
        <stp/>
        <stp>BDP|8786283954356277712</stp>
        <tr r="R568" s="2"/>
      </tp>
      <tp t="s">
        <v>#N/A Requesting Data...4244783320</v>
        <stp/>
        <stp>BDP|3377643739939005161</stp>
        <tr r="C410" s="2"/>
      </tp>
      <tp t="s">
        <v>#N/A Requesting Data...1561721710</v>
        <stp/>
        <stp>BDP|5565284097016494667</stp>
        <tr r="N2109" s="2"/>
      </tp>
      <tp t="s">
        <v>#N/A Requesting Data...2062811662</v>
        <stp/>
        <stp>BDP|1278407189951715244</stp>
        <tr r="G1621" s="2"/>
      </tp>
      <tp t="s">
        <v>#N/A Requesting Data...4090120209</v>
        <stp/>
        <stp>BDP|9812979553659527213</stp>
        <tr r="O2324" s="2"/>
      </tp>
      <tp t="s">
        <v>#N/A Requesting Data...2566989820</v>
        <stp/>
        <stp>BDP|3722016359600559828</stp>
        <tr r="D2018" s="2"/>
      </tp>
      <tp t="s">
        <v>#N/A Requesting Data...1653630466</v>
        <stp/>
        <stp>BDP|1173501551588997715</stp>
        <tr r="N711" s="2"/>
      </tp>
      <tp t="s">
        <v>#N/A Requesting Data...3335061016</v>
        <stp/>
        <stp>BDP|3612513059848222546</stp>
        <tr r="K1912" s="2"/>
      </tp>
      <tp t="s">
        <v>#N/A Requesting Data...3766132345</v>
        <stp/>
        <stp>BDP|8004082740801327336</stp>
        <tr r="Q2295" s="2"/>
      </tp>
      <tp t="s">
        <v>#N/A Requesting Data...2863638901</v>
        <stp/>
        <stp>BDP|2570516310470585893</stp>
        <tr r="J1808" s="2"/>
      </tp>
      <tp t="s">
        <v>#N/A Requesting Data...1955775308</v>
        <stp/>
        <stp>BDP|1644280175478499277</stp>
        <tr r="H752" s="2"/>
      </tp>
      <tp t="s">
        <v>#N/A Requesting Data...1680240972</v>
        <stp/>
        <stp>BDP|5685080888513837060</stp>
        <tr r="A708" s="2"/>
      </tp>
      <tp t="s">
        <v>#N/A Requesting Data...2264115304</v>
        <stp/>
        <stp>BDP|6433638641639793395</stp>
        <tr r="O686" s="2"/>
      </tp>
      <tp t="s">
        <v>#N/A Requesting Data...3421721125</v>
        <stp/>
        <stp>BDP|9455491305553035003</stp>
        <tr r="H131" s="2"/>
      </tp>
      <tp t="s">
        <v>#N/A Requesting Data...3386798886</v>
        <stp/>
        <stp>BDP|9154902293276820126</stp>
        <tr r="O2318" s="2"/>
      </tp>
      <tp t="s">
        <v>#N/A Requesting Data...1849346686</v>
        <stp/>
        <stp>BDP|1795078794516421087</stp>
        <tr r="J1165" s="2"/>
      </tp>
      <tp t="s">
        <v>#N/A Requesting Data...2483171210</v>
        <stp/>
        <stp>BDP|9633098588856871975</stp>
        <tr r="E1265" s="2"/>
      </tp>
      <tp t="s">
        <v>#N/A Requesting Data...2329970109</v>
        <stp/>
        <stp>BDP|3284809456130970056</stp>
        <tr r="H610" s="2"/>
      </tp>
      <tp t="s">
        <v>#N/A Requesting Data...3644512895</v>
        <stp/>
        <stp>BDP|5569570745008741283</stp>
        <tr r="K1710" s="2"/>
      </tp>
      <tp t="s">
        <v>#N/A Requesting Data...3977170834</v>
        <stp/>
        <stp>BDP|8649540929996546768</stp>
        <tr r="H1133" s="2"/>
      </tp>
      <tp t="s">
        <v>#N/A Requesting Data...3965044358</v>
        <stp/>
        <stp>BDP|7149238129801051830</stp>
        <tr r="G1153" s="2"/>
      </tp>
      <tp t="s">
        <v>#N/A Requesting Data...3431655703</v>
        <stp/>
        <stp>BDP|7787884526447883490</stp>
        <tr r="A32" s="2"/>
      </tp>
      <tp t="b">
        <v>0</v>
        <stp/>
        <stp>BDS|9625647483430107982</stp>
        <tr r="I1130" s="2"/>
      </tp>
      <tp t="s">
        <v>#N/A Requesting Data...1800162933</v>
        <stp/>
        <stp>BDP|1773683085104504575</stp>
        <tr r="N862" s="2"/>
      </tp>
      <tp t="s">
        <v>#N/A Requesting Data...3927128967</v>
        <stp/>
        <stp>BDP|9901204478952096097</stp>
        <tr r="O1095" s="2"/>
      </tp>
      <tp t="s">
        <v>#N/A Requesting Data...3490494279</v>
        <stp/>
        <stp>BDP|3313229789494370338</stp>
        <tr r="T406" s="2"/>
      </tp>
      <tp t="s">
        <v>#N/A Requesting Data...4103656562</v>
        <stp/>
        <stp>BDP|7993804804777786621</stp>
        <tr r="D364" s="2"/>
      </tp>
      <tp t="s">
        <v>#N/A Requesting Data...2251255775</v>
        <stp/>
        <stp>BDP|7889047234989177313</stp>
        <tr r="F1445" s="2"/>
      </tp>
      <tp t="s">
        <v>#N/A Requesting Data...2426072071</v>
        <stp/>
        <stp>BDP|3237284019908252699</stp>
        <tr r="Q2063" s="2"/>
      </tp>
      <tp t="s">
        <v>#N/A Requesting Data...3757045419</v>
        <stp/>
        <stp>BDP|7071463566372936916</stp>
        <tr r="O454" s="2"/>
      </tp>
      <tp t="b">
        <v>0</v>
        <stp/>
        <stp>BDS|7365692682855783275</stp>
        <tr r="I2384" s="2"/>
      </tp>
      <tp t="s">
        <v>#N/A Requesting Data...2963774953</v>
        <stp/>
        <stp>BDP|5252475538429722524</stp>
        <tr r="J49" s="2"/>
      </tp>
      <tp t="s">
        <v>#N/A Requesting Data...3216159127</v>
        <stp/>
        <stp>BDP|2802474067207861982</stp>
        <tr r="J1183" s="2"/>
      </tp>
      <tp t="s">
        <v>#N/A Requesting Data...4085308992</v>
        <stp/>
        <stp>BDP|9054186835334307162</stp>
        <tr r="S391" s="2"/>
      </tp>
      <tp t="s">
        <v>#N/A Requesting Data...1610518327</v>
        <stp/>
        <stp>BDP|9506566331325372497</stp>
        <tr r="S937" s="2"/>
      </tp>
      <tp t="s">
        <v>#N/A Requesting Data...2046895159</v>
        <stp/>
        <stp>BDP|7605327056368882729</stp>
        <tr r="R701" s="2"/>
      </tp>
      <tp t="s">
        <v>#N/A Requesting Data...3117123388</v>
        <stp/>
        <stp>BDP|9430223477974881614</stp>
        <tr r="J1779" s="2"/>
      </tp>
      <tp t="s">
        <v>#N/A Requesting Data...4214400883</v>
        <stp/>
        <stp>BDP|1405781251659118443</stp>
        <tr r="J777" s="2"/>
      </tp>
      <tp t="s">
        <v>#N/A Requesting Data...1927306112</v>
        <stp/>
        <stp>BDP|8300212378557223401</stp>
        <tr r="N948" s="2"/>
      </tp>
      <tp t="s">
        <v>#N/A Requesting Data...3737785010</v>
        <stp/>
        <stp>BDP|1486349393177222296</stp>
        <tr r="E1358" s="2"/>
      </tp>
      <tp t="s">
        <v>#N/A Requesting Data...3810906655</v>
        <stp/>
        <stp>BDP|1921027494422457430</stp>
        <tr r="R2365" s="2"/>
      </tp>
      <tp t="s">
        <v>#N/A Requesting Data...2866320954</v>
        <stp/>
        <stp>BDP|4577240650739110485</stp>
        <tr r="C1362" s="2"/>
      </tp>
      <tp t="s">
        <v>#N/A Requesting Data...2565430301</v>
        <stp/>
        <stp>BDP|9455331049647642702</stp>
        <tr r="S379" s="2"/>
      </tp>
      <tp t="s">
        <v>#N/A Requesting Data...3227709491</v>
        <stp/>
        <stp>BDP|6559091630002235963</stp>
        <tr r="C1197" s="2"/>
      </tp>
      <tp t="s">
        <v>#N/A Requesting Data...2427548862</v>
        <stp/>
        <stp>BDP|8195594246334591330</stp>
        <tr r="O1251" s="2"/>
      </tp>
      <tp t="s">
        <v>#N/A Requesting Data...4266547482</v>
        <stp/>
        <stp>BDP|8740435724793149395</stp>
        <tr r="H382" s="2"/>
      </tp>
      <tp t="s">
        <v>#N/A Requesting Data...2983157939</v>
        <stp/>
        <stp>BDP|3030532095058845962</stp>
        <tr r="S1082" s="2"/>
      </tp>
      <tp t="s">
        <v>#N/A Requesting Data...2042076829</v>
        <stp/>
        <stp>BDP|5842779267133333938</stp>
        <tr r="N369" s="2"/>
      </tp>
      <tp t="s">
        <v>#N/A Requesting Data...4026591878</v>
        <stp/>
        <stp>BDP|7700194602299421103</stp>
        <tr r="R1522" s="2"/>
      </tp>
      <tp t="s">
        <v>#N/A Requesting Data...3304946980</v>
        <stp/>
        <stp>BDP|9778988899493750499</stp>
        <tr r="H961" s="2"/>
      </tp>
      <tp t="s">
        <v>#N/A Requesting Data...2295864208</v>
        <stp/>
        <stp>BDP|4602907239617515726</stp>
        <tr r="O2168" s="2"/>
      </tp>
      <tp t="s">
        <v>#N/A Requesting Data...2765306039</v>
        <stp/>
        <stp>BDP|8533267879934528779</stp>
        <tr r="M2399" s="2"/>
      </tp>
      <tp t="s">
        <v>#N/A Requesting Data...3500403413</v>
        <stp/>
        <stp>BDP|3489854047200687180</stp>
        <tr r="Q612" s="2"/>
      </tp>
      <tp t="s">
        <v>#N/A Requesting Data...1722098556</v>
        <stp/>
        <stp>BDP|3638439227559980231</stp>
        <tr r="A205" s="2"/>
      </tp>
      <tp t="s">
        <v>#N/A Requesting Data...1960328823</v>
        <stp/>
        <stp>BDP|6075996966726661116</stp>
        <tr r="G1371" s="2"/>
      </tp>
      <tp t="s">
        <v>#N/A Requesting Data...3293384950</v>
        <stp/>
        <stp>BDP|5724284825412747950</stp>
        <tr r="O8" s="2"/>
      </tp>
      <tp t="s">
        <v>#N/A Requesting Data...3163935032</v>
        <stp/>
        <stp>BDP|3156432716798833045</stp>
        <tr r="K1410" s="2"/>
      </tp>
      <tp t="s">
        <v>#N/A Requesting Data...4010264465</v>
        <stp/>
        <stp>BDP|3375726854099401688</stp>
        <tr r="M960" s="2"/>
      </tp>
      <tp t="s">
        <v>#N/A Requesting Data...2219130510</v>
        <stp/>
        <stp>BDP|3217633365909535481</stp>
        <tr r="P1174" s="2"/>
      </tp>
      <tp t="s">
        <v>#N/A Requesting Data...3910182222</v>
        <stp/>
        <stp>BDP|2071159616658318490</stp>
        <tr r="A1543" s="2"/>
      </tp>
      <tp t="s">
        <v>#N/A Requesting Data...3407834146</v>
        <stp/>
        <stp>BDP|5711933474806112383</stp>
        <tr r="O49" s="2"/>
      </tp>
      <tp t="s">
        <v>#N/A Requesting Data...3306265794</v>
        <stp/>
        <stp>BDP|9088289273836464467</stp>
        <tr r="A280" s="2"/>
      </tp>
      <tp t="s">
        <v>#N/A Requesting Data...2143100058</v>
        <stp/>
        <stp>BDP|3750907949833663314</stp>
        <tr r="C20" s="2"/>
      </tp>
      <tp t="s">
        <v>#N/A Requesting Data...2332674169</v>
        <stp/>
        <stp>BDP|9693571369133601772</stp>
        <tr r="T2022" s="2"/>
      </tp>
      <tp t="s">
        <v>#N/A Requesting Data...3263674804</v>
        <stp/>
        <stp>BDP|2027109817268815463</stp>
        <tr r="T1556" s="2"/>
      </tp>
      <tp t="s">
        <v>#N/A Requesting Data...3810256814</v>
        <stp/>
        <stp>BDP|3038582009631056989</stp>
        <tr r="O753" s="2"/>
      </tp>
      <tp t="s">
        <v>#N/A Requesting Data...2169730048</v>
        <stp/>
        <stp>BDP|8616162176598681895</stp>
        <tr r="Q215" s="2"/>
      </tp>
      <tp t="b">
        <v>0</v>
        <stp/>
        <stp>BDS|4190173320700839976</stp>
        <tr r="I527" s="2"/>
      </tp>
      <tp t="s">
        <v>#N/A Requesting Data...3053587652</v>
        <stp/>
        <stp>BDP|7484981715301358034</stp>
        <tr r="J1878" s="2"/>
      </tp>
      <tp t="s">
        <v>#N/A Requesting Data...3308486495</v>
        <stp/>
        <stp>BDP|2435639832511528897</stp>
        <tr r="K580" s="2"/>
      </tp>
      <tp t="s">
        <v>#N/A Requesting Data...1729681240</v>
        <stp/>
        <stp>BDP|8228629718597662672</stp>
        <tr r="Q2479" s="2"/>
      </tp>
      <tp t="s">
        <v>#N/A Requesting Data...3944359344</v>
        <stp/>
        <stp>BDP|3241135821698195684</stp>
        <tr r="F1972" s="2"/>
      </tp>
      <tp t="s">
        <v>#N/A Requesting Data...4186261978</v>
        <stp/>
        <stp>BDP|6501091563499088767</stp>
        <tr r="N261" s="2"/>
      </tp>
      <tp t="s">
        <v>#N/A Requesting Data...3153295367</v>
        <stp/>
        <stp>BDP|1803197839345379829</stp>
        <tr r="K2346" s="2"/>
      </tp>
      <tp t="s">
        <v>#N/A Requesting Data...2040339571</v>
        <stp/>
        <stp>BDP|3537674767975571893</stp>
        <tr r="O1193" s="2"/>
      </tp>
      <tp t="s">
        <v>#N/A Requesting Data...1893485046</v>
        <stp/>
        <stp>BDP|4814449668671834957</stp>
        <tr r="E1185" s="2"/>
      </tp>
      <tp t="b">
        <v>0</v>
        <stp/>
        <stp>BDS|1426520185467270588</stp>
        <tr r="I978" s="2"/>
      </tp>
      <tp t="s">
        <v>#N/A Requesting Data...2363732391</v>
        <stp/>
        <stp>BDP|4580002963728865471</stp>
        <tr r="D2437" s="2"/>
      </tp>
      <tp t="s">
        <v>#N/A Requesting Data...2481204999</v>
        <stp/>
        <stp>BDP|7833622785537469028</stp>
        <tr r="N990" s="2"/>
      </tp>
      <tp t="s">
        <v>#N/A Requesting Data...3650881696</v>
        <stp/>
        <stp>BDP|1554984878341987050</stp>
        <tr r="F1606" s="2"/>
      </tp>
      <tp t="s">
        <v>#N/A Requesting Data...3308295859</v>
        <stp/>
        <stp>BDP|1908129351219415270</stp>
        <tr r="M2358" s="2"/>
      </tp>
      <tp t="s">
        <v>#N/A Requesting Data...3168842020</v>
        <stp/>
        <stp>BDP|6466551988894749171</stp>
        <tr r="D1686" s="2"/>
      </tp>
      <tp t="s">
        <v>#N/A Requesting Data...4041013192</v>
        <stp/>
        <stp>BDP|4013685248991100987</stp>
        <tr r="G595" s="2"/>
      </tp>
      <tp t="s">
        <v>#N/A Requesting Data...3044735489</v>
        <stp/>
        <stp>BDP|7636328497017804426</stp>
        <tr r="K2362" s="2"/>
      </tp>
      <tp t="s">
        <v>#N/A Requesting Data...4090619011</v>
        <stp/>
        <stp>BDP|2768450995507970679</stp>
        <tr r="Q666" s="2"/>
      </tp>
      <tp t="s">
        <v>#N/A Requesting Data...3472088475</v>
        <stp/>
        <stp>BDP|9156789667572376443</stp>
        <tr r="D1595" s="2"/>
      </tp>
      <tp t="s">
        <v>#N/A Requesting Data...2449503910</v>
        <stp/>
        <stp>BDP|4573918649882232569</stp>
        <tr r="O1641" s="2"/>
      </tp>
      <tp t="s">
        <v>#N/A Requesting Data...4240581980</v>
        <stp/>
        <stp>BDP|2545766479135688956</stp>
        <tr r="D1231" s="2"/>
      </tp>
      <tp t="s">
        <v>#N/A Requesting Data...1840430867</v>
        <stp/>
        <stp>BDP|2685880011166455320</stp>
        <tr r="K2278" s="2"/>
      </tp>
      <tp t="s">
        <v>#N/A Requesting Data...4049437250</v>
        <stp/>
        <stp>BDP|6737465115385518888</stp>
        <tr r="J2101" s="2"/>
      </tp>
      <tp t="s">
        <v>#N/A Requesting Data...1735244782</v>
        <stp/>
        <stp>BDP|5754279788856516749</stp>
        <tr r="D2521" s="2"/>
      </tp>
      <tp t="b">
        <v>0</v>
        <stp/>
        <stp>BDS|6380696952902109908</stp>
        <tr r="I1522" s="2"/>
      </tp>
      <tp t="s">
        <v>#N/A Requesting Data...1732596808</v>
        <stp/>
        <stp>BDP|1707531789876718434</stp>
        <tr r="O2149" s="2"/>
      </tp>
      <tp t="s">
        <v>#N/A Requesting Data...3840787750</v>
        <stp/>
        <stp>BDP|5377048004418869321</stp>
        <tr r="E1905" s="2"/>
      </tp>
      <tp t="s">
        <v>#N/A Requesting Data...3532814528</v>
        <stp/>
        <stp>BDP|6138846500016903659</stp>
        <tr r="F2129" s="2"/>
      </tp>
      <tp t="s">
        <v>#N/A Requesting Data...3393399299</v>
        <stp/>
        <stp>BDP|1949098649428535357</stp>
        <tr r="Q1574" s="2"/>
      </tp>
      <tp t="s">
        <v>#N/A Requesting Data...1881542121</v>
        <stp/>
        <stp>BDP|8306618681018238087</stp>
        <tr r="T1367" s="2"/>
      </tp>
      <tp t="s">
        <v>#N/A Requesting Data...3002738378</v>
        <stp/>
        <stp>BDP|8638963662130999927</stp>
        <tr r="O2301" s="2"/>
      </tp>
      <tp t="s">
        <v>#N/A Requesting Data...4185016987</v>
        <stp/>
        <stp>BDP|8637228083279753593</stp>
        <tr r="S1648" s="2"/>
      </tp>
      <tp t="s">
        <v>#N/A Requesting Data...3098027371</v>
        <stp/>
        <stp>BDP|6116223707989414395</stp>
        <tr r="D1849" s="2"/>
      </tp>
      <tp t="s">
        <v>#N/A Requesting Data...2375795030</v>
        <stp/>
        <stp>BDP|8309477619417581414</stp>
        <tr r="S233" s="2"/>
      </tp>
      <tp t="s">
        <v>#N/A Requesting Data...3049823728</v>
        <stp/>
        <stp>BDP|5678642717615456989</stp>
        <tr r="E750" s="2"/>
      </tp>
      <tp t="s">
        <v>#N/A Requesting Data...2509576189</v>
        <stp/>
        <stp>BDP|1131965748580455229</stp>
        <tr r="E466" s="2"/>
      </tp>
      <tp t="s">
        <v>#N/A Requesting Data...2982959725</v>
        <stp/>
        <stp>BDP|5359451009406482927</stp>
        <tr r="C1033" s="2"/>
      </tp>
      <tp t="s">
        <v>#N/A Requesting Data...3347459423</v>
        <stp/>
        <stp>BDP|8154046283976945860</stp>
        <tr r="F2165" s="2"/>
      </tp>
      <tp t="s">
        <v>#N/A Requesting Data...2522429088</v>
        <stp/>
        <stp>BDP|8160454042043650599</stp>
        <tr r="T1699" s="2"/>
      </tp>
      <tp t="s">
        <v>#N/A Requesting Data...3796652862</v>
        <stp/>
        <stp>BDP|9676648920982900128</stp>
        <tr r="G963" s="2"/>
      </tp>
      <tp t="s">
        <v>#N/A Requesting Data...2762177835</v>
        <stp/>
        <stp>BDP|9278620857037713398</stp>
        <tr r="A2080" s="2"/>
      </tp>
      <tp t="s">
        <v>#N/A Requesting Data...1983325678</v>
        <stp/>
        <stp>BDP|7999246602348108372</stp>
        <tr r="D538" s="2"/>
      </tp>
      <tp t="s">
        <v>#N/A Requesting Data...3609658374</v>
        <stp/>
        <stp>BDP|7907633601516319919</stp>
        <tr r="H1221" s="2"/>
      </tp>
      <tp t="s">
        <v>#N/A Requesting Data...2752449458</v>
        <stp/>
        <stp>BDP|7966521896606567319</stp>
        <tr r="E427" s="2"/>
      </tp>
      <tp t="s">
        <v>#N/A Requesting Data...1951614824</v>
        <stp/>
        <stp>BDP|5885775766109009302</stp>
        <tr r="K856" s="2"/>
      </tp>
      <tp t="b">
        <v>0</v>
        <stp/>
        <stp>BDS|5508038626539866016</stp>
        <tr r="I324" s="2"/>
      </tp>
      <tp t="s">
        <v>#N/A Requesting Data...3870497860</v>
        <stp/>
        <stp>BDP|8334460019646654531</stp>
        <tr r="H1092" s="2"/>
      </tp>
      <tp t="s">
        <v>#N/A Requesting Data...2974904330</v>
        <stp/>
        <stp>BDP|5235866268354745123</stp>
        <tr r="E2091" s="2"/>
      </tp>
      <tp t="b">
        <v>0</v>
        <stp/>
        <stp>BDS|3043801356212906265</stp>
        <tr r="I2078" s="2"/>
      </tp>
      <tp t="s">
        <v>#N/A Requesting Data...3032687250</v>
        <stp/>
        <stp>BDP|7554953544963575789</stp>
        <tr r="D1870" s="2"/>
      </tp>
      <tp t="s">
        <v>#N/A Requesting Data...3525381746</v>
        <stp/>
        <stp>BDP|4449431758802491925</stp>
        <tr r="O622" s="2"/>
      </tp>
      <tp t="b">
        <v>0</v>
        <stp/>
        <stp>BDS|6820605786073178562</stp>
        <tr r="I2423" s="2"/>
      </tp>
      <tp t="s">
        <v>#N/A Requesting Data...2378784794</v>
        <stp/>
        <stp>BDP|7881148085523668362</stp>
        <tr r="P1588" s="2"/>
      </tp>
      <tp t="s">
        <v>#N/A Requesting Data...2717370393</v>
        <stp/>
        <stp>BDP|3474635414568212286</stp>
        <tr r="Q335" s="2"/>
      </tp>
      <tp t="s">
        <v>#N/A Requesting Data...2843609147</v>
        <stp/>
        <stp>BDP|2110456782342664292</stp>
        <tr r="N866" s="2"/>
      </tp>
      <tp t="s">
        <v>#N/A Requesting Data...2320591034</v>
        <stp/>
        <stp>BDP|7455231563034800954</stp>
        <tr r="C2094" s="2"/>
      </tp>
      <tp t="s">
        <v>#N/A Requesting Data...3978546952</v>
        <stp/>
        <stp>BDP|4376483521298276411</stp>
        <tr r="Q1483" s="2"/>
      </tp>
      <tp t="s">
        <v>#N/A Requesting Data...1945324817</v>
        <stp/>
        <stp>BDP|6800920832974392620</stp>
        <tr r="G1408" s="2"/>
      </tp>
      <tp t="s">
        <v>#N/A Requesting Data...2196146728</v>
        <stp/>
        <stp>BDP|5927244694395850580</stp>
        <tr r="G33" s="2"/>
      </tp>
      <tp t="b">
        <v>0</v>
        <stp/>
        <stp>BDS|7579020073099508784</stp>
        <tr r="I1958" s="2"/>
      </tp>
      <tp t="s">
        <v>#N/A Requesting Data...2936423152</v>
        <stp/>
        <stp>BDP|4282778395313094799</stp>
        <tr r="G1899" s="2"/>
      </tp>
      <tp t="s">
        <v>#N/A Requesting Data...4015246862</v>
        <stp/>
        <stp>BDP|5643143324741936960</stp>
        <tr r="P1512" s="2"/>
      </tp>
      <tp t="s">
        <v>#N/A Requesting Data...2770066470</v>
        <stp/>
        <stp>BDP|2489493872908152774</stp>
        <tr r="C1252" s="2"/>
      </tp>
      <tp t="s">
        <v>#N/A Requesting Data...3977189685</v>
        <stp/>
        <stp>BDP|4645631821489536781</stp>
        <tr r="H2378" s="2"/>
      </tp>
      <tp t="s">
        <v>#N/A Requesting Data...2780422521</v>
        <stp/>
        <stp>BDP|6070394461165038812</stp>
        <tr r="S1793" s="2"/>
      </tp>
      <tp t="s">
        <v>#N/A Requesting Data...2681397684</v>
        <stp/>
        <stp>BDP|4224516692223905514</stp>
        <tr r="G2250" s="2"/>
      </tp>
      <tp t="s">
        <v>#N/A Requesting Data...3048023507</v>
        <stp/>
        <stp>BDP|4306741795675950120</stp>
        <tr r="E1502" s="2"/>
      </tp>
      <tp t="s">
        <v>#N/A Requesting Data...2898787742</v>
        <stp/>
        <stp>BDP|6892475045369697154</stp>
        <tr r="E49" s="2"/>
      </tp>
      <tp t="s">
        <v>#N/A Requesting Data...2843958122</v>
        <stp/>
        <stp>BDP|9651328821440421689</stp>
        <tr r="D925" s="2"/>
      </tp>
      <tp t="s">
        <v>#N/A Requesting Data...3484786516</v>
        <stp/>
        <stp>BDP|4412823140882814479</stp>
        <tr r="D1410" s="2"/>
      </tp>
      <tp t="s">
        <v>#N/A Requesting Data...2952740587</v>
        <stp/>
        <stp>BDP|8003104068239819895</stp>
        <tr r="M1153" s="2"/>
      </tp>
      <tp t="s">
        <v>#N/A Requesting Data...3902169475</v>
        <stp/>
        <stp>BDP|5801540594211212636</stp>
        <tr r="T1849" s="2"/>
      </tp>
      <tp t="s">
        <v>#N/A Requesting Data...3556907809</v>
        <stp/>
        <stp>BDP|5864205193113755352</stp>
        <tr r="S145" s="2"/>
      </tp>
      <tp t="s">
        <v>#N/A Requesting Data...1875870463</v>
        <stp/>
        <stp>BDP|8358016018482021530</stp>
        <tr r="H1543" s="2"/>
      </tp>
      <tp t="s">
        <v>#N/A Requesting Data...2153644209</v>
        <stp/>
        <stp>BDP|2063487090596818790</stp>
        <tr r="T92" s="2"/>
      </tp>
      <tp t="s">
        <v>#N/A Requesting Data...3194696055</v>
        <stp/>
        <stp>BDP|1954886357684981668</stp>
        <tr r="R1004" s="2"/>
      </tp>
      <tp t="s">
        <v>#N/A Requesting Data...2499958395</v>
        <stp/>
        <stp>BDP|8399494686522484815</stp>
        <tr r="F1368" s="2"/>
      </tp>
      <tp t="s">
        <v>#N/A Requesting Data...3787481500</v>
        <stp/>
        <stp>BDP|8837711893101636955</stp>
        <tr r="M1031" s="2"/>
      </tp>
      <tp t="s">
        <v>#N/A Requesting Data...3576835516</v>
        <stp/>
        <stp>BDP|4800356786227470667</stp>
        <tr r="O343" s="2"/>
      </tp>
      <tp t="s">
        <v>#N/A Requesting Data...2250104070</v>
        <stp/>
        <stp>BDP|7047575502705942956</stp>
        <tr r="M6" s="2"/>
      </tp>
      <tp t="s">
        <v>#N/A Requesting Data...3795088119</v>
        <stp/>
        <stp>BDP|7166267962558809540</stp>
        <tr r="Q1342" s="2"/>
      </tp>
      <tp t="s">
        <v>#N/A Requesting Data...2422314260</v>
        <stp/>
        <stp>BDP|5368965475880168589</stp>
        <tr r="Q1635" s="2"/>
      </tp>
      <tp t="s">
        <v>#N/A Requesting Data...2155792705</v>
        <stp/>
        <stp>BDP|9667492967755047013</stp>
        <tr r="O2279" s="2"/>
      </tp>
      <tp t="s">
        <v>#N/A Requesting Data...3150914410</v>
        <stp/>
        <stp>BDP|6507073101698222083</stp>
        <tr r="E1351" s="2"/>
      </tp>
      <tp t="s">
        <v>#N/A Requesting Data...3794796036</v>
        <stp/>
        <stp>BDP|8899040376950172123</stp>
        <tr r="Q1589" s="2"/>
      </tp>
      <tp t="s">
        <v>#N/A Requesting Data...3283679255</v>
        <stp/>
        <stp>BDP|1088490673384569869</stp>
        <tr r="R988" s="2"/>
      </tp>
      <tp t="s">
        <v>#N/A Requesting Data...3885398144</v>
        <stp/>
        <stp>BDP|4521892094648881399</stp>
        <tr r="F860" s="2"/>
      </tp>
      <tp t="s">
        <v>#N/A Requesting Data...4159037051</v>
        <stp/>
        <stp>BDP|1630961365451811140</stp>
        <tr r="S1010" s="2"/>
      </tp>
      <tp t="s">
        <v>#N/A Requesting Data...4002135863</v>
        <stp/>
        <stp>BDP|5680762664452893850</stp>
        <tr r="T887" s="2"/>
      </tp>
      <tp t="s">
        <v>#N/A Requesting Data...2274503973</v>
        <stp/>
        <stp>BDP|9722761461103864513</stp>
        <tr r="J1949" s="2"/>
      </tp>
      <tp t="s">
        <v>#N/A Requesting Data...2153593103</v>
        <stp/>
        <stp>BDP|4553174465725821862</stp>
        <tr r="E506" s="2"/>
      </tp>
      <tp t="s">
        <v>#N/A Requesting Data...2668945786</v>
        <stp/>
        <stp>BDP|6745867695548873157</stp>
        <tr r="T100" s="2"/>
      </tp>
      <tp t="s">
        <v>#N/A Requesting Data...3420896398</v>
        <stp/>
        <stp>BDP|4634549689905004225</stp>
        <tr r="O1160" s="2"/>
      </tp>
      <tp t="s">
        <v>#N/A Requesting Data...4028872702</v>
        <stp/>
        <stp>BDP|2554480665466935884</stp>
        <tr r="A133" s="2"/>
      </tp>
      <tp t="s">
        <v>#N/A Requesting Data...4279206325</v>
        <stp/>
        <stp>BDP|2437491297496311701</stp>
        <tr r="A574" s="2"/>
      </tp>
      <tp t="s">
        <v>#N/A Requesting Data...3104680251</v>
        <stp/>
        <stp>BDP|9887540045092687466</stp>
        <tr r="Q1541" s="2"/>
      </tp>
      <tp t="s">
        <v>#N/A Requesting Data...2238783649</v>
        <stp/>
        <stp>BDP|9413919378011546865</stp>
        <tr r="G1743" s="2"/>
      </tp>
      <tp t="s">
        <v>#N/A Requesting Data...2116718141</v>
        <stp/>
        <stp>BDP|1143889811390662601</stp>
        <tr r="S686" s="2"/>
      </tp>
      <tp t="s">
        <v>#N/A Requesting Data...2150256393</v>
        <stp/>
        <stp>BDP|8824558272576203236</stp>
        <tr r="R1386" s="2"/>
      </tp>
      <tp t="s">
        <v>#N/A Requesting Data...2987748913</v>
        <stp/>
        <stp>BDP|4245067216243800848</stp>
        <tr r="A476" s="2"/>
      </tp>
      <tp t="s">
        <v>#N/A Requesting Data...4129107509</v>
        <stp/>
        <stp>BDP|4827859661970329419</stp>
        <tr r="G1781" s="2"/>
      </tp>
      <tp t="s">
        <v>#N/A Requesting Data...4212871306</v>
        <stp/>
        <stp>BDP|3112405891914663482</stp>
        <tr r="E1045" s="2"/>
      </tp>
      <tp t="s">
        <v>#N/A Requesting Data...3989002531</v>
        <stp/>
        <stp>BDP|2704766230998675091</stp>
        <tr r="K1560" s="2"/>
      </tp>
      <tp t="s">
        <v>#N/A Requesting Data...3630700240</v>
        <stp/>
        <stp>BDP|6279199909119501097</stp>
        <tr r="T1293" s="2"/>
      </tp>
      <tp t="s">
        <v>#N/A Requesting Data...3947713660</v>
        <stp/>
        <stp>BDP|9393138612815916250</stp>
        <tr r="A83" s="2"/>
      </tp>
      <tp t="s">
        <v>#N/A Requesting Data...2944456881</v>
        <stp/>
        <stp>BDP|4387667493352125796</stp>
        <tr r="M1471" s="2"/>
      </tp>
      <tp t="s">
        <v>#N/A Requesting Data...2269027194</v>
        <stp/>
        <stp>BDP|1278825223314496190</stp>
        <tr r="C198" s="2"/>
      </tp>
      <tp t="s">
        <v>#N/A Requesting Data...3958337283</v>
        <stp/>
        <stp>BDP|9629598194699079253</stp>
        <tr r="M476" s="2"/>
      </tp>
      <tp t="s">
        <v>#N/A Requesting Data...3800477858</v>
        <stp/>
        <stp>BDP|6848918766175932286</stp>
        <tr r="Q155" s="2"/>
      </tp>
      <tp t="s">
        <v>#N/A Requesting Data...2198863099</v>
        <stp/>
        <stp>BDP|7215396822919266150</stp>
        <tr r="F533" s="2"/>
      </tp>
      <tp t="s">
        <v>#N/A Requesting Data...3533253565</v>
        <stp/>
        <stp>BDP|6651281470044485947</stp>
        <tr r="R1077" s="2"/>
      </tp>
      <tp t="b">
        <v>0</v>
        <stp/>
        <stp>BDS|4326093616283236808</stp>
        <tr r="I225" s="2"/>
      </tp>
      <tp t="s">
        <v>#N/A Requesting Data...3138155299</v>
        <stp/>
        <stp>BDP|2129808540425935566</stp>
        <tr r="O1361" s="2"/>
      </tp>
      <tp t="s">
        <v>#N/A Requesting Data...3260872382</v>
        <stp/>
        <stp>BDP|7398183664756430855</stp>
        <tr r="E77" s="2"/>
      </tp>
      <tp t="s">
        <v>#N/A Requesting Data...3343999667</v>
        <stp/>
        <stp>BDP|1336129518607217850</stp>
        <tr r="M656" s="2"/>
      </tp>
      <tp t="s">
        <v>#N/A Requesting Data...2188103471</v>
        <stp/>
        <stp>BDP|9630351616904211196</stp>
        <tr r="O1041" s="2"/>
      </tp>
      <tp t="s">
        <v>#N/A Requesting Data...3475668862</v>
        <stp/>
        <stp>BDP|2275932678140505228</stp>
        <tr r="E1536" s="2"/>
      </tp>
      <tp t="s">
        <v>#N/A Requesting Data...2217500369</v>
        <stp/>
        <stp>BDP|3965592669199087771</stp>
        <tr r="T1496" s="2"/>
      </tp>
      <tp t="s">
        <v>#N/A Requesting Data...2962811003</v>
        <stp/>
        <stp>BDP|8983051407153018555</stp>
        <tr r="G606" s="2"/>
      </tp>
      <tp t="s">
        <v>#N/A Requesting Data...3418216523</v>
        <stp/>
        <stp>BDP|5365560994966811172</stp>
        <tr r="M2356" s="2"/>
      </tp>
      <tp t="s">
        <v>#N/A Requesting Data...3806938230</v>
        <stp/>
        <stp>BDP|9081904297543150483</stp>
        <tr r="H1254" s="2"/>
      </tp>
      <tp t="s">
        <v>#N/A Requesting Data...2416550629</v>
        <stp/>
        <stp>BDP|9804296740822791388</stp>
        <tr r="K531" s="2"/>
      </tp>
      <tp t="s">
        <v>#N/A Requesting Data...3924560164</v>
        <stp/>
        <stp>BDP|9905418711014750602</stp>
        <tr r="K1882" s="2"/>
      </tp>
      <tp t="s">
        <v>#N/A Requesting Data...3902230261</v>
        <stp/>
        <stp>BDP|8545757736421804309</stp>
        <tr r="J2288" s="2"/>
      </tp>
      <tp t="s">
        <v>#N/A Requesting Data...2215373457</v>
        <stp/>
        <stp>BDP|3698042258691376974</stp>
        <tr r="P2499" s="2"/>
      </tp>
      <tp t="s">
        <v>#N/A Requesting Data...3118553607</v>
        <stp/>
        <stp>BDP|5953499286776933116</stp>
        <tr r="D499" s="2"/>
      </tp>
      <tp t="s">
        <v>#N/A Requesting Data...4110932670</v>
        <stp/>
        <stp>BDP|3122252265729603099</stp>
        <tr r="Q2385" s="2"/>
      </tp>
      <tp t="s">
        <v>#N/A Requesting Data...4080283891</v>
        <stp/>
        <stp>BDP|1877709307911298930</stp>
        <tr r="C163" s="2"/>
      </tp>
      <tp t="s">
        <v>#N/A Requesting Data...3505165439</v>
        <stp/>
        <stp>BDP|3547790333548116101</stp>
        <tr r="K1166" s="2"/>
      </tp>
      <tp t="s">
        <v>#N/A Requesting Data...2950205187</v>
        <stp/>
        <stp>BDP|8490279488039451514</stp>
        <tr r="S1314" s="2"/>
      </tp>
      <tp t="s">
        <v>#N/A Requesting Data...4249264892</v>
        <stp/>
        <stp>BDP|7821982897068960107</stp>
        <tr r="G1590" s="2"/>
      </tp>
      <tp t="s">
        <v>#N/A Requesting Data...2535547692</v>
        <stp/>
        <stp>BDP|5278093211372109857</stp>
        <tr r="H1292" s="2"/>
      </tp>
      <tp t="s">
        <v>#N/A Requesting Data...3558764105</v>
        <stp/>
        <stp>BDP|5964224995058314833</stp>
        <tr r="D2092" s="2"/>
      </tp>
      <tp t="b">
        <v>0</v>
        <stp/>
        <stp>BDS|2962330920764017943</stp>
        <tr r="I1408" s="2"/>
      </tp>
      <tp t="s">
        <v>#N/A Requesting Data...3097975798</v>
        <stp/>
        <stp>BDP|3679568241974877871</stp>
        <tr r="C646" s="2"/>
      </tp>
      <tp t="s">
        <v>#N/A Requesting Data...2595010086</v>
        <stp/>
        <stp>BDP|6940915372921690722</stp>
        <tr r="A1732" s="2"/>
      </tp>
      <tp t="s">
        <v>#N/A Requesting Data...4051045583</v>
        <stp/>
        <stp>BDP|1901103982496072053</stp>
        <tr r="K1243" s="2"/>
      </tp>
      <tp t="s">
        <v>#N/A Requesting Data...2329169435</v>
        <stp/>
        <stp>BDP|5812934432020417137</stp>
        <tr r="P175" s="2"/>
      </tp>
      <tp t="s">
        <v>#N/A Requesting Data...3866866894</v>
        <stp/>
        <stp>BDP|6981452154859606001</stp>
        <tr r="Q464" s="2"/>
      </tp>
      <tp t="s">
        <v>#N/A Requesting Data...3767599583</v>
        <stp/>
        <stp>BDP|8728254466033836126</stp>
        <tr r="P1149" s="2"/>
      </tp>
      <tp t="s">
        <v>#N/A Requesting Data...2243534201</v>
        <stp/>
        <stp>BDP|2957992548303506236</stp>
        <tr r="T2444" s="2"/>
      </tp>
      <tp t="s">
        <v>#N/A Requesting Data...4051759045</v>
        <stp/>
        <stp>BDP|2784988583959623449</stp>
        <tr r="T257" s="2"/>
      </tp>
      <tp t="s">
        <v>#N/A Requesting Data...3750669028</v>
        <stp/>
        <stp>BDP|3532068698911342564</stp>
        <tr r="G249" s="2"/>
      </tp>
      <tp t="s">
        <v>#N/A Requesting Data...4167638972</v>
        <stp/>
        <stp>BDP|4832934617425556774</stp>
        <tr r="Q28" s="2"/>
      </tp>
      <tp t="s">
        <v>#N/A Requesting Data...3115817605</v>
        <stp/>
        <stp>BDP|4979440907808692624</stp>
        <tr r="P912" s="2"/>
      </tp>
      <tp t="s">
        <v>#N/A Requesting Data...4196087360</v>
        <stp/>
        <stp>BDP|8536511789159458274</stp>
        <tr r="M1704" s="2"/>
      </tp>
      <tp t="b">
        <v>0</v>
        <stp/>
        <stp>BDS|9697079993566570893</stp>
        <tr r="I373" s="2"/>
      </tp>
      <tp t="s">
        <v>#N/A Requesting Data...2244127570</v>
        <stp/>
        <stp>BDP|2372901048226562707</stp>
        <tr r="P858" s="2"/>
      </tp>
      <tp t="s">
        <v>#N/A Requesting Data...4231619173</v>
        <stp/>
        <stp>BDP|6604684385597341160</stp>
        <tr r="H114" s="2"/>
      </tp>
      <tp t="s">
        <v>#N/A Requesting Data...2526988738</v>
        <stp/>
        <stp>BDP|2033215215697802825</stp>
        <tr r="S2489" s="2"/>
      </tp>
      <tp t="s">
        <v>#N/A Requesting Data...2305264909</v>
        <stp/>
        <stp>BDP|8129826237425813824</stp>
        <tr r="C1161" s="2"/>
      </tp>
      <tp t="s">
        <v>#N/A Requesting Data...3937926084</v>
        <stp/>
        <stp>BDP|6359466571239949231</stp>
        <tr r="S2108" s="2"/>
      </tp>
      <tp t="s">
        <v>#N/A Requesting Data...2394982668</v>
        <stp/>
        <stp>BDP|7014234119602602827</stp>
        <tr r="D1761" s="2"/>
      </tp>
      <tp t="s">
        <v>#N/A Requesting Data...3926929986</v>
        <stp/>
        <stp>BDP|5505012983485835611</stp>
        <tr r="N43" s="2"/>
      </tp>
      <tp t="s">
        <v>#N/A Requesting Data...3636661927</v>
        <stp/>
        <stp>BDP|8555170429322111743</stp>
        <tr r="H983" s="2"/>
      </tp>
      <tp t="s">
        <v>#N/A Requesting Data...2607407146</v>
        <stp/>
        <stp>BDP|2488835866976634493</stp>
        <tr r="D1611" s="2"/>
      </tp>
      <tp t="s">
        <v>#N/A Requesting Data...4269964214</v>
        <stp/>
        <stp>BDP|4917540183565203220</stp>
        <tr r="P940" s="2"/>
      </tp>
      <tp t="s">
        <v>#N/A Requesting Data...3852280463</v>
        <stp/>
        <stp>BDP|6854467669798897218</stp>
        <tr r="F2127" s="2"/>
      </tp>
      <tp t="s">
        <v>#N/A Requesting Data...4170659067</v>
        <stp/>
        <stp>BDP|8916345139890902638</stp>
        <tr r="T460" s="2"/>
      </tp>
      <tp t="s">
        <v>#N/A Requesting Data...4035193502</v>
        <stp/>
        <stp>BDP|4905813983658156244</stp>
        <tr r="P2049" s="2"/>
      </tp>
      <tp t="b">
        <v>0</v>
        <stp/>
        <stp>BDS|9270255238554515242</stp>
        <tr r="I1604" s="2"/>
      </tp>
      <tp t="s">
        <v>#N/A Requesting Data...2291235684</v>
        <stp/>
        <stp>BDP|6701781581452032501</stp>
        <tr r="D63" s="2"/>
      </tp>
      <tp t="s">
        <v>#N/A Requesting Data...3772636181</v>
        <stp/>
        <stp>BDP|7581005549965211802</stp>
        <tr r="F1986" s="2"/>
      </tp>
      <tp t="s">
        <v>#N/A Requesting Data...2744365716</v>
        <stp/>
        <stp>BDP|8815461873284609155</stp>
        <tr r="C588" s="2"/>
      </tp>
      <tp t="s">
        <v>#N/A Requesting Data...2377460218</v>
        <stp/>
        <stp>BDP|3315046557621837964</stp>
        <tr r="S2032" s="2"/>
      </tp>
      <tp t="s">
        <v>#N/A Requesting Data...3787330359</v>
        <stp/>
        <stp>BDP|9221614269446544110</stp>
        <tr r="H1721" s="2"/>
      </tp>
      <tp t="s">
        <v>#N/A Requesting Data...3842735729</v>
        <stp/>
        <stp>BDP|7971644031058779452</stp>
        <tr r="C1427" s="2"/>
      </tp>
      <tp t="s">
        <v>#N/A Requesting Data...3495141296</v>
        <stp/>
        <stp>BDP|6818958747987329274</stp>
        <tr r="M2424" s="2"/>
      </tp>
      <tp t="s">
        <v>#N/A Requesting Data...3880651142</v>
        <stp/>
        <stp>BDP|9534660429710619323</stp>
        <tr r="H603" s="2"/>
      </tp>
      <tp t="b">
        <v>0</v>
        <stp/>
        <stp>BDS|2740896028312134488</stp>
        <tr r="I1344" s="2"/>
      </tp>
      <tp t="s">
        <v>#N/A Requesting Data...3768032129</v>
        <stp/>
        <stp>BDP|1302436383976526594</stp>
        <tr r="A1667" s="2"/>
      </tp>
      <tp t="s">
        <v>#N/A Requesting Data...3756141556</v>
        <stp/>
        <stp>BDP|1110767609208895094</stp>
        <tr r="T1146" s="2"/>
      </tp>
      <tp t="s">
        <v>#N/A Requesting Data...2318757941</v>
        <stp/>
        <stp>BDP|6064047791534947538</stp>
        <tr r="O138" s="2"/>
      </tp>
      <tp t="s">
        <v>#N/A Requesting Data...4271413456</v>
        <stp/>
        <stp>BDP|2090931350541948151</stp>
        <tr r="O117" s="2"/>
      </tp>
      <tp t="s">
        <v>#N/A Requesting Data...3551859999</v>
        <stp/>
        <stp>BDP|9901309409462878672</stp>
        <tr r="D2485" s="2"/>
      </tp>
      <tp t="b">
        <v>0</v>
        <stp/>
        <stp>BDS|7377846469832815590</stp>
        <tr r="I2221" s="2"/>
      </tp>
      <tp t="s">
        <v>#N/A Requesting Data...3788988944</v>
        <stp/>
        <stp>BDP|8115324159922215276</stp>
        <tr r="S147" s="2"/>
      </tp>
      <tp t="s">
        <v>#N/A Requesting Data...2688390025</v>
        <stp/>
        <stp>BDP|8064894262898662027</stp>
        <tr r="T151" s="2"/>
      </tp>
      <tp t="s">
        <v>#N/A Requesting Data...3193027994</v>
        <stp/>
        <stp>BDP|1864979136035568032</stp>
        <tr r="F1473" s="2"/>
      </tp>
      <tp t="s">
        <v>#N/A Requesting Data...3615330493</v>
        <stp/>
        <stp>BDP|5297733243430963842</stp>
        <tr r="A38" s="2"/>
      </tp>
      <tp t="s">
        <v>#N/A Requesting Data...2312818937</v>
        <stp/>
        <stp>BDP|7224089290193412311</stp>
        <tr r="H1237" s="2"/>
      </tp>
      <tp t="s">
        <v>#N/A Requesting Data...4018395138</v>
        <stp/>
        <stp>BDP|8863785868311424638</stp>
        <tr r="K1610" s="2"/>
      </tp>
      <tp t="s">
        <v>#N/A Requesting Data...4116460052</v>
        <stp/>
        <stp>BDP|1976162486356748018</stp>
        <tr r="P862" s="2"/>
      </tp>
      <tp t="s">
        <v>#N/A Requesting Data...3406851090</v>
        <stp/>
        <stp>BDP|6050211489081266358</stp>
        <tr r="O607" s="2"/>
      </tp>
      <tp t="s">
        <v>#N/A Requesting Data...4149137862</v>
        <stp/>
        <stp>BDP|9327777870314384384</stp>
        <tr r="P1366" s="2"/>
      </tp>
      <tp t="s">
        <v>#N/A Requesting Data...4248698945</v>
        <stp/>
        <stp>BDP|6230382390872011055</stp>
        <tr r="T1090" s="2"/>
      </tp>
      <tp t="s">
        <v>#N/A Requesting Data...3147547562</v>
        <stp/>
        <stp>BDP|5248814024913069282</stp>
        <tr r="T2184" s="2"/>
      </tp>
      <tp t="s">
        <v>#N/A Requesting Data...3069116964</v>
        <stp/>
        <stp>BDP|6755853127004386693</stp>
        <tr r="S568" s="2"/>
      </tp>
      <tp t="s">
        <v>#N/A Requesting Data...4060321177</v>
        <stp/>
        <stp>BDP|3690934860780343293</stp>
        <tr r="J1066" s="2"/>
      </tp>
      <tp t="s">
        <v>#N/A Requesting Data...2744679365</v>
        <stp/>
        <stp>BDP|6189045569636440872</stp>
        <tr r="C649" s="2"/>
      </tp>
      <tp t="s">
        <v>#N/A Requesting Data...2801477431</v>
        <stp/>
        <stp>BDP|7293702731765878846</stp>
        <tr r="S2464" s="2"/>
      </tp>
      <tp t="s">
        <v>#N/A Requesting Data...3766343139</v>
        <stp/>
        <stp>BDP|4650136495063999167</stp>
        <tr r="Q2149" s="2"/>
      </tp>
      <tp t="s">
        <v>#N/A Requesting Data...3058846412</v>
        <stp/>
        <stp>BDP|9841318950006183779</stp>
        <tr r="N818" s="2"/>
      </tp>
      <tp t="s">
        <v>#N/A Requesting Data...3379121399</v>
        <stp/>
        <stp>BDP|8945853612577677879</stp>
        <tr r="T2117" s="2"/>
      </tp>
      <tp t="s">
        <v>#N/A Requesting Data...4087081558</v>
        <stp/>
        <stp>BDP|8125169153030379280</stp>
        <tr r="H2043" s="2"/>
      </tp>
      <tp t="s">
        <v>#N/A Requesting Data...3355712537</v>
        <stp/>
        <stp>BDP|9560204168071268208</stp>
        <tr r="G672" s="2"/>
      </tp>
      <tp t="s">
        <v>#N/A Requesting Data...2836263823</v>
        <stp/>
        <stp>BDP|7138688160630370956</stp>
        <tr r="G2437" s="2"/>
      </tp>
      <tp t="s">
        <v>#N/A Requesting Data...4051941031</v>
        <stp/>
        <stp>BDP|8167051488727364909</stp>
        <tr r="D2134" s="2"/>
      </tp>
      <tp t="s">
        <v>#N/A Requesting Data...4118858255</v>
        <stp/>
        <stp>BDP|1265974667848547881</stp>
        <tr r="N1572" s="2"/>
      </tp>
      <tp t="s">
        <v>#N/A Requesting Data...3544142532</v>
        <stp/>
        <stp>BDP|9133098950393632114</stp>
        <tr r="S2426" s="2"/>
      </tp>
      <tp t="s">
        <v>#N/A Requesting Data...4032722741</v>
        <stp/>
        <stp>BDP|5744529959618553361</stp>
        <tr r="Q475" s="2"/>
      </tp>
      <tp t="s">
        <v>#N/A Requesting Data...4270632384</v>
        <stp/>
        <stp>BDP|5796699950390552848</stp>
        <tr r="M1456" s="2"/>
      </tp>
      <tp t="s">
        <v>#N/A Requesting Data...2463076799</v>
        <stp/>
        <stp>BDP|9106685618803937370</stp>
        <tr r="J495" s="2"/>
      </tp>
      <tp t="b">
        <v>0</v>
        <stp/>
        <stp>BDS|9923191064937960721</stp>
        <tr r="I880" s="2"/>
      </tp>
      <tp t="s">
        <v>#N/A Requesting Data...3457341314</v>
        <stp/>
        <stp>BDP|3858767253637188832</stp>
        <tr r="G2230" s="2"/>
      </tp>
      <tp t="s">
        <v>#N/A Requesting Data...2739120229</v>
        <stp/>
        <stp>BDP|5087165189475904798</stp>
        <tr r="A777" s="2"/>
      </tp>
      <tp t="s">
        <v>#N/A Requesting Data...2762891110</v>
        <stp/>
        <stp>BDP|5939621557499656152</stp>
        <tr r="A782" s="2"/>
      </tp>
      <tp t="s">
        <v>#N/A Requesting Data...2514106616</v>
        <stp/>
        <stp>BDP|6740477098287664216</stp>
        <tr r="S908" s="2"/>
      </tp>
      <tp t="s">
        <v>#N/A Requesting Data...3150394602</v>
        <stp/>
        <stp>BDP|9321307914273041682</stp>
        <tr r="E505" s="2"/>
      </tp>
      <tp t="b">
        <v>0</v>
        <stp/>
        <stp>BDS|6174826407294857434</stp>
        <tr r="I413" s="2"/>
      </tp>
      <tp t="s">
        <v>#N/A Requesting Data...2931088726</v>
        <stp/>
        <stp>BDP|1049165496032996569</stp>
        <tr r="A2326" s="2"/>
      </tp>
      <tp t="s">
        <v>#N/A Requesting Data...3911478085</v>
        <stp/>
        <stp>BDP|5422341999369249844</stp>
        <tr r="Q1698" s="2"/>
      </tp>
      <tp t="s">
        <v>#N/A Requesting Data...3128599953</v>
        <stp/>
        <stp>BDP|2274466368319610753</stp>
        <tr r="R1946" s="2"/>
      </tp>
      <tp t="s">
        <v>#N/A Requesting Data...3023730469</v>
        <stp/>
        <stp>BDP|4757864362303837741</stp>
        <tr r="H208" s="2"/>
      </tp>
      <tp t="s">
        <v>#N/A Requesting Data...3236555527</v>
        <stp/>
        <stp>BDP|7309646603459259697</stp>
        <tr r="Q1156" s="2"/>
      </tp>
      <tp t="s">
        <v>#N/A Requesting Data...3546664387</v>
        <stp/>
        <stp>BDP|7912253995320306251</stp>
        <tr r="A2531" s="2"/>
      </tp>
      <tp t="s">
        <v>#N/A Requesting Data...3813589723</v>
        <stp/>
        <stp>BDP|5679956060260937450</stp>
        <tr r="E207" s="2"/>
      </tp>
      <tp t="b">
        <v>0</v>
        <stp/>
        <stp>BDS|2209900667734954731</stp>
        <tr r="I2236" s="2"/>
      </tp>
      <tp t="s">
        <v>#N/A Requesting Data...3520384992</v>
        <stp/>
        <stp>BDP|2424977830533496589</stp>
        <tr r="E2521" s="2"/>
      </tp>
      <tp t="s">
        <v>#N/A Requesting Data...3160015106</v>
        <stp/>
        <stp>BDP|8365470736386963743</stp>
        <tr r="D1915" s="2"/>
      </tp>
      <tp t="s">
        <v>#N/A Requesting Data...3372549044</v>
        <stp/>
        <stp>BDP|4632388444498565509</stp>
        <tr r="G2397" s="2"/>
      </tp>
      <tp t="s">
        <v>#N/A Requesting Data...3460861067</v>
        <stp/>
        <stp>BDP|3940353653629825280</stp>
        <tr r="J1326" s="2"/>
      </tp>
      <tp t="s">
        <v>#N/A Requesting Data...3917023567</v>
        <stp/>
        <stp>BDP|3476080172463873997</stp>
        <tr r="S1612" s="2"/>
      </tp>
      <tp t="s">
        <v>#N/A Requesting Data...3522104747</v>
        <stp/>
        <stp>BDP|5715850439126770634</stp>
        <tr r="D1831" s="2"/>
      </tp>
      <tp t="s">
        <v>#N/A Requesting Data...2587930417</v>
        <stp/>
        <stp>BDP|5988291270918856676</stp>
        <tr r="O557" s="2"/>
      </tp>
      <tp t="s">
        <v>#N/A Requesting Data...2496083739</v>
        <stp/>
        <stp>BDP|7913692982083406491</stp>
        <tr r="M1003" s="2"/>
      </tp>
      <tp t="s">
        <v>#N/A Requesting Data...3726919336</v>
        <stp/>
        <stp>BDP|6923910730624416637</stp>
        <tr r="P1574" s="2"/>
      </tp>
      <tp t="s">
        <v>#N/A Requesting Data...3817525123</v>
        <stp/>
        <stp>BDP|8130386977011104307</stp>
        <tr r="G1260" s="2"/>
      </tp>
      <tp t="s">
        <v>#N/A Requesting Data...2471415603</v>
        <stp/>
        <stp>BDP|4308312391301966155</stp>
        <tr r="J275" s="2"/>
      </tp>
      <tp t="s">
        <v>#N/A Requesting Data...2321543137</v>
        <stp/>
        <stp>BDP|9132105868553752314</stp>
        <tr r="A615" s="2"/>
      </tp>
      <tp t="s">
        <v>#N/A Requesting Data...4236706288</v>
        <stp/>
        <stp>BDP|6674394635400648831</stp>
        <tr r="P1430" s="2"/>
      </tp>
      <tp t="s">
        <v>#N/A Requesting Data...2820215707</v>
        <stp/>
        <stp>BDP|7633264017042802802</stp>
        <tr r="F278" s="2"/>
      </tp>
      <tp t="s">
        <v>#N/A Requesting Data...3437795929</v>
        <stp/>
        <stp>BDP|2088435586093884320</stp>
        <tr r="F2188" s="2"/>
      </tp>
      <tp t="s">
        <v>#N/A Requesting Data...2670896134</v>
        <stp/>
        <stp>BDP|6974261538831822809</stp>
        <tr r="K1753" s="2"/>
      </tp>
      <tp t="s">
        <v>#N/A Requesting Data...3615300263</v>
        <stp/>
        <stp>BDP|1807100095461579676</stp>
        <tr r="R1859" s="2"/>
      </tp>
      <tp t="s">
        <v>#N/A Requesting Data...3308201499</v>
        <stp/>
        <stp>BDP|4361700995666077292</stp>
        <tr r="S2086" s="2"/>
      </tp>
      <tp t="s">
        <v>#N/A Requesting Data...3007680028</v>
        <stp/>
        <stp>BDP|6066307718549670317</stp>
        <tr r="O1530" s="2"/>
      </tp>
      <tp t="s">
        <v>#N/A Requesting Data...4011338161</v>
        <stp/>
        <stp>BDP|8938728929665595680</stp>
        <tr r="H1718" s="2"/>
      </tp>
      <tp t="s">
        <v>#N/A Requesting Data...4105585461</v>
        <stp/>
        <stp>BDP|8355681483280736801</stp>
        <tr r="T2134" s="2"/>
      </tp>
      <tp t="s">
        <v>#N/A Requesting Data...2853882719</v>
        <stp/>
        <stp>BDP|8512744962127971057</stp>
        <tr r="G2399" s="2"/>
      </tp>
      <tp t="s">
        <v>#N/A Requesting Data...2613158644</v>
        <stp/>
        <stp>BDP|9118397354178104923</stp>
        <tr r="E1955" s="2"/>
      </tp>
      <tp t="s">
        <v>#N/A Requesting Data...3634637500</v>
        <stp/>
        <stp>BDP|6718232696602985149</stp>
        <tr r="A1089" s="2"/>
      </tp>
      <tp t="s">
        <v>#N/A Requesting Data...4255024061</v>
        <stp/>
        <stp>BDP|7921434108378962544</stp>
        <tr r="A516" s="2"/>
      </tp>
      <tp t="b">
        <v>0</v>
        <stp/>
        <stp>BDS|6902200586533233122</stp>
        <tr r="I959" s="2"/>
      </tp>
      <tp t="s">
        <v>#N/A Requesting Data...3651459318</v>
        <stp/>
        <stp>BDP|1556421468365075807</stp>
        <tr r="H1938" s="2"/>
      </tp>
      <tp t="s">
        <v>#N/A Requesting Data...4293023413</v>
        <stp/>
        <stp>BDP|4800942772440744464</stp>
        <tr r="T437" s="2"/>
      </tp>
      <tp t="s">
        <v>#N/A Requesting Data...3336472831</v>
        <stp/>
        <stp>BDP|1043903518014437332</stp>
        <tr r="R1956" s="2"/>
      </tp>
      <tp t="s">
        <v>#N/A Requesting Data...3854132533</v>
        <stp/>
        <stp>BDP|4496530498166699067</stp>
        <tr r="N2198" s="2"/>
      </tp>
      <tp t="s">
        <v>#N/A Requesting Data...4141376973</v>
        <stp/>
        <stp>BDP|4831653792494751177</stp>
        <tr r="M1863" s="2"/>
      </tp>
      <tp t="s">
        <v>#N/A Requesting Data...3508945683</v>
        <stp/>
        <stp>BDP|6878744714579620712</stp>
        <tr r="N523" s="2"/>
      </tp>
      <tp t="s">
        <v>#N/A Requesting Data...3099319752</v>
        <stp/>
        <stp>BDP|3013377596533580482</stp>
        <tr r="S1523" s="2"/>
      </tp>
      <tp t="s">
        <v>#N/A Requesting Data...2647544549</v>
        <stp/>
        <stp>BDP|5194136192226462582</stp>
        <tr r="O1337" s="2"/>
      </tp>
      <tp t="s">
        <v>#N/A Requesting Data...4223089497</v>
        <stp/>
        <stp>BDP|2559390977881429936</stp>
        <tr r="G1535" s="2"/>
      </tp>
      <tp t="s">
        <v>#N/A Requesting Data...3058303222</v>
        <stp/>
        <stp>BDP|2565282155258560319</stp>
        <tr r="T2127" s="2"/>
      </tp>
      <tp t="s">
        <v>#N/A Requesting Data...3153135669</v>
        <stp/>
        <stp>BDP|1182329222046997841</stp>
        <tr r="S2407" s="2"/>
      </tp>
      <tp t="s">
        <v>#N/A Requesting Data...3665267179</v>
        <stp/>
        <stp>BDP|9212217442899802857</stp>
        <tr r="T1466" s="2"/>
      </tp>
      <tp t="s">
        <v>#N/A Requesting Data...2765027404</v>
        <stp/>
        <stp>BDP|9964248385495273864</stp>
        <tr r="S1889" s="2"/>
      </tp>
      <tp t="s">
        <v>#N/A Requesting Data...2884411358</v>
        <stp/>
        <stp>BDP|6049600828588407408</stp>
        <tr r="N627" s="2"/>
      </tp>
      <tp t="s">
        <v>#N/A Requesting Data...3727624182</v>
        <stp/>
        <stp>BDP|3590081181203669665</stp>
        <tr r="G2480" s="2"/>
      </tp>
      <tp t="s">
        <v>#N/A Requesting Data...4212006061</v>
        <stp/>
        <stp>BDP|8521131967963546287</stp>
        <tr r="C1813" s="2"/>
      </tp>
      <tp t="b">
        <v>0</v>
        <stp/>
        <stp>BDS|3288481586516614767</stp>
        <tr r="I1297" s="2"/>
      </tp>
      <tp t="s">
        <v>#N/A Requesting Data...2933510517</v>
        <stp/>
        <stp>BDP|5959923352822546502</stp>
        <tr r="S986" s="2"/>
      </tp>
      <tp t="s">
        <v>#N/A Requesting Data...3096325486</v>
        <stp/>
        <stp>BDP|2514814284954962851</stp>
        <tr r="A1796" s="2"/>
      </tp>
      <tp t="s">
        <v>#N/A Requesting Data...3809490411</v>
        <stp/>
        <stp>BDP|3491392197781171670</stp>
        <tr r="N666" s="2"/>
      </tp>
      <tp t="s">
        <v>#N/A Requesting Data...2691220431</v>
        <stp/>
        <stp>BDP|6188040704860530888</stp>
        <tr r="G1518" s="2"/>
      </tp>
      <tp t="s">
        <v>#N/A Requesting Data...3203291296</v>
        <stp/>
        <stp>BDP|6303289172145432811</stp>
        <tr r="O1999" s="2"/>
      </tp>
      <tp t="s">
        <v>#N/A Requesting Data...2826616575</v>
        <stp/>
        <stp>BDP|7426097617411637908</stp>
        <tr r="P923" s="2"/>
      </tp>
      <tp t="s">
        <v>#N/A Requesting Data...2661538845</v>
        <stp/>
        <stp>BDP|1835279531276366814</stp>
        <tr r="A930" s="2"/>
      </tp>
      <tp t="s">
        <v>#N/A Requesting Data...3266067014</v>
        <stp/>
        <stp>BDP|7006635946963008896</stp>
        <tr r="D2190" s="2"/>
      </tp>
      <tp t="b">
        <v>0</v>
        <stp/>
        <stp>BDS|8234717306165843418</stp>
        <tr r="I927" s="2"/>
      </tp>
      <tp t="s">
        <v>#N/A Requesting Data...2647073184</v>
        <stp/>
        <stp>BDP|4578298576539452625</stp>
        <tr r="A1141" s="2"/>
      </tp>
      <tp t="s">
        <v>#N/A Requesting Data...3019476412</v>
        <stp/>
        <stp>BDP|3951479706058559113</stp>
        <tr r="J1610" s="2"/>
      </tp>
      <tp t="s">
        <v>#N/A Requesting Data...2762140290</v>
        <stp/>
        <stp>BDP|7235835453874910072</stp>
        <tr r="S2110" s="2"/>
      </tp>
      <tp t="s">
        <v>#N/A Requesting Data...3497091200</v>
        <stp/>
        <stp>BDP|5966942900896585449</stp>
        <tr r="Q261" s="2"/>
      </tp>
      <tp t="s">
        <v>#N/A Requesting Data...3657514304</v>
        <stp/>
        <stp>BDP|4830126926000904998</stp>
        <tr r="H249" s="2"/>
      </tp>
      <tp t="s">
        <v>#N/A Requesting Data...2850856711</v>
        <stp/>
        <stp>BDP|2907724034800196829</stp>
        <tr r="R1534" s="2"/>
      </tp>
      <tp t="s">
        <v>#N/A Requesting Data...3836107934</v>
        <stp/>
        <stp>BDP|9309777359191591443</stp>
        <tr r="S2269" s="2"/>
      </tp>
      <tp t="s">
        <v>#N/A Requesting Data...3679793457</v>
        <stp/>
        <stp>BDP|3991807293048318453</stp>
        <tr r="Q1640" s="2"/>
      </tp>
      <tp t="s">
        <v>#N/A Requesting Data...4052675684</v>
        <stp/>
        <stp>BDP|7057858542383345686</stp>
        <tr r="M296" s="2"/>
      </tp>
      <tp t="s">
        <v>#N/A Requesting Data...3991034827</v>
        <stp/>
        <stp>BDP|7785240871148846461</stp>
        <tr r="N1664" s="2"/>
      </tp>
      <tp t="s">
        <v>#N/A Requesting Data...3172744204</v>
        <stp/>
        <stp>BDP|2059399383367367055</stp>
        <tr r="J1903" s="2"/>
      </tp>
      <tp t="s">
        <v>#N/A Requesting Data...3546941792</v>
        <stp/>
        <stp>BDP|4452131442216803919</stp>
        <tr r="R1910" s="2"/>
      </tp>
      <tp t="s">
        <v>#N/A Requesting Data...2953635084</v>
        <stp/>
        <stp>BDP|3073674485591914278</stp>
        <tr r="G2303" s="2"/>
      </tp>
      <tp t="s">
        <v>#N/A Requesting Data...2579028268</v>
        <stp/>
        <stp>BDP|2340534719900063851</stp>
        <tr r="G1828" s="2"/>
      </tp>
      <tp t="s">
        <v>#N/A Requesting Data...3121054632</v>
        <stp/>
        <stp>BDP|4123597588574564398</stp>
        <tr r="E1012" s="2"/>
      </tp>
      <tp t="s">
        <v>#N/A Requesting Data...3368898879</v>
        <stp/>
        <stp>BDP|6902880004849043992</stp>
        <tr r="S338" s="2"/>
      </tp>
      <tp t="s">
        <v>#N/A Requesting Data...3340032580</v>
        <stp/>
        <stp>BDP|7387834042972682783</stp>
        <tr r="C1507" s="2"/>
      </tp>
      <tp t="s">
        <v>#N/A Requesting Data...3307074861</v>
        <stp/>
        <stp>BDP|5308973476740630589</stp>
        <tr r="H2163" s="2"/>
      </tp>
      <tp t="s">
        <v>#N/A Requesting Data...4012007496</v>
        <stp/>
        <stp>BDP|4059714913408824466</stp>
        <tr r="C534" s="2"/>
      </tp>
      <tp t="s">
        <v>#N/A Requesting Data...3858629530</v>
        <stp/>
        <stp>BDP|2949941882755602853</stp>
        <tr r="G2168" s="2"/>
      </tp>
      <tp t="s">
        <v>#N/A Requesting Data...3912902066</v>
        <stp/>
        <stp>BDP|4840361732123465943</stp>
        <tr r="M273" s="2"/>
      </tp>
      <tp t="s">
        <v>#N/A Requesting Data...4285240433</v>
        <stp/>
        <stp>BDP|8335813031928796581</stp>
        <tr r="S1694" s="2"/>
      </tp>
      <tp t="s">
        <v>#N/A Requesting Data...3478498140</v>
        <stp/>
        <stp>BDP|3270782441858659619</stp>
        <tr r="O1855" s="2"/>
      </tp>
      <tp t="s">
        <v>#N/A Requesting Data...2771071404</v>
        <stp/>
        <stp>BDP|4540958944835052280</stp>
        <tr r="R1627" s="2"/>
      </tp>
      <tp t="s">
        <v>#N/A Requesting Data...3179566652</v>
        <stp/>
        <stp>BDP|4424466385230321684</stp>
        <tr r="A508" s="2"/>
      </tp>
      <tp t="s">
        <v>#N/A Requesting Data...3536787915</v>
        <stp/>
        <stp>BDP|9754209339877446160</stp>
        <tr r="O574" s="2"/>
      </tp>
      <tp t="s">
        <v>#N/A Requesting Data...2688105418</v>
        <stp/>
        <stp>BDP|9232821589357052054</stp>
        <tr r="H1649" s="2"/>
      </tp>
      <tp t="s">
        <v>#N/A Requesting Data...3210535403</v>
        <stp/>
        <stp>BDP|3055693799347528597</stp>
        <tr r="K555" s="2"/>
      </tp>
      <tp t="s">
        <v>#N/A Requesting Data...2737270713</v>
        <stp/>
        <stp>BDP|8721277398159418405</stp>
        <tr r="N248" s="2"/>
      </tp>
      <tp t="s">
        <v>#N/A Requesting Data...2623489962</v>
        <stp/>
        <stp>BDP|3767390607558471617</stp>
        <tr r="N1166" s="2"/>
      </tp>
      <tp t="s">
        <v>#N/A Requesting Data...3551691815</v>
        <stp/>
        <stp>BDP|9929775045942198664</stp>
        <tr r="S727" s="2"/>
      </tp>
      <tp t="b">
        <v>0</v>
        <stp/>
        <stp>BDS|8461113716710942666</stp>
        <tr r="I916" s="2"/>
      </tp>
      <tp t="s">
        <v>#N/A Requesting Data...3093031764</v>
        <stp/>
        <stp>BDP|9446439468754187121</stp>
        <tr r="S2410" s="2"/>
      </tp>
      <tp t="s">
        <v>#N/A Requesting Data...2907326774</v>
        <stp/>
        <stp>BDP|7128280742749556623</stp>
        <tr r="O980" s="2"/>
      </tp>
      <tp t="s">
        <v>#N/A Requesting Data...2615811106</v>
        <stp/>
        <stp>BDP|1493674977278193695</stp>
        <tr r="R442" s="2"/>
      </tp>
      <tp t="s">
        <v>#N/A Requesting Data...2852942073</v>
        <stp/>
        <stp>BDP|6801263582336228421</stp>
        <tr r="D394" s="2"/>
      </tp>
      <tp t="s">
        <v>#N/A Requesting Data...2893191887</v>
        <stp/>
        <stp>BDP|3954813153645559526</stp>
        <tr r="E628" s="2"/>
      </tp>
      <tp t="s">
        <v>#N/A Requesting Data...4260283421</v>
        <stp/>
        <stp>BDP|6880105151154670839</stp>
        <tr r="T334" s="2"/>
      </tp>
      <tp t="s">
        <v>#N/A Requesting Data...3029935109</v>
        <stp/>
        <stp>BDP|4336197563675566806</stp>
        <tr r="M1303" s="2"/>
      </tp>
      <tp t="s">
        <v>#N/A Requesting Data...2785463033</v>
        <stp/>
        <stp>BDP|3739990076227558416</stp>
        <tr r="T204" s="2"/>
      </tp>
      <tp t="s">
        <v>#N/A Requesting Data...3425459957</v>
        <stp/>
        <stp>BDP|4825412690276169146</stp>
        <tr r="P194" s="2"/>
      </tp>
      <tp t="s">
        <v>#N/A Requesting Data...3692485909</v>
        <stp/>
        <stp>BDP|7198751753518875338</stp>
        <tr r="E1136" s="2"/>
      </tp>
      <tp t="s">
        <v>#N/A Requesting Data...3120785957</v>
        <stp/>
        <stp>BDP|7330799817907033812</stp>
        <tr r="N771" s="2"/>
      </tp>
      <tp t="s">
        <v>#N/A Requesting Data...2869866528</v>
        <stp/>
        <stp>BDP|8739623368446935085</stp>
        <tr r="O142" s="2"/>
      </tp>
      <tp t="s">
        <v>#N/A Requesting Data...2714010619</v>
        <stp/>
        <stp>BDP|9432682159262954603</stp>
        <tr r="O832" s="2"/>
      </tp>
      <tp t="s">
        <v>#N/A Requesting Data...2995433120</v>
        <stp/>
        <stp>BDP|6540162199977334759</stp>
        <tr r="D1640" s="2"/>
      </tp>
      <tp t="s">
        <v>#N/A Requesting Data...2729581774</v>
        <stp/>
        <stp>BDP|1314961999276676960</stp>
        <tr r="T1408" s="2"/>
      </tp>
      <tp t="b">
        <v>0</v>
        <stp/>
        <stp>BDS|8057404229693470316</stp>
        <tr r="I1155" s="2"/>
      </tp>
      <tp t="s">
        <v>#N/A Requesting Data...3648518965</v>
        <stp/>
        <stp>BDP|3512319450689021289</stp>
        <tr r="Q2025" s="2"/>
      </tp>
      <tp t="s">
        <v>#N/A Requesting Data...3498213936</v>
        <stp/>
        <stp>BDP|4002907403706939566</stp>
        <tr r="S1043" s="2"/>
      </tp>
      <tp t="s">
        <v>#N/A Requesting Data...3107628637</v>
        <stp/>
        <stp>BDP|5493279600529818071</stp>
        <tr r="O1991" s="2"/>
      </tp>
      <tp t="s">
        <v>#N/A Requesting Data...3183496373</v>
        <stp/>
        <stp>BDP|6994174855504755808</stp>
        <tr r="G553" s="2"/>
      </tp>
      <tp t="s">
        <v>#N/A Requesting Data...3226125768</v>
        <stp/>
        <stp>BDP|8470262901854618098</stp>
        <tr r="C1159" s="2"/>
      </tp>
      <tp t="s">
        <v>#N/A Requesting Data...2694540658</v>
        <stp/>
        <stp>BDP|8723224214000515583</stp>
        <tr r="P1535" s="2"/>
      </tp>
      <tp t="s">
        <v>#N/A Requesting Data...3677736915</v>
        <stp/>
        <stp>BDP|8856748740610883587</stp>
        <tr r="P351" s="2"/>
      </tp>
      <tp t="s">
        <v>#N/A Requesting Data...4271340009</v>
        <stp/>
        <stp>BDP|3327612980506930572</stp>
        <tr r="G116" s="2"/>
      </tp>
      <tp t="s">
        <v>#N/A Requesting Data...3283147465</v>
        <stp/>
        <stp>BDP|9498961598601426628</stp>
        <tr r="C1874" s="2"/>
      </tp>
      <tp t="s">
        <v>#N/A Requesting Data...2746623875</v>
        <stp/>
        <stp>BDP|6709924818663263333</stp>
        <tr r="H2510" s="2"/>
      </tp>
      <tp t="s">
        <v>#N/A Requesting Data...3637461575</v>
        <stp/>
        <stp>BDP|8827039314966006135</stp>
        <tr r="H2360" s="2"/>
      </tp>
      <tp t="s">
        <v>#N/A Requesting Data...2991957642</v>
        <stp/>
        <stp>BDP|2242316909119219645</stp>
        <tr r="S1116" s="2"/>
      </tp>
      <tp t="s">
        <v>#N/A Requesting Data...4029082072</v>
        <stp/>
        <stp>BDP|8418262509612125660</stp>
        <tr r="T74" s="2"/>
      </tp>
      <tp t="s">
        <v>#N/A Requesting Data...2842177972</v>
        <stp/>
        <stp>BDP|3171276286401549696</stp>
        <tr r="G495" s="2"/>
      </tp>
      <tp t="s">
        <v>#N/A Requesting Data...2791000105</v>
        <stp/>
        <stp>BDP|7824821430303100176</stp>
        <tr r="D2164" s="2"/>
      </tp>
      <tp t="s">
        <v>#N/A Requesting Data...2830004296</v>
        <stp/>
        <stp>BDP|9347322255107817600</stp>
        <tr r="T472" s="2"/>
      </tp>
      <tp t="s">
        <v>#N/A Requesting Data...3375483816</v>
        <stp/>
        <stp>BDP|2842755378559158587</stp>
        <tr r="M2254" s="2"/>
      </tp>
      <tp t="s">
        <v>#N/A Requesting Data...3559317646</v>
        <stp/>
        <stp>BDP|2288942239364162229</stp>
        <tr r="G2178" s="2"/>
      </tp>
      <tp t="s">
        <v>#N/A Requesting Data...3414596436</v>
        <stp/>
        <stp>BDP|7928916370417123054</stp>
        <tr r="T113" s="2"/>
      </tp>
      <tp t="s">
        <v>#N/A Requesting Data...4013978803</v>
        <stp/>
        <stp>BDP|4040759700498808500</stp>
        <tr r="Q2297" s="2"/>
      </tp>
      <tp t="s">
        <v>#N/A Requesting Data...3964716008</v>
        <stp/>
        <stp>BDP|6835160066906753926</stp>
        <tr r="D174" s="2"/>
      </tp>
      <tp t="b">
        <v>0</v>
        <stp/>
        <stp>BDS|4463262265849943732</stp>
        <tr r="I2448" s="2"/>
      </tp>
      <tp t="s">
        <v>#N/A Requesting Data...3423691754</v>
        <stp/>
        <stp>BDP|9697478329701590007</stp>
        <tr r="Q570" s="2"/>
      </tp>
      <tp t="s">
        <v>#N/A Requesting Data...2797871507</v>
        <stp/>
        <stp>BDP|9250410116803922117</stp>
        <tr r="O1133" s="2"/>
      </tp>
      <tp t="s">
        <v>#N/A Requesting Data...4105043414</v>
        <stp/>
        <stp>BDP|4258893332847731635</stp>
        <tr r="G589" s="2"/>
      </tp>
      <tp t="s">
        <v>#N/A Requesting Data...3965833170</v>
        <stp/>
        <stp>BDP|8975855036885773805</stp>
        <tr r="A117" s="2"/>
      </tp>
      <tp t="s">
        <v>#N/A Requesting Data...4121036156</v>
        <stp/>
        <stp>BDP|1742417858528390607</stp>
        <tr r="Q736" s="2"/>
      </tp>
      <tp t="s">
        <v>#N/A Requesting Data...3371920881</v>
        <stp/>
        <stp>BDP|1993058860941707863</stp>
        <tr r="Q1321" s="2"/>
      </tp>
      <tp t="s">
        <v>#N/A Requesting Data...3025502693</v>
        <stp/>
        <stp>BDP|1184605699667730722</stp>
        <tr r="E2476" s="2"/>
      </tp>
      <tp t="s">
        <v>#N/A Requesting Data...3681526350</v>
        <stp/>
        <stp>BDP|4456991121127372628</stp>
        <tr r="C25" s="2"/>
      </tp>
      <tp t="s">
        <v>#N/A Requesting Data...3479034859</v>
        <stp/>
        <stp>BDP|6231286485994132635</stp>
        <tr r="Q1207" s="2"/>
      </tp>
      <tp t="s">
        <v>#N/A Requesting Data...4217848553</v>
        <stp/>
        <stp>BDP|4542115730989814113</stp>
        <tr r="F820" s="2"/>
      </tp>
      <tp t="s">
        <v>#N/A Requesting Data...3834243049</v>
        <stp/>
        <stp>BDP|6648890703490782065</stp>
        <tr r="P1394" s="2"/>
      </tp>
      <tp t="s">
        <v>#N/A Requesting Data...3421738562</v>
        <stp/>
        <stp>BDP|5868189098685357661</stp>
        <tr r="Q1312" s="2"/>
      </tp>
      <tp t="s">
        <v>#N/A Requesting Data...2990348458</v>
        <stp/>
        <stp>BDP|2592193752241030936</stp>
        <tr r="D347" s="2"/>
      </tp>
      <tp t="s">
        <v>#N/A Requesting Data...4150208543</v>
        <stp/>
        <stp>BDP|9346378149401205125</stp>
        <tr r="N2227" s="2"/>
      </tp>
      <tp t="s">
        <v>#N/A Requesting Data...3705297000</v>
        <stp/>
        <stp>BDP|4292825268024536003</stp>
        <tr r="P2532" s="2"/>
      </tp>
      <tp t="s">
        <v>#N/A Requesting Data...3972660099</v>
        <stp/>
        <stp>BDP|6409263555297948839</stp>
        <tr r="K1100" s="2"/>
      </tp>
      <tp t="s">
        <v>#N/A Requesting Data...3220297766</v>
        <stp/>
        <stp>BDP|8552400778391121418</stp>
        <tr r="D733" s="2"/>
      </tp>
      <tp t="s">
        <v>#N/A Requesting Data...2989551453</v>
        <stp/>
        <stp>BDP|4635212199144099535</stp>
        <tr r="P1664" s="2"/>
      </tp>
      <tp t="b">
        <v>0</v>
        <stp/>
        <stp>BDS|2430536533073829918</stp>
        <tr r="I1747" s="2"/>
      </tp>
      <tp t="s">
        <v>#N/A Requesting Data...3412511980</v>
        <stp/>
        <stp>BDP|2815930734166070028</stp>
        <tr r="R82" s="2"/>
      </tp>
      <tp t="s">
        <v>#N/A Requesting Data...3800296294</v>
        <stp/>
        <stp>BDP|4214463537274962979</stp>
        <tr r="D1880" s="2"/>
      </tp>
      <tp t="s">
        <v>#N/A Requesting Data...3194067641</v>
        <stp/>
        <stp>BDP|1564191484963250574</stp>
        <tr r="A2307" s="2"/>
      </tp>
      <tp t="s">
        <v>#N/A Requesting Data...3803786073</v>
        <stp/>
        <stp>BDP|4899761983073834684</stp>
        <tr r="S1894" s="2"/>
      </tp>
      <tp t="s">
        <v>#N/A Requesting Data...4052824147</v>
        <stp/>
        <stp>BDP|6822405221959306771</stp>
        <tr r="H640" s="2"/>
      </tp>
      <tp t="s">
        <v>#N/A Requesting Data...3885808790</v>
        <stp/>
        <stp>BDP|6621635393990365787</stp>
        <tr r="O1131" s="2"/>
      </tp>
      <tp t="s">
        <v>#N/A Requesting Data...4097692694</v>
        <stp/>
        <stp>BDP|7297792205589089738</stp>
        <tr r="E1067" s="2"/>
      </tp>
      <tp t="s">
        <v>#N/A Requesting Data...3686590415</v>
        <stp/>
        <stp>BDP|7901344200009093303</stp>
        <tr r="F1695" s="2"/>
      </tp>
      <tp t="s">
        <v>#N/A Requesting Data...3185211473</v>
        <stp/>
        <stp>BDP|4324645963903942904</stp>
        <tr r="O704" s="2"/>
      </tp>
      <tp t="s">
        <v>#N/A Requesting Data...3619583408</v>
        <stp/>
        <stp>BDP|9656511200857268584</stp>
        <tr r="P1199" s="2"/>
      </tp>
      <tp t="s">
        <v>#N/A Requesting Data...3222639672</v>
        <stp/>
        <stp>BDP|1630277447870847939</stp>
        <tr r="J542" s="2"/>
      </tp>
      <tp t="s">
        <v>#N/A Requesting Data...2804853648</v>
        <stp/>
        <stp>BDP|6794539153839201189</stp>
        <tr r="A680" s="2"/>
      </tp>
      <tp t="s">
        <v>#N/A Requesting Data...3151522269</v>
        <stp/>
        <stp>BDP|9029537669505228153</stp>
        <tr r="K1108" s="2"/>
      </tp>
      <tp t="s">
        <v>#N/A Requesting Data...3067021187</v>
        <stp/>
        <stp>BDP|7240693181713720403</stp>
        <tr r="A2068" s="2"/>
      </tp>
      <tp t="s">
        <v>#N/A Requesting Data...3621506989</v>
        <stp/>
        <stp>BDP|8667634220726115495</stp>
        <tr r="F2138" s="2"/>
      </tp>
      <tp t="s">
        <v>#N/A Requesting Data...4053575490</v>
        <stp/>
        <stp>BDP|5769589646168666229</stp>
        <tr r="P765" s="2"/>
      </tp>
      <tp t="s">
        <v>#N/A Requesting Data...3571582226</v>
        <stp/>
        <stp>BDP|8018098766945082529</stp>
        <tr r="A291" s="2"/>
      </tp>
      <tp t="s">
        <v>#N/A Requesting Data...3563509317</v>
        <stp/>
        <stp>BDP|8271685040483653712</stp>
        <tr r="N977" s="2"/>
      </tp>
      <tp t="s">
        <v>#N/A Requesting Data...3784232274</v>
        <stp/>
        <stp>BDP|3148743649347541941</stp>
        <tr r="J1946" s="2"/>
      </tp>
      <tp t="s">
        <v>#N/A Requesting Data...2872459645</v>
        <stp/>
        <stp>BDP|9251610474692258486</stp>
        <tr r="R771" s="2"/>
      </tp>
      <tp t="s">
        <v>#N/A Requesting Data...2965695318</v>
        <stp/>
        <stp>BDP|6839870847277388369</stp>
        <tr r="R833" s="2"/>
      </tp>
      <tp t="s">
        <v>#N/A Requesting Data...2956801712</v>
        <stp/>
        <stp>BDP|9768557043221934750</stp>
        <tr r="D1917" s="2"/>
      </tp>
      <tp t="b">
        <v>0</v>
        <stp/>
        <stp>BDS|3555816021327819002</stp>
        <tr r="I433" s="2"/>
      </tp>
      <tp t="s">
        <v>#N/A Requesting Data...4042296631</v>
        <stp/>
        <stp>BDP|4050111207112238996</stp>
        <tr r="F2218" s="2"/>
      </tp>
      <tp t="s">
        <v>#N/A Requesting Data...3070114310</v>
        <stp/>
        <stp>BDP|7080979528570473260</stp>
        <tr r="P1949" s="2"/>
      </tp>
      <tp t="s">
        <v>#N/A Requesting Data...3488363128</v>
        <stp/>
        <stp>BDP|8832357265760317360</stp>
        <tr r="K1873" s="2"/>
      </tp>
      <tp t="s">
        <v>#N/A Requesting Data...4189451205</v>
        <stp/>
        <stp>BDP|9666731747367709386</stp>
        <tr r="O1804" s="2"/>
      </tp>
      <tp t="s">
        <v>#N/A Requesting Data...3670316233</v>
        <stp/>
        <stp>BDP|7713835973071966730</stp>
        <tr r="C1902" s="2"/>
      </tp>
      <tp t="s">
        <v>#N/A Requesting Data...3200686191</v>
        <stp/>
        <stp>BDP|8862982030849811558</stp>
        <tr r="G1365" s="2"/>
      </tp>
      <tp t="s">
        <v>#N/A Requesting Data...3548344139</v>
        <stp/>
        <stp>BDP|3396188388465621182</stp>
        <tr r="A355" s="2"/>
      </tp>
      <tp t="s">
        <v>#N/A Requesting Data...4221485212</v>
        <stp/>
        <stp>BDP|1727531678859277439</stp>
        <tr r="P1816" s="2"/>
      </tp>
      <tp t="s">
        <v>#N/A Requesting Data...3381995825</v>
        <stp/>
        <stp>BDP|6139807062287742197</stp>
        <tr r="M498" s="2"/>
      </tp>
      <tp t="s">
        <v>#N/A Requesting Data...4195753792</v>
        <stp/>
        <stp>BDP|8245224105652879604</stp>
        <tr r="C1938" s="2"/>
      </tp>
      <tp t="s">
        <v>#N/A Requesting Data...3543092830</v>
        <stp/>
        <stp>BDP|8976724731022577020</stp>
        <tr r="R790" s="2"/>
      </tp>
      <tp t="s">
        <v>#N/A Requesting Data...3648220376</v>
        <stp/>
        <stp>BDP|8668148921717853268</stp>
        <tr r="D368" s="2"/>
      </tp>
      <tp t="s">
        <v>#N/A Requesting Data...3386165662</v>
        <stp/>
        <stp>BDP|6568586522627622840</stp>
        <tr r="S1301" s="2"/>
      </tp>
      <tp t="s">
        <v>#N/A Requesting Data...3643835725</v>
        <stp/>
        <stp>BDP|7913238296966159401</stp>
        <tr r="P637" s="2"/>
      </tp>
      <tp t="s">
        <v>#N/A Requesting Data...4266803047</v>
        <stp/>
        <stp>BDP|9904842845719373266</stp>
        <tr r="T1818" s="2"/>
      </tp>
      <tp t="s">
        <v>#N/A Requesting Data...4033934734</v>
        <stp/>
        <stp>BDP|9252195183638540605</stp>
        <tr r="O2110" s="2"/>
      </tp>
      <tp t="s">
        <v>#N/A Requesting Data...3737055929</v>
        <stp/>
        <stp>BDP|8848295548086540613</stp>
        <tr r="D416" s="2"/>
      </tp>
      <tp t="s">
        <v>#N/A Requesting Data...3300512615</v>
        <stp/>
        <stp>BDP|8477661727254833601</stp>
        <tr r="D505" s="2"/>
      </tp>
      <tp t="s">
        <v>#N/A Requesting Data...3161687783</v>
        <stp/>
        <stp>BDP|3590883660202286126</stp>
        <tr r="N1491" s="2"/>
      </tp>
      <tp t="s">
        <v>#N/A Requesting Data...3690637125</v>
        <stp/>
        <stp>BDP|5217833453401982768</stp>
        <tr r="C1862" s="2"/>
      </tp>
      <tp t="s">
        <v>#N/A Requesting Data...3538117334</v>
        <stp/>
        <stp>BDP|9812908494474920389</stp>
        <tr r="J1033" s="2"/>
      </tp>
      <tp t="s">
        <v>#N/A Requesting Data...4199738766</v>
        <stp/>
        <stp>BDP|3656180517145508812</stp>
        <tr r="K1238" s="2"/>
      </tp>
      <tp t="s">
        <v>#N/A Requesting Data...3285270567</v>
        <stp/>
        <stp>BDP|2053742245656303908</stp>
        <tr r="M1842" s="2"/>
      </tp>
      <tp t="s">
        <v>#N/A Requesting Data...3635472198</v>
        <stp/>
        <stp>BDP|8370149376553151327</stp>
        <tr r="E491" s="2"/>
      </tp>
      <tp t="b">
        <v>0</v>
        <stp/>
        <stp>BDS|4622615138757581882</stp>
        <tr r="I1926" s="2"/>
      </tp>
      <tp t="s">
        <v>#N/A Requesting Data...3298141175</v>
        <stp/>
        <stp>BDP|2390615327341737905</stp>
        <tr r="N665" s="2"/>
      </tp>
      <tp t="s">
        <v>#N/A Requesting Data...3710037269</v>
        <stp/>
        <stp>BDP|3560335005926551846</stp>
        <tr r="F1494" s="2"/>
      </tp>
      <tp t="s">
        <v>#N/A Requesting Data...3621820112</v>
        <stp/>
        <stp>BDP|2893904968546008520</stp>
        <tr r="N1202" s="2"/>
      </tp>
      <tp t="s">
        <v>#N/A Requesting Data...3835718226</v>
        <stp/>
        <stp>BDP|7700207474919753563</stp>
        <tr r="N2424" s="2"/>
      </tp>
      <tp t="s">
        <v>#N/A Requesting Data...4034971862</v>
        <stp/>
        <stp>BDP|6168912866151192654</stp>
        <tr r="O2317" s="2"/>
      </tp>
      <tp t="s">
        <v>#N/A Requesting Data...3024469433</v>
        <stp/>
        <stp>BDP|2537863236133484431</stp>
        <tr r="O1310" s="2"/>
      </tp>
      <tp t="b">
        <v>0</v>
        <stp/>
        <stp>BDS|6662279995540362357</stp>
        <tr r="I252" s="2"/>
      </tp>
      <tp t="s">
        <v>#N/A Requesting Data...3664314083</v>
        <stp/>
        <stp>BDP|2702064901815562972</stp>
        <tr r="J1959" s="2"/>
      </tp>
      <tp t="s">
        <v>#N/A Requesting Data...3697353453</v>
        <stp/>
        <stp>BDP|1462132885216660068</stp>
        <tr r="Q153" s="2"/>
      </tp>
      <tp t="s">
        <v>#N/A Requesting Data...3947880788</v>
        <stp/>
        <stp>BDP|6053108472678056605</stp>
        <tr r="H165" s="2"/>
      </tp>
      <tp t="s">
        <v>#N/A Requesting Data...3288535803</v>
        <stp/>
        <stp>BDP|6589451087305468117</stp>
        <tr r="N1091" s="2"/>
      </tp>
      <tp t="s">
        <v>#N/A Requesting Data...3537524091</v>
        <stp/>
        <stp>BDP|5528901391209232249</stp>
        <tr r="T509" s="2"/>
      </tp>
      <tp t="s">
        <v>#N/A Requesting Data...3483638774</v>
        <stp/>
        <stp>BDP|1243791470538143789</stp>
        <tr r="K1284" s="2"/>
      </tp>
      <tp t="s">
        <v>#N/A Requesting Data...3417873370</v>
        <stp/>
        <stp>BDP|1638956829340124499</stp>
        <tr r="H1503" s="2"/>
      </tp>
      <tp t="s">
        <v>#N/A Requesting Data...4230945173</v>
        <stp/>
        <stp>BDP|3490007403669650430</stp>
        <tr r="D1846" s="2"/>
      </tp>
      <tp t="s">
        <v>#N/A Requesting Data...3225580229</v>
        <stp/>
        <stp>BDP|6191144235658225204</stp>
        <tr r="R547" s="2"/>
      </tp>
      <tp t="s">
        <v>#N/A Requesting Data...3201443063</v>
        <stp/>
        <stp>BDP|5439063304219162259</stp>
        <tr r="C666" s="2"/>
      </tp>
      <tp t="s">
        <v>#N/A Requesting Data...3841063550</v>
        <stp/>
        <stp>BDP|3843724198430405348</stp>
        <tr r="N1449" s="2"/>
      </tp>
      <tp t="b">
        <v>0</v>
        <stp/>
        <stp>BDS|4665464178061297884</stp>
        <tr r="I2179" s="2"/>
      </tp>
      <tp t="b">
        <v>0</v>
        <stp/>
        <stp>BDS|4686261521203566962</stp>
        <tr r="I78" s="2"/>
      </tp>
      <tp t="s">
        <v>#N/A Requesting Data...3735724282</v>
        <stp/>
        <stp>BDP|7104052899698712889</stp>
        <tr r="D2320" s="2"/>
      </tp>
      <tp t="s">
        <v>#N/A Requesting Data...4065891390</v>
        <stp/>
        <stp>BDP|5303532559943933824</stp>
        <tr r="K1616" s="2"/>
      </tp>
      <tp t="s">
        <v>#N/A Requesting Data...4131872427</v>
        <stp/>
        <stp>BDP|1940215287987826256</stp>
        <tr r="R768" s="2"/>
      </tp>
      <tp t="s">
        <v>#N/A Requesting Data...3468463676</v>
        <stp/>
        <stp>BDP|9790063018543218592</stp>
        <tr r="H582" s="2"/>
      </tp>
      <tp t="s">
        <v>#N/A Requesting Data...4267303816</v>
        <stp/>
        <stp>BDP|4077469851613121846</stp>
        <tr r="P2347" s="2"/>
      </tp>
      <tp t="s">
        <v>#N/A Requesting Data...3152382662</v>
        <stp/>
        <stp>BDP|7433016565727445869</stp>
        <tr r="P1478" s="2"/>
      </tp>
      <tp t="s">
        <v>#N/A Requesting Data...3170420790</v>
        <stp/>
        <stp>BDP|5663522556458960399</stp>
        <tr r="R2370" s="2"/>
      </tp>
      <tp t="s">
        <v>#N/A Requesting Data...3612318985</v>
        <stp/>
        <stp>BDP|5646243635528488215</stp>
        <tr r="N1692" s="2"/>
      </tp>
      <tp t="s">
        <v>#N/A Requesting Data...4157340906</v>
        <stp/>
        <stp>BDP|1789314682571267541</stp>
        <tr r="T2026" s="2"/>
      </tp>
      <tp t="s">
        <v>#N/A Requesting Data...3108686586</v>
        <stp/>
        <stp>BDP|9744945053352548978</stp>
        <tr r="E376" s="2"/>
      </tp>
      <tp t="s">
        <v>#N/A Requesting Data...4177827346</v>
        <stp/>
        <stp>BDP|4441005426581387932</stp>
        <tr r="G76" s="2"/>
      </tp>
      <tp t="s">
        <v>#N/A Requesting Data...3237315813</v>
        <stp/>
        <stp>BDP|5960147484272334081</stp>
        <tr r="N2382" s="2"/>
      </tp>
      <tp t="s">
        <v>#N/A Requesting Data...3205289563</v>
        <stp/>
        <stp>BDP|1559848577582484201</stp>
        <tr r="H2133" s="2"/>
      </tp>
      <tp t="s">
        <v>#N/A Requesting Data...4036373302</v>
        <stp/>
        <stp>BDP|7720850101702070313</stp>
        <tr r="J656" s="2"/>
      </tp>
      <tp t="s">
        <v>#N/A Requesting Data...3960070193</v>
        <stp/>
        <stp>BDP|9020126015100703724</stp>
        <tr r="Q587" s="2"/>
      </tp>
      <tp t="s">
        <v>#N/A Requesting Data...4130956804</v>
        <stp/>
        <stp>BDP|3358800352121234116</stp>
        <tr r="Q1169" s="2"/>
      </tp>
      <tp t="s">
        <v>#N/A Requesting Data...3270994832</v>
        <stp/>
        <stp>BDP|4398319783004438573</stp>
        <tr r="S412" s="2"/>
      </tp>
      <tp t="s">
        <v>#N/A Requesting Data...4217200386</v>
        <stp/>
        <stp>BDP|8027794672573116582</stp>
        <tr r="F243" s="2"/>
      </tp>
      <tp t="s">
        <v>#N/A Requesting Data...3307350780</v>
        <stp/>
        <stp>BDP|6502097186426120691</stp>
        <tr r="J726" s="2"/>
      </tp>
      <tp t="s">
        <v>#N/A Requesting Data...3940435923</v>
        <stp/>
        <stp>BDP|6247017797468525935</stp>
        <tr r="R1568" s="2"/>
      </tp>
      <tp t="s">
        <v>#N/A Requesting Data...3661607800</v>
        <stp/>
        <stp>BDP|6935194182703817281</stp>
        <tr r="F704" s="2"/>
      </tp>
      <tp t="s">
        <v>#N/A Requesting Data...4292071124</v>
        <stp/>
        <stp>BDP|4055133893800680246</stp>
        <tr r="D1287" s="2"/>
      </tp>
      <tp t="s">
        <v>#N/A Requesting Data...3567860760</v>
        <stp/>
        <stp>BDP|3571037501188122543</stp>
        <tr r="H405" s="2"/>
      </tp>
      <tp t="s">
        <v>#N/A Requesting Data...3594370174</v>
        <stp/>
        <stp>BDP|5458450521514374917</stp>
        <tr r="M1447" s="2"/>
      </tp>
      <tp t="b">
        <v>0</v>
        <stp/>
        <stp>BDS|1814195032348624575</stp>
        <tr r="I1692" s="2"/>
      </tp>
      <tp t="s">
        <v>#N/A Requesting Data...3807615631</v>
        <stp/>
        <stp>BDP|1434841436633132754</stp>
        <tr r="R1147" s="2"/>
      </tp>
      <tp t="s">
        <v>#N/A Requesting Data...3378800730</v>
        <stp/>
        <stp>BDP|2108364391102308476</stp>
        <tr r="N500" s="2"/>
      </tp>
      <tp t="s">
        <v>#N/A Requesting Data...3656349858</v>
        <stp/>
        <stp>BDP|8658387348370654127</stp>
        <tr r="F2486" s="2"/>
      </tp>
      <tp t="s">
        <v>#N/A Requesting Data...3172878434</v>
        <stp/>
        <stp>BDP|3107475882946462729</stp>
        <tr r="O1433" s="2"/>
      </tp>
      <tp t="s">
        <v>#N/A Requesting Data...3979788434</v>
        <stp/>
        <stp>BDP|9100526095983253869</stp>
        <tr r="H1249" s="2"/>
      </tp>
      <tp t="s">
        <v>#N/A Requesting Data...3304571317</v>
        <stp/>
        <stp>BDP|7854420508308765572</stp>
        <tr r="T1130" s="2"/>
      </tp>
      <tp t="s">
        <v>#N/A Requesting Data...3763158831</v>
        <stp/>
        <stp>BDP|3176997179132273114</stp>
        <tr r="H467" s="2"/>
      </tp>
      <tp t="s">
        <v>#N/A Requesting Data...3997569597</v>
        <stp/>
        <stp>BDP|9679894332098834472</stp>
        <tr r="O121" s="2"/>
      </tp>
      <tp t="s">
        <v>#N/A Requesting Data...3936056741</v>
        <stp/>
        <stp>BDP|3229800848241154097</stp>
        <tr r="E2463" s="2"/>
      </tp>
      <tp t="s">
        <v>#N/A Requesting Data...3133649678</v>
        <stp/>
        <stp>BDP|7786469940471469871</stp>
        <tr r="S130" s="2"/>
      </tp>
      <tp t="s">
        <v>#N/A Requesting Data...4000095662</v>
        <stp/>
        <stp>BDP|6435737985206454141</stp>
        <tr r="D10" s="2"/>
      </tp>
      <tp t="s">
        <v>#N/A Requesting Data...3092389911</v>
        <stp/>
        <stp>BDP|9693154583379635748</stp>
        <tr r="A2396" s="2"/>
      </tp>
      <tp t="s">
        <v>#N/A Requesting Data...3119958453</v>
        <stp/>
        <stp>BDP|8007278086485199920</stp>
        <tr r="T2083" s="2"/>
      </tp>
      <tp t="b">
        <v>0</v>
        <stp/>
        <stp>BDS|9606128720951423525</stp>
        <tr r="I917" s="2"/>
      </tp>
      <tp t="s">
        <v>#N/A Requesting Data...4014071261</v>
        <stp/>
        <stp>BDP|9973529176640846579</stp>
        <tr r="Q2231" s="2"/>
      </tp>
      <tp t="s">
        <v>#N/A Requesting Data...3342023757</v>
        <stp/>
        <stp>BDP|1340755095352224335</stp>
        <tr r="T929" s="2"/>
      </tp>
      <tp t="s">
        <v>#N/A Requesting Data...4074002656</v>
        <stp/>
        <stp>BDP|6098102584746798710</stp>
        <tr r="N659" s="2"/>
      </tp>
      <tp t="b">
        <v>0</v>
        <stp/>
        <stp>BDS|4876849442956466087</stp>
        <tr r="I2467" s="2"/>
      </tp>
      <tp t="s">
        <v>#N/A Requesting Data...3427389882</v>
        <stp/>
        <stp>BDP|3969940668097274554</stp>
        <tr r="T1179" s="2"/>
      </tp>
      <tp t="s">
        <v>#N/A Requesting Data...3203451151</v>
        <stp/>
        <stp>BDP|2479498024639286394</stp>
        <tr r="R1572" s="2"/>
      </tp>
      <tp t="s">
        <v>#N/A Requesting Data...4280483657</v>
        <stp/>
        <stp>BDP|5366452983117031073</stp>
        <tr r="R592" s="2"/>
      </tp>
      <tp t="s">
        <v>#N/A Requesting Data...3413268374</v>
        <stp/>
        <stp>BDP|4181965740557548009</stp>
        <tr r="H1284" s="2"/>
      </tp>
      <tp t="s">
        <v>#N/A Requesting Data...3286968006</v>
        <stp/>
        <stp>BDP|2731031008115804964</stp>
        <tr r="J171" s="2"/>
      </tp>
      <tp t="s">
        <v>#N/A Requesting Data...4246489052</v>
        <stp/>
        <stp>BDP|3783094870178820248</stp>
        <tr r="R1214" s="2"/>
      </tp>
      <tp t="s">
        <v>#N/A Requesting Data...3271802435</v>
        <stp/>
        <stp>BDP|7259477086655555046</stp>
        <tr r="D2012" s="2"/>
      </tp>
      <tp t="s">
        <v>#N/A Requesting Data...3260035030</v>
        <stp/>
        <stp>BDP|1676192098375031253</stp>
        <tr r="C2086" s="2"/>
      </tp>
      <tp t="s">
        <v>#N/A Requesting Data...4290680467</v>
        <stp/>
        <stp>BDP|3917695070884120838</stp>
        <tr r="K2436" s="2"/>
      </tp>
      <tp t="s">
        <v>#N/A Requesting Data...3694416495</v>
        <stp/>
        <stp>BDP|1598690374007861929</stp>
        <tr r="G1974" s="2"/>
      </tp>
      <tp t="s">
        <v>#N/A Requesting Data...3265200604</v>
        <stp/>
        <stp>BDP|5605151087182227044</stp>
        <tr r="N1925" s="2"/>
      </tp>
      <tp t="s">
        <v>#N/A Requesting Data...3413519520</v>
        <stp/>
        <stp>BDP|7588810917225336530</stp>
        <tr r="E770" s="2"/>
      </tp>
      <tp t="s">
        <v>#N/A Requesting Data...3645974564</v>
        <stp/>
        <stp>BDP|3826026678579407358</stp>
        <tr r="D116" s="2"/>
      </tp>
      <tp t="s">
        <v>#N/A Requesting Data...3869323912</v>
        <stp/>
        <stp>BDP|9945450309106586534</stp>
        <tr r="F1152" s="2"/>
      </tp>
      <tp t="s">
        <v>#N/A Requesting Data...3530031056</v>
        <stp/>
        <stp>BDP|1336713814849658034</stp>
        <tr r="M275" s="2"/>
      </tp>
      <tp t="s">
        <v>#N/A Requesting Data...3374549784</v>
        <stp/>
        <stp>BDP|2886219213027819819</stp>
        <tr r="T2422" s="2"/>
      </tp>
      <tp t="s">
        <v>#N/A Requesting Data...3094649729</v>
        <stp/>
        <stp>BDP|7598151887565549510</stp>
        <tr r="A290" s="2"/>
      </tp>
      <tp t="s">
        <v>#N/A Requesting Data...3377843780</v>
        <stp/>
        <stp>BDP|8038339737747253151</stp>
        <tr r="D1692" s="2"/>
      </tp>
      <tp t="s">
        <v>#N/A Requesting Data...3891988060</v>
        <stp/>
        <stp>BDP|8828221599945043806</stp>
        <tr r="H398" s="2"/>
      </tp>
      <tp t="s">
        <v>#N/A Requesting Data...3691758649</v>
        <stp/>
        <stp>BDP|9190292904394635190</stp>
        <tr r="F110" s="2"/>
      </tp>
      <tp t="s">
        <v>#N/A Requesting Data...3462892945</v>
        <stp/>
        <stp>BDP|6685862378416871132</stp>
        <tr r="M595" s="2"/>
      </tp>
      <tp t="s">
        <v>#N/A Requesting Data...3543435537</v>
        <stp/>
        <stp>BDP|3037429961259928691</stp>
        <tr r="F2353" s="2"/>
      </tp>
      <tp t="b">
        <v>0</v>
        <stp/>
        <stp>BDS|2181317893230325637</stp>
        <tr r="I1828" s="2"/>
      </tp>
      <tp t="s">
        <v>#N/A Requesting Data...3722431942</v>
        <stp/>
        <stp>BDP|1494727469517804941</stp>
        <tr r="Q896" s="2"/>
      </tp>
      <tp t="s">
        <v>#N/A Requesting Data...3482937424</v>
        <stp/>
        <stp>BDP|5399524405187173961</stp>
        <tr r="K2276" s="2"/>
      </tp>
      <tp t="s">
        <v>#N/A Requesting Data...3657562692</v>
        <stp/>
        <stp>BDP|2153757110919414330</stp>
        <tr r="R1359" s="2"/>
      </tp>
      <tp t="s">
        <v>#N/A Requesting Data...4247280970</v>
        <stp/>
        <stp>BDP|2032915530173491564</stp>
        <tr r="J1831" s="2"/>
      </tp>
      <tp t="s">
        <v>#N/A Requesting Data...4193437859</v>
        <stp/>
        <stp>BDP|3827995535893469433</stp>
        <tr r="R1918" s="2"/>
      </tp>
      <tp t="s">
        <v>#N/A Requesting Data...3481338924</v>
        <stp/>
        <stp>BDP|5518829865343009611</stp>
        <tr r="F2040" s="2"/>
      </tp>
      <tp t="s">
        <v>#N/A Requesting Data...3958824767</v>
        <stp/>
        <stp>BDP|8430501251957778116</stp>
        <tr r="O300" s="2"/>
      </tp>
      <tp t="s">
        <v>#N/A Requesting Data...3695927515</v>
        <stp/>
        <stp>BDP|2358058577578670345</stp>
        <tr r="S2227" s="2"/>
      </tp>
      <tp t="s">
        <v>#N/A Requesting Data...3790635846</v>
        <stp/>
        <stp>BDP|2204088863463853924</stp>
        <tr r="S2265" s="2"/>
      </tp>
      <tp t="s">
        <v>#N/A Requesting Data...3557556809</v>
        <stp/>
        <stp>BDP|2617748814023054951</stp>
        <tr r="E1872" s="2"/>
      </tp>
      <tp t="s">
        <v>#N/A Requesting Data...3970004830</v>
        <stp/>
        <stp>BDP|6670866067092080444</stp>
        <tr r="R968" s="2"/>
      </tp>
      <tp t="s">
        <v>#N/A Requesting Data...3952206850</v>
        <stp/>
        <stp>BDP|7669756290996318135</stp>
        <tr r="S186" s="2"/>
      </tp>
      <tp t="s">
        <v>#N/A Requesting Data...3525508332</v>
        <stp/>
        <stp>BDP|9380450602583525022</stp>
        <tr r="F2191" s="2"/>
      </tp>
      <tp t="s">
        <v>#N/A Requesting Data...4104378889</v>
        <stp/>
        <stp>BDP|9930336323022905439</stp>
        <tr r="P1041" s="2"/>
      </tp>
      <tp t="s">
        <v>#N/A Requesting Data...4209704807</v>
        <stp/>
        <stp>BDP|4680353589354045590</stp>
        <tr r="G654" s="2"/>
      </tp>
      <tp t="s">
        <v>#N/A Requesting Data...3913683309</v>
        <stp/>
        <stp>BDP|5686789692807676292</stp>
        <tr r="E2119" s="2"/>
      </tp>
      <tp t="s">
        <v>#N/A Requesting Data...3967637083</v>
        <stp/>
        <stp>BDP|5072580679869223001</stp>
        <tr r="K1261" s="2"/>
      </tp>
      <tp t="s">
        <v>#N/A Requesting Data...4227945404</v>
        <stp/>
        <stp>BDP|6922827549991630573</stp>
        <tr r="J2468" s="2"/>
      </tp>
      <tp t="s">
        <v>#N/A Requesting Data...3585150264</v>
        <stp/>
        <stp>BDP|1776394796562304789</stp>
        <tr r="A470" s="2"/>
      </tp>
      <tp t="s">
        <v>#N/A Requesting Data...3523681778</v>
        <stp/>
        <stp>BDP|5913139790667051494</stp>
        <tr r="A717" s="2"/>
      </tp>
      <tp t="s">
        <v>#N/A Requesting Data...3341731795</v>
        <stp/>
        <stp>BDP|3299118070978354332</stp>
        <tr r="E67" s="2"/>
      </tp>
      <tp t="s">
        <v>#N/A Requesting Data...4237600802</v>
        <stp/>
        <stp>BDP|7422217000833645807</stp>
        <tr r="H2532" s="2"/>
      </tp>
      <tp t="s">
        <v>#N/A Requesting Data...3855939329</v>
        <stp/>
        <stp>BDP|8342592409170185311</stp>
        <tr r="J2494" s="2"/>
      </tp>
      <tp t="s">
        <v>#N/A Requesting Data...3732804025</v>
        <stp/>
        <stp>BDP|6477866586390688814</stp>
        <tr r="O2069" s="2"/>
      </tp>
      <tp t="s">
        <v>#N/A Requesting Data...3862836841</v>
        <stp/>
        <stp>BDP|9649250317963620711</stp>
        <tr r="E102" s="2"/>
      </tp>
      <tp t="s">
        <v>#N/A Requesting Data...4220704523</v>
        <stp/>
        <stp>BDP|1986370560088923244</stp>
        <tr r="J848" s="2"/>
      </tp>
      <tp t="s">
        <v>#N/A Requesting Data...3198168525</v>
        <stp/>
        <stp>BDP|4646319211798764022</stp>
        <tr r="F2158" s="2"/>
      </tp>
      <tp t="s">
        <v>#N/A Requesting Data...3417760204</v>
        <stp/>
        <stp>BDP|5303461892781218769</stp>
        <tr r="H1887" s="2"/>
      </tp>
      <tp t="s">
        <v>#N/A Requesting Data...3922064800</v>
        <stp/>
        <stp>BDP|5486958285133190969</stp>
        <tr r="F719" s="2"/>
      </tp>
      <tp t="s">
        <v>#N/A Requesting Data...3441589977</v>
        <stp/>
        <stp>BDP|4161892375073708695</stp>
        <tr r="A1168" s="2"/>
      </tp>
      <tp t="b">
        <v>0</v>
        <stp/>
        <stp>BDS|4688366797939273962</stp>
        <tr r="I1621" s="2"/>
      </tp>
      <tp t="b">
        <v>0</v>
        <stp/>
        <stp>BDS|5024971510284556716</stp>
        <tr r="I745" s="2"/>
      </tp>
      <tp t="s">
        <v>#N/A Requesting Data...3309835549</v>
        <stp/>
        <stp>BDP|1005044461388132175</stp>
        <tr r="E1423" s="2"/>
      </tp>
      <tp t="s">
        <v>#N/A Requesting Data...3516821694</v>
        <stp/>
        <stp>BDP|7657678077158159048</stp>
        <tr r="R2398" s="2"/>
      </tp>
      <tp t="s">
        <v>#N/A Requesting Data...3786460349</v>
        <stp/>
        <stp>BDP|9903407962031952413</stp>
        <tr r="J2295" s="2"/>
      </tp>
      <tp t="b">
        <v>0</v>
        <stp/>
        <stp>BDS|2473501796414210430</stp>
        <tr r="I1474" s="2"/>
      </tp>
      <tp t="b">
        <v>0</v>
        <stp/>
        <stp>BDS|3815512309311660955</stp>
        <tr r="I307" s="2"/>
      </tp>
      <tp t="b">
        <v>0</v>
        <stp/>
        <stp>BDS|2614795261078963541</stp>
        <tr r="I1054" s="2"/>
      </tp>
      <tp t="s">
        <v>#N/A Requesting Data...3735954280</v>
        <stp/>
        <stp>BDP|7549768494717030048</stp>
        <tr r="A613" s="2"/>
      </tp>
      <tp t="s">
        <v>#N/A Requesting Data...3717209205</v>
        <stp/>
        <stp>BDP|9085105860907012735</stp>
        <tr r="S725" s="2"/>
      </tp>
      <tp t="b">
        <v>0</v>
        <stp/>
        <stp>BDS|2038272849808400299</stp>
        <tr r="I2172" s="2"/>
      </tp>
      <tp t="s">
        <v>#N/A Requesting Data...3461060580</v>
        <stp/>
        <stp>BDP|4727051685127572516</stp>
        <tr r="D56" s="2"/>
      </tp>
      <tp t="s">
        <v>#N/A Requesting Data...4051132388</v>
        <stp/>
        <stp>BDP|8169035945790228265</stp>
        <tr r="P1433" s="2"/>
      </tp>
      <tp t="s">
        <v>#N/A Requesting Data...3932686928</v>
        <stp/>
        <stp>BDP|2806573956199934532</stp>
        <tr r="D558" s="2"/>
      </tp>
      <tp t="s">
        <v>#N/A Requesting Data...4293387128</v>
        <stp/>
        <stp>BDP|8403261848435864510</stp>
        <tr r="T1810" s="2"/>
      </tp>
      <tp t="s">
        <v>#N/A Requesting Data...3916331471</v>
        <stp/>
        <stp>BDP|8020817341493562964</stp>
        <tr r="J2330" s="2"/>
      </tp>
      <tp t="s">
        <v>#N/A Requesting Data...3959791852</v>
        <stp/>
        <stp>BDP|6543171060596771964</stp>
        <tr r="N1390" s="2"/>
      </tp>
      <tp t="s">
        <v>#N/A Requesting Data...4104637546</v>
        <stp/>
        <stp>BDP|4440897067056010290</stp>
        <tr r="S1701" s="2"/>
      </tp>
      <tp t="s">
        <v>#N/A Requesting Data...3537358594</v>
        <stp/>
        <stp>BDP|4648847842961601758</stp>
        <tr r="P2456" s="2"/>
      </tp>
      <tp t="s">
        <v>#N/A Requesting Data...3520813334</v>
        <stp/>
        <stp>BDP|3220347120228162443</stp>
        <tr r="Q375" s="2"/>
      </tp>
      <tp t="s">
        <v>#N/A Requesting Data...3524024883</v>
        <stp/>
        <stp>BDP|8532132100863487413</stp>
        <tr r="A529" s="2"/>
      </tp>
      <tp t="s">
        <v>#N/A Requesting Data...3613462467</v>
        <stp/>
        <stp>BDP|8721584258317701137</stp>
        <tr r="Q1061" s="2"/>
      </tp>
      <tp t="s">
        <v>#N/A Requesting Data...3785627460</v>
        <stp/>
        <stp>BDP|3004831854225034542</stp>
        <tr r="H618" s="2"/>
      </tp>
      <tp t="s">
        <v>#N/A Requesting Data...3778188696</v>
        <stp/>
        <stp>BDP|4356827120383554376</stp>
        <tr r="M356" s="2"/>
      </tp>
      <tp t="s">
        <v>#N/A Requesting Data...3725659023</v>
        <stp/>
        <stp>BDP|3954572479428337775</stp>
        <tr r="E1707" s="2"/>
      </tp>
      <tp t="s">
        <v>#N/A Requesting Data...4086636069</v>
        <stp/>
        <stp>BDP|3239125866558529204</stp>
        <tr r="P1130" s="2"/>
      </tp>
      <tp t="s">
        <v>#N/A Requesting Data...3603138140</v>
        <stp/>
        <stp>BDP|3044989971121307299</stp>
        <tr r="R1664" s="2"/>
      </tp>
      <tp t="s">
        <v>#N/A Requesting Data...4060456094</v>
        <stp/>
        <stp>BDP|9051804297831384775</stp>
        <tr r="C893" s="2"/>
      </tp>
      <tp t="s">
        <v>#N/A Requesting Data...3937604014</v>
        <stp/>
        <stp>BDP|9366241160166233561</stp>
        <tr r="D2239" s="2"/>
      </tp>
      <tp t="s">
        <v>#N/A Requesting Data...3885445392</v>
        <stp/>
        <stp>BDP|9931918673969024087</stp>
        <tr r="C1511" s="2"/>
      </tp>
      <tp t="s">
        <v>#N/A Requesting Data...4204893060</v>
        <stp/>
        <stp>BDP|7498178612020031925</stp>
        <tr r="C1468" s="2"/>
      </tp>
      <tp t="s">
        <v>#N/A Requesting Data...4250305455</v>
        <stp/>
        <stp>BDP|7029077033223595929</stp>
        <tr r="M997" s="2"/>
      </tp>
      <tp t="s">
        <v>#N/A Requesting Data...3382751656</v>
        <stp/>
        <stp>BDP|3062505113468340135</stp>
        <tr r="P2300" s="2"/>
      </tp>
      <tp t="s">
        <v>#N/A Requesting Data...4199994280</v>
        <stp/>
        <stp>BDP|4364080058576806985</stp>
        <tr r="O265" s="2"/>
      </tp>
      <tp t="s">
        <v>#N/A Requesting Data...3385415627</v>
        <stp/>
        <stp>BDP|6414975087729641011</stp>
        <tr r="T2212" s="2"/>
      </tp>
      <tp t="b">
        <v>0</v>
        <stp/>
        <stp>BDS|2893889275533715011</stp>
        <tr r="I52" s="2"/>
      </tp>
      <tp t="s">
        <v>#N/A Requesting Data...3695189755</v>
        <stp/>
        <stp>BDP|8736767716553024345</stp>
        <tr r="O2022" s="2"/>
      </tp>
      <tp t="s">
        <v>#N/A Requesting Data...3982441191</v>
        <stp/>
        <stp>BDP|2579175417794565835</stp>
        <tr r="K1986" s="2"/>
      </tp>
      <tp t="s">
        <v>#N/A Requesting Data...3703807405</v>
        <stp/>
        <stp>BDP|8358804142603438962</stp>
        <tr r="H1596" s="2"/>
      </tp>
      <tp t="s">
        <v>#N/A Requesting Data...3336529026</v>
        <stp/>
        <stp>BDP|8720256340613110305</stp>
        <tr r="P1778" s="2"/>
      </tp>
      <tp t="b">
        <v>0</v>
        <stp/>
        <stp>BDS|9947615476785977344</stp>
        <tr r="I1785" s="2"/>
      </tp>
      <tp t="s">
        <v>#N/A Requesting Data...3655234017</v>
        <stp/>
        <stp>BDP|2732380317016959820</stp>
        <tr r="K345" s="2"/>
      </tp>
      <tp t="s">
        <v>#N/A Requesting Data...3612306600</v>
        <stp/>
        <stp>BDP|1813846551754778691</stp>
        <tr r="T725" s="2"/>
      </tp>
      <tp t="s">
        <v>#N/A Requesting Data...3586282668</v>
        <stp/>
        <stp>BDP|4029137390380009200</stp>
        <tr r="D1510" s="2"/>
      </tp>
      <tp t="s">
        <v>#N/A Requesting Data...4288350263</v>
        <stp/>
        <stp>BDP|3498474680382001337</stp>
        <tr r="R486" s="2"/>
      </tp>
      <tp t="s">
        <v>#N/A Requesting Data...3581796352</v>
        <stp/>
        <stp>BDP|3746647713442472849</stp>
        <tr r="G5" s="2"/>
      </tp>
      <tp t="s">
        <v>#N/A Requesting Data...3852139654</v>
        <stp/>
        <stp>BDP|6170459484166952293</stp>
        <tr r="R977" s="2"/>
      </tp>
      <tp t="s">
        <v>#N/A Requesting Data...4210147823</v>
        <stp/>
        <stp>BDP|2197805335583461406</stp>
        <tr r="G956" s="2"/>
      </tp>
      <tp t="s">
        <v>#N/A Requesting Data...3648171818</v>
        <stp/>
        <stp>BDP|9939015473900844032</stp>
        <tr r="D1133" s="2"/>
      </tp>
      <tp t="s">
        <v>#N/A Requesting Data...3475864749</v>
        <stp/>
        <stp>BDP|8708009032327111242</stp>
        <tr r="H803" s="2"/>
      </tp>
      <tp t="s">
        <v>#N/A Requesting Data...4074505890</v>
        <stp/>
        <stp>BDP|8406609391521233877</stp>
        <tr r="D9" s="2"/>
      </tp>
      <tp t="s">
        <v>#N/A Requesting Data...3872886072</v>
        <stp/>
        <stp>BDP|9946816591906826011</stp>
        <tr r="S1167" s="2"/>
      </tp>
      <tp t="s">
        <v>#N/A Requesting Data...3467042858</v>
        <stp/>
        <stp>BDP|6406433686422173608</stp>
        <tr r="G1985" s="2"/>
      </tp>
      <tp t="s">
        <v>#N/A Requesting Data...3741539219</v>
        <stp/>
        <stp>BDP|8511439237489036817</stp>
        <tr r="E1649" s="2"/>
      </tp>
      <tp t="b">
        <v>0</v>
        <stp/>
        <stp>BDS|9491470116677559501</stp>
        <tr r="I2413" s="2"/>
      </tp>
      <tp t="s">
        <v>#N/A Requesting Data...3880083985</v>
        <stp/>
        <stp>BDP|4988749452101993961</stp>
        <tr r="M2513" s="2"/>
      </tp>
      <tp t="s">
        <v>#N/A Requesting Data...4277508642</v>
        <stp/>
        <stp>BDP|5010332996930112143</stp>
        <tr r="T1254" s="2"/>
      </tp>
      <tp t="s">
        <v>#N/A Requesting Data...3600770216</v>
        <stp/>
        <stp>BDP|7762401042911179841</stp>
        <tr r="C1024" s="2"/>
      </tp>
      <tp t="s">
        <v>#N/A Requesting Data...4130226861</v>
        <stp/>
        <stp>BDP|4903676229249761709</stp>
        <tr r="T77" s="2"/>
      </tp>
      <tp t="s">
        <v>#N/A Requesting Data...3687126261</v>
        <stp/>
        <stp>BDP|1156830122971677460</stp>
        <tr r="T912" s="2"/>
      </tp>
      <tp t="s">
        <v>#N/A Requesting Data...3564090727</v>
        <stp/>
        <stp>BDP|4703958873787454351</stp>
        <tr r="K2378" s="2"/>
      </tp>
      <tp t="s">
        <v>#N/A Requesting Data...3760638000</v>
        <stp/>
        <stp>BDP|2572677322989259127</stp>
        <tr r="C2363" s="2"/>
      </tp>
      <tp t="s">
        <v>#N/A Requesting Data...4257196566</v>
        <stp/>
        <stp>BDP|8662809105506203811</stp>
        <tr r="E206" s="2"/>
      </tp>
      <tp t="s">
        <v>#N/A Requesting Data...3922292788</v>
        <stp/>
        <stp>BDP|6079319242419308601</stp>
        <tr r="R2404" s="2"/>
      </tp>
      <tp t="s">
        <v>#N/A Requesting Data...4055761105</v>
        <stp/>
        <stp>BDP|5881518558872749967</stp>
        <tr r="K2150" s="2"/>
      </tp>
      <tp t="s">
        <v>#N/A Requesting Data...3480938860</v>
        <stp/>
        <stp>BDP|9256958981622717411</stp>
        <tr r="P143" s="2"/>
      </tp>
      <tp t="s">
        <v>#N/A Requesting Data...3686185846</v>
        <stp/>
        <stp>BDP|1614538337208152134</stp>
        <tr r="A1808" s="2"/>
      </tp>
      <tp t="s">
        <v>#N/A Requesting Data...4194807930</v>
        <stp/>
        <stp>BDP|8501834504416190833</stp>
        <tr r="P1956" s="2"/>
      </tp>
      <tp t="s">
        <v>#N/A Requesting Data...3694715376</v>
        <stp/>
        <stp>BDP|2890980077303397149</stp>
        <tr r="K813" s="2"/>
      </tp>
      <tp t="s">
        <v>#N/A Requesting Data...3662678037</v>
        <stp/>
        <stp>BDP|2447678913352278922</stp>
        <tr r="E624" s="2"/>
      </tp>
      <tp t="s">
        <v>#N/A Requesting Data...4257690917</v>
        <stp/>
        <stp>BDP|2392660944526124804</stp>
        <tr r="G2423" s="2"/>
      </tp>
      <tp t="s">
        <v>#N/A Requesting Data...3771254421</v>
        <stp/>
        <stp>BDP|9145061092446728829</stp>
        <tr r="O1375" s="2"/>
      </tp>
      <tp t="s">
        <v>#N/A Requesting Data...3857186608</v>
        <stp/>
        <stp>BDP|1864797721902500855</stp>
        <tr r="Q1419" s="2"/>
      </tp>
      <tp t="s">
        <v>#N/A Requesting Data...4036198446</v>
        <stp/>
        <stp>BDP|8448432266670791464</stp>
        <tr r="P1716" s="2"/>
      </tp>
      <tp t="b">
        <v>0</v>
        <stp/>
        <stp>BDS|2258969867297557465</stp>
        <tr r="I1613" s="2"/>
      </tp>
      <tp t="s">
        <v>#N/A Requesting Data...3642280046</v>
        <stp/>
        <stp>BDP|5731889435075826524</stp>
        <tr r="H557" s="2"/>
      </tp>
      <tp t="s">
        <v>#N/A Requesting Data...4021595564</v>
        <stp/>
        <stp>BDP|6654121057624172829</stp>
        <tr r="P231" s="2"/>
      </tp>
      <tp t="s">
        <v>#N/A Requesting Data...3809532714</v>
        <stp/>
        <stp>BDP|6720374587831367244</stp>
        <tr r="N563" s="2"/>
      </tp>
      <tp t="s">
        <v>#N/A Requesting Data...3916118594</v>
        <stp/>
        <stp>BDP|8144647778483535488</stp>
        <tr r="M230" s="2"/>
      </tp>
      <tp t="s">
        <v>#N/A Requesting Data...3894356509</v>
        <stp/>
        <stp>BDP|9575470577032106648</stp>
        <tr r="N740" s="2"/>
      </tp>
      <tp t="s">
        <v>#N/A Requesting Data...3736812975</v>
        <stp/>
        <stp>BDP|7197272913663469914</stp>
        <tr r="J283" s="2"/>
      </tp>
      <tp t="s">
        <v>#N/A Requesting Data...3904271709</v>
        <stp/>
        <stp>BDP|7406039743528622521</stp>
        <tr r="N2061" s="2"/>
      </tp>
      <tp t="s">
        <v>#N/A Requesting Data...3974388182</v>
        <stp/>
        <stp>BDP|4893304958159527551</stp>
        <tr r="P1371" s="2"/>
      </tp>
      <tp t="s">
        <v>#N/A Requesting Data...3760980291</v>
        <stp/>
        <stp>BDP|6439955623673661049</stp>
        <tr r="C495" s="2"/>
      </tp>
      <tp t="s">
        <v>#N/A Requesting Data...3692330909</v>
        <stp/>
        <stp>BDP|1237949552375701637</stp>
        <tr r="K1499" s="2"/>
      </tp>
      <tp t="b">
        <v>0</v>
        <stp/>
        <stp>BDS|3809866857976836611</stp>
        <tr r="I1161" s="2"/>
      </tp>
      <tp t="s">
        <v>#N/A Requesting Data...4172856151</v>
        <stp/>
        <stp>BDP|4679967072237689344</stp>
        <tr r="Q1051" s="2"/>
      </tp>
      <tp t="s">
        <v>#N/A Requesting Data...3940693172</v>
        <stp/>
        <stp>BDP|2295460587542178225</stp>
        <tr r="D214" s="2"/>
      </tp>
      <tp t="s">
        <v>#N/A Requesting Data...4232811118</v>
        <stp/>
        <stp>BDP|5682274198357149785</stp>
        <tr r="D1830" s="2"/>
      </tp>
      <tp t="s">
        <v>#N/A Requesting Data...4285717594</v>
        <stp/>
        <stp>BDP|8206650222022646035</stp>
        <tr r="M2105" s="2"/>
      </tp>
      <tp t="s">
        <v>#N/A Requesting Data...3470956663</v>
        <stp/>
        <stp>BDP|9710878711088602678</stp>
        <tr r="N2309" s="2"/>
      </tp>
      <tp t="s">
        <v>#N/A Requesting Data...4206509856</v>
        <stp/>
        <stp>BDP|1904655547484936923</stp>
        <tr r="C2033" s="2"/>
      </tp>
      <tp t="s">
        <v>#N/A Requesting Data...3559514513</v>
        <stp/>
        <stp>BDP|5688149688150313290</stp>
        <tr r="O716" s="2"/>
      </tp>
      <tp t="s">
        <v>#N/A Requesting Data...3620529104</v>
        <stp/>
        <stp>BDP|9383447876876926284</stp>
        <tr r="M710" s="2"/>
      </tp>
      <tp t="s">
        <v>#N/A Requesting Data...3861224453</v>
        <stp/>
        <stp>BDP|3605530874609629674</stp>
        <tr r="N561" s="2"/>
      </tp>
      <tp t="s">
        <v>#N/A Requesting Data...3795104995</v>
        <stp/>
        <stp>BDP|5712254706721640826</stp>
        <tr r="D958" s="2"/>
      </tp>
      <tp t="s">
        <v>#N/A Requesting Data...3678142074</v>
        <stp/>
        <stp>BDP|5690831862602794707</stp>
        <tr r="E1463" s="2"/>
      </tp>
      <tp t="s">
        <v>#N/A Requesting Data...3573914282</v>
        <stp/>
        <stp>BDP|5550444711199114711</stp>
        <tr r="P1501" s="2"/>
      </tp>
      <tp t="s">
        <v>#N/A Requesting Data...4154115262</v>
        <stp/>
        <stp>BDP|4748863593762110931</stp>
        <tr r="E2297" s="2"/>
      </tp>
      <tp t="s">
        <v>#N/A Requesting Data...3802959882</v>
        <stp/>
        <stp>BDP|9397710173874900382</stp>
        <tr r="M2158" s="2"/>
      </tp>
      <tp t="s">
        <v>#N/A Requesting Data...3906967523</v>
        <stp/>
        <stp>BDP|1507401622591636814</stp>
        <tr r="T1288" s="2"/>
      </tp>
      <tp t="s">
        <v>#N/A Requesting Data...3940128112</v>
        <stp/>
        <stp>BDP|2732407262696701821</stp>
        <tr r="D1669" s="2"/>
      </tp>
      <tp t="s">
        <v>#N/A Requesting Data...4243677908</v>
        <stp/>
        <stp>BDP|7427025170676649806</stp>
        <tr r="P2482" s="2"/>
      </tp>
      <tp t="s">
        <v>#N/A Requesting Data...3922737363</v>
        <stp/>
        <stp>BDP|7405037031679339351</stp>
        <tr r="M148" s="2"/>
      </tp>
      <tp t="s">
        <v>#N/A Requesting Data...4076486944</v>
        <stp/>
        <stp>BDP|8883335754388899875</stp>
        <tr r="F2244" s="2"/>
      </tp>
      <tp t="s">
        <v>#N/A Requesting Data...4127767961</v>
        <stp/>
        <stp>BDP|2519106900749345466</stp>
        <tr r="O1806" s="2"/>
      </tp>
      <tp t="s">
        <v>#N/A Requesting Data...3632051842</v>
        <stp/>
        <stp>BDP|8602302170444335657</stp>
        <tr r="T1283" s="2"/>
      </tp>
      <tp t="s">
        <v>#N/A Requesting Data...4177473593</v>
        <stp/>
        <stp>BDP|7113117398160175192</stp>
        <tr r="F2334" s="2"/>
      </tp>
      <tp t="s">
        <v>#N/A Requesting Data...3812916939</v>
        <stp/>
        <stp>BDP|7345708731988059522</stp>
        <tr r="T1280" s="2"/>
      </tp>
      <tp t="s">
        <v>#N/A Requesting Data...4056976470</v>
        <stp/>
        <stp>BDP|2395477534258688366</stp>
        <tr r="S2101" s="2"/>
      </tp>
      <tp t="s">
        <v>#N/A Requesting Data...3912196542</v>
        <stp/>
        <stp>BDP|7951549020819984749</stp>
        <tr r="A2167" s="2"/>
      </tp>
      <tp t="s">
        <v>#N/A Requesting Data...3711679987</v>
        <stp/>
        <stp>BDP|7186938707575540504</stp>
        <tr r="O1998" s="2"/>
      </tp>
      <tp t="s">
        <v>#N/A Requesting Data...3978910886</v>
        <stp/>
        <stp>BDP|9838351737985871229</stp>
        <tr r="H1437" s="2"/>
      </tp>
      <tp t="s">
        <v>#N/A Requesting Data...3926088857</v>
        <stp/>
        <stp>BDP|2811175129728752713</stp>
        <tr r="A1566" s="2"/>
      </tp>
      <tp t="s">
        <v>#N/A Requesting Data...3567480904</v>
        <stp/>
        <stp>BDP|6886127288211514079</stp>
        <tr r="F77" s="2"/>
      </tp>
      <tp t="s">
        <v>#N/A Requesting Data...3972422021</v>
        <stp/>
        <stp>BDP|9265901747423131945</stp>
        <tr r="R2341" s="2"/>
      </tp>
      <tp t="s">
        <v>#N/A Requesting Data...3564058373</v>
        <stp/>
        <stp>BDP|2055241895413258431</stp>
        <tr r="K1622" s="2"/>
      </tp>
      <tp t="s">
        <v>#N/A Requesting Data...3642467212</v>
        <stp/>
        <stp>BDP|9860468978545289147</stp>
        <tr r="P430" s="2"/>
      </tp>
      <tp t="s">
        <v>#N/A Requesting Data...3938346294</v>
        <stp/>
        <stp>BDP|5600867623721341000</stp>
        <tr r="F1010" s="2"/>
      </tp>
      <tp t="s">
        <v>#N/A Requesting Data...3604806549</v>
        <stp/>
        <stp>BDP|3875597550238555543</stp>
        <tr r="Q277" s="2"/>
      </tp>
      <tp t="s">
        <v>#N/A Requesting Data...3831286738</v>
        <stp/>
        <stp>BDP|8502948507369297646</stp>
        <tr r="N524" s="2"/>
      </tp>
      <tp t="s">
        <v>#N/A Requesting Data...4036193262</v>
        <stp/>
        <stp>BDP|2515296454332185998</stp>
        <tr r="J986" s="2"/>
      </tp>
      <tp t="s">
        <v>#N/A Requesting Data...3957767817</v>
        <stp/>
        <stp>BDP|3099955492998613510</stp>
        <tr r="N2004" s="2"/>
      </tp>
      <tp t="s">
        <v>#N/A Requesting Data...3891381892</v>
        <stp/>
        <stp>BDP|3177606789436172596</stp>
        <tr r="T366" s="2"/>
      </tp>
      <tp t="s">
        <v>#N/A Requesting Data...3795261526</v>
        <stp/>
        <stp>BDP|7333862514373340322</stp>
        <tr r="K1748" s="2"/>
      </tp>
      <tp t="s">
        <v>#N/A Requesting Data...3815664663</v>
        <stp/>
        <stp>BDP|9309734843627516364</stp>
        <tr r="R646" s="2"/>
      </tp>
      <tp t="s">
        <v>#N/A Requesting Data...3733991724</v>
        <stp/>
        <stp>BDP|7567800613973680300</stp>
        <tr r="O1892" s="2"/>
      </tp>
      <tp t="s">
        <v>#N/A Requesting Data...3903813857</v>
        <stp/>
        <stp>BDP|8071360548679933875</stp>
        <tr r="N2118" s="2"/>
      </tp>
      <tp t="s">
        <v>#N/A Requesting Data...4050683953</v>
        <stp/>
        <stp>BDP|5144637263502535942</stp>
        <tr r="F2292" s="2"/>
      </tp>
      <tp t="s">
        <v>#N/A Requesting Data...3698064069</v>
        <stp/>
        <stp>BDP|8381494490782352999</stp>
        <tr r="C796" s="2"/>
      </tp>
      <tp t="s">
        <v>#N/A Requesting Data...4160950757</v>
        <stp/>
        <stp>BDP|9526635473250238671</stp>
        <tr r="R1365" s="2"/>
      </tp>
      <tp t="s">
        <v>#N/A Requesting Data...4028143257</v>
        <stp/>
        <stp>BDP|1932827818476628054</stp>
        <tr r="K14" s="2"/>
      </tp>
      <tp t="s">
        <v>#N/A Requesting Data...4215037576</v>
        <stp/>
        <stp>BDP|6946515083166826334</stp>
        <tr r="D783" s="2"/>
      </tp>
      <tp t="s">
        <v>#N/A Requesting Data...3992421499</v>
        <stp/>
        <stp>BDP|8568881119378128750</stp>
        <tr r="S2349" s="2"/>
      </tp>
      <tp t="s">
        <v>#N/A Requesting Data...4184061921</v>
        <stp/>
        <stp>BDP|5909657931517836957</stp>
        <tr r="F858" s="2"/>
      </tp>
      <tp t="b">
        <v>0</v>
        <stp/>
        <stp>BDS|6186571252430096841</stp>
        <tr r="I694" s="2"/>
      </tp>
      <tp t="s">
        <v>#N/A Requesting Data...4054262267</v>
        <stp/>
        <stp>BDP|9517243011621717573</stp>
        <tr r="J2382" s="2"/>
      </tp>
      <tp t="s">
        <v>#N/A Requesting Data...3771049773</v>
        <stp/>
        <stp>BDP|7331021639113155990</stp>
        <tr r="D604" s="2"/>
      </tp>
      <tp t="s">
        <v>#N/A Requesting Data...4133854308</v>
        <stp/>
        <stp>BDP|6370043283283365376</stp>
        <tr r="M2207" s="2"/>
      </tp>
      <tp t="s">
        <v>#N/A Requesting Data...3995440185</v>
        <stp/>
        <stp>BDP|9634785969637706106</stp>
        <tr r="M2135" s="2"/>
      </tp>
      <tp t="s">
        <v>#N/A Requesting Data...3696946045</v>
        <stp/>
        <stp>BDP|4465531359949737384</stp>
        <tr r="K711" s="2"/>
      </tp>
      <tp t="b">
        <v>0</v>
        <stp/>
        <stp>BDS|8667707192579474119</stp>
        <tr r="I1018" s="2"/>
      </tp>
      <tp t="s">
        <v>#N/A Requesting Data...4183299961</v>
        <stp/>
        <stp>BDP|8156608832283350013</stp>
        <tr r="E1907" s="2"/>
      </tp>
      <tp t="s">
        <v>#N/A Requesting Data...3875883011</v>
        <stp/>
        <stp>BDP|7322277385264896787</stp>
        <tr r="Q1534" s="2"/>
      </tp>
      <tp t="s">
        <v>#N/A Requesting Data...3843613333</v>
        <stp/>
        <stp>BDP|2725481839689757208</stp>
        <tr r="N1668" s="2"/>
      </tp>
      <tp t="s">
        <v>#N/A Requesting Data...3886286155</v>
        <stp/>
        <stp>BDP|1609953686976546816</stp>
        <tr r="S2474" s="2"/>
      </tp>
      <tp t="s">
        <v>#N/A Requesting Data...4029532543</v>
        <stp/>
        <stp>BDP|5045117124498493006</stp>
        <tr r="E478" s="2"/>
      </tp>
      <tp t="s">
        <v>#N/A Requesting Data...3934620588</v>
        <stp/>
        <stp>BDP|5633324937802411966</stp>
        <tr r="D2417" s="2"/>
      </tp>
      <tp t="b">
        <v>0</v>
        <stp/>
        <stp>BDS|5397874249184568392</stp>
        <tr r="I1319" s="2"/>
      </tp>
      <tp t="s">
        <v>#N/A Requesting Data...3738211695</v>
        <stp/>
        <stp>BDP|2600764256808663611</stp>
        <tr r="A2294" s="2"/>
      </tp>
      <tp t="s">
        <v>#N/A Requesting Data...3669576961</v>
        <stp/>
        <stp>BDP|6219522763282495963</stp>
        <tr r="Q1472" s="2"/>
      </tp>
      <tp t="s">
        <v>#N/A Requesting Data...4047740796</v>
        <stp/>
        <stp>BDP|9101496470923024796</stp>
        <tr r="A1072" s="2"/>
      </tp>
      <tp t="b">
        <v>0</v>
        <stp/>
        <stp>BDS|8210311864520089365</stp>
        <tr r="I628" s="2"/>
      </tp>
      <tp t="s">
        <v>#N/A Requesting Data...4192184617</v>
        <stp/>
        <stp>BDP|6309473081381639528</stp>
        <tr r="K744" s="2"/>
      </tp>
      <tp t="s">
        <v>#N/A Requesting Data...3873154853</v>
        <stp/>
        <stp>BDP|2533246525668080451</stp>
        <tr r="J1998" s="2"/>
      </tp>
      <tp t="s">
        <v>#N/A Requesting Data...4146794790</v>
        <stp/>
        <stp>BDP|5529240703181717848</stp>
        <tr r="P1264" s="2"/>
      </tp>
      <tp t="s">
        <v>#N/A Requesting Data...4064362484</v>
        <stp/>
        <stp>BDP|9865236890858906432</stp>
        <tr r="J1830" s="2"/>
      </tp>
      <tp t="s">
        <v>#N/A Requesting Data...3755237567</v>
        <stp/>
        <stp>BDP|1797397989733279743</stp>
        <tr r="A1737" s="2"/>
      </tp>
      <tp t="s">
        <v>#N/A Requesting Data...3808273314</v>
        <stp/>
        <stp>BDP|6916430280592219698</stp>
        <tr r="O1509" s="2"/>
      </tp>
      <tp t="s">
        <v>#N/A Requesting Data...3831581120</v>
        <stp/>
        <stp>BDP|3688158817398478519</stp>
        <tr r="Q713" s="2"/>
      </tp>
      <tp t="s">
        <v>#N/A Requesting Data...3756608660</v>
        <stp/>
        <stp>BDP|4354917727071466009</stp>
        <tr r="R1802" s="2"/>
      </tp>
      <tp t="s">
        <v>#N/A Requesting Data...4282623144</v>
        <stp/>
        <stp>BDP|8729522472075393154</stp>
        <tr r="K340" s="2"/>
      </tp>
      <tp t="s">
        <v>#N/A Requesting Data...4169225800</v>
        <stp/>
        <stp>BDP|2629699699634388749</stp>
        <tr r="D1571" s="2"/>
      </tp>
      <tp t="s">
        <v>#N/A Requesting Data...4252604334</v>
        <stp/>
        <stp>BDP|5488304323093424922</stp>
        <tr r="J2118" s="2"/>
      </tp>
      <tp t="s">
        <v>#N/A Requesting Data...4034226189</v>
        <stp/>
        <stp>BDP|7673829512381209151</stp>
        <tr r="H1140" s="2"/>
      </tp>
      <tp t="s">
        <v>#N/A Requesting Data...4106449946</v>
        <stp/>
        <stp>BDP|4748434911088449708</stp>
        <tr r="R1009" s="2"/>
      </tp>
      <tp t="s">
        <v>#N/A Requesting Data...3846534809</v>
        <stp/>
        <stp>BDP|3680379372998567172</stp>
        <tr r="P67" s="2"/>
      </tp>
      <tp t="s">
        <v>#N/A Requesting Data...4094012763</v>
        <stp/>
        <stp>BDP|8198449755982126504</stp>
        <tr r="A1752" s="2"/>
      </tp>
      <tp t="s">
        <v>#N/A Requesting Data...3777752733</v>
        <stp/>
        <stp>BDP|9700845052813222920</stp>
        <tr r="T2532" s="2"/>
      </tp>
      <tp t="s">
        <v>#N/A Requesting Data...4233192412</v>
        <stp/>
        <stp>BDP|2268936041017585647</stp>
        <tr r="G1349" s="2"/>
      </tp>
      <tp t="b">
        <v>0</v>
        <stp/>
        <stp>BDS|8440555064137486205</stp>
        <tr r="I954" s="2"/>
      </tp>
      <tp t="s">
        <v>#N/A Requesting Data...4136383752</v>
        <stp/>
        <stp>BDP|3623858826155322277</stp>
        <tr r="S1481" s="2"/>
      </tp>
      <tp t="s">
        <v>#N/A Requesting Data...3700665149</v>
        <stp/>
        <stp>BDP|7163744325799594542</stp>
        <tr r="P1997" s="2"/>
      </tp>
      <tp t="s">
        <v>#N/A Requesting Data...3948353829</v>
        <stp/>
        <stp>BDP|7308790938299056439</stp>
        <tr r="P649" s="2"/>
      </tp>
      <tp t="s">
        <v>#N/A Requesting Data...4062637748</v>
        <stp/>
        <stp>BDP|2188576687551642061</stp>
        <tr r="Q231" s="2"/>
      </tp>
      <tp t="s">
        <v>#N/A Requesting Data...4059224687</v>
        <stp/>
        <stp>BDP|7066350418112906956</stp>
        <tr r="Q1810" s="2"/>
      </tp>
      <tp t="s">
        <v>#N/A Requesting Data...3956526647</v>
        <stp/>
        <stp>BDP|2325890568104321600</stp>
        <tr r="T1935" s="2"/>
      </tp>
      <tp t="s">
        <v>#N/A Requesting Data...3719075143</v>
        <stp/>
        <stp>BDP|4702776331759509750</stp>
        <tr r="O1951" s="2"/>
      </tp>
      <tp t="s">
        <v>#N/A Requesting Data...3952969363</v>
        <stp/>
        <stp>BDP|3050221902687209833</stp>
        <tr r="S252" s="2"/>
      </tp>
      <tp t="s">
        <v>#N/A Requesting Data...3974187521</v>
        <stp/>
        <stp>BDP|4713616864418722240</stp>
        <tr r="C856" s="2"/>
      </tp>
      <tp t="s">
        <v>#N/A Requesting Data...4015994650</v>
        <stp/>
        <stp>BDP|4431472083033999589</stp>
        <tr r="J2470" s="2"/>
      </tp>
      <tp t="s">
        <v>#N/A Requesting Data...4250871168</v>
        <stp/>
        <stp>BDP|1696239770562763833</stp>
        <tr r="T432" s="2"/>
      </tp>
      <tp t="s">
        <v>#N/A Requesting Data...4172023743</v>
        <stp/>
        <stp>BDP|9837034247652494198</stp>
        <tr r="D1063" s="2"/>
      </tp>
      <tp t="s">
        <v>#N/A Requesting Data...3748342168</v>
        <stp/>
        <stp>BDP|6821903603501222086</stp>
        <tr r="M2245" s="2"/>
      </tp>
      <tp t="s">
        <v>#N/A Requesting Data...4123592372</v>
        <stp/>
        <stp>BDP|5123847936606659646</stp>
        <tr r="N2278" s="2"/>
      </tp>
      <tp t="s">
        <v>#N/A Requesting Data...4075082842</v>
        <stp/>
        <stp>BDP|4638513780125540235</stp>
        <tr r="J1502" s="2"/>
      </tp>
      <tp t="s">
        <v>#N/A Requesting Data...4272543408</v>
        <stp/>
        <stp>BDP|9010161592688509705</stp>
        <tr r="E1589" s="2"/>
      </tp>
      <tp t="s">
        <v>#N/A Requesting Data...4178615661</v>
        <stp/>
        <stp>BDP|2792969533566450073</stp>
        <tr r="E2009" s="2"/>
      </tp>
      <tp t="s">
        <v>#N/A Requesting Data...4130668072</v>
        <stp/>
        <stp>BDP|6044078107869172100</stp>
        <tr r="O592" s="2"/>
      </tp>
      <tp t="s">
        <v>#N/A Requesting Data...3782603656</v>
        <stp/>
        <stp>BDP|8231627322905083736</stp>
        <tr r="T1785" s="2"/>
      </tp>
      <tp t="s">
        <v>#N/A Requesting Data...4029711101</v>
        <stp/>
        <stp>BDP|7905104798564776575</stp>
        <tr r="Q1682" s="2"/>
      </tp>
      <tp t="b">
        <v>0</v>
        <stp/>
        <stp>BDS|1107653387868520979</stp>
        <tr r="I2211" s="2"/>
      </tp>
      <tp t="s">
        <v>#N/A Requesting Data...3960878226</v>
        <stp/>
        <stp>BDP|1593899827164932131</stp>
        <tr r="T2056" s="2"/>
      </tp>
      <tp t="s">
        <v>#N/A Requesting Data...4009960420</v>
        <stp/>
        <stp>BDP|8629822384374617271</stp>
        <tr r="A2197" s="2"/>
      </tp>
      <tp t="s">
        <v>#N/A Requesting Data...3872905682</v>
        <stp/>
        <stp>BDP|7141269178619605589</stp>
        <tr r="A2120" s="2"/>
      </tp>
      <tp t="s">
        <v>#N/A Requesting Data...4071179464</v>
        <stp/>
        <stp>BDP|7538892350180813453</stp>
        <tr r="C406" s="2"/>
      </tp>
      <tp t="s">
        <v>#N/A Requesting Data...3915489095</v>
        <stp/>
        <stp>BDP|3127056828587446897</stp>
        <tr r="N2378" s="2"/>
      </tp>
      <tp t="s">
        <v>#N/A Requesting Data...3935846295</v>
        <stp/>
        <stp>BDP|8258730225166470511</stp>
        <tr r="N1098" s="2"/>
      </tp>
      <tp t="s">
        <v>#N/A Requesting Data...4232951849</v>
        <stp/>
        <stp>BDP|6822549548480092954</stp>
        <tr r="T1883" s="2"/>
      </tp>
      <tp t="s">
        <v>#N/A Requesting Data...3868040194</v>
        <stp/>
        <stp>BDP|3117490899179527950</stp>
        <tr r="K244" s="2"/>
      </tp>
      <tp t="s">
        <v>#N/A Requesting Data...3972527719</v>
        <stp/>
        <stp>BDP|6870352039361149940</stp>
        <tr r="C561" s="2"/>
      </tp>
      <tp t="s">
        <v>#N/A Requesting Data...4124601202</v>
        <stp/>
        <stp>BDP|8508351630405977380</stp>
        <tr r="S743" s="2"/>
      </tp>
      <tp t="s">
        <v>#N/A Requesting Data...3984474648</v>
        <stp/>
        <stp>BDP|9092073504742488567</stp>
        <tr r="G2456" s="2"/>
      </tp>
      <tp t="s">
        <v>#N/A Requesting Data...4288667983</v>
        <stp/>
        <stp>BDP|8445080541950902258</stp>
        <tr r="F175" s="2"/>
      </tp>
      <tp t="s">
        <v>#N/A Requesting Data...4016147754</v>
        <stp/>
        <stp>BDP|1774150859383344895</stp>
        <tr r="R2228" s="2"/>
      </tp>
      <tp t="s">
        <v>#N/A Requesting Data...4181851311</v>
        <stp/>
        <stp>BDP|9185444813392587022</stp>
        <tr r="K2012" s="2"/>
      </tp>
      <tp t="s">
        <v>#N/A Requesting Data...4215917687</v>
        <stp/>
        <stp>BDP|7831407679888494240</stp>
        <tr r="M1908" s="2"/>
      </tp>
      <tp t="s">
        <v>#N/A Requesting Data...4031620810</v>
        <stp/>
        <stp>BDP|9179577810036306544</stp>
        <tr r="T2421" s="2"/>
      </tp>
      <tp t="s">
        <v>#N/A Requesting Data...4163796749</v>
        <stp/>
        <stp>BDP|4008752893346237256</stp>
        <tr r="H1900" s="2"/>
      </tp>
      <tp t="s">
        <v>#N/A Requesting Data...3883576797</v>
        <stp/>
        <stp>BDP|4722105103753245870</stp>
        <tr r="H2172" s="2"/>
      </tp>
      <tp t="s">
        <v>#N/A Requesting Data...3891278539</v>
        <stp/>
        <stp>BDP|1831071810897988976</stp>
        <tr r="K1301" s="2"/>
      </tp>
      <tp t="s">
        <v>#N/A Requesting Data...3991622177</v>
        <stp/>
        <stp>BDP|4411994379127725321</stp>
        <tr r="S470" s="2"/>
      </tp>
      <tp t="s">
        <v>#N/A Requesting Data...4133941981</v>
        <stp/>
        <stp>BDP|5127949434734536558</stp>
        <tr r="G431" s="2"/>
      </tp>
      <tp t="s">
        <v>#N/A Requesting Data...3845552573</v>
        <stp/>
        <stp>BDP|5859168238059339049</stp>
        <tr r="D2224" s="2"/>
      </tp>
      <tp t="s">
        <v>#N/A Requesting Data...4204737190</v>
        <stp/>
        <stp>BDP|9814076522451917455</stp>
        <tr r="C433" s="2"/>
      </tp>
      <tp t="s">
        <v>#N/A Requesting Data...4252805393</v>
        <stp/>
        <stp>BDP|7993718412107279890</stp>
        <tr r="R1334" s="2"/>
      </tp>
      <tp t="s">
        <v>#N/A Requesting Data...4189254428</v>
        <stp/>
        <stp>BDP|3155073485075452065</stp>
        <tr r="A154" s="2"/>
      </tp>
      <tp t="s">
        <v>#N/A Requesting Data...4288735652</v>
        <stp/>
        <stp>BDP|6105222164094578833</stp>
        <tr r="R966" s="2"/>
      </tp>
      <tp t="s">
        <v>#N/A Requesting Data...4059063426</v>
        <stp/>
        <stp>BDP|6179038915861181879</stp>
        <tr r="Q1435" s="2"/>
      </tp>
      <tp t="b">
        <v>0</v>
        <stp/>
        <stp>BDS|9431377816192662726</stp>
        <tr r="I150" s="2"/>
      </tp>
      <tp t="s">
        <v>#N/A Requesting Data...4029225258</v>
        <stp/>
        <stp>BDP|2630824028194855255</stp>
        <tr r="P1894" s="2"/>
      </tp>
      <tp t="s">
        <v>#N/A Requesting Data...3884485318</v>
        <stp/>
        <stp>BDP|2775505985269225814</stp>
        <tr r="R29" s="2"/>
      </tp>
      <tp t="s">
        <v>#N/A Requesting Data...4284176330</v>
        <stp/>
        <stp>BDP|4613366702748308106</stp>
        <tr r="G1125" s="2"/>
      </tp>
      <tp t="s">
        <v>#N/A Requesting Data...4088500894</v>
        <stp/>
        <stp>BDP|5648197529841381945</stp>
        <tr r="M1369" s="2"/>
      </tp>
      <tp t="s">
        <v>#N/A Requesting Data...4169608037</v>
        <stp/>
        <stp>BDP|7049311023858720036</stp>
        <tr r="J601" s="2"/>
      </tp>
      <tp t="s">
        <v>#N/A Requesting Data...4251677189</v>
        <stp/>
        <stp>BDP|1856772983981819126</stp>
        <tr r="K2361" s="2"/>
      </tp>
      <tp t="s">
        <v>#N/A Requesting Data...4182602510</v>
        <stp/>
        <stp>BDP|5933192029861613990</stp>
        <tr r="F1402" s="2"/>
      </tp>
      <tp t="s">
        <v>#N/A Requesting Data...3934924355</v>
        <stp/>
        <stp>BDP|5622227310721622948</stp>
        <tr r="R1372" s="2"/>
      </tp>
      <tp t="s">
        <v>#N/A Requesting Data...4033921341</v>
        <stp/>
        <stp>BDP|6684535186367431215</stp>
        <tr r="H1480" s="2"/>
      </tp>
      <tp t="s">
        <v>#N/A Requesting Data...4119476787</v>
        <stp/>
        <stp>BDP|2324846550928460953</stp>
        <tr r="Q1189" s="2"/>
      </tp>
      <tp t="s">
        <v>#N/A Requesting Data...4144180934</v>
        <stp/>
        <stp>BDP|7889320364038887408</stp>
        <tr r="A1881" s="2"/>
      </tp>
      <tp t="s">
        <v>#N/A Requesting Data...4071921906</v>
        <stp/>
        <stp>BDP|6100439445471378922</stp>
        <tr r="N2494" s="2"/>
      </tp>
      <tp t="s">
        <v>#N/A Requesting Data...4166811909</v>
        <stp/>
        <stp>BDP|2449426881633396326</stp>
        <tr r="E727" s="2"/>
      </tp>
      <tp t="s">
        <v>#N/A Requesting Data...4095887676</v>
        <stp/>
        <stp>BDP|3040827256178181831</stp>
        <tr r="R1340" s="2"/>
      </tp>
      <tp t="s">
        <v>#N/A Requesting Data...4073491761</v>
        <stp/>
        <stp>BDP|5778675713589395565</stp>
        <tr r="C2321" s="2"/>
      </tp>
      <tp t="s">
        <v>#N/A Requesting Data...4054095248</v>
        <stp/>
        <stp>BDP|5572453893886661031</stp>
        <tr r="J2147" s="2"/>
      </tp>
      <tp t="s">
        <v>#N/A Requesting Data...3917917414</v>
        <stp/>
        <stp>BDP|7771071678888701695</stp>
        <tr r="K2281" s="2"/>
      </tp>
      <tp t="s">
        <v>#N/A Requesting Data...4109799677</v>
        <stp/>
        <stp>BDP|8122375981874873993</stp>
        <tr r="J558" s="2"/>
      </tp>
      <tp t="s">
        <v>#N/A Requesting Data...4021346335</v>
        <stp/>
        <stp>BDP|3302873242909774877</stp>
        <tr r="D2166" s="2"/>
      </tp>
      <tp t="s">
        <v>#N/A Requesting Data...4193685200</v>
        <stp/>
        <stp>BDP|3342689398677262577</stp>
        <tr r="T525" s="2"/>
      </tp>
      <tp t="s">
        <v>#N/A Requesting Data...4284338099</v>
        <stp/>
        <stp>BDP|8181811729949787582</stp>
        <tr r="E966" s="2"/>
      </tp>
      <tp t="s">
        <v>#N/A Requesting Data...3939528611</v>
        <stp/>
        <stp>BDP|5210028090462140073</stp>
        <tr r="O1829" s="2"/>
      </tp>
      <tp t="s">
        <v>#N/A Requesting Data...4097013876</v>
        <stp/>
        <stp>BDP|7457715995957548037</stp>
        <tr r="K2318" s="2"/>
      </tp>
      <tp t="s">
        <v>#N/A Requesting Data...3962221821</v>
        <stp/>
        <stp>BDP|3774099840370827905</stp>
        <tr r="H634" s="2"/>
      </tp>
      <tp t="s">
        <v>#N/A Requesting Data...4239356261</v>
        <stp/>
        <stp>BDP|7962828689871594812</stp>
        <tr r="H288" s="2"/>
      </tp>
      <tp t="s">
        <v>#N/A Requesting Data...4130065849</v>
        <stp/>
        <stp>BDP|8218244430087103018</stp>
        <tr r="D1948" s="2"/>
      </tp>
      <tp t="s">
        <v>#N/A Requesting Data...3977209097</v>
        <stp/>
        <stp>BDP|2370947800847031216</stp>
        <tr r="R212" s="2"/>
      </tp>
      <tp t="s">
        <v>#N/A Requesting Data...4255959097</v>
        <stp/>
        <stp>BDP|3372204439684590891</stp>
        <tr r="F14" s="2"/>
      </tp>
      <tp t="s">
        <v>#N/A Requesting Data...3956876123</v>
        <stp/>
        <stp>BDP|7579758481663744500</stp>
        <tr r="A661" s="2"/>
      </tp>
      <tp t="s">
        <v>#N/A Requesting Data...4199945399</v>
        <stp/>
        <stp>BDP|8549755433507302569</stp>
        <tr r="M410" s="2"/>
      </tp>
      <tp t="s">
        <v>#N/A Requesting Data...4045191085</v>
        <stp/>
        <stp>BDP|8953488267293330731</stp>
        <tr r="K1263" s="2"/>
      </tp>
      <tp t="s">
        <v>#N/A Requesting Data...4183612998</v>
        <stp/>
        <stp>BDP|7401194380111987121</stp>
        <tr r="N2032" s="2"/>
      </tp>
      <tp t="s">
        <v>#N/A Requesting Data...4142369914</v>
        <stp/>
        <stp>BDP|1293272574442510822</stp>
        <tr r="G2172" s="2"/>
      </tp>
      <tp t="s">
        <v>#N/A Requesting Data...3969769215</v>
        <stp/>
        <stp>BDP|2927936150496843648</stp>
        <tr r="G1995" s="2"/>
      </tp>
      <tp t="s">
        <v>#N/A Requesting Data...4048253808</v>
        <stp/>
        <stp>BDP|9134628517612075225</stp>
        <tr r="P1401" s="2"/>
      </tp>
      <tp t="s">
        <v>#N/A Requesting Data...4059059216</v>
        <stp/>
        <stp>BDP|1193177783005293318</stp>
        <tr r="R2159" s="2"/>
      </tp>
      <tp t="s">
        <v>#N/A Requesting Data...4025600981</v>
        <stp/>
        <stp>BDP|2602217933478451569</stp>
        <tr r="T1072" s="2"/>
      </tp>
      <tp t="s">
        <v>#N/A Requesting Data...4068481602</v>
        <stp/>
        <stp>BDP|7958092975047108928</stp>
        <tr r="C351" s="2"/>
      </tp>
      <tp t="s">
        <v>#N/A Requesting Data...4138459733</v>
        <stp/>
        <stp>BDP|5997908954457925028</stp>
        <tr r="G464" s="2"/>
      </tp>
      <tp t="s">
        <v>#N/A Requesting Data...4116993806</v>
        <stp/>
        <stp>BDP|2203077580812108621</stp>
        <tr r="S2225" s="2"/>
      </tp>
      <tp t="s">
        <v>#N/A Requesting Data...4074482094</v>
        <stp/>
        <stp>BDP|2328256271239196001</stp>
        <tr r="N1420" s="2"/>
      </tp>
      <tp t="s">
        <v>#N/A Requesting Data...4024930462</v>
        <stp/>
        <stp>BDP|5205803925238467959</stp>
        <tr r="G837" s="2"/>
      </tp>
      <tp t="s">
        <v>#N/A Requesting Data...4055032977</v>
        <stp/>
        <stp>BDP|2413674380473253175</stp>
        <tr r="J1955" s="2"/>
      </tp>
      <tp t="s">
        <v>#N/A Requesting Data...4105158990</v>
        <stp/>
        <stp>BDP|6694068383709121945</stp>
        <tr r="M1986" s="2"/>
      </tp>
      <tp t="s">
        <v>#N/A Requesting Data...4014660173</v>
        <stp/>
        <stp>BDP|6729307635180161853</stp>
        <tr r="H1773" s="2"/>
      </tp>
      <tp t="b">
        <v>0</v>
        <stp/>
        <stp>BDS|9055540822795695569</stp>
        <tr r="I1468" s="2"/>
      </tp>
      <tp t="b">
        <v>0</v>
        <stp/>
        <stp>BDS|6950352858247210906</stp>
        <tr r="I776" s="2"/>
      </tp>
      <tp t="s">
        <v>#N/A Requesting Data...4123534800</v>
        <stp/>
        <stp>BDP|2501456084459119932</stp>
        <tr r="P1704" s="2"/>
      </tp>
      <tp t="s">
        <v>#N/A Requesting Data...4146533932</v>
        <stp/>
        <stp>BDP|5148575036459254441</stp>
        <tr r="E1128" s="2"/>
      </tp>
      <tp t="s">
        <v>#N/A Requesting Data...4069277457</v>
        <stp/>
        <stp>BDP|1457960162522353255</stp>
        <tr r="P224" s="2"/>
      </tp>
      <tp t="s">
        <v>#N/A Requesting Data...4046189424</v>
        <stp/>
        <stp>BDP|3314266886051759622</stp>
        <tr r="R1007" s="2"/>
      </tp>
      <tp t="s">
        <v>#N/A Requesting Data...4063596507</v>
        <stp/>
        <stp>BDP|4915880566511823596</stp>
        <tr r="T892" s="2"/>
      </tp>
      <tp t="s">
        <v>#N/A Requesting Data...4053218073</v>
        <stp/>
        <stp>BDP|6941494564209606342</stp>
        <tr r="A2517" s="2"/>
      </tp>
      <tp t="s">
        <v>#N/A Requesting Data...4036874944</v>
        <stp/>
        <stp>BDP|2370725582887193443</stp>
        <tr r="O40" s="2"/>
      </tp>
      <tp t="s">
        <v>#N/A Requesting Data...4275775923</v>
        <stp/>
        <stp>BDP|3535436057335218957</stp>
        <tr r="K1346" s="2"/>
      </tp>
      <tp t="s">
        <v>#N/A Requesting Data...4272778782</v>
        <stp/>
        <stp>BDP|5182332815868127100</stp>
        <tr r="J2156" s="2"/>
      </tp>
      <tp t="s">
        <v>#N/A Requesting Data...4256673295</v>
        <stp/>
        <stp>BDP|8169422971356140350</stp>
        <tr r="T367" s="2"/>
      </tp>
      <tp t="s">
        <v>#N/A Requesting Data...4043272728</v>
        <stp/>
        <stp>BDP|1187597929918019074</stp>
        <tr r="P1293" s="2"/>
      </tp>
      <tp t="s">
        <v>#N/A Requesting Data...4132435273</v>
        <stp/>
        <stp>BDP|9952589163625206169</stp>
        <tr r="R2296" s="2"/>
      </tp>
      <tp t="s">
        <v>#N/A Requesting Data...4204746539</v>
        <stp/>
        <stp>BDP|7847867048737764271</stp>
        <tr r="Q2061" s="2"/>
      </tp>
      <tp t="s">
        <v>#N/A Requesting Data...4195924305</v>
        <stp/>
        <stp>BDP|8241836496046771166</stp>
        <tr r="P774" s="2"/>
      </tp>
      <tp t="s">
        <v>#N/A Requesting Data...4058153219</v>
        <stp/>
        <stp>BDP|2480828429342832413</stp>
        <tr r="G2107" s="2"/>
      </tp>
      <tp t="s">
        <v>#N/A Requesting Data...4149796353</v>
        <stp/>
        <stp>BDP|2821999794958641455</stp>
        <tr r="T1671" s="2"/>
      </tp>
      <tp t="s">
        <v>#N/A Requesting Data...4191965153</v>
        <stp/>
        <stp>BDP|9804480935362169226</stp>
        <tr r="G1631" s="2"/>
      </tp>
      <tp t="s">
        <v>#N/A Requesting Data...4190515456</v>
        <stp/>
        <stp>BDP|9214327562563294169</stp>
        <tr r="G465" s="2"/>
      </tp>
      <tp t="b">
        <v>0</v>
        <stp/>
        <stp>BDS|4593353812921327971</stp>
        <tr r="I1873" s="2"/>
      </tp>
      <tp t="s">
        <v>#N/A Requesting Data...4175260973</v>
        <stp/>
        <stp>BDP|3666370086677615173</stp>
        <tr r="J142" s="2"/>
      </tp>
      <tp t="b">
        <v>0</v>
        <stp/>
        <stp>BDS|5745630045310050973</stp>
        <tr r="I1697" s="2"/>
      </tp>
      <tp t="s">
        <v>#N/A Requesting Data...4242028531</v>
        <stp/>
        <stp>BDP|9621526410004203706</stp>
        <tr r="E1122" s="2"/>
      </tp>
      <tp t="s">
        <v>#N/A Requesting Data...4113158278</v>
        <stp/>
        <stp>BDP|8412023420571871582</stp>
        <tr r="C1868" s="2"/>
      </tp>
      <tp t="b">
        <v>0</v>
        <stp/>
        <stp>BDS|9400492029511412067</stp>
        <tr r="I2522" s="2"/>
      </tp>
      <tp t="s">
        <v>#N/A Requesting Data...4107652084</v>
        <stp/>
        <stp>BDP|3368026431656421826</stp>
        <tr r="O2493" s="2"/>
      </tp>
      <tp t="s">
        <v>#N/A Requesting Data...4152023196</v>
        <stp/>
        <stp>BDP|8930281303431128556</stp>
        <tr r="D14" s="2"/>
      </tp>
      <tp t="s">
        <v>#N/A Requesting Data...4073910697</v>
        <stp/>
        <stp>BDP|2919925569735614620</stp>
        <tr r="K1564" s="2"/>
      </tp>
      <tp t="s">
        <v>#N/A Requesting Data...4113813527</v>
        <stp/>
        <stp>BDP|8432938507888254744</stp>
        <tr r="M1370" s="2"/>
      </tp>
      <tp t="s">
        <v>#N/A Requesting Data...4150001880</v>
        <stp/>
        <stp>BDP|5116727549968891043</stp>
        <tr r="S2170" s="2"/>
      </tp>
      <tp t="s">
        <v>#N/A Requesting Data...4128638206</v>
        <stp/>
        <stp>BDP|3008014619038778496</stp>
        <tr r="N296" s="2"/>
      </tp>
      <tp t="s">
        <v>#N/A Requesting Data...4096572933</v>
        <stp/>
        <stp>BDP|1181656384233686201</stp>
        <tr r="P2028" s="2"/>
      </tp>
      <tp t="s">
        <v>#N/A Requesting Data...4251099346</v>
        <stp/>
        <stp>BDP|9802394446797208736</stp>
        <tr r="K1548" s="2"/>
      </tp>
      <tp t="s">
        <v>#N/A Requesting Data...4290881259</v>
        <stp/>
        <stp>BDP|3054961638620070780</stp>
        <tr r="P2027" s="2"/>
      </tp>
      <tp t="s">
        <v>#N/A Requesting Data...4089881731</v>
        <stp/>
        <stp>BDP|2440393083303861407</stp>
        <tr r="A1754" s="2"/>
      </tp>
      <tp t="s">
        <v>#N/A Requesting Data...4222318161</v>
        <stp/>
        <stp>BDP|9916485704377115423</stp>
        <tr r="N1733" s="2"/>
      </tp>
      <tp t="s">
        <v>#N/A Requesting Data...4155760696</v>
        <stp/>
        <stp>BDP|4679161104203361817</stp>
        <tr r="O2191" s="2"/>
      </tp>
      <tp t="s">
        <v>#N/A Requesting Data...4097252807</v>
        <stp/>
        <stp>BDP|9440337020624478257</stp>
        <tr r="O2004" s="2"/>
      </tp>
      <tp t="s">
        <v>#N/A Requesting Data...4181981996</v>
        <stp/>
        <stp>BDP|1101595158359521630</stp>
        <tr r="C1624" s="2"/>
      </tp>
      <tp t="s">
        <v>#N/A Requesting Data...4120992746</v>
        <stp/>
        <stp>BDP|4766898345975837350</stp>
        <tr r="M307" s="2"/>
      </tp>
      <tp t="s">
        <v>#N/A Requesting Data...4225504714</v>
        <stp/>
        <stp>BDP|4126161260975671879</stp>
        <tr r="P1933" s="2"/>
      </tp>
      <tp t="s">
        <v>#N/A Requesting Data...4288256327</v>
        <stp/>
        <stp>BDP|6812295683397322571</stp>
        <tr r="F1064" s="2"/>
      </tp>
      <tp t="s">
        <v>#N/A Requesting Data...4148718262</v>
        <stp/>
        <stp>BDP|8505437523805538568</stp>
        <tr r="J386" s="2"/>
      </tp>
      <tp t="s">
        <v>#N/A Requesting Data...4122740208</v>
        <stp/>
        <stp>BDP|3330582319391731835</stp>
        <tr r="D1173" s="2"/>
      </tp>
      <tp t="s">
        <v>#N/A Requesting Data...4180483133</v>
        <stp/>
        <stp>BDP|6536565094784115004</stp>
        <tr r="F304" s="2"/>
      </tp>
      <tp t="s">
        <v>#N/A Requesting Data...4233007688</v>
        <stp/>
        <stp>BDP|4422966046601546671</stp>
        <tr r="P647" s="2"/>
      </tp>
      <tp t="s">
        <v>#N/A Requesting Data...4173117400</v>
        <stp/>
        <stp>BDP|9692011875355049548</stp>
        <tr r="H2237" s="2"/>
      </tp>
      <tp t="s">
        <v>#N/A Requesting Data...4266911595</v>
        <stp/>
        <stp>BDP|9111211462326500514</stp>
        <tr r="T1365" s="2"/>
      </tp>
      <tp t="b">
        <v>0</v>
        <stp/>
        <stp>BDS|3451173314348671576</stp>
        <tr r="I1428" s="2"/>
      </tp>
      <tp t="s">
        <v>#N/A Requesting Data...4164075340</v>
        <stp/>
        <stp>BDP|2516502936079119345</stp>
        <tr r="A1055" s="2"/>
      </tp>
      <tp t="s">
        <v>#N/A Requesting Data...4215802812</v>
        <stp/>
        <stp>BDP|5360113980684252661</stp>
        <tr r="P1673" s="2"/>
      </tp>
      <tp t="s">
        <v>#N/A Requesting Data...4172375312</v>
        <stp/>
        <stp>BDP|9215239597965009906</stp>
        <tr r="Q2001" s="2"/>
      </tp>
      <tp t="s">
        <v>#N/A Requesting Data...4256313328</v>
        <stp/>
        <stp>BDP|1012812102631578605</stp>
        <tr r="P1489" s="2"/>
      </tp>
      <tp t="s">
        <v>#N/A Requesting Data...4264969898</v>
        <stp/>
        <stp>BDP|9495436465860013540</stp>
        <tr r="N240" s="2"/>
      </tp>
      <tp t="s">
        <v>#N/A Requesting Data...4210857010</v>
        <stp/>
        <stp>BDP|6025758030605635959</stp>
        <tr r="K1392" s="2"/>
      </tp>
      <tp t="s">
        <v>#N/A Requesting Data...4151086976</v>
        <stp/>
        <stp>BDP|9502342517061462442</stp>
        <tr r="O2224" s="2"/>
      </tp>
      <tp t="s">
        <v>#N/A Requesting Data...4194074089</v>
        <stp/>
        <stp>BDP|3713237338004349894</stp>
        <tr r="E1082" s="2"/>
      </tp>
      <tp t="s">
        <v>#N/A Requesting Data...4215991956</v>
        <stp/>
        <stp>BDP|5504437189755079291</stp>
        <tr r="H521" s="2"/>
      </tp>
      <tp t="s">
        <v>#N/A Requesting Data...4279915164</v>
        <stp/>
        <stp>BDP|3410813053337229725</stp>
        <tr r="Q1787" s="2"/>
      </tp>
      <tp t="s">
        <v>#N/A Requesting Data...4280417482</v>
        <stp/>
        <stp>BDP|5051683549688536125</stp>
        <tr r="J1048" s="2"/>
      </tp>
      <tp t="s">
        <v>#N/A Requesting Data...4216713270</v>
        <stp/>
        <stp>BDP|7235118483852483232</stp>
        <tr r="N180" s="2"/>
      </tp>
      <tp t="b">
        <v>0</v>
        <stp/>
        <stp>BDS|5857563472641386882</stp>
        <tr r="I1744" s="2"/>
      </tp>
      <tp t="s">
        <v>#N/A Requesting Data...4220829814</v>
        <stp/>
        <stp>BDP|6104809097489179002</stp>
        <tr r="C1570" s="2"/>
      </tp>
      <tp t="s">
        <v>#N/A Requesting Data...4248766529</v>
        <stp/>
        <stp>BDP|1587700654159673406</stp>
        <tr r="P92" s="2"/>
      </tp>
      <tp t="s">
        <v>#N/A Requesting Data...4266642700</v>
        <stp/>
        <stp>BDP|6668067888898959864</stp>
        <tr r="T676" s="2"/>
      </tp>
      <tp t="s">
        <v>#N/A Requesting Data...4216113963</v>
        <stp/>
        <stp>BDP|8263081121037979358</stp>
        <tr r="P598" s="2"/>
      </tp>
      <tp t="b">
        <v>0</v>
        <stp/>
        <stp>BDS|3425938074192587118</stp>
        <tr r="I2363" s="2"/>
      </tp>
      <tp t="b">
        <v>0</v>
        <stp/>
        <stp>BDS|3502551232138182340</stp>
        <tr r="I1475" s="2"/>
      </tp>
      <tp t="s">
        <v>#N/A Requesting Data...4258643956</v>
        <stp/>
        <stp>BDP|6300599889165753036</stp>
        <tr r="F2136" s="2"/>
      </tp>
      <tp t="s">
        <v>#N/A Requesting Data...4244559174</v>
        <stp/>
        <stp>BDP|1299982918593277472</stp>
        <tr r="M945" s="2"/>
      </tp>
      <tp t="s">
        <v>#N/A Requesting Data...4234366448</v>
        <stp/>
        <stp>BDP|4152014041918159676</stp>
        <tr r="S1703" s="2"/>
      </tp>
      <tp t="s">
        <v>#N/A Requesting Data...4273471851</v>
        <stp/>
        <stp>BDP|4391120665549236415</stp>
        <tr r="S1242" s="2"/>
      </tp>
      <tp t="s">
        <v>#N/A Requesting Data...4286899480</v>
        <stp/>
        <stp>BDP|8991096764759143926</stp>
        <tr r="A1536" s="2"/>
      </tp>
      <tp t="s">
        <v>#N/A Requesting Data...4244782707</v>
        <stp/>
        <stp>BDP|7226720334184411978</stp>
        <tr r="A345" s="2"/>
      </tp>
      <tp t="s">
        <v>#N/A Requesting Data...4230671104</v>
        <stp/>
        <stp>BDP|9905879837624943871</stp>
        <tr r="K595" s="2"/>
      </tp>
      <tp t="s">
        <v>#N/A Requesting Data...4195193579</v>
        <stp/>
        <stp>BDP|1976129578559618020</stp>
        <tr r="O1020" s="2"/>
      </tp>
      <tp t="s">
        <v>#N/A Requesting Data...4285102231</v>
        <stp/>
        <stp>BDP|7422624604928049751</stp>
        <tr r="H284" s="2"/>
      </tp>
      <tp t="s">
        <v>#N/A Requesting Data...4283257453</v>
        <stp/>
        <stp>BDP|5380772702785777960</stp>
        <tr r="J1914" s="2"/>
      </tp>
      <tp t="s">
        <v>#N/A Requesting Data...4292358318</v>
        <stp/>
        <stp>BDP|7682941062406669011</stp>
        <tr r="Q871" s="2"/>
      </tp>
      <tp t="s">
        <v>#N/A Requesting Data...4219872786</v>
        <stp/>
        <stp>BDP|6049732917948325600</stp>
        <tr r="J1724" s="2"/>
      </tp>
      <tp t="s">
        <v>#N/A Requesting Data...4223119419</v>
        <stp/>
        <stp>BDP|5527806885448449339</stp>
        <tr r="F1219" s="2"/>
      </tp>
      <tp t="s">
        <v>#N/A Requesting Data...4235080229</v>
        <stp/>
        <stp>BDP|6930176033852356895</stp>
        <tr r="G2419" s="2"/>
      </tp>
      <tp t="s">
        <v>#N/A Requesting Data...4276570889</v>
        <stp/>
        <stp>BDP|2170474882326257618</stp>
        <tr r="K536" s="2"/>
      </tp>
      <tp t="s">
        <v>#N/A Requesting Data...4226899443</v>
        <stp/>
        <stp>BDP|4673509213776779853</stp>
        <tr r="O2504" s="2"/>
      </tp>
      <tp t="s">
        <v>#N/A Requesting Data...4249670222</v>
        <stp/>
        <stp>BDP|6103096878938732701</stp>
        <tr r="N509" s="2"/>
      </tp>
      <tp t="s">
        <v>#N/A Requesting Data...4242453453</v>
        <stp/>
        <stp>BDP|8388057551481450242</stp>
        <tr r="C626" s="2"/>
      </tp>
      <tp t="s">
        <v>#N/A Requesting Data...4254909491</v>
        <stp/>
        <stp>BDP|7750627015509180763</stp>
        <tr r="K1938" s="2"/>
      </tp>
      <tp t="s">
        <v>#N/A Requesting Data...4258470595</v>
        <stp/>
        <stp>BDP|4577993332219827918</stp>
        <tr r="N2210" s="2"/>
      </tp>
      <tp t="s">
        <v>#N/A Requesting Data...4282913928</v>
        <stp/>
        <stp>BDP|8912185404333626449</stp>
        <tr r="M834" s="2"/>
      </tp>
      <tp t="s">
        <v>#N/A Requesting Data...4293370051</v>
        <stp/>
        <stp>BDP|7639301782986151421</stp>
        <tr r="P2295" s="2"/>
      </tp>
      <tp t="s">
        <v>#N/A Requesting Data...4269051484</v>
        <stp/>
        <stp>BDP|8688507133774439464</stp>
        <tr r="H2006" s="2"/>
      </tp>
      <tp t="s">
        <v>#N/A Requesting Data...4263032265</v>
        <stp/>
        <stp>BDP|4651927411090042229</stp>
        <tr r="S181" s="2"/>
      </tp>
      <tp t="s">
        <v>#N/A Requesting Data...4257761134</v>
        <stp/>
        <stp>BDP|8316201536741518679</stp>
        <tr r="C941" s="2"/>
      </tp>
      <tp t="b">
        <v>0</v>
        <stp/>
        <stp>BDS|2184869460464492641</stp>
        <tr r="I2432" s="2"/>
      </tp>
      <tp t="s">
        <v>#N/A Requesting Data...4290642011</v>
        <stp/>
        <stp>BDP|1674918916807398050</stp>
        <tr r="F977" s="2"/>
      </tp>
      <tp t="s">
        <v>#N/A Requesting Data...4285870505</v>
        <stp/>
        <stp>BDP|9624504251541597654</stp>
        <tr r="H1698" s="2"/>
      </tp>
      <tp t="s">
        <v>#N/A Requesting Data...4290399339</v>
        <stp/>
        <stp>BDP|4506901453904274231</stp>
        <tr r="F1382" s="2"/>
      </tp>
      <tp t="s">
        <v>#N/A Requesting Data...4273020038</v>
        <stp/>
        <stp>BDP|7081532498572470786</stp>
        <tr r="M108" s="2"/>
      </tp>
      <tp t="s">
        <v>#N/A Requesting Data...4264466916</v>
        <stp/>
        <stp>BDP|3549884274571797392</stp>
        <tr r="N297" s="2"/>
      </tp>
      <tp t="s">
        <v>#N/A Requesting Data...4289275540</v>
        <stp/>
        <stp>BDP|5663764705234532872</stp>
        <tr r="F1557" s="2"/>
      </tp>
      <tp t="s">
        <v>#N/A Requesting Data...4286897242</v>
        <stp/>
        <stp>BDP|7872738182410984672</stp>
        <tr r="T423" s="2"/>
      </tp>
      <tp t="b">
        <v>0</v>
        <stp/>
        <stp>BDS|5499443706887970887</stp>
        <tr r="I804" s="2"/>
      </tp>
      <tp t="s">
        <v>#N/A Requesting Data...4275119574</v>
        <stp/>
        <stp>BDP|1012758599127892630</stp>
        <tr r="P1659" s="2"/>
      </tp>
      <tp t="s">
        <v>#N/A Requesting Data...4284894587</v>
        <stp/>
        <stp>BDP|6330159286028082973</stp>
        <tr r="O2444" s="2"/>
      </tp>
      <tp t="s">
        <v>#N/A Requesting Data...4279837040</v>
        <stp/>
        <stp>BDP|8109141126224642126</stp>
        <tr r="D1881" s="2"/>
      </tp>
      <tp t="s">
        <v>#N/A Requesting Data...4293269640</v>
        <stp/>
        <stp>BDP|6950120932913842969</stp>
        <tr r="R1168" s="2"/>
      </tp>
      <tp t="s">
        <v>#N/A Requesting Data...4283788269</v>
        <stp/>
        <stp>BDP|6502127534728205260</stp>
        <tr r="N2193" s="2"/>
      </tp>
      <tp t="s">
        <v>#N/A Requesting Data...4293861508</v>
        <stp/>
        <stp>BDP|3042952011676374307</stp>
        <tr r="G2473" s="2"/>
      </tp>
      <tp t="s">
        <v>#N/A Requesting Data...4292241828</v>
        <stp/>
        <stp>BDP|1392806904080598756</stp>
        <tr r="P1161" s="2"/>
      </tp>
      <tp t="s">
        <v>#N/A Requesting Data...4293143583</v>
        <stp/>
        <stp>BDP|1833955768710741056</stp>
        <tr r="G1905" s="2"/>
      </tp>
      <tp t="s">
        <v>#N/A Requesting Data...4294913691</v>
        <stp/>
        <stp>BDP|7146742240183249900</stp>
        <tr r="J832" s="2"/>
      </tp>
      <tp t="s">
        <v>#N/A Requesting Data...743478336</v>
        <stp/>
        <stp>BDP|8440288659956335715</stp>
        <tr r="E2025" s="2"/>
      </tp>
      <tp t="s">
        <v>#N/A Requesting Data...2886858539</v>
        <stp/>
        <stp>BDP|2956663401943851919</stp>
        <tr r="H1002" s="2"/>
      </tp>
      <tp t="s">
        <v>#N/A Requesting Data...3214561987</v>
        <stp/>
        <stp>BDP|2392434015108182137</stp>
        <tr r="C1411" s="2"/>
      </tp>
      <tp t="s">
        <v>#N/A Requesting Data...1504804497</v>
        <stp/>
        <stp>BDP|7847247738900091830</stp>
        <tr r="M1470" s="2"/>
      </tp>
      <tp t="s">
        <v>#N/A Requesting Data...3209170421</v>
        <stp/>
        <stp>BDP|4583573625168800589</stp>
        <tr r="E2208" s="2"/>
      </tp>
      <tp t="s">
        <v>#N/A Requesting Data...1499641566</v>
        <stp/>
        <stp>BDP|6476950936031511355</stp>
        <tr r="C2456" s="2"/>
      </tp>
      <tp t="s">
        <v>#N/A Requesting Data...2700823263</v>
        <stp/>
        <stp>BDP|7899573057638895176</stp>
        <tr r="F34" s="2"/>
      </tp>
      <tp t="s">
        <v>#N/A Requesting Data...189677271</v>
        <stp/>
        <stp>BDP|9749399411727915218</stp>
        <tr r="O654" s="2"/>
      </tp>
      <tp t="s">
        <v>#N/A Requesting Data...428537958</v>
        <stp/>
        <stp>BDP|9129286339023369540</stp>
        <tr r="O648" s="2"/>
      </tp>
      <tp t="s">
        <v>#N/A Requesting Data...2224727139</v>
        <stp/>
        <stp>BDP|4224949912973543164</stp>
        <tr r="D867" s="2"/>
      </tp>
      <tp t="s">
        <v>#N/A Requesting Data...251985416</v>
        <stp/>
        <stp>BDP|8298724936592681072</stp>
        <tr r="F2047" s="2"/>
      </tp>
      <tp t="s">
        <v>#N/A Requesting Data...2664471115</v>
        <stp/>
        <stp>BDP|8886728537545232783</stp>
        <tr r="H297" s="2"/>
      </tp>
      <tp t="s">
        <v>#N/A Requesting Data...797864860</v>
        <stp/>
        <stp>BDP|6414957516149903992</stp>
        <tr r="C199" s="2"/>
      </tp>
      <tp t="s">
        <v>#N/A Requesting Data...3360139252</v>
        <stp/>
        <stp>BDP|2875409364089393782</stp>
        <tr r="Q2074" s="2"/>
      </tp>
      <tp t="s">
        <v>#N/A Requesting Data...2432439749</v>
        <stp/>
        <stp>BDP|4011491443789443396</stp>
        <tr r="D998" s="2"/>
      </tp>
      <tp t="b">
        <v>0</v>
        <stp/>
        <stp>BDS|8828169398767985982</stp>
        <tr r="I1608" s="2"/>
      </tp>
      <tp t="s">
        <v>#N/A Requesting Data...3377847411</v>
        <stp/>
        <stp>BDP|9015652265746498138</stp>
        <tr r="D391" s="2"/>
      </tp>
      <tp t="s">
        <v>#N/A Requesting Data...3453252620</v>
        <stp/>
        <stp>BDP|7233505782527774300</stp>
        <tr r="N417" s="2"/>
      </tp>
      <tp t="s">
        <v>#N/A Requesting Data...1449065978</v>
        <stp/>
        <stp>BDP|3442042282835290073</stp>
        <tr r="O723" s="2"/>
      </tp>
      <tp t="s">
        <v>#N/A Requesting Data...1630266776</v>
        <stp/>
        <stp>BDP|6892428512414699998</stp>
        <tr r="F1042" s="2"/>
      </tp>
      <tp t="s">
        <v>#N/A Requesting Data...403389474</v>
        <stp/>
        <stp>BDP|6979673029714717876</stp>
        <tr r="M132" s="2"/>
      </tp>
      <tp t="s">
        <v>#N/A Requesting Data...3512805273</v>
        <stp/>
        <stp>BDP|4975392081247339650</stp>
        <tr r="Q454" s="2"/>
      </tp>
      <tp t="s">
        <v>#N/A Requesting Data...1238715639</v>
        <stp/>
        <stp>BDP|1734927562793743373</stp>
        <tr r="C2218" s="2"/>
      </tp>
      <tp t="s">
        <v>#N/A Requesting Data...1838759362</v>
        <stp/>
        <stp>BDP|9010458961990577560</stp>
        <tr r="Q1823" s="2"/>
      </tp>
      <tp t="s">
        <v>#N/A Requesting Data...3216324483</v>
        <stp/>
        <stp>BDP|8824816565270986829</stp>
        <tr r="H1043" s="2"/>
      </tp>
      <tp t="s">
        <v>#N/A Requesting Data...2711621347</v>
        <stp/>
        <stp>BDP|4904650010665203891</stp>
        <tr r="R990" s="2"/>
      </tp>
      <tp t="s">
        <v>#N/A Requesting Data...2975240038</v>
        <stp/>
        <stp>BDP|3359945315507630231</stp>
        <tr r="G491" s="2"/>
      </tp>
      <tp t="s">
        <v>#N/A Requesting Data...1277502546</v>
        <stp/>
        <stp>BDP|1913477304323506883</stp>
        <tr r="P1333" s="2"/>
      </tp>
      <tp t="s">
        <v>#N/A Requesting Data...853293644</v>
        <stp/>
        <stp>BDP|4020874104562103055</stp>
        <tr r="G1770" s="2"/>
      </tp>
      <tp t="s">
        <v>#N/A Requesting Data...680219501</v>
        <stp/>
        <stp>BDP|1187830154561695372</stp>
        <tr r="H1984" s="2"/>
      </tp>
      <tp t="s">
        <v>#N/A Requesting Data...2992094880</v>
        <stp/>
        <stp>BDP|1887782256899849490</stp>
        <tr r="S1514" s="2"/>
      </tp>
      <tp t="s">
        <v>#N/A Requesting Data...3963035802</v>
        <stp/>
        <stp>BDP|5798439377699645124</stp>
        <tr r="Q631" s="2"/>
      </tp>
      <tp t="s">
        <v>#N/A Requesting Data...696040143</v>
        <stp/>
        <stp>BDP|3001873054665376574</stp>
        <tr r="Q845" s="2"/>
      </tp>
      <tp t="s">
        <v>#N/A Requesting Data...3989072197</v>
        <stp/>
        <stp>BDP|6905796554593400975</stp>
        <tr r="Q430" s="2"/>
      </tp>
      <tp t="s">
        <v>#N/A Requesting Data...859152819</v>
        <stp/>
        <stp>BDP|9810605448556401308</stp>
        <tr r="N1982" s="2"/>
      </tp>
      <tp t="s">
        <v>#N/A Requesting Data...4099103789</v>
        <stp/>
        <stp>BDP|3276927343624465439</stp>
        <tr r="N958" s="2"/>
      </tp>
      <tp t="s">
        <v>#N/A Requesting Data...3964338546</v>
        <stp/>
        <stp>BDP|6975108363536777994</stp>
        <tr r="A1753" s="2"/>
      </tp>
      <tp t="s">
        <v>#N/A Requesting Data...481044222</v>
        <stp/>
        <stp>BDP|4644639590671631470</stp>
        <tr r="O952" s="2"/>
      </tp>
      <tp t="s">
        <v>#N/A Requesting Data...2041366116</v>
        <stp/>
        <stp>BDP|3478611575889539515</stp>
        <tr r="T1355" s="2"/>
      </tp>
      <tp t="s">
        <v>#N/A Requesting Data...3379410853</v>
        <stp/>
        <stp>BDP|9824091537673748759</stp>
        <tr r="P728" s="2"/>
      </tp>
      <tp t="s">
        <v>#N/A Requesting Data...2450185151</v>
        <stp/>
        <stp>BDP|9910484957245093326</stp>
        <tr r="K2235" s="2"/>
      </tp>
      <tp t="s">
        <v>#N/A Requesting Data...2012896325</v>
        <stp/>
        <stp>BDP|8549764332825023752</stp>
        <tr r="Q1222" s="2"/>
      </tp>
      <tp t="s">
        <v>#N/A Requesting Data...658950363</v>
        <stp/>
        <stp>BDP|5555645786767242218</stp>
        <tr r="S847" s="2"/>
      </tp>
      <tp t="s">
        <v>#N/A Requesting Data...635441119</v>
        <stp/>
        <stp>BDP|2194126296464224033</stp>
        <tr r="T662" s="2"/>
      </tp>
      <tp t="s">
        <v>#N/A Requesting Data...1045185737</v>
        <stp/>
        <stp>BDP|8418661706324299420</stp>
        <tr r="D1474" s="2"/>
      </tp>
      <tp t="s">
        <v>#N/A Requesting Data...951613265</v>
        <stp/>
        <stp>BDP|6122719273531435937</stp>
        <tr r="D167" s="2"/>
      </tp>
      <tp t="s">
        <v>#N/A Requesting Data...2658496245</v>
        <stp/>
        <stp>BDP|7833777897984973350</stp>
        <tr r="M1756" s="2"/>
      </tp>
      <tp t="s">
        <v>#N/A Requesting Data...599284991</v>
        <stp/>
        <stp>BDP|4525469137709475441</stp>
        <tr r="O813" s="2"/>
      </tp>
      <tp t="s">
        <v>#N/A Requesting Data...4193695275</v>
        <stp/>
        <stp>BDP|2143878043138472850</stp>
        <tr r="S1451" s="2"/>
      </tp>
      <tp t="s">
        <v>#N/A Requesting Data...1024996170</v>
        <stp/>
        <stp>BDP|6772927996830000872</stp>
        <tr r="M1814" s="2"/>
      </tp>
      <tp t="s">
        <v>#N/A Requesting Data...3252568327</v>
        <stp/>
        <stp>BDP|8358147872028009818</stp>
        <tr r="K565" s="2"/>
      </tp>
      <tp t="s">
        <v>#N/A Requesting Data...789786758</v>
        <stp/>
        <stp>BDP|9531583107405814768</stp>
        <tr r="G307" s="2"/>
      </tp>
      <tp t="s">
        <v>#N/A Requesting Data...2087633315</v>
        <stp/>
        <stp>BDP|8861397305023195615</stp>
        <tr r="R2514" s="2"/>
      </tp>
      <tp t="s">
        <v>#N/A Requesting Data...2104494648</v>
        <stp/>
        <stp>BDP|1586625445728067561</stp>
        <tr r="P1820" s="2"/>
      </tp>
      <tp t="s">
        <v>#N/A Requesting Data...2828009771</v>
        <stp/>
        <stp>BDP|2989392895472031410</stp>
        <tr r="S386" s="2"/>
      </tp>
      <tp t="s">
        <v>#N/A Requesting Data...2333483926</v>
        <stp/>
        <stp>BDP|3736730994664188750</stp>
        <tr r="H126" s="2"/>
      </tp>
      <tp t="s">
        <v>#N/A Requesting Data...4246795553</v>
        <stp/>
        <stp>BDP|5188749236269674619</stp>
        <tr r="P2368" s="2"/>
      </tp>
      <tp t="s">
        <v>#N/A Requesting Data...746120698</v>
        <stp/>
        <stp>BDP|4703216584068083862</stp>
        <tr r="G2502" s="2"/>
      </tp>
      <tp t="s">
        <v>#N/A Requesting Data...3352937565</v>
        <stp/>
        <stp>BDP|1450620681884412570</stp>
        <tr r="K931" s="2"/>
      </tp>
      <tp t="s">
        <v>#N/A Requesting Data...2938309434</v>
        <stp/>
        <stp>BDP|6772874601263477319</stp>
        <tr r="P1847" s="2"/>
      </tp>
      <tp t="s">
        <v>#N/A Requesting Data...411778102</v>
        <stp/>
        <stp>BDP|5222043692914552652</stp>
        <tr r="S1007" s="2"/>
      </tp>
      <tp t="s">
        <v>#N/A Requesting Data...614453140</v>
        <stp/>
        <stp>BDP|8324109011670270645</stp>
        <tr r="A2109" s="2"/>
      </tp>
      <tp t="s">
        <v>#N/A Requesting Data...2397278752</v>
        <stp/>
        <stp>BDP|1800707859648162548</stp>
        <tr r="A904" s="2"/>
      </tp>
      <tp t="s">
        <v>#N/A Requesting Data...1966395387</v>
        <stp/>
        <stp>BDP|9607474234484292436</stp>
        <tr r="N1358" s="2"/>
      </tp>
      <tp t="s">
        <v>#N/A Requesting Data...1663882347</v>
        <stp/>
        <stp>BDP|4612269370317758831</stp>
        <tr r="J697" s="2"/>
      </tp>
      <tp t="s">
        <v>#N/A Requesting Data...314586257</v>
        <stp/>
        <stp>BDP|1097442178089054581</stp>
        <tr r="M919" s="2"/>
      </tp>
      <tp t="b">
        <v>0</v>
        <stp/>
        <stp>BDS|5332436755098898291</stp>
        <tr r="I909" s="2"/>
      </tp>
      <tp t="s">
        <v>#N/A Requesting Data...1288472067</v>
        <stp/>
        <stp>BDP|7120774721714390806</stp>
        <tr r="C1908" s="2"/>
      </tp>
      <tp t="s">
        <v>#N/A Requesting Data...609807776</v>
        <stp/>
        <stp>BDP|4974638023638876650</stp>
        <tr r="G709" s="2"/>
      </tp>
      <tp t="s">
        <v>#N/A Requesting Data...239748514</v>
        <stp/>
        <stp>BDP|9974250236780780696</stp>
        <tr r="J266" s="2"/>
      </tp>
      <tp t="s">
        <v>#N/A Requesting Data...1731064933</v>
        <stp/>
        <stp>BDP|5730935531891733063</stp>
        <tr r="A1684" s="2"/>
      </tp>
      <tp t="s">
        <v>#N/A Requesting Data...4129251778</v>
        <stp/>
        <stp>BDP|7068254447078341758</stp>
        <tr r="R2066" s="2"/>
      </tp>
      <tp t="s">
        <v>#N/A Requesting Data...1351761545</v>
        <stp/>
        <stp>BDP|1098814360215061457</stp>
        <tr r="C685" s="2"/>
      </tp>
      <tp t="s">
        <v>#N/A Requesting Data...3720338032</v>
        <stp/>
        <stp>BDP|5675373454358230535</stp>
        <tr r="R455" s="2"/>
      </tp>
      <tp t="s">
        <v>#N/A Requesting Data...3952320825</v>
        <stp/>
        <stp>BDP|5639070895751952390</stp>
        <tr r="A925" s="2"/>
      </tp>
      <tp t="b">
        <v>0</v>
        <stp/>
        <stp>BDS|9750596756362857547</stp>
        <tr r="I923" s="2"/>
      </tp>
      <tp t="s">
        <v>#N/A Requesting Data...1888159357</v>
        <stp/>
        <stp>BDP|6547558866872658940</stp>
        <tr r="Q1588" s="2"/>
      </tp>
      <tp t="s">
        <v>#N/A Requesting Data...550579447</v>
        <stp/>
        <stp>BDP|7851632636179172580</stp>
        <tr r="P2530" s="2"/>
      </tp>
      <tp t="s">
        <v>#N/A Requesting Data...1082484683</v>
        <stp/>
        <stp>BDP|1942888420764223178</stp>
        <tr r="C1079" s="2"/>
      </tp>
      <tp t="s">
        <v>#N/A Requesting Data...1162039888</v>
        <stp/>
        <stp>BDP|8442152042275139666</stp>
        <tr r="D756" s="2"/>
      </tp>
      <tp t="s">
        <v>#N/A Requesting Data...856601948</v>
        <stp/>
        <stp>BDP|5005219094394631478</stp>
        <tr r="S360" s="2"/>
      </tp>
      <tp t="s">
        <v>#N/A Requesting Data...954263553</v>
        <stp/>
        <stp>BDP|8291358978756869430</stp>
        <tr r="C2022" s="2"/>
      </tp>
      <tp t="s">
        <v>#N/A Requesting Data...3330510621</v>
        <stp/>
        <stp>BDP|2179074225728179663</stp>
        <tr r="S2016" s="2"/>
      </tp>
      <tp t="s">
        <v>#N/A Requesting Data...2669036210</v>
        <stp/>
        <stp>BDP|2932724366798954505</stp>
        <tr r="F332" s="2"/>
      </tp>
      <tp t="s">
        <v>#N/A Requesting Data...4060412382</v>
        <stp/>
        <stp>BDP|5661090528381222817</stp>
        <tr r="C960" s="2"/>
      </tp>
      <tp t="s">
        <v>#N/A Requesting Data...1537027685</v>
        <stp/>
        <stp>BDP|1927503391321509292</stp>
        <tr r="Q1848" s="2"/>
      </tp>
      <tp t="s">
        <v>#N/A Requesting Data...3240805826</v>
        <stp/>
        <stp>BDP|1809733768097302940</stp>
        <tr r="G611" s="2"/>
      </tp>
      <tp t="s">
        <v>#N/A Requesting Data...1719018548</v>
        <stp/>
        <stp>BDP|8391134724616881380</stp>
        <tr r="P723" s="2"/>
      </tp>
      <tp t="s">
        <v>#N/A Requesting Data...2029930622</v>
        <stp/>
        <stp>BDP|7997142418960787969</stp>
        <tr r="C1729" s="2"/>
      </tp>
      <tp t="s">
        <v>#N/A Requesting Data...2487429205</v>
        <stp/>
        <stp>BDP|9474446024624465542</stp>
        <tr r="G2241" s="2"/>
      </tp>
      <tp t="s">
        <v>#N/A Requesting Data...2750559310</v>
        <stp/>
        <stp>BDP|6572763047492351936</stp>
        <tr r="P446" s="2"/>
      </tp>
      <tp t="s">
        <v>#N/A Requesting Data...3098846655</v>
        <stp/>
        <stp>BDP|2867412109050558812</stp>
        <tr r="G1306" s="2"/>
      </tp>
      <tp t="s">
        <v>#N/A Requesting Data...3936064842</v>
        <stp/>
        <stp>BDP|4240905167601275432</stp>
        <tr r="E1016" s="2"/>
      </tp>
      <tp t="s">
        <v>#N/A Requesting Data...763202356</v>
        <stp/>
        <stp>BDP|6050269695261451239</stp>
        <tr r="P514" s="2"/>
      </tp>
      <tp t="s">
        <v>#N/A Requesting Data...1038813121</v>
        <stp/>
        <stp>BDP|7644982130627934431</stp>
        <tr r="P1600" s="2"/>
      </tp>
      <tp t="s">
        <v>#N/A Requesting Data...3228573842</v>
        <stp/>
        <stp>BDP|9018264422185709276</stp>
        <tr r="Q127" s="2"/>
      </tp>
      <tp t="s">
        <v>#N/A Requesting Data...2186191563</v>
        <stp/>
        <stp>BDP|8805464048532579474</stp>
        <tr r="O1963" s="2"/>
      </tp>
      <tp t="s">
        <v>#N/A Requesting Data...403538596</v>
        <stp/>
        <stp>BDP|7132073856019513513</stp>
        <tr r="F592" s="2"/>
      </tp>
      <tp t="s">
        <v>#N/A Requesting Data...2447026201</v>
        <stp/>
        <stp>BDP|1293088060448873167</stp>
        <tr r="O1008" s="2"/>
      </tp>
      <tp t="s">
        <v>#N/A Requesting Data...3417415759</v>
        <stp/>
        <stp>BDP|2537930075343035176</stp>
        <tr r="H1432" s="2"/>
      </tp>
      <tp t="s">
        <v>#N/A Requesting Data...2633181978</v>
        <stp/>
        <stp>BDP|8742495300721332390</stp>
        <tr r="A797" s="2"/>
      </tp>
      <tp t="s">
        <v>#N/A Requesting Data...1044727052</v>
        <stp/>
        <stp>BDP|7524364094144223710</stp>
        <tr r="E481" s="2"/>
      </tp>
      <tp t="s">
        <v>#N/A Requesting Data...4018069879</v>
        <stp/>
        <stp>BDP|4226217916231700862</stp>
        <tr r="E378" s="2"/>
      </tp>
      <tp t="s">
        <v>#N/A Requesting Data...761793316</v>
        <stp/>
        <stp>BDP|4832473992321835615</stp>
        <tr r="P937" s="2"/>
      </tp>
      <tp t="s">
        <v>#N/A Requesting Data...2277620855</v>
        <stp/>
        <stp>BDP|7494664100988013760</stp>
        <tr r="H1029" s="2"/>
      </tp>
      <tp t="s">
        <v>#N/A Requesting Data...1215132290</v>
        <stp/>
        <stp>BDP|6548203780761070312</stp>
        <tr r="M587" s="2"/>
      </tp>
      <tp t="s">
        <v>#N/A Requesting Data...1813229681</v>
        <stp/>
        <stp>BDP|8122349959709000989</stp>
        <tr r="M1229" s="2"/>
      </tp>
      <tp t="s">
        <v>#N/A Requesting Data...1719000311</v>
        <stp/>
        <stp>BDP|9844064351095815734</stp>
        <tr r="O1602" s="2"/>
      </tp>
      <tp t="s">
        <v>#N/A Requesting Data...827866730</v>
        <stp/>
        <stp>BDP|5297636087855643047</stp>
        <tr r="O1728" s="2"/>
      </tp>
      <tp t="s">
        <v>#N/A Requesting Data...2587332506</v>
        <stp/>
        <stp>BDP|5751486037204970852</stp>
        <tr r="N1485" s="2"/>
      </tp>
      <tp t="b">
        <v>0</v>
        <stp/>
        <stp>BDS|8525569731486119679</stp>
        <tr r="I1681" s="2"/>
      </tp>
      <tp t="s">
        <v>#N/A Requesting Data...4153079697</v>
        <stp/>
        <stp>BDP|8122842707086661802</stp>
        <tr r="P221" s="2"/>
      </tp>
      <tp t="s">
        <v>#N/A Requesting Data...4014842283</v>
        <stp/>
        <stp>BDP|9239775394338067157</stp>
        <tr r="T2398" s="2"/>
      </tp>
      <tp t="s">
        <v>#N/A Requesting Data...2518285977</v>
        <stp/>
        <stp>BDP|1522515690082579157</stp>
        <tr r="K2333" s="2"/>
      </tp>
      <tp t="s">
        <v>#N/A Requesting Data...3739552391</v>
        <stp/>
        <stp>BDP|2375335805039218634</stp>
        <tr r="A299" s="2"/>
      </tp>
      <tp t="s">
        <v>#N/A Requesting Data...2691854880</v>
        <stp/>
        <stp>BDP|5861967147311847751</stp>
        <tr r="R1404" s="2"/>
      </tp>
      <tp t="s">
        <v>#N/A Requesting Data...3475460479</v>
        <stp/>
        <stp>BDP|5197375387652081255</stp>
        <tr r="M136" s="2"/>
      </tp>
      <tp t="s">
        <v>#N/A Requesting Data...621417600</v>
        <stp/>
        <stp>BDP|1046350366929336349</stp>
        <tr r="M497" s="2"/>
      </tp>
      <tp t="s">
        <v>#N/A Requesting Data...2532184008</v>
        <stp/>
        <stp>BDP|3263823722566352153</stp>
        <tr r="H569" s="2"/>
      </tp>
      <tp t="s">
        <v>#N/A Requesting Data...3840830206</v>
        <stp/>
        <stp>BDP|8978143902777266093</stp>
        <tr r="S1427" s="2"/>
      </tp>
      <tp t="s">
        <v>#N/A Requesting Data...3980449421</v>
        <stp/>
        <stp>BDP|5871532996254965307</stp>
        <tr r="R2448" s="2"/>
      </tp>
      <tp t="s">
        <v>#N/A Requesting Data...515181302</v>
        <stp/>
        <stp>BDP|7672155977447447844</stp>
        <tr r="H546" s="2"/>
      </tp>
      <tp t="s">
        <v>#N/A Requesting Data...3682767013</v>
        <stp/>
        <stp>BDP|2774726293845298706</stp>
        <tr r="K812" s="2"/>
      </tp>
      <tp t="s">
        <v>#N/A Requesting Data...3152194227</v>
        <stp/>
        <stp>BDP|1872099418147956953</stp>
        <tr r="O1190" s="2"/>
      </tp>
      <tp t="s">
        <v>#N/A Requesting Data...2088205561</v>
        <stp/>
        <stp>BDP|5399737728336549880</stp>
        <tr r="H938" s="2"/>
      </tp>
      <tp t="s">
        <v>#N/A Requesting Data...2238365712</v>
        <stp/>
        <stp>BDP|9770144346953476144</stp>
        <tr r="P121" s="2"/>
      </tp>
      <tp t="s">
        <v>#N/A Requesting Data...1014086979</v>
        <stp/>
        <stp>BDP|2382042712314687968</stp>
        <tr r="K1698" s="2"/>
      </tp>
      <tp t="s">
        <v>#N/A Requesting Data...1221361602</v>
        <stp/>
        <stp>BDP|1898875322445051084</stp>
        <tr r="O1226" s="2"/>
      </tp>
      <tp t="s">
        <v>#N/A Requesting Data...3110009633</v>
        <stp/>
        <stp>BDP|8410946285010972798</stp>
        <tr r="H446" s="2"/>
      </tp>
      <tp t="s">
        <v>#N/A Requesting Data...1403733426</v>
        <stp/>
        <stp>BDP|1939206497251370588</stp>
        <tr r="F288" s="2"/>
      </tp>
      <tp t="s">
        <v>#N/A Requesting Data...921181283</v>
        <stp/>
        <stp>BDP|8848690606570002029</stp>
        <tr r="S160" s="2"/>
      </tp>
      <tp t="s">
        <v>#N/A Requesting Data...3246404060</v>
        <stp/>
        <stp>BDP|4089558015689746729</stp>
        <tr r="P1938" s="2"/>
      </tp>
      <tp t="s">
        <v>#N/A Requesting Data...2289181990</v>
        <stp/>
        <stp>BDP|3620926695739094441</stp>
        <tr r="N1928" s="2"/>
      </tp>
      <tp t="s">
        <v>#N/A Requesting Data...3079287289</v>
        <stp/>
        <stp>BDP|2376235481381439709</stp>
        <tr r="H397" s="2"/>
      </tp>
      <tp t="s">
        <v>#N/A Requesting Data...830352805</v>
        <stp/>
        <stp>BDP|4947542941958127386</stp>
        <tr r="C755" s="2"/>
      </tp>
      <tp t="s">
        <v>#N/A Requesting Data...2587534162</v>
        <stp/>
        <stp>BDP|1409376625179785744</stp>
        <tr r="O73" s="2"/>
      </tp>
      <tp t="s">
        <v>#N/A Requesting Data...2797030879</v>
        <stp/>
        <stp>BDP|2561399937819750599</stp>
        <tr r="C2378" s="2"/>
      </tp>
      <tp t="s">
        <v>#N/A Requesting Data...3612017880</v>
        <stp/>
        <stp>BDP|5047848469501911412</stp>
        <tr r="Q1671" s="2"/>
      </tp>
      <tp t="s">
        <v>#N/A Requesting Data...3411336868</v>
        <stp/>
        <stp>BDP|2466863052717404618</stp>
        <tr r="Q2098" s="2"/>
      </tp>
      <tp t="s">
        <v>#N/A Requesting Data...970639044</v>
        <stp/>
        <stp>BDP|4176377599615251589</stp>
        <tr r="A2370" s="2"/>
      </tp>
      <tp t="s">
        <v>#N/A Requesting Data...1447576808</v>
        <stp/>
        <stp>BDP|4382640316109012442</stp>
        <tr r="G1127" s="2"/>
      </tp>
      <tp t="s">
        <v>#N/A Requesting Data...1914604559</v>
        <stp/>
        <stp>BDP|9292801988524700387</stp>
        <tr r="S1002" s="2"/>
      </tp>
      <tp t="s">
        <v>#N/A Requesting Data...1152233794</v>
        <stp/>
        <stp>BDP|4607747391904465025</stp>
        <tr r="S726" s="2"/>
      </tp>
      <tp t="s">
        <v>#N/A Requesting Data...616266237</v>
        <stp/>
        <stp>BDP|2978684519768583381</stp>
        <tr r="P2023" s="2"/>
      </tp>
      <tp t="s">
        <v>#N/A Requesting Data...2066312399</v>
        <stp/>
        <stp>BDP|1030735841304692811</stp>
        <tr r="H2140" s="2"/>
      </tp>
      <tp t="s">
        <v>#N/A Requesting Data...1595526737</v>
        <stp/>
        <stp>BDP|1523325354320419928</stp>
        <tr r="E2448" s="2"/>
      </tp>
      <tp t="s">
        <v>#N/A Requesting Data...1448488646</v>
        <stp/>
        <stp>BDP|9464180002201311789</stp>
        <tr r="G706" s="2"/>
      </tp>
      <tp t="s">
        <v>#N/A Requesting Data...3097440768</v>
        <stp/>
        <stp>BDP|1359908296788920794</stp>
        <tr r="N1970" s="2"/>
      </tp>
      <tp t="s">
        <v>#N/A Requesting Data...2670341998</v>
        <stp/>
        <stp>BDP|4893836678891623409</stp>
        <tr r="E1261" s="2"/>
      </tp>
      <tp t="s">
        <v>#N/A Requesting Data...1526840815</v>
        <stp/>
        <stp>BDP|2016470493634438558</stp>
        <tr r="R875" s="2"/>
      </tp>
      <tp t="b">
        <v>0</v>
        <stp/>
        <stp>BDS|3271639667475057833</stp>
        <tr r="I1914" s="2"/>
      </tp>
      <tp t="s">
        <v>#N/A Requesting Data...3610360173</v>
        <stp/>
        <stp>BDP|1057973642283828189</stp>
        <tr r="A67" s="2"/>
      </tp>
      <tp t="s">
        <v>#N/A Requesting Data...1171343770</v>
        <stp/>
        <stp>BDP|2727859545008010825</stp>
        <tr r="O212" s="2"/>
      </tp>
      <tp t="s">
        <v>#N/A Requesting Data...591190765</v>
        <stp/>
        <stp>BDP|6102649234384176952</stp>
        <tr r="D683" s="2"/>
      </tp>
      <tp t="s">
        <v>#N/A Requesting Data...3873215898</v>
        <stp/>
        <stp>BDP|8533462652737319078</stp>
        <tr r="J1909" s="2"/>
      </tp>
      <tp t="s">
        <v>#N/A Requesting Data...1043786606</v>
        <stp/>
        <stp>BDP|3060955454950629127</stp>
        <tr r="A1116" s="2"/>
      </tp>
      <tp t="s">
        <v>#N/A Requesting Data...3168291839</v>
        <stp/>
        <stp>BDP|8337036173366094761</stp>
        <tr r="M1757" s="2"/>
      </tp>
      <tp t="s">
        <v>#N/A Requesting Data...1051659936</v>
        <stp/>
        <stp>BDP|9571288131452001495</stp>
        <tr r="O1060" s="2"/>
      </tp>
      <tp t="s">
        <v>#N/A Requesting Data...1606847987</v>
        <stp/>
        <stp>BDP|1087252483012324706</stp>
        <tr r="S83" s="2"/>
      </tp>
      <tp t="s">
        <v>#N/A Requesting Data...1536553076</v>
        <stp/>
        <stp>BDP|8618317026874729332</stp>
        <tr r="R128" s="2"/>
      </tp>
      <tp t="s">
        <v>#N/A Requesting Data...2981581361</v>
        <stp/>
        <stp>BDP|3013499839339079352</stp>
        <tr r="Q731" s="2"/>
      </tp>
      <tp t="s">
        <v>#N/A Requesting Data...2152137823</v>
        <stp/>
        <stp>BDP|7149593885762988616</stp>
        <tr r="O1600" s="2"/>
      </tp>
      <tp t="s">
        <v>#N/A Requesting Data...3073008350</v>
        <stp/>
        <stp>BDP|9301294671993601183</stp>
        <tr r="D2127" s="2"/>
      </tp>
      <tp t="s">
        <v>#N/A Requesting Data...3290006484</v>
        <stp/>
        <stp>BDP|4265872471327357223</stp>
        <tr r="F2464" s="2"/>
      </tp>
      <tp t="s">
        <v>#N/A Requesting Data...1606530835</v>
        <stp/>
        <stp>BDP|4504734542609676074</stp>
        <tr r="S394" s="2"/>
      </tp>
      <tp t="s">
        <v>#N/A Requesting Data...1674759289</v>
        <stp/>
        <stp>BDP|4075925947081315632</stp>
        <tr r="M900" s="2"/>
      </tp>
      <tp t="s">
        <v>#N/A Requesting Data...3237883311</v>
        <stp/>
        <stp>BDP|9151593150457809053</stp>
        <tr r="G335" s="2"/>
      </tp>
      <tp t="s">
        <v>#N/A Requesting Data...1165301101</v>
        <stp/>
        <stp>BDP|1942385804588058400</stp>
        <tr r="N1150" s="2"/>
      </tp>
      <tp t="s">
        <v>#N/A Requesting Data...3917396920</v>
        <stp/>
        <stp>BDP|5923397495610743177</stp>
        <tr r="T1155" s="2"/>
      </tp>
      <tp t="s">
        <v>#N/A Requesting Data...2489463577</v>
        <stp/>
        <stp>BDP|4290554362739030009</stp>
        <tr r="E1525" s="2"/>
      </tp>
      <tp t="s">
        <v>#N/A Requesting Data...3163180221</v>
        <stp/>
        <stp>BDP|5485667174263175929</stp>
        <tr r="C1085" s="2"/>
      </tp>
      <tp t="s">
        <v>#N/A Requesting Data...2333422397</v>
        <stp/>
        <stp>BDP|2593225518856300997</stp>
        <tr r="N147" s="2"/>
      </tp>
      <tp t="s">
        <v>#N/A Requesting Data...3505554320</v>
        <stp/>
        <stp>BDP|9528232776770626236</stp>
        <tr r="O2031" s="2"/>
      </tp>
      <tp t="s">
        <v>#N/A Requesting Data...1936513576</v>
        <stp/>
        <stp>BDP|3251925752117308642</stp>
        <tr r="P1143" s="2"/>
      </tp>
      <tp t="s">
        <v>#N/A Requesting Data...2858205112</v>
        <stp/>
        <stp>BDP|7651372976114241901</stp>
        <tr r="S1861" s="2"/>
      </tp>
      <tp t="s">
        <v>#N/A Requesting Data...1210164564</v>
        <stp/>
        <stp>BDP|1024473092582575050</stp>
        <tr r="J329" s="2"/>
      </tp>
      <tp t="s">
        <v>#N/A Requesting Data...3517627905</v>
        <stp/>
        <stp>BDP|6120814122037318544</stp>
        <tr r="G1854" s="2"/>
      </tp>
      <tp t="s">
        <v>#N/A Requesting Data...3814208986</v>
        <stp/>
        <stp>BDP|4893651413584364988</stp>
        <tr r="R2040" s="2"/>
      </tp>
      <tp t="b">
        <v>0</v>
        <stp/>
        <stp>BDS|3949797881321028343</stp>
        <tr r="I1406" s="2"/>
      </tp>
      <tp t="s">
        <v>#N/A Requesting Data...3487492675</v>
        <stp/>
        <stp>BDP|4616687654639875072</stp>
        <tr r="O1319" s="2"/>
      </tp>
      <tp t="s">
        <v>#N/A Requesting Data...3143001360</v>
        <stp/>
        <stp>BDP|5001851041057202034</stp>
        <tr r="G979" s="2"/>
      </tp>
      <tp t="s">
        <v>#N/A Requesting Data...3713225435</v>
        <stp/>
        <stp>BDP|8082547037134427429</stp>
        <tr r="A458" s="2"/>
      </tp>
      <tp t="s">
        <v>#N/A Requesting Data...1898062719</v>
        <stp/>
        <stp>BDP|9836706028107391568</stp>
        <tr r="K1159" s="2"/>
      </tp>
      <tp t="s">
        <v>#N/A Requesting Data...3822140522</v>
        <stp/>
        <stp>BDP|1674785092750141184</stp>
        <tr r="T821" s="2"/>
      </tp>
      <tp t="s">
        <v>#N/A Requesting Data...888505448</v>
        <stp/>
        <stp>BDP|3181175433839206620</stp>
        <tr r="K1038" s="2"/>
      </tp>
      <tp t="s">
        <v>#N/A Requesting Data...4235297430</v>
        <stp/>
        <stp>BDP|1206871401911052618</stp>
        <tr r="E1014" s="2"/>
      </tp>
      <tp t="s">
        <v>#N/A Requesting Data...2796158968</v>
        <stp/>
        <stp>BDP|4259773186554612107</stp>
        <tr r="M525" s="2"/>
      </tp>
      <tp t="s">
        <v>#N/A Requesting Data...3590911752</v>
        <stp/>
        <stp>BDP|9001156832463637644</stp>
        <tr r="A1619" s="2"/>
      </tp>
      <tp t="s">
        <v>#N/A Requesting Data...780520137</v>
        <stp/>
        <stp>BDP|1121850389229154691</stp>
        <tr r="K130" s="2"/>
      </tp>
      <tp t="s">
        <v>#N/A Requesting Data...2065876668</v>
        <stp/>
        <stp>BDP|2287973436901672701</stp>
        <tr r="F2352" s="2"/>
      </tp>
      <tp t="s">
        <v>#N/A Requesting Data...3575329820</v>
        <stp/>
        <stp>BDP|4848245448295374920</stp>
        <tr r="N1944" s="2"/>
      </tp>
      <tp t="s">
        <v>#N/A Requesting Data...2274299010</v>
        <stp/>
        <stp>BDP|7778752085660662641</stp>
        <tr r="F2483" s="2"/>
      </tp>
      <tp t="s">
        <v>#N/A Requesting Data...758172620</v>
        <stp/>
        <stp>BDP|8554939403859309630</stp>
        <tr r="P1972" s="2"/>
      </tp>
      <tp t="s">
        <v>#N/A Requesting Data...2496001841</v>
        <stp/>
        <stp>BDP|8878521100471654293</stp>
        <tr r="D734" s="2"/>
      </tp>
      <tp t="s">
        <v>#N/A Requesting Data...4045164008</v>
        <stp/>
        <stp>BDP|3710677072345043976</stp>
        <tr r="A2061" s="2"/>
      </tp>
      <tp t="b">
        <v>0</v>
        <stp/>
        <stp>BDS|6724599121939376691</stp>
        <tr r="I329" s="2"/>
      </tp>
      <tp t="s">
        <v>#N/A Requesting Data...2781900897</v>
        <stp/>
        <stp>BDP|5168317895300631166</stp>
        <tr r="O627" s="2"/>
      </tp>
      <tp t="s">
        <v>#N/A Requesting Data...2702414221</v>
        <stp/>
        <stp>BDP|8671101811770340612</stp>
        <tr r="E1516" s="2"/>
      </tp>
      <tp t="s">
        <v>#N/A Requesting Data...4191695007</v>
        <stp/>
        <stp>BDP|5104022967174013915</stp>
        <tr r="F2338" s="2"/>
      </tp>
      <tp t="s">
        <v>#N/A Requesting Data...4051033811</v>
        <stp/>
        <stp>BDP|4665417515076341943</stp>
        <tr r="D1895" s="2"/>
      </tp>
      <tp t="s">
        <v>#N/A Requesting Data...3822288319</v>
        <stp/>
        <stp>BDP|1464120093102514550</stp>
        <tr r="O757" s="2"/>
      </tp>
      <tp t="b">
        <v>0</v>
        <stp/>
        <stp>BDS|5053150144646547812</stp>
        <tr r="I480" s="2"/>
      </tp>
      <tp t="s">
        <v>#N/A Requesting Data...3288751951</v>
        <stp/>
        <stp>BDP|6435361057289204726</stp>
        <tr r="P1667" s="2"/>
      </tp>
      <tp t="b">
        <v>0</v>
        <stp/>
        <stp>BDS|7720364840967908825</stp>
        <tr r="I126" s="2"/>
      </tp>
      <tp t="s">
        <v>#N/A Requesting Data...1044638028</v>
        <stp/>
        <stp>BDP|2953477495221092110</stp>
        <tr r="G1223" s="2"/>
      </tp>
      <tp t="s">
        <v>#N/A Requesting Data...3162183721</v>
        <stp/>
        <stp>BDP|2490180237479614675</stp>
        <tr r="Q1475" s="2"/>
      </tp>
      <tp t="s">
        <v>#N/A Requesting Data...748404086</v>
        <stp/>
        <stp>BDP|4860048280875796616</stp>
        <tr r="C1960" s="2"/>
      </tp>
      <tp t="s">
        <v>#N/A Requesting Data...3784913933</v>
        <stp/>
        <stp>BDP|2394307914358824756</stp>
        <tr r="J897" s="2"/>
      </tp>
      <tp t="s">
        <v>#N/A Requesting Data...1821646259</v>
        <stp/>
        <stp>BDP|5956627792736098334</stp>
        <tr r="N712" s="2"/>
      </tp>
      <tp t="s">
        <v>#N/A Requesting Data...3550448115</v>
        <stp/>
        <stp>BDP|9772515700933517091</stp>
        <tr r="K2364" s="2"/>
      </tp>
      <tp t="s">
        <v>#N/A Requesting Data...3178196554</v>
        <stp/>
        <stp>BDP|4512261450534187886</stp>
        <tr r="C2036" s="2"/>
      </tp>
      <tp t="s">
        <v>#N/A Requesting Data...867938688</v>
        <stp/>
        <stp>BDP|2368218588774531351</stp>
        <tr r="H822" s="2"/>
      </tp>
      <tp t="s">
        <v>#N/A Requesting Data...1328319997</v>
        <stp/>
        <stp>BDP|7919309168094205992</stp>
        <tr r="M157" s="2"/>
      </tp>
      <tp t="s">
        <v>#N/A Requesting Data...2470271395</v>
        <stp/>
        <stp>BDP|8517540418914225710</stp>
        <tr r="C1840" s="2"/>
      </tp>
      <tp t="s">
        <v>#N/A Requesting Data...1608797407</v>
        <stp/>
        <stp>BDP|2748986975047584450</stp>
        <tr r="K653" s="2"/>
      </tp>
      <tp t="s">
        <v>#N/A Requesting Data...1713442954</v>
        <stp/>
        <stp>BDP|6597473413169354584</stp>
        <tr r="O494" s="2"/>
      </tp>
      <tp t="s">
        <v>#N/A Requesting Data...1097018148</v>
        <stp/>
        <stp>BDP|1241928378250524076</stp>
        <tr r="K1712" s="2"/>
      </tp>
      <tp t="s">
        <v>#N/A Requesting Data...1581262045</v>
        <stp/>
        <stp>BDP|8231718911105846404</stp>
        <tr r="S1152" s="2"/>
      </tp>
      <tp t="s">
        <v>#N/A Requesting Data...2386229281</v>
        <stp/>
        <stp>BDP|3059391713807435945</stp>
        <tr r="P320" s="2"/>
      </tp>
      <tp t="s">
        <v>#N/A Requesting Data...1334671375</v>
        <stp/>
        <stp>BDP|6185973743707609396</stp>
        <tr r="O72" s="2"/>
      </tp>
      <tp t="s">
        <v>#N/A Requesting Data...1332935254</v>
        <stp/>
        <stp>BDP|1025198663620195918</stp>
        <tr r="M1440" s="2"/>
      </tp>
      <tp t="s">
        <v>#N/A Requesting Data...3127951520</v>
        <stp/>
        <stp>BDP|9570772746855956075</stp>
        <tr r="N706" s="2"/>
      </tp>
      <tp t="s">
        <v>#N/A Requesting Data...4188918203</v>
        <stp/>
        <stp>BDP|8732242548312660379</stp>
        <tr r="A1583" s="2"/>
      </tp>
      <tp t="s">
        <v>#N/A Requesting Data...2278260116</v>
        <stp/>
        <stp>BDP|3969173682513050668</stp>
        <tr r="N377" s="2"/>
      </tp>
      <tp t="s">
        <v>#N/A Requesting Data...2230606188</v>
        <stp/>
        <stp>BDP|4043632898043537748</stp>
        <tr r="A2130" s="2"/>
      </tp>
      <tp t="s">
        <v>#N/A Requesting Data...3680810331</v>
        <stp/>
        <stp>BDP|2198668428011154849</stp>
        <tr r="C732" s="2"/>
      </tp>
      <tp t="s">
        <v>#N/A Requesting Data...2951661099</v>
        <stp/>
        <stp>BDP|2811947947955648577</stp>
        <tr r="Q239" s="2"/>
      </tp>
      <tp t="s">
        <v>#N/A Requesting Data...1378755324</v>
        <stp/>
        <stp>BDP|1893937760838035919</stp>
        <tr r="F282" s="2"/>
      </tp>
      <tp t="s">
        <v>#N/A Requesting Data...3552493199</v>
        <stp/>
        <stp>BDP|3897827852332196338</stp>
        <tr r="Q395" s="2"/>
      </tp>
      <tp t="b">
        <v>0</v>
        <stp/>
        <stp>BDS|3636655529070234829</stp>
        <tr r="I1223" s="2"/>
      </tp>
      <tp t="s">
        <v>#N/A Requesting Data...2131334263</v>
        <stp/>
        <stp>BDP|3595420966166236894</stp>
        <tr r="O396" s="2"/>
      </tp>
      <tp t="s">
        <v>#N/A Requesting Data...2597173503</v>
        <stp/>
        <stp>BDP|1820820230261663468</stp>
        <tr r="S770" s="2"/>
      </tp>
      <tp t="s">
        <v>#N/A Requesting Data...2583154109</v>
        <stp/>
        <stp>BDP|3837960131893523507</stp>
        <tr r="M1256" s="2"/>
      </tp>
      <tp t="s">
        <v>#N/A Requesting Data...3654255452</v>
        <stp/>
        <stp>BDP|9273115908204266338</stp>
        <tr r="G1380" s="2"/>
      </tp>
      <tp t="s">
        <v>#N/A Requesting Data...3047549475</v>
        <stp/>
        <stp>BDP|9556775008329350837</stp>
        <tr r="H722" s="2"/>
      </tp>
      <tp t="s">
        <v>#N/A Requesting Data...3266643965</v>
        <stp/>
        <stp>BDP|5877634293190159536</stp>
        <tr r="N243" s="2"/>
      </tp>
      <tp t="s">
        <v>#N/A Requesting Data...1562642636</v>
        <stp/>
        <stp>BDP|3139572296639218987</stp>
        <tr r="J159" s="2"/>
      </tp>
      <tp t="s">
        <v>#N/A Requesting Data...3968496767</v>
        <stp/>
        <stp>BDP|7045713882796129183</stp>
        <tr r="N1655" s="2"/>
      </tp>
      <tp t="s">
        <v>#N/A Requesting Data...1444835388</v>
        <stp/>
        <stp>BDP|1562367483001985439</stp>
        <tr r="G289" s="2"/>
      </tp>
      <tp t="s">
        <v>#N/A Requesting Data...2446835632</v>
        <stp/>
        <stp>BDP|3920464246169177520</stp>
        <tr r="A222" s="2"/>
      </tp>
      <tp t="s">
        <v>#N/A Requesting Data...3236968805</v>
        <stp/>
        <stp>BDP|6502556163333043991</stp>
        <tr r="Q1798" s="2"/>
      </tp>
      <tp t="s">
        <v>#N/A Requesting Data...3978770820</v>
        <stp/>
        <stp>BDP|1407147386514890348</stp>
        <tr r="S1989" s="2"/>
      </tp>
      <tp t="s">
        <v>#N/A Requesting Data...2999339640</v>
        <stp/>
        <stp>BDP|4697416595961824707</stp>
        <tr r="T2144" s="2"/>
      </tp>
      <tp t="s">
        <v>#N/A Requesting Data...3508032421</v>
        <stp/>
        <stp>BDP|8923540427756320634</stp>
        <tr r="M1689" s="2"/>
      </tp>
      <tp t="s">
        <v>#N/A Requesting Data...4010592663</v>
        <stp/>
        <stp>BDP|8769171727084538087</stp>
        <tr r="S569" s="2"/>
      </tp>
      <tp t="s">
        <v>#N/A Requesting Data...2023537531</v>
        <stp/>
        <stp>BDP|2346626696083971146</stp>
        <tr r="H728" s="2"/>
      </tp>
      <tp t="s">
        <v>#N/A Requesting Data...2975498799</v>
        <stp/>
        <stp>BDP|8127594894053643801</stp>
        <tr r="E1574" s="2"/>
      </tp>
      <tp t="s">
        <v>#N/A Requesting Data...2448138756</v>
        <stp/>
        <stp>BDP|4309605599837395337</stp>
        <tr r="S819" s="2"/>
      </tp>
      <tp t="s">
        <v>#N/A Requesting Data...1462675482</v>
        <stp/>
        <stp>BDP|9164037063064806433</stp>
        <tr r="H2398" s="2"/>
      </tp>
      <tp t="s">
        <v>#N/A Requesting Data...3769927523</v>
        <stp/>
        <stp>BDP|2330423286135456496</stp>
        <tr r="G1885" s="2"/>
      </tp>
      <tp t="s">
        <v>#N/A Requesting Data...2218548632</v>
        <stp/>
        <stp>BDP|7522903169464702317</stp>
        <tr r="A1288" s="2"/>
      </tp>
      <tp t="s">
        <v>#N/A Requesting Data...2363525795</v>
        <stp/>
        <stp>BDP|4601962268104432062</stp>
        <tr r="G908" s="2"/>
      </tp>
      <tp t="s">
        <v>#N/A Requesting Data...2735571500</v>
        <stp/>
        <stp>BDP|7397948411313820342</stp>
        <tr r="T1974" s="2"/>
      </tp>
      <tp t="b">
        <v>0</v>
        <stp/>
        <stp>BDS|8472093017115911395</stp>
        <tr r="I1391" s="2"/>
      </tp>
      <tp t="s">
        <v>#N/A Requesting Data...3271375931</v>
        <stp/>
        <stp>BDP|1769626774619267692</stp>
        <tr r="H1616" s="2"/>
      </tp>
      <tp t="s">
        <v>#N/A Requesting Data...2314646191</v>
        <stp/>
        <stp>BDP|9826669874421756678</stp>
        <tr r="S1980" s="2"/>
      </tp>
      <tp t="s">
        <v>#N/A Requesting Data...3518273743</v>
        <stp/>
        <stp>BDP|5607630150379725084</stp>
        <tr r="G2337" s="2"/>
      </tp>
      <tp t="b">
        <v>0</v>
        <stp/>
        <stp>BDS|4332936336761833047</stp>
        <tr r="I1294" s="2"/>
      </tp>
      <tp t="s">
        <v>#N/A Requesting Data...973068900</v>
        <stp/>
        <stp>BDP|8416974198552473552</stp>
        <tr r="T1591" s="2"/>
      </tp>
      <tp t="s">
        <v>#N/A Requesting Data...3666684447</v>
        <stp/>
        <stp>BDP|5411879268934873093</stp>
        <tr r="C2227" s="2"/>
      </tp>
      <tp t="s">
        <v>#N/A Requesting Data...2958492549</v>
        <stp/>
        <stp>BDP|4857506881701381709</stp>
        <tr r="Q280" s="2"/>
      </tp>
      <tp t="s">
        <v>#N/A Requesting Data...4045274035</v>
        <stp/>
        <stp>BDP|1758558536859768197</stp>
        <tr r="P1062" s="2"/>
      </tp>
      <tp t="s">
        <v>#N/A Requesting Data...1382412081</v>
        <stp/>
        <stp>BDP|9624080157664573767</stp>
        <tr r="M2007" s="2"/>
      </tp>
      <tp t="s">
        <v>#N/A Requesting Data...1323013280</v>
        <stp/>
        <stp>BDP|6251316156598608792</stp>
        <tr r="R211" s="2"/>
      </tp>
      <tp t="s">
        <v>#N/A Requesting Data...834031813</v>
        <stp/>
        <stp>BDP|7278854501862879248</stp>
        <tr r="H106" s="2"/>
      </tp>
      <tp t="s">
        <v>#N/A Requesting Data...1257212592</v>
        <stp/>
        <stp>BDP|7746467335716696989</stp>
        <tr r="C2014" s="2"/>
      </tp>
      <tp t="s">
        <v>#N/A Requesting Data...3944609543</v>
        <stp/>
        <stp>BDP|8407118661075849568</stp>
        <tr r="O671" s="2"/>
      </tp>
      <tp t="s">
        <v>#N/A Requesting Data...1236735848</v>
        <stp/>
        <stp>BDP|2399662739360241848</stp>
        <tr r="D788" s="2"/>
      </tp>
      <tp t="s">
        <v>#N/A Requesting Data...2365876555</v>
        <stp/>
        <stp>BDP|1439305227577147883</stp>
        <tr r="C2303" s="2"/>
      </tp>
      <tp t="s">
        <v>#N/A Requesting Data...1140560327</v>
        <stp/>
        <stp>BDP|2952485295793912372</stp>
        <tr r="M2096" s="2"/>
      </tp>
      <tp t="s">
        <v>#N/A Requesting Data...4105257742</v>
        <stp/>
        <stp>BDP|7368964814593811331</stp>
        <tr r="A369" s="2"/>
      </tp>
      <tp t="s">
        <v>#N/A Requesting Data...4046021712</v>
        <stp/>
        <stp>BDP|1880843940865106774</stp>
        <tr r="E2447" s="2"/>
      </tp>
      <tp t="s">
        <v>#N/A Requesting Data...1806946793</v>
        <stp/>
        <stp>BDP|8634794435695852683</stp>
        <tr r="F710" s="2"/>
      </tp>
      <tp t="s">
        <v>#N/A Requesting Data...3671906131</v>
        <stp/>
        <stp>BDP|2663981219615436094</stp>
        <tr r="T443" s="2"/>
      </tp>
      <tp t="s">
        <v>#N/A Requesting Data...2142377093</v>
        <stp/>
        <stp>BDP|6228791933718647546</stp>
        <tr r="S1992" s="2"/>
      </tp>
      <tp t="s">
        <v>#N/A Requesting Data...3828934640</v>
        <stp/>
        <stp>BDP|9934397858453318317</stp>
        <tr r="F2199" s="2"/>
      </tp>
      <tp t="s">
        <v>#N/A Requesting Data...1774607563</v>
        <stp/>
        <stp>BDP|1504651861698939622</stp>
        <tr r="H1639" s="2"/>
      </tp>
      <tp t="s">
        <v>#N/A Requesting Data...4155940382</v>
        <stp/>
        <stp>BDP|4677948823564256499</stp>
        <tr r="K2438" s="2"/>
      </tp>
      <tp t="s">
        <v>#N/A Requesting Data...1275801268</v>
        <stp/>
        <stp>BDP|6480405499596592227</stp>
        <tr r="G1644" s="2"/>
      </tp>
      <tp t="s">
        <v>#N/A Requesting Data...2328168843</v>
        <stp/>
        <stp>BDP|5023344088087371657</stp>
        <tr r="J2292" s="2"/>
      </tp>
      <tp t="s">
        <v>#N/A Requesting Data...1616528920</v>
        <stp/>
        <stp>BDP|8306750145152949603</stp>
        <tr r="M2247" s="2"/>
      </tp>
      <tp t="s">
        <v>#N/A Requesting Data...2500550660</v>
        <stp/>
        <stp>BDP|6750416768263104848</stp>
        <tr r="Q1523" s="2"/>
      </tp>
      <tp t="b">
        <v>0</v>
        <stp/>
        <stp>BDS|1569780027378968389</stp>
        <tr r="I1924" s="2"/>
      </tp>
      <tp t="s">
        <v>#N/A Requesting Data...1640650600</v>
        <stp/>
        <stp>BDP|4473142437900936956</stp>
        <tr r="H1214" s="2"/>
      </tp>
      <tp t="s">
        <v>#N/A Requesting Data...881000448</v>
        <stp/>
        <stp>BDP|8621882594303898593</stp>
        <tr r="M289" s="2"/>
      </tp>
      <tp t="s">
        <v>#N/A Requesting Data...3590245184</v>
        <stp/>
        <stp>BDP|4743899426918298914</stp>
        <tr r="G1549" s="2"/>
      </tp>
      <tp t="s">
        <v>#N/A Requesting Data...2965113589</v>
        <stp/>
        <stp>BDP|4819926943286396015</stp>
        <tr r="F2012" s="2"/>
      </tp>
      <tp t="s">
        <v>#N/A Requesting Data...3765423063</v>
        <stp/>
        <stp>BDP|8348218166642832170</stp>
        <tr r="N1437" s="2"/>
      </tp>
      <tp t="s">
        <v>#N/A Requesting Data...2951535549</v>
        <stp/>
        <stp>BDP|5383352797041321190</stp>
        <tr r="G2159" s="2"/>
      </tp>
      <tp t="s">
        <v>#N/A Requesting Data...3098467011</v>
        <stp/>
        <stp>BDP|9600176048022393117</stp>
        <tr r="Q1364" s="2"/>
      </tp>
      <tp t="s">
        <v>#N/A Requesting Data...998022580</v>
        <stp/>
        <stp>BDP|8097295665605773605</stp>
        <tr r="N2377" s="2"/>
      </tp>
      <tp t="s">
        <v>#N/A Requesting Data...3112571226</v>
        <stp/>
        <stp>BDP|7635387465304898986</stp>
        <tr r="H2325" s="2"/>
      </tp>
      <tp t="s">
        <v>#N/A Requesting Data...2139000409</v>
        <stp/>
        <stp>BDP|5675838582362421885</stp>
        <tr r="Q2455" s="2"/>
      </tp>
      <tp t="s">
        <v>#N/A Requesting Data...1593228198</v>
        <stp/>
        <stp>BDP|5979274325629974399</stp>
        <tr r="Q2055" s="2"/>
      </tp>
      <tp t="s">
        <v>#N/A Requesting Data...2398153753</v>
        <stp/>
        <stp>BDP|4526140641856914821</stp>
        <tr r="A2115" s="2"/>
      </tp>
      <tp t="s">
        <v>#N/A Requesting Data...3376044859</v>
        <stp/>
        <stp>BDP|4544853516630993242</stp>
        <tr r="R332" s="2"/>
      </tp>
      <tp t="s">
        <v>#N/A Requesting Data...3194087670</v>
        <stp/>
        <stp>BDP|2855246002578741728</stp>
        <tr r="T1691" s="2"/>
      </tp>
      <tp t="s">
        <v>#N/A Requesting Data...2009327926</v>
        <stp/>
        <stp>BDP|6222586847808575031</stp>
        <tr r="E371" s="2"/>
      </tp>
      <tp t="s">
        <v>#N/A Requesting Data...4065161382</v>
        <stp/>
        <stp>BDP|3291926425081654680</stp>
        <tr r="R2428" s="2"/>
      </tp>
      <tp t="s">
        <v>#N/A Requesting Data...3905938036</v>
        <stp/>
        <stp>BDP|9273365002420834558</stp>
        <tr r="K2204" s="2"/>
      </tp>
      <tp t="s">
        <v>#N/A Requesting Data...4150754930</v>
        <stp/>
        <stp>BDP|9445041111221283682</stp>
        <tr r="P2077" s="2"/>
      </tp>
      <tp t="s">
        <v>#N/A Requesting Data...1419459393</v>
        <stp/>
        <stp>BDP|4683171428308131034</stp>
        <tr r="F1361" s="2"/>
      </tp>
      <tp t="s">
        <v>#N/A Requesting Data...2453894064</v>
        <stp/>
        <stp>BDP|1189871783659806762</stp>
        <tr r="K236" s="2"/>
      </tp>
      <tp t="s">
        <v>#N/A Requesting Data...3481300148</v>
        <stp/>
        <stp>BDP|4266656055881976902</stp>
        <tr r="M2339" s="2"/>
      </tp>
      <tp t="s">
        <v>#N/A Requesting Data...2027830439</v>
        <stp/>
        <stp>BDP|9728697166000681650</stp>
        <tr r="F819" s="2"/>
      </tp>
      <tp t="s">
        <v>#N/A Requesting Data...2217105580</v>
        <stp/>
        <stp>BDP|1538105202909817642</stp>
        <tr r="M828" s="2"/>
      </tp>
      <tp t="s">
        <v>#N/A Requesting Data...3048649094</v>
        <stp/>
        <stp>BDP|9538438508460634230</stp>
        <tr r="T1249" s="2"/>
      </tp>
      <tp t="s">
        <v>#N/A Requesting Data...2687599959</v>
        <stp/>
        <stp>BDP|7428294042859134751</stp>
        <tr r="E531" s="2"/>
      </tp>
      <tp t="s">
        <v>#N/A Requesting Data...1848554744</v>
        <stp/>
        <stp>BDP|6187709798906024125</stp>
        <tr r="M723" s="2"/>
      </tp>
      <tp t="s">
        <v>#N/A Requesting Data...2133298381</v>
        <stp/>
        <stp>BDP|6971920035253320068</stp>
        <tr r="E1859" s="2"/>
      </tp>
      <tp t="s">
        <v>#N/A Requesting Data...1722938657</v>
        <stp/>
        <stp>BDP|9795201017403940627</stp>
        <tr r="R2215" s="2"/>
      </tp>
      <tp t="s">
        <v>#N/A Requesting Data...2188616632</v>
        <stp/>
        <stp>BDP|5266896028983019387</stp>
        <tr r="G165" s="2"/>
      </tp>
      <tp t="s">
        <v>#N/A Requesting Data...2247038033</v>
        <stp/>
        <stp>BDP|2664593157434677959</stp>
        <tr r="H746" s="2"/>
      </tp>
      <tp t="s">
        <v>#N/A Requesting Data...2554708008</v>
        <stp/>
        <stp>BDP|8654266858855308504</stp>
        <tr r="J1686" s="2"/>
      </tp>
      <tp t="s">
        <v>#N/A Requesting Data...1275882036</v>
        <stp/>
        <stp>BDP|8858307770087598464</stp>
        <tr r="D687" s="2"/>
      </tp>
      <tp t="s">
        <v>#N/A Requesting Data...2645258170</v>
        <stp/>
        <stp>BDP|3183253678501705800</stp>
        <tr r="K1721" s="2"/>
      </tp>
      <tp t="s">
        <v>#N/A Requesting Data...3092418227</v>
        <stp/>
        <stp>BDP|3531558989716238701</stp>
        <tr r="S1829" s="2"/>
      </tp>
      <tp t="b">
        <v>0</v>
        <stp/>
        <stp>BDS|8798390344168750860</stp>
        <tr r="I1247" s="2"/>
      </tp>
      <tp t="s">
        <v>#N/A Requesting Data...2838523567</v>
        <stp/>
        <stp>BDP|4845238589977189683</stp>
        <tr r="E512" s="2"/>
      </tp>
      <tp t="s">
        <v>#N/A Requesting Data...2512480266</v>
        <stp/>
        <stp>BDP|9299654609691708125</stp>
        <tr r="R115" s="2"/>
      </tp>
      <tp t="s">
        <v>#N/A Requesting Data...1244780923</v>
        <stp/>
        <stp>BDP|8278390065457561504</stp>
        <tr r="A2373" s="2"/>
      </tp>
      <tp t="s">
        <v>#N/A Requesting Data...2380520911</v>
        <stp/>
        <stp>BDP|1361784266229039662</stp>
        <tr r="A552" s="2"/>
      </tp>
      <tp t="s">
        <v>#N/A Requesting Data...2823769654</v>
        <stp/>
        <stp>BDP|4691387539862946952</stp>
        <tr r="C2501" s="2"/>
      </tp>
      <tp t="s">
        <v>#N/A Requesting Data...2330509616</v>
        <stp/>
        <stp>BDP|3544155564322745986</stp>
        <tr r="E1711" s="2"/>
      </tp>
      <tp t="s">
        <v>#N/A Requesting Data...4151299039</v>
        <stp/>
        <stp>BDP|6321853842636654392</stp>
        <tr r="O1269" s="2"/>
      </tp>
      <tp t="s">
        <v>#N/A Requesting Data...4008652050</v>
        <stp/>
        <stp>BDP|7604532892471525594</stp>
        <tr r="F551" s="2"/>
      </tp>
      <tp t="s">
        <v>#N/A Requesting Data...3743449135</v>
        <stp/>
        <stp>BDP|9420297022597797139</stp>
        <tr r="H739" s="2"/>
      </tp>
      <tp t="s">
        <v>#N/A Requesting Data...1126998263</v>
        <stp/>
        <stp>BDP|6848332188390168293</stp>
        <tr r="H1599" s="2"/>
      </tp>
      <tp t="s">
        <v>#N/A Requesting Data...3724824068</v>
        <stp/>
        <stp>BDP|5452390450789325550</stp>
        <tr r="M1752" s="2"/>
      </tp>
      <tp t="s">
        <v>#N/A Requesting Data...1718258166</v>
        <stp/>
        <stp>BDP|2883560183971032161</stp>
        <tr r="E2007" s="2"/>
      </tp>
      <tp t="s">
        <v>#N/A Requesting Data...3872838038</v>
        <stp/>
        <stp>BDP|8169605959251572565</stp>
        <tr r="M846" s="2"/>
      </tp>
      <tp t="s">
        <v>#N/A Requesting Data...1293685832</v>
        <stp/>
        <stp>BDP|9452981486121755663</stp>
        <tr r="A1349" s="2"/>
      </tp>
      <tp t="s">
        <v>#N/A Requesting Data...3397811802</v>
        <stp/>
        <stp>BDP|6514571832599228694</stp>
        <tr r="J1199" s="2"/>
      </tp>
      <tp t="s">
        <v>#N/A Requesting Data...3014091599</v>
        <stp/>
        <stp>BDP|7006799894517192176</stp>
        <tr r="N1461" s="2"/>
      </tp>
      <tp t="s">
        <v>#N/A Requesting Data...2888098596</v>
        <stp/>
        <stp>BDP|5483329103691710895</stp>
        <tr r="K1941" s="2"/>
      </tp>
      <tp t="s">
        <v>#N/A Requesting Data...1171620439</v>
        <stp/>
        <stp>BDP|1031721298057462756</stp>
        <tr r="T998" s="2"/>
      </tp>
      <tp t="s">
        <v>#N/A Requesting Data...3092736885</v>
        <stp/>
        <stp>BDP|8275555831696964740</stp>
        <tr r="G1883" s="2"/>
      </tp>
      <tp t="b">
        <v>0</v>
        <stp/>
        <stp>BDS|4617205843339932475</stp>
        <tr r="I1300" s="2"/>
      </tp>
      <tp t="s">
        <v>#N/A Requesting Data...2213908513</v>
        <stp/>
        <stp>BDP|9125679184659069199</stp>
        <tr r="H1555" s="2"/>
      </tp>
      <tp t="s">
        <v>#N/A Requesting Data...2187160601</v>
        <stp/>
        <stp>BDP|5274940806186862535</stp>
        <tr r="J322" s="2"/>
      </tp>
      <tp t="s">
        <v>#N/A Requesting Data...3555499277</v>
        <stp/>
        <stp>BDP|9023178484898018786</stp>
        <tr r="G2154" s="2"/>
      </tp>
      <tp t="s">
        <v>#N/A Requesting Data...4233780455</v>
        <stp/>
        <stp>BDP|8462770837194644796</stp>
        <tr r="G78" s="2"/>
      </tp>
      <tp t="s">
        <v>#N/A Requesting Data...3443505499</v>
        <stp/>
        <stp>BDP|6529497393393403703</stp>
        <tr r="D1025" s="2"/>
      </tp>
      <tp t="s">
        <v>#N/A Requesting Data...1228051442</v>
        <stp/>
        <stp>BDP|7867965685480679965</stp>
        <tr r="J221" s="2"/>
      </tp>
      <tp t="s">
        <v>#N/A Requesting Data...1653550955</v>
        <stp/>
        <stp>BDP|9279041994327852815</stp>
        <tr r="O2195" s="2"/>
      </tp>
      <tp t="s">
        <v>#N/A Requesting Data...3083836610</v>
        <stp/>
        <stp>BDP|3334676099412317155</stp>
        <tr r="T1916" s="2"/>
      </tp>
      <tp t="s">
        <v>#N/A Requesting Data...2158504130</v>
        <stp/>
        <stp>BDP|7937359670568188462</stp>
        <tr r="D1871" s="2"/>
      </tp>
      <tp t="s">
        <v>#N/A Requesting Data...1162322875</v>
        <stp/>
        <stp>BDP|9713366743605960403</stp>
        <tr r="S1042" s="2"/>
      </tp>
      <tp t="s">
        <v>#N/A Requesting Data...3625816736</v>
        <stp/>
        <stp>BDP|9875409676546173348</stp>
        <tr r="G57" s="2"/>
      </tp>
      <tp t="s">
        <v>#N/A Requesting Data...2777778897</v>
        <stp/>
        <stp>BDP|5821766786405063032</stp>
        <tr r="M1160" s="2"/>
      </tp>
      <tp t="s">
        <v>#N/A Requesting Data...1439496507</v>
        <stp/>
        <stp>BDP|1918271095706548357</stp>
        <tr r="Q1767" s="2"/>
      </tp>
      <tp t="s">
        <v>#N/A Requesting Data...3791656327</v>
        <stp/>
        <stp>BDP|7821275791140053357</stp>
        <tr r="O305" s="2"/>
      </tp>
      <tp t="s">
        <v>#N/A Requesting Data...3736135585</v>
        <stp/>
        <stp>BDP|9556188423671374468</stp>
        <tr r="N2073" s="2"/>
      </tp>
      <tp t="s">
        <v>#N/A Requesting Data...3773260282</v>
        <stp/>
        <stp>BDP|3493721967905917834</stp>
        <tr r="D385" s="2"/>
      </tp>
      <tp t="s">
        <v>#N/A Requesting Data...2960760315</v>
        <stp/>
        <stp>BDP|1358634315228927175</stp>
        <tr r="T3" s="2"/>
      </tp>
      <tp t="s">
        <v>#N/A Requesting Data...1594964343</v>
        <stp/>
        <stp>BDP|3853616688993962138</stp>
        <tr r="F1677" s="2"/>
      </tp>
      <tp t="s">
        <v>#N/A Requesting Data...2707007153</v>
        <stp/>
        <stp>BDP|5847300077766107854</stp>
        <tr r="C1684" s="2"/>
      </tp>
      <tp t="s">
        <v>#N/A Requesting Data...2988580929</v>
        <stp/>
        <stp>BDP|3634600240759413792</stp>
        <tr r="F1587" s="2"/>
      </tp>
      <tp t="s">
        <v>#N/A Requesting Data...4118829069</v>
        <stp/>
        <stp>BDP|8545314210536776385</stp>
        <tr r="Q1738" s="2"/>
      </tp>
      <tp t="s">
        <v>#N/A Requesting Data...2397416712</v>
        <stp/>
        <stp>BDP|6324639877949937156</stp>
        <tr r="H1794" s="2"/>
      </tp>
      <tp t="s">
        <v>#N/A Requesting Data...3187473620</v>
        <stp/>
        <stp>BDP|3567337306647397888</stp>
        <tr r="F24" s="2"/>
      </tp>
      <tp t="s">
        <v>#N/A Requesting Data...3521850204</v>
        <stp/>
        <stp>BDP|9650374908371329416</stp>
        <tr r="C2292" s="2"/>
      </tp>
      <tp t="s">
        <v>#N/A Requesting Data...2833559599</v>
        <stp/>
        <stp>BDP|8865122820333134702</stp>
        <tr r="S2443" s="2"/>
      </tp>
      <tp t="s">
        <v>#N/A Requesting Data...1710423770</v>
        <stp/>
        <stp>BDP|4288880503902909188</stp>
        <tr r="H1506" s="2"/>
      </tp>
      <tp t="s">
        <v>#N/A Requesting Data...2571666207</v>
        <stp/>
        <stp>BDP|7268842018782685302</stp>
        <tr r="M850" s="2"/>
      </tp>
      <tp t="s">
        <v>#N/A Requesting Data...3774466712</v>
        <stp/>
        <stp>BDP|3147298270629350036</stp>
        <tr r="H733" s="2"/>
      </tp>
      <tp t="s">
        <v>#N/A Requesting Data...2082977083</v>
        <stp/>
        <stp>BDP|6381180042139335523</stp>
        <tr r="M439" s="2"/>
      </tp>
      <tp t="s">
        <v>#N/A Requesting Data...1964331616</v>
        <stp/>
        <stp>BDP|9884067187269902784</stp>
        <tr r="K277" s="2"/>
      </tp>
      <tp t="s">
        <v>#N/A Requesting Data...3340518265</v>
        <stp/>
        <stp>BDP|2791936237693967426</stp>
        <tr r="Q1988" s="2"/>
      </tp>
      <tp t="s">
        <v>#N/A Requesting Data...3145067016</v>
        <stp/>
        <stp>BDP|5258932690989861310</stp>
        <tr r="C1565" s="2"/>
      </tp>
      <tp t="s">
        <v>#N/A Requesting Data...3338840041</v>
        <stp/>
        <stp>BDP|8390090147261015252</stp>
        <tr r="S1751" s="2"/>
      </tp>
      <tp t="s">
        <v>#N/A Requesting Data...3235572680</v>
        <stp/>
        <stp>BDP|9146582677610780413</stp>
        <tr r="A282" s="2"/>
      </tp>
      <tp t="s">
        <v>#N/A Requesting Data...3983139936</v>
        <stp/>
        <stp>BDP|4755182585891543370</stp>
        <tr r="A1224" s="2"/>
      </tp>
      <tp t="s">
        <v>#N/A Requesting Data...3862415192</v>
        <stp/>
        <stp>BDP|6864661118297868969</stp>
        <tr r="G19" s="2"/>
      </tp>
      <tp t="s">
        <v>#N/A Requesting Data...2460325136</v>
        <stp/>
        <stp>BDP|4531973759497379009</stp>
        <tr r="G416" s="2"/>
      </tp>
      <tp t="s">
        <v>#N/A Requesting Data...2599835595</v>
        <stp/>
        <stp>BDP|7061644243802961866</stp>
        <tr r="A45" s="2"/>
      </tp>
      <tp t="s">
        <v>#N/A Requesting Data...1939700525</v>
        <stp/>
        <stp>BDP|8956402509005981615</stp>
        <tr r="A439" s="2"/>
      </tp>
      <tp t="s">
        <v>#N/A Requesting Data...1722174770</v>
        <stp/>
        <stp>BDP|7716087763058549618</stp>
        <tr r="F124" s="2"/>
      </tp>
      <tp t="s">
        <v>#N/A Requesting Data...3105735031</v>
        <stp/>
        <stp>BDP|9374766754957839311</stp>
        <tr r="G1975" s="2"/>
      </tp>
      <tp t="s">
        <v>#N/A Requesting Data...3370389239</v>
        <stp/>
        <stp>BDP|4022410347882891969</stp>
        <tr r="E2275" s="2"/>
      </tp>
      <tp t="s">
        <v>#N/A Requesting Data...2182393141</v>
        <stp/>
        <stp>BDP|1547434578898511533</stp>
        <tr r="H870" s="2"/>
      </tp>
      <tp t="s">
        <v>#N/A Requesting Data...3280489982</v>
        <stp/>
        <stp>BDP|4035325808830249807</stp>
        <tr r="D632" s="2"/>
      </tp>
      <tp t="s">
        <v>#N/A Requesting Data...1451446471</v>
        <stp/>
        <stp>BDP|5805179777234726874</stp>
        <tr r="M1563" s="2"/>
      </tp>
      <tp t="s">
        <v>#N/A Requesting Data...1968330894</v>
        <stp/>
        <stp>BDP|6281560648249172150</stp>
        <tr r="S790" s="2"/>
      </tp>
      <tp t="s">
        <v>#N/A Requesting Data...1865392592</v>
        <stp/>
        <stp>BDP|1964738426518042342</stp>
        <tr r="H1999" s="2"/>
      </tp>
      <tp t="s">
        <v>#N/A Requesting Data...2309488615</v>
        <stp/>
        <stp>BDP|1361808173441139094</stp>
        <tr r="J2194" s="2"/>
      </tp>
      <tp t="s">
        <v>#N/A Requesting Data...3607294719</v>
        <stp/>
        <stp>BDP|6961810207878133961</stp>
        <tr r="J301" s="2"/>
      </tp>
      <tp t="s">
        <v>#N/A Requesting Data...2518728827</v>
        <stp/>
        <stp>BDP|6402266230178839028</stp>
        <tr r="D1724" s="2"/>
      </tp>
      <tp t="s">
        <v>#N/A Requesting Data...1596134057</v>
        <stp/>
        <stp>BDP|2909637780611450268</stp>
        <tr r="S1364" s="2"/>
      </tp>
      <tp t="s">
        <v>#N/A Requesting Data...2041410107</v>
        <stp/>
        <stp>BDP|9881976280601655612</stp>
        <tr r="S2260" s="2"/>
      </tp>
      <tp t="s">
        <v>#N/A Requesting Data...1953223216</v>
        <stp/>
        <stp>BDP|7494573709748367514</stp>
        <tr r="D939" s="2"/>
      </tp>
      <tp t="s">
        <v>#N/A Requesting Data...2030106667</v>
        <stp/>
        <stp>BDP|8054699351510812486</stp>
        <tr r="R267" s="2"/>
      </tp>
      <tp t="s">
        <v>#N/A Requesting Data...2034790559</v>
        <stp/>
        <stp>BDP|9490176562055014490</stp>
        <tr r="H709" s="2"/>
      </tp>
      <tp t="s">
        <v>#N/A Requesting Data...1438046121</v>
        <stp/>
        <stp>BDP|1324318388755557076</stp>
        <tr r="Q1984" s="2"/>
      </tp>
      <tp t="s">
        <v>#N/A Requesting Data...2864644545</v>
        <stp/>
        <stp>BDP|8147154036160860529</stp>
        <tr r="M2190" s="2"/>
      </tp>
      <tp t="s">
        <v>#N/A Requesting Data...4104781840</v>
        <stp/>
        <stp>BDP|2960988310093854615</stp>
        <tr r="N1021" s="2"/>
      </tp>
      <tp t="s">
        <v>#N/A Requesting Data...3071488048</v>
        <stp/>
        <stp>BDP|8326879311586527882</stp>
        <tr r="G870" s="2"/>
      </tp>
      <tp t="s">
        <v>#N/A Requesting Data...1331149401</v>
        <stp/>
        <stp>BDP|5768048349029592779</stp>
        <tr r="G2305" s="2"/>
      </tp>
      <tp t="s">
        <v>#N/A Requesting Data...3403328279</v>
        <stp/>
        <stp>BDP|8052000033626376285</stp>
        <tr r="M142" s="2"/>
      </tp>
      <tp t="s">
        <v>#N/A Requesting Data...4053320731</v>
        <stp/>
        <stp>BDP|7196183267876004963</stp>
        <tr r="P1447" s="2"/>
      </tp>
      <tp t="s">
        <v>#N/A Requesting Data...3216788847</v>
        <stp/>
        <stp>BDP|9266508163356095395</stp>
        <tr r="A2515" s="2"/>
      </tp>
      <tp t="s">
        <v>#N/A Requesting Data...2123750752</v>
        <stp/>
        <stp>BDP|6631405272782899849</stp>
        <tr r="G2119" s="2"/>
      </tp>
      <tp t="s">
        <v>#N/A Requesting Data...2608708247</v>
        <stp/>
        <stp>BDP|6848912842830781447</stp>
        <tr r="P32" s="2"/>
      </tp>
      <tp t="s">
        <v>#N/A Requesting Data...2004290051</v>
        <stp/>
        <stp>BDP|6627035386422272394</stp>
        <tr r="M849" s="2"/>
      </tp>
      <tp t="s">
        <v>#N/A Requesting Data...1286920607</v>
        <stp/>
        <stp>BDP|8461413979373059743</stp>
        <tr r="M455" s="2"/>
      </tp>
      <tp t="s">
        <v>#N/A Requesting Data...2525998227</v>
        <stp/>
        <stp>BDP|3912451340954203869</stp>
        <tr r="M1128" s="2"/>
      </tp>
      <tp t="s">
        <v>#N/A Requesting Data...2223331171</v>
        <stp/>
        <stp>BDP|5651668649879442151</stp>
        <tr r="N2" s="2"/>
      </tp>
      <tp t="s">
        <v>#N/A Requesting Data...3538296551</v>
        <stp/>
        <stp>BDP|1514497192576101573</stp>
        <tr r="T1232" s="2"/>
      </tp>
      <tp t="s">
        <v>#N/A Requesting Data...2644361825</v>
        <stp/>
        <stp>BDP|1650777398451655173</stp>
        <tr r="Q1548" s="2"/>
      </tp>
      <tp t="s">
        <v>#N/A Requesting Data...4160326248</v>
        <stp/>
        <stp>BDP|8600381867617944583</stp>
        <tr r="O1362" s="2"/>
      </tp>
      <tp t="s">
        <v>#N/A Requesting Data...1405746954</v>
        <stp/>
        <stp>BDP|3427413854334903902</stp>
        <tr r="F1258" s="2"/>
      </tp>
      <tp t="s">
        <v>#N/A Requesting Data...1463183241</v>
        <stp/>
        <stp>BDP|3548634118298734312</stp>
        <tr r="H1441" s="2"/>
      </tp>
      <tp t="s">
        <v>#N/A Requesting Data...3924309377</v>
        <stp/>
        <stp>BDP|7140183478809040798</stp>
        <tr r="S2371" s="2"/>
      </tp>
      <tp t="s">
        <v>#N/A Requesting Data...2902352647</v>
        <stp/>
        <stp>BDP|2393468439272642824</stp>
        <tr r="K2189" s="2"/>
      </tp>
      <tp t="s">
        <v>#N/A Requesting Data...1663143050</v>
        <stp/>
        <stp>BDP|3827127003754551944</stp>
        <tr r="M314" s="2"/>
      </tp>
      <tp t="s">
        <v>#N/A Requesting Data...1681488033</v>
        <stp/>
        <stp>BDP|7863737551539626345</stp>
        <tr r="S2120" s="2"/>
      </tp>
      <tp t="s">
        <v>#N/A Requesting Data...3517442103</v>
        <stp/>
        <stp>BDP|1955914031006119203</stp>
        <tr r="R385" s="2"/>
      </tp>
      <tp t="s">
        <v>#N/A Requesting Data...2325819879</v>
        <stp/>
        <stp>BDP|8982560104887274514</stp>
        <tr r="C564" s="2"/>
      </tp>
      <tp t="s">
        <v>#N/A Requesting Data...3487066431</v>
        <stp/>
        <stp>BDP|5993735191552090632</stp>
        <tr r="R2074" s="2"/>
      </tp>
      <tp t="s">
        <v>#N/A Requesting Data...1475065668</v>
        <stp/>
        <stp>BDP|7826637000176111827</stp>
        <tr r="Q2222" s="2"/>
      </tp>
      <tp t="s">
        <v>#N/A Requesting Data...4223777182</v>
        <stp/>
        <stp>BDP|4653522164500899809</stp>
        <tr r="Q348" s="2"/>
      </tp>
      <tp t="s">
        <v>#N/A Requesting Data...3152541098</v>
        <stp/>
        <stp>BDP|9420670392618977106</stp>
        <tr r="T1398" s="2"/>
      </tp>
      <tp t="s">
        <v>#N/A Requesting Data...1536048517</v>
        <stp/>
        <stp>BDP|1330981531443477764</stp>
        <tr r="H2443" s="2"/>
      </tp>
      <tp t="s">
        <v>#N/A Requesting Data...3337898240</v>
        <stp/>
        <stp>BDP|4913477357562067810</stp>
        <tr r="A1230" s="2"/>
      </tp>
      <tp t="s">
        <v>#N/A Requesting Data...2470363227</v>
        <stp/>
        <stp>BDP|5871284512109800026</stp>
        <tr r="H1895" s="2"/>
      </tp>
      <tp t="s">
        <v>#N/A Requesting Data...2933307871</v>
        <stp/>
        <stp>BDP|5014109349536102909</stp>
        <tr r="K310" s="2"/>
      </tp>
      <tp t="s">
        <v>#N/A Requesting Data...2096504334</v>
        <stp/>
        <stp>BDP|8739072459823888195</stp>
        <tr r="J37" s="2"/>
      </tp>
      <tp t="s">
        <v>#N/A Requesting Data...1931362202</v>
        <stp/>
        <stp>BDP|1723062780466171087</stp>
        <tr r="T533" s="2"/>
      </tp>
      <tp t="s">
        <v>#N/A Requesting Data...2719228919</v>
        <stp/>
        <stp>BDP|1452959160163837218</stp>
        <tr r="C1224" s="2"/>
      </tp>
      <tp t="s">
        <v>#N/A Requesting Data...1472687029</v>
        <stp/>
        <stp>BDP|3664292883840524618</stp>
        <tr r="G177" s="2"/>
      </tp>
      <tp t="s">
        <v>#N/A Requesting Data...3700451755</v>
        <stp/>
        <stp>BDP|7533945965031964656</stp>
        <tr r="O713" s="2"/>
      </tp>
      <tp t="s">
        <v>#N/A Requesting Data...2768661523</v>
        <stp/>
        <stp>BDP|4713550833378064592</stp>
        <tr r="C1289" s="2"/>
      </tp>
      <tp t="s">
        <v>#N/A Requesting Data...2274725795</v>
        <stp/>
        <stp>BDP|9251997852028751261</stp>
        <tr r="F2401" s="2"/>
      </tp>
      <tp t="s">
        <v>#N/A Requesting Data...4223152569</v>
        <stp/>
        <stp>BDP|4783313241759837566</stp>
        <tr r="D2325" s="2"/>
      </tp>
      <tp t="s">
        <v>#N/A Requesting Data...3201760657</v>
        <stp/>
        <stp>BDP|4067468298314638217</stp>
        <tr r="S2049" s="2"/>
      </tp>
      <tp t="s">
        <v>#N/A Requesting Data...2268392319</v>
        <stp/>
        <stp>BDP|3626482183083490300</stp>
        <tr r="M14" s="2"/>
      </tp>
      <tp t="s">
        <v>#N/A Requesting Data...4142631262</v>
        <stp/>
        <stp>BDP|6501087081420539109</stp>
        <tr r="M1022" s="2"/>
      </tp>
      <tp t="s">
        <v>#N/A Requesting Data...1626466404</v>
        <stp/>
        <stp>BDP|7661058416080466981</stp>
        <tr r="R456" s="2"/>
      </tp>
      <tp t="b">
        <v>0</v>
        <stp/>
        <stp>BDS|8638505825507210789</stp>
        <tr r="I1036" s="2"/>
      </tp>
      <tp t="s">
        <v>#N/A Requesting Data...2881711822</v>
        <stp/>
        <stp>BDP|2183741509642543803</stp>
        <tr r="K1435" s="2"/>
      </tp>
      <tp t="s">
        <v>#N/A Requesting Data...1491134873</v>
        <stp/>
        <stp>BDP|4770257600971848835</stp>
        <tr r="T53" s="2"/>
      </tp>
      <tp t="s">
        <v>#N/A Requesting Data...2359413856</v>
        <stp/>
        <stp>BDP|1018998780949500658</stp>
        <tr r="K203" s="2"/>
      </tp>
      <tp t="s">
        <v>#N/A Requesting Data...1618028507</v>
        <stp/>
        <stp>BDP|9217203208991658555</stp>
        <tr r="M1458" s="2"/>
      </tp>
      <tp t="s">
        <v>#N/A Requesting Data...2127365448</v>
        <stp/>
        <stp>BDP|9769447961775892134</stp>
        <tr r="P282" s="2"/>
      </tp>
      <tp t="b">
        <v>0</v>
        <stp/>
        <stp>BDS|1387582774308747415</stp>
        <tr r="I130" s="2"/>
      </tp>
      <tp t="s">
        <v>#N/A Requesting Data...2207837329</v>
        <stp/>
        <stp>BDP|8882692214475877542</stp>
        <tr r="T1565" s="2"/>
      </tp>
      <tp t="s">
        <v>#N/A Requesting Data...3609486974</v>
        <stp/>
        <stp>BDP|7648671648563836988</stp>
        <tr r="N1748" s="2"/>
      </tp>
      <tp t="s">
        <v>#N/A Requesting Data...3012318452</v>
        <stp/>
        <stp>BDP|6269455886504099184</stp>
        <tr r="D2142" s="2"/>
      </tp>
      <tp t="s">
        <v>#N/A Requesting Data...2714019819</v>
        <stp/>
        <stp>BDP|3502824174806819526</stp>
        <tr r="O2486" s="2"/>
      </tp>
      <tp t="s">
        <v>#N/A Requesting Data...2966716972</v>
        <stp/>
        <stp>BDP|7606881836922229130</stp>
        <tr r="K1876" s="2"/>
      </tp>
      <tp t="s">
        <v>#N/A Requesting Data...1571893105</v>
        <stp/>
        <stp>BDP|5637863514535991646</stp>
        <tr r="P238" s="2"/>
      </tp>
      <tp t="s">
        <v>#N/A Requesting Data...2481381038</v>
        <stp/>
        <stp>BDP|6574671131028346498</stp>
        <tr r="T2265" s="2"/>
      </tp>
      <tp t="s">
        <v>#N/A Requesting Data...3345800353</v>
        <stp/>
        <stp>BDP|4680776522347933934</stp>
        <tr r="Q818" s="2"/>
      </tp>
      <tp t="s">
        <v>#N/A Requesting Data...1400560485</v>
        <stp/>
        <stp>BDP|3152505259114244838</stp>
        <tr r="S1738" s="2"/>
      </tp>
      <tp t="s">
        <v>#N/A Requesting Data...2259740070</v>
        <stp/>
        <stp>BDP|4652094772224792837</stp>
        <tr r="R802" s="2"/>
      </tp>
      <tp t="s">
        <v>#N/A Requesting Data...1643070206</v>
        <stp/>
        <stp>BDP|8890873209327637897</stp>
        <tr r="O38" s="2"/>
      </tp>
      <tp t="s">
        <v>#N/A Requesting Data...2925874249</v>
        <stp/>
        <stp>BDP|2801527287587166759</stp>
        <tr r="O1191" s="2"/>
      </tp>
      <tp t="s">
        <v>#N/A Requesting Data...2992889739</v>
        <stp/>
        <stp>BDP|8887616804235515410</stp>
        <tr r="P784" s="2"/>
      </tp>
      <tp t="s">
        <v>#N/A Requesting Data...1865002074</v>
        <stp/>
        <stp>BDP|9909180359250295236</stp>
        <tr r="D922" s="2"/>
      </tp>
      <tp t="s">
        <v>#N/A Requesting Data...1745373623</v>
        <stp/>
        <stp>BDP|7995562083782536702</stp>
        <tr r="K2009" s="2"/>
      </tp>
      <tp t="b">
        <v>0</v>
        <stp/>
        <stp>BDS|1718272588275061119</stp>
        <tr r="I1467" s="2"/>
      </tp>
      <tp t="s">
        <v>#N/A Requesting Data...3019166414</v>
        <stp/>
        <stp>BDP|3818208453463677846</stp>
        <tr r="F1118" s="2"/>
      </tp>
      <tp t="b">
        <v>0</v>
        <stp/>
        <stp>BDS|6041159034098030381</stp>
        <tr r="I163" s="2"/>
      </tp>
      <tp t="s">
        <v>#N/A Requesting Data...2416853192</v>
        <stp/>
        <stp>BDP|6551621432665446989</stp>
        <tr r="J1014" s="2"/>
      </tp>
      <tp t="b">
        <v>0</v>
        <stp/>
        <stp>BDS|4390422686416744197</stp>
        <tr r="I2199" s="2"/>
      </tp>
      <tp t="s">
        <v>#N/A Requesting Data...3980359126</v>
        <stp/>
        <stp>BDP|8994471339019969971</stp>
        <tr r="H1804" s="2"/>
      </tp>
      <tp t="s">
        <v>#N/A Requesting Data...2899231467</v>
        <stp/>
        <stp>BDP|3902616191906146515</stp>
        <tr r="G857" s="2"/>
      </tp>
      <tp t="s">
        <v>#N/A Requesting Data...1592183007</v>
        <stp/>
        <stp>BDP|7532593465548535358</stp>
        <tr r="M256" s="2"/>
      </tp>
      <tp t="s">
        <v>#N/A Requesting Data...2859407572</v>
        <stp/>
        <stp>BDP|4640590287083136509</stp>
        <tr r="K1207" s="2"/>
      </tp>
      <tp t="s">
        <v>#N/A Requesting Data...3203032069</v>
        <stp/>
        <stp>BDP|7380867788951176950</stp>
        <tr r="O1700" s="2"/>
      </tp>
      <tp t="s">
        <v>#N/A Requesting Data...3009943506</v>
        <stp/>
        <stp>BDP|6340616110586879831</stp>
        <tr r="D1578" s="2"/>
      </tp>
      <tp t="s">
        <v>#N/A Requesting Data...3870507932</v>
        <stp/>
        <stp>BDP|5793892280649057379</stp>
        <tr r="H342" s="2"/>
      </tp>
      <tp t="s">
        <v>#N/A Requesting Data...2423032232</v>
        <stp/>
        <stp>BDP|2717730212778801377</stp>
        <tr r="S51" s="2"/>
      </tp>
      <tp t="s">
        <v>#N/A Requesting Data...1674227971</v>
        <stp/>
        <stp>BDP|5608879743713897536</stp>
        <tr r="P1158" s="2"/>
      </tp>
      <tp t="s">
        <v>#N/A Requesting Data...1570210254</v>
        <stp/>
        <stp>BDP|9988748210055296569</stp>
        <tr r="D78" s="2"/>
      </tp>
      <tp t="s">
        <v>#N/A Requesting Data...3421863648</v>
        <stp/>
        <stp>BDP|6023887290808086016</stp>
        <tr r="O961" s="2"/>
      </tp>
      <tp t="s">
        <v>#N/A Requesting Data...2553989048</v>
        <stp/>
        <stp>BDP|3497862564120788281</stp>
        <tr r="C1942" s="2"/>
      </tp>
      <tp t="b">
        <v>0</v>
        <stp/>
        <stp>BDS|2047217487791972663</stp>
        <tr r="I1111" s="2"/>
      </tp>
      <tp t="s">
        <v>#N/A Requesting Data...1969470399</v>
        <stp/>
        <stp>BDP|2191771478198435539</stp>
        <tr r="M2265" s="2"/>
      </tp>
      <tp t="s">
        <v>#N/A Requesting Data...2368503431</v>
        <stp/>
        <stp>BDP|4922890240584901304</stp>
        <tr r="J1961" s="2"/>
      </tp>
      <tp t="s">
        <v>#N/A Requesting Data...1577151258</v>
        <stp/>
        <stp>BDP|9697114289926143962</stp>
        <tr r="Q2126" s="2"/>
      </tp>
      <tp t="s">
        <v>#N/A Requesting Data...2167434901</v>
        <stp/>
        <stp>BDP|1939903121277903280</stp>
        <tr r="K2129" s="2"/>
      </tp>
      <tp t="s">
        <v>#N/A Requesting Data...2262917251</v>
        <stp/>
        <stp>BDP|4441812765881992405</stp>
        <tr r="Q488" s="2"/>
      </tp>
      <tp t="s">
        <v>#N/A Requesting Data...4084692626</v>
        <stp/>
        <stp>BDP|2096866318735799103</stp>
        <tr r="S1628" s="2"/>
      </tp>
      <tp t="s">
        <v>#N/A Requesting Data...3642281284</v>
        <stp/>
        <stp>BDP|8622809340998727382</stp>
        <tr r="A678" s="2"/>
      </tp>
      <tp t="s">
        <v>#N/A Requesting Data...4270883169</v>
        <stp/>
        <stp>BDP|4748240698675181538</stp>
        <tr r="N2163" s="2"/>
      </tp>
      <tp t="s">
        <v>#N/A Requesting Data...3094505068</v>
        <stp/>
        <stp>BDP|8478821261308610186</stp>
        <tr r="H1240" s="2"/>
      </tp>
      <tp t="b">
        <v>0</v>
        <stp/>
        <stp>BDS|3577382994304054202</stp>
        <tr r="I1236" s="2"/>
      </tp>
      <tp t="s">
        <v>#N/A Requesting Data...3120925375</v>
        <stp/>
        <stp>BDP|7572932045341926431</stp>
        <tr r="S1632" s="2"/>
      </tp>
      <tp t="s">
        <v>#N/A Requesting Data...4088538353</v>
        <stp/>
        <stp>BDP|6770192280666478631</stp>
        <tr r="N811" s="2"/>
      </tp>
      <tp t="s">
        <v>#N/A Requesting Data...2166215458</v>
        <stp/>
        <stp>BDP|3594426189843266355</stp>
        <tr r="J1819" s="2"/>
      </tp>
      <tp t="s">
        <v>#N/A Requesting Data...3742439392</v>
        <stp/>
        <stp>BDP|9859142114032228431</stp>
        <tr r="J2446" s="2"/>
      </tp>
      <tp t="s">
        <v>#N/A Requesting Data...2664239691</v>
        <stp/>
        <stp>BDP|3855569983894308570</stp>
        <tr r="P1344" s="2"/>
      </tp>
      <tp t="s">
        <v>#N/A Requesting Data...3010374848</v>
        <stp/>
        <stp>BDP|4286955928893448325</stp>
        <tr r="R2238" s="2"/>
      </tp>
      <tp t="s">
        <v>#N/A Requesting Data...2558003539</v>
        <stp/>
        <stp>BDP|9721485966671055500</stp>
        <tr r="F925" s="2"/>
      </tp>
      <tp t="s">
        <v>#N/A Requesting Data...2838496928</v>
        <stp/>
        <stp>BDP|6832901732886466578</stp>
        <tr r="K1267" s="2"/>
      </tp>
      <tp t="s">
        <v>#N/A Requesting Data...2070129009</v>
        <stp/>
        <stp>BDP|9616057859105588668</stp>
        <tr r="N1688" s="2"/>
      </tp>
      <tp t="s">
        <v>#N/A Requesting Data...3108789010</v>
        <stp/>
        <stp>BDP|7984704692800573674</stp>
        <tr r="C2343" s="2"/>
      </tp>
      <tp t="s">
        <v>#N/A Requesting Data...3265027639</v>
        <stp/>
        <stp>BDP|6345186182590041004</stp>
        <tr r="E2288" s="2"/>
      </tp>
      <tp t="s">
        <v>#N/A Requesting Data...3219245361</v>
        <stp/>
        <stp>BDP|4838662496304842091</stp>
        <tr r="G1019" s="2"/>
      </tp>
      <tp t="s">
        <v>#N/A Requesting Data...1554193143</v>
        <stp/>
        <stp>BDP|4384049388755468627</stp>
        <tr r="D1005" s="2"/>
      </tp>
      <tp t="s">
        <v>#N/A Requesting Data...4215624805</v>
        <stp/>
        <stp>BDP|9626928543119799295</stp>
        <tr r="Q2083" s="2"/>
      </tp>
      <tp t="s">
        <v>#N/A Requesting Data...1832519617</v>
        <stp/>
        <stp>BDP|9858411930214874587</stp>
        <tr r="R1609" s="2"/>
      </tp>
      <tp t="s">
        <v>#N/A Requesting Data...1940487393</v>
        <stp/>
        <stp>BDP|1814395038167264925</stp>
        <tr r="D1970" s="2"/>
      </tp>
      <tp t="s">
        <v>#N/A Requesting Data...1835640289</v>
        <stp/>
        <stp>BDP|3544997423835793214</stp>
        <tr r="G596" s="2"/>
      </tp>
      <tp t="s">
        <v>#N/A Requesting Data...1872880858</v>
        <stp/>
        <stp>BDP|7784749892151941712</stp>
        <tr r="A223" s="2"/>
      </tp>
      <tp t="s">
        <v>#N/A Requesting Data...3075426700</v>
        <stp/>
        <stp>BDP|4460622363312828943</stp>
        <tr r="S1952" s="2"/>
      </tp>
      <tp t="s">
        <v>#N/A Requesting Data...2651235003</v>
        <stp/>
        <stp>BDP|2266096010319226578</stp>
        <tr r="D610" s="2"/>
      </tp>
      <tp t="s">
        <v>#N/A Requesting Data...3602007821</v>
        <stp/>
        <stp>BDP|6673398042796085839</stp>
        <tr r="D2079" s="2"/>
      </tp>
      <tp t="s">
        <v>#N/A Requesting Data...3643957763</v>
        <stp/>
        <stp>BDP|9246422422653418388</stp>
        <tr r="C400" s="2"/>
      </tp>
      <tp t="s">
        <v>#N/A Requesting Data...2172715644</v>
        <stp/>
        <stp>BDP|8498829908387421848</stp>
        <tr r="A1703" s="2"/>
      </tp>
      <tp t="s">
        <v>#N/A Requesting Data...1853854427</v>
        <stp/>
        <stp>BDP|3925653695415082675</stp>
        <tr r="N2207" s="2"/>
      </tp>
      <tp t="s">
        <v>#N/A Requesting Data...2420254593</v>
        <stp/>
        <stp>BDP|4941971133157781647</stp>
        <tr r="T731" s="2"/>
      </tp>
      <tp t="s">
        <v>#N/A Requesting Data...1710962745</v>
        <stp/>
        <stp>BDP|7246302542859773692</stp>
        <tr r="D444" s="2"/>
      </tp>
      <tp t="s">
        <v>#N/A Requesting Data...3277744997</v>
        <stp/>
        <stp>BDP|1692105793331961722</stp>
        <tr r="C2451" s="2"/>
      </tp>
      <tp t="s">
        <v>#N/A Requesting Data...3371272866</v>
        <stp/>
        <stp>BDP|2177168301735100993</stp>
        <tr r="C2226" s="2"/>
      </tp>
      <tp t="s">
        <v>#N/A Requesting Data...1670851473</v>
        <stp/>
        <stp>BDP|2634851488004100949</stp>
        <tr r="J100" s="2"/>
      </tp>
      <tp t="s">
        <v>#N/A Requesting Data...3495611144</v>
        <stp/>
        <stp>BDP|2563069394953956708</stp>
        <tr r="T1816" s="2"/>
      </tp>
      <tp t="s">
        <v>#N/A Requesting Data...1698094082</v>
        <stp/>
        <stp>BDP|8645103760256199697</stp>
        <tr r="O1744" s="2"/>
      </tp>
      <tp t="s">
        <v>#N/A Requesting Data...4250926393</v>
        <stp/>
        <stp>BDP|4119901527059981913</stp>
        <tr r="A1311" s="2"/>
      </tp>
      <tp t="b">
        <v>0</v>
        <stp/>
        <stp>BDS|5898840935013728203</stp>
        <tr r="I1183" s="2"/>
      </tp>
      <tp t="s">
        <v>#N/A Requesting Data...2467171937</v>
        <stp/>
        <stp>BDP|2442595002561481956</stp>
        <tr r="G1171" s="2"/>
      </tp>
      <tp t="s">
        <v>#N/A Requesting Data...2471798848</v>
        <stp/>
        <stp>BDP|4247599383556004062</stp>
        <tr r="T2430" s="2"/>
      </tp>
      <tp t="s">
        <v>#N/A Requesting Data...2323051552</v>
        <stp/>
        <stp>BDP|1081977979913597355</stp>
        <tr r="M430" s="2"/>
      </tp>
      <tp t="s">
        <v>#N/A Requesting Data...4216056309</v>
        <stp/>
        <stp>BDP|9435712724234919768</stp>
        <tr r="R2318" s="2"/>
      </tp>
      <tp t="s">
        <v>#N/A Requesting Data...2928386686</v>
        <stp/>
        <stp>BDP|8375930959348281356</stp>
        <tr r="N1035" s="2"/>
      </tp>
      <tp t="s">
        <v>#N/A Requesting Data...2855528597</v>
        <stp/>
        <stp>BDP|2368459628403575856</stp>
        <tr r="N1891" s="2"/>
      </tp>
      <tp t="s">
        <v>#N/A Requesting Data...3631321931</v>
        <stp/>
        <stp>BDP|3624278467031926915</stp>
        <tr r="C1823" s="2"/>
      </tp>
      <tp t="s">
        <v>#N/A Requesting Data...1870893918</v>
        <stp/>
        <stp>BDP|7150391715213120929</stp>
        <tr r="G484" s="2"/>
      </tp>
      <tp t="s">
        <v>#N/A Requesting Data...3754257953</v>
        <stp/>
        <stp>BDP|8661004779722385220</stp>
        <tr r="N971" s="2"/>
      </tp>
      <tp t="s">
        <v>#N/A Requesting Data...1875201984</v>
        <stp/>
        <stp>BDP|4544935319122857198</stp>
        <tr r="J859" s="2"/>
      </tp>
      <tp t="b">
        <v>0</v>
        <stp/>
        <stp>BDS|1667408780702802007</stp>
        <tr r="I2408" s="2"/>
      </tp>
      <tp t="s">
        <v>#N/A Requesting Data...2911021963</v>
        <stp/>
        <stp>BDP|2443861635906128083</stp>
        <tr r="F1831" s="2"/>
      </tp>
      <tp t="s">
        <v>#N/A Requesting Data...4242262240</v>
        <stp/>
        <stp>BDP|5517858436464178597</stp>
        <tr r="N2241" s="2"/>
      </tp>
      <tp t="s">
        <v>#N/A Requesting Data...2740624915</v>
        <stp/>
        <stp>BDP|8149246681705201888</stp>
        <tr r="M995" s="2"/>
      </tp>
      <tp t="s">
        <v>#N/A Requesting Data...1882269290</v>
        <stp/>
        <stp>BDP|9262953638939528543</stp>
        <tr r="F2458" s="2"/>
      </tp>
      <tp t="s">
        <v>#N/A Requesting Data...4049679901</v>
        <stp/>
        <stp>BDP|4835433532338289456</stp>
        <tr r="J2128" s="2"/>
      </tp>
      <tp t="s">
        <v>#N/A Requesting Data...2825358820</v>
        <stp/>
        <stp>BDP|3208476578879714643</stp>
        <tr r="F1914" s="2"/>
      </tp>
      <tp t="s">
        <v>#N/A Requesting Data...1813538355</v>
        <stp/>
        <stp>BDP|4304900622114669498</stp>
        <tr r="M429" s="2"/>
      </tp>
      <tp t="s">
        <v>#N/A Requesting Data...2035394856</v>
        <stp/>
        <stp>BDP|8867708654233118632</stp>
        <tr r="O2453" s="2"/>
      </tp>
      <tp t="s">
        <v>#N/A Requesting Data...1795795800</v>
        <stp/>
        <stp>BDP|5466889547320075655</stp>
        <tr r="O1699" s="2"/>
      </tp>
      <tp t="s">
        <v>#N/A Requesting Data...4017769968</v>
        <stp/>
        <stp>BDP|2263578589265677545</stp>
        <tr r="N1583" s="2"/>
      </tp>
      <tp t="s">
        <v>#N/A Requesting Data...4152461661</v>
        <stp/>
        <stp>BDP|1315067789767665149</stp>
        <tr r="A1173" s="2"/>
      </tp>
      <tp t="s">
        <v>#N/A Requesting Data...3009827219</v>
        <stp/>
        <stp>BDP|7425822633922962121</stp>
        <tr r="G1169" s="2"/>
      </tp>
      <tp t="s">
        <v>#N/A Requesting Data...1660542662</v>
        <stp/>
        <stp>BDP|9638587532047330719</stp>
        <tr r="S1547" s="2"/>
      </tp>
      <tp t="s">
        <v>#N/A Requesting Data...4079366794</v>
        <stp/>
        <stp>BDP|7240180082442325353</stp>
        <tr r="M187" s="2"/>
      </tp>
      <tp t="s">
        <v>#N/A Requesting Data...3860774080</v>
        <stp/>
        <stp>BDP|9793304719371580557</stp>
        <tr r="P1242" s="2"/>
      </tp>
      <tp t="s">
        <v>#N/A Requesting Data...2382064927</v>
        <stp/>
        <stp>BDP|9459864402187669987</stp>
        <tr r="G1705" s="2"/>
      </tp>
      <tp t="s">
        <v>#N/A Requesting Data...2463880997</v>
        <stp/>
        <stp>BDP|6966471221786471956</stp>
        <tr r="D641" s="2"/>
      </tp>
      <tp t="s">
        <v>#N/A Requesting Data...3312205701</v>
        <stp/>
        <stp>BDP|5094683218914726991</stp>
        <tr r="T2224" s="2"/>
      </tp>
      <tp t="s">
        <v>#N/A Requesting Data...1944506123</v>
        <stp/>
        <stp>BDP|1664730108620364906</stp>
        <tr r="N1402" s="2"/>
      </tp>
      <tp t="s">
        <v>#N/A Requesting Data...3354214109</v>
        <stp/>
        <stp>BDP|7271719524908948503</stp>
        <tr r="T764" s="2"/>
      </tp>
      <tp t="s">
        <v>#N/A Requesting Data...3220841477</v>
        <stp/>
        <stp>BDP|6563601688182054533</stp>
        <tr r="P1376" s="2"/>
      </tp>
      <tp t="s">
        <v>#N/A Requesting Data...3846138754</v>
        <stp/>
        <stp>BDP|9039620484719138194</stp>
        <tr r="A1788" s="2"/>
      </tp>
      <tp t="s">
        <v>#N/A Requesting Data...2332444705</v>
        <stp/>
        <stp>BDP|2436692717059177355</stp>
        <tr r="Q1311" s="2"/>
      </tp>
      <tp t="s">
        <v>#N/A Requesting Data...3058540926</v>
        <stp/>
        <stp>BDP|5711691560619936396</stp>
        <tr r="K2484" s="2"/>
      </tp>
      <tp t="s">
        <v>#N/A Requesting Data...2624090847</v>
        <stp/>
        <stp>BDP|1657919362945278491</stp>
        <tr r="O2371" s="2"/>
      </tp>
      <tp t="s">
        <v>#N/A Requesting Data...3291289616</v>
        <stp/>
        <stp>BDP|6416987714174753510</stp>
        <tr r="T1782" s="2"/>
      </tp>
      <tp t="s">
        <v>#N/A Requesting Data...2606292442</v>
        <stp/>
        <stp>BDP|2925024191124000045</stp>
        <tr r="H700" s="2"/>
      </tp>
      <tp t="s">
        <v>#N/A Requesting Data...3215205197</v>
        <stp/>
        <stp>BDP|1949086611469613685</stp>
        <tr r="J10" s="2"/>
      </tp>
      <tp t="s">
        <v>#N/A Requesting Data...3156406835</v>
        <stp/>
        <stp>BDP|2295043189731487450</stp>
        <tr r="H673" s="2"/>
      </tp>
      <tp t="s">
        <v>#N/A Requesting Data...2252662614</v>
        <stp/>
        <stp>BDP|2647952447666315694</stp>
        <tr r="K805" s="2"/>
      </tp>
      <tp t="s">
        <v>#N/A Requesting Data...3190865847</v>
        <stp/>
        <stp>BDP|8910746324484754603</stp>
        <tr r="R2309" s="2"/>
      </tp>
      <tp t="s">
        <v>#N/A Requesting Data...2659240231</v>
        <stp/>
        <stp>BDP|3642030412769019497</stp>
        <tr r="H1201" s="2"/>
      </tp>
      <tp t="s">
        <v>#N/A Requesting Data...4137679509</v>
        <stp/>
        <stp>BDP|8390195448551998355</stp>
        <tr r="A1270" s="2"/>
      </tp>
      <tp t="s">
        <v>#N/A Requesting Data...3451334786</v>
        <stp/>
        <stp>BDP|8467493328341216093</stp>
        <tr r="Q546" s="2"/>
      </tp>
      <tp t="s">
        <v>#N/A Requesting Data...2915469114</v>
        <stp/>
        <stp>BDP|9720781251247011304</stp>
        <tr r="S673" s="2"/>
      </tp>
      <tp t="s">
        <v>#N/A Requesting Data...3605308601</v>
        <stp/>
        <stp>BDP|9144329718380527408</stp>
        <tr r="A1517" s="2"/>
      </tp>
      <tp t="s">
        <v>#N/A Requesting Data...2095481049</v>
        <stp/>
        <stp>BDP|2040015008889185465</stp>
        <tr r="P1608" s="2"/>
      </tp>
      <tp t="s">
        <v>#N/A Requesting Data...3219878733</v>
        <stp/>
        <stp>BDP|2303508875526011988</stp>
        <tr r="T2054" s="2"/>
      </tp>
      <tp t="s">
        <v>#N/A Requesting Data...2231551632</v>
        <stp/>
        <stp>BDP|9714964245338820323</stp>
        <tr r="M1186" s="2"/>
      </tp>
      <tp t="s">
        <v>#N/A Requesting Data...2516578101</v>
        <stp/>
        <stp>BDP|1934156359188912222</stp>
        <tr r="N2199" s="2"/>
      </tp>
      <tp t="s">
        <v>#N/A Requesting Data...3281485059</v>
        <stp/>
        <stp>BDP|2776412095764558480</stp>
        <tr r="G2476" s="2"/>
      </tp>
      <tp t="s">
        <v>#N/A Requesting Data...3103448732</v>
        <stp/>
        <stp>BDP|3551794467799556404</stp>
        <tr r="N196" s="2"/>
      </tp>
      <tp t="s">
        <v>#N/A Requesting Data...3672032850</v>
        <stp/>
        <stp>BDP|3001435021003855946</stp>
        <tr r="S991" s="2"/>
      </tp>
      <tp t="s">
        <v>#N/A Requesting Data...1842222152</v>
        <stp/>
        <stp>BDP|4221294280030757125</stp>
        <tr r="E142" s="2"/>
      </tp>
      <tp t="s">
        <v>#N/A Requesting Data...2766109379</v>
        <stp/>
        <stp>BDP|4221880827496201710</stp>
        <tr r="G786" s="2"/>
      </tp>
      <tp t="s">
        <v>#N/A Requesting Data...3823040491</v>
        <stp/>
        <stp>BDP|5917085629481378951</stp>
        <tr r="M2508" s="2"/>
      </tp>
      <tp t="s">
        <v>#N/A Requesting Data...3483804608</v>
        <stp/>
        <stp>BDP|4838967465170417412</stp>
        <tr r="D1214" s="2"/>
      </tp>
      <tp t="s">
        <v>#N/A Requesting Data...2592593413</v>
        <stp/>
        <stp>BDP|9461430880932081891</stp>
        <tr r="M690" s="2"/>
      </tp>
      <tp t="s">
        <v>#N/A Requesting Data...3008271183</v>
        <stp/>
        <stp>BDP|1271324897992864605</stp>
        <tr r="R184" s="2"/>
      </tp>
      <tp t="s">
        <v>#N/A Requesting Data...2955357810</v>
        <stp/>
        <stp>BDP|3842391277928977002</stp>
        <tr r="O2207" s="2"/>
      </tp>
      <tp t="s">
        <v>#N/A Requesting Data...3415209963</v>
        <stp/>
        <stp>BDP|7744646119446399966</stp>
        <tr r="O225" s="2"/>
      </tp>
      <tp t="s">
        <v>#N/A Requesting Data...3611565337</v>
        <stp/>
        <stp>BDP|2259129109415490928</stp>
        <tr r="A2468" s="2"/>
      </tp>
      <tp t="s">
        <v>#N/A Requesting Data...2180789854</v>
        <stp/>
        <stp>BDP|2299140352809383080</stp>
        <tr r="G251" s="2"/>
      </tp>
      <tp t="s">
        <v>#N/A Requesting Data...3099956795</v>
        <stp/>
        <stp>BDP|3743559457335335995</stp>
        <tr r="T780" s="2"/>
      </tp>
      <tp t="s">
        <v>#N/A Requesting Data...2704533291</v>
        <stp/>
        <stp>BDP|8134688435802233018</stp>
        <tr r="D2504" s="2"/>
      </tp>
      <tp t="s">
        <v>#N/A Requesting Data...3883850575</v>
        <stp/>
        <stp>BDP|2776519155979457489</stp>
        <tr r="J1447" s="2"/>
      </tp>
      <tp t="s">
        <v>#N/A Requesting Data...3368545132</v>
        <stp/>
        <stp>BDP|5165421650818955351</stp>
        <tr r="G907" s="2"/>
      </tp>
      <tp t="s">
        <v>#N/A Requesting Data...2714555055</v>
        <stp/>
        <stp>BDP|8728749861893908548</stp>
        <tr r="M1825" s="2"/>
      </tp>
      <tp t="s">
        <v>#N/A Requesting Data...2925449906</v>
        <stp/>
        <stp>BDP|8298747980640047897</stp>
        <tr r="S2182" s="2"/>
      </tp>
      <tp t="s">
        <v>#N/A Requesting Data...2115414089</v>
        <stp/>
        <stp>BDP|1971622497358753948</stp>
        <tr r="M2162" s="2"/>
      </tp>
      <tp t="s">
        <v>#N/A Requesting Data...3732234335</v>
        <stp/>
        <stp>BDP|8179178176095942460</stp>
        <tr r="F1661" s="2"/>
      </tp>
      <tp t="s">
        <v>#N/A Requesting Data...4138070172</v>
        <stp/>
        <stp>BDP|9456926141822946914</stp>
        <tr r="K1340" s="2"/>
      </tp>
      <tp t="s">
        <v>#N/A Requesting Data...3463689397</v>
        <stp/>
        <stp>BDP|1089915850260869262</stp>
        <tr r="P2" s="2"/>
      </tp>
      <tp t="s">
        <v>#N/A Requesting Data...1888347057</v>
        <stp/>
        <stp>BDP|3810400330599471238</stp>
        <tr r="C1804" s="2"/>
      </tp>
      <tp t="b">
        <v>0</v>
        <stp/>
        <stp>BDS|1258294792952051765</stp>
        <tr r="I1497" s="2"/>
      </tp>
      <tp t="s">
        <v>#N/A Requesting Data...3321743904</v>
        <stp/>
        <stp>BDP|2289038198886451227</stp>
        <tr r="F2360" s="2"/>
      </tp>
      <tp t="s">
        <v>#N/A Requesting Data...3610449655</v>
        <stp/>
        <stp>BDP|1037952876969930951</stp>
        <tr r="C1431" s="2"/>
      </tp>
      <tp t="s">
        <v>#N/A Requesting Data...3572366639</v>
        <stp/>
        <stp>BDP|5277637781817958367</stp>
        <tr r="H1981" s="2"/>
      </tp>
      <tp t="s">
        <v>#N/A Requesting Data...1863056976</v>
        <stp/>
        <stp>BDP|4485693516475727930</stp>
        <tr r="A1929" s="2"/>
      </tp>
      <tp t="s">
        <v>#N/A Requesting Data...3004880181</v>
        <stp/>
        <stp>BDP|9766382060894876786</stp>
        <tr r="D1852" s="2"/>
      </tp>
      <tp t="s">
        <v>#N/A Requesting Data...2328327892</v>
        <stp/>
        <stp>BDP|1803144761229423068</stp>
        <tr r="G1050" s="2"/>
      </tp>
      <tp t="s">
        <v>#N/A Requesting Data...3977235078</v>
        <stp/>
        <stp>BDP|2191659695962930076</stp>
        <tr r="F1856" s="2"/>
      </tp>
      <tp t="s">
        <v>#N/A Requesting Data...2146072909</v>
        <stp/>
        <stp>BDP|2990653139321962933</stp>
        <tr r="M1137" s="2"/>
      </tp>
      <tp t="s">
        <v>#N/A Requesting Data...3703128275</v>
        <stp/>
        <stp>BDP|4668207017970823866</stp>
        <tr r="T964" s="2"/>
      </tp>
      <tp t="s">
        <v>#N/A Requesting Data...4019811436</v>
        <stp/>
        <stp>BDP|8218876877131489992</stp>
        <tr r="N857" s="2"/>
      </tp>
      <tp t="s">
        <v>#N/A Requesting Data...2702410271</v>
        <stp/>
        <stp>BDP|6603386940467897997</stp>
        <tr r="Q408" s="2"/>
      </tp>
      <tp t="s">
        <v>#N/A Requesting Data...2738027196</v>
        <stp/>
        <stp>BDP|4840779910108667565</stp>
        <tr r="P438" s="2"/>
      </tp>
      <tp t="s">
        <v>#N/A Requesting Data...3519704464</v>
        <stp/>
        <stp>BDP|8798727634321875265</stp>
        <tr r="Q2381" s="2"/>
      </tp>
      <tp t="s">
        <v>#N/A Requesting Data...3106841173</v>
        <stp/>
        <stp>BDP|6965725094212898586</stp>
        <tr r="A1147" s="2"/>
      </tp>
      <tp t="s">
        <v>#N/A Requesting Data...4194679906</v>
        <stp/>
        <stp>BDP|7782845636892990132</stp>
        <tr r="K1390" s="2"/>
      </tp>
      <tp t="s">
        <v>#N/A Requesting Data...3557137265</v>
        <stp/>
        <stp>BDP|9314589879794948045</stp>
        <tr r="E1033" s="2"/>
      </tp>
      <tp t="s">
        <v>#N/A Requesting Data...2626969957</v>
        <stp/>
        <stp>BDP|5421971123185986464</stp>
        <tr r="R551" s="2"/>
      </tp>
      <tp t="s">
        <v>#N/A Requesting Data...3410812278</v>
        <stp/>
        <stp>BDP|4284537989570020676</stp>
        <tr r="E1406" s="2"/>
      </tp>
      <tp t="s">
        <v>#N/A Requesting Data...2796270256</v>
        <stp/>
        <stp>BDP|7555481382723362734</stp>
        <tr r="E896" s="2"/>
      </tp>
      <tp t="s">
        <v>#N/A Requesting Data...2498901127</v>
        <stp/>
        <stp>BDP|2062975077242697199</stp>
        <tr r="P973" s="2"/>
      </tp>
      <tp t="s">
        <v>#N/A Requesting Data...2141692444</v>
        <stp/>
        <stp>BDP|6910715905736048826</stp>
        <tr r="E839" s="2"/>
      </tp>
      <tp t="s">
        <v>#N/A Requesting Data...3497246181</v>
        <stp/>
        <stp>BDP|8159293938735671397</stp>
        <tr r="C44" s="2"/>
      </tp>
      <tp t="s">
        <v>#N/A Requesting Data...3286160569</v>
        <stp/>
        <stp>BDP|9918016022223278773</stp>
        <tr r="T514" s="2"/>
      </tp>
      <tp t="s">
        <v>#N/A Requesting Data...3534626291</v>
        <stp/>
        <stp>BDP|4014281974166078837</stp>
        <tr r="K978" s="2"/>
      </tp>
      <tp t="s">
        <v>#N/A Requesting Data...3606215849</v>
        <stp/>
        <stp>BDP|5649879076065150099</stp>
        <tr r="A2029" s="2"/>
      </tp>
      <tp t="s">
        <v>#N/A Requesting Data...3872686791</v>
        <stp/>
        <stp>BDP|3632327192734019293</stp>
        <tr r="Q137" s="2"/>
      </tp>
      <tp t="s">
        <v>#N/A Requesting Data...3150520846</v>
        <stp/>
        <stp>BDP|3292156388684283120</stp>
        <tr r="O2332" s="2"/>
      </tp>
      <tp t="s">
        <v>#N/A Requesting Data...4231923199</v>
        <stp/>
        <stp>BDP|3623099820939972794</stp>
        <tr r="P722" s="2"/>
      </tp>
      <tp t="s">
        <v>#N/A Requesting Data...4134086947</v>
        <stp/>
        <stp>BDP|9091649268661171721</stp>
        <tr r="Q972" s="2"/>
      </tp>
      <tp t="s">
        <v>#N/A Requesting Data...3882168247</v>
        <stp/>
        <stp>BDP|9457394112746556253</stp>
        <tr r="D186" s="2"/>
      </tp>
      <tp t="s">
        <v>#N/A Requesting Data...2331513208</v>
        <stp/>
        <stp>BDP|3650846258474420515</stp>
        <tr r="A374" s="2"/>
      </tp>
      <tp t="s">
        <v>#N/A Requesting Data...3295047220</v>
        <stp/>
        <stp>BDP|6891969654002672737</stp>
        <tr r="K255" s="2"/>
      </tp>
      <tp t="s">
        <v>#N/A Requesting Data...2682373515</v>
        <stp/>
        <stp>BDP|2444676701569903247</stp>
        <tr r="F1562" s="2"/>
      </tp>
      <tp t="s">
        <v>#N/A Requesting Data...3815293119</v>
        <stp/>
        <stp>BDP|7207489700265791922</stp>
        <tr r="K2206" s="2"/>
      </tp>
      <tp t="s">
        <v>#N/A Requesting Data...1932038116</v>
        <stp/>
        <stp>BDP|9836433552157791018</stp>
        <tr r="K652" s="2"/>
      </tp>
      <tp t="s">
        <v>#N/A Requesting Data...2937502429</v>
        <stp/>
        <stp>BDP|2649593984390544010</stp>
        <tr r="K2454" s="2"/>
      </tp>
      <tp t="s">
        <v>#N/A Requesting Data...3104104162</v>
        <stp/>
        <stp>BDP|8823491646573956410</stp>
        <tr r="R1637" s="2"/>
      </tp>
      <tp t="s">
        <v>#N/A Requesting Data...2685779730</v>
        <stp/>
        <stp>BDP|9983889393776923147</stp>
        <tr r="Q275" s="2"/>
      </tp>
      <tp t="s">
        <v>#N/A Requesting Data...3777868110</v>
        <stp/>
        <stp>BDP|2272944094365567885</stp>
        <tr r="R1578" s="2"/>
      </tp>
      <tp t="s">
        <v>#N/A Requesting Data...4241810868</v>
        <stp/>
        <stp>BDP|6907259123148481143</stp>
        <tr r="M1565" s="2"/>
      </tp>
      <tp t="s">
        <v>#N/A Requesting Data...3880054481</v>
        <stp/>
        <stp>BDP|8534425441112009594</stp>
        <tr r="G60" s="2"/>
      </tp>
      <tp t="s">
        <v>#N/A Requesting Data...2342534740</v>
        <stp/>
        <stp>BDP|5152057648969786741</stp>
        <tr r="O2436" s="2"/>
      </tp>
      <tp t="s">
        <v>#N/A Requesting Data...3912203161</v>
        <stp/>
        <stp>BDP|4070964183118836223</stp>
        <tr r="Q1501" s="2"/>
      </tp>
      <tp t="s">
        <v>#N/A Requesting Data...2312471108</v>
        <stp/>
        <stp>BDP|6466973085710191889</stp>
        <tr r="J2204" s="2"/>
      </tp>
      <tp t="s">
        <v>#N/A Requesting Data...2485224397</v>
        <stp/>
        <stp>BDP|7064986822476169540</stp>
        <tr r="N2015" s="2"/>
      </tp>
      <tp t="s">
        <v>#N/A Requesting Data...2990297172</v>
        <stp/>
        <stp>BDP|9341793512192441230</stp>
        <tr r="E884" s="2"/>
      </tp>
      <tp t="s">
        <v>#N/A Requesting Data...2286571991</v>
        <stp/>
        <stp>BDP|8441690103342839396</stp>
        <tr r="C231" s="2"/>
      </tp>
      <tp t="s">
        <v>#N/A Requesting Data...3173886545</v>
        <stp/>
        <stp>BDP|3616593259799855512</stp>
        <tr r="R2508" s="2"/>
      </tp>
      <tp t="s">
        <v>#N/A Requesting Data...3122211325</v>
        <stp/>
        <stp>BDP|3327607428729228162</stp>
        <tr r="D1072" s="2"/>
      </tp>
      <tp t="b">
        <v>0</v>
        <stp/>
        <stp>BDS|2692190033386333908</stp>
        <tr r="I561" s="2"/>
      </tp>
      <tp t="s">
        <v>#N/A Requesting Data...2824692409</v>
        <stp/>
        <stp>BDP|4800302274559375605</stp>
        <tr r="P2331" s="2"/>
      </tp>
      <tp t="s">
        <v>#N/A Requesting Data...2628797819</v>
        <stp/>
        <stp>BDP|8870773414923584210</stp>
        <tr r="F2193" s="2"/>
      </tp>
      <tp t="b">
        <v>0</v>
        <stp/>
        <stp>BDS|3335957171561817307</stp>
        <tr r="I640" s="2"/>
      </tp>
      <tp t="s">
        <v>#N/A Requesting Data...3475643415</v>
        <stp/>
        <stp>BDP|9679566462624572184</stp>
        <tr r="D23" s="2"/>
      </tp>
      <tp t="s">
        <v>#N/A Requesting Data...3213306915</v>
        <stp/>
        <stp>BDP|2842044824358667711</stp>
        <tr r="M1019" s="2"/>
      </tp>
      <tp t="s">
        <v>#N/A Requesting Data...3481904316</v>
        <stp/>
        <stp>BDP|5182678323719918732</stp>
        <tr r="P1989" s="2"/>
      </tp>
      <tp t="s">
        <v>#N/A Requesting Data...3852987951</v>
        <stp/>
        <stp>BDP|8819806145349365216</stp>
        <tr r="G1292" s="2"/>
      </tp>
      <tp t="s">
        <v>#N/A Requesting Data...2925790240</v>
        <stp/>
        <stp>BDP|9340219650360411198</stp>
        <tr r="J2053" s="2"/>
      </tp>
      <tp t="s">
        <v>#N/A Requesting Data...3062983101</v>
        <stp/>
        <stp>BDP|4259532596524971312</stp>
        <tr r="J2506" s="2"/>
      </tp>
      <tp t="b">
        <v>0</v>
        <stp/>
        <stp>BDS|2483197142389595151</stp>
        <tr r="I293" s="2"/>
      </tp>
      <tp t="s">
        <v>#N/A Requesting Data...3713758589</v>
        <stp/>
        <stp>BDP|4950173016239629211</stp>
        <tr r="E609" s="2"/>
      </tp>
      <tp t="s">
        <v>#N/A Requesting Data...2553329077</v>
        <stp/>
        <stp>BDP|6830583489915084167</stp>
        <tr r="K1121" s="2"/>
      </tp>
      <tp t="s">
        <v>#N/A Requesting Data...3556703319</v>
        <stp/>
        <stp>BDP|7621653067641337982</stp>
        <tr r="M1252" s="2"/>
      </tp>
      <tp t="s">
        <v>#N/A Requesting Data...3304971909</v>
        <stp/>
        <stp>BDP|2539634759739561750</stp>
        <tr r="K1559" s="2"/>
      </tp>
      <tp t="s">
        <v>#N/A Requesting Data...3198334055</v>
        <stp/>
        <stp>BDP|9124124900047944054</stp>
        <tr r="P1751" s="2"/>
      </tp>
      <tp t="s">
        <v>#N/A Requesting Data...3026022557</v>
        <stp/>
        <stp>BDP|3148498881687591735</stp>
        <tr r="C597" s="2"/>
      </tp>
      <tp t="s">
        <v>#N/A Requesting Data...2944680673</v>
        <stp/>
        <stp>BDP|3131075242019838133</stp>
        <tr r="N1214" s="2"/>
      </tp>
      <tp t="s">
        <v>#N/A Requesting Data...3816961682</v>
        <stp/>
        <stp>BDP|1143709259028638418</stp>
        <tr r="T614" s="2"/>
      </tp>
      <tp t="s">
        <v>#N/A Requesting Data...4165997705</v>
        <stp/>
        <stp>BDP|4822192328639129172</stp>
        <tr r="A2205" s="2"/>
      </tp>
      <tp t="s">
        <v>#N/A Requesting Data...3360885408</v>
        <stp/>
        <stp>BDP|5860353810058776054</stp>
        <tr r="R355" s="2"/>
      </tp>
      <tp t="s">
        <v>#N/A Requesting Data...2726878659</v>
        <stp/>
        <stp>BDP|3853689207669913322</stp>
        <tr r="S534" s="2"/>
      </tp>
      <tp t="s">
        <v>#N/A Requesting Data...3944833670</v>
        <stp/>
        <stp>BDP|6575399264299379572</stp>
        <tr r="N1767" s="2"/>
      </tp>
      <tp t="s">
        <v>#N/A Requesting Data...4185339183</v>
        <stp/>
        <stp>BDP|9282095555791519272</stp>
        <tr r="M1484" s="2"/>
      </tp>
      <tp t="s">
        <v>#N/A Requesting Data...2879196476</v>
        <stp/>
        <stp>BDP|9047707221842540186</stp>
        <tr r="R424" s="2"/>
      </tp>
      <tp t="s">
        <v>#N/A Requesting Data...2176844513</v>
        <stp/>
        <stp>BDP|5971664079858303393</stp>
        <tr r="N2191" s="2"/>
      </tp>
      <tp t="s">
        <v>#N/A Requesting Data...4078583113</v>
        <stp/>
        <stp>BDP|3280833034100042796</stp>
        <tr r="C1421" s="2"/>
      </tp>
      <tp t="s">
        <v>#N/A Requesting Data...3089076482</v>
        <stp/>
        <stp>BDP|7482929003413880215</stp>
        <tr r="F1659" s="2"/>
      </tp>
      <tp t="b">
        <v>0</v>
        <stp/>
        <stp>BDS|8126946440923109985</stp>
        <tr r="I1374" s="2"/>
      </tp>
      <tp t="b">
        <v>0</v>
        <stp/>
        <stp>BDS|7317878618439507854</stp>
        <tr r="I1427" s="2"/>
      </tp>
      <tp t="s">
        <v>#N/A Requesting Data...3325525952</v>
        <stp/>
        <stp>BDP|4222489302117210861</stp>
        <tr r="J121" s="2"/>
      </tp>
      <tp t="s">
        <v>#N/A Requesting Data...3271826041</v>
        <stp/>
        <stp>BDP|1562426439050081922</stp>
        <tr r="Q2361" s="2"/>
      </tp>
      <tp t="s">
        <v>#N/A Requesting Data...3527633542</v>
        <stp/>
        <stp>BDP|3962320676501296930</stp>
        <tr r="T852" s="2"/>
      </tp>
      <tp t="s">
        <v>#N/A Requesting Data...3590441909</v>
        <stp/>
        <stp>BDP|4710173402623994977</stp>
        <tr r="S1227" s="2"/>
      </tp>
      <tp t="s">
        <v>#N/A Requesting Data...3548241247</v>
        <stp/>
        <stp>BDP|9151490970010767539</stp>
        <tr r="O707" s="2"/>
      </tp>
      <tp t="s">
        <v>#N/A Requesting Data...2236751075</v>
        <stp/>
        <stp>BDP|2964923285014787850</stp>
        <tr r="O576" s="2"/>
      </tp>
      <tp t="s">
        <v>#N/A Requesting Data...2815038477</v>
        <stp/>
        <stp>BDP|3427412183839265983</stp>
        <tr r="O2024" s="2"/>
      </tp>
      <tp t="s">
        <v>#N/A Requesting Data...3576133147</v>
        <stp/>
        <stp>BDP|2184667938329151124</stp>
        <tr r="A1908" s="2"/>
      </tp>
      <tp t="s">
        <v>#N/A Requesting Data...2280646401</v>
        <stp/>
        <stp>BDP|7071583995611391526</stp>
        <tr r="J1298" s="2"/>
      </tp>
      <tp t="s">
        <v>#N/A Requesting Data...2700503546</v>
        <stp/>
        <stp>BDP|6921435575059024339</stp>
        <tr r="P740" s="2"/>
      </tp>
      <tp t="s">
        <v>#N/A Requesting Data...3560705214</v>
        <stp/>
        <stp>BDP|6809822231554598622</stp>
        <tr r="N499" s="2"/>
      </tp>
      <tp t="s">
        <v>#N/A Requesting Data...4154652221</v>
        <stp/>
        <stp>BDP|6168760688092288412</stp>
        <tr r="H1387" s="2"/>
      </tp>
      <tp t="s">
        <v>#N/A Requesting Data...3232584132</v>
        <stp/>
        <stp>BDP|4833970275606208349</stp>
        <tr r="T1567" s="2"/>
      </tp>
      <tp t="s">
        <v>#N/A Requesting Data...3304600094</v>
        <stp/>
        <stp>BDP|7968255443896251811</stp>
        <tr r="O2381" s="2"/>
      </tp>
      <tp t="s">
        <v>#N/A Requesting Data...2885990962</v>
        <stp/>
        <stp>BDP|9124020448850325247</stp>
        <tr r="R888" s="2"/>
      </tp>
      <tp t="s">
        <v>#N/A Requesting Data...2961998761</v>
        <stp/>
        <stp>BDP|2792777563589913565</stp>
        <tr r="K2352" s="2"/>
      </tp>
      <tp t="s">
        <v>#N/A Requesting Data...2631570360</v>
        <stp/>
        <stp>BDP|7861973727751389275</stp>
        <tr r="P1162" s="2"/>
      </tp>
      <tp t="s">
        <v>#N/A Requesting Data...2115815129</v>
        <stp/>
        <stp>BDP|2805889949241153041</stp>
        <tr r="M390" s="2"/>
      </tp>
      <tp t="s">
        <v>#N/A Requesting Data...3639729290</v>
        <stp/>
        <stp>BDP|1542830877386995740</stp>
        <tr r="K1305" s="2"/>
      </tp>
      <tp t="s">
        <v>#N/A Requesting Data...3447311325</v>
        <stp/>
        <stp>BDP|4070821168423583634</stp>
        <tr r="F2182" s="2"/>
      </tp>
      <tp t="s">
        <v>#N/A Requesting Data...2234748483</v>
        <stp/>
        <stp>BDP|7755537654239466187</stp>
        <tr r="H578" s="2"/>
      </tp>
      <tp t="s">
        <v>#N/A Requesting Data...4202871350</v>
        <stp/>
        <stp>BDP|7753629254029454298</stp>
        <tr r="D798" s="2"/>
      </tp>
      <tp t="s">
        <v>#N/A Requesting Data...3141687165</v>
        <stp/>
        <stp>BDP|8984629606262043316</stp>
        <tr r="D689" s="2"/>
      </tp>
      <tp t="s">
        <v>#N/A Requesting Data...3939628288</v>
        <stp/>
        <stp>BDP|8046598959853544491</stp>
        <tr r="T758" s="2"/>
      </tp>
      <tp t="s">
        <v>#N/A Requesting Data...3853698898</v>
        <stp/>
        <stp>BDP|8844191279396504717</stp>
        <tr r="A544" s="2"/>
      </tp>
      <tp t="s">
        <v>#N/A Requesting Data...2528652255</v>
        <stp/>
        <stp>BDP|8462917082231873734</stp>
        <tr r="Q883" s="2"/>
      </tp>
      <tp t="s">
        <v>#N/A Requesting Data...2956643618</v>
        <stp/>
        <stp>BDP|8761634578394141215</stp>
        <tr r="N489" s="2"/>
      </tp>
      <tp t="s">
        <v>#N/A Requesting Data...2654313902</v>
        <stp/>
        <stp>BDP|9469227168141021322</stp>
        <tr r="R2246" s="2"/>
      </tp>
      <tp t="s">
        <v>#N/A Requesting Data...3369680415</v>
        <stp/>
        <stp>BDP|7153535851580769883</stp>
        <tr r="K230" s="2"/>
      </tp>
      <tp t="s">
        <v>#N/A Requesting Data...2946721943</v>
        <stp/>
        <stp>BDP|6030421479542005874</stp>
        <tr r="M578" s="2"/>
      </tp>
      <tp t="s">
        <v>#N/A Requesting Data...3992477655</v>
        <stp/>
        <stp>BDP|4823850793712433865</stp>
        <tr r="F1735" s="2"/>
      </tp>
      <tp t="s">
        <v>#N/A Requesting Data...3296089917</v>
        <stp/>
        <stp>BDP|7063337091617740590</stp>
        <tr r="R66" s="2"/>
      </tp>
      <tp t="s">
        <v>#N/A Requesting Data...3762419640</v>
        <stp/>
        <stp>BDP|3266454455674616986</stp>
        <tr r="P2284" s="2"/>
      </tp>
      <tp t="s">
        <v>#N/A Requesting Data...2512819862</v>
        <stp/>
        <stp>BDP|9684709866535463281</stp>
        <tr r="T903" s="2"/>
      </tp>
      <tp t="s">
        <v>#N/A Requesting Data...2364411845</v>
        <stp/>
        <stp>BDP|9907326889254776990</stp>
        <tr r="S840" s="2"/>
      </tp>
      <tp t="s">
        <v>#N/A Requesting Data...3193939008</v>
        <stp/>
        <stp>BDP|1233880940706427425</stp>
        <tr r="J371" s="2"/>
      </tp>
      <tp t="s">
        <v>#N/A Requesting Data...3350400590</v>
        <stp/>
        <stp>BDP|9988336007777382222</stp>
        <tr r="A2374" s="2"/>
      </tp>
      <tp t="s">
        <v>#N/A Requesting Data...3056838734</v>
        <stp/>
        <stp>BDP|8718486402817183404</stp>
        <tr r="C1405" s="2"/>
      </tp>
      <tp t="s">
        <v>#N/A Requesting Data...2245691020</v>
        <stp/>
        <stp>BDP|5978879054850067763</stp>
        <tr r="A1195" s="2"/>
      </tp>
      <tp t="s">
        <v>#N/A Requesting Data...3145025900</v>
        <stp/>
        <stp>BDP|5522594685375055252</stp>
        <tr r="M30" s="2"/>
      </tp>
      <tp t="s">
        <v>#N/A Requesting Data...3259401474</v>
        <stp/>
        <stp>BDP|8622058269862554335</stp>
        <tr r="E1821" s="2"/>
      </tp>
      <tp t="s">
        <v>#N/A Requesting Data...4257970963</v>
        <stp/>
        <stp>BDP|4740886512200822297</stp>
        <tr r="T1807" s="2"/>
      </tp>
      <tp t="s">
        <v>#N/A Requesting Data...3381841831</v>
        <stp/>
        <stp>BDP|6915502492211000474</stp>
        <tr r="Q2082" s="2"/>
      </tp>
      <tp t="s">
        <v>#N/A Requesting Data...3128936555</v>
        <stp/>
        <stp>BDP|1071998370639592905</stp>
        <tr r="J765" s="2"/>
      </tp>
      <tp t="s">
        <v>#N/A Requesting Data...3440904002</v>
        <stp/>
        <stp>BDP|7230260998670451345</stp>
        <tr r="E1811" s="2"/>
      </tp>
      <tp t="s">
        <v>#N/A Requesting Data...3606392428</v>
        <stp/>
        <stp>BDP|1730758777309045798</stp>
        <tr r="H680" s="2"/>
      </tp>
      <tp t="s">
        <v>#N/A Requesting Data...2702685934</v>
        <stp/>
        <stp>BDP|5936947996433563922</stp>
        <tr r="K476" s="2"/>
      </tp>
      <tp t="s">
        <v>#N/A Requesting Data...2811306578</v>
        <stp/>
        <stp>BDP|1028603252764967974</stp>
        <tr r="F199" s="2"/>
      </tp>
      <tp t="s">
        <v>#N/A Requesting Data...3529604701</v>
        <stp/>
        <stp>BDP|4865325494669512873</stp>
        <tr r="N399" s="2"/>
      </tp>
      <tp t="s">
        <v>#N/A Requesting Data...3819001335</v>
        <stp/>
        <stp>BDP|6729643093942968459</stp>
        <tr r="J2032" s="2"/>
      </tp>
      <tp t="s">
        <v>#N/A Requesting Data...2663940486</v>
        <stp/>
        <stp>BDP|9152762780201246896</stp>
        <tr r="K534" s="2"/>
      </tp>
      <tp t="s">
        <v>#N/A Requesting Data...2524647075</v>
        <stp/>
        <stp>BDP|7032341220361078881</stp>
        <tr r="M2454" s="2"/>
      </tp>
      <tp t="s">
        <v>#N/A Requesting Data...3392257759</v>
        <stp/>
        <stp>BDP|2047845139874688276</stp>
        <tr r="K959" s="2"/>
      </tp>
      <tp t="s">
        <v>#N/A Requesting Data...3893045281</v>
        <stp/>
        <stp>BDP|6198826045522941739</stp>
        <tr r="O268" s="2"/>
      </tp>
      <tp t="s">
        <v>#N/A Requesting Data...2849962149</v>
        <stp/>
        <stp>BDP|6042585220006625825</stp>
        <tr r="J201" s="2"/>
      </tp>
      <tp t="s">
        <v>#N/A Requesting Data...3114891883</v>
        <stp/>
        <stp>BDP|4130075944599810664</stp>
        <tr r="T1961" s="2"/>
      </tp>
      <tp t="s">
        <v>#N/A Requesting Data...3750564351</v>
        <stp/>
        <stp>BDP|4350692821078726703</stp>
        <tr r="J665" s="2"/>
      </tp>
      <tp t="s">
        <v>#N/A Requesting Data...2889356452</v>
        <stp/>
        <stp>BDP|5591735258739404172</stp>
        <tr r="E2019" s="2"/>
      </tp>
      <tp t="s">
        <v>#N/A Requesting Data...3423698144</v>
        <stp/>
        <stp>BDP|7188217101559569395</stp>
        <tr r="J2278" s="2"/>
      </tp>
      <tp t="s">
        <v>#N/A Requesting Data...4032694638</v>
        <stp/>
        <stp>BDP|4575013566258693596</stp>
        <tr r="T953" s="2"/>
      </tp>
      <tp t="s">
        <v>#N/A Requesting Data...2491958832</v>
        <stp/>
        <stp>BDP|2235682793891437303</stp>
        <tr r="D415" s="2"/>
      </tp>
      <tp t="s">
        <v>#N/A Requesting Data...2243206414</v>
        <stp/>
        <stp>BDP|8828059359000947206</stp>
        <tr r="J1739" s="2"/>
      </tp>
      <tp t="s">
        <v>#N/A Requesting Data...2303703502</v>
        <stp/>
        <stp>BDP|5896819377735589066</stp>
        <tr r="Q1206" s="2"/>
      </tp>
      <tp t="s">
        <v>#N/A Requesting Data...3309733500</v>
        <stp/>
        <stp>BDP|8304781235311138228</stp>
        <tr r="J2366" s="2"/>
      </tp>
      <tp t="s">
        <v>#N/A Requesting Data...3905312800</v>
        <stp/>
        <stp>BDP|2818345364419512108</stp>
        <tr r="P706" s="2"/>
      </tp>
      <tp t="b">
        <v>0</v>
        <stp/>
        <stp>BDS|5369898368002933667</stp>
        <tr r="I1387" s="2"/>
      </tp>
      <tp t="s">
        <v>#N/A Requesting Data...3567903978</v>
        <stp/>
        <stp>BDP|6007611938805034943</stp>
        <tr r="C2368" s="2"/>
      </tp>
      <tp t="s">
        <v>#N/A Requesting Data...3585171496</v>
        <stp/>
        <stp>BDP|2288127915144902916</stp>
        <tr r="S1319" s="2"/>
      </tp>
      <tp t="s">
        <v>#N/A Requesting Data...3012472768</v>
        <stp/>
        <stp>BDP|2778923623991879732</stp>
        <tr r="K888" s="2"/>
      </tp>
      <tp t="s">
        <v>#N/A Requesting Data...4138152876</v>
        <stp/>
        <stp>BDP|7950053993023295207</stp>
        <tr r="R1289" s="2"/>
      </tp>
      <tp t="s">
        <v>#N/A Requesting Data...2986732365</v>
        <stp/>
        <stp>BDP|3915332875070325819</stp>
        <tr r="N245" s="2"/>
      </tp>
      <tp t="s">
        <v>#N/A Requesting Data...3318198579</v>
        <stp/>
        <stp>BDP|3860741655476689823</stp>
        <tr r="Q2436" s="2"/>
      </tp>
      <tp t="s">
        <v>#N/A Requesting Data...2887058137</v>
        <stp/>
        <stp>BDP|5501889506482015064</stp>
        <tr r="N2530" s="2"/>
      </tp>
      <tp t="s">
        <v>#N/A Requesting Data...2611227363</v>
        <stp/>
        <stp>BDP|1474162619847149972</stp>
        <tr r="H1869" s="2"/>
      </tp>
      <tp t="b">
        <v>0</v>
        <stp/>
        <stp>BDS|4329578932494943922</stp>
        <tr r="I2293" s="2"/>
      </tp>
      <tp t="s">
        <v>#N/A Requesting Data...3592265139</v>
        <stp/>
        <stp>BDP|6530958729044626623</stp>
        <tr r="E2020" s="2"/>
      </tp>
      <tp t="s">
        <v>#N/A Requesting Data...3822696790</v>
        <stp/>
        <stp>BDP|8488456549457268076</stp>
        <tr r="C710" s="2"/>
      </tp>
      <tp t="s">
        <v>#N/A Requesting Data...3251479368</v>
        <stp/>
        <stp>BDP|2605305774489898072</stp>
        <tr r="G1990" s="2"/>
      </tp>
      <tp t="s">
        <v>#N/A Requesting Data...3177154874</v>
        <stp/>
        <stp>BDP|3341536013740686887</stp>
        <tr r="P2062" s="2"/>
      </tp>
      <tp t="s">
        <v>#N/A Requesting Data...2457542571</v>
        <stp/>
        <stp>BDP|2902412811970465807</stp>
        <tr r="H628" s="2"/>
      </tp>
      <tp t="s">
        <v>#N/A Requesting Data...2413512863</v>
        <stp/>
        <stp>BDP|4003131702989908355</stp>
        <tr r="N18" s="2"/>
      </tp>
      <tp t="s">
        <v>#N/A Requesting Data...3290695442</v>
        <stp/>
        <stp>BDP|7841792080843830440</stp>
        <tr r="R1619" s="2"/>
      </tp>
      <tp t="s">
        <v>#N/A Requesting Data...3805751544</v>
        <stp/>
        <stp>BDP|8696728128977015514</stp>
        <tr r="J198" s="2"/>
      </tp>
      <tp t="s">
        <v>#N/A Requesting Data...2325805034</v>
        <stp/>
        <stp>BDP|7014674660929367197</stp>
        <tr r="P707" s="2"/>
      </tp>
      <tp t="s">
        <v>#N/A Requesting Data...3499694672</v>
        <stp/>
        <stp>BDP|9526472748415107369</stp>
        <tr r="T1738" s="2"/>
      </tp>
      <tp t="s">
        <v>#N/A Requesting Data...2505143128</v>
        <stp/>
        <stp>BDP|6587983946971685507</stp>
        <tr r="A2366" s="2"/>
      </tp>
      <tp t="s">
        <v>#N/A Requesting Data...3521156829</v>
        <stp/>
        <stp>BDP|6988601105659868695</stp>
        <tr r="N970" s="2"/>
      </tp>
      <tp t="s">
        <v>#N/A Requesting Data...3118528814</v>
        <stp/>
        <stp>BDP|5708761657269999126</stp>
        <tr r="M1586" s="2"/>
      </tp>
      <tp t="s">
        <v>#N/A Requesting Data...3333984558</v>
        <stp/>
        <stp>BDP|8830511984722896880</stp>
        <tr r="N1824" s="2"/>
      </tp>
      <tp t="s">
        <v>#N/A Requesting Data...3968388052</v>
        <stp/>
        <stp>BDP|6734479155908152099</stp>
        <tr r="T286" s="2"/>
      </tp>
      <tp t="s">
        <v>#N/A Requesting Data...4036222616</v>
        <stp/>
        <stp>BDP|8682623947534678186</stp>
        <tr r="D2400" s="2"/>
      </tp>
      <tp t="s">
        <v>#N/A Requesting Data...3007626611</v>
        <stp/>
        <stp>BDP|5473684485884106054</stp>
        <tr r="D949" s="2"/>
      </tp>
      <tp t="s">
        <v>#N/A Requesting Data...3686768040</v>
        <stp/>
        <stp>BDP|5214848763222801605</stp>
        <tr r="N2194" s="2"/>
      </tp>
      <tp t="b">
        <v>0</v>
        <stp/>
        <stp>BDS|2012781395856027507</stp>
        <tr r="I565" s="2"/>
      </tp>
      <tp t="s">
        <v>#N/A Requesting Data...3777258692</v>
        <stp/>
        <stp>BDP|7491875636326879506</stp>
        <tr r="N2089" s="2"/>
      </tp>
      <tp t="s">
        <v>#N/A Requesting Data...2657272654</v>
        <stp/>
        <stp>BDP|3588515783077212682</stp>
        <tr r="S2141" s="2"/>
      </tp>
      <tp t="b">
        <v>0</v>
        <stp/>
        <stp>BDS|8457676544917329295</stp>
        <tr r="I1779" s="2"/>
      </tp>
      <tp t="s">
        <v>#N/A Requesting Data...3221206715</v>
        <stp/>
        <stp>BDP|6386362119939328220</stp>
        <tr r="F2063" s="2"/>
      </tp>
      <tp t="s">
        <v>#N/A Requesting Data...4066212554</v>
        <stp/>
        <stp>BDP|5634455039218438536</stp>
        <tr r="D1548" s="2"/>
      </tp>
      <tp t="s">
        <v>#N/A Requesting Data...4149967712</v>
        <stp/>
        <stp>BDP|6721418890221815538</stp>
        <tr r="G1676" s="2"/>
      </tp>
      <tp t="s">
        <v>#N/A Requesting Data...2646227378</v>
        <stp/>
        <stp>BDP|9168637224764845633</stp>
        <tr r="T2485" s="2"/>
      </tp>
      <tp t="b">
        <v>0</v>
        <stp/>
        <stp>BDS|9794481056883655427</stp>
        <tr r="I963" s="2"/>
      </tp>
      <tp t="s">
        <v>#N/A Requesting Data...2558902266</v>
        <stp/>
        <stp>BDP|5340922151592508483</stp>
        <tr r="K1682" s="2"/>
      </tp>
      <tp t="s">
        <v>#N/A Requesting Data...2666373624</v>
        <stp/>
        <stp>BDP|3958544826179064266</stp>
        <tr r="H657" s="2"/>
      </tp>
      <tp t="s">
        <v>#N/A Requesting Data...4052488645</v>
        <stp/>
        <stp>BDP|5707478537494842928</stp>
        <tr r="M324" s="2"/>
      </tp>
      <tp t="s">
        <v>#N/A Requesting Data...3665585171</v>
        <stp/>
        <stp>BDP|9606529057186684080</stp>
        <tr r="T1846" s="2"/>
      </tp>
      <tp t="s">
        <v>#N/A Requesting Data...3693317305</v>
        <stp/>
        <stp>BDP|9825537023254172543</stp>
        <tr r="C2197" s="2"/>
      </tp>
      <tp t="s">
        <v>#N/A Requesting Data...3535997209</v>
        <stp/>
        <stp>BDP|8887425932238555809</stp>
        <tr r="A1306" s="2"/>
      </tp>
      <tp t="s">
        <v>#N/A Requesting Data...3855064391</v>
        <stp/>
        <stp>BDP|3284018386240816401</stp>
        <tr r="H338" s="2"/>
      </tp>
      <tp t="s">
        <v>#N/A Requesting Data...3390344206</v>
        <stp/>
        <stp>BDP|8693659737565027795</stp>
        <tr r="R1996" s="2"/>
      </tp>
      <tp t="s">
        <v>#N/A Requesting Data...2514891533</v>
        <stp/>
        <stp>BDP|2162407618201524913</stp>
        <tr r="F1044" s="2"/>
      </tp>
      <tp t="s">
        <v>#N/A Requesting Data...2396596161</v>
        <stp/>
        <stp>BDP|9837691314031817001</stp>
        <tr r="P956" s="2"/>
      </tp>
      <tp t="s">
        <v>#N/A Requesting Data...2547572270</v>
        <stp/>
        <stp>BDP|8451215828643023406</stp>
        <tr r="G344" s="2"/>
      </tp>
      <tp t="s">
        <v>#N/A Requesting Data...3661534585</v>
        <stp/>
        <stp>BDP|4359101368515233940</stp>
        <tr r="P352" s="2"/>
      </tp>
      <tp t="s">
        <v>#N/A Requesting Data...3252852721</v>
        <stp/>
        <stp>BDP|7648253369714220850</stp>
        <tr r="H2326" s="2"/>
      </tp>
      <tp t="b">
        <v>0</v>
        <stp/>
        <stp>BDS|5823825653386218163</stp>
        <tr r="I251" s="2"/>
      </tp>
      <tp t="s">
        <v>#N/A Requesting Data...3846108539</v>
        <stp/>
        <stp>BDP|9368020225794972003</stp>
        <tr r="N1434" s="2"/>
      </tp>
      <tp t="s">
        <v>#N/A Requesting Data...2950771423</v>
        <stp/>
        <stp>BDP|8797586792922361935</stp>
        <tr r="M2142" s="2"/>
      </tp>
      <tp t="s">
        <v>#N/A Requesting Data...3800633369</v>
        <stp/>
        <stp>BDP|6105564862223821901</stp>
        <tr r="F846" s="2"/>
      </tp>
      <tp t="s">
        <v>#N/A Requesting Data...2520387276</v>
        <stp/>
        <stp>BDP|8909313547330365013</stp>
        <tr r="O245" s="2"/>
      </tp>
      <tp t="s">
        <v>#N/A Requesting Data...2537105524</v>
        <stp/>
        <stp>BDP|3830669161528734458</stp>
        <tr r="A2452" s="2"/>
      </tp>
      <tp t="s">
        <v>#N/A Requesting Data...3562488263</v>
        <stp/>
        <stp>BDP|4315651658461585968</stp>
        <tr r="Q1587" s="2"/>
      </tp>
      <tp t="s">
        <v>#N/A Requesting Data...3236560151</v>
        <stp/>
        <stp>BDP|4797993070597093232</stp>
        <tr r="P112" s="2"/>
      </tp>
      <tp t="s">
        <v>#N/A Requesting Data...4265164354</v>
        <stp/>
        <stp>BDP|2867843935712114457</stp>
        <tr r="Q769" s="2"/>
      </tp>
      <tp t="s">
        <v>#N/A Requesting Data...3771954551</v>
        <stp/>
        <stp>BDP|6578592945649453101</stp>
        <tr r="T1150" s="2"/>
      </tp>
      <tp t="s">
        <v>#N/A Requesting Data...2907146116</v>
        <stp/>
        <stp>BDP|2075321423344904852</stp>
        <tr r="A596" s="2"/>
      </tp>
      <tp t="s">
        <v>#N/A Requesting Data...4164541464</v>
        <stp/>
        <stp>BDP|4521544050439808245</stp>
        <tr r="M626" s="2"/>
      </tp>
      <tp t="s">
        <v>#N/A Requesting Data...3698157976</v>
        <stp/>
        <stp>BDP|5846964244591257657</stp>
        <tr r="N1907" s="2"/>
      </tp>
      <tp t="s">
        <v>#N/A Requesting Data...3176762247</v>
        <stp/>
        <stp>BDP|7600120998218673872</stp>
        <tr r="T1248" s="2"/>
      </tp>
      <tp t="s">
        <v>#N/A Requesting Data...3330010044</v>
        <stp/>
        <stp>BDP|1662075085564105280</stp>
        <tr r="E1945" s="2"/>
      </tp>
      <tp t="s">
        <v>#N/A Requesting Data...2534447200</v>
        <stp/>
        <stp>BDP|2270137887657860336</stp>
        <tr r="P676" s="2"/>
      </tp>
      <tp t="s">
        <v>#N/A Requesting Data...3142963515</v>
        <stp/>
        <stp>BDP|1105708337612733834</stp>
        <tr r="G518" s="2"/>
      </tp>
      <tp t="s">
        <v>#N/A Requesting Data...2508017379</v>
        <stp/>
        <stp>BDP|6932858398219747114</stp>
        <tr r="Q2168" s="2"/>
      </tp>
      <tp t="s">
        <v>#N/A Requesting Data...2475278879</v>
        <stp/>
        <stp>BDP|8570026926830359505</stp>
        <tr r="G2349" s="2"/>
      </tp>
      <tp t="s">
        <v>#N/A Requesting Data...3945343137</v>
        <stp/>
        <stp>BDP|2174113437528585701</stp>
        <tr r="Q1029" s="2"/>
      </tp>
      <tp t="s">
        <v>#N/A Requesting Data...2775445565</v>
        <stp/>
        <stp>BDP|2391405395362267261</stp>
        <tr r="F999" s="2"/>
      </tp>
      <tp t="s">
        <v>#N/A Requesting Data...3620112424</v>
        <stp/>
        <stp>BDP|7179743654232171829</stp>
        <tr r="C2041" s="2"/>
      </tp>
      <tp t="s">
        <v>#N/A Requesting Data...2672468484</v>
        <stp/>
        <stp>BDP|4337931842271010709</stp>
        <tr r="R1616" s="2"/>
      </tp>
      <tp t="s">
        <v>#N/A Requesting Data...3125659008</v>
        <stp/>
        <stp>BDP|5477444802886032803</stp>
        <tr r="Q388" s="2"/>
      </tp>
      <tp t="s">
        <v>#N/A Requesting Data...2632400795</v>
        <stp/>
        <stp>BDP|6540099355498854437</stp>
        <tr r="A229" s="2"/>
      </tp>
      <tp t="s">
        <v>#N/A Requesting Data...3942473730</v>
        <stp/>
        <stp>BDP|3863298113438877787</stp>
        <tr r="H1193" s="2"/>
      </tp>
      <tp t="s">
        <v>#N/A Requesting Data...2967750104</v>
        <stp/>
        <stp>BDP|6887662085016961106</stp>
        <tr r="H622" s="2"/>
      </tp>
      <tp t="s">
        <v>#N/A Requesting Data...3663461530</v>
        <stp/>
        <stp>BDP|4120819230801793150</stp>
        <tr r="K1752" s="2"/>
      </tp>
      <tp t="s">
        <v>#N/A Requesting Data...2986804785</v>
        <stp/>
        <stp>BDP|6344931167066472018</stp>
        <tr r="Q2030" s="2"/>
      </tp>
      <tp t="s">
        <v>#N/A Requesting Data...3913493880</v>
        <stp/>
        <stp>BDP|8472203536434528258</stp>
        <tr r="C389" s="2"/>
      </tp>
      <tp t="s">
        <v>#N/A Requesting Data...4167774667</v>
        <stp/>
        <stp>BDP|2659169381275512165</stp>
        <tr r="Q1680" s="2"/>
      </tp>
      <tp t="s">
        <v>#N/A Requesting Data...3875941076</v>
        <stp/>
        <stp>BDP|7122751024384082922</stp>
        <tr r="K1637" s="2"/>
      </tp>
      <tp t="s">
        <v>#N/A Requesting Data...3722758821</v>
        <stp/>
        <stp>BDP|6021293093153850108</stp>
        <tr r="Q2136" s="2"/>
      </tp>
      <tp t="s">
        <v>#N/A Requesting Data...4097583085</v>
        <stp/>
        <stp>BDP|8442829161940414918</stp>
        <tr r="C1966" s="2"/>
      </tp>
      <tp t="s">
        <v>#N/A Requesting Data...2861139289</v>
        <stp/>
        <stp>BDP|8467978844413440913</stp>
        <tr r="C706" s="2"/>
      </tp>
      <tp t="b">
        <v>0</v>
        <stp/>
        <stp>BDS|2648929155774207514</stp>
        <tr r="I1663" s="2"/>
      </tp>
      <tp t="s">
        <v>#N/A Requesting Data...3688544076</v>
        <stp/>
        <stp>BDP|1022850716773183401</stp>
        <tr r="Q1285" s="2"/>
      </tp>
      <tp t="s">
        <v>#N/A Requesting Data...3066893910</v>
        <stp/>
        <stp>BDP|3547651767865527903</stp>
        <tr r="Q1761" s="2"/>
      </tp>
      <tp t="s">
        <v>#N/A Requesting Data...3889639474</v>
        <stp/>
        <stp>BDP|6678496604149893415</stp>
        <tr r="P257" s="2"/>
      </tp>
      <tp t="s">
        <v>#N/A Requesting Data...3656376281</v>
        <stp/>
        <stp>BDP|8977199122960215429</stp>
        <tr r="G2095" s="2"/>
      </tp>
      <tp t="s">
        <v>#N/A Requesting Data...2583744256</v>
        <stp/>
        <stp>BDP|9353032210845303210</stp>
        <tr r="E889" s="2"/>
      </tp>
      <tp t="s">
        <v>#N/A Requesting Data...4004279118</v>
        <stp/>
        <stp>BDP|1093468395271154209</stp>
        <tr r="M1673" s="2"/>
      </tp>
      <tp t="s">
        <v>#N/A Requesting Data...4081198542</v>
        <stp/>
        <stp>BDP|5213295888864131400</stp>
        <tr r="O1562" s="2"/>
      </tp>
      <tp t="s">
        <v>#N/A Requesting Data...2617558617</v>
        <stp/>
        <stp>BDP|9969953790136925079</stp>
        <tr r="H2506" s="2"/>
      </tp>
      <tp t="s">
        <v>#N/A Requesting Data...3868610539</v>
        <stp/>
        <stp>BDP|1882410358126304907</stp>
        <tr r="T83" s="2"/>
      </tp>
      <tp t="s">
        <v>#N/A Requesting Data...3738140020</v>
        <stp/>
        <stp>BDP|2411989234170875720</stp>
        <tr r="A1986" s="2"/>
      </tp>
      <tp t="s">
        <v>#N/A Requesting Data...2783185807</v>
        <stp/>
        <stp>BDP|7294688354822804947</stp>
        <tr r="C2406" s="2"/>
      </tp>
      <tp t="s">
        <v>#N/A Requesting Data...2676730224</v>
        <stp/>
        <stp>BDP|4323220286425291471</stp>
        <tr r="O1524" s="2"/>
      </tp>
      <tp t="s">
        <v>#N/A Requesting Data...4207334058</v>
        <stp/>
        <stp>BDP|9895594886298116340</stp>
        <tr r="G1221" s="2"/>
      </tp>
      <tp t="s">
        <v>#N/A Requesting Data...2611942515</v>
        <stp/>
        <stp>BDP|3239345993173161560</stp>
        <tr r="Q2529" s="2"/>
      </tp>
      <tp t="s">
        <v>#N/A Requesting Data...3222430863</v>
        <stp/>
        <stp>BDP|4323845106466352507</stp>
        <tr r="T1823" s="2"/>
      </tp>
      <tp t="b">
        <v>0</v>
        <stp/>
        <stp>BDS|3265011448678020091</stp>
        <tr r="I1825" s="2"/>
      </tp>
      <tp t="s">
        <v>#N/A Requesting Data...4060456883</v>
        <stp/>
        <stp>BDP|5684507730965655922</stp>
        <tr r="F1492" s="2"/>
      </tp>
      <tp t="s">
        <v>#N/A Requesting Data...3026512041</v>
        <stp/>
        <stp>BDP|1163854862201787139</stp>
        <tr r="K731" s="2"/>
      </tp>
      <tp t="s">
        <v>#N/A Requesting Data...3502506755</v>
        <stp/>
        <stp>BDP|5570001635409748057</stp>
        <tr r="M1436" s="2"/>
      </tp>
      <tp t="s">
        <v>#N/A Requesting Data...3211932644</v>
        <stp/>
        <stp>BDP|8070065872390316050</stp>
        <tr r="R451" s="2"/>
      </tp>
      <tp t="s">
        <v>#N/A Requesting Data...2840313234</v>
        <stp/>
        <stp>BDP|6573581385514213082</stp>
        <tr r="P372" s="2"/>
      </tp>
      <tp t="s">
        <v>#N/A Requesting Data...3632177277</v>
        <stp/>
        <stp>BDP|5366315992731718156</stp>
        <tr r="F987" s="2"/>
      </tp>
      <tp t="s">
        <v>#N/A Requesting Data...3798424917</v>
        <stp/>
        <stp>BDP|4427305994012548370</stp>
        <tr r="F232" s="2"/>
      </tp>
      <tp t="s">
        <v>#N/A Requesting Data...3148674230</v>
        <stp/>
        <stp>BDP|3427521569579804655</stp>
        <tr r="P359" s="2"/>
      </tp>
      <tp t="s">
        <v>#N/A Requesting Data...4255508592</v>
        <stp/>
        <stp>BDP|2091328384203451505</stp>
        <tr r="H1061" s="2"/>
      </tp>
      <tp t="s">
        <v>#N/A Requesting Data...3120509576</v>
        <stp/>
        <stp>BDP|2576107161923488922</stp>
        <tr r="S585" s="2"/>
      </tp>
      <tp t="s">
        <v>#N/A Requesting Data...3064099108</v>
        <stp/>
        <stp>BDP|1116467466784515863</stp>
        <tr r="N1674" s="2"/>
      </tp>
      <tp t="s">
        <v>#N/A Requesting Data...3724134284</v>
        <stp/>
        <stp>BDP|4916993804667720515</stp>
        <tr r="J1736" s="2"/>
      </tp>
      <tp t="s">
        <v>#N/A Requesting Data...3351240797</v>
        <stp/>
        <stp>BDP|8454168866948721815</stp>
        <tr r="M251" s="2"/>
      </tp>
      <tp t="s">
        <v>#N/A Requesting Data...2606629324</v>
        <stp/>
        <stp>BDP|5871315796157808750</stp>
        <tr r="H916" s="2"/>
      </tp>
      <tp t="s">
        <v>#N/A Requesting Data...2922948132</v>
        <stp/>
        <stp>BDP|7887090881216215608</stp>
        <tr r="A563" s="2"/>
      </tp>
      <tp t="s">
        <v>#N/A Requesting Data...3401362889</v>
        <stp/>
        <stp>BDP|6174964517154752555</stp>
        <tr r="K2366" s="2"/>
      </tp>
      <tp t="s">
        <v>#N/A Requesting Data...3817477047</v>
        <stp/>
        <stp>BDP|5104172590401271363</stp>
        <tr r="J1651" s="2"/>
      </tp>
      <tp t="s">
        <v>#N/A Requesting Data...2631971525</v>
        <stp/>
        <stp>BDP|8786364521837442162</stp>
        <tr r="O1683" s="2"/>
      </tp>
      <tp t="s">
        <v>#N/A Requesting Data...3752544553</v>
        <stp/>
        <stp>BDP|4089777064129447358</stp>
        <tr r="G1448" s="2"/>
      </tp>
      <tp t="s">
        <v>#N/A Requesting Data...3385294624</v>
        <stp/>
        <stp>BDP|3944322189152637561</stp>
        <tr r="O1940" s="2"/>
      </tp>
      <tp t="s">
        <v>#N/A Requesting Data...2850667887</v>
        <stp/>
        <stp>BDP|7353891651833081691</stp>
        <tr r="N15" s="2"/>
      </tp>
      <tp t="s">
        <v>#N/A Requesting Data...3711915625</v>
        <stp/>
        <stp>BDP|8691018332621607512</stp>
        <tr r="C718" s="2"/>
      </tp>
      <tp t="s">
        <v>#N/A Requesting Data...3520369087</v>
        <stp/>
        <stp>BDP|8159277844971174019</stp>
        <tr r="R85" s="2"/>
      </tp>
      <tp t="s">
        <v>#N/A Requesting Data...2770589517</v>
        <stp/>
        <stp>BDP|4943952705415840732</stp>
        <tr r="C378" s="2"/>
      </tp>
      <tp t="s">
        <v>#N/A Requesting Data...3214788579</v>
        <stp/>
        <stp>BDP|5106127219303916911</stp>
        <tr r="N1536" s="2"/>
      </tp>
      <tp t="s">
        <v>#N/A Requesting Data...4133001118</v>
        <stp/>
        <stp>BDP|1223886600156023083</stp>
        <tr r="O2408" s="2"/>
      </tp>
      <tp t="s">
        <v>#N/A Requesting Data...3023162588</v>
        <stp/>
        <stp>BDP|9968322418521172502</stp>
        <tr r="D928" s="2"/>
      </tp>
      <tp t="s">
        <v>#N/A Requesting Data...4153912870</v>
        <stp/>
        <stp>BDP|5001934433461734154</stp>
        <tr r="H1743" s="2"/>
      </tp>
      <tp t="s">
        <v>#N/A Requesting Data...4003878932</v>
        <stp/>
        <stp>BDP|6082540183930720424</stp>
        <tr r="H1996" s="2"/>
      </tp>
      <tp t="s">
        <v>#N/A Requesting Data...2847349813</v>
        <stp/>
        <stp>BDP|5145468254613357828</stp>
        <tr r="F478" s="2"/>
      </tp>
      <tp t="s">
        <v>#N/A Requesting Data...4077116774</v>
        <stp/>
        <stp>BDP|8967844054253330984</stp>
        <tr r="C993" s="2"/>
      </tp>
      <tp t="s">
        <v>#N/A Requesting Data...4190340224</v>
        <stp/>
        <stp>BDP|4388975403047623538</stp>
        <tr r="A1699" s="2"/>
      </tp>
      <tp t="s">
        <v>#N/A Requesting Data...3920100219</v>
        <stp/>
        <stp>BDP|8519259590285750959</stp>
        <tr r="R1871" s="2"/>
      </tp>
      <tp t="s">
        <v>#N/A Requesting Data...3676720274</v>
        <stp/>
        <stp>BDP|8937493233164116406</stp>
        <tr r="N1792" s="2"/>
      </tp>
      <tp t="s">
        <v>#N/A Requesting Data...3847089940</v>
        <stp/>
        <stp>BDP|1090018366248735026</stp>
        <tr r="F93" s="2"/>
      </tp>
      <tp t="s">
        <v>#N/A Requesting Data...2913738446</v>
        <stp/>
        <stp>BDP|2572603277344567857</stp>
        <tr r="M854" s="2"/>
      </tp>
      <tp t="s">
        <v>#N/A Requesting Data...3023506871</v>
        <stp/>
        <stp>BDP|5260030712498325326</stp>
        <tr r="A894" s="2"/>
      </tp>
      <tp t="s">
        <v>#N/A Requesting Data...3428527502</v>
        <stp/>
        <stp>BDP|2732787388135784734</stp>
        <tr r="J1741" s="2"/>
      </tp>
      <tp t="s">
        <v>#N/A Requesting Data...3973206030</v>
        <stp/>
        <stp>BDP|2118390505677678989</stp>
        <tr r="G1222" s="2"/>
      </tp>
      <tp t="s">
        <v>#N/A Requesting Data...3174745047</v>
        <stp/>
        <stp>BDP|7398642166978582073</stp>
        <tr r="K753" s="2"/>
      </tp>
      <tp t="s">
        <v>#N/A Requesting Data...3169297471</v>
        <stp/>
        <stp>BDP|1099448695874300710</stp>
        <tr r="T708" s="2"/>
      </tp>
      <tp t="s">
        <v>#N/A Requesting Data...3774242098</v>
        <stp/>
        <stp>BDP|2710330861811482928</stp>
        <tr r="H1386" s="2"/>
      </tp>
      <tp t="s">
        <v>#N/A Requesting Data...3127761061</v>
        <stp/>
        <stp>BDP|4883438256918813260</stp>
        <tr r="N567" s="2"/>
      </tp>
      <tp t="s">
        <v>#N/A Requesting Data...3468326159</v>
        <stp/>
        <stp>BDP|7002099234483614884</stp>
        <tr r="A1949" s="2"/>
      </tp>
      <tp t="s">
        <v>#N/A Requesting Data...3206525658</v>
        <stp/>
        <stp>BDP|7172932923851113234</stp>
        <tr r="A2323" s="2"/>
      </tp>
      <tp t="s">
        <v>#N/A Requesting Data...2872621664</v>
        <stp/>
        <stp>BDP|9669001072510025178</stp>
        <tr r="N195" s="2"/>
      </tp>
      <tp t="s">
        <v>#N/A Requesting Data...2696113453</v>
        <stp/>
        <stp>BDP|2683154927156606815</stp>
        <tr r="Q1028" s="2"/>
      </tp>
      <tp t="s">
        <v>#N/A Requesting Data...4281695780</v>
        <stp/>
        <stp>BDP|1539542970628768459</stp>
        <tr r="K690" s="2"/>
      </tp>
      <tp t="s">
        <v>#N/A Requesting Data...3245849539</v>
        <stp/>
        <stp>BDP|7588574850239739165</stp>
        <tr r="Q433" s="2"/>
      </tp>
      <tp t="b">
        <v>0</v>
        <stp/>
        <stp>BDS|4987924000794984618</stp>
        <tr r="I292" s="2"/>
      </tp>
      <tp t="b">
        <v>0</v>
        <stp/>
        <stp>BDS|7694454826459323750</stp>
        <tr r="I441" s="2"/>
      </tp>
      <tp t="s">
        <v>#N/A Requesting Data...3436787033</v>
        <stp/>
        <stp>BDP|6906822993908359085</stp>
        <tr r="C234" s="2"/>
      </tp>
      <tp t="s">
        <v>#N/A Requesting Data...2895437082</v>
        <stp/>
        <stp>BDP|5637658220017798979</stp>
        <tr r="E2026" s="2"/>
      </tp>
      <tp t="s">
        <v>#N/A Requesting Data...2868038098</v>
        <stp/>
        <stp>BDP|6082947271443288448</stp>
        <tr r="O214" s="2"/>
      </tp>
      <tp t="s">
        <v>#N/A Requesting Data...4212283325</v>
        <stp/>
        <stp>BDP|7177881562115154398</stp>
        <tr r="T294" s="2"/>
      </tp>
      <tp t="s">
        <v>#N/A Requesting Data...3913807872</v>
        <stp/>
        <stp>BDP|8348134928492361688</stp>
        <tr r="C600" s="2"/>
      </tp>
      <tp t="s">
        <v>#N/A Requesting Data...3170596330</v>
        <stp/>
        <stp>BDP|2393842739041906746</stp>
        <tr r="G1556" s="2"/>
      </tp>
      <tp t="s">
        <v>#N/A Requesting Data...2865710703</v>
        <stp/>
        <stp>BDP|4582834561044514110</stp>
        <tr r="N23" s="2"/>
      </tp>
      <tp t="s">
        <v>#N/A Requesting Data...3399023810</v>
        <stp/>
        <stp>BDP|7416516133419799727</stp>
        <tr r="C2087" s="2"/>
      </tp>
      <tp t="s">
        <v>#N/A Requesting Data...3878917774</v>
        <stp/>
        <stp>BDP|7925586392344396032</stp>
        <tr r="S1313" s="2"/>
      </tp>
      <tp t="b">
        <v>0</v>
        <stp/>
        <stp>BDS|9103278714665044015</stp>
        <tr r="I2182" s="2"/>
      </tp>
      <tp t="s">
        <v>#N/A Requesting Data...4222873610</v>
        <stp/>
        <stp>BDP|2830227241152107999</stp>
        <tr r="F669" s="2"/>
      </tp>
      <tp t="s">
        <v>#N/A Requesting Data...3836415370</v>
        <stp/>
        <stp>BDP|7461269882334779647</stp>
        <tr r="D242" s="2"/>
      </tp>
      <tp t="s">
        <v>#N/A Requesting Data...3052912202</v>
        <stp/>
        <stp>BDP|1976068413136927963</stp>
        <tr r="F109" s="2"/>
      </tp>
      <tp t="s">
        <v>#N/A Requesting Data...4184012421</v>
        <stp/>
        <stp>BDP|6981026564428456780</stp>
        <tr r="N411" s="2"/>
      </tp>
      <tp t="s">
        <v>#N/A Requesting Data...3503641724</v>
        <stp/>
        <stp>BDP|1528964120983923692</stp>
        <tr r="A1915" s="2"/>
      </tp>
      <tp t="s">
        <v>#N/A Requesting Data...2853045785</v>
        <stp/>
        <stp>BDP|7965053239928519332</stp>
        <tr r="S1214" s="2"/>
      </tp>
      <tp t="s">
        <v>#N/A Requesting Data...2971334115</v>
        <stp/>
        <stp>BDP|5666812762587672309</stp>
        <tr r="E1759" s="2"/>
      </tp>
      <tp t="b">
        <v>0</v>
        <stp/>
        <stp>BDS|7519729020695637820</stp>
        <tr r="I2116" s="2"/>
      </tp>
      <tp t="s">
        <v>#N/A Requesting Data...3844031296</v>
        <stp/>
        <stp>BDP|7395119893176660649</stp>
        <tr r="Q64" s="2"/>
      </tp>
      <tp t="s">
        <v>#N/A Requesting Data...3156337588</v>
        <stp/>
        <stp>BDP|7556655542713926984</stp>
        <tr r="F1292" s="2"/>
      </tp>
      <tp t="s">
        <v>#N/A Requesting Data...3909032554</v>
        <stp/>
        <stp>BDP|1023909152445193707</stp>
        <tr r="H1180" s="2"/>
      </tp>
      <tp t="s">
        <v>#N/A Requesting Data...4174741350</v>
        <stp/>
        <stp>BDP|6944222576554865864</stp>
        <tr r="H659" s="2"/>
      </tp>
      <tp t="s">
        <v>#N/A Requesting Data...3789784020</v>
        <stp/>
        <stp>BDP|4306956834049058812</stp>
        <tr r="H658" s="2"/>
      </tp>
      <tp t="s">
        <v>#N/A Requesting Data...3162534057</v>
        <stp/>
        <stp>BDP|7170958312992038254</stp>
        <tr r="P945" s="2"/>
      </tp>
      <tp t="s">
        <v>#N/A Requesting Data...3426637120</v>
        <stp/>
        <stp>BDP|6564302049846953868</stp>
        <tr r="J1861" s="2"/>
      </tp>
      <tp t="s">
        <v>#N/A Requesting Data...3241362305</v>
        <stp/>
        <stp>BDP|6177975102464568421</stp>
        <tr r="A23" s="2"/>
      </tp>
      <tp t="s">
        <v>#N/A Requesting Data...3719565806</v>
        <stp/>
        <stp>BDP|1339850333861789413</stp>
        <tr r="G472" s="2"/>
      </tp>
      <tp t="s">
        <v>#N/A Requesting Data...3150561150</v>
        <stp/>
        <stp>BDP|2370373087245421344</stp>
        <tr r="D1687" s="2"/>
      </tp>
      <tp t="s">
        <v>#N/A Requesting Data...3790074240</v>
        <stp/>
        <stp>BDP|5948632611989991416</stp>
        <tr r="R1294" s="2"/>
      </tp>
      <tp t="s">
        <v>#N/A Requesting Data...3413774442</v>
        <stp/>
        <stp>BDP|8207866593734536212</stp>
        <tr r="Q2293" s="2"/>
      </tp>
      <tp t="s">
        <v>#N/A Requesting Data...3515469742</v>
        <stp/>
        <stp>BDP|1271001094790554704</stp>
        <tr r="S209" s="2"/>
      </tp>
      <tp t="s">
        <v>#N/A Requesting Data...3670965749</v>
        <stp/>
        <stp>BDP|1714887753090716387</stp>
        <tr r="E232" s="2"/>
      </tp>
      <tp t="s">
        <v>#N/A Requesting Data...4047548775</v>
        <stp/>
        <stp>BDP|4433640811729466562</stp>
        <tr r="F635" s="2"/>
      </tp>
      <tp t="s">
        <v>#N/A Requesting Data...2857518746</v>
        <stp/>
        <stp>BDP|4823768521969419782</stp>
        <tr r="A8" s="2"/>
      </tp>
      <tp t="s">
        <v>#N/A Requesting Data...3367954573</v>
        <stp/>
        <stp>BDP|1263897128760060403</stp>
        <tr r="A1687" s="2"/>
      </tp>
      <tp t="s">
        <v>#N/A Requesting Data...3017567635</v>
        <stp/>
        <stp>BDP|5211734082062971791</stp>
        <tr r="K1734" s="2"/>
      </tp>
      <tp t="s">
        <v>#N/A Requesting Data...3827126655</v>
        <stp/>
        <stp>BDP|8203362846249819992</stp>
        <tr r="S2127" s="2"/>
      </tp>
      <tp t="s">
        <v>#N/A Requesting Data...3932127822</v>
        <stp/>
        <stp>BDP|6371788147432793881</stp>
        <tr r="R328" s="2"/>
      </tp>
      <tp t="s">
        <v>#N/A Requesting Data...3087792238</v>
        <stp/>
        <stp>BDP|4071640287102132716</stp>
        <tr r="J1321" s="2"/>
      </tp>
      <tp t="s">
        <v>#N/A Requesting Data...3695365084</v>
        <stp/>
        <stp>BDP|8878090470195506575</stp>
        <tr r="O2078" s="2"/>
      </tp>
      <tp t="s">
        <v>#N/A Requesting Data...3434274248</v>
        <stp/>
        <stp>BDP|8784082400944528392</stp>
        <tr r="M412" s="2"/>
      </tp>
      <tp t="s">
        <v>#N/A Requesting Data...3652332582</v>
        <stp/>
        <stp>BDP|6124622381796043110</stp>
        <tr r="O1775" s="2"/>
      </tp>
      <tp t="s">
        <v>#N/A Requesting Data...4085002216</v>
        <stp/>
        <stp>BDP|7208529077832466804</stp>
        <tr r="E2174" s="2"/>
      </tp>
      <tp t="s">
        <v>#N/A Requesting Data...3460791434</v>
        <stp/>
        <stp>BDP|5261433541452728840</stp>
        <tr r="O1209" s="2"/>
      </tp>
      <tp t="s">
        <v>#N/A Requesting Data...2878955202</v>
        <stp/>
        <stp>BDP|9710333950215631510</stp>
        <tr r="P2145" s="2"/>
      </tp>
      <tp t="s">
        <v>#N/A Requesting Data...3996374561</v>
        <stp/>
        <stp>BDP|5626577530424754856</stp>
        <tr r="O749" s="2"/>
      </tp>
      <tp t="s">
        <v>#N/A Requesting Data...3360024406</v>
        <stp/>
        <stp>BDP|2463539454008581555</stp>
        <tr r="G1837" s="2"/>
      </tp>
      <tp t="s">
        <v>#N/A Requesting Data...3180771862</v>
        <stp/>
        <stp>BDP|6509647400338508776</stp>
        <tr r="S715" s="2"/>
      </tp>
      <tp t="s">
        <v>#N/A Requesting Data...3898300084</v>
        <stp/>
        <stp>BDP|9101914981583618442</stp>
        <tr r="P2229" s="2"/>
      </tp>
      <tp t="s">
        <v>#N/A Requesting Data...4037617292</v>
        <stp/>
        <stp>BDP|4640669587662777739</stp>
        <tr r="H365" s="2"/>
      </tp>
      <tp t="s">
        <v>#N/A Requesting Data...3656806253</v>
        <stp/>
        <stp>BDP|6236703321338923494</stp>
        <tr r="P2303" s="2"/>
      </tp>
      <tp t="s">
        <v>#N/A Requesting Data...3709022797</v>
        <stp/>
        <stp>BDP|7871911964904629388</stp>
        <tr r="S192" s="2"/>
      </tp>
      <tp t="s">
        <v>#N/A Requesting Data...3905215136</v>
        <stp/>
        <stp>BDP|3053552941565624815</stp>
        <tr r="J1398" s="2"/>
      </tp>
      <tp t="s">
        <v>#N/A Requesting Data...4114620144</v>
        <stp/>
        <stp>BDP|2222941054463001213</stp>
        <tr r="T402" s="2"/>
      </tp>
      <tp t="s">
        <v>#N/A Requesting Data...3160837904</v>
        <stp/>
        <stp>BDP|6864202344129683699</stp>
        <tr r="H545" s="2"/>
      </tp>
      <tp t="s">
        <v>#N/A Requesting Data...3023842669</v>
        <stp/>
        <stp>BDP|1147629284986601623</stp>
        <tr r="F1792" s="2"/>
      </tp>
      <tp t="s">
        <v>#N/A Requesting Data...2930271866</v>
        <stp/>
        <stp>BDP|5216250551149359462</stp>
        <tr r="H1655" s="2"/>
      </tp>
      <tp t="s">
        <v>#N/A Requesting Data...3892853960</v>
        <stp/>
        <stp>BDP|2553624831678285078</stp>
        <tr r="E1438" s="2"/>
      </tp>
      <tp t="s">
        <v>#N/A Requesting Data...3858199013</v>
        <stp/>
        <stp>BDP|6811377023418809075</stp>
        <tr r="J1513" s="2"/>
      </tp>
      <tp t="s">
        <v>#N/A Requesting Data...3966813715</v>
        <stp/>
        <stp>BDP|8240735504130136075</stp>
        <tr r="F1047" s="2"/>
      </tp>
      <tp t="s">
        <v>#N/A Requesting Data...3740108863</v>
        <stp/>
        <stp>BDP|7794369689206231597</stp>
        <tr r="H2356" s="2"/>
      </tp>
      <tp t="s">
        <v>#N/A Requesting Data...3693025188</v>
        <stp/>
        <stp>BDP|5532504420094737912</stp>
        <tr r="R1517" s="2"/>
      </tp>
      <tp t="s">
        <v>#N/A Requesting Data...3153715116</v>
        <stp/>
        <stp>BDP|1394947775399233938</stp>
        <tr r="A565" s="2"/>
      </tp>
      <tp t="s">
        <v>#N/A Requesting Data...3598441624</v>
        <stp/>
        <stp>BDP|5562553159789940330</stp>
        <tr r="O455" s="2"/>
      </tp>
      <tp t="s">
        <v>#N/A Requesting Data...3377790965</v>
        <stp/>
        <stp>BDP|1389151444693352813</stp>
        <tr r="T2341" s="2"/>
      </tp>
      <tp t="s">
        <v>#N/A Requesting Data...3737685300</v>
        <stp/>
        <stp>BDP|1974710761646880910</stp>
        <tr r="T278" s="2"/>
      </tp>
      <tp t="b">
        <v>0</v>
        <stp/>
        <stp>BDS|8526227084588599563</stp>
        <tr r="I1337" s="2"/>
      </tp>
      <tp t="s">
        <v>#N/A Requesting Data...3214937675</v>
        <stp/>
        <stp>BDP|2165124924449177768</stp>
        <tr r="T957" s="2"/>
      </tp>
      <tp t="b">
        <v>0</v>
        <stp/>
        <stp>BDS|2480351194362108540</stp>
        <tr r="I915" s="2"/>
      </tp>
      <tp t="s">
        <v>#N/A Requesting Data...3302448206</v>
        <stp/>
        <stp>BDP|6108438294314653007</stp>
        <tr r="A15" s="2"/>
      </tp>
      <tp t="s">
        <v>#N/A Requesting Data...4153973908</v>
        <stp/>
        <stp>BDP|1365024614667180844</stp>
        <tr r="M2003" s="2"/>
      </tp>
      <tp t="s">
        <v>#N/A Requesting Data...3216822396</v>
        <stp/>
        <stp>BDP|9832512919390087202</stp>
        <tr r="N1539" s="2"/>
      </tp>
      <tp t="s">
        <v>#N/A Requesting Data...3309810387</v>
        <stp/>
        <stp>BDP|4079501877319057078</stp>
        <tr r="A1744" s="2"/>
      </tp>
      <tp t="s">
        <v>#N/A Requesting Data...4230989323</v>
        <stp/>
        <stp>BDP|9492076842624839692</stp>
        <tr r="T2505" s="2"/>
      </tp>
      <tp t="s">
        <v>#N/A Requesting Data...3994814994</v>
        <stp/>
        <stp>BDP|4380464674451690979</stp>
        <tr r="A2308" s="2"/>
      </tp>
      <tp t="s">
        <v>#N/A Requesting Data...3371903721</v>
        <stp/>
        <stp>BDP|4629445212816302837</stp>
        <tr r="G1606" s="2"/>
      </tp>
      <tp t="s">
        <v>#N/A Requesting Data...4044259018</v>
        <stp/>
        <stp>BDP|7720249022009329121</stp>
        <tr r="S854" s="2"/>
      </tp>
      <tp t="s">
        <v>#N/A Requesting Data...3946678228</v>
        <stp/>
        <stp>BDP|4589768519949282489</stp>
        <tr r="C709" s="2"/>
      </tp>
      <tp t="s">
        <v>#N/A Requesting Data...3208130732</v>
        <stp/>
        <stp>BDP|8000354202026566229</stp>
        <tr r="C1379" s="2"/>
      </tp>
      <tp t="s">
        <v>#N/A Requesting Data...3547938668</v>
        <stp/>
        <stp>BDP|5460263052848914597</stp>
        <tr r="G318" s="2"/>
      </tp>
      <tp t="s">
        <v>#N/A Requesting Data...4081969783</v>
        <stp/>
        <stp>BDP|3981306270071975902</stp>
        <tr r="Q291" s="2"/>
      </tp>
      <tp t="s">
        <v>#N/A Requesting Data...3042242015</v>
        <stp/>
        <stp>BDP|8391735983229408175</stp>
        <tr r="R1659" s="2"/>
      </tp>
      <tp t="s">
        <v>#N/A Requesting Data...3626298095</v>
        <stp/>
        <stp>BDP|9873295760740282236</stp>
        <tr r="R757" s="2"/>
      </tp>
      <tp t="s">
        <v>#N/A Requesting Data...3956060983</v>
        <stp/>
        <stp>BDP|3134270653843365866</stp>
        <tr r="H318" s="2"/>
      </tp>
      <tp t="s">
        <v>#N/A Requesting Data...3784248709</v>
        <stp/>
        <stp>BDP|9080482005452446091</stp>
        <tr r="R2336" s="2"/>
      </tp>
      <tp t="s">
        <v>#N/A Requesting Data...3566179223</v>
        <stp/>
        <stp>BDP|1840299368793024993</stp>
        <tr r="G1005" s="2"/>
      </tp>
      <tp t="s">
        <v>#N/A Requesting Data...3848401383</v>
        <stp/>
        <stp>BDP|5918633288602175638</stp>
        <tr r="N1245" s="2"/>
      </tp>
      <tp t="s">
        <v>#N/A Requesting Data...3511973751</v>
        <stp/>
        <stp>BDP|3372590412181886904</stp>
        <tr r="D210" s="2"/>
      </tp>
      <tp t="s">
        <v>#N/A Requesting Data...4248350250</v>
        <stp/>
        <stp>BDP|3537179738767233983</stp>
        <tr r="Q1736" s="2"/>
      </tp>
      <tp t="s">
        <v>#N/A Requesting Data...3079602642</v>
        <stp/>
        <stp>BDP|4010778341229506136</stp>
        <tr r="P1357" s="2"/>
      </tp>
      <tp t="s">
        <v>#N/A Requesting Data...3330187021</v>
        <stp/>
        <stp>BDP|1321949420746065376</stp>
        <tr r="T1740" s="2"/>
      </tp>
      <tp t="s">
        <v>#N/A Requesting Data...3018558285</v>
        <stp/>
        <stp>BDP|8204509834981453029</stp>
        <tr r="E1727" s="2"/>
      </tp>
      <tp t="s">
        <v>#N/A Requesting Data...3974889044</v>
        <stp/>
        <stp>BDP|2626945217041330468</stp>
        <tr r="E1419" s="2"/>
      </tp>
      <tp t="s">
        <v>#N/A Requesting Data...3508026252</v>
        <stp/>
        <stp>BDP|8100129205786419023</stp>
        <tr r="H704" s="2"/>
      </tp>
      <tp t="s">
        <v>#N/A Requesting Data...3810662950</v>
        <stp/>
        <stp>BDP|6068089374237896948</stp>
        <tr r="A2132" s="2"/>
      </tp>
      <tp t="s">
        <v>#N/A Requesting Data...4229361736</v>
        <stp/>
        <stp>BDP|6202529100099111514</stp>
        <tr r="D2129" s="2"/>
      </tp>
      <tp t="s">
        <v>#N/A Requesting Data...3267939705</v>
        <stp/>
        <stp>BDP|2278529882778120834</stp>
        <tr r="P2007" s="2"/>
      </tp>
      <tp t="s">
        <v>#N/A Requesting Data...3254823931</v>
        <stp/>
        <stp>BDP|3147236923859467553</stp>
        <tr r="P2422" s="2"/>
      </tp>
      <tp t="s">
        <v>#N/A Requesting Data...4168384792</v>
        <stp/>
        <stp>BDP|7261833851300693560</stp>
        <tr r="J2080" s="2"/>
      </tp>
      <tp t="s">
        <v>#N/A Requesting Data...3905807472</v>
        <stp/>
        <stp>BDP|8443482033476842678</stp>
        <tr r="M2365" s="2"/>
      </tp>
      <tp t="s">
        <v>#N/A Requesting Data...4114336655</v>
        <stp/>
        <stp>BDP|2315919374886270549</stp>
        <tr r="S1129" s="2"/>
      </tp>
      <tp t="s">
        <v>#N/A Requesting Data...4000814750</v>
        <stp/>
        <stp>BDP|6108268893682132053</stp>
        <tr r="E109" s="2"/>
      </tp>
      <tp t="s">
        <v>#N/A Requesting Data...3333355742</v>
        <stp/>
        <stp>BDP|8235076855851863385</stp>
        <tr r="E1133" s="2"/>
      </tp>
      <tp t="s">
        <v>#N/A Requesting Data...3293714817</v>
        <stp/>
        <stp>BDP|8840493194028006256</stp>
        <tr r="H914" s="2"/>
      </tp>
      <tp t="s">
        <v>#N/A Requesting Data...3865731096</v>
        <stp/>
        <stp>BDP|6261890335680786299</stp>
        <tr r="C2099" s="2"/>
      </tp>
      <tp t="s">
        <v>#N/A Requesting Data...4292708951</v>
        <stp/>
        <stp>BDP|3821584660237039806</stp>
        <tr r="S943" s="2"/>
      </tp>
      <tp t="s">
        <v>#N/A Requesting Data...3676840840</v>
        <stp/>
        <stp>BDP|5930488462698497075</stp>
        <tr r="D372" s="2"/>
      </tp>
      <tp t="s">
        <v>#N/A Requesting Data...3105830505</v>
        <stp/>
        <stp>BDP|1110562662645467813</stp>
        <tr r="J797" s="2"/>
      </tp>
      <tp t="s">
        <v>#N/A Requesting Data...4027492569</v>
        <stp/>
        <stp>BDP|2904574145888353489</stp>
        <tr r="P137" s="2"/>
      </tp>
      <tp t="s">
        <v>#N/A Requesting Data...3962020226</v>
        <stp/>
        <stp>BDP|8189605176061397744</stp>
        <tr r="H1975" s="2"/>
      </tp>
      <tp t="s">
        <v>#N/A Requesting Data...3467554207</v>
        <stp/>
        <stp>BDP|1792754003990221936</stp>
        <tr r="H1574" s="2"/>
      </tp>
      <tp t="s">
        <v>#N/A Requesting Data...3258385526</v>
        <stp/>
        <stp>BDP|4432754032209748641</stp>
        <tr r="P1212" s="2"/>
      </tp>
      <tp t="s">
        <v>#N/A Requesting Data...3757685530</v>
        <stp/>
        <stp>BDP|9840180321525245036</stp>
        <tr r="C1434" s="2"/>
      </tp>
      <tp t="s">
        <v>#N/A Requesting Data...3332594957</v>
        <stp/>
        <stp>BDP|4693863033681398106</stp>
        <tr r="N192" s="2"/>
      </tp>
      <tp t="s">
        <v>#N/A Requesting Data...3113192347</v>
        <stp/>
        <stp>BDP|8571848090076055019</stp>
        <tr r="M82" s="2"/>
      </tp>
      <tp t="s">
        <v>#N/A Requesting Data...3309188159</v>
        <stp/>
        <stp>BDP|3288925318332881605</stp>
        <tr r="J2267" s="2"/>
      </tp>
      <tp t="s">
        <v>#N/A Requesting Data...3642414323</v>
        <stp/>
        <stp>BDP|2662957222497007117</stp>
        <tr r="C2360" s="2"/>
      </tp>
      <tp t="s">
        <v>#N/A Requesting Data...3234540192</v>
        <stp/>
        <stp>BDP|5784619695295324003</stp>
        <tr r="N1703" s="2"/>
      </tp>
      <tp t="s">
        <v>#N/A Requesting Data...3038244260</v>
        <stp/>
        <stp>BDP|8094589619885822698</stp>
        <tr r="D876" s="2"/>
      </tp>
      <tp t="s">
        <v>#N/A Requesting Data...4128990091</v>
        <stp/>
        <stp>BDP|1560965534750739405</stp>
        <tr r="F543" s="2"/>
      </tp>
      <tp t="s">
        <v>#N/A Requesting Data...4216596308</v>
        <stp/>
        <stp>BDP|5693086873839811454</stp>
        <tr r="T1268" s="2"/>
      </tp>
      <tp t="s">
        <v>#N/A Requesting Data...3967285080</v>
        <stp/>
        <stp>BDP|3956757699112354063</stp>
        <tr r="S350" s="2"/>
      </tp>
      <tp t="s">
        <v>#N/A Requesting Data...3398317568</v>
        <stp/>
        <stp>BDP|9830288529961915706</stp>
        <tr r="G2312" s="2"/>
      </tp>
      <tp t="b">
        <v>0</v>
        <stp/>
        <stp>BDS|9952358618026026249</stp>
        <tr r="I1867" s="2"/>
      </tp>
      <tp t="s">
        <v>#N/A Requesting Data...3725911055</v>
        <stp/>
        <stp>BDP|7016964445630540562</stp>
        <tr r="J1261" s="2"/>
      </tp>
      <tp t="s">
        <v>#N/A Requesting Data...3105004305</v>
        <stp/>
        <stp>BDP|7461880361703870553</stp>
        <tr r="E360" s="2"/>
      </tp>
      <tp t="s">
        <v>#N/A Requesting Data...3302533812</v>
        <stp/>
        <stp>BDP|1350629856324486932</stp>
        <tr r="K815" s="2"/>
      </tp>
      <tp t="s">
        <v>#N/A Requesting Data...3887834375</v>
        <stp/>
        <stp>BDP|6798002123912515916</stp>
        <tr r="C1146" s="2"/>
      </tp>
      <tp t="s">
        <v>#N/A Requesting Data...3370367032</v>
        <stp/>
        <stp>BDP|8888998180342763460</stp>
        <tr r="E1254" s="2"/>
      </tp>
      <tp t="s">
        <v>#N/A Requesting Data...4210939947</v>
        <stp/>
        <stp>BDP|1868790453349137533</stp>
        <tr r="T1417" s="2"/>
      </tp>
      <tp t="s">
        <v>#N/A Requesting Data...3164809689</v>
        <stp/>
        <stp>BDP|6371887764150829776</stp>
        <tr r="P349" s="2"/>
      </tp>
      <tp t="s">
        <v>#N/A Requesting Data...3902924714</v>
        <stp/>
        <stp>BDP|5219374217379667145</stp>
        <tr r="O1992" s="2"/>
      </tp>
      <tp t="s">
        <v>#N/A Requesting Data...4292456094</v>
        <stp/>
        <stp>BDP|9180330297835747920</stp>
        <tr r="P2039" s="2"/>
      </tp>
      <tp t="s">
        <v>#N/A Requesting Data...3446490212</v>
        <stp/>
        <stp>BDP|8414170053116272523</stp>
        <tr r="S1787" s="2"/>
      </tp>
      <tp t="s">
        <v>#N/A Requesting Data...3947854851</v>
        <stp/>
        <stp>BDP|4048720201129320503</stp>
        <tr r="P232" s="2"/>
      </tp>
      <tp t="s">
        <v>#N/A Requesting Data...3703331438</v>
        <stp/>
        <stp>BDP|7008470812049370460</stp>
        <tr r="M1705" s="2"/>
      </tp>
      <tp t="s">
        <v>#N/A Requesting Data...3691941869</v>
        <stp/>
        <stp>BDP|7363433470068877385</stp>
        <tr r="A960" s="2"/>
      </tp>
      <tp t="s">
        <v>#N/A Requesting Data...4019139565</v>
        <stp/>
        <stp>BDP|2304332432024745951</stp>
        <tr r="O781" s="2"/>
      </tp>
      <tp t="s">
        <v>#N/A Requesting Data...3522841972</v>
        <stp/>
        <stp>BDP|6324549280850430437</stp>
        <tr r="A293" s="2"/>
      </tp>
      <tp t="s">
        <v>#N/A Requesting Data...3484056975</v>
        <stp/>
        <stp>BDP|2152928416992469714</stp>
        <tr r="A2322" s="2"/>
      </tp>
      <tp t="s">
        <v>#N/A Requesting Data...3337870277</v>
        <stp/>
        <stp>BDP|6731265579664853803</stp>
        <tr r="C189" s="2"/>
      </tp>
      <tp t="s">
        <v>#N/A Requesting Data...3088633248</v>
        <stp/>
        <stp>BDP|5767908176843591749</stp>
        <tr r="D2483" s="2"/>
      </tp>
      <tp t="s">
        <v>#N/A Requesting Data...3383873123</v>
        <stp/>
        <stp>BDP|2359416094220317056</stp>
        <tr r="H253" s="2"/>
      </tp>
      <tp t="s">
        <v>#N/A Requesting Data...3354227292</v>
        <stp/>
        <stp>BDP|1219921357706680419</stp>
        <tr r="N622" s="2"/>
      </tp>
      <tp t="s">
        <v>#N/A Requesting Data...4042605214</v>
        <stp/>
        <stp>BDP|2979599494402768325</stp>
        <tr r="F1418" s="2"/>
      </tp>
      <tp t="s">
        <v>#N/A Requesting Data...3884550273</v>
        <stp/>
        <stp>BDP|5024218353144235911</stp>
        <tr r="K576" s="2"/>
      </tp>
      <tp t="s">
        <v>#N/A Requesting Data...3315003250</v>
        <stp/>
        <stp>BDP|6012025278127284994</stp>
        <tr r="M1113" s="2"/>
      </tp>
      <tp t="s">
        <v>#N/A Requesting Data...4066110418</v>
        <stp/>
        <stp>BDP|3552207733874053976</stp>
        <tr r="C468" s="2"/>
      </tp>
      <tp t="s">
        <v>#N/A Requesting Data...4125378176</v>
        <stp/>
        <stp>BDP|5444321869029682684</stp>
        <tr r="T1502" s="2"/>
      </tp>
      <tp t="s">
        <v>#N/A Requesting Data...3333967585</v>
        <stp/>
        <stp>BDP|2779993114672282793</stp>
        <tr r="E308" s="2"/>
      </tp>
      <tp t="s">
        <v>#N/A Requesting Data...3359633049</v>
        <stp/>
        <stp>BDP|3328248510859220649</stp>
        <tr r="A230" s="2"/>
      </tp>
      <tp t="b">
        <v>0</v>
        <stp/>
        <stp>BDS|9481773347525048050</stp>
        <tr r="I107" s="2"/>
      </tp>
      <tp t="s">
        <v>#N/A Requesting Data...3130323828</v>
        <stp/>
        <stp>BDP|7243207930768098135</stp>
        <tr r="D1476" s="2"/>
      </tp>
      <tp t="s">
        <v>#N/A Requesting Data...3790677426</v>
        <stp/>
        <stp>BDP|9071313460765127619</stp>
        <tr r="J1155" s="2"/>
      </tp>
      <tp t="s">
        <v>#N/A Requesting Data...3766706033</v>
        <stp/>
        <stp>BDP|5364052608933904965</stp>
        <tr r="T1798" s="2"/>
      </tp>
      <tp t="s">
        <v>#N/A Requesting Data...3675101719</v>
        <stp/>
        <stp>BDP|8994686421112100106</stp>
        <tr r="C2183" s="2"/>
      </tp>
      <tp t="s">
        <v>#N/A Requesting Data...3515816950</v>
        <stp/>
        <stp>BDP|8993585207486780408</stp>
        <tr r="T1317" s="2"/>
      </tp>
      <tp t="s">
        <v>#N/A Requesting Data...3597445913</v>
        <stp/>
        <stp>BDP|4619932729898863856</stp>
        <tr r="E1306" s="2"/>
      </tp>
      <tp t="s">
        <v>#N/A Requesting Data...3455524221</v>
        <stp/>
        <stp>BDP|9120444484723892983</stp>
        <tr r="R1500" s="2"/>
      </tp>
      <tp t="s">
        <v>#N/A Requesting Data...3250605227</v>
        <stp/>
        <stp>BDP|1475899442726705492</stp>
        <tr r="S1924" s="2"/>
      </tp>
      <tp t="s">
        <v>#N/A Requesting Data...4175662077</v>
        <stp/>
        <stp>BDP|2297592514408962172</stp>
        <tr r="N280" s="2"/>
      </tp>
      <tp t="s">
        <v>#N/A Requesting Data...4294692021</v>
        <stp/>
        <stp>BDP|8340547765962013630</stp>
        <tr r="H2273" s="2"/>
      </tp>
      <tp t="s">
        <v>#N/A Requesting Data...4138018542</v>
        <stp/>
        <stp>BDP|2667886824624850338</stp>
        <tr r="R1435" s="2"/>
      </tp>
      <tp t="s">
        <v>#N/A Requesting Data...3893966767</v>
        <stp/>
        <stp>BDP|1730279900125892999</stp>
        <tr r="P2204" s="2"/>
      </tp>
      <tp t="s">
        <v>#N/A Requesting Data...3638321804</v>
        <stp/>
        <stp>BDP|5291348556394184801</stp>
        <tr r="C1062" s="2"/>
      </tp>
      <tp t="s">
        <v>#N/A Requesting Data...3955362157</v>
        <stp/>
        <stp>BDP|9142948037124166821</stp>
        <tr r="A2268" s="2"/>
      </tp>
      <tp t="s">
        <v>#N/A Requesting Data...3792530882</v>
        <stp/>
        <stp>BDP|5013832202216181413</stp>
        <tr r="J940" s="2"/>
      </tp>
      <tp t="s">
        <v>#N/A Requesting Data...3764073416</v>
        <stp/>
        <stp>BDP|6913230598157090533</stp>
        <tr r="F2122" s="2"/>
      </tp>
      <tp t="s">
        <v>#N/A Requesting Data...3307861105</v>
        <stp/>
        <stp>BDP|9686835888916873049</stp>
        <tr r="D272" s="2"/>
      </tp>
      <tp t="s">
        <v>#N/A Requesting Data...3853827610</v>
        <stp/>
        <stp>BDP|4395800817316315461</stp>
        <tr r="K2410" s="2"/>
      </tp>
      <tp t="s">
        <v>#N/A Requesting Data...3430496105</v>
        <stp/>
        <stp>BDP|6340721317808379740</stp>
        <tr r="E2382" s="2"/>
      </tp>
      <tp t="s">
        <v>#N/A Requesting Data...3515340820</v>
        <stp/>
        <stp>BDP|2205439954399313576</stp>
        <tr r="O397" s="2"/>
      </tp>
      <tp t="s">
        <v>#N/A Requesting Data...4125205617</v>
        <stp/>
        <stp>BDP|5102729757908293074</stp>
        <tr r="G687" s="2"/>
      </tp>
      <tp t="s">
        <v>#N/A Requesting Data...3333223951</v>
        <stp/>
        <stp>BDP|6702069496525732512</stp>
        <tr r="T1544" s="2"/>
      </tp>
      <tp t="s">
        <v>#N/A Requesting Data...3481524611</v>
        <stp/>
        <stp>BDP|9174672457774391136</stp>
        <tr r="G2019" s="2"/>
      </tp>
      <tp t="s">
        <v>#N/A Requesting Data...3491790508</v>
        <stp/>
        <stp>BDP|9616339003135369042</stp>
        <tr r="N1590" s="2"/>
      </tp>
      <tp t="s">
        <v>#N/A Requesting Data...3338806880</v>
        <stp/>
        <stp>BDP|4239139182616717450</stp>
        <tr r="K1049" s="2"/>
      </tp>
      <tp t="s">
        <v>#N/A Requesting Data...3430860826</v>
        <stp/>
        <stp>BDP|8222953091890262752</stp>
        <tr r="H110" s="2"/>
      </tp>
      <tp t="s">
        <v>#N/A Requesting Data...3402848454</v>
        <stp/>
        <stp>BDP|4253901170516497374</stp>
        <tr r="N341" s="2"/>
      </tp>
      <tp t="b">
        <v>0</v>
        <stp/>
        <stp>BDS|9225964845212598952</stp>
        <tr r="I1259" s="2"/>
      </tp>
      <tp t="s">
        <v>#N/A Requesting Data...3894803479</v>
        <stp/>
        <stp>BDP|6082505356049442035</stp>
        <tr r="N1845" s="2"/>
      </tp>
      <tp t="s">
        <v>#N/A Requesting Data...3497046815</v>
        <stp/>
        <stp>BDP|1595799388625735429</stp>
        <tr r="J530" s="2"/>
      </tp>
      <tp t="s">
        <v>#N/A Requesting Data...3436757883</v>
        <stp/>
        <stp>BDP|1992772295445866525</stp>
        <tr r="T521" s="2"/>
      </tp>
      <tp t="b">
        <v>0</v>
        <stp/>
        <stp>BDS|6675911595240596962</stp>
        <tr r="I1990" s="2"/>
      </tp>
      <tp t="s">
        <v>#N/A Requesting Data...3562098425</v>
        <stp/>
        <stp>BDP|6533983224840166292</stp>
        <tr r="N373" s="2"/>
      </tp>
      <tp t="s">
        <v>#N/A Requesting Data...4281013692</v>
        <stp/>
        <stp>BDP|1755430225188385030</stp>
        <tr r="P733" s="2"/>
      </tp>
      <tp t="s">
        <v>#N/A Requesting Data...3935340235</v>
        <stp/>
        <stp>BDP|8234006341856172535</stp>
        <tr r="F2490" s="2"/>
      </tp>
      <tp t="s">
        <v>#N/A Requesting Data...4010475354</v>
        <stp/>
        <stp>BDP|8570135803084791234</stp>
        <tr r="Q2292" s="2"/>
      </tp>
      <tp t="s">
        <v>#N/A Requesting Data...3700924529</v>
        <stp/>
        <stp>BDP|3793958014341355548</stp>
        <tr r="N1030" s="2"/>
      </tp>
      <tp t="s">
        <v>#N/A Requesting Data...4118516189</v>
        <stp/>
        <stp>BDP|9566917299037565198</stp>
        <tr r="N775" s="2"/>
      </tp>
      <tp t="s">
        <v>#N/A Requesting Data...4172860317</v>
        <stp/>
        <stp>BDP|5096730794772178676</stp>
        <tr r="K408" s="2"/>
      </tp>
      <tp t="s">
        <v>#N/A Requesting Data...3803360718</v>
        <stp/>
        <stp>BDP|9758041405312104468</stp>
        <tr r="D898" s="2"/>
      </tp>
      <tp t="s">
        <v>#N/A Requesting Data...4243410582</v>
        <stp/>
        <stp>BDP|9346472905986553454</stp>
        <tr r="N552" s="2"/>
      </tp>
      <tp t="s">
        <v>#N/A Requesting Data...3919816740</v>
        <stp/>
        <stp>BDP|2543512916920368907</stp>
        <tr r="A1265" s="2"/>
      </tp>
      <tp t="s">
        <v>#N/A Requesting Data...3982535655</v>
        <stp/>
        <stp>BDP|8015217661481047218</stp>
        <tr r="O623" s="2"/>
      </tp>
      <tp t="s">
        <v>#N/A Requesting Data...3622008538</v>
        <stp/>
        <stp>BDP|1228284588307787343</stp>
        <tr r="K33" s="2"/>
      </tp>
      <tp t="s">
        <v>#N/A Requesting Data...3275060362</v>
        <stp/>
        <stp>BDP|2724366301946448857</stp>
        <tr r="E1400" s="2"/>
      </tp>
      <tp t="s">
        <v>#N/A Requesting Data...3892545289</v>
        <stp/>
        <stp>BDP|8328137131540778576</stp>
        <tr r="F2025" s="2"/>
      </tp>
      <tp t="s">
        <v>#N/A Requesting Data...4092896431</v>
        <stp/>
        <stp>BDP|5089248767706608846</stp>
        <tr r="H2301" s="2"/>
      </tp>
      <tp t="s">
        <v>#N/A Requesting Data...4232929297</v>
        <stp/>
        <stp>BDP|1045846023506542232</stp>
        <tr r="S364" s="2"/>
      </tp>
      <tp t="s">
        <v>#N/A Requesting Data...3587982106</v>
        <stp/>
        <stp>BDP|4891029889955281600</stp>
        <tr r="R1188" s="2"/>
      </tp>
      <tp t="s">
        <v>#N/A Requesting Data...4090703084</v>
        <stp/>
        <stp>BDP|1550809471941526007</stp>
        <tr r="E1529" s="2"/>
      </tp>
      <tp t="s">
        <v>#N/A Requesting Data...3706716830</v>
        <stp/>
        <stp>BDP|7654060086466652614</stp>
        <tr r="S762" s="2"/>
      </tp>
      <tp t="s">
        <v>#N/A Requesting Data...3541661171</v>
        <stp/>
        <stp>BDP|6497852330974510653</stp>
        <tr r="E264" s="2"/>
      </tp>
      <tp t="s">
        <v>#N/A Requesting Data...3988151968</v>
        <stp/>
        <stp>BDP|4093447722805148862</stp>
        <tr r="E155" s="2"/>
      </tp>
      <tp t="s">
        <v>#N/A Requesting Data...4276596100</v>
        <stp/>
        <stp>BDP|7802596548599020081</stp>
        <tr r="R818" s="2"/>
      </tp>
      <tp t="s">
        <v>#N/A Requesting Data...4275798670</v>
        <stp/>
        <stp>BDP|6246447932357631933</stp>
        <tr r="D1513" s="2"/>
      </tp>
      <tp t="s">
        <v>#N/A Requesting Data...3920727055</v>
        <stp/>
        <stp>BDP|6574363298562347196</stp>
        <tr r="J1017" s="2"/>
      </tp>
      <tp t="b">
        <v>0</v>
        <stp/>
        <stp>BDS|4446374237322611932</stp>
        <tr r="I1975" s="2"/>
      </tp>
      <tp t="s">
        <v>#N/A Requesting Data...3861996997</v>
        <stp/>
        <stp>BDP|8569593251735548295</stp>
        <tr r="M2376" s="2"/>
      </tp>
      <tp t="s">
        <v>#N/A Requesting Data...4294606859</v>
        <stp/>
        <stp>BDP|1977805326024787099</stp>
        <tr r="F666" s="2"/>
      </tp>
      <tp t="s">
        <v>#N/A Requesting Data...3369282472</v>
        <stp/>
        <stp>BDP|7029049963428783614</stp>
        <tr r="D2360" s="2"/>
      </tp>
      <tp t="s">
        <v>#N/A Requesting Data...3937047133</v>
        <stp/>
        <stp>BDP|5451934723256570707</stp>
        <tr r="P539" s="2"/>
      </tp>
      <tp t="s">
        <v>#N/A Requesting Data...4233556459</v>
        <stp/>
        <stp>BDP|3871800867275770791</stp>
        <tr r="F586" s="2"/>
      </tp>
      <tp t="s">
        <v>#N/A Requesting Data...3532849574</v>
        <stp/>
        <stp>BDP|6762187947759930506</stp>
        <tr r="S456" s="2"/>
      </tp>
      <tp t="s">
        <v>#N/A Requesting Data...4190930749</v>
        <stp/>
        <stp>BDP|8030624651600738451</stp>
        <tr r="Q893" s="2"/>
      </tp>
      <tp t="s">
        <v>#N/A Requesting Data...3494881148</v>
        <stp/>
        <stp>BDP|8690039839064464095</stp>
        <tr r="N217" s="2"/>
      </tp>
      <tp t="s">
        <v>#N/A Requesting Data...3418322420</v>
        <stp/>
        <stp>BDP|4429423623229696429</stp>
        <tr r="A1950" s="2"/>
      </tp>
      <tp t="s">
        <v>#N/A Requesting Data...3448337890</v>
        <stp/>
        <stp>BDP|5322740395526466273</stp>
        <tr r="N893" s="2"/>
      </tp>
      <tp t="s">
        <v>#N/A Requesting Data...3501872822</v>
        <stp/>
        <stp>BDP|6990275072478490493</stp>
        <tr r="N1292" s="2"/>
      </tp>
      <tp t="s">
        <v>#N/A Requesting Data...3401992152</v>
        <stp/>
        <stp>BDP|2716560418111104895</stp>
        <tr r="F2420" s="2"/>
      </tp>
      <tp t="s">
        <v>#N/A Requesting Data...3623259637</v>
        <stp/>
        <stp>BDP|1111604307019362146</stp>
        <tr r="P233" s="2"/>
      </tp>
      <tp t="s">
        <v>#N/A Requesting Data...4215013251</v>
        <stp/>
        <stp>BDP|3503407687445370501</stp>
        <tr r="R5" s="2"/>
      </tp>
      <tp t="s">
        <v>#N/A Requesting Data...3506865457</v>
        <stp/>
        <stp>BDP|5048017644549377774</stp>
        <tr r="P2225" s="2"/>
      </tp>
      <tp t="s">
        <v>#N/A Requesting Data...4129712314</v>
        <stp/>
        <stp>BDP|9545340784114038943</stp>
        <tr r="J1013" s="2"/>
      </tp>
      <tp t="s">
        <v>#N/A Requesting Data...3677700545</v>
        <stp/>
        <stp>BDP|4273081777499809546</stp>
        <tr r="N302" s="2"/>
      </tp>
      <tp t="s">
        <v>#N/A Requesting Data...3737591712</v>
        <stp/>
        <stp>BDP|7313112054828465439</stp>
        <tr r="F547" s="2"/>
      </tp>
      <tp t="s">
        <v>#N/A Requesting Data...3925601384</v>
        <stp/>
        <stp>BDP|9014741104254301526</stp>
        <tr r="R1839" s="2"/>
      </tp>
      <tp t="s">
        <v>#N/A Requesting Data...3640350750</v>
        <stp/>
        <stp>BDP|4948241000010404981</stp>
        <tr r="N1905" s="2"/>
      </tp>
      <tp t="s">
        <v>#N/A Requesting Data...4244349997</v>
        <stp/>
        <stp>BDP|1871745528369118244</stp>
        <tr r="M1556" s="2"/>
      </tp>
      <tp t="s">
        <v>#N/A Requesting Data...3582852184</v>
        <stp/>
        <stp>BDP|9415052816030354752</stp>
        <tr r="J1580" s="2"/>
      </tp>
      <tp t="s">
        <v>#N/A Requesting Data...3568523881</v>
        <stp/>
        <stp>BDP|8232076202541059662</stp>
        <tr r="S1412" s="2"/>
      </tp>
      <tp t="s">
        <v>#N/A Requesting Data...3906475966</v>
        <stp/>
        <stp>BDP|1745354599613998738</stp>
        <tr r="D334" s="2"/>
      </tp>
      <tp t="s">
        <v>#N/A Requesting Data...3850100367</v>
        <stp/>
        <stp>BDP|8218912336075008845</stp>
        <tr r="O2323" s="2"/>
      </tp>
      <tp t="s">
        <v>#N/A Requesting Data...3762034349</v>
        <stp/>
        <stp>BDP|6637070197120521026</stp>
        <tr r="D2133" s="2"/>
      </tp>
      <tp t="s">
        <v>#N/A Requesting Data...3800452648</v>
        <stp/>
        <stp>BDP|2825985544256712622</stp>
        <tr r="J646" s="2"/>
      </tp>
      <tp t="s">
        <v>#N/A Requesting Data...3661394930</v>
        <stp/>
        <stp>BDP|4671694718428565437</stp>
        <tr r="Q2153" s="2"/>
      </tp>
      <tp t="s">
        <v>#N/A Requesting Data...3974309941</v>
        <stp/>
        <stp>BDP|6642953672650213726</stp>
        <tr r="K1599" s="2"/>
      </tp>
      <tp t="s">
        <v>#N/A Requesting Data...3705407462</v>
        <stp/>
        <stp>BDP|6449745958379114285</stp>
        <tr r="E1231" s="2"/>
      </tp>
      <tp t="s">
        <v>#N/A Requesting Data...3946694598</v>
        <stp/>
        <stp>BDP|5523108314099055309</stp>
        <tr r="J1276" s="2"/>
      </tp>
      <tp t="s">
        <v>#N/A Requesting Data...4048582865</v>
        <stp/>
        <stp>BDP|5558110126329317001</stp>
        <tr r="K135" s="2"/>
      </tp>
      <tp t="s">
        <v>#N/A Requesting Data...3633918567</v>
        <stp/>
        <stp>BDP|5374799974013904968</stp>
        <tr r="E1036" s="2"/>
      </tp>
      <tp t="s">
        <v>#N/A Requesting Data...3452332828</v>
        <stp/>
        <stp>BDP|7794587577988013290</stp>
        <tr r="O2013" s="2"/>
      </tp>
      <tp t="s">
        <v>#N/A Requesting Data...3818932179</v>
        <stp/>
        <stp>BDP|8656901144102098845</stp>
        <tr r="R919" s="2"/>
      </tp>
      <tp t="s">
        <v>#N/A Requesting Data...3958832107</v>
        <stp/>
        <stp>BDP|1880781766687246822</stp>
        <tr r="S520" s="2"/>
      </tp>
      <tp t="s">
        <v>#N/A Requesting Data...4016480976</v>
        <stp/>
        <stp>BDP|4839197608943920966</stp>
        <tr r="A1793" s="2"/>
      </tp>
      <tp t="s">
        <v>#N/A Requesting Data...3418257348</v>
        <stp/>
        <stp>BDP|3205048190616651363</stp>
        <tr r="R963" s="2"/>
      </tp>
      <tp t="b">
        <v>0</v>
        <stp/>
        <stp>BDS|2089251159292954835</stp>
        <tr r="I528" s="2"/>
      </tp>
      <tp t="s">
        <v>#N/A Requesting Data...3969666965</v>
        <stp/>
        <stp>BDP|4683605390515796179</stp>
        <tr r="H1103" s="2"/>
      </tp>
      <tp t="s">
        <v>#N/A Requesting Data...3602796135</v>
        <stp/>
        <stp>BDP|8936727759307496206</stp>
        <tr r="S479" s="2"/>
      </tp>
      <tp t="s">
        <v>#N/A Requesting Data...4045820473</v>
        <stp/>
        <stp>BDP|9026209532452025545</stp>
        <tr r="C1605" s="2"/>
      </tp>
      <tp t="s">
        <v>#N/A Requesting Data...3441250683</v>
        <stp/>
        <stp>BDP|5551244196931154006</stp>
        <tr r="N616" s="2"/>
      </tp>
      <tp t="s">
        <v>#N/A Requesting Data...3476377840</v>
        <stp/>
        <stp>BDP|2756532382619594953</stp>
        <tr r="D2433" s="2"/>
      </tp>
      <tp t="s">
        <v>#N/A Requesting Data...3740444348</v>
        <stp/>
        <stp>BDP|2171126488553591786</stp>
        <tr r="D2153" s="2"/>
      </tp>
      <tp t="s">
        <v>#N/A Requesting Data...3414589391</v>
        <stp/>
        <stp>BDP|3333575075289281757</stp>
        <tr r="E827" s="2"/>
      </tp>
      <tp t="s">
        <v>#N/A Requesting Data...3772147234</v>
        <stp/>
        <stp>BDP|6121840114913604311</stp>
        <tr r="P734" s="2"/>
      </tp>
      <tp t="s">
        <v>#N/A Requesting Data...3514832744</v>
        <stp/>
        <stp>BDP|3701929339843980533</stp>
        <tr r="K2186" s="2"/>
      </tp>
      <tp t="s">
        <v>#N/A Requesting Data...4126920566</v>
        <stp/>
        <stp>BDP|7319042283187795751</stp>
        <tr r="E1825" s="2"/>
      </tp>
      <tp t="s">
        <v>#N/A Requesting Data...4152988976</v>
        <stp/>
        <stp>BDP|2399136197092266733</stp>
        <tr r="A1525" s="2"/>
      </tp>
      <tp t="s">
        <v>#N/A Requesting Data...3610389770</v>
        <stp/>
        <stp>BDP|2660501446948640400</stp>
        <tr r="Q1238" s="2"/>
      </tp>
      <tp t="s">
        <v>#N/A Requesting Data...3465769399</v>
        <stp/>
        <stp>BDP|5131646581405494162</stp>
        <tr r="O2300" s="2"/>
      </tp>
      <tp t="s">
        <v>#N/A Requesting Data...3818439657</v>
        <stp/>
        <stp>BDP|8501839585870683733</stp>
        <tr r="G427" s="2"/>
      </tp>
      <tp t="s">
        <v>#N/A Requesting Data...3754420842</v>
        <stp/>
        <stp>BDP|2947420884659018899</stp>
        <tr r="O2251" s="2"/>
      </tp>
      <tp t="s">
        <v>#N/A Requesting Data...3914868883</v>
        <stp/>
        <stp>BDP|5322748707084651905</stp>
        <tr r="D1415" s="2"/>
      </tp>
      <tp t="s">
        <v>#N/A Requesting Data...3499803062</v>
        <stp/>
        <stp>BDP|2636668068184606980</stp>
        <tr r="T1766" s="2"/>
      </tp>
      <tp t="s">
        <v>#N/A Requesting Data...4143904481</v>
        <stp/>
        <stp>BDP|5277979665921226448</stp>
        <tr r="T359" s="2"/>
      </tp>
      <tp t="s">
        <v>#N/A Requesting Data...3678362261</v>
        <stp/>
        <stp>BDP|7457157127743690861</stp>
        <tr r="O1906" s="2"/>
      </tp>
      <tp t="s">
        <v>#N/A Requesting Data...3484532575</v>
        <stp/>
        <stp>BDP|1493866879278430993</stp>
        <tr r="Q2176" s="2"/>
      </tp>
      <tp t="s">
        <v>#N/A Requesting Data...4013238285</v>
        <stp/>
        <stp>BDP|3678419583446054622</stp>
        <tr r="A1585" s="2"/>
      </tp>
      <tp t="s">
        <v>#N/A Requesting Data...4021670067</v>
        <stp/>
        <stp>BDP|6359353852887277804</stp>
        <tr r="Q701" s="2"/>
      </tp>
      <tp t="s">
        <v>#N/A Requesting Data...3879014344</v>
        <stp/>
        <stp>BDP|9352860830429357409</stp>
        <tr r="F1169" s="2"/>
      </tp>
      <tp t="s">
        <v>#N/A Requesting Data...3583754331</v>
        <stp/>
        <stp>BDP|4351930896942267927</stp>
        <tr r="O1620" s="2"/>
      </tp>
      <tp t="s">
        <v>#N/A Requesting Data...3647925726</v>
        <stp/>
        <stp>BDP|3783332492545257326</stp>
        <tr r="J2370" s="2"/>
      </tp>
      <tp t="s">
        <v>#N/A Requesting Data...3531531797</v>
        <stp/>
        <stp>BDP|1661254459309858048</stp>
        <tr r="J1289" s="2"/>
      </tp>
      <tp t="s">
        <v>#N/A Requesting Data...3531705416</v>
        <stp/>
        <stp>BDP|9091884899033187469</stp>
        <tr r="N2218" s="2"/>
      </tp>
      <tp t="s">
        <v>#N/A Requesting Data...3682437223</v>
        <stp/>
        <stp>BDP|9222314450596466619</stp>
        <tr r="K415" s="2"/>
      </tp>
      <tp t="s">
        <v>#N/A Requesting Data...3904380549</v>
        <stp/>
        <stp>BDP|9240506380268792336</stp>
        <tr r="J38" s="2"/>
      </tp>
      <tp t="s">
        <v>#N/A Requesting Data...3845118502</v>
        <stp/>
        <stp>BDP|8542329853319107831</stp>
        <tr r="H453" s="2"/>
      </tp>
      <tp t="s">
        <v>#N/A Requesting Data...3717045070</v>
        <stp/>
        <stp>BDP|2362227688856928164</stp>
        <tr r="M2259" s="2"/>
      </tp>
      <tp t="s">
        <v>#N/A Requesting Data...3856672913</v>
        <stp/>
        <stp>BDP|7186010205649064136</stp>
        <tr r="E2090" s="2"/>
      </tp>
      <tp t="s">
        <v>#N/A Requesting Data...4283217844</v>
        <stp/>
        <stp>BDP|7688707446792021964</stp>
        <tr r="A546" s="2"/>
      </tp>
      <tp t="s">
        <v>#N/A Requesting Data...3723855408</v>
        <stp/>
        <stp>BDP|8605158277010403166</stp>
        <tr r="G1869" s="2"/>
      </tp>
      <tp t="s">
        <v>#N/A Requesting Data...4253321213</v>
        <stp/>
        <stp>BDP|3010069602865276909</stp>
        <tr r="O2496" s="2"/>
      </tp>
      <tp t="s">
        <v>#N/A Requesting Data...3689441512</v>
        <stp/>
        <stp>BDP|4897891046677251035</stp>
        <tr r="A1455" s="2"/>
      </tp>
      <tp t="s">
        <v>#N/A Requesting Data...4021818772</v>
        <stp/>
        <stp>BDP|6362207163874215946</stp>
        <tr r="K1662" s="2"/>
      </tp>
      <tp t="s">
        <v>#N/A Requesting Data...4062916008</v>
        <stp/>
        <stp>BDP|8794822555503753915</stp>
        <tr r="P72" s="2"/>
      </tp>
      <tp t="b">
        <v>0</v>
        <stp/>
        <stp>BDS|7017523047330151926</stp>
        <tr r="I1793" s="2"/>
      </tp>
      <tp t="s">
        <v>#N/A Requesting Data...3978297367</v>
        <stp/>
        <stp>BDP|8523307736364400317</stp>
        <tr r="H2089" s="2"/>
      </tp>
      <tp t="s">
        <v>#N/A Requesting Data...3732190450</v>
        <stp/>
        <stp>BDP|8562014288166234981</stp>
        <tr r="D235" s="2"/>
      </tp>
      <tp t="s">
        <v>#N/A Requesting Data...3765508713</v>
        <stp/>
        <stp>BDP|3827966958835241529</stp>
        <tr r="K983" s="2"/>
      </tp>
      <tp t="s">
        <v>#N/A Requesting Data...3681831904</v>
        <stp/>
        <stp>BDP|9804582126399661866</stp>
        <tr r="H903" s="2"/>
      </tp>
      <tp t="s">
        <v>#N/A Requesting Data...3957996565</v>
        <stp/>
        <stp>BDP|2155157916965683822</stp>
        <tr r="J1110" s="2"/>
      </tp>
      <tp t="s">
        <v>#N/A Requesting Data...3740727486</v>
        <stp/>
        <stp>BDP|3363182086885250098</stp>
        <tr r="N1960" s="2"/>
      </tp>
      <tp t="s">
        <v>#N/A Requesting Data...4006050355</v>
        <stp/>
        <stp>BDP|8000040742621661260</stp>
        <tr r="K1272" s="2"/>
      </tp>
      <tp t="s">
        <v>#N/A Requesting Data...3798887749</v>
        <stp/>
        <stp>BDP|9499452111657788415</stp>
        <tr r="T1824" s="2"/>
      </tp>
      <tp t="s">
        <v>#N/A Requesting Data...3714053950</v>
        <stp/>
        <stp>BDP|2526042881083771617</stp>
        <tr r="F2299" s="2"/>
      </tp>
      <tp t="s">
        <v>#N/A Requesting Data...3967768278</v>
        <stp/>
        <stp>BDP|9426767006522433363</stp>
        <tr r="G1271" s="2"/>
      </tp>
      <tp t="s">
        <v>#N/A Requesting Data...3818000671</v>
        <stp/>
        <stp>BDP|4472573538089930447</stp>
        <tr r="C578" s="2"/>
      </tp>
      <tp t="s">
        <v>#N/A Requesting Data...3925689868</v>
        <stp/>
        <stp>BDP|1025554382672929182</stp>
        <tr r="E560" s="2"/>
      </tp>
      <tp t="s">
        <v>#N/A Requesting Data...3579202961</v>
        <stp/>
        <stp>BDP|6395614595400588641</stp>
        <tr r="F2328" s="2"/>
      </tp>
      <tp t="s">
        <v>#N/A Requesting Data...4275752862</v>
        <stp/>
        <stp>BDP|9119122066023653256</stp>
        <tr r="J1778" s="2"/>
      </tp>
      <tp t="s">
        <v>#N/A Requesting Data...4124671922</v>
        <stp/>
        <stp>BDP|3156824470136464515</stp>
        <tr r="P1004" s="2"/>
      </tp>
      <tp t="s">
        <v>#N/A Requesting Data...3931180732</v>
        <stp/>
        <stp>BDP|1492570683806634501</stp>
        <tr r="C1775" s="2"/>
      </tp>
      <tp t="s">
        <v>#N/A Requesting Data...3948717024</v>
        <stp/>
        <stp>BDP|3988418339273665817</stp>
        <tr r="D1890" s="2"/>
      </tp>
      <tp t="s">
        <v>#N/A Requesting Data...3638011897</v>
        <stp/>
        <stp>BDP|5278339661548110779</stp>
        <tr r="E1193" s="2"/>
      </tp>
      <tp t="s">
        <v>#N/A Requesting Data...4206006327</v>
        <stp/>
        <stp>BDP|1939157999331313704</stp>
        <tr r="M1423" s="2"/>
      </tp>
      <tp t="s">
        <v>#N/A Requesting Data...3949501706</v>
        <stp/>
        <stp>BDP|2814574451475167895</stp>
        <tr r="H2023" s="2"/>
      </tp>
      <tp t="s">
        <v>#N/A Requesting Data...3571639421</v>
        <stp/>
        <stp>BDP|5457052598360925364</stp>
        <tr r="Q1857" s="2"/>
      </tp>
      <tp t="s">
        <v>#N/A Requesting Data...3704967050</v>
        <stp/>
        <stp>BDP|2317733185137778546</stp>
        <tr r="A915" s="2"/>
      </tp>
      <tp t="s">
        <v>#N/A Requesting Data...3903792765</v>
        <stp/>
        <stp>BDP|7479767290573735534</stp>
        <tr r="O866" s="2"/>
      </tp>
      <tp t="s">
        <v>#N/A Requesting Data...3818702754</v>
        <stp/>
        <stp>BDP|2950345717196425981</stp>
        <tr r="N824" s="2"/>
      </tp>
      <tp t="s">
        <v>#N/A Requesting Data...4183551411</v>
        <stp/>
        <stp>BDP|4618630804928656518</stp>
        <tr r="H2320" s="2"/>
      </tp>
      <tp t="s">
        <v>#N/A Requesting Data...4282375020</v>
        <stp/>
        <stp>BDP|6354263494167173565</stp>
        <tr r="O178" s="2"/>
      </tp>
      <tp t="s">
        <v>#N/A Requesting Data...3671286135</v>
        <stp/>
        <stp>BDP|9102773432041057323</stp>
        <tr r="F2160" s="2"/>
      </tp>
      <tp t="b">
        <v>0</v>
        <stp/>
        <stp>BDS|8945319740915846566</stp>
        <tr r="I2309" s="2"/>
      </tp>
      <tp t="s">
        <v>#N/A Requesting Data...3871397933</v>
        <stp/>
        <stp>BDP|8394618316694379415</stp>
        <tr r="F2219" s="2"/>
      </tp>
      <tp t="s">
        <v>#N/A Requesting Data...3861032307</v>
        <stp/>
        <stp>BDP|7453951133223550116</stp>
        <tr r="M52" s="2"/>
      </tp>
      <tp t="s">
        <v>#N/A Requesting Data...3776784857</v>
        <stp/>
        <stp>BDP|7565847576701152606</stp>
        <tr r="O1181" s="2"/>
      </tp>
      <tp t="s">
        <v>#N/A Requesting Data...4093409477</v>
        <stp/>
        <stp>BDP|3185739054148608665</stp>
        <tr r="N1450" s="2"/>
      </tp>
      <tp t="s">
        <v>#N/A Requesting Data...3853041282</v>
        <stp/>
        <stp>BDP|9944877836159730494</stp>
        <tr r="F1013" s="2"/>
      </tp>
      <tp t="s">
        <v>#N/A Requesting Data...4150738245</v>
        <stp/>
        <stp>BDP|4273024132700244864</stp>
        <tr r="A165" s="2"/>
      </tp>
      <tp t="s">
        <v>#N/A Requesting Data...4261752512</v>
        <stp/>
        <stp>BDP|8355070735181057575</stp>
        <tr r="D681" s="2"/>
      </tp>
      <tp t="s">
        <v>#N/A Requesting Data...3782005353</v>
        <stp/>
        <stp>BDP|7964682723434221865</stp>
        <tr r="F1948" s="2"/>
      </tp>
      <tp t="s">
        <v>#N/A Requesting Data...3868438173</v>
        <stp/>
        <stp>BDP|4868563928134010802</stp>
        <tr r="O2187" s="2"/>
      </tp>
      <tp t="s">
        <v>#N/A Requesting Data...4136625009</v>
        <stp/>
        <stp>BDP|2721874369086777586</stp>
        <tr r="C2052" s="2"/>
      </tp>
      <tp t="s">
        <v>#N/A Requesting Data...4246082709</v>
        <stp/>
        <stp>BDP|3605197680653048692</stp>
        <tr r="C2042" s="2"/>
      </tp>
      <tp t="s">
        <v>#N/A Requesting Data...3979831750</v>
        <stp/>
        <stp>BDP|2181444584251589021</stp>
        <tr r="E574" s="2"/>
      </tp>
      <tp t="s">
        <v>#N/A Requesting Data...4197316229</v>
        <stp/>
        <stp>BDP|7092771761201650869</stp>
        <tr r="S860" s="2"/>
      </tp>
      <tp t="s">
        <v>#N/A Requesting Data...4117295275</v>
        <stp/>
        <stp>BDP|4054737245790679864</stp>
        <tr r="J522" s="2"/>
      </tp>
      <tp t="s">
        <v>#N/A Requesting Data...3793252510</v>
        <stp/>
        <stp>BDP|6814562392840840529</stp>
        <tr r="H1330" s="2"/>
      </tp>
      <tp t="s">
        <v>#N/A Requesting Data...3789337960</v>
        <stp/>
        <stp>BDP|8857660110137838701</stp>
        <tr r="O2376" s="2"/>
      </tp>
      <tp t="s">
        <v>#N/A Requesting Data...3701101130</v>
        <stp/>
        <stp>BDP|9906885443529209366</stp>
        <tr r="E1006" s="2"/>
      </tp>
      <tp t="s">
        <v>#N/A Requesting Data...4126002123</v>
        <stp/>
        <stp>BDP|2490813120054370314</stp>
        <tr r="S211" s="2"/>
      </tp>
      <tp t="s">
        <v>#N/A Requesting Data...3809476001</v>
        <stp/>
        <stp>BDP|8854518178864344158</stp>
        <tr r="K22" s="2"/>
      </tp>
      <tp t="s">
        <v>#N/A Requesting Data...4228536173</v>
        <stp/>
        <stp>BDP|8318369837213253476</stp>
        <tr r="H1740" s="2"/>
      </tp>
      <tp t="s">
        <v>#N/A Requesting Data...4233878148</v>
        <stp/>
        <stp>BDP|9298260520380567665</stp>
        <tr r="N1263" s="2"/>
      </tp>
      <tp t="s">
        <v>#N/A Requesting Data...4091256917</v>
        <stp/>
        <stp>BDP|6337553503065287901</stp>
        <tr r="F2276" s="2"/>
      </tp>
      <tp t="s">
        <v>#N/A Requesting Data...4009678344</v>
        <stp/>
        <stp>BDP|8776641800259453808</stp>
        <tr r="Q1627" s="2"/>
      </tp>
      <tp t="s">
        <v>#N/A Requesting Data...3894949514</v>
        <stp/>
        <stp>BDP|7187570567208254347</stp>
        <tr r="A1991" s="2"/>
      </tp>
      <tp t="s">
        <v>#N/A Requesting Data...4114711651</v>
        <stp/>
        <stp>BDP|6256123973898754733</stp>
        <tr r="N2259" s="2"/>
      </tp>
      <tp t="s">
        <v>#N/A Requesting Data...3887157441</v>
        <stp/>
        <stp>BDP|8812883689145933278</stp>
        <tr r="J366" s="2"/>
      </tp>
      <tp t="s">
        <v>#N/A Requesting Data...3713236477</v>
        <stp/>
        <stp>BDP|9299971052278740276</stp>
        <tr r="K2489" s="2"/>
      </tp>
      <tp t="s">
        <v>#N/A Requesting Data...4109525234</v>
        <stp/>
        <stp>BDP|7787220700228107231</stp>
        <tr r="T2002" s="2"/>
      </tp>
      <tp t="s">
        <v>#N/A Requesting Data...4173852936</v>
        <stp/>
        <stp>BDP|8563561282869332357</stp>
        <tr r="K2013" s="2"/>
      </tp>
      <tp t="s">
        <v>#N/A Requesting Data...4119406775</v>
        <stp/>
        <stp>BDP|5363070221721424968</stp>
        <tr r="P2396" s="2"/>
      </tp>
      <tp t="s">
        <v>#N/A Requesting Data...4055508598</v>
        <stp/>
        <stp>BDP|5851726133949723793</stp>
        <tr r="H2156" s="2"/>
      </tp>
      <tp t="s">
        <v>#N/A Requesting Data...3894684684</v>
        <stp/>
        <stp>BDP|2307138273809027249</stp>
        <tr r="J21" s="2"/>
      </tp>
      <tp t="s">
        <v>#N/A Requesting Data...4005385827</v>
        <stp/>
        <stp>BDP|9021408710083780009</stp>
        <tr r="Q2157" s="2"/>
      </tp>
      <tp t="s">
        <v>#N/A Requesting Data...3997776746</v>
        <stp/>
        <stp>BDP|9526726272401139739</stp>
        <tr r="K529" s="2"/>
      </tp>
      <tp t="s">
        <v>#N/A Requesting Data...3788205726</v>
        <stp/>
        <stp>BDP|4202957184262790831</stp>
        <tr r="S1045" s="2"/>
      </tp>
      <tp t="s">
        <v>#N/A Requesting Data...3833010553</v>
        <stp/>
        <stp>BDP|2631809729361937616</stp>
        <tr r="N2352" s="2"/>
      </tp>
      <tp t="s">
        <v>#N/A Requesting Data...3927646176</v>
        <stp/>
        <stp>BDP|7357477201874225804</stp>
        <tr r="D163" s="2"/>
      </tp>
      <tp t="s">
        <v>#N/A Requesting Data...4291152243</v>
        <stp/>
        <stp>BDP|6998173210300928907</stp>
        <tr r="D1300" s="2"/>
      </tp>
      <tp t="s">
        <v>#N/A Requesting Data...4196818387</v>
        <stp/>
        <stp>BDP|3199733317109554372</stp>
        <tr r="Q2336" s="2"/>
      </tp>
      <tp t="s">
        <v>#N/A Requesting Data...4231279610</v>
        <stp/>
        <stp>BDP|5341118877314017822</stp>
        <tr r="E309" s="2"/>
      </tp>
      <tp t="s">
        <v>#N/A Requesting Data...4090385806</v>
        <stp/>
        <stp>BDP|4608479877219448153</stp>
        <tr r="F2453" s="2"/>
      </tp>
      <tp t="s">
        <v>#N/A Requesting Data...4029312753</v>
        <stp/>
        <stp>BDP|1891538405129093296</stp>
        <tr r="P2447" s="2"/>
      </tp>
      <tp t="s">
        <v>#N/A Requesting Data...3719882695</v>
        <stp/>
        <stp>BDP|4719936808835947724</stp>
        <tr r="F211" s="2"/>
      </tp>
      <tp t="s">
        <v>#N/A Requesting Data...4213776095</v>
        <stp/>
        <stp>BDP|2491428279908913616</stp>
        <tr r="Q1257" s="2"/>
      </tp>
      <tp t="s">
        <v>#N/A Requesting Data...3870088390</v>
        <stp/>
        <stp>BDP|7586515780037403272</stp>
        <tr r="C204" s="2"/>
      </tp>
      <tp t="s">
        <v>#N/A Requesting Data...4282795003</v>
        <stp/>
        <stp>BDP|1855900549301112278</stp>
        <tr r="N1889" s="2"/>
      </tp>
      <tp t="s">
        <v>#N/A Requesting Data...4197471721</v>
        <stp/>
        <stp>BDP|6039419776063724977</stp>
        <tr r="J132" s="2"/>
      </tp>
      <tp t="s">
        <v>#N/A Requesting Data...4131898674</v>
        <stp/>
        <stp>BDP|6337666495986666015</stp>
        <tr r="E2387" s="2"/>
      </tp>
      <tp t="s">
        <v>#N/A Requesting Data...3756159233</v>
        <stp/>
        <stp>BDP|3931579806241655892</stp>
        <tr r="Q1407" s="2"/>
      </tp>
      <tp t="s">
        <v>#N/A Requesting Data...3867273060</v>
        <stp/>
        <stp>BDP|5923919433435420583</stp>
        <tr r="H316" s="2"/>
      </tp>
      <tp t="s">
        <v>#N/A Requesting Data...3975027646</v>
        <stp/>
        <stp>BDP|2996383748532814860</stp>
        <tr r="C1651" s="2"/>
      </tp>
      <tp t="s">
        <v>#N/A Requesting Data...3865423947</v>
        <stp/>
        <stp>BDP|8860378569621607376</stp>
        <tr r="O1889" s="2"/>
      </tp>
      <tp t="s">
        <v>#N/A Requesting Data...4014729843</v>
        <stp/>
        <stp>BDP|2141943553202936388</stp>
        <tr r="M660" s="2"/>
      </tp>
      <tp t="s">
        <v>#N/A Requesting Data...3989849318</v>
        <stp/>
        <stp>BDP|5713713234116062854</stp>
        <tr r="D1925" s="2"/>
      </tp>
      <tp t="s">
        <v>#N/A Requesting Data...4188568007</v>
        <stp/>
        <stp>BDP|7941299595011389214</stp>
        <tr r="S59" s="2"/>
      </tp>
      <tp t="s">
        <v>#N/A Requesting Data...3800400973</v>
        <stp/>
        <stp>BDP|4510355193182367372</stp>
        <tr r="M1554" s="2"/>
      </tp>
      <tp t="s">
        <v>#N/A Requesting Data...3802428345</v>
        <stp/>
        <stp>BDP|5321323524398333310</stp>
        <tr r="R1940" s="2"/>
      </tp>
      <tp t="s">
        <v>#N/A Requesting Data...4275434165</v>
        <stp/>
        <stp>BDP|7323618005997242926</stp>
        <tr r="Q553" s="2"/>
      </tp>
      <tp t="s">
        <v>#N/A Requesting Data...3928760055</v>
        <stp/>
        <stp>BDP|2107215120025250850</stp>
        <tr r="P1582" s="2"/>
      </tp>
      <tp t="s">
        <v>#N/A Requesting Data...4183774616</v>
        <stp/>
        <stp>BDP|6670967028064993669</stp>
        <tr r="Q1135" s="2"/>
      </tp>
      <tp t="s">
        <v>#N/A Requesting Data...3873897863</v>
        <stp/>
        <stp>BDP|8325223402432762733</stp>
        <tr r="J2360" s="2"/>
      </tp>
      <tp t="s">
        <v>#N/A Requesting Data...3925443150</v>
        <stp/>
        <stp>BDP|5086093684206801429</stp>
        <tr r="E703" s="2"/>
      </tp>
      <tp t="s">
        <v>#N/A Requesting Data...4131358749</v>
        <stp/>
        <stp>BDP|2291905653587317658</stp>
        <tr r="P2366" s="2"/>
      </tp>
      <tp t="s">
        <v>#N/A Requesting Data...4012694811</v>
        <stp/>
        <stp>BDP|2501782728541724956</stp>
        <tr r="P1961" s="2"/>
      </tp>
      <tp t="s">
        <v>#N/A Requesting Data...4237393563</v>
        <stp/>
        <stp>BDP|5136569699830923603</stp>
        <tr r="D2070" s="2"/>
      </tp>
      <tp t="s">
        <v>#N/A Requesting Data...4252377015</v>
        <stp/>
        <stp>BDP|4757955756277634052</stp>
        <tr r="D2286" s="2"/>
      </tp>
      <tp t="s">
        <v>#N/A Requesting Data...3912636912</v>
        <stp/>
        <stp>BDP|4543951326485534541</stp>
        <tr r="S100" s="2"/>
      </tp>
      <tp t="s">
        <v>#N/A Requesting Data...4278658052</v>
        <stp/>
        <stp>BDP|6738746561130451812</stp>
        <tr r="H1496" s="2"/>
      </tp>
      <tp t="s">
        <v>#N/A Requesting Data...3883929725</v>
        <stp/>
        <stp>BDP|3736005391250718566</stp>
        <tr r="A1683" s="2"/>
      </tp>
      <tp t="s">
        <v>#N/A Requesting Data...4028646411</v>
        <stp/>
        <stp>BDP|2610362696597016014</stp>
        <tr r="O2235" s="2"/>
      </tp>
      <tp t="b">
        <v>0</v>
        <stp/>
        <stp>BDS|3110394096607959106</stp>
        <tr r="I2457" s="2"/>
      </tp>
      <tp t="s">
        <v>#N/A Requesting Data...3946397693</v>
        <stp/>
        <stp>BDP|7231582096197842337</stp>
        <tr r="A2348" s="2"/>
      </tp>
      <tp t="s">
        <v>#N/A Requesting Data...4087643429</v>
        <stp/>
        <stp>BDP|9059267640445151500</stp>
        <tr r="J1570" s="2"/>
      </tp>
      <tp t="s">
        <v>#N/A Requesting Data...4245441401</v>
        <stp/>
        <stp>BDP|2330377392425306222</stp>
        <tr r="A806" s="2"/>
      </tp>
      <tp t="s">
        <v>#N/A Requesting Data...3837786355</v>
        <stp/>
        <stp>BDP|9556261334671852685</stp>
        <tr r="M380" s="2"/>
      </tp>
      <tp t="s">
        <v>#N/A Requesting Data...4262960683</v>
        <stp/>
        <stp>BDP|9545790118320357000</stp>
        <tr r="O441" s="2"/>
      </tp>
      <tp t="s">
        <v>#N/A Requesting Data...4120216245</v>
        <stp/>
        <stp>BDP|8967535438248214972</stp>
        <tr r="F1045" s="2"/>
      </tp>
      <tp t="s">
        <v>#N/A Requesting Data...4001882726</v>
        <stp/>
        <stp>BDP|5094059180233528172</stp>
        <tr r="A964" s="2"/>
      </tp>
      <tp t="s">
        <v>#N/A Requesting Data...4138087389</v>
        <stp/>
        <stp>BDP|7949704610697659981</stp>
        <tr r="G2005" s="2"/>
      </tp>
      <tp t="s">
        <v>#N/A Requesting Data...4087776139</v>
        <stp/>
        <stp>BDP|2392899503740854567</stp>
        <tr r="M2438" s="2"/>
      </tp>
      <tp t="s">
        <v>#N/A Requesting Data...3971642059</v>
        <stp/>
        <stp>BDP|2729352117839395614</stp>
        <tr r="D1572" s="2"/>
      </tp>
      <tp t="s">
        <v>#N/A Requesting Data...4263809147</v>
        <stp/>
        <stp>BDP|5465583189194537372</stp>
        <tr r="A1755" s="2"/>
      </tp>
      <tp t="s">
        <v>#N/A Requesting Data...4017884936</v>
        <stp/>
        <stp>BDP|8454040964023294219</stp>
        <tr r="A1378" s="2"/>
      </tp>
      <tp t="s">
        <v>#N/A Requesting Data...4065024206</v>
        <stp/>
        <stp>BDP|7575760344599609266</stp>
        <tr r="K1934" s="2"/>
      </tp>
      <tp t="s">
        <v>#N/A Requesting Data...3880711773</v>
        <stp/>
        <stp>BDP|6305836313693148350</stp>
        <tr r="H681" s="2"/>
      </tp>
      <tp t="s">
        <v>#N/A Requesting Data...3920403815</v>
        <stp/>
        <stp>BDP|5356609482764399056</stp>
        <tr r="J235" s="2"/>
      </tp>
      <tp t="s">
        <v>#N/A Requesting Data...4276657554</v>
        <stp/>
        <stp>BDP|8142394578107779402</stp>
        <tr r="S353" s="2"/>
      </tp>
      <tp t="s">
        <v>#N/A Requesting Data...4031374785</v>
        <stp/>
        <stp>BDP|3079551093213211331</stp>
        <tr r="G1555" s="2"/>
      </tp>
      <tp t="s">
        <v>#N/A Requesting Data...4005052447</v>
        <stp/>
        <stp>BDP|2051214404979597676</stp>
        <tr r="E2253" s="2"/>
      </tp>
      <tp t="s">
        <v>#N/A Requesting Data...4084922994</v>
        <stp/>
        <stp>BDP|6366231484132127123</stp>
        <tr r="K2521" s="2"/>
      </tp>
      <tp t="s">
        <v>#N/A Requesting Data...4064261397</v>
        <stp/>
        <stp>BDP|7178736821334174952</stp>
        <tr r="G1681" s="2"/>
      </tp>
      <tp t="s">
        <v>#N/A Requesting Data...4013589582</v>
        <stp/>
        <stp>BDP|2351652431619329134</stp>
        <tr r="S634" s="2"/>
      </tp>
      <tp t="s">
        <v>#N/A Requesting Data...3940425230</v>
        <stp/>
        <stp>BDP|9888841737859912457</stp>
        <tr r="J1642" s="2"/>
      </tp>
      <tp t="s">
        <v>#N/A Requesting Data...4137195972</v>
        <stp/>
        <stp>BDP|4775972820578473830</stp>
        <tr r="S690" s="2"/>
      </tp>
      <tp t="s">
        <v>#N/A Requesting Data...3903811468</v>
        <stp/>
        <stp>BDP|8211478721425080433</stp>
        <tr r="O108" s="2"/>
      </tp>
      <tp t="b">
        <v>0</v>
        <stp/>
        <stp>BDS|6240041370546970882</stp>
        <tr r="I2356" s="2"/>
      </tp>
      <tp t="s">
        <v>#N/A Requesting Data...4091500541</v>
        <stp/>
        <stp>BDP|9190957289870217781</stp>
        <tr r="E1187" s="2"/>
      </tp>
      <tp t="s">
        <v>#N/A Requesting Data...4067386702</v>
        <stp/>
        <stp>BDP|5829971429894089515</stp>
        <tr r="J1901" s="2"/>
      </tp>
      <tp t="s">
        <v>#N/A Requesting Data...4063684675</v>
        <stp/>
        <stp>BDP|6054334781151209376</stp>
        <tr r="K1838" s="2"/>
      </tp>
      <tp t="s">
        <v>#N/A Requesting Data...4197604512</v>
        <stp/>
        <stp>BDP|7516129352575239908</stp>
        <tr r="G1847" s="2"/>
      </tp>
      <tp t="s">
        <v>#N/A Requesting Data...4125146712</v>
        <stp/>
        <stp>BDP|7714679291886325154</stp>
        <tr r="O849" s="2"/>
      </tp>
      <tp t="s">
        <v>#N/A Requesting Data...4020896582</v>
        <stp/>
        <stp>BDP|4523055742878547732</stp>
        <tr r="E1851" s="2"/>
      </tp>
      <tp t="s">
        <v>#N/A Requesting Data...4188477511</v>
        <stp/>
        <stp>BDP|3294600760718135474</stp>
        <tr r="R171" s="2"/>
      </tp>
      <tp t="s">
        <v>#N/A Requesting Data...4274270249</v>
        <stp/>
        <stp>BDP|5445041006399385317</stp>
        <tr r="Q890" s="2"/>
      </tp>
      <tp t="s">
        <v>#N/A Requesting Data...4257421986</v>
        <stp/>
        <stp>BDP|8816889655403267932</stp>
        <tr r="F1264" s="2"/>
      </tp>
      <tp t="s">
        <v>#N/A Requesting Data...4278960601</v>
        <stp/>
        <stp>BDP|8740434297942307841</stp>
        <tr r="S60" s="2"/>
      </tp>
      <tp t="s">
        <v>#N/A Requesting Data...4261516354</v>
        <stp/>
        <stp>BDP|2169992577871237297</stp>
        <tr r="H181" s="2"/>
      </tp>
      <tp t="s">
        <v>#N/A Requesting Data...4145897103</v>
        <stp/>
        <stp>BDP|8544106643183397112</stp>
        <tr r="C1263" s="2"/>
      </tp>
      <tp t="s">
        <v>#N/A Requesting Data...4113790602</v>
        <stp/>
        <stp>BDP|6445737183987307132</stp>
        <tr r="R979" s="2"/>
      </tp>
      <tp t="s">
        <v>#N/A Requesting Data...3991112090</v>
        <stp/>
        <stp>BDP|3156643389065993714</stp>
        <tr r="M562" s="2"/>
      </tp>
      <tp t="s">
        <v>#N/A Requesting Data...4233607097</v>
        <stp/>
        <stp>BDP|6930750969190111808</stp>
        <tr r="A1818" s="2"/>
      </tp>
      <tp t="s">
        <v>#N/A Requesting Data...4163036290</v>
        <stp/>
        <stp>BDP|5287391037233178997</stp>
        <tr r="R648" s="2"/>
      </tp>
      <tp t="s">
        <v>#N/A Requesting Data...4080608823</v>
        <stp/>
        <stp>BDP|7297954815938160879</stp>
        <tr r="P1560" s="2"/>
      </tp>
      <tp t="b">
        <v>0</v>
        <stp/>
        <stp>BDS|7644540890934016064</stp>
        <tr r="I2289" s="2"/>
      </tp>
      <tp t="s">
        <v>#N/A Requesting Data...4004151332</v>
        <stp/>
        <stp>BDP|9274049640513388118</stp>
        <tr r="D2216" s="2"/>
      </tp>
      <tp t="s">
        <v>#N/A Requesting Data...4251089288</v>
        <stp/>
        <stp>BDP|1631428646059772716</stp>
        <tr r="C1377" s="2"/>
      </tp>
      <tp t="s">
        <v>#N/A Requesting Data...3960907035</v>
        <stp/>
        <stp>BDP|1279852851142769158</stp>
        <tr r="G664" s="2"/>
      </tp>
      <tp t="s">
        <v>#N/A Requesting Data...4018017506</v>
        <stp/>
        <stp>BDP|2655928995718211571</stp>
        <tr r="S47" s="2"/>
      </tp>
      <tp t="s">
        <v>#N/A Requesting Data...4099813388</v>
        <stp/>
        <stp>BDP|2544956220931738735</stp>
        <tr r="J2165" s="2"/>
      </tp>
      <tp t="s">
        <v>#N/A Requesting Data...4176830387</v>
        <stp/>
        <stp>BDP|7430563202834573913</stp>
        <tr r="H1353" s="2"/>
      </tp>
      <tp t="s">
        <v>#N/A Requesting Data...4097676853</v>
        <stp/>
        <stp>BDP|1517837423311099510</stp>
        <tr r="E126" s="2"/>
      </tp>
      <tp t="s">
        <v>#N/A Requesting Data...4128527660</v>
        <stp/>
        <stp>BDP|4808624996096883200</stp>
        <tr r="N1530" s="2"/>
      </tp>
      <tp t="s">
        <v>#N/A Requesting Data...4059187639</v>
        <stp/>
        <stp>BDP|2510968462793398168</stp>
        <tr r="D1459" s="2"/>
      </tp>
      <tp t="s">
        <v>#N/A Requesting Data...4004951965</v>
        <stp/>
        <stp>BDP|8146441867191220449</stp>
        <tr r="O2281" s="2"/>
      </tp>
      <tp t="s">
        <v>#N/A Requesting Data...4019151706</v>
        <stp/>
        <stp>BDP|5881841008641756375</stp>
        <tr r="J1266" s="2"/>
      </tp>
      <tp t="b">
        <v>0</v>
        <stp/>
        <stp>BDS|6775598204725942971</stp>
        <tr r="I652" s="2"/>
      </tp>
      <tp t="s">
        <v>#N/A Requesting Data...4099616634</v>
        <stp/>
        <stp>BDP|1925935406660067789</stp>
        <tr r="O166" s="2"/>
      </tp>
      <tp t="s">
        <v>#N/A Requesting Data...4006531724</v>
        <stp/>
        <stp>BDP|9157292344566093685</stp>
        <tr r="A479" s="2"/>
      </tp>
      <tp t="s">
        <v>#N/A Requesting Data...3976751301</v>
        <stp/>
        <stp>BDP|1881851649224369633</stp>
        <tr r="C644" s="2"/>
      </tp>
      <tp t="s">
        <v>#N/A Requesting Data...4134631470</v>
        <stp/>
        <stp>BDP|1006755815789655126</stp>
        <tr r="J333" s="2"/>
      </tp>
      <tp t="s">
        <v>#N/A Requesting Data...3986204322</v>
        <stp/>
        <stp>BDP|7897598693454009064</stp>
        <tr r="D386" s="2"/>
      </tp>
      <tp t="s">
        <v>#N/A Requesting Data...4029411515</v>
        <stp/>
        <stp>BDP|8269404914092524071</stp>
        <tr r="S886" s="2"/>
      </tp>
      <tp t="s">
        <v>#N/A Requesting Data...4239082486</v>
        <stp/>
        <stp>BDP|1736453344156789858</stp>
        <tr r="S1707" s="2"/>
      </tp>
      <tp t="b">
        <v>0</v>
        <stp/>
        <stp>BDS|2242234836228763446</stp>
        <tr r="I1184" s="2"/>
      </tp>
      <tp t="s">
        <v>#N/A Requesting Data...4066728273</v>
        <stp/>
        <stp>BDP|1342803814386053131</stp>
        <tr r="P2209" s="2"/>
      </tp>
      <tp t="s">
        <v>#N/A Requesting Data...4071085877</v>
        <stp/>
        <stp>BDP|2918546759574179915</stp>
        <tr r="E674" s="2"/>
      </tp>
      <tp t="s">
        <v>#N/A Requesting Data...4062227289</v>
        <stp/>
        <stp>BDP|7820020741808696493</stp>
        <tr r="E2206" s="2"/>
      </tp>
      <tp t="s">
        <v>#N/A Requesting Data...4211704666</v>
        <stp/>
        <stp>BDP|9642466057741565663</stp>
        <tr r="C2295" s="2"/>
      </tp>
      <tp t="s">
        <v>#N/A Requesting Data...4250889871</v>
        <stp/>
        <stp>BDP|4092921726801789178</stp>
        <tr r="C1022" s="2"/>
      </tp>
      <tp t="s">
        <v>#N/A Requesting Data...4056196898</v>
        <stp/>
        <stp>BDP|2129268852819668374</stp>
        <tr r="M579" s="2"/>
      </tp>
      <tp t="s">
        <v>#N/A Requesting Data...4071015564</v>
        <stp/>
        <stp>BDP|7470152882268526925</stp>
        <tr r="N2440" s="2"/>
      </tp>
      <tp t="s">
        <v>#N/A Requesting Data...4065826564</v>
        <stp/>
        <stp>BDP|1731303644330244954</stp>
        <tr r="F365" s="2"/>
      </tp>
      <tp t="s">
        <v>#N/A Requesting Data...4165029395</v>
        <stp/>
        <stp>BDP|5046354637262194878</stp>
        <tr r="P2513" s="2"/>
      </tp>
      <tp t="s">
        <v>#N/A Requesting Data...4280169412</v>
        <stp/>
        <stp>BDP|7380548803825187813</stp>
        <tr r="E1392" s="2"/>
      </tp>
      <tp t="s">
        <v>#N/A Requesting Data...4142842240</v>
        <stp/>
        <stp>BDP|2866222886210915714</stp>
        <tr r="Q1425" s="2"/>
      </tp>
      <tp t="s">
        <v>#N/A Requesting Data...4192356788</v>
        <stp/>
        <stp>BDP|5448585413558332684</stp>
        <tr r="T718" s="2"/>
      </tp>
      <tp t="s">
        <v>#N/A Requesting Data...4194232058</v>
        <stp/>
        <stp>BDP|4490489508259654665</stp>
        <tr r="F2077" s="2"/>
      </tp>
      <tp t="s">
        <v>#N/A Requesting Data...4256762410</v>
        <stp/>
        <stp>BDP|9627494188332166821</stp>
        <tr r="O1485" s="2"/>
      </tp>
      <tp t="s">
        <v>#N/A Requesting Data...4089200454</v>
        <stp/>
        <stp>BDP|3415807912960052528</stp>
        <tr r="J2152" s="2"/>
      </tp>
      <tp t="s">
        <v>#N/A Requesting Data...4207877754</v>
        <stp/>
        <stp>BDP|1712851167701419154</stp>
        <tr r="A1651" s="2"/>
      </tp>
      <tp t="s">
        <v>#N/A Requesting Data...4199692689</v>
        <stp/>
        <stp>BDP|5360145144626786908</stp>
        <tr r="N21" s="2"/>
      </tp>
      <tp t="s">
        <v>#N/A Requesting Data...4061697069</v>
        <stp/>
        <stp>BDP|6435832531056250401</stp>
        <tr r="R2368" s="2"/>
      </tp>
      <tp t="s">
        <v>#N/A Requesting Data...4157768533</v>
        <stp/>
        <stp>BDP|9465838159422991936</stp>
        <tr r="P1409" s="2"/>
      </tp>
      <tp t="s">
        <v>#N/A Requesting Data...4247443048</v>
        <stp/>
        <stp>BDP|9756180102212901502</stp>
        <tr r="E1888" s="2"/>
      </tp>
      <tp t="s">
        <v>#N/A Requesting Data...4277093336</v>
        <stp/>
        <stp>BDP|6668274755978098607</stp>
        <tr r="F1397" s="2"/>
      </tp>
      <tp t="s">
        <v>#N/A Requesting Data...4181923294</v>
        <stp/>
        <stp>BDP|5778574044583861885</stp>
        <tr r="H2457" s="2"/>
      </tp>
      <tp t="s">
        <v>#N/A Requesting Data...4289583745</v>
        <stp/>
        <stp>BDP|2296553470679297610</stp>
        <tr r="O379" s="2"/>
      </tp>
      <tp t="s">
        <v>#N/A Requesting Data...4212369987</v>
        <stp/>
        <stp>BDP|8218637991200753834</stp>
        <tr r="H246" s="2"/>
      </tp>
      <tp t="b">
        <v>0</v>
        <stp/>
        <stp>BDS|8254047307455400210</stp>
        <tr r="I1402" s="2"/>
      </tp>
      <tp t="s">
        <v>#N/A Requesting Data...4146795030</v>
        <stp/>
        <stp>BDP|9069335326786281139</stp>
        <tr r="N842" s="2"/>
      </tp>
      <tp t="s">
        <v>#N/A Requesting Data...4226002386</v>
        <stp/>
        <stp>BDP|6488841790331162959</stp>
        <tr r="A143" s="2"/>
      </tp>
      <tp t="s">
        <v>#N/A Requesting Data...4275132709</v>
        <stp/>
        <stp>BDP|8099869753009920387</stp>
        <tr r="R366" s="2"/>
      </tp>
      <tp t="s">
        <v>#N/A Requesting Data...4202646925</v>
        <stp/>
        <stp>BDP|6728840111743764316</stp>
        <tr r="O1273" s="2"/>
      </tp>
      <tp t="s">
        <v>#N/A Requesting Data...4201314479</v>
        <stp/>
        <stp>BDP|8012052755191215366</stp>
        <tr r="A2202" s="2"/>
      </tp>
      <tp t="s">
        <v>#N/A Requesting Data...4293849907</v>
        <stp/>
        <stp>BDP|6722230895383149140</stp>
        <tr r="S1277" s="2"/>
      </tp>
      <tp t="s">
        <v>#N/A Requesting Data...4185473187</v>
        <stp/>
        <stp>BDP|6543971934144719751</stp>
        <tr r="H2093" s="2"/>
      </tp>
      <tp t="s">
        <v>#N/A Requesting Data...4129658361</v>
        <stp/>
        <stp>BDP|3649023967052327841</stp>
        <tr r="T1850" s="2"/>
      </tp>
      <tp t="s">
        <v>#N/A Requesting Data...4140272709</v>
        <stp/>
        <stp>BDP|6026398140086587886</stp>
        <tr r="K1780" s="2"/>
      </tp>
      <tp t="s">
        <v>#N/A Requesting Data...4275266394</v>
        <stp/>
        <stp>BDP|8249705061747174165</stp>
        <tr r="O2053" s="2"/>
      </tp>
      <tp t="s">
        <v>#N/A Requesting Data...4286366710</v>
        <stp/>
        <stp>BDP|5017246883419024935</stp>
        <tr r="N266" s="2"/>
      </tp>
      <tp t="s">
        <v>#N/A Requesting Data...4251711627</v>
        <stp/>
        <stp>BDP|9613026912000511772</stp>
        <tr r="O955" s="2"/>
      </tp>
      <tp t="s">
        <v>#N/A Requesting Data...4149947500</v>
        <stp/>
        <stp>BDP|4682296879696063829</stp>
        <tr r="G2126" s="2"/>
      </tp>
      <tp t="s">
        <v>#N/A Requesting Data...4170128772</v>
        <stp/>
        <stp>BDP|9222077383718560673</stp>
        <tr r="R67" s="2"/>
      </tp>
      <tp t="s">
        <v>#N/A Requesting Data...4246428356</v>
        <stp/>
        <stp>BDP|3469823973883624078</stp>
        <tr r="D1796" s="2"/>
      </tp>
      <tp t="s">
        <v>#N/A Requesting Data...4292668152</v>
        <stp/>
        <stp>BDP|8329637414287319731</stp>
        <tr r="C514" s="2"/>
      </tp>
      <tp t="s">
        <v>#N/A Requesting Data...4255897423</v>
        <stp/>
        <stp>BDP|3063573598249368986</stp>
        <tr r="F385" s="2"/>
      </tp>
      <tp t="s">
        <v>#N/A Requesting Data...4192437538</v>
        <stp/>
        <stp>BDP|7439343444438879785</stp>
        <tr r="A2494" s="2"/>
      </tp>
      <tp t="s">
        <v>#N/A Requesting Data...4267961425</v>
        <stp/>
        <stp>BDP|9050780379166077055</stp>
        <tr r="H692" s="2"/>
      </tp>
      <tp t="s">
        <v>#N/A Requesting Data...4289820910</v>
        <stp/>
        <stp>BDP|5797796381826925323</stp>
        <tr r="M2506" s="2"/>
      </tp>
      <tp t="s">
        <v>#N/A Requesting Data...4179626571</v>
        <stp/>
        <stp>BDP|3216253662718538040</stp>
        <tr r="C1923" s="2"/>
      </tp>
      <tp t="s">
        <v>#N/A Requesting Data...4144102069</v>
        <stp/>
        <stp>BDP|4238862739649061997</stp>
        <tr r="S1361" s="2"/>
      </tp>
      <tp t="s">
        <v>#N/A Requesting Data...4159263076</v>
        <stp/>
        <stp>BDP|2092924610142046771</stp>
        <tr r="F621" s="2"/>
      </tp>
      <tp t="s">
        <v>#N/A Requesting Data...4195319603</v>
        <stp/>
        <stp>BDP|9484549380978610330</stp>
        <tr r="P1220" s="2"/>
      </tp>
      <tp t="b">
        <v>0</v>
        <stp/>
        <stp>BDS|6565976407802221220</stp>
        <tr r="I184" s="2"/>
      </tp>
      <tp t="b">
        <v>0</v>
        <stp/>
        <stp>BDS|7508046305509684171</stp>
        <tr r="I460" s="2"/>
      </tp>
      <tp t="s">
        <v>#N/A Requesting Data...4160848454</v>
        <stp/>
        <stp>BDP|8605279189794475990</stp>
        <tr r="H1848" s="2"/>
      </tp>
      <tp t="s">
        <v>#N/A Requesting Data...4177315402</v>
        <stp/>
        <stp>BDP|6888980452174422132</stp>
        <tr r="J321" s="2"/>
      </tp>
      <tp t="s">
        <v>#N/A Requesting Data...4267477223</v>
        <stp/>
        <stp>BDP|8359275114304221078</stp>
        <tr r="R2283" s="2"/>
      </tp>
      <tp t="s">
        <v>#N/A Requesting Data...4269032283</v>
        <stp/>
        <stp>BDP|5436849100686334466</stp>
        <tr r="A340" s="2"/>
      </tp>
      <tp t="s">
        <v>#N/A Requesting Data...4264688249</v>
        <stp/>
        <stp>BDP|5652553635525792942</stp>
        <tr r="F960" s="2"/>
      </tp>
      <tp t="s">
        <v>#N/A Requesting Data...4286690910</v>
        <stp/>
        <stp>BDP|3789130842018592169</stp>
        <tr r="F1485" s="2"/>
      </tp>
      <tp t="s">
        <v>#N/A Requesting Data...4226329204</v>
        <stp/>
        <stp>BDP|8681350024737359112</stp>
        <tr r="F2454" s="2"/>
      </tp>
      <tp t="s">
        <v>#N/A Requesting Data...4245289302</v>
        <stp/>
        <stp>BDP|1310073881341382732</stp>
        <tr r="C1530" s="2"/>
      </tp>
      <tp t="s">
        <v>#N/A Requesting Data...4216398250</v>
        <stp/>
        <stp>BDP|9636161612086512028</stp>
        <tr r="H1993" s="2"/>
      </tp>
      <tp t="s">
        <v>#N/A Requesting Data...4186452113</v>
        <stp/>
        <stp>BDP|8116420575000296412</stp>
        <tr r="S5" s="2"/>
      </tp>
      <tp t="s">
        <v>#N/A Requesting Data...4224342652</v>
        <stp/>
        <stp>BDP|9704012963674969498</stp>
        <tr r="Q903" s="2"/>
      </tp>
      <tp t="s">
        <v>#N/A Requesting Data...4200226198</v>
        <stp/>
        <stp>BDP|4217002361634088967</stp>
        <tr r="M727" s="2"/>
      </tp>
      <tp t="s">
        <v>#N/A Requesting Data...4264611865</v>
        <stp/>
        <stp>BDP|5469945592868411230</stp>
        <tr r="A372" s="2"/>
      </tp>
      <tp t="s">
        <v>#N/A Requesting Data...4254115767</v>
        <stp/>
        <stp>BDP|6050196739533532808</stp>
        <tr r="F1949" s="2"/>
      </tp>
      <tp t="s">
        <v>#N/A Requesting Data...4265838570</v>
        <stp/>
        <stp>BDP|7337720925695391821</stp>
        <tr r="T2080" s="2"/>
      </tp>
      <tp t="s">
        <v>#N/A Requesting Data...4263478442</v>
        <stp/>
        <stp>BDP|4786415008527955820</stp>
        <tr r="N1626" s="2"/>
      </tp>
      <tp t="s">
        <v>#N/A Requesting Data...4281431046</v>
        <stp/>
        <stp>BDP|5903686242839653106</stp>
        <tr r="S73" s="2"/>
      </tp>
      <tp t="s">
        <v>#N/A Requesting Data...4274082613</v>
        <stp/>
        <stp>BDP|9782427174046318373</stp>
        <tr r="D874" s="2"/>
      </tp>
      <tp t="s">
        <v>#N/A Requesting Data...4211174646</v>
        <stp/>
        <stp>BDP|9359288770964793790</stp>
        <tr r="K2413" s="2"/>
      </tp>
      <tp t="s">
        <v>#N/A Requesting Data...4219580266</v>
        <stp/>
        <stp>BDP|2462473462847192858</stp>
        <tr r="J250" s="2"/>
      </tp>
      <tp t="s">
        <v>#N/A Requesting Data...4231542287</v>
        <stp/>
        <stp>BDP|8815789714563116200</stp>
        <tr r="D1089" s="2"/>
      </tp>
      <tp t="s">
        <v>#N/A Requesting Data...4223969068</v>
        <stp/>
        <stp>BDP|9528480838661705078</stp>
        <tr r="R2419" s="2"/>
      </tp>
      <tp t="b">
        <v>0</v>
        <stp/>
        <stp>BDS|2449009134347025953</stp>
        <tr r="I1582" s="2"/>
      </tp>
      <tp t="s">
        <v>#N/A Requesting Data...4252516658</v>
        <stp/>
        <stp>BDP|4721811065163582635</stp>
        <tr r="P737" s="2"/>
      </tp>
      <tp t="s">
        <v>#N/A Requesting Data...4281282792</v>
        <stp/>
        <stp>BDP|7849895930346052548</stp>
        <tr r="F1933" s="2"/>
      </tp>
      <tp t="s">
        <v>#N/A Requesting Data...4256222616</v>
        <stp/>
        <stp>BDP|6744078478849833758</stp>
        <tr r="D2140" s="2"/>
      </tp>
      <tp t="s">
        <v>#N/A Requesting Data...4278442031</v>
        <stp/>
        <stp>BDP|3807694426650587875</stp>
        <tr r="O2409" s="2"/>
      </tp>
      <tp t="s">
        <v>#N/A Requesting Data...4267716916</v>
        <stp/>
        <stp>BDP|4475983604852867055</stp>
        <tr r="C1726" s="2"/>
      </tp>
      <tp t="s">
        <v>#N/A Requesting Data...4275489201</v>
        <stp/>
        <stp>BDP|4848468774641879972</stp>
        <tr r="N1706" s="2"/>
      </tp>
      <tp t="s">
        <v>#N/A Requesting Data...4240533777</v>
        <stp/>
        <stp>BDP|3694950947001152003</stp>
        <tr r="N784" s="2"/>
      </tp>
      <tp t="s">
        <v>#N/A Requesting Data...4249845453</v>
        <stp/>
        <stp>BDP|8158269865162663115</stp>
        <tr r="F51" s="2"/>
      </tp>
      <tp t="s">
        <v>#N/A Requesting Data...4258882707</v>
        <stp/>
        <stp>BDP|8177216347959051823</stp>
        <tr r="E1103" s="2"/>
      </tp>
      <tp t="s">
        <v>#N/A Requesting Data...4267852494</v>
        <stp/>
        <stp>BDP|9137135761995684409</stp>
        <tr r="T2176" s="2"/>
      </tp>
      <tp t="s">
        <v>#N/A Requesting Data...4277512772</v>
        <stp/>
        <stp>BDP|9765270230893107440</stp>
        <tr r="E1733" s="2"/>
      </tp>
      <tp t="s">
        <v>#N/A Requesting Data...4284514007</v>
        <stp/>
        <stp>BDP|3020624032831628832</stp>
        <tr r="R611" s="2"/>
      </tp>
      <tp t="s">
        <v>#N/A Requesting Data...4275595553</v>
        <stp/>
        <stp>BDP|5883952625658587985</stp>
        <tr r="G312" s="2"/>
      </tp>
      <tp t="s">
        <v>#N/A Requesting Data...4271889087</v>
        <stp/>
        <stp>BDP|7980968085720922964</stp>
        <tr r="K384" s="2"/>
      </tp>
      <tp t="s">
        <v>#N/A Requesting Data...4271704756</v>
        <stp/>
        <stp>BDP|1584439581137673546</stp>
        <tr r="C1832" s="2"/>
      </tp>
      <tp t="s">
        <v>#N/A Requesting Data...4284657129</v>
        <stp/>
        <stp>BDP|8490305610852901785</stp>
        <tr r="T2097" s="2"/>
      </tp>
      <tp t="s">
        <v>#N/A Requesting Data...4268832520</v>
        <stp/>
        <stp>BDP|3665033227827258959</stp>
        <tr r="C1947" s="2"/>
      </tp>
      <tp t="s">
        <v>#N/A Requesting Data...4288556188</v>
        <stp/>
        <stp>BDP|6708154590241234054</stp>
        <tr r="E593" s="2"/>
      </tp>
      <tp t="s">
        <v>#N/A Requesting Data...4277704369</v>
        <stp/>
        <stp>BDP|1872703996548835833</stp>
        <tr r="Q766" s="2"/>
      </tp>
      <tp t="s">
        <v>#N/A Requesting Data...4283350483</v>
        <stp/>
        <stp>BDP|5006448081952027403</stp>
        <tr r="S108" s="2"/>
      </tp>
      <tp t="s">
        <v>#N/A Requesting Data...4279650563</v>
        <stp/>
        <stp>BDP|2487874202276297367</stp>
        <tr r="H1554" s="2"/>
      </tp>
      <tp t="s">
        <v>#N/A Requesting Data...4280889639</v>
        <stp/>
        <stp>BDP|1603643874498775740</stp>
        <tr r="P683" s="2"/>
      </tp>
      <tp t="s">
        <v>#N/A Requesting Data...4285041038</v>
        <stp/>
        <stp>BDP|4533114861594620860</stp>
        <tr r="Q2278" s="2"/>
      </tp>
      <tp t="s">
        <v>#N/A Requesting Data...4285613276</v>
        <stp/>
        <stp>BDP|5117749619845802913</stp>
        <tr r="S1892" s="2"/>
      </tp>
      <tp t="s">
        <v>#N/A Requesting Data...4291143370</v>
        <stp/>
        <stp>BDP|9099202014312329729</stp>
        <tr r="H1774" s="2"/>
      </tp>
      <tp t="s">
        <v>#N/A Requesting Data...4290848787</v>
        <stp/>
        <stp>BDP|3966536582961936049</stp>
        <tr r="N2340" s="2"/>
      </tp>
      <tp t="s">
        <v>#N/A Requesting Data...4293937325</v>
        <stp/>
        <stp>BDP|2491146539647838849</stp>
        <tr r="O821" s="2"/>
      </tp>
      <tp t="s">
        <v>#N/A Requesting Data...1914585490</v>
        <stp/>
        <stp>BDP|4869790113488151565</stp>
        <tr r="P1553" s="2"/>
      </tp>
      <tp t="s">
        <v>#N/A Requesting Data...1608280219</v>
        <stp/>
        <stp>BDP|2764225176428204045</stp>
        <tr r="N2260" s="2"/>
      </tp>
      <tp t="s">
        <v>#N/A Requesting Data...3812628108</v>
        <stp/>
        <stp>BDP|9257684111693662283</stp>
        <tr r="R2452" s="2"/>
      </tp>
      <tp t="b">
        <v>0</v>
        <stp/>
        <stp>BDS|4014040085820389370</stp>
        <tr r="I1109" s="2"/>
      </tp>
      <tp t="s">
        <v>#N/A Requesting Data...1965938093</v>
        <stp/>
        <stp>BDP|9544293953447340695</stp>
        <tr r="O1619" s="2"/>
      </tp>
      <tp t="s">
        <v>#N/A Requesting Data...1772964493</v>
        <stp/>
        <stp>BDP|3587661307783997985</stp>
        <tr r="F1675" s="2"/>
      </tp>
      <tp t="s">
        <v>#N/A Requesting Data...3432583935</v>
        <stp/>
        <stp>BDP|1167961073259353925</stp>
        <tr r="F1965" s="2"/>
      </tp>
      <tp t="s">
        <v>#N/A Requesting Data...1863805292</v>
        <stp/>
        <stp>BDP|3604572252568131471</stp>
        <tr r="R1823" s="2"/>
      </tp>
      <tp t="s">
        <v>#N/A Requesting Data...840085579</v>
        <stp/>
        <stp>BDP|7468080402249389189</stp>
        <tr r="N1888" s="2"/>
      </tp>
      <tp t="s">
        <v>#N/A Requesting Data...2537010365</v>
        <stp/>
        <stp>BDP|8007127705496036025</stp>
        <tr r="C1540" s="2"/>
      </tp>
      <tp t="s">
        <v>#N/A Requesting Data...2363157913</v>
        <stp/>
        <stp>BDP|7118766013038420650</stp>
        <tr r="G2112" s="2"/>
      </tp>
      <tp t="s">
        <v>#N/A Requesting Data...579377936</v>
        <stp/>
        <stp>BDP|7786296486903945147</stp>
        <tr r="E1579" s="2"/>
      </tp>
      <tp t="s">
        <v>#N/A Requesting Data...3197445035</v>
        <stp/>
        <stp>BDP|9475203663430750251</stp>
        <tr r="R1302" s="2"/>
      </tp>
      <tp t="s">
        <v>#N/A Requesting Data...1025365691</v>
        <stp/>
        <stp>BDP|4408957647626060033</stp>
        <tr r="H2215" s="2"/>
      </tp>
      <tp t="s">
        <v>#N/A Requesting Data...2862789855</v>
        <stp/>
        <stp>BDP|2708070380835447018</stp>
        <tr r="O972" s="2"/>
      </tp>
      <tp t="s">
        <v>#N/A Requesting Data...3728410680</v>
        <stp/>
        <stp>BDP|9540676615311312017</stp>
        <tr r="H820" s="2"/>
      </tp>
      <tp t="s">
        <v>#N/A Requesting Data...307329653</v>
        <stp/>
        <stp>BDP|9095135191607596924</stp>
        <tr r="H2366" s="2"/>
      </tp>
      <tp t="s">
        <v>#N/A Requesting Data...3045415570</v>
        <stp/>
        <stp>BDP|4639555784473054520</stp>
        <tr r="F793" s="2"/>
      </tp>
      <tp t="s">
        <v>#N/A Requesting Data...3097803911</v>
        <stp/>
        <stp>BDP|9929899351833214865</stp>
        <tr r="F2034" s="2"/>
      </tp>
      <tp t="s">
        <v>#N/A Requesting Data...2149230952</v>
        <stp/>
        <stp>BDP|6827887906777757640</stp>
        <tr r="J1071" s="2"/>
      </tp>
      <tp t="s">
        <v>#N/A Requesting Data...195481596</v>
        <stp/>
        <stp>BDP|5468427364648390049</stp>
        <tr r="F642" s="2"/>
      </tp>
      <tp t="s">
        <v>#N/A Requesting Data...1184074123</v>
        <stp/>
        <stp>BDP|9682477415987255434</stp>
        <tr r="T805" s="2"/>
      </tp>
      <tp t="s">
        <v>#N/A Requesting Data...1424476340</v>
        <stp/>
        <stp>BDP|2670107742231216935</stp>
        <tr r="R1621" s="2"/>
      </tp>
      <tp t="s">
        <v>#N/A Requesting Data...2996679641</v>
        <stp/>
        <stp>BDP|7565256044048103606</stp>
        <tr r="J1457" s="2"/>
      </tp>
      <tp t="s">
        <v>#N/A Requesting Data...1938414646</v>
        <stp/>
        <stp>BDP|9113212194155705864</stp>
        <tr r="N304" s="2"/>
      </tp>
      <tp t="s">
        <v>#N/A Requesting Data...221070208</v>
        <stp/>
        <stp>BDP|3218294778071236840</stp>
        <tr r="P1258" s="2"/>
      </tp>
      <tp t="s">
        <v>#N/A Requesting Data...3845156694</v>
        <stp/>
        <stp>BDP|6744515900345072933</stp>
        <tr r="E186" s="2"/>
      </tp>
      <tp t="s">
        <v>#N/A Requesting Data...1268919282</v>
        <stp/>
        <stp>BDP|7097359194855337082</stp>
        <tr r="R1262" s="2"/>
      </tp>
      <tp t="s">
        <v>#N/A Requesting Data...894025172</v>
        <stp/>
        <stp>BDP|2009405434959965473</stp>
        <tr r="K781" s="2"/>
      </tp>
      <tp t="s">
        <v>#N/A Requesting Data...783805362</v>
        <stp/>
        <stp>BDP|2510026682082783086</stp>
        <tr r="O2391" s="2"/>
      </tp>
      <tp t="s">
        <v>#N/A Requesting Data...1653779298</v>
        <stp/>
        <stp>BDP|3023176380191497395</stp>
        <tr r="Q1610" s="2"/>
      </tp>
      <tp t="s">
        <v>#N/A Requesting Data...2867061096</v>
        <stp/>
        <stp>BDP|4357161019889115574</stp>
        <tr r="Q2228" s="2"/>
      </tp>
      <tp t="s">
        <v>#N/A Requesting Data...2636356705</v>
        <stp/>
        <stp>BDP|6846157725994732950</stp>
        <tr r="R1756" s="2"/>
      </tp>
      <tp t="s">
        <v>#N/A Requesting Data...626822383</v>
        <stp/>
        <stp>BDP|2405000448106515838</stp>
        <tr r="G1453" s="2"/>
      </tp>
      <tp t="s">
        <v>#N/A Requesting Data...1869665373</v>
        <stp/>
        <stp>BDP|5716300076801282899</stp>
        <tr r="A312" s="2"/>
      </tp>
      <tp t="s">
        <v>#N/A Requesting Data...3899369999</v>
        <stp/>
        <stp>BDP|3781986342016636015</stp>
        <tr r="P1973" s="2"/>
      </tp>
      <tp t="s">
        <v>#N/A Requesting Data...3265159171</v>
        <stp/>
        <stp>BDP|4943183619848704457</stp>
        <tr r="F2524" s="2"/>
      </tp>
      <tp t="s">
        <v>#N/A Requesting Data...2004212171</v>
        <stp/>
        <stp>BDP|5970321598672914509</stp>
        <tr r="G142" s="2"/>
      </tp>
      <tp t="s">
        <v>#N/A Requesting Data...3280640081</v>
        <stp/>
        <stp>BDP|2858914859323390593</stp>
        <tr r="F70" s="2"/>
      </tp>
      <tp t="s">
        <v>#N/A Requesting Data...4171250248</v>
        <stp/>
        <stp>BDP|9488465025770405792</stp>
        <tr r="M291" s="2"/>
      </tp>
      <tp t="s">
        <v>#N/A Requesting Data...4238590111</v>
        <stp/>
        <stp>BDP|3576513332424433988</stp>
        <tr r="E348" s="2"/>
      </tp>
      <tp t="s">
        <v>#N/A Requesting Data...2619318944</v>
        <stp/>
        <stp>BDP|5980850615711001534</stp>
        <tr r="R237" s="2"/>
      </tp>
      <tp t="s">
        <v>#N/A Requesting Data...2806838453</v>
        <stp/>
        <stp>BDP|6945011636969005447</stp>
        <tr r="C2271" s="2"/>
      </tp>
      <tp t="b">
        <v>0</v>
        <stp/>
        <stp>BDS|3161098652638714671</stp>
        <tr r="I1911" s="2"/>
      </tp>
      <tp t="s">
        <v>#N/A Requesting Data...1791608498</v>
        <stp/>
        <stp>BDP|8968998458588133432</stp>
        <tr r="T2124" s="2"/>
      </tp>
      <tp t="s">
        <v>#N/A Requesting Data...2276219536</v>
        <stp/>
        <stp>BDP|3285511061979030189</stp>
        <tr r="C103" s="2"/>
      </tp>
      <tp t="s">
        <v>#N/A Requesting Data...3178181559</v>
        <stp/>
        <stp>BDP|1918001447864105952</stp>
        <tr r="H1990" s="2"/>
      </tp>
      <tp t="s">
        <v>#N/A Requesting Data...2721361785</v>
        <stp/>
        <stp>BDP|6477361784795531098</stp>
        <tr r="S1478" s="2"/>
      </tp>
      <tp t="s">
        <v>#N/A Requesting Data...964261011</v>
        <stp/>
        <stp>BDP|4493611357316101996</stp>
        <tr r="M1866" s="2"/>
      </tp>
      <tp t="s">
        <v>#N/A Requesting Data...3831403640</v>
        <stp/>
        <stp>BDP|5464139989433324774</stp>
        <tr r="N801" s="2"/>
      </tp>
      <tp t="b">
        <v>0</v>
        <stp/>
        <stp>BDS|9693577657130824142</stp>
        <tr r="I2380" s="2"/>
      </tp>
      <tp t="s">
        <v>#N/A Requesting Data...2334002632</v>
        <stp/>
        <stp>BDP|1427022228213397877</stp>
        <tr r="C2265" s="2"/>
      </tp>
      <tp t="b">
        <v>0</v>
        <stp/>
        <stp>BDS|7974913700983672545</stp>
        <tr r="I1680" s="2"/>
      </tp>
      <tp t="s">
        <v>#N/A Requesting Data...3086967642</v>
        <stp/>
        <stp>BDP|1186858242097999256</stp>
        <tr r="O800" s="2"/>
      </tp>
      <tp t="s">
        <v>#N/A Requesting Data...3631900634</v>
        <stp/>
        <stp>BDP|1929115880266131639</stp>
        <tr r="O99" s="2"/>
      </tp>
      <tp t="s">
        <v>#N/A Requesting Data...990057269</v>
        <stp/>
        <stp>BDP|1325843539504323679</stp>
        <tr r="O1623" s="2"/>
      </tp>
      <tp t="s">
        <v>#N/A Requesting Data...1445116824</v>
        <stp/>
        <stp>BDP|1100280112483234938</stp>
        <tr r="P1079" s="2"/>
      </tp>
      <tp t="s">
        <v>#N/A Requesting Data...3779597131</v>
        <stp/>
        <stp>BDP|2623419943843943978</stp>
        <tr r="H329" s="2"/>
      </tp>
      <tp t="s">
        <v>#N/A Requesting Data...2421250410</v>
        <stp/>
        <stp>BDP|9813476955474154419</stp>
        <tr r="G1994" s="2"/>
      </tp>
      <tp t="s">
        <v>#N/A Requesting Data...453657446</v>
        <stp/>
        <stp>BDP|8415046169256326009</stp>
        <tr r="R1019" s="2"/>
      </tp>
      <tp t="s">
        <v>#N/A Requesting Data...1728745661</v>
        <stp/>
        <stp>BDP|1583980557125016006</stp>
        <tr r="C2140" s="2"/>
      </tp>
      <tp t="s">
        <v>#N/A Requesting Data...786010136</v>
        <stp/>
        <stp>BDP|3876018403138149314</stp>
        <tr r="T2269" s="2"/>
      </tp>
      <tp t="s">
        <v>#N/A Requesting Data...3530536151</v>
        <stp/>
        <stp>BDP|9841069544930872582</stp>
        <tr r="R2373" s="2"/>
      </tp>
      <tp t="s">
        <v>#N/A Requesting Data...1002683137</v>
        <stp/>
        <stp>BDP|6501842046823594182</stp>
        <tr r="R894" s="2"/>
      </tp>
      <tp t="b">
        <v>0</v>
        <stp/>
        <stp>BDS|8566518317863821716</stp>
        <tr r="I588" s="2"/>
      </tp>
      <tp t="s">
        <v>#N/A Requesting Data...184894398</v>
        <stp/>
        <stp>BDP|7671997732375638011</stp>
        <tr r="C846" s="2"/>
      </tp>
      <tp t="s">
        <v>#N/A Requesting Data...3803540095</v>
        <stp/>
        <stp>BDP|7050197294602666512</stp>
        <tr r="O170" s="2"/>
      </tp>
      <tp t="s">
        <v>#N/A Requesting Data...3966298243</v>
        <stp/>
        <stp>BDP|7702979049691388307</stp>
        <tr r="C1482" s="2"/>
      </tp>
      <tp t="s">
        <v>#N/A Requesting Data...4282935820</v>
        <stp/>
        <stp>BDP|7760500853576935970</stp>
        <tr r="R1535" s="2"/>
      </tp>
      <tp t="s">
        <v>#N/A Requesting Data...628867502</v>
        <stp/>
        <stp>BDP|7327526658987482875</stp>
        <tr r="M1179" s="2"/>
      </tp>
      <tp t="s">
        <v>#N/A Requesting Data...611938892</v>
        <stp/>
        <stp>BDP|6456664150625900814</stp>
        <tr r="R1631" s="2"/>
      </tp>
      <tp t="s">
        <v>#N/A Requesting Data...3763172049</v>
        <stp/>
        <stp>BDP|5174776881681912345</stp>
        <tr r="K422" s="2"/>
      </tp>
      <tp t="s">
        <v>#N/A Requesting Data...3578585501</v>
        <stp/>
        <stp>BDP|9288760109861208753</stp>
        <tr r="D648" s="2"/>
      </tp>
      <tp t="s">
        <v>#N/A Requesting Data...3911416921</v>
        <stp/>
        <stp>BDP|2223812211747105494</stp>
        <tr r="P263" s="2"/>
      </tp>
      <tp t="s">
        <v>#N/A Requesting Data...612741424</v>
        <stp/>
        <stp>BDP|7169300988502712641</stp>
        <tr r="S472" s="2"/>
      </tp>
      <tp t="s">
        <v>#N/A Requesting Data...1404569808</v>
        <stp/>
        <stp>BDP|2838736794770313460</stp>
        <tr r="Q2173" s="2"/>
      </tp>
      <tp t="s">
        <v>#N/A Requesting Data...3157193310</v>
        <stp/>
        <stp>BDP|6189559805493853833</stp>
        <tr r="M172" s="2"/>
      </tp>
      <tp t="s">
        <v>#N/A Requesting Data...1017177989</v>
        <stp/>
        <stp>BDP|5085782393652686176</stp>
        <tr r="F558" s="2"/>
      </tp>
      <tp t="s">
        <v>#N/A Requesting Data...2609874688</v>
        <stp/>
        <stp>BDP|6408378908018726568</stp>
        <tr r="J981" s="2"/>
      </tp>
      <tp t="s">
        <v>#N/A Requesting Data...2776485582</v>
        <stp/>
        <stp>BDP|1555494194037025321</stp>
        <tr r="Q2019" s="2"/>
      </tp>
      <tp t="s">
        <v>#N/A Requesting Data...1232396567</v>
        <stp/>
        <stp>BDP|8104046247800154499</stp>
        <tr r="P1990" s="2"/>
      </tp>
      <tp t="s">
        <v>#N/A Requesting Data...3819804001</v>
        <stp/>
        <stp>BDP|9873753276650788168</stp>
        <tr r="Q2006" s="2"/>
      </tp>
      <tp t="s">
        <v>#N/A Requesting Data...1237732601</v>
        <stp/>
        <stp>BDP|3487904720743760398</stp>
        <tr r="H204" s="2"/>
      </tp>
      <tp t="s">
        <v>#N/A Requesting Data...3589376224</v>
        <stp/>
        <stp>BDP|2983407086963300563</stp>
        <tr r="P296" s="2"/>
      </tp>
      <tp t="s">
        <v>#N/A Requesting Data...1685541954</v>
        <stp/>
        <stp>BDP|3206871169622316753</stp>
        <tr r="E1052" s="2"/>
      </tp>
      <tp t="s">
        <v>#N/A Requesting Data...3247792522</v>
        <stp/>
        <stp>BDP|8432695276017512642</stp>
        <tr r="S2055" s="2"/>
      </tp>
      <tp t="s">
        <v>#N/A Requesting Data...1887561281</v>
        <stp/>
        <stp>BDP|9745218339049286970</stp>
        <tr r="G927" s="2"/>
      </tp>
      <tp t="s">
        <v>#N/A Requesting Data...1300935090</v>
        <stp/>
        <stp>BDP|6643053911787127896</stp>
        <tr r="P262" s="2"/>
      </tp>
      <tp t="s">
        <v>#N/A Requesting Data...1237392815</v>
        <stp/>
        <stp>BDP|5203091310358125404</stp>
        <tr r="D1930" s="2"/>
      </tp>
      <tp t="s">
        <v>#N/A Requesting Data...2111484906</v>
        <stp/>
        <stp>BDP|7631063787804998345</stp>
        <tr r="D1240" s="2"/>
      </tp>
      <tp t="s">
        <v>#N/A Requesting Data...390889920</v>
        <stp/>
        <stp>BDP|6143827676410981168</stp>
        <tr r="H2102" s="2"/>
      </tp>
      <tp t="s">
        <v>#N/A Requesting Data...349909188</v>
        <stp/>
        <stp>BDP|9183210096043481987</stp>
        <tr r="C2018" s="2"/>
      </tp>
      <tp t="s">
        <v>#N/A Requesting Data...3176207675</v>
        <stp/>
        <stp>BDP|3731830636784015482</stp>
        <tr r="J1292" s="2"/>
      </tp>
      <tp t="s">
        <v>#N/A Requesting Data...2944112255</v>
        <stp/>
        <stp>BDP|3002203685893789285</stp>
        <tr r="Q289" s="2"/>
      </tp>
      <tp t="s">
        <v>#N/A Requesting Data...3905074148</v>
        <stp/>
        <stp>BDP|3158980392672658970</stp>
        <tr r="G2474" s="2"/>
      </tp>
      <tp t="s">
        <v>#N/A Requesting Data...2363616947</v>
        <stp/>
        <stp>BDP|1117643386405812211</stp>
        <tr r="E932" s="2"/>
      </tp>
      <tp t="s">
        <v>#N/A Requesting Data...1673126377</v>
        <stp/>
        <stp>BDP|9620045303275816432</stp>
        <tr r="S481" s="2"/>
      </tp>
      <tp t="s">
        <v>#N/A Requesting Data...2487222909</v>
        <stp/>
        <stp>BDP|9577907189322158270</stp>
        <tr r="E2319" s="2"/>
      </tp>
      <tp t="s">
        <v>#N/A Requesting Data...3501669391</v>
        <stp/>
        <stp>BDP|2839944327562054311</stp>
        <tr r="O101" s="2"/>
      </tp>
      <tp t="s">
        <v>#N/A Requesting Data...2005675851</v>
        <stp/>
        <stp>BDP|7609833755436374496</stp>
        <tr r="M1080" s="2"/>
      </tp>
      <tp t="s">
        <v>#N/A Requesting Data...1088266758</v>
        <stp/>
        <stp>BDP|8555351601323897027</stp>
        <tr r="E499" s="2"/>
      </tp>
      <tp t="s">
        <v>#N/A Requesting Data...3310548451</v>
        <stp/>
        <stp>BDP|2716021121219625199</stp>
        <tr r="K1790" s="2"/>
      </tp>
      <tp t="s">
        <v>#N/A Requesting Data...1616261907</v>
        <stp/>
        <stp>BDP|8757470393974800905</stp>
        <tr r="Q1576" s="2"/>
      </tp>
      <tp t="s">
        <v>#N/A Requesting Data...1219161537</v>
        <stp/>
        <stp>BDP|5206694750098242629</stp>
        <tr r="E1863" s="2"/>
      </tp>
      <tp t="s">
        <v>#N/A Requesting Data...490889035</v>
        <stp/>
        <stp>BDP|8003216631894829534</stp>
        <tr r="D1472" s="2"/>
      </tp>
      <tp t="s">
        <v>#N/A Requesting Data...1797431554</v>
        <stp/>
        <stp>BDP|8222303182708996327</stp>
        <tr r="Q1387" s="2"/>
      </tp>
      <tp t="s">
        <v>#N/A Requesting Data...2554123002</v>
        <stp/>
        <stp>BDP|9473497624395389213</stp>
        <tr r="N1819" s="2"/>
      </tp>
      <tp t="s">
        <v>#N/A Requesting Data...3839056611</v>
        <stp/>
        <stp>BDP|2992840346737414147</stp>
        <tr r="T863" s="2"/>
      </tp>
      <tp t="s">
        <v>#N/A Requesting Data...862260158</v>
        <stp/>
        <stp>BDP|6647199323254671910</stp>
        <tr r="Q1507" s="2"/>
      </tp>
      <tp t="s">
        <v>#N/A Requesting Data...1332985713</v>
        <stp/>
        <stp>BDP|7298903950645845610</stp>
        <tr r="H1585" s="2"/>
      </tp>
      <tp t="s">
        <v>#N/A Requesting Data...4270652655</v>
        <stp/>
        <stp>BDP|7530447532111995914</stp>
        <tr r="P1596" s="2"/>
      </tp>
      <tp t="b">
        <v>0</v>
        <stp/>
        <stp>BDS|4907618523339350135</stp>
        <tr r="I2031" s="2"/>
      </tp>
      <tp t="s">
        <v>#N/A Requesting Data...3692193982</v>
        <stp/>
        <stp>BDP|1487362170699067492</stp>
        <tr r="D1574" s="2"/>
      </tp>
      <tp t="s">
        <v>#N/A Requesting Data...3720848641</v>
        <stp/>
        <stp>BDP|6403599162435249861</stp>
        <tr r="A179" s="2"/>
      </tp>
      <tp t="s">
        <v>#N/A Requesting Data...536698553</v>
        <stp/>
        <stp>BDP|4177515019820536872</stp>
        <tr r="M1550" s="2"/>
      </tp>
      <tp t="s">
        <v>#N/A Requesting Data...2283214949</v>
        <stp/>
        <stp>BDP|4305300687632943569</stp>
        <tr r="T2452" s="2"/>
      </tp>
      <tp t="s">
        <v>#N/A Requesting Data...1007913926</v>
        <stp/>
        <stp>BDP|2068572390915812347</stp>
        <tr r="A1814" s="2"/>
      </tp>
      <tp t="s">
        <v>#N/A Requesting Data...4198611394</v>
        <stp/>
        <stp>BDP|9947321714211689224</stp>
        <tr r="N2056" s="2"/>
      </tp>
      <tp t="s">
        <v>#N/A Requesting Data...3330317623</v>
        <stp/>
        <stp>BDP|8495322057062994438</stp>
        <tr r="R729" s="2"/>
      </tp>
      <tp t="s">
        <v>#N/A Requesting Data...2415566249</v>
        <stp/>
        <stp>BDP|9202695700703102418</stp>
        <tr r="P14" s="2"/>
      </tp>
      <tp t="s">
        <v>#N/A Requesting Data...2419925390</v>
        <stp/>
        <stp>BDP|2384275398165420434</stp>
        <tr r="E476" s="2"/>
      </tp>
      <tp t="s">
        <v>#N/A Requesting Data...629993858</v>
        <stp/>
        <stp>BDP|4655736026138184197</stp>
        <tr r="F2418" s="2"/>
      </tp>
      <tp t="s">
        <v>#N/A Requesting Data...1163128234</v>
        <stp/>
        <stp>BDP|7270448889045255667</stp>
        <tr r="H411" s="2"/>
      </tp>
      <tp t="s">
        <v>#N/A Requesting Data...911011743</v>
        <stp/>
        <stp>BDP|5906753722651592900</stp>
        <tr r="O1345" s="2"/>
      </tp>
      <tp t="b">
        <v>0</v>
        <stp/>
        <stp>BDS|8770879482046817610</stp>
        <tr r="I1419" s="2"/>
      </tp>
      <tp t="s">
        <v>#N/A Requesting Data...3932926503</v>
        <stp/>
        <stp>BDP|6787893114242771562</stp>
        <tr r="H1902" s="2"/>
      </tp>
      <tp t="s">
        <v>#N/A Requesting Data...1836880251</v>
        <stp/>
        <stp>BDP|5318746014653878809</stp>
        <tr r="J1548" s="2"/>
      </tp>
      <tp t="s">
        <v>#N/A Requesting Data...1106935512</v>
        <stp/>
        <stp>BDP|5031889167674347777</stp>
        <tr r="J1174" s="2"/>
      </tp>
      <tp t="s">
        <v>#N/A Requesting Data...3585668937</v>
        <stp/>
        <stp>BDP|8577892202179633138</stp>
        <tr r="E1992" s="2"/>
      </tp>
      <tp t="s">
        <v>#N/A Requesting Data...2953314529</v>
        <stp/>
        <stp>BDP|7866809676154087459</stp>
        <tr r="Q2485" s="2"/>
      </tp>
      <tp t="s">
        <v>#N/A Requesting Data...2786623924</v>
        <stp/>
        <stp>BDP|2269347138122077858</stp>
        <tr r="N482" s="2"/>
      </tp>
      <tp t="s">
        <v>#N/A Requesting Data...2832893721</v>
        <stp/>
        <stp>BDP|7260003473198393092</stp>
        <tr r="T1187" s="2"/>
      </tp>
      <tp t="s">
        <v>#N/A Requesting Data...610595628</v>
        <stp/>
        <stp>BDP|5956444814520284803</stp>
        <tr r="T2095" s="2"/>
      </tp>
      <tp t="s">
        <v>#N/A Requesting Data...3991620875</v>
        <stp/>
        <stp>BDP|9935314266543248779</stp>
        <tr r="F1092" s="2"/>
      </tp>
      <tp t="s">
        <v>#N/A Requesting Data...432474418</v>
        <stp/>
        <stp>BDP|1721699636505552965</stp>
        <tr r="Q1450" s="2"/>
      </tp>
      <tp t="s">
        <v>#N/A Requesting Data...809075130</v>
        <stp/>
        <stp>BDP|2524146386162926159</stp>
        <tr r="H748" s="2"/>
      </tp>
      <tp t="s">
        <v>#N/A Requesting Data...652205912</v>
        <stp/>
        <stp>BDP|5623114008984778836</stp>
        <tr r="M713" s="2"/>
      </tp>
      <tp t="s">
        <v>#N/A Requesting Data...3040496082</v>
        <stp/>
        <stp>BDP|6285147099506549010</stp>
        <tr r="K1444" s="2"/>
      </tp>
      <tp t="s">
        <v>#N/A Requesting Data...1077251667</v>
        <stp/>
        <stp>BDP|9733134534895913620</stp>
        <tr r="G853" s="2"/>
      </tp>
      <tp t="s">
        <v>#N/A Requesting Data...2493119505</v>
        <stp/>
        <stp>BDP|7656628828438413336</stp>
        <tr r="K964" s="2"/>
      </tp>
      <tp t="s">
        <v>#N/A Requesting Data...1317805830</v>
        <stp/>
        <stp>BDP|1449992674753573478</stp>
        <tr r="F4" s="2"/>
      </tp>
      <tp t="s">
        <v>#N/A Requesting Data...1771280085</v>
        <stp/>
        <stp>BDP|1368385201908860292</stp>
        <tr r="K1472" s="2"/>
      </tp>
      <tp t="s">
        <v>#N/A Requesting Data...3598766631</v>
        <stp/>
        <stp>BDP|9150283711850062239</stp>
        <tr r="K1951" s="2"/>
      </tp>
      <tp t="s">
        <v>#N/A Requesting Data...4108448219</v>
        <stp/>
        <stp>BDP|9815844694669334901</stp>
        <tr r="J1489" s="2"/>
      </tp>
      <tp t="s">
        <v>#N/A Requesting Data...3662065263</v>
        <stp/>
        <stp>BDP|8643599570215064748</stp>
        <tr r="A867" s="2"/>
      </tp>
      <tp t="s">
        <v>#N/A Requesting Data...690629905</v>
        <stp/>
        <stp>BDP|4754699661598092441</stp>
        <tr r="D1393" s="2"/>
      </tp>
      <tp t="s">
        <v>#N/A Requesting Data...1653544873</v>
        <stp/>
        <stp>BDP|3140385549415960923</stp>
        <tr r="A1514" s="2"/>
      </tp>
      <tp t="s">
        <v>#N/A Requesting Data...3619238672</v>
        <stp/>
        <stp>BDP|3792558559963200828</stp>
        <tr r="S804" s="2"/>
      </tp>
      <tp t="s">
        <v>#N/A Requesting Data...2853296746</v>
        <stp/>
        <stp>BDP|9180990199964979536</stp>
        <tr r="S771" s="2"/>
      </tp>
      <tp t="s">
        <v>#N/A Requesting Data...3416292488</v>
        <stp/>
        <stp>BDP|4783690145207338939</stp>
        <tr r="Q1897" s="2"/>
      </tp>
      <tp t="s">
        <v>#N/A Requesting Data...2183505630</v>
        <stp/>
        <stp>BDP|3107663367803910829</stp>
        <tr r="Q68" s="2"/>
      </tp>
      <tp t="s">
        <v>#N/A Requesting Data...3230414519</v>
        <stp/>
        <stp>BDP|6430821249345272765</stp>
        <tr r="J732" s="2"/>
      </tp>
      <tp t="s">
        <v>#N/A Requesting Data...2093766608</v>
        <stp/>
        <stp>BDP|2571026586294872627</stp>
        <tr r="A31" s="2"/>
      </tp>
      <tp t="s">
        <v>#N/A Requesting Data...1442697514</v>
        <stp/>
        <stp>BDP|5676729875938819524</stp>
        <tr r="P1490" s="2"/>
      </tp>
      <tp t="s">
        <v>#N/A Requesting Data...1100763672</v>
        <stp/>
        <stp>BDP|9404403349147123672</stp>
        <tr r="C411" s="2"/>
      </tp>
      <tp t="s">
        <v>#N/A Requesting Data...3042232427</v>
        <stp/>
        <stp>BDP|5534583911498067170</stp>
        <tr r="R296" s="2"/>
      </tp>
      <tp t="s">
        <v>#N/A Requesting Data...797041942</v>
        <stp/>
        <stp>BDP|8980375781942170951</stp>
        <tr r="J1437" s="2"/>
      </tp>
      <tp t="s">
        <v>#N/A Requesting Data...3472979137</v>
        <stp/>
        <stp>BDP|7614739808008621008</stp>
        <tr r="C2078" s="2"/>
      </tp>
      <tp t="s">
        <v>#N/A Requesting Data...785152039</v>
        <stp/>
        <stp>BDP|8314037812532124383</stp>
        <tr r="A2501" s="2"/>
      </tp>
      <tp t="s">
        <v>#N/A Requesting Data...3471804830</v>
        <stp/>
        <stp>BDP|6293434875894774987</stp>
        <tr r="E2485" s="2"/>
      </tp>
      <tp t="s">
        <v>#N/A Requesting Data...677408661</v>
        <stp/>
        <stp>BDP|7034791146255130956</stp>
        <tr r="M517" s="2"/>
      </tp>
      <tp t="s">
        <v>#N/A Requesting Data...2304312692</v>
        <stp/>
        <stp>BDP|3090118208123561973</stp>
        <tr r="G1269" s="2"/>
      </tp>
      <tp t="s">
        <v>#N/A Requesting Data...704403861</v>
        <stp/>
        <stp>BDP|5186956757848949917</stp>
        <tr r="Q420" s="2"/>
      </tp>
      <tp t="s">
        <v>#N/A Requesting Data...1641931938</v>
        <stp/>
        <stp>BDP|5942893698584500867</stp>
        <tr r="H1830" s="2"/>
      </tp>
      <tp t="s">
        <v>#N/A Requesting Data...1426930397</v>
        <stp/>
        <stp>BDP|4470051268288615240</stp>
        <tr r="G2321" s="2"/>
      </tp>
      <tp t="s">
        <v>#N/A Requesting Data...3017149511</v>
        <stp/>
        <stp>BDP|2020191665068259553</stp>
        <tr r="T2473" s="2"/>
      </tp>
      <tp t="s">
        <v>#N/A Requesting Data...3130842727</v>
        <stp/>
        <stp>BDP|7363900578176377734</stp>
        <tr r="G264" s="2"/>
      </tp>
      <tp t="s">
        <v>#N/A Requesting Data...1202605873</v>
        <stp/>
        <stp>BDP|3917773484353806795</stp>
        <tr r="C491" s="2"/>
      </tp>
      <tp t="s">
        <v>#N/A Requesting Data...4267876516</v>
        <stp/>
        <stp>BDP|3282522875140982977</stp>
        <tr r="F391" s="2"/>
      </tp>
      <tp t="s">
        <v>#N/A Requesting Data...3052892185</v>
        <stp/>
        <stp>BDP|3480168287795770794</stp>
        <tr r="K1596" s="2"/>
      </tp>
      <tp t="s">
        <v>#N/A Requesting Data...1769896047</v>
        <stp/>
        <stp>BDP|2004897720323726351</stp>
        <tr r="H85" s="2"/>
      </tp>
      <tp t="s">
        <v>#N/A Requesting Data...1590140430</v>
        <stp/>
        <stp>BDP|3082671616979823525</stp>
        <tr r="A1317" s="2"/>
      </tp>
      <tp t="s">
        <v>#N/A Requesting Data...3873731566</v>
        <stp/>
        <stp>BDP|5944905317532374764</stp>
        <tr r="O751" s="2"/>
      </tp>
      <tp t="s">
        <v>#N/A Requesting Data...1039876053</v>
        <stp/>
        <stp>BDP|8466372131660823017</stp>
        <tr r="K2256" s="2"/>
      </tp>
      <tp t="b">
        <v>0</v>
        <stp/>
        <stp>BDS|7434410648457164875</stp>
        <tr r="I2257" s="2"/>
      </tp>
      <tp t="s">
        <v>#N/A Requesting Data...1950882794</v>
        <stp/>
        <stp>BDP|1933160571297430815</stp>
        <tr r="J2418" s="2"/>
      </tp>
      <tp t="s">
        <v>#N/A Requesting Data...4255873201</v>
        <stp/>
        <stp>BDP|9043485443902688367</stp>
        <tr r="F1648" s="2"/>
      </tp>
      <tp t="b">
        <v>0</v>
        <stp/>
        <stp>BDS|1779734312509832651</stp>
        <tr r="I1145" s="2"/>
      </tp>
      <tp t="s">
        <v>#N/A Requesting Data...3753259367</v>
        <stp/>
        <stp>BDP|5780846665635460698</stp>
        <tr r="T2423" s="2"/>
      </tp>
      <tp t="s">
        <v>#N/A Requesting Data...2670570146</v>
        <stp/>
        <stp>BDP|6777389820988722733</stp>
        <tr r="P801" s="2"/>
      </tp>
      <tp t="s">
        <v>#N/A Requesting Data...3375632060</v>
        <stp/>
        <stp>BDP|2070863538256506700</stp>
        <tr r="Q1088" s="2"/>
      </tp>
      <tp t="s">
        <v>#N/A Requesting Data...2826341129</v>
        <stp/>
        <stp>BDP|3476732529536037855</stp>
        <tr r="K1535" s="2"/>
      </tp>
      <tp t="s">
        <v>#N/A Requesting Data...912022042</v>
        <stp/>
        <stp>BDP|8166422689604871893</stp>
        <tr r="D534" s="2"/>
      </tp>
      <tp t="s">
        <v>#N/A Requesting Data...3678894817</v>
        <stp/>
        <stp>BDP|1958826150631276524</stp>
        <tr r="S256" s="2"/>
      </tp>
      <tp t="s">
        <v>#N/A Requesting Data...1970782641</v>
        <stp/>
        <stp>BDP|5885572957208171529</stp>
        <tr r="D972" s="2"/>
      </tp>
      <tp t="s">
        <v>#N/A Requesting Data...1090293980</v>
        <stp/>
        <stp>BDP|9844785841001324395</stp>
        <tr r="H200" s="2"/>
      </tp>
      <tp t="s">
        <v>#N/A Requesting Data...4042843139</v>
        <stp/>
        <stp>BDP|1365129408000421854</stp>
        <tr r="H63" s="2"/>
      </tp>
      <tp t="s">
        <v>#N/A Requesting Data...914546755</v>
        <stp/>
        <stp>BDP|8511859563548911625</stp>
        <tr r="C1442" s="2"/>
      </tp>
      <tp t="s">
        <v>#N/A Requesting Data...1650178420</v>
        <stp/>
        <stp>BDP|8187516505385807054</stp>
        <tr r="Q1348" s="2"/>
      </tp>
      <tp t="s">
        <v>#N/A Requesting Data...1562358190</v>
        <stp/>
        <stp>BDP|5135603386187917469</stp>
        <tr r="C2027" s="2"/>
      </tp>
      <tp t="s">
        <v>#N/A Requesting Data...904262230</v>
        <stp/>
        <stp>BDP|6419699536029137222</stp>
        <tr r="F346" s="2"/>
      </tp>
      <tp t="s">
        <v>#N/A Requesting Data...2711922822</v>
        <stp/>
        <stp>BDP|5880732091065309612</stp>
        <tr r="F2455" s="2"/>
      </tp>
      <tp t="s">
        <v>#N/A Requesting Data...3433248477</v>
        <stp/>
        <stp>BDP|1753990542371168558</stp>
        <tr r="O1483" s="2"/>
      </tp>
      <tp t="s">
        <v>#N/A Requesting Data...2494330259</v>
        <stp/>
        <stp>BDP|8456494151457596617</stp>
        <tr r="J2471" s="2"/>
      </tp>
      <tp t="s">
        <v>#N/A Requesting Data...4073842058</v>
        <stp/>
        <stp>BDP|8833216107906237444</stp>
        <tr r="Q1731" s="2"/>
      </tp>
      <tp t="s">
        <v>#N/A Requesting Data...3274623035</v>
        <stp/>
        <stp>BDP|1784758609428082637</stp>
        <tr r="O595" s="2"/>
      </tp>
      <tp t="s">
        <v>#N/A Requesting Data...1346186497</v>
        <stp/>
        <stp>BDP|5333851421125687290</stp>
        <tr r="M1630" s="2"/>
      </tp>
      <tp t="s">
        <v>#N/A Requesting Data...1205946096</v>
        <stp/>
        <stp>BDP|1537249433739928134</stp>
        <tr r="R2500" s="2"/>
      </tp>
      <tp t="s">
        <v>#N/A Requesting Data...3755310022</v>
        <stp/>
        <stp>BDP|8912909814038172044</stp>
        <tr r="D1492" s="2"/>
      </tp>
      <tp t="s">
        <v>#N/A Requesting Data...3330622469</v>
        <stp/>
        <stp>BDP|2895390236648902265</stp>
        <tr r="S1801" s="2"/>
      </tp>
      <tp t="s">
        <v>#N/A Requesting Data...2963582846</v>
        <stp/>
        <stp>BDP|2330741763848881348</stp>
        <tr r="P907" s="2"/>
      </tp>
      <tp t="s">
        <v>#N/A Requesting Data...627669279</v>
        <stp/>
        <stp>BDP|9322789464862093277</stp>
        <tr r="N9" s="2"/>
      </tp>
      <tp t="s">
        <v>#N/A Requesting Data...1621290549</v>
        <stp/>
        <stp>BDP|4397409387007898744</stp>
        <tr r="F926" s="2"/>
      </tp>
      <tp t="s">
        <v>#N/A Requesting Data...694691539</v>
        <stp/>
        <stp>BDP|6292538491633029188</stp>
        <tr r="S884" s="2"/>
      </tp>
      <tp t="s">
        <v>#N/A Requesting Data...2997866832</v>
        <stp/>
        <stp>BDP|8433305259835746326</stp>
        <tr r="D1411" s="2"/>
      </tp>
      <tp t="b">
        <v>0</v>
        <stp/>
        <stp>BDS|4564465421143851928</stp>
        <tr r="I1482" s="2"/>
      </tp>
      <tp t="s">
        <v>#N/A Requesting Data...2994070011</v>
        <stp/>
        <stp>BDP|2501438481731758786</stp>
        <tr r="F1005" s="2"/>
      </tp>
      <tp t="s">
        <v>#N/A Requesting Data...1594131227</v>
        <stp/>
        <stp>BDP|4422947368685967699</stp>
        <tr r="O1811" s="2"/>
      </tp>
      <tp t="s">
        <v>#N/A Requesting Data...2224505027</v>
        <stp/>
        <stp>BDP|2032004642596872829</stp>
        <tr r="N1973" s="2"/>
      </tp>
      <tp t="s">
        <v>#N/A Requesting Data...2860296406</v>
        <stp/>
        <stp>BDP|4287854551694870561</stp>
        <tr r="H1923" s="2"/>
      </tp>
      <tp t="s">
        <v>#N/A Requesting Data...2724017218</v>
        <stp/>
        <stp>BDP|7125948600655570384</stp>
        <tr r="E601" s="2"/>
      </tp>
      <tp t="s">
        <v>#N/A Requesting Data...1688903627</v>
        <stp/>
        <stp>BDP|3248918917325522692</stp>
        <tr r="A2404" s="2"/>
      </tp>
      <tp t="s">
        <v>#N/A Requesting Data...2452965776</v>
        <stp/>
        <stp>BDP|7674888485316542967</stp>
        <tr r="M1710" s="2"/>
      </tp>
      <tp t="s">
        <v>#N/A Requesting Data...3493083380</v>
        <stp/>
        <stp>BDP|8891408031956564140</stp>
        <tr r="R1384" s="2"/>
      </tp>
      <tp t="s">
        <v>#N/A Requesting Data...3727232883</v>
        <stp/>
        <stp>BDP|9064999293106048724</stp>
        <tr r="G1799" s="2"/>
      </tp>
      <tp t="s">
        <v>#N/A Requesting Data...2975876781</v>
        <stp/>
        <stp>BDP|4061316393445239389</stp>
        <tr r="O1219" s="2"/>
      </tp>
      <tp t="s">
        <v>#N/A Requesting Data...2711420720</v>
        <stp/>
        <stp>BDP|8155490175477368469</stp>
        <tr r="R1316" s="2"/>
      </tp>
      <tp t="s">
        <v>#N/A Requesting Data...893297485</v>
        <stp/>
        <stp>BDP|4633995463774185758</stp>
        <tr r="D1161" s="2"/>
      </tp>
      <tp t="s">
        <v>#N/A Requesting Data...1855383166</v>
        <stp/>
        <stp>BDP|2374304341204250985</stp>
        <tr r="M25" s="2"/>
      </tp>
      <tp t="s">
        <v>#N/A Requesting Data...3188843599</v>
        <stp/>
        <stp>BDP|9270188467956566001</stp>
        <tr r="H81" s="2"/>
      </tp>
      <tp t="s">
        <v>#N/A Requesting Data...2052139949</v>
        <stp/>
        <stp>BDP|6996862176256302728</stp>
        <tr r="N720" s="2"/>
      </tp>
      <tp t="s">
        <v>#N/A Requesting Data...3643523247</v>
        <stp/>
        <stp>BDP|9150595064082748035</stp>
        <tr r="C569" s="2"/>
      </tp>
      <tp t="s">
        <v>#N/A Requesting Data...903887174</v>
        <stp/>
        <stp>BDP|4151050606739907533</stp>
        <tr r="R1411" s="2"/>
      </tp>
      <tp t="s">
        <v>#N/A Requesting Data...2874471434</v>
        <stp/>
        <stp>BDP|5413242098422772471</stp>
        <tr r="S982" s="2"/>
      </tp>
      <tp t="s">
        <v>#N/A Requesting Data...2912886058</v>
        <stp/>
        <stp>BDP|9509128661830840665</stp>
        <tr r="N75" s="2"/>
      </tp>
      <tp t="s">
        <v>#N/A Requesting Data...3138958813</v>
        <stp/>
        <stp>BDP|3874224694145629501</stp>
        <tr r="A2450" s="2"/>
      </tp>
      <tp t="s">
        <v>#N/A Requesting Data...2242519876</v>
        <stp/>
        <stp>BDP|5064283894513147555</stp>
        <tr r="C2362" s="2"/>
      </tp>
      <tp t="s">
        <v>#N/A Requesting Data...2828622469</v>
        <stp/>
        <stp>BDP|2716460503389260785</stp>
        <tr r="H79" s="2"/>
      </tp>
      <tp t="s">
        <v>#N/A Requesting Data...1643793110</v>
        <stp/>
        <stp>BDP|3558344861168872607</stp>
        <tr r="C474" s="2"/>
      </tp>
      <tp t="s">
        <v>#N/A Requesting Data...1479637565</v>
        <stp/>
        <stp>BDP|9473804583124931561</stp>
        <tr r="T557" s="2"/>
      </tp>
      <tp t="s">
        <v>#N/A Requesting Data...3751697647</v>
        <stp/>
        <stp>BDP|3981968011302247147</stp>
        <tr r="R934" s="2"/>
      </tp>
      <tp t="s">
        <v>#N/A Requesting Data...2245807784</v>
        <stp/>
        <stp>BDP|4594983454212787260</stp>
        <tr r="M1166" s="2"/>
      </tp>
      <tp t="s">
        <v>#N/A Requesting Data...3550693211</v>
        <stp/>
        <stp>BDP|9177979649848463430</stp>
        <tr r="M2223" s="2"/>
      </tp>
      <tp t="s">
        <v>#N/A Requesting Data...4102381193</v>
        <stp/>
        <stp>BDP|4807436985465649506</stp>
        <tr r="T110" s="2"/>
      </tp>
      <tp t="s">
        <v>#N/A Requesting Data...3563924576</v>
        <stp/>
        <stp>BDP|3318105322718059096</stp>
        <tr r="A2486" s="2"/>
      </tp>
      <tp t="s">
        <v>#N/A Requesting Data...3601318688</v>
        <stp/>
        <stp>BDP|8849444842281026160</stp>
        <tr r="H98" s="2"/>
      </tp>
      <tp t="s">
        <v>#N/A Requesting Data...993431533</v>
        <stp/>
        <stp>BDP|5530580031788400304</stp>
        <tr r="Q938" s="2"/>
      </tp>
      <tp t="s">
        <v>#N/A Requesting Data...2942562841</v>
        <stp/>
        <stp>BDP|7556255269273649876</stp>
        <tr r="J460" s="2"/>
      </tp>
      <tp t="s">
        <v>#N/A Requesting Data...1948916059</v>
        <stp/>
        <stp>BDP|5057839669856623545</stp>
        <tr r="T2018" s="2"/>
      </tp>
      <tp t="s">
        <v>#N/A Requesting Data...1754603531</v>
        <stp/>
        <stp>BDP|2359526437098778497</stp>
        <tr r="Q2429" s="2"/>
      </tp>
      <tp t="s">
        <v>#N/A Requesting Data...1244147223</v>
        <stp/>
        <stp>BDP|9981361135750759158</stp>
        <tr r="A2091" s="2"/>
      </tp>
      <tp t="s">
        <v>#N/A Requesting Data...2486431339</v>
        <stp/>
        <stp>BDP|7766093416657448944</stp>
        <tr r="S663" s="2"/>
      </tp>
      <tp t="s">
        <v>#N/A Requesting Data...3761747993</v>
        <stp/>
        <stp>BDP|6263513086724528783</stp>
        <tr r="R361" s="2"/>
      </tp>
      <tp t="s">
        <v>#N/A Requesting Data...3829855145</v>
        <stp/>
        <stp>BDP|2875560571010514824</stp>
        <tr r="T2516" s="2"/>
      </tp>
      <tp t="s">
        <v>#N/A Requesting Data...982242144</v>
        <stp/>
        <stp>BDP|9613766544515967756</stp>
        <tr r="P475" s="2"/>
      </tp>
      <tp t="s">
        <v>#N/A Requesting Data...899409893</v>
        <stp/>
        <stp>BDP|2198501438459978589</stp>
        <tr r="T2413" s="2"/>
      </tp>
      <tp t="s">
        <v>#N/A Requesting Data...3603307487</v>
        <stp/>
        <stp>BDP|2133082401268013200</stp>
        <tr r="P747" s="2"/>
      </tp>
      <tp t="s">
        <v>#N/A Requesting Data...1276659500</v>
        <stp/>
        <stp>BDP|8984259248925426388</stp>
        <tr r="G513" s="2"/>
      </tp>
      <tp t="s">
        <v>#N/A Requesting Data...2944564314</v>
        <stp/>
        <stp>BDP|4700415730772753995</stp>
        <tr r="J1827" s="2"/>
      </tp>
      <tp t="s">
        <v>#N/A Requesting Data...1764852876</v>
        <stp/>
        <stp>BDP|8802550115330333432</stp>
        <tr r="Q2526" s="2"/>
      </tp>
      <tp t="s">
        <v>#N/A Requesting Data...1247518875</v>
        <stp/>
        <stp>BDP|4929547045204710974</stp>
        <tr r="G929" s="2"/>
      </tp>
      <tp t="s">
        <v>#N/A Requesting Data...4128312495</v>
        <stp/>
        <stp>BDP|7687824058905741734</stp>
        <tr r="J2331" s="2"/>
      </tp>
      <tp t="s">
        <v>#N/A Requesting Data...2622990779</v>
        <stp/>
        <stp>BDP|8272496355036764712</stp>
        <tr r="E1188" s="2"/>
      </tp>
      <tp t="s">
        <v>#N/A Requesting Data...4145613217</v>
        <stp/>
        <stp>BDP|9360314681038233294</stp>
        <tr r="P1018" s="2"/>
      </tp>
      <tp t="s">
        <v>#N/A Requesting Data...2983795867</v>
        <stp/>
        <stp>BDP|1765866212248252892</stp>
        <tr r="C2289" s="2"/>
      </tp>
      <tp t="s">
        <v>#N/A Requesting Data...3207052198</v>
        <stp/>
        <stp>BDP|9367893093087461756</stp>
        <tr r="H665" s="2"/>
      </tp>
      <tp t="s">
        <v>#N/A Requesting Data...4142314382</v>
        <stp/>
        <stp>BDP|7719775073507956821</stp>
        <tr r="M2332" s="2"/>
      </tp>
      <tp t="s">
        <v>#N/A Requesting Data...2024134388</v>
        <stp/>
        <stp>BDP|8655504100195874062</stp>
        <tr r="J1142" s="2"/>
      </tp>
      <tp t="s">
        <v>#N/A Requesting Data...1782705764</v>
        <stp/>
        <stp>BDP|1857931556802084750</stp>
        <tr r="Q1614" s="2"/>
      </tp>
      <tp t="s">
        <v>#N/A Requesting Data...3462659326</v>
        <stp/>
        <stp>BDP|7484842273766907629</stp>
        <tr r="C871" s="2"/>
      </tp>
      <tp t="s">
        <v>#N/A Requesting Data...2622730521</v>
        <stp/>
        <stp>BDP|5143348133964944975</stp>
        <tr r="P39" s="2"/>
      </tp>
      <tp t="b">
        <v>0</v>
        <stp/>
        <stp>BDS|5947954157567611653</stp>
        <tr r="I1712" s="2"/>
      </tp>
      <tp t="s">
        <v>#N/A Requesting Data...1423778317</v>
        <stp/>
        <stp>BDP|1640793931615174872</stp>
        <tr r="G2124" s="2"/>
      </tp>
      <tp t="s">
        <v>#N/A Requesting Data...3549848578</v>
        <stp/>
        <stp>BDP|9710540517645908050</stp>
        <tr r="C1212" s="2"/>
      </tp>
      <tp t="s">
        <v>#N/A Requesting Data...2532038237</v>
        <stp/>
        <stp>BDP|7836603999235126587</stp>
        <tr r="S676" s="2"/>
      </tp>
      <tp t="s">
        <v>#N/A Requesting Data...1151469414</v>
        <stp/>
        <stp>BDP|4456041361579009396</stp>
        <tr r="R1793" s="2"/>
      </tp>
      <tp t="s">
        <v>#N/A Requesting Data...3713767762</v>
        <stp/>
        <stp>BDP|3860296997284960472</stp>
        <tr r="G2227" s="2"/>
      </tp>
      <tp t="s">
        <v>#N/A Requesting Data...2696185719</v>
        <stp/>
        <stp>BDP|8086693000407908189</stp>
        <tr r="K393" s="2"/>
      </tp>
      <tp t="s">
        <v>#N/A Requesting Data...2109010303</v>
        <stp/>
        <stp>BDP|7976810306834436335</stp>
        <tr r="S1847" s="2"/>
      </tp>
      <tp t="b">
        <v>0</v>
        <stp/>
        <stp>BDS|7270980139643824629</stp>
        <tr r="I919" s="2"/>
      </tp>
      <tp t="s">
        <v>#N/A Requesting Data...1212571732</v>
        <stp/>
        <stp>BDP|1182276247868964719</stp>
        <tr r="M734" s="2"/>
      </tp>
      <tp t="s">
        <v>#N/A Requesting Data...4010286553</v>
        <stp/>
        <stp>BDP|4909166321107784806</stp>
        <tr r="C537" s="2"/>
      </tp>
      <tp t="s">
        <v>#N/A Requesting Data...1676934142</v>
        <stp/>
        <stp>BDP|9759795303237523119</stp>
        <tr r="G1466" s="2"/>
      </tp>
      <tp t="s">
        <v>#N/A Requesting Data...1419879400</v>
        <stp/>
        <stp>BDP|7536949645861982342</stp>
        <tr r="J1386" s="2"/>
      </tp>
      <tp t="s">
        <v>#N/A Requesting Data...4030528055</v>
        <stp/>
        <stp>BDP|5268259939615735902</stp>
        <tr r="O1311" s="2"/>
      </tp>
      <tp t="s">
        <v>#N/A Requesting Data...1626128564</v>
        <stp/>
        <stp>BDP|7992500764019545515</stp>
        <tr r="G1183" s="2"/>
      </tp>
      <tp t="s">
        <v>#N/A Requesting Data...1518394347</v>
        <stp/>
        <stp>BDP|7467666594378997862</stp>
        <tr r="A548" s="2"/>
      </tp>
      <tp t="s">
        <v>#N/A Requesting Data...1596234602</v>
        <stp/>
        <stp>BDP|3680980757306318132</stp>
        <tr r="D1856" s="2"/>
      </tp>
      <tp t="s">
        <v>#N/A Requesting Data...3429624883</v>
        <stp/>
        <stp>BDP|9473207402201688292</stp>
        <tr r="T1629" s="2"/>
      </tp>
      <tp t="s">
        <v>#N/A Requesting Data...1260308548</v>
        <stp/>
        <stp>BDP|6239159348338701311</stp>
        <tr r="F617" s="2"/>
      </tp>
      <tp t="s">
        <v>#N/A Requesting Data...2571884143</v>
        <stp/>
        <stp>BDP|4795808912315997053</stp>
        <tr r="G2532" s="2"/>
      </tp>
      <tp t="s">
        <v>#N/A Requesting Data...1564786920</v>
        <stp/>
        <stp>BDP|9042059803172918366</stp>
        <tr r="N931" s="2"/>
      </tp>
      <tp t="s">
        <v>#N/A Requesting Data...3236206271</v>
        <stp/>
        <stp>BDP|8618524126461297693</stp>
        <tr r="J2124" s="2"/>
      </tp>
      <tp t="s">
        <v>#N/A Requesting Data...4155567787</v>
        <stp/>
        <stp>BDP|1689096437173633977</stp>
        <tr r="P2234" s="2"/>
      </tp>
      <tp t="b">
        <v>0</v>
        <stp/>
        <stp>BDS|8576815110338411199</stp>
        <tr r="I2254" s="2"/>
      </tp>
      <tp t="s">
        <v>#N/A Requesting Data...2801193409</v>
        <stp/>
        <stp>BDP|9180469103830935540</stp>
        <tr r="O505" s="2"/>
      </tp>
      <tp t="s">
        <v>#N/A Requesting Data...3047999329</v>
        <stp/>
        <stp>BDP|6942885479377490651</stp>
        <tr r="K790" s="2"/>
      </tp>
      <tp t="s">
        <v>#N/A Requesting Data...4065793885</v>
        <stp/>
        <stp>BDP|8193027474580933772</stp>
        <tr r="N1686" s="2"/>
      </tp>
      <tp t="s">
        <v>#N/A Requesting Data...2634016355</v>
        <stp/>
        <stp>BDP|7154133718858069732</stp>
        <tr r="O1416" s="2"/>
      </tp>
      <tp t="s">
        <v>#N/A Requesting Data...2316004362</v>
        <stp/>
        <stp>BDP|9787835716720307887</stp>
        <tr r="O521" s="2"/>
      </tp>
      <tp t="s">
        <v>#N/A Requesting Data...1982793128</v>
        <stp/>
        <stp>BDP|4864929231512561471</stp>
        <tr r="O199" s="2"/>
      </tp>
      <tp t="s">
        <v>#N/A Requesting Data...1354895493</v>
        <stp/>
        <stp>BDP|6103095220888827492</stp>
        <tr r="D994" s="2"/>
      </tp>
      <tp t="b">
        <v>0</v>
        <stp/>
        <stp>BDS|5151991942193489373</stp>
        <tr r="I2243" s="2"/>
      </tp>
      <tp t="s">
        <v>#N/A Requesting Data...3082793451</v>
        <stp/>
        <stp>BDP|3903806132738348818</stp>
        <tr r="M652" s="2"/>
      </tp>
      <tp t="s">
        <v>#N/A Requesting Data...1471054576</v>
        <stp/>
        <stp>BDP|6446803644293193181</stp>
        <tr r="J1469" s="2"/>
      </tp>
      <tp t="s">
        <v>#N/A Requesting Data...3370741743</v>
        <stp/>
        <stp>BDP|3492955160260803402</stp>
        <tr r="M2076" s="2"/>
      </tp>
      <tp t="s">
        <v>#N/A Requesting Data...1267381420</v>
        <stp/>
        <stp>BDP|9381986105440442832</stp>
        <tr r="H250" s="2"/>
      </tp>
      <tp t="s">
        <v>#N/A Requesting Data...3835383004</v>
        <stp/>
        <stp>BDP|1042055194964972413</stp>
        <tr r="K2202" s="2"/>
      </tp>
      <tp t="s">
        <v>#N/A Requesting Data...1388625555</v>
        <stp/>
        <stp>BDP|7464183246752684856</stp>
        <tr r="P1309" s="2"/>
      </tp>
      <tp t="s">
        <v>#N/A Requesting Data...2823612684</v>
        <stp/>
        <stp>BDP|1133436921306323998</stp>
        <tr r="N1895" s="2"/>
      </tp>
      <tp t="s">
        <v>#N/A Requesting Data...1510621841</v>
        <stp/>
        <stp>BDP|3661750083973043794</stp>
        <tr r="O407" s="2"/>
      </tp>
      <tp t="s">
        <v>#N/A Requesting Data...1669661098</v>
        <stp/>
        <stp>BDP|7621528276499826433</stp>
        <tr r="G1614" s="2"/>
      </tp>
      <tp t="s">
        <v>#N/A Requesting Data...2360277287</v>
        <stp/>
        <stp>BDP|2848768365219722253</stp>
        <tr r="K315" s="2"/>
      </tp>
      <tp t="s">
        <v>#N/A Requesting Data...3189787887</v>
        <stp/>
        <stp>BDP|3220103235198681187</stp>
        <tr r="P2155" s="2"/>
      </tp>
      <tp t="s">
        <v>#N/A Requesting Data...1176392037</v>
        <stp/>
        <stp>BDP|7623529838848455119</stp>
        <tr r="G2488" s="2"/>
      </tp>
      <tp t="s">
        <v>#N/A Requesting Data...2890942667</v>
        <stp/>
        <stp>BDP|7924512690861010217</stp>
        <tr r="D1589" s="2"/>
      </tp>
      <tp t="s">
        <v>#N/A Requesting Data...1030291103</v>
        <stp/>
        <stp>BDP|1921076195434476469</stp>
        <tr r="G1296" s="2"/>
      </tp>
      <tp t="s">
        <v>#N/A Requesting Data...2986235009</v>
        <stp/>
        <stp>BDP|5901544583311115168</stp>
        <tr r="H1011" s="2"/>
      </tp>
      <tp t="s">
        <v>#N/A Requesting Data...2007283047</v>
        <stp/>
        <stp>BDP|7896267744350138920</stp>
        <tr r="H184" s="2"/>
      </tp>
      <tp t="s">
        <v>#N/A Requesting Data...3011081255</v>
        <stp/>
        <stp>BDP|8896951350648309470</stp>
        <tr r="E1990" s="2"/>
      </tp>
      <tp t="s">
        <v>#N/A Requesting Data...1508535359</v>
        <stp/>
        <stp>BDP|1377920541351011594</stp>
        <tr r="H118" s="2"/>
      </tp>
      <tp t="s">
        <v>#N/A Requesting Data...2193890218</v>
        <stp/>
        <stp>BDP|3385369084508035886</stp>
        <tr r="T701" s="2"/>
      </tp>
      <tp t="s">
        <v>#N/A Requesting Data...3962008078</v>
        <stp/>
        <stp>BDP|5030522810349300083</stp>
        <tr r="O727" s="2"/>
      </tp>
      <tp t="s">
        <v>#N/A Requesting Data...3965882003</v>
        <stp/>
        <stp>BDP|2019527897766878047</stp>
        <tr r="J2338" s="2"/>
      </tp>
      <tp t="s">
        <v>#N/A Requesting Data...3165773947</v>
        <stp/>
        <stp>BDP|3418906948695000350</stp>
        <tr r="G1438" s="2"/>
      </tp>
      <tp t="s">
        <v>#N/A Requesting Data...1948122820</v>
        <stp/>
        <stp>BDP|9788477737301846769</stp>
        <tr r="T757" s="2"/>
      </tp>
      <tp t="s">
        <v>#N/A Requesting Data...3499599691</v>
        <stp/>
        <stp>BDP|6382295278232387987</stp>
        <tr r="D1585" s="2"/>
      </tp>
      <tp t="s">
        <v>#N/A Requesting Data...3309407349</v>
        <stp/>
        <stp>BDP|7933140062778008064</stp>
        <tr r="H1711" s="2"/>
      </tp>
      <tp t="b">
        <v>0</v>
        <stp/>
        <stp>BDS|8363418579986102534</stp>
        <tr r="I316" s="2"/>
      </tp>
      <tp t="s">
        <v>#N/A Requesting Data...2550741958</v>
        <stp/>
        <stp>BDP|6750642934038705397</stp>
        <tr r="J2114" s="2"/>
      </tp>
      <tp t="s">
        <v>#N/A Requesting Data...1233084251</v>
        <stp/>
        <stp>BDP|9749696027304806181</stp>
        <tr r="O1933" s="2"/>
      </tp>
      <tp t="s">
        <v>#N/A Requesting Data...3269719151</v>
        <stp/>
        <stp>BDP|7874532664009410527</stp>
        <tr r="O1432" s="2"/>
      </tp>
      <tp t="s">
        <v>#N/A Requesting Data...3787012972</v>
        <stp/>
        <stp>BDP|9262330126799837961</stp>
        <tr r="M2279" s="2"/>
      </tp>
      <tp t="s">
        <v>#N/A Requesting Data...1841742376</v>
        <stp/>
        <stp>BDP|3332962799642307965</stp>
        <tr r="C1130" s="2"/>
      </tp>
      <tp t="s">
        <v>#N/A Requesting Data...1088411622</v>
        <stp/>
        <stp>BDP|9319756260287665791</stp>
        <tr r="K1626" s="2"/>
      </tp>
      <tp t="s">
        <v>#N/A Requesting Data...3669445953</v>
        <stp/>
        <stp>BDP|4857350574478622061</stp>
        <tr r="R896" s="2"/>
      </tp>
      <tp t="s">
        <v>#N/A Requesting Data...3379550267</v>
        <stp/>
        <stp>BDP|5431424478967094975</stp>
        <tr r="K2455" s="2"/>
      </tp>
      <tp t="s">
        <v>#N/A Requesting Data...1253810940</v>
        <stp/>
        <stp>BDP|9751699915985577370</stp>
        <tr r="T1903" s="2"/>
      </tp>
      <tp t="s">
        <v>#N/A Requesting Data...3878924546</v>
        <stp/>
        <stp>BDP|3274313270758940735</stp>
        <tr r="T1320" s="2"/>
      </tp>
      <tp t="s">
        <v>#N/A Requesting Data...1593847603</v>
        <stp/>
        <stp>BDP|3106826500485214681</stp>
        <tr r="N190" s="2"/>
      </tp>
      <tp t="b">
        <v>0</v>
        <stp/>
        <stp>BDS|8364001135366919564</stp>
        <tr r="I1880" s="2"/>
      </tp>
      <tp t="s">
        <v>#N/A Requesting Data...1978213426</v>
        <stp/>
        <stp>BDP|6255614145405818971</stp>
        <tr r="S586" s="2"/>
      </tp>
      <tp t="s">
        <v>#N/A Requesting Data...1461717718</v>
        <stp/>
        <stp>BDP|8643493813251656435</stp>
        <tr r="T2096" s="2"/>
      </tp>
      <tp t="s">
        <v>#N/A Requesting Data...1193366390</v>
        <stp/>
        <stp>BDP|8887263301390255248</stp>
        <tr r="Q1730" s="2"/>
      </tp>
      <tp t="s">
        <v>#N/A Requesting Data...1467085225</v>
        <stp/>
        <stp>BDP|9824485715355901150</stp>
        <tr r="H2290" s="2"/>
      </tp>
      <tp t="s">
        <v>#N/A Requesting Data...966970124</v>
        <stp/>
        <stp>BDP|1568392276255533861</stp>
        <tr r="Q792" s="2"/>
      </tp>
      <tp t="s">
        <v>#N/A Requesting Data...2269335004</v>
        <stp/>
        <stp>BDP|2689358285014774583</stp>
        <tr r="P1645" s="2"/>
      </tp>
      <tp t="s">
        <v>#N/A Requesting Data...2161040491</v>
        <stp/>
        <stp>BDP|1243184010570171925</stp>
        <tr r="D1869" s="2"/>
      </tp>
      <tp t="s">
        <v>#N/A Requesting Data...2147234789</v>
        <stp/>
        <stp>BDP|5512202449368167341</stp>
        <tr r="N748" s="2"/>
      </tp>
      <tp t="s">
        <v>#N/A Requesting Data...1360202262</v>
        <stp/>
        <stp>BDP|8199148942042915777</stp>
        <tr r="P466" s="2"/>
      </tp>
      <tp t="s">
        <v>#N/A Requesting Data...1980705242</v>
        <stp/>
        <stp>BDP|5801971687009505546</stp>
        <tr r="P2236" s="2"/>
      </tp>
      <tp t="s">
        <v>#N/A Requesting Data...2016878063</v>
        <stp/>
        <stp>BDP|6373893874061155066</stp>
        <tr r="H1756" s="2"/>
      </tp>
      <tp t="s">
        <v>#N/A Requesting Data...2648072174</v>
        <stp/>
        <stp>BDP|7938222037017060950</stp>
        <tr r="C1488" s="2"/>
      </tp>
      <tp t="s">
        <v>#N/A Requesting Data...4080315479</v>
        <stp/>
        <stp>BDP|8785968042768228582</stp>
        <tr r="S2360" s="2"/>
      </tp>
      <tp t="s">
        <v>#N/A Requesting Data...1231565469</v>
        <stp/>
        <stp>BDP|2323089113448902389</stp>
        <tr r="K2449" s="2"/>
      </tp>
      <tp t="s">
        <v>#N/A Requesting Data...2635463696</v>
        <stp/>
        <stp>BDP|8542744661455804412</stp>
        <tr r="N1563" s="2"/>
      </tp>
      <tp t="s">
        <v>#N/A Requesting Data...2740590888</v>
        <stp/>
        <stp>BDP|4261224428608373425</stp>
        <tr r="Q2056" s="2"/>
      </tp>
      <tp t="s">
        <v>#N/A Requesting Data...1858060292</v>
        <stp/>
        <stp>BDP|5282498717719044155</stp>
        <tr r="G285" s="2"/>
      </tp>
      <tp t="s">
        <v>#N/A Requesting Data...2636822017</v>
        <stp/>
        <stp>BDP|5952639087803633021</stp>
        <tr r="H2452" s="2"/>
      </tp>
      <tp t="s">
        <v>#N/A Requesting Data...1040645198</v>
        <stp/>
        <stp>BDP|7800954253651438237</stp>
        <tr r="M1104" s="2"/>
      </tp>
      <tp t="s">
        <v>#N/A Requesting Data...2272393358</v>
        <stp/>
        <stp>BDP|9760726563763998368</stp>
        <tr r="R1301" s="2"/>
      </tp>
      <tp t="s">
        <v>#N/A Requesting Data...1568873971</v>
        <stp/>
        <stp>BDP|5403308678421133836</stp>
        <tr r="M970" s="2"/>
      </tp>
      <tp t="s">
        <v>#N/A Requesting Data...1281562270</v>
        <stp/>
        <stp>BDP|6030509468305492829</stp>
        <tr r="T1217" s="2"/>
      </tp>
      <tp t="s">
        <v>#N/A Requesting Data...1538071571</v>
        <stp/>
        <stp>BDP|4133052380940823423</stp>
        <tr r="M134" s="2"/>
      </tp>
      <tp t="b">
        <v>0</v>
        <stp/>
        <stp>BDS|5324697965288386525</stp>
        <tr r="I1230" s="2"/>
      </tp>
      <tp t="b">
        <v>0</v>
        <stp/>
        <stp>BDS|1338606212136674899</stp>
        <tr r="I24" s="2"/>
      </tp>
      <tp t="s">
        <v>#N/A Requesting Data...2343994349</v>
        <stp/>
        <stp>BDP|3655585743802247814</stp>
        <tr r="P691" s="2"/>
      </tp>
      <tp t="s">
        <v>#N/A Requesting Data...2870735860</v>
        <stp/>
        <stp>BDP|4235837471962862163</stp>
        <tr r="R1681" s="2"/>
      </tp>
      <tp t="s">
        <v>#N/A Requesting Data...3034597637</v>
        <stp/>
        <stp>BDP|4979863415045784034</stp>
        <tr r="G2175" s="2"/>
      </tp>
      <tp t="s">
        <v>#N/A Requesting Data...2458074807</v>
        <stp/>
        <stp>BDP|1478975952415968068</stp>
        <tr r="H1355" s="2"/>
      </tp>
      <tp t="s">
        <v>#N/A Requesting Data...3180710098</v>
        <stp/>
        <stp>BDP|1479840469183454438</stp>
        <tr r="N140" s="2"/>
      </tp>
      <tp t="s">
        <v>#N/A Requesting Data...4292076510</v>
        <stp/>
        <stp>BDP|3220462199840104623</stp>
        <tr r="F1846" s="2"/>
      </tp>
      <tp t="b">
        <v>0</v>
        <stp/>
        <stp>BDS|8423082807610768028</stp>
        <tr r="I759" s="2"/>
      </tp>
      <tp t="s">
        <v>#N/A Requesting Data...1760441767</v>
        <stp/>
        <stp>BDP|9807219256672321426</stp>
        <tr r="P835" s="2"/>
      </tp>
      <tp t="s">
        <v>#N/A Requesting Data...2572042043</v>
        <stp/>
        <stp>BDP|1854222572224178879</stp>
        <tr r="E1467" s="2"/>
      </tp>
      <tp t="s">
        <v>#N/A Requesting Data...3772202151</v>
        <stp/>
        <stp>BDP|9931199199329449036</stp>
        <tr r="A1258" s="2"/>
      </tp>
      <tp t="s">
        <v>#N/A Requesting Data...3463961458</v>
        <stp/>
        <stp>BDP|6939341745989551034</stp>
        <tr r="R2193" s="2"/>
      </tp>
      <tp t="s">
        <v>#N/A Requesting Data...2066627183</v>
        <stp/>
        <stp>BDP|3253009093675804770</stp>
        <tr r="H875" s="2"/>
      </tp>
      <tp t="s">
        <v>#N/A Requesting Data...2130797930</v>
        <stp/>
        <stp>BDP|7168637808458567119</stp>
        <tr r="F1340" s="2"/>
      </tp>
      <tp t="s">
        <v>#N/A Requesting Data...1668687550</v>
        <stp/>
        <stp>BDP|9744174058615157079</stp>
        <tr r="A653" s="2"/>
      </tp>
      <tp t="s">
        <v>#N/A Requesting Data...4235254834</v>
        <stp/>
        <stp>BDP|1296999131924618722</stp>
        <tr r="C1696" s="2"/>
      </tp>
      <tp t="s">
        <v>#N/A Requesting Data...2644101820</v>
        <stp/>
        <stp>BDP|4818875021926837084</stp>
        <tr r="F2315" s="2"/>
      </tp>
      <tp t="s">
        <v>#N/A Requesting Data...2990274870</v>
        <stp/>
        <stp>BDP|3678933755885919277</stp>
        <tr r="E901" s="2"/>
      </tp>
      <tp t="s">
        <v>#N/A Requesting Data...2538758128</v>
        <stp/>
        <stp>BDP|2485208417769848059</stp>
        <tr r="E2168" s="2"/>
      </tp>
      <tp t="s">
        <v>#N/A Requesting Data...1954269489</v>
        <stp/>
        <stp>BDP|3987831927576206716</stp>
        <tr r="F1952" s="2"/>
      </tp>
      <tp t="s">
        <v>#N/A Requesting Data...1967407071</v>
        <stp/>
        <stp>BDP|1790606818656374824</stp>
        <tr r="C2510" s="2"/>
      </tp>
      <tp t="s">
        <v>#N/A Requesting Data...2711962255</v>
        <stp/>
        <stp>BDP|4954125996861612553</stp>
        <tr r="M1607" s="2"/>
      </tp>
      <tp t="b">
        <v>0</v>
        <stp/>
        <stp>BDS|4604054967938325296</stp>
        <tr r="I863" s="2"/>
      </tp>
      <tp t="s">
        <v>#N/A Requesting Data...1585969088</v>
        <stp/>
        <stp>BDP|2283224097204935500</stp>
        <tr r="F1936" s="2"/>
      </tp>
      <tp t="s">
        <v>#N/A Requesting Data...3346683354</v>
        <stp/>
        <stp>BDP|5130964419542271728</stp>
        <tr r="K1899" s="2"/>
      </tp>
      <tp t="s">
        <v>#N/A Requesting Data...2350982667</v>
        <stp/>
        <stp>BDP|7921729371247077843</stp>
        <tr r="H2351" s="2"/>
      </tp>
      <tp t="s">
        <v>#N/A Requesting Data...2144850279</v>
        <stp/>
        <stp>BDP|4914522157644405869</stp>
        <tr r="A1347" s="2"/>
      </tp>
      <tp t="s">
        <v>#N/A Requesting Data...1493173106</v>
        <stp/>
        <stp>BDP|6926084879619399055</stp>
        <tr r="E2320" s="2"/>
      </tp>
      <tp t="s">
        <v>#N/A Requesting Data...3601056836</v>
        <stp/>
        <stp>BDP|3882077606459201257</stp>
        <tr r="A1692" s="2"/>
      </tp>
      <tp t="s">
        <v>#N/A Requesting Data...1422955906</v>
        <stp/>
        <stp>BDP|6837702569677687893</stp>
        <tr r="G598" s="2"/>
      </tp>
      <tp t="s">
        <v>#N/A Requesting Data...4232800859</v>
        <stp/>
        <stp>BDP|9351385526830435077</stp>
        <tr r="H1307" s="2"/>
      </tp>
      <tp t="s">
        <v>#N/A Requesting Data...2592365310</v>
        <stp/>
        <stp>BDP|9081036840840588581</stp>
        <tr r="E2515" s="2"/>
      </tp>
      <tp t="s">
        <v>#N/A Requesting Data...2200312203</v>
        <stp/>
        <stp>BDP|8996485370557631495</stp>
        <tr r="S858" s="2"/>
      </tp>
      <tp t="s">
        <v>#N/A Requesting Data...1311054407</v>
        <stp/>
        <stp>BDP|2488779987680207588</stp>
        <tr r="C281" s="2"/>
      </tp>
      <tp t="s">
        <v>#N/A Requesting Data...2426076274</v>
        <stp/>
        <stp>BDP|8261295777886637347</stp>
        <tr r="G1934" s="2"/>
      </tp>
      <tp t="s">
        <v>#N/A Requesting Data...2130762662</v>
        <stp/>
        <stp>BDP|9119736555777081497</stp>
        <tr r="M792" s="2"/>
      </tp>
      <tp t="s">
        <v>#N/A Requesting Data...3836467495</v>
        <stp/>
        <stp>BDP|9082392916704459756</stp>
        <tr r="N1237" s="2"/>
      </tp>
      <tp t="s">
        <v>#N/A Requesting Data...3907845321</v>
        <stp/>
        <stp>BDP|2457909317356528483</stp>
        <tr r="H2349" s="2"/>
      </tp>
      <tp t="s">
        <v>#N/A Requesting Data...3201949607</v>
        <stp/>
        <stp>BDP|4149956541974361583</stp>
        <tr r="S828" s="2"/>
      </tp>
      <tp t="s">
        <v>#N/A Requesting Data...1501890352</v>
        <stp/>
        <stp>BDP|4422866359775502402</stp>
        <tr r="T2404" s="2"/>
      </tp>
      <tp t="b">
        <v>0</v>
        <stp/>
        <stp>BDS|8268358666490791581</stp>
        <tr r="I2365" s="2"/>
      </tp>
      <tp t="s">
        <v>#N/A Requesting Data...2448209367</v>
        <stp/>
        <stp>BDP|4151002712418939541</stp>
        <tr r="J1034" s="2"/>
      </tp>
      <tp t="s">
        <v>#N/A Requesting Data...2482811811</v>
        <stp/>
        <stp>BDP|6938493149016592828</stp>
        <tr r="S1307" s="2"/>
      </tp>
      <tp t="s">
        <v>#N/A Requesting Data...3795981129</v>
        <stp/>
        <stp>BDP|2693450730825443895</stp>
        <tr r="D376" s="2"/>
      </tp>
      <tp t="s">
        <v>#N/A Requesting Data...2536307678</v>
        <stp/>
        <stp>BDP|5504460609951617828</stp>
        <tr r="F652" s="2"/>
      </tp>
      <tp t="s">
        <v>#N/A Requesting Data...1704620472</v>
        <stp/>
        <stp>BDP|2513777406065202886</stp>
        <tr r="Q2310" s="2"/>
      </tp>
      <tp t="s">
        <v>#N/A Requesting Data...1805332508</v>
        <stp/>
        <stp>BDP|1004590782560140442</stp>
        <tr r="O1813" s="2"/>
      </tp>
      <tp t="s">
        <v>#N/A Requesting Data...2861212209</v>
        <stp/>
        <stp>BDP|1130753028404077820</stp>
        <tr r="O1144" s="2"/>
      </tp>
      <tp t="s">
        <v>#N/A Requesting Data...2651513072</v>
        <stp/>
        <stp>BDP|2231863258257466067</stp>
        <tr r="S1815" s="2"/>
      </tp>
      <tp t="s">
        <v>#N/A Requesting Data...1689133593</v>
        <stp/>
        <stp>BDP|3316171419762735947</stp>
        <tr r="K1044" s="2"/>
      </tp>
      <tp t="s">
        <v>#N/A Requesting Data...3601290840</v>
        <stp/>
        <stp>BDP|9635993616168674115</stp>
        <tr r="F948" s="2"/>
      </tp>
      <tp t="s">
        <v>#N/A Requesting Data...3384880235</v>
        <stp/>
        <stp>BDP|1440788026434081843</stp>
        <tr r="F1085" s="2"/>
      </tp>
      <tp t="s">
        <v>#N/A Requesting Data...1983233013</v>
        <stp/>
        <stp>BDP|1775850717479867936</stp>
        <tr r="D2148" s="2"/>
      </tp>
      <tp t="b">
        <v>0</v>
        <stp/>
        <stp>BDS|5956942320384373203</stp>
        <tr r="I280" s="2"/>
      </tp>
      <tp t="b">
        <v>0</v>
        <stp/>
        <stp>BDS|3682877109747696400</stp>
        <tr r="I268" s="2"/>
      </tp>
      <tp t="s">
        <v>#N/A Requesting Data...2377477738</v>
        <stp/>
        <stp>BDP|4625131609508511575</stp>
        <tr r="E2061" s="2"/>
      </tp>
      <tp t="s">
        <v>#N/A Requesting Data...3528378117</v>
        <stp/>
        <stp>BDP|9746464174226217491</stp>
        <tr r="T228" s="2"/>
      </tp>
      <tp t="s">
        <v>#N/A Requesting Data...3758901974</v>
        <stp/>
        <stp>BDP|8917915132139326375</stp>
        <tr r="E344" s="2"/>
      </tp>
      <tp t="s">
        <v>#N/A Requesting Data...3914439855</v>
        <stp/>
        <stp>BDP|1235299899730583297</stp>
        <tr r="A505" s="2"/>
      </tp>
      <tp t="s">
        <v>#N/A Requesting Data...3877254404</v>
        <stp/>
        <stp>BDP|4128790626100331932</stp>
        <tr r="G1882" s="2"/>
      </tp>
      <tp t="s">
        <v>#N/A Requesting Data...3540111480</v>
        <stp/>
        <stp>BDP|3215344987766863676</stp>
        <tr r="N537" s="2"/>
      </tp>
      <tp t="s">
        <v>#N/A Requesting Data...2526758044</v>
        <stp/>
        <stp>BDP|5078968731001846619</stp>
        <tr r="C2335" s="2"/>
      </tp>
      <tp t="s">
        <v>#N/A Requesting Data...2996139108</v>
        <stp/>
        <stp>BDP|4762400789040155016</stp>
        <tr r="E2407" s="2"/>
      </tp>
      <tp t="s">
        <v>#N/A Requesting Data...1490111004</v>
        <stp/>
        <stp>BDP|3096763475578920348</stp>
        <tr r="N422" s="2"/>
      </tp>
      <tp t="s">
        <v>#N/A Requesting Data...2221544717</v>
        <stp/>
        <stp>BDP|7332253251548865016</stp>
        <tr r="A1386" s="2"/>
      </tp>
      <tp t="s">
        <v>#N/A Requesting Data...3285484966</v>
        <stp/>
        <stp>BDP|5526106374589923266</stp>
        <tr r="F412" s="2"/>
      </tp>
      <tp t="s">
        <v>#N/A Requesting Data...1216378512</v>
        <stp/>
        <stp>BDP|9317834124493264882</stp>
        <tr r="M632" s="2"/>
      </tp>
      <tp t="s">
        <v>#N/A Requesting Data...3044249709</v>
        <stp/>
        <stp>BDP|2171590633545756923</stp>
        <tr r="J1787" s="2"/>
      </tp>
      <tp t="s">
        <v>#N/A Requesting Data...2967121157</v>
        <stp/>
        <stp>BDP|5265467013740930801</stp>
        <tr r="M992" s="2"/>
      </tp>
      <tp t="s">
        <v>#N/A Requesting Data...3041747250</v>
        <stp/>
        <stp>BDP|3152326027203971932</stp>
        <tr r="Q1345" s="2"/>
      </tp>
      <tp t="s">
        <v>#N/A Requesting Data...1231396808</v>
        <stp/>
        <stp>BDP|7402621199678668875</stp>
        <tr r="E275" s="2"/>
      </tp>
      <tp t="s">
        <v>#N/A Requesting Data...2461277775</v>
        <stp/>
        <stp>BDP|4264875942080028095</stp>
        <tr r="D2410" s="2"/>
      </tp>
      <tp t="s">
        <v>#N/A Requesting Data...2967706779</v>
        <stp/>
        <stp>BDP|9863895023083402887</stp>
        <tr r="H2507" s="2"/>
      </tp>
      <tp t="s">
        <v>#N/A Requesting Data...3003850553</v>
        <stp/>
        <stp>BDP|8047404472411808240</stp>
        <tr r="H439" s="2"/>
      </tp>
      <tp t="s">
        <v>#N/A Requesting Data...2493485667</v>
        <stp/>
        <stp>BDP|9645384984292441801</stp>
        <tr r="D2288" s="2"/>
      </tp>
      <tp t="s">
        <v>#N/A Requesting Data...2933303544</v>
        <stp/>
        <stp>BDP|7613251719669763537</stp>
        <tr r="N1391" s="2"/>
      </tp>
      <tp t="s">
        <v>#N/A Requesting Data...2566240527</v>
        <stp/>
        <stp>BDP|5667202653299954324</stp>
        <tr r="Q1912" s="2"/>
      </tp>
      <tp t="s">
        <v>#N/A Requesting Data...2644315491</v>
        <stp/>
        <stp>BDP|3259356079779830680</stp>
        <tr r="J2495" s="2"/>
      </tp>
      <tp t="s">
        <v>#N/A Requesting Data...3735519886</v>
        <stp/>
        <stp>BDP|8210179912306857619</stp>
        <tr r="Q1247" s="2"/>
      </tp>
      <tp t="s">
        <v>#N/A Requesting Data...3340467990</v>
        <stp/>
        <stp>BDP|6329075290545875222</stp>
        <tr r="N2054" s="2"/>
      </tp>
      <tp t="s">
        <v>#N/A Requesting Data...2117563699</v>
        <stp/>
        <stp>BDP|3027985411140712301</stp>
        <tr r="M1819" s="2"/>
      </tp>
      <tp t="s">
        <v>#N/A Requesting Data...2569602945</v>
        <stp/>
        <stp>BDP|3923040475119537536</stp>
        <tr r="R1815" s="2"/>
      </tp>
      <tp t="s">
        <v>#N/A Requesting Data...1668556699</v>
        <stp/>
        <stp>BDP|9076387231913676218</stp>
        <tr r="F1372" s="2"/>
      </tp>
      <tp t="s">
        <v>#N/A Requesting Data...1635189391</v>
        <stp/>
        <stp>BDP|5373602860638820557</stp>
        <tr r="T1508" s="2"/>
      </tp>
      <tp t="s">
        <v>#N/A Requesting Data...1290335330</v>
        <stp/>
        <stp>BDP|6031886975402701347</stp>
        <tr r="Q399" s="2"/>
      </tp>
      <tp t="s">
        <v>#N/A Requesting Data...1455150206</v>
        <stp/>
        <stp>BDP|3174989551144753303</stp>
        <tr r="F1899" s="2"/>
      </tp>
      <tp t="s">
        <v>#N/A Requesting Data...2048214204</v>
        <stp/>
        <stp>BDP|8236548208067650277</stp>
        <tr r="R1682" s="2"/>
      </tp>
      <tp t="s">
        <v>#N/A Requesting Data...2852688765</v>
        <stp/>
        <stp>BDP|7973332857101458868</stp>
        <tr r="N387" s="2"/>
      </tp>
      <tp t="s">
        <v>#N/A Requesting Data...1753594911</v>
        <stp/>
        <stp>BDP|4007912338397192171</stp>
        <tr r="P2269" s="2"/>
      </tp>
      <tp t="s">
        <v>#N/A Requesting Data...3992553555</v>
        <stp/>
        <stp>BDP|6995111609126649984</stp>
        <tr r="K1804" s="2"/>
      </tp>
      <tp t="s">
        <v>#N/A Requesting Data...2350909121</v>
        <stp/>
        <stp>BDP|4662924124617886074</stp>
        <tr r="G803" s="2"/>
      </tp>
      <tp t="s">
        <v>#N/A Requesting Data...2708172034</v>
        <stp/>
        <stp>BDP|6929919277646569653</stp>
        <tr r="G1937" s="2"/>
      </tp>
      <tp t="s">
        <v>#N/A Requesting Data...1590737334</v>
        <stp/>
        <stp>BDP|8693227017460833341</stp>
        <tr r="D1384" s="2"/>
      </tp>
      <tp t="s">
        <v>#N/A Requesting Data...3841443646</v>
        <stp/>
        <stp>BDP|9601195433143186024</stp>
        <tr r="H304" s="2"/>
      </tp>
      <tp t="s">
        <v>#N/A Requesting Data...1648886493</v>
        <stp/>
        <stp>BDP|4274069586084809056</stp>
        <tr r="S642" s="2"/>
      </tp>
      <tp t="s">
        <v>#N/A Requesting Data...3153462578</v>
        <stp/>
        <stp>BDP|7607780114358090152</stp>
        <tr r="F1627" s="2"/>
      </tp>
      <tp t="b">
        <v>0</v>
        <stp/>
        <stp>BDS|2883326484164462552</stp>
        <tr r="I536" s="2"/>
      </tp>
      <tp t="s">
        <v>#N/A Requesting Data...2051232916</v>
        <stp/>
        <stp>BDP|6237750073347399981</stp>
        <tr r="M2451" s="2"/>
      </tp>
      <tp t="s">
        <v>#N/A Requesting Data...3314666518</v>
        <stp/>
        <stp>BDP|2766889800110358230</stp>
        <tr r="S850" s="2"/>
      </tp>
      <tp t="s">
        <v>#N/A Requesting Data...3996441316</v>
        <stp/>
        <stp>BDP|8336944195116596684</stp>
        <tr r="R1634" s="2"/>
      </tp>
      <tp t="s">
        <v>#N/A Requesting Data...3212567239</v>
        <stp/>
        <stp>BDP|8569391187918466303</stp>
        <tr r="A413" s="2"/>
      </tp>
      <tp t="s">
        <v>#N/A Requesting Data...1898730623</v>
        <stp/>
        <stp>BDP|5531577099845531415</stp>
        <tr r="P1189" s="2"/>
      </tp>
      <tp t="s">
        <v>#N/A Requesting Data...1398673913</v>
        <stp/>
        <stp>BDP|2264872438141482067</stp>
        <tr r="M2390" s="2"/>
      </tp>
      <tp t="s">
        <v>#N/A Requesting Data...2500796277</v>
        <stp/>
        <stp>BDP|6763816609945250326</stp>
        <tr r="J1369" s="2"/>
      </tp>
      <tp t="s">
        <v>#N/A Requesting Data...4097031126</v>
        <stp/>
        <stp>BDP|8533430439484650368</stp>
        <tr r="R249" s="2"/>
      </tp>
      <tp t="s">
        <v>#N/A Requesting Data...1492699883</v>
        <stp/>
        <stp>BDP|6707074839364298943</stp>
        <tr r="P98" s="2"/>
      </tp>
      <tp t="s">
        <v>#N/A Requesting Data...4142558652</v>
        <stp/>
        <stp>BDP|2308006700849455386</stp>
        <tr r="C1746" s="2"/>
      </tp>
      <tp t="s">
        <v>#N/A Requesting Data...4012581508</v>
        <stp/>
        <stp>BDP|5175868946711729096</stp>
        <tr r="N586" s="2"/>
      </tp>
      <tp t="s">
        <v>#N/A Requesting Data...2913479213</v>
        <stp/>
        <stp>BDP|9533886623789883296</stp>
        <tr r="O297" s="2"/>
      </tp>
      <tp t="s">
        <v>#N/A Requesting Data...2602996724</v>
        <stp/>
        <stp>BDP|1319539622868581684</stp>
        <tr r="D1996" s="2"/>
      </tp>
      <tp t="s">
        <v>#N/A Requesting Data...1515492392</v>
        <stp/>
        <stp>BDP|6609719050508831403</stp>
        <tr r="S1565" s="2"/>
      </tp>
      <tp t="s">
        <v>#N/A Requesting Data...2754954288</v>
        <stp/>
        <stp>BDP|6462459649248155667</stp>
        <tr r="G2162" s="2"/>
      </tp>
      <tp t="s">
        <v>#N/A Requesting Data...1656511760</v>
        <stp/>
        <stp>BDP|6925982579821573120</stp>
        <tr r="M1846" s="2"/>
      </tp>
      <tp t="s">
        <v>#N/A Requesting Data...3526727232</v>
        <stp/>
        <stp>BDP|7690685494927497713</stp>
        <tr r="E178" s="2"/>
      </tp>
      <tp t="s">
        <v>#N/A Requesting Data...3471688066</v>
        <stp/>
        <stp>BDP|1881349586536223478</stp>
        <tr r="A2031" s="2"/>
      </tp>
      <tp t="s">
        <v>#N/A Requesting Data...1342257798</v>
        <stp/>
        <stp>BDP|5756651535310115898</stp>
        <tr r="J1645" s="2"/>
      </tp>
      <tp t="s">
        <v>#N/A Requesting Data...1532185984</v>
        <stp/>
        <stp>BDP|3939788043609468195</stp>
        <tr r="G994" s="2"/>
      </tp>
      <tp t="s">
        <v>#N/A Requesting Data...3585177210</v>
        <stp/>
        <stp>BDP|5862171171803330822</stp>
        <tr r="D1652" s="2"/>
      </tp>
      <tp t="s">
        <v>#N/A Requesting Data...3340860033</v>
        <stp/>
        <stp>BDP|6999575283625427666</stp>
        <tr r="M344" s="2"/>
      </tp>
      <tp t="s">
        <v>#N/A Requesting Data...3354609928</v>
        <stp/>
        <stp>BDP|7429769970479968647</stp>
        <tr r="H89" s="2"/>
      </tp>
      <tp t="s">
        <v>#N/A Requesting Data...2403211244</v>
        <stp/>
        <stp>BDP|7448943617981929612</stp>
        <tr r="A1535" s="2"/>
      </tp>
      <tp t="s">
        <v>#N/A Requesting Data...3098255898</v>
        <stp/>
        <stp>BDP|9403396270680272509</stp>
        <tr r="J149" s="2"/>
      </tp>
      <tp t="s">
        <v>#N/A Requesting Data...2266759701</v>
        <stp/>
        <stp>BDP|2562055454009910623</stp>
        <tr r="P2160" s="2"/>
      </tp>
      <tp t="s">
        <v>#N/A Requesting Data...4164855951</v>
        <stp/>
        <stp>BDP|9868126133961012269</stp>
        <tr r="P99" s="2"/>
      </tp>
      <tp t="s">
        <v>#N/A Requesting Data...4046707450</v>
        <stp/>
        <stp>BDP|4434883845676410626</stp>
        <tr r="P887" s="2"/>
      </tp>
      <tp t="s">
        <v>#N/A Requesting Data...4199617346</v>
        <stp/>
        <stp>BDP|8976645030234682148</stp>
        <tr r="R79" s="2"/>
      </tp>
      <tp t="s">
        <v>#N/A Requesting Data...2526355986</v>
        <stp/>
        <stp>BDP|8307511012503976763</stp>
        <tr r="F1559" s="2"/>
      </tp>
      <tp t="s">
        <v>#N/A Requesting Data...2544206763</v>
        <stp/>
        <stp>BDP|6433297155939692014</stp>
        <tr r="S55" s="2"/>
      </tp>
      <tp t="s">
        <v>#N/A Requesting Data...2609846051</v>
        <stp/>
        <stp>BDP|1925627574359728174</stp>
        <tr r="D236" s="2"/>
      </tp>
      <tp t="s">
        <v>#N/A Requesting Data...1506944016</v>
        <stp/>
        <stp>BDP|2554767833297738983</stp>
        <tr r="R1509" s="2"/>
      </tp>
      <tp t="s">
        <v>#N/A Requesting Data...3662602764</v>
        <stp/>
        <stp>BDP|1836095634273932934</stp>
        <tr r="K1670" s="2"/>
      </tp>
      <tp t="s">
        <v>#N/A Requesting Data...2863095639</v>
        <stp/>
        <stp>BDP|6926428282171404328</stp>
        <tr r="P664" s="2"/>
      </tp>
      <tp t="s">
        <v>#N/A Requesting Data...2425543732</v>
        <stp/>
        <stp>BDP|8314255259041452642</stp>
        <tr r="P1912" s="2"/>
      </tp>
      <tp t="s">
        <v>#N/A Requesting Data...3953510462</v>
        <stp/>
        <stp>BDP|2429161073464651881</stp>
        <tr r="T670" s="2"/>
      </tp>
      <tp t="s">
        <v>#N/A Requesting Data...3403709236</v>
        <stp/>
        <stp>BDP|4908572459219925511</stp>
        <tr r="F953" s="2"/>
      </tp>
      <tp t="s">
        <v>#N/A Requesting Data...3081065763</v>
        <stp/>
        <stp>BDP|5522684398385969731</stp>
        <tr r="S2353" s="2"/>
      </tp>
      <tp t="b">
        <v>0</v>
        <stp/>
        <stp>BDS|6016390445229201012</stp>
        <tr r="I623" s="2"/>
      </tp>
      <tp t="b">
        <v>0</v>
        <stp/>
        <stp>BDS|7582683922278590351</stp>
        <tr r="I1794" s="2"/>
      </tp>
      <tp t="s">
        <v>#N/A Requesting Data...4188023480</v>
        <stp/>
        <stp>BDP|8637370860526679384</stp>
        <tr r="R536" s="2"/>
      </tp>
      <tp t="s">
        <v>#N/A Requesting Data...2291019263</v>
        <stp/>
        <stp>BDP|7224431375969386587</stp>
        <tr r="E1175" s="2"/>
      </tp>
      <tp t="s">
        <v>#N/A Requesting Data...1740510243</v>
        <stp/>
        <stp>BDP|3258316804010143892</stp>
        <tr r="P1863" s="2"/>
      </tp>
      <tp t="s">
        <v>#N/A Requesting Data...2443739146</v>
        <stp/>
        <stp>BDP|2680906159851978794</stp>
        <tr r="F764" s="2"/>
      </tp>
      <tp t="s">
        <v>#N/A Requesting Data...2046223920</v>
        <stp/>
        <stp>BDP|1750728929315221919</stp>
        <tr r="M221" s="2"/>
      </tp>
      <tp t="s">
        <v>#N/A Requesting Data...2947482643</v>
        <stp/>
        <stp>BDP|6709553180161907247</stp>
        <tr r="G1437" s="2"/>
      </tp>
      <tp t="s">
        <v>#N/A Requesting Data...1536906219</v>
        <stp/>
        <stp>BDP|1622472087305075090</stp>
        <tr r="M759" s="2"/>
      </tp>
      <tp t="s">
        <v>#N/A Requesting Data...2505203729</v>
        <stp/>
        <stp>BDP|5829945696905488812</stp>
        <tr r="F2410" s="2"/>
      </tp>
      <tp t="s">
        <v>#N/A Requesting Data...2453008000</v>
        <stp/>
        <stp>BDP|2688623995642896760</stp>
        <tr r="G1473" s="2"/>
      </tp>
      <tp t="s">
        <v>#N/A Requesting Data...1939659485</v>
        <stp/>
        <stp>BDP|2239512266578893129</stp>
        <tr r="A409" s="2"/>
      </tp>
      <tp t="s">
        <v>#N/A Requesting Data...3926968393</v>
        <stp/>
        <stp>BDP|3073485547592177914</stp>
        <tr r="F1403" s="2"/>
      </tp>
      <tp t="s">
        <v>#N/A Requesting Data...4011729157</v>
        <stp/>
        <stp>BDP|6205476957819534689</stp>
        <tr r="F1810" s="2"/>
      </tp>
      <tp t="s">
        <v>#N/A Requesting Data...1516244628</v>
        <stp/>
        <stp>BDP|8836561322312058533</stp>
        <tr r="H633" s="2"/>
      </tp>
      <tp t="s">
        <v>#N/A Requesting Data...1902413036</v>
        <stp/>
        <stp>BDP|1761943767664939227</stp>
        <tr r="K489" s="2"/>
      </tp>
      <tp t="s">
        <v>#N/A Requesting Data...3529830350</v>
        <stp/>
        <stp>BDP|8113091666630747664</stp>
        <tr r="E218" s="2"/>
      </tp>
      <tp t="s">
        <v>#N/A Requesting Data...3781131098</v>
        <stp/>
        <stp>BDP|2745072931469946070</stp>
        <tr r="M543" s="2"/>
      </tp>
      <tp t="s">
        <v>#N/A Requesting Data...2626351344</v>
        <stp/>
        <stp>BDP|9522566341850999043</stp>
        <tr r="O1837" s="2"/>
      </tp>
      <tp t="s">
        <v>#N/A Requesting Data...2296820041</v>
        <stp/>
        <stp>BDP|9860473240355408440</stp>
        <tr r="A472" s="2"/>
      </tp>
      <tp t="s">
        <v>#N/A Requesting Data...3827195584</v>
        <stp/>
        <stp>BDP|9393585164681779344</stp>
        <tr r="F141" s="2"/>
      </tp>
      <tp t="s">
        <v>#N/A Requesting Data...3650271110</v>
        <stp/>
        <stp>BDP|2307822520556488696</stp>
        <tr r="R1543" s="2"/>
      </tp>
      <tp t="s">
        <v>#N/A Requesting Data...2422801343</v>
        <stp/>
        <stp>BDP|9935693543913821073</stp>
        <tr r="N270" s="2"/>
      </tp>
      <tp t="s">
        <v>#N/A Requesting Data...3832069932</v>
        <stp/>
        <stp>BDP|8798565303291810467</stp>
        <tr r="N2168" s="2"/>
      </tp>
      <tp t="s">
        <v>#N/A Requesting Data...3164382755</v>
        <stp/>
        <stp>BDP|2794234638188356331</stp>
        <tr r="E1108" s="2"/>
      </tp>
      <tp t="s">
        <v>#N/A Requesting Data...2606742247</v>
        <stp/>
        <stp>BDP|3131412999743063558</stp>
        <tr r="M2088" s="2"/>
      </tp>
      <tp t="s">
        <v>#N/A Requesting Data...2834761070</v>
        <stp/>
        <stp>BDP|3532873321032708388</stp>
        <tr r="C1339" s="2"/>
      </tp>
      <tp t="s">
        <v>#N/A Requesting Data...2811989075</v>
        <stp/>
        <stp>BDP|1501808035963588192</stp>
        <tr r="A1559" s="2"/>
      </tp>
      <tp t="s">
        <v>#N/A Requesting Data...3574571845</v>
        <stp/>
        <stp>BDP|8754907313509858109</stp>
        <tr r="D2275" s="2"/>
      </tp>
      <tp t="s">
        <v>#N/A Requesting Data...3866819473</v>
        <stp/>
        <stp>BDP|7723075380894970353</stp>
        <tr r="M47" s="2"/>
      </tp>
      <tp t="s">
        <v>#N/A Requesting Data...2660885775</v>
        <stp/>
        <stp>BDP|2394390046134433941</stp>
        <tr r="F2341" s="2"/>
      </tp>
      <tp t="s">
        <v>#N/A Requesting Data...2084243016</v>
        <stp/>
        <stp>BDP|5219816302896515384</stp>
        <tr r="E100" s="2"/>
      </tp>
      <tp t="s">
        <v>#N/A Requesting Data...4227653417</v>
        <stp/>
        <stp>BDP|1872067737998170244</stp>
        <tr r="D442" s="2"/>
      </tp>
      <tp t="s">
        <v>#N/A Requesting Data...3706628198</v>
        <stp/>
        <stp>BDP|7725623476457689997</stp>
        <tr r="S447" s="2"/>
      </tp>
      <tp t="s">
        <v>#N/A Requesting Data...1761537540</v>
        <stp/>
        <stp>BDP|3868513885171612768</stp>
        <tr r="P1093" s="2"/>
      </tp>
      <tp t="s">
        <v>#N/A Requesting Data...1570077838</v>
        <stp/>
        <stp>BDP|9943416569611411298</stp>
        <tr r="O2237" s="2"/>
      </tp>
      <tp t="s">
        <v>#N/A Requesting Data...3496935064</v>
        <stp/>
        <stp>BDP|6955968062689701866</stp>
        <tr r="Q2492" s="2"/>
      </tp>
      <tp t="s">
        <v>#N/A Requesting Data...2470358089</v>
        <stp/>
        <stp>BDP|1588836779832731448</stp>
        <tr r="P2264" s="2"/>
      </tp>
      <tp t="s">
        <v>#N/A Requesting Data...4091630069</v>
        <stp/>
        <stp>BDP|1308266940976838911</stp>
        <tr r="R437" s="2"/>
      </tp>
      <tp t="s">
        <v>#N/A Requesting Data...3588369256</v>
        <stp/>
        <stp>BDP|5402873608985577020</stp>
        <tr r="S2393" s="2"/>
      </tp>
      <tp t="s">
        <v>#N/A Requesting Data...1666918273</v>
        <stp/>
        <stp>BDP|2236464602917954937</stp>
        <tr r="J183" s="2"/>
      </tp>
      <tp t="s">
        <v>#N/A Requesting Data...3571022267</v>
        <stp/>
        <stp>BDP|4493695700403278933</stp>
        <tr r="D1865" s="2"/>
      </tp>
      <tp t="b">
        <v>0</v>
        <stp/>
        <stp>BDS|6026137056863915900</stp>
        <tr r="I2258" s="2"/>
      </tp>
      <tp t="s">
        <v>#N/A Requesting Data...4186446740</v>
        <stp/>
        <stp>BDP|5096382524799979594</stp>
        <tr r="F131" s="2"/>
      </tp>
      <tp t="s">
        <v>#N/A Requesting Data...3663609120</v>
        <stp/>
        <stp>BDP|6203115492494890257</stp>
        <tr r="D1139" s="2"/>
      </tp>
      <tp t="s">
        <v>#N/A Requesting Data...4187317037</v>
        <stp/>
        <stp>BDP|8292614925066822220</stp>
        <tr r="Q76" s="2"/>
      </tp>
      <tp t="s">
        <v>#N/A Requesting Data...2233110303</v>
        <stp/>
        <stp>BDP|7039029191155646390</stp>
        <tr r="F446" s="2"/>
      </tp>
      <tp t="s">
        <v>#N/A Requesting Data...3234025029</v>
        <stp/>
        <stp>BDP|2925603234777104808</stp>
        <tr r="J1001" s="2"/>
      </tp>
      <tp t="s">
        <v>#N/A Requesting Data...3227484374</v>
        <stp/>
        <stp>BDP|6851666616240191956</stp>
        <tr r="P1292" s="2"/>
      </tp>
      <tp t="s">
        <v>#N/A Requesting Data...1716447333</v>
        <stp/>
        <stp>BDP|5825828977550564247</stp>
        <tr r="T820" s="2"/>
      </tp>
      <tp t="s">
        <v>#N/A Requesting Data...3007703706</v>
        <stp/>
        <stp>BDP|2125249004558418091</stp>
        <tr r="M1135" s="2"/>
      </tp>
      <tp t="s">
        <v>#N/A Requesting Data...1826036356</v>
        <stp/>
        <stp>BDP|7151269398727518364</stp>
        <tr r="O1550" s="2"/>
      </tp>
      <tp t="s">
        <v>#N/A Requesting Data...3422199425</v>
        <stp/>
        <stp>BDP|8827334361217501235</stp>
        <tr r="R857" s="2"/>
      </tp>
      <tp t="s">
        <v>#N/A Requesting Data...3592558804</v>
        <stp/>
        <stp>BDP|9536174104236301694</stp>
        <tr r="F217" s="2"/>
      </tp>
      <tp t="s">
        <v>#N/A Requesting Data...3411421024</v>
        <stp/>
        <stp>BDP|3642983214036104576</stp>
        <tr r="R1919" s="2"/>
      </tp>
      <tp t="b">
        <v>0</v>
        <stp/>
        <stp>BDS|6697009182192968415</stp>
        <tr r="I618" s="2"/>
      </tp>
      <tp t="s">
        <v>#N/A Requesting Data...1864219522</v>
        <stp/>
        <stp>BDP|5605212392444943203</stp>
        <tr r="O867" s="2"/>
      </tp>
      <tp t="s">
        <v>#N/A Requesting Data...3808694849</v>
        <stp/>
        <stp>BDP|7337661123388207380</stp>
        <tr r="R556" s="2"/>
      </tp>
      <tp t="s">
        <v>#N/A Requesting Data...1828436710</v>
        <stp/>
        <stp>BDP|5969354201539848793</stp>
        <tr r="K35" s="2"/>
      </tp>
      <tp t="s">
        <v>#N/A Requesting Data...2537259485</v>
        <stp/>
        <stp>BDP|6303825823194833067</stp>
        <tr r="F2378" s="2"/>
      </tp>
      <tp t="s">
        <v>#N/A Requesting Data...3774454255</v>
        <stp/>
        <stp>BDP|8036777172539926903</stp>
        <tr r="R1661" s="2"/>
      </tp>
      <tp t="s">
        <v>#N/A Requesting Data...2437590795</v>
        <stp/>
        <stp>BDP|8927580871855838749</stp>
        <tr r="S1610" s="2"/>
      </tp>
      <tp t="s">
        <v>#N/A Requesting Data...2212886373</v>
        <stp/>
        <stp>BDP|7510251134007912911</stp>
        <tr r="S1872" s="2"/>
      </tp>
      <tp t="s">
        <v>#N/A Requesting Data...1593409483</v>
        <stp/>
        <stp>BDP|3003066318393344911</stp>
        <tr r="S1431" s="2"/>
      </tp>
      <tp t="s">
        <v>#N/A Requesting Data...1921005910</v>
        <stp/>
        <stp>BDP|9059102249273567703</stp>
        <tr r="O2457" s="2"/>
      </tp>
      <tp t="s">
        <v>#N/A Requesting Data...2772293060</v>
        <stp/>
        <stp>BDP|6285959237940837448</stp>
        <tr r="A1286" s="2"/>
      </tp>
      <tp t="s">
        <v>#N/A Requesting Data...3195397268</v>
        <stp/>
        <stp>BDP|1630083625242752904</stp>
        <tr r="J711" s="2"/>
      </tp>
      <tp t="s">
        <v>#N/A Requesting Data...2961132282</v>
        <stp/>
        <stp>BDP|3116356504111503995</stp>
        <tr r="J648" s="2"/>
      </tp>
      <tp t="s">
        <v>#N/A Requesting Data...1871940660</v>
        <stp/>
        <stp>BDP|4072316499264151255</stp>
        <tr r="E2192" s="2"/>
      </tp>
      <tp t="s">
        <v>#N/A Requesting Data...3618732177</v>
        <stp/>
        <stp>BDP|6019886963528240855</stp>
        <tr r="T507" s="2"/>
      </tp>
      <tp t="s">
        <v>#N/A Requesting Data...4261582021</v>
        <stp/>
        <stp>BDP|3598285664986235975</stp>
        <tr r="G164" s="2"/>
      </tp>
      <tp t="s">
        <v>#N/A Requesting Data...1964693181</v>
        <stp/>
        <stp>BDP|6809945739740109481</stp>
        <tr r="N1123" s="2"/>
      </tp>
      <tp t="s">
        <v>#N/A Requesting Data...4255086883</v>
        <stp/>
        <stp>BDP|9154741934211554480</stp>
        <tr r="S754" s="2"/>
      </tp>
      <tp t="s">
        <v>#N/A Requesting Data...2189117208</v>
        <stp/>
        <stp>BDP|1391308035321289889</stp>
        <tr r="E2021" s="2"/>
      </tp>
      <tp t="s">
        <v>#N/A Requesting Data...1611880124</v>
        <stp/>
        <stp>BDP|4844757043487247800</stp>
        <tr r="K778" s="2"/>
      </tp>
      <tp t="s">
        <v>#N/A Requesting Data...4194617322</v>
        <stp/>
        <stp>BDP|3958851520308648961</stp>
        <tr r="R712" s="2"/>
      </tp>
      <tp t="s">
        <v>#N/A Requesting Data...4241037333</v>
        <stp/>
        <stp>BDP|8335687050846574529</stp>
        <tr r="H779" s="2"/>
      </tp>
      <tp t="b">
        <v>0</v>
        <stp/>
        <stp>BDS|9976253718044026687</stp>
        <tr r="I1686" s="2"/>
      </tp>
      <tp t="s">
        <v>#N/A Requesting Data...3703015943</v>
        <stp/>
        <stp>BDP|4234918464402959128</stp>
        <tr r="N2197" s="2"/>
      </tp>
      <tp t="s">
        <v>#N/A Requesting Data...1695810734</v>
        <stp/>
        <stp>BDP|4979432369199997768</stp>
        <tr r="A2151" s="2"/>
      </tp>
      <tp t="s">
        <v>#N/A Requesting Data...2302135153</v>
        <stp/>
        <stp>BDP|6679235541988165098</stp>
        <tr r="D1519" s="2"/>
      </tp>
      <tp t="s">
        <v>#N/A Requesting Data...2429570979</v>
        <stp/>
        <stp>BDP|1319910536441835203</stp>
        <tr r="K768" s="2"/>
      </tp>
      <tp t="s">
        <v>#N/A Requesting Data...3921876902</v>
        <stp/>
        <stp>BDP|3579930365802737689</stp>
        <tr r="D469" s="2"/>
      </tp>
      <tp t="s">
        <v>#N/A Requesting Data...2945076408</v>
        <stp/>
        <stp>BDP|4502927773786923417</stp>
        <tr r="R1684" s="2"/>
      </tp>
      <tp t="s">
        <v>#N/A Requesting Data...2795549012</v>
        <stp/>
        <stp>BDP|8981030026194550659</stp>
        <tr r="Q774" s="2"/>
      </tp>
      <tp t="s">
        <v>#N/A Requesting Data...3568315444</v>
        <stp/>
        <stp>BDP|2671204431322363982</stp>
        <tr r="H1608" s="2"/>
      </tp>
      <tp t="s">
        <v>#N/A Requesting Data...4123736842</v>
        <stp/>
        <stp>BDP|8772920641158125590</stp>
        <tr r="H69" s="2"/>
      </tp>
      <tp t="s">
        <v>#N/A Requesting Data...2932479756</v>
        <stp/>
        <stp>BDP|8201272133468813923</stp>
        <tr r="J304" s="2"/>
      </tp>
      <tp t="s">
        <v>#N/A Requesting Data...2021890656</v>
        <stp/>
        <stp>BDP|1026116095525024487</stp>
        <tr r="R208" s="2"/>
      </tp>
      <tp t="s">
        <v>#N/A Requesting Data...2783594558</v>
        <stp/>
        <stp>BDP|7128687054434469853</stp>
        <tr r="D463" s="2"/>
      </tp>
      <tp t="b">
        <v>0</v>
        <stp/>
        <stp>BDS|1191531811185783886</stp>
        <tr r="I2530" s="2"/>
      </tp>
      <tp t="s">
        <v>#N/A Requesting Data...4162012841</v>
        <stp/>
        <stp>BDP|8630670999609344675</stp>
        <tr r="S680" s="2"/>
      </tp>
      <tp t="s">
        <v>#N/A Requesting Data...3872030907</v>
        <stp/>
        <stp>BDP|5480176287350919418</stp>
        <tr r="S2507" s="2"/>
      </tp>
      <tp t="s">
        <v>#N/A Requesting Data...2195770662</v>
        <stp/>
        <stp>BDP|9524804550275959905</stp>
        <tr r="K1629" s="2"/>
      </tp>
      <tp t="s">
        <v>#N/A Requesting Data...3523833110</v>
        <stp/>
        <stp>BDP|3385386487930469045</stp>
        <tr r="H1977" s="2"/>
      </tp>
      <tp t="s">
        <v>#N/A Requesting Data...1955373799</v>
        <stp/>
        <stp>BDP|2397894651600484734</stp>
        <tr r="S1974" s="2"/>
      </tp>
      <tp t="s">
        <v>#N/A Requesting Data...2683357350</v>
        <stp/>
        <stp>BDP|1860983604129105993</stp>
        <tr r="F195" s="2"/>
      </tp>
      <tp t="s">
        <v>#N/A Requesting Data...4159713067</v>
        <stp/>
        <stp>BDP|4163404996906859739</stp>
        <tr r="K2498" s="2"/>
      </tp>
      <tp t="s">
        <v>#N/A Requesting Data...1725299259</v>
        <stp/>
        <stp>BDP|9195855388199036809</stp>
        <tr r="S1280" s="2"/>
      </tp>
      <tp t="s">
        <v>#N/A Requesting Data...4248980069</v>
        <stp/>
        <stp>BDP|2984736986923894689</stp>
        <tr r="E1167" s="2"/>
      </tp>
      <tp t="b">
        <v>0</v>
        <stp/>
        <stp>BDS|2417404047949984361</stp>
        <tr r="I2232" s="2"/>
      </tp>
      <tp t="s">
        <v>#N/A Requesting Data...1940753805</v>
        <stp/>
        <stp>BDP|9473336209042065021</stp>
        <tr r="T1875" s="2"/>
      </tp>
      <tp t="s">
        <v>#N/A Requesting Data...2914702294</v>
        <stp/>
        <stp>BDP|1813546813588452571</stp>
        <tr r="G934" s="2"/>
      </tp>
      <tp t="b">
        <v>0</v>
        <stp/>
        <stp>BDS|3974470235044051877</stp>
        <tr r="I740" s="2"/>
      </tp>
      <tp t="b">
        <v>0</v>
        <stp/>
        <stp>BDS|1453783306209159774</stp>
        <tr r="I63" s="2"/>
      </tp>
      <tp t="s">
        <v>#N/A Requesting Data...3282795631</v>
        <stp/>
        <stp>BDP|4271259793555198294</stp>
        <tr r="A1994" s="2"/>
      </tp>
      <tp t="s">
        <v>#N/A Requesting Data...2938098141</v>
        <stp/>
        <stp>BDP|1519176677009079689</stp>
        <tr r="E895" s="2"/>
      </tp>
      <tp t="s">
        <v>#N/A Requesting Data...2372672347</v>
        <stp/>
        <stp>BDP|2136798004039813493</stp>
        <tr r="H1314" s="2"/>
      </tp>
      <tp t="s">
        <v>#N/A Requesting Data...2496176283</v>
        <stp/>
        <stp>BDP|5943042093967523365</stp>
        <tr r="S157" s="2"/>
      </tp>
      <tp t="s">
        <v>#N/A Requesting Data...2300439567</v>
        <stp/>
        <stp>BDP|5856023940788285151</stp>
        <tr r="Q984" s="2"/>
      </tp>
      <tp t="s">
        <v>#N/A Requesting Data...4155755270</v>
        <stp/>
        <stp>BDP|6687841326064090098</stp>
        <tr r="S1006" s="2"/>
      </tp>
      <tp t="s">
        <v>#N/A Requesting Data...2740809776</v>
        <stp/>
        <stp>BDP|1640030668399590656</stp>
        <tr r="E591" s="2"/>
      </tp>
      <tp t="s">
        <v>#N/A Requesting Data...3089532574</v>
        <stp/>
        <stp>BDP|9377125230583472088</stp>
        <tr r="N1628" s="2"/>
      </tp>
      <tp t="s">
        <v>#N/A Requesting Data...2339653455</v>
        <stp/>
        <stp>BDP|8911548531393728563</stp>
        <tr r="Q2268" s="2"/>
      </tp>
      <tp t="s">
        <v>#N/A Requesting Data...2825780233</v>
        <stp/>
        <stp>BDP|9975047952854539070</stp>
        <tr r="K1402" s="2"/>
      </tp>
      <tp t="s">
        <v>#N/A Requesting Data...2185112007</v>
        <stp/>
        <stp>BDP|2703989532653641360</stp>
        <tr r="C1284" s="2"/>
      </tp>
      <tp t="b">
        <v>0</v>
        <stp/>
        <stp>BDS|9356580853415182441</stp>
        <tr r="I1720" s="2"/>
      </tp>
      <tp t="s">
        <v>#N/A Requesting Data...2476540213</v>
        <stp/>
        <stp>BDP|8882421745726312615</stp>
        <tr r="D2165" s="2"/>
      </tp>
      <tp t="s">
        <v>#N/A Requesting Data...2440226768</v>
        <stp/>
        <stp>BDP|5445574219809607012</stp>
        <tr r="N1194" s="2"/>
      </tp>
      <tp t="s">
        <v>#N/A Requesting Data...2220875742</v>
        <stp/>
        <stp>BDP|1754384713923160804</stp>
        <tr r="E1691" s="2"/>
      </tp>
      <tp t="s">
        <v>#N/A Requesting Data...3833904705</v>
        <stp/>
        <stp>BDP|1724885676960268662</stp>
        <tr r="K218" s="2"/>
      </tp>
      <tp t="s">
        <v>#N/A Requesting Data...1865820156</v>
        <stp/>
        <stp>BDP|5048107258088698130</stp>
        <tr r="T698" s="2"/>
      </tp>
      <tp t="s">
        <v>#N/A Requesting Data...2425524788</v>
        <stp/>
        <stp>BDP|9916849322868486365</stp>
        <tr r="F76" s="2"/>
      </tp>
      <tp t="s">
        <v>#N/A Requesting Data...3420779278</v>
        <stp/>
        <stp>BDP|1196858409202292327</stp>
        <tr r="E667" s="2"/>
      </tp>
      <tp t="s">
        <v>#N/A Requesting Data...2191960256</v>
        <stp/>
        <stp>BDP|4152068620529215784</stp>
        <tr r="R2422" s="2"/>
      </tp>
      <tp t="s">
        <v>#N/A Requesting Data...3917847527</v>
        <stp/>
        <stp>BDP|4835219943162365840</stp>
        <tr r="A1297" s="2"/>
      </tp>
      <tp t="s">
        <v>#N/A Requesting Data...2562135442</v>
        <stp/>
        <stp>BDP|8438796656110205249</stp>
        <tr r="O102" s="2"/>
      </tp>
      <tp t="s">
        <v>#N/A Requesting Data...3987579849</v>
        <stp/>
        <stp>BDP|1354149649014067836</stp>
        <tr r="M2072" s="2"/>
      </tp>
      <tp t="s">
        <v>#N/A Requesting Data...3332959583</v>
        <stp/>
        <stp>BDP|7247968345814582690</stp>
        <tr r="M600" s="2"/>
      </tp>
      <tp t="s">
        <v>#N/A Requesting Data...3716758392</v>
        <stp/>
        <stp>BDP|8881643200875663379</stp>
        <tr r="P435" s="2"/>
      </tp>
      <tp t="s">
        <v>#N/A Requesting Data...2257227592</v>
        <stp/>
        <stp>BDP|9533325529366797640</stp>
        <tr r="T1950" s="2"/>
      </tp>
      <tp t="s">
        <v>#N/A Requesting Data...3006306336</v>
        <stp/>
        <stp>BDP|7286396701549376540</stp>
        <tr r="K447" s="2"/>
      </tp>
      <tp t="s">
        <v>#N/A Requesting Data...2334821296</v>
        <stp/>
        <stp>BDP|8796066018963104259</stp>
        <tr r="J11" s="2"/>
      </tp>
      <tp t="s">
        <v>#N/A Requesting Data...3312692803</v>
        <stp/>
        <stp>BDP|9726208672225146193</stp>
        <tr r="R1071" s="2"/>
      </tp>
      <tp t="s">
        <v>#N/A Requesting Data...2377065023</v>
        <stp/>
        <stp>BDP|3701583760149685145</stp>
        <tr r="T1073" s="2"/>
      </tp>
      <tp t="s">
        <v>#N/A Requesting Data...2403542638</v>
        <stp/>
        <stp>BDP|7668995975883639217</stp>
        <tr r="D769" s="2"/>
      </tp>
      <tp t="s">
        <v>#N/A Requesting Data...3395750538</v>
        <stp/>
        <stp>BDP|3928702902238650408</stp>
        <tr r="N852" s="2"/>
      </tp>
      <tp t="s">
        <v>#N/A Requesting Data...4225578888</v>
        <stp/>
        <stp>BDP|8754751429214509139</stp>
        <tr r="O1108" s="2"/>
      </tp>
      <tp t="s">
        <v>#N/A Requesting Data...2316239742</v>
        <stp/>
        <stp>BDP|4783585294552563230</stp>
        <tr r="J1912" s="2"/>
      </tp>
      <tp t="s">
        <v>#N/A Requesting Data...2540374826</v>
        <stp/>
        <stp>BDP|5563363529794048878</stp>
        <tr r="N1289" s="2"/>
      </tp>
      <tp t="s">
        <v>#N/A Requesting Data...2142897413</v>
        <stp/>
        <stp>BDP|1075124799553486220</stp>
        <tr r="F1558" s="2"/>
      </tp>
      <tp t="s">
        <v>#N/A Requesting Data...2930070361</v>
        <stp/>
        <stp>BDP|7464856211213877554</stp>
        <tr r="D1380" s="2"/>
      </tp>
      <tp t="s">
        <v>#N/A Requesting Data...3339536578</v>
        <stp/>
        <stp>BDP|5699064821988848741</stp>
        <tr r="Q1219" s="2"/>
      </tp>
      <tp t="s">
        <v>#N/A Requesting Data...2583251350</v>
        <stp/>
        <stp>BDP|7939851746636760503</stp>
        <tr r="G1018" s="2"/>
      </tp>
      <tp t="s">
        <v>#N/A Requesting Data...1942333159</v>
        <stp/>
        <stp>BDP|3591541876938353195</stp>
        <tr r="P528" s="2"/>
      </tp>
      <tp t="s">
        <v>#N/A Requesting Data...2607391024</v>
        <stp/>
        <stp>BDP|8014592018563528795</stp>
        <tr r="O462" s="2"/>
      </tp>
      <tp t="s">
        <v>#N/A Requesting Data...3939456343</v>
        <stp/>
        <stp>BDP|7911684227078871332</stp>
        <tr r="O1461" s="2"/>
      </tp>
      <tp t="s">
        <v>#N/A Requesting Data...3134312763</v>
        <stp/>
        <stp>BDP|1814738092940697729</stp>
        <tr r="S752" s="2"/>
      </tp>
      <tp t="s">
        <v>#N/A Requesting Data...3253683269</v>
        <stp/>
        <stp>BDP|1339793503097551916</stp>
        <tr r="C1494" s="2"/>
      </tp>
      <tp t="s">
        <v>#N/A Requesting Data...3843341492</v>
        <stp/>
        <stp>BDP|2790089205143137960</stp>
        <tr r="N2057" s="2"/>
      </tp>
      <tp t="s">
        <v>#N/A Requesting Data...3215600193</v>
        <stp/>
        <stp>BDP|2872935573547678332</stp>
        <tr r="A1259" s="2"/>
      </tp>
      <tp t="s">
        <v>#N/A Requesting Data...1815013385</v>
        <stp/>
        <stp>BDP|8421875669579714706</stp>
        <tr r="H1582" s="2"/>
      </tp>
      <tp t="s">
        <v>#N/A Requesting Data...3723282200</v>
        <stp/>
        <stp>BDP|9976284008025750633</stp>
        <tr r="R565" s="2"/>
      </tp>
      <tp t="s">
        <v>#N/A Requesting Data...3194547617</v>
        <stp/>
        <stp>BDP|4417062751511926871</stp>
        <tr r="T386" s="2"/>
      </tp>
      <tp t="b">
        <v>0</v>
        <stp/>
        <stp>BDS|8312464878246992598</stp>
        <tr r="I2011" s="2"/>
      </tp>
      <tp t="s">
        <v>#N/A Requesting Data...2863079403</v>
        <stp/>
        <stp>BDP|2416233886161850143</stp>
        <tr r="N1922" s="2"/>
      </tp>
      <tp t="s">
        <v>#N/A Requesting Data...2859384497</v>
        <stp/>
        <stp>BDP|7621040862031560881</stp>
        <tr r="T1086" s="2"/>
      </tp>
      <tp t="s">
        <v>#N/A Requesting Data...3189502958</v>
        <stp/>
        <stp>BDP|1608493970159045322</stp>
        <tr r="O1222" s="2"/>
      </tp>
      <tp t="s">
        <v>#N/A Requesting Data...2051829516</v>
        <stp/>
        <stp>BDP|1916831245060311515</stp>
        <tr r="T1177" s="2"/>
      </tp>
      <tp t="s">
        <v>#N/A Requesting Data...2565274831</v>
        <stp/>
        <stp>BDP|8051311435729144983</stp>
        <tr r="H221" s="2"/>
      </tp>
      <tp t="b">
        <v>0</v>
        <stp/>
        <stp>BDS|8084050109765380520</stp>
        <tr r="I2191" s="2"/>
      </tp>
      <tp t="s">
        <v>#N/A Requesting Data...3234296353</v>
        <stp/>
        <stp>BDP|9634638859923571141</stp>
        <tr r="F8" s="2"/>
      </tp>
      <tp t="s">
        <v>#N/A Requesting Data...4236834195</v>
        <stp/>
        <stp>BDP|5001580996502791348</stp>
        <tr r="M1625" s="2"/>
      </tp>
      <tp t="s">
        <v>#N/A Requesting Data...3063070855</v>
        <stp/>
        <stp>BDP|5655923496025795888</stp>
        <tr r="P269" s="2"/>
      </tp>
      <tp t="b">
        <v>0</v>
        <stp/>
        <stp>BDS|1270870408317983698</stp>
        <tr r="I999" s="2"/>
      </tp>
      <tp t="s">
        <v>#N/A Requesting Data...3064401395</v>
        <stp/>
        <stp>BDP|3301436807089263687</stp>
        <tr r="T2185" s="2"/>
      </tp>
      <tp t="s">
        <v>#N/A Requesting Data...2740728337</v>
        <stp/>
        <stp>BDP|2080761456621505988</stp>
        <tr r="G1051" s="2"/>
      </tp>
      <tp t="s">
        <v>#N/A Requesting Data...3172039168</v>
        <stp/>
        <stp>BDP|6360069669029297131</stp>
        <tr r="K1546" s="2"/>
      </tp>
      <tp t="s">
        <v>#N/A Requesting Data...3735934941</v>
        <stp/>
        <stp>BDP|3847053423491476873</stp>
        <tr r="S2007" s="2"/>
      </tp>
      <tp t="s">
        <v>#N/A Requesting Data...3909893973</v>
        <stp/>
        <stp>BDP|3535802232821368198</stp>
        <tr r="R1679" s="2"/>
      </tp>
      <tp t="s">
        <v>#N/A Requesting Data...2592759319</v>
        <stp/>
        <stp>BDP|6912737127669508257</stp>
        <tr r="F859" s="2"/>
      </tp>
      <tp t="s">
        <v>#N/A Requesting Data...2757304391</v>
        <stp/>
        <stp>BDP|6903775692796032616</stp>
        <tr r="D2359" s="2"/>
      </tp>
      <tp t="s">
        <v>#N/A Requesting Data...3894567354</v>
        <stp/>
        <stp>BDP|6357012790094980368</stp>
        <tr r="E2371" s="2"/>
      </tp>
      <tp t="s">
        <v>#N/A Requesting Data...2111236418</v>
        <stp/>
        <stp>BDP|4086305480215989240</stp>
        <tr r="C1685" s="2"/>
      </tp>
      <tp t="s">
        <v>#N/A Requesting Data...4161467169</v>
        <stp/>
        <stp>BDP|8163211329450050040</stp>
        <tr r="T1542" s="2"/>
      </tp>
      <tp t="s">
        <v>#N/A Requesting Data...3673566804</v>
        <stp/>
        <stp>BDP|1174039205479943038</stp>
        <tr r="T508" s="2"/>
      </tp>
      <tp t="s">
        <v>#N/A Requesting Data...3537721639</v>
        <stp/>
        <stp>BDP|7401066004179324683</stp>
        <tr r="H1460" s="2"/>
      </tp>
      <tp t="s">
        <v>#N/A Requesting Data...4161919364</v>
        <stp/>
        <stp>BDP|6830821033841597415</stp>
        <tr r="D1644" s="2"/>
      </tp>
      <tp t="s">
        <v>#N/A Requesting Data...3471563063</v>
        <stp/>
        <stp>BDP|1455531215988982563</stp>
        <tr r="J80" s="2"/>
      </tp>
      <tp t="s">
        <v>#N/A Requesting Data...2848842472</v>
        <stp/>
        <stp>BDP|9136226845661341681</stp>
        <tr r="J1462" s="2"/>
      </tp>
      <tp t="s">
        <v>#N/A Requesting Data...3922063089</v>
        <stp/>
        <stp>BDP|5452144780962656644</stp>
        <tr r="E1275" s="2"/>
      </tp>
      <tp t="s">
        <v>#N/A Requesting Data...3924871061</v>
        <stp/>
        <stp>BDP|2643882077840335584</stp>
        <tr r="F738" s="2"/>
      </tp>
      <tp t="s">
        <v>#N/A Requesting Data...3567137396</v>
        <stp/>
        <stp>BDP|1235390558336880991</stp>
        <tr r="K2107" s="2"/>
      </tp>
      <tp t="s">
        <v>#N/A Requesting Data...3751271462</v>
        <stp/>
        <stp>BDP|2136834824823162350</stp>
        <tr r="G501" s="2"/>
      </tp>
      <tp t="s">
        <v>#N/A Requesting Data...3533325887</v>
        <stp/>
        <stp>BDP|2517277492551538079</stp>
        <tr r="T2063" s="2"/>
      </tp>
      <tp t="s">
        <v>#N/A Requesting Data...2155669901</v>
        <stp/>
        <stp>BDP|9985900386597855751</stp>
        <tr r="S2228" s="2"/>
      </tp>
      <tp t="s">
        <v>#N/A Requesting Data...4001142942</v>
        <stp/>
        <stp>BDP|3809626017955609997</stp>
        <tr r="D2222" s="2"/>
      </tp>
      <tp t="s">
        <v>#N/A Requesting Data...2435274325</v>
        <stp/>
        <stp>BDP|1210164216571886880</stp>
        <tr r="E1251" s="2"/>
      </tp>
      <tp t="s">
        <v>#N/A Requesting Data...3907746544</v>
        <stp/>
        <stp>BDP|5033688280960384392</stp>
        <tr r="F604" s="2"/>
      </tp>
      <tp t="s">
        <v>#N/A Requesting Data...4215754883</v>
        <stp/>
        <stp>BDP|4132496318469099020</stp>
        <tr r="T1953" s="2"/>
      </tp>
      <tp t="s">
        <v>#N/A Requesting Data...2880474612</v>
        <stp/>
        <stp>BDP|6120405862978801496</stp>
        <tr r="H1662" s="2"/>
      </tp>
      <tp t="s">
        <v>#N/A Requesting Data...2190421973</v>
        <stp/>
        <stp>BDP|1750704637025080822</stp>
        <tr r="N2357" s="2"/>
      </tp>
      <tp t="s">
        <v>#N/A Requesting Data...3204688674</v>
        <stp/>
        <stp>BDP|7469999143662918053</stp>
        <tr r="P1693" s="2"/>
      </tp>
      <tp t="s">
        <v>#N/A Requesting Data...2945505888</v>
        <stp/>
        <stp>BDP|4037186856759989151</stp>
        <tr r="M1348" s="2"/>
      </tp>
      <tp t="s">
        <v>#N/A Requesting Data...2249615236</v>
        <stp/>
        <stp>BDP|7283903863045393509</stp>
        <tr r="A200" s="2"/>
      </tp>
      <tp t="s">
        <v>#N/A Requesting Data...3703869047</v>
        <stp/>
        <stp>BDP|3737155817632683913</stp>
        <tr r="G1284" s="2"/>
      </tp>
      <tp t="s">
        <v>#N/A Requesting Data...2595818599</v>
        <stp/>
        <stp>BDP|5281845677715452775</stp>
        <tr r="J1275" s="2"/>
      </tp>
      <tp t="s">
        <v>#N/A Requesting Data...3985737242</v>
        <stp/>
        <stp>BDP|6562993698857124975</stp>
        <tr r="D901" s="2"/>
      </tp>
      <tp t="s">
        <v>#N/A Requesting Data...3631274437</v>
        <stp/>
        <stp>BDP|2774648163303113937</stp>
        <tr r="P490" s="2"/>
      </tp>
      <tp t="s">
        <v>#N/A Requesting Data...2626506177</v>
        <stp/>
        <stp>BDP|3608623083980477517</stp>
        <tr r="C630" s="2"/>
      </tp>
      <tp t="s">
        <v>#N/A Requesting Data...2668387472</v>
        <stp/>
        <stp>BDP|9900052129884369746</stp>
        <tr r="F117" s="2"/>
      </tp>
      <tp t="s">
        <v>#N/A Requesting Data...3873349713</v>
        <stp/>
        <stp>BDP|8507085993891954852</stp>
        <tr r="K1861" s="2"/>
      </tp>
      <tp t="s">
        <v>#N/A Requesting Data...2457252945</v>
        <stp/>
        <stp>BDP|4801808604423708796</stp>
        <tr r="P2271" s="2"/>
      </tp>
      <tp t="s">
        <v>#N/A Requesting Data...3957400437</v>
        <stp/>
        <stp>BDP|3199945222968292876</stp>
        <tr r="Q1992" s="2"/>
      </tp>
      <tp t="s">
        <v>#N/A Requesting Data...2109600799</v>
        <stp/>
        <stp>BDP|5847582892601887082</stp>
        <tr r="P184" s="2"/>
      </tp>
      <tp t="s">
        <v>#N/A Requesting Data...2083352492</v>
        <stp/>
        <stp>BDP|1615942066785784316</stp>
        <tr r="J560" s="2"/>
      </tp>
      <tp t="s">
        <v>#N/A Requesting Data...3138533936</v>
        <stp/>
        <stp>BDP|8252039867220612625</stp>
        <tr r="Q2449" s="2"/>
      </tp>
      <tp t="s">
        <v>#N/A Requesting Data...2774995968</v>
        <stp/>
        <stp>BDP|6656011294102492551</stp>
        <tr r="Q987" s="2"/>
      </tp>
      <tp t="s">
        <v>#N/A Requesting Data...2745416885</v>
        <stp/>
        <stp>BDP|8038471916291388405</stp>
        <tr r="M2050" s="2"/>
      </tp>
      <tp t="s">
        <v>#N/A Requesting Data...3445464707</v>
        <stp/>
        <stp>BDP|8806688264329224944</stp>
        <tr r="P1191" s="2"/>
      </tp>
      <tp t="s">
        <v>#N/A Requesting Data...3295347028</v>
        <stp/>
        <stp>BDP|8756278881429126326</stp>
        <tr r="F596" s="2"/>
      </tp>
      <tp t="s">
        <v>#N/A Requesting Data...3669301345</v>
        <stp/>
        <stp>BDP|1091001881644469574</stp>
        <tr r="D2459" s="2"/>
      </tp>
      <tp t="s">
        <v>#N/A Requesting Data...3272527777</v>
        <stp/>
        <stp>BDP|5068894905007891267</stp>
        <tr r="K1593" s="2"/>
      </tp>
      <tp t="s">
        <v>#N/A Requesting Data...3871729478</v>
        <stp/>
        <stp>BDP|1269143272207792812</stp>
        <tr r="C955" s="2"/>
      </tp>
      <tp t="s">
        <v>#N/A Requesting Data...3800734768</v>
        <stp/>
        <stp>BDP|1782676291211037730</stp>
        <tr r="T2327" s="2"/>
      </tp>
      <tp t="s">
        <v>#N/A Requesting Data...2528620529</v>
        <stp/>
        <stp>BDP|4889615828709550160</stp>
        <tr r="S1111" s="2"/>
      </tp>
      <tp t="s">
        <v>#N/A Requesting Data...2385184562</v>
        <stp/>
        <stp>BDP|5884061330139965751</stp>
        <tr r="R112" s="2"/>
      </tp>
      <tp t="s">
        <v>#N/A Requesting Data...2291395875</v>
        <stp/>
        <stp>BDP|6505398867249148281</stp>
        <tr r="M526" s="2"/>
      </tp>
      <tp t="s">
        <v>#N/A Requesting Data...2176388108</v>
        <stp/>
        <stp>BDP|9245504501981713567</stp>
        <tr r="H1474" s="2"/>
      </tp>
      <tp t="s">
        <v>#N/A Requesting Data...2206142195</v>
        <stp/>
        <stp>BDP|8869480952229537859</stp>
        <tr r="K1859" s="2"/>
      </tp>
      <tp t="s">
        <v>#N/A Requesting Data...4248798578</v>
        <stp/>
        <stp>BDP|2898075288204059655</stp>
        <tr r="H1287" s="2"/>
      </tp>
      <tp t="s">
        <v>#N/A Requesting Data...3562951908</v>
        <stp/>
        <stp>BDP|9040311669046281283</stp>
        <tr r="O2441" s="2"/>
      </tp>
      <tp t="s">
        <v>#N/A Requesting Data...3375829947</v>
        <stp/>
        <stp>BDP|3487609975948036235</stp>
        <tr r="C1097" s="2"/>
      </tp>
      <tp t="s">
        <v>#N/A Requesting Data...3958907363</v>
        <stp/>
        <stp>BDP|7606344318369805406</stp>
        <tr r="O359" s="2"/>
      </tp>
      <tp t="s">
        <v>#N/A Requesting Data...4129334625</v>
        <stp/>
        <stp>BDP|8269365339243749384</stp>
        <tr r="K234" s="2"/>
      </tp>
      <tp t="s">
        <v>#N/A Requesting Data...4206364213</v>
        <stp/>
        <stp>BDP|1873910409346464662</stp>
        <tr r="Q1079" s="2"/>
      </tp>
      <tp t="s">
        <v>#N/A Requesting Data...4068164101</v>
        <stp/>
        <stp>BDP|7472523210299059243</stp>
        <tr r="P355" s="2"/>
      </tp>
      <tp t="s">
        <v>#N/A Requesting Data...3292298484</v>
        <stp/>
        <stp>BDP|5418696689597506432</stp>
        <tr r="G1943" s="2"/>
      </tp>
      <tp t="s">
        <v>#N/A Requesting Data...4288074503</v>
        <stp/>
        <stp>BDP|7165919757802320165</stp>
        <tr r="M481" s="2"/>
      </tp>
      <tp t="s">
        <v>#N/A Requesting Data...2387324853</v>
        <stp/>
        <stp>BDP|5826878277776899424</stp>
        <tr r="S2042" s="2"/>
      </tp>
      <tp t="s">
        <v>#N/A Requesting Data...2184135095</v>
        <stp/>
        <stp>BDP|8093848811998618119</stp>
        <tr r="T629" s="2"/>
      </tp>
      <tp t="s">
        <v>#N/A Requesting Data...3298434859</v>
        <stp/>
        <stp>BDP|9672061883650795969</stp>
        <tr r="Q542" s="2"/>
      </tp>
      <tp t="s">
        <v>#N/A Requesting Data...2305428594</v>
        <stp/>
        <stp>BDP|9824596117480136553</stp>
        <tr r="H857" s="2"/>
      </tp>
      <tp t="s">
        <v>#N/A Requesting Data...3665169133</v>
        <stp/>
        <stp>BDP|1449976896719276051</stp>
        <tr r="O1733" s="2"/>
      </tp>
      <tp t="s">
        <v>#N/A Requesting Data...3174356311</v>
        <stp/>
        <stp>BDP|9036640656334764675</stp>
        <tr r="T1664" s="2"/>
      </tp>
      <tp t="s">
        <v>#N/A Requesting Data...3054330704</v>
        <stp/>
        <stp>BDP|1550932726307747553</stp>
        <tr r="O835" s="2"/>
      </tp>
      <tp t="s">
        <v>#N/A Requesting Data...2712173552</v>
        <stp/>
        <stp>BDP|5188141191911048467</stp>
        <tr r="C258" s="2"/>
      </tp>
      <tp t="s">
        <v>#N/A Requesting Data...2919718585</v>
        <stp/>
        <stp>BDP|6791837622907407304</stp>
        <tr r="H1611" s="2"/>
      </tp>
      <tp t="s">
        <v>#N/A Requesting Data...3626651190</v>
        <stp/>
        <stp>BDP|4473012751878581136</stp>
        <tr r="T1654" s="2"/>
      </tp>
      <tp t="s">
        <v>#N/A Requesting Data...3754961282</v>
        <stp/>
        <stp>BDP|5332491280018943915</stp>
        <tr r="P2279" s="2"/>
      </tp>
      <tp t="s">
        <v>#N/A Requesting Data...4164109072</v>
        <stp/>
        <stp>BDP|5938182314515146863</stp>
        <tr r="S387" s="2"/>
      </tp>
      <tp t="s">
        <v>#N/A Requesting Data...2447107347</v>
        <stp/>
        <stp>BDP|6553426231281710833</stp>
        <tr r="E2527" s="2"/>
      </tp>
      <tp t="s">
        <v>#N/A Requesting Data...3782663658</v>
        <stp/>
        <stp>BDP|9501889444968918522</stp>
        <tr r="P1426" s="2"/>
      </tp>
      <tp t="s">
        <v>#N/A Requesting Data...2198801748</v>
        <stp/>
        <stp>BDP|8237196239644475646</stp>
        <tr r="P2360" s="2"/>
      </tp>
      <tp t="s">
        <v>#N/A Requesting Data...3692057426</v>
        <stp/>
        <stp>BDP|8816221739225507440</stp>
        <tr r="S2379" s="2"/>
      </tp>
      <tp t="b">
        <v>0</v>
        <stp/>
        <stp>BDS|9796872602640683964</stp>
        <tr r="I552" s="2"/>
      </tp>
      <tp t="s">
        <v>#N/A Requesting Data...3411516450</v>
        <stp/>
        <stp>BDP|8345554710745367173</stp>
        <tr r="F2296" s="2"/>
      </tp>
      <tp t="s">
        <v>#N/A Requesting Data...3746932008</v>
        <stp/>
        <stp>BDP|7141602682460928182</stp>
        <tr r="O1372" s="2"/>
      </tp>
      <tp t="s">
        <v>#N/A Requesting Data...3624103315</v>
        <stp/>
        <stp>BDP|6884018011786276982</stp>
        <tr r="O371" s="2"/>
      </tp>
      <tp t="s">
        <v>#N/A Requesting Data...3943238878</v>
        <stp/>
        <stp>BDP|6370883827686745293</stp>
        <tr r="D1885" s="2"/>
      </tp>
      <tp t="s">
        <v>#N/A Requesting Data...4077522991</v>
        <stp/>
        <stp>BDP|2678760488497362290</stp>
        <tr r="C2438" s="2"/>
      </tp>
      <tp t="s">
        <v>#N/A Requesting Data...3214261859</v>
        <stp/>
        <stp>BDP|8941640603013889549</stp>
        <tr r="K1561" s="2"/>
      </tp>
      <tp t="s">
        <v>#N/A Requesting Data...3495776659</v>
        <stp/>
        <stp>BDP|4648571880301768045</stp>
        <tr r="K1048" s="2"/>
      </tp>
      <tp t="s">
        <v>#N/A Requesting Data...2586268761</v>
        <stp/>
        <stp>BDP|4386196183942360785</stp>
        <tr r="K176" s="2"/>
      </tp>
      <tp t="s">
        <v>#N/A Requesting Data...3792555630</v>
        <stp/>
        <stp>BDP|7451269094317293362</stp>
        <tr r="J2057" s="2"/>
      </tp>
      <tp t="s">
        <v>#N/A Requesting Data...2649076069</v>
        <stp/>
        <stp>BDP|8600379119625990732</stp>
        <tr r="D1645" s="2"/>
      </tp>
      <tp t="s">
        <v>#N/A Requesting Data...3385843867</v>
        <stp/>
        <stp>BDP|6140742945025607842</stp>
        <tr r="Q544" s="2"/>
      </tp>
      <tp t="s">
        <v>#N/A Requesting Data...2363212246</v>
        <stp/>
        <stp>BDP|2148564631774134850</stp>
        <tr r="C2254" s="2"/>
      </tp>
      <tp t="s">
        <v>#N/A Requesting Data...2874691305</v>
        <stp/>
        <stp>BDP|1366065894270727047</stp>
        <tr r="D690" s="2"/>
      </tp>
      <tp t="s">
        <v>#N/A Requesting Data...2849163344</v>
        <stp/>
        <stp>BDP|9872646924361373491</stp>
        <tr r="C270" s="2"/>
      </tp>
      <tp t="s">
        <v>#N/A Requesting Data...4222234454</v>
        <stp/>
        <stp>BDP|5423230030484121840</stp>
        <tr r="Q1713" s="2"/>
      </tp>
      <tp t="s">
        <v>#N/A Requesting Data...3846976525</v>
        <stp/>
        <stp>BDP|6052975683297157873</stp>
        <tr r="K1584" s="2"/>
      </tp>
      <tp t="s">
        <v>#N/A Requesting Data...4002609645</v>
        <stp/>
        <stp>BDP|9050898588986077737</stp>
        <tr r="K401" s="2"/>
      </tp>
      <tp t="b">
        <v>0</v>
        <stp/>
        <stp>BDS|3657451250999126308</stp>
        <tr r="I2394" s="2"/>
      </tp>
      <tp t="s">
        <v>#N/A Requesting Data...2638159963</v>
        <stp/>
        <stp>BDP|5357383328484807896</stp>
        <tr r="Q2363" s="2"/>
      </tp>
      <tp t="s">
        <v>#N/A Requesting Data...2914562118</v>
        <stp/>
        <stp>BDP|1739170524519538332</stp>
        <tr r="A1341" s="2"/>
      </tp>
      <tp t="s">
        <v>#N/A Requesting Data...2968461843</v>
        <stp/>
        <stp>BDP|5104357513877113849</stp>
        <tr r="R595" s="2"/>
      </tp>
      <tp t="s">
        <v>#N/A Requesting Data...2238368540</v>
        <stp/>
        <stp>BDP|6120571587570483379</stp>
        <tr r="E1420" s="2"/>
      </tp>
      <tp t="s">
        <v>#N/A Requesting Data...2504136531</v>
        <stp/>
        <stp>BDP|4972894756675220460</stp>
        <tr r="N973" s="2"/>
      </tp>
      <tp t="s">
        <v>#N/A Requesting Data...2409705474</v>
        <stp/>
        <stp>BDP|5028497550225893939</stp>
        <tr r="A1087" s="2"/>
      </tp>
      <tp t="s">
        <v>#N/A Requesting Data...2644426026</v>
        <stp/>
        <stp>BDP|6250050795834629368</stp>
        <tr r="G1691" s="2"/>
      </tp>
      <tp t="s">
        <v>#N/A Requesting Data...2679132010</v>
        <stp/>
        <stp>BDP|6349296784647907353</stp>
        <tr r="D36" s="2"/>
      </tp>
      <tp t="s">
        <v>#N/A Requesting Data...3499673670</v>
        <stp/>
        <stp>BDP|2834878360684495093</stp>
        <tr r="T799" s="2"/>
      </tp>
      <tp t="s">
        <v>#N/A Requesting Data...3013552423</v>
        <stp/>
        <stp>BDP|2849087492556192518</stp>
        <tr r="E1331" s="2"/>
      </tp>
      <tp t="s">
        <v>#N/A Requesting Data...2318443632</v>
        <stp/>
        <stp>BDP|6700348886394247159</stp>
        <tr r="N1566" s="2"/>
      </tp>
      <tp t="s">
        <v>#N/A Requesting Data...3767966823</v>
        <stp/>
        <stp>BDP|8616204492708325356</stp>
        <tr r="K537" s="2"/>
      </tp>
      <tp t="s">
        <v>#N/A Requesting Data...4190758090</v>
        <stp/>
        <stp>BDP|1414323696653217003</stp>
        <tr r="D1439" s="2"/>
      </tp>
      <tp t="s">
        <v>#N/A Requesting Data...3200838446</v>
        <stp/>
        <stp>BDP|6808205998017501273</stp>
        <tr r="J313" s="2"/>
      </tp>
      <tp t="s">
        <v>#N/A Requesting Data...3385862855</v>
        <stp/>
        <stp>BDP|8801598302015465047</stp>
        <tr r="E1155" s="2"/>
      </tp>
      <tp t="s">
        <v>#N/A Requesting Data...3357789035</v>
        <stp/>
        <stp>BDP|5620955038557134098</stp>
        <tr r="G2190" s="2"/>
      </tp>
      <tp t="s">
        <v>#N/A Requesting Data...2742127116</v>
        <stp/>
        <stp>BDP|6356974801987364057</stp>
        <tr r="E1113" s="2"/>
      </tp>
      <tp t="s">
        <v>#N/A Requesting Data...2529352222</v>
        <stp/>
        <stp>BDP|4133230620859439551</stp>
        <tr r="N2201" s="2"/>
      </tp>
      <tp t="s">
        <v>#N/A Requesting Data...4145704240</v>
        <stp/>
        <stp>BDP|5026575174306352939</stp>
        <tr r="M2264" s="2"/>
      </tp>
      <tp t="s">
        <v>#N/A Requesting Data...2407247294</v>
        <stp/>
        <stp>BDP|8499264557524379357</stp>
        <tr r="M1407" s="2"/>
      </tp>
      <tp t="b">
        <v>0</v>
        <stp/>
        <stp>BDS|3970542926054190897</stp>
        <tr r="I1231" s="2"/>
      </tp>
      <tp t="s">
        <v>#N/A Requesting Data...3202611222</v>
        <stp/>
        <stp>BDP|5995384879401810830</stp>
        <tr r="O710" s="2"/>
      </tp>
      <tp t="s">
        <v>#N/A Requesting Data...3335064131</v>
        <stp/>
        <stp>BDP|6195403675699730407</stp>
        <tr r="M2057" s="2"/>
      </tp>
      <tp t="s">
        <v>#N/A Requesting Data...2568110564</v>
        <stp/>
        <stp>BDP|9344805687575661419</stp>
        <tr r="D1569" s="2"/>
      </tp>
      <tp t="s">
        <v>#N/A Requesting Data...2386668591</v>
        <stp/>
        <stp>BDP|7954730409190485847</stp>
        <tr r="N1406" s="2"/>
      </tp>
      <tp t="s">
        <v>#N/A Requesting Data...3926517767</v>
        <stp/>
        <stp>BDP|4659094441840554887</stp>
        <tr r="T1359" s="2"/>
      </tp>
      <tp t="s">
        <v>#N/A Requesting Data...4252750914</v>
        <stp/>
        <stp>BDP|7819913014936677187</stp>
        <tr r="T1434" s="2"/>
      </tp>
      <tp t="s">
        <v>#N/A Requesting Data...3674756063</v>
        <stp/>
        <stp>BDP|4486575816448354057</stp>
        <tr r="M962" s="2"/>
      </tp>
      <tp t="s">
        <v>#N/A Requesting Data...3480226785</v>
        <stp/>
        <stp>BDP|8867388925527009661</stp>
        <tr r="A1649" s="2"/>
      </tp>
      <tp t="s">
        <v>#N/A Requesting Data...3300547403</v>
        <stp/>
        <stp>BDP|8262270286518381231</stp>
        <tr r="E2384" s="2"/>
      </tp>
      <tp t="s">
        <v>#N/A Requesting Data...3912820239</v>
        <stp/>
        <stp>BDP|5531061418008099486</stp>
        <tr r="K1309" s="2"/>
      </tp>
      <tp t="s">
        <v>#N/A Requesting Data...2787215772</v>
        <stp/>
        <stp>BDP|3085576723128029470</stp>
        <tr r="F795" s="2"/>
      </tp>
      <tp t="s">
        <v>#N/A Requesting Data...2293092331</v>
        <stp/>
        <stp>BDP|5632078819398358480</stp>
        <tr r="N289" s="2"/>
      </tp>
      <tp t="s">
        <v>#N/A Requesting Data...2662303209</v>
        <stp/>
        <stp>BDP|8941835699348668969</stp>
        <tr r="A1013" s="2"/>
      </tp>
      <tp t="s">
        <v>#N/A Requesting Data...2657099282</v>
        <stp/>
        <stp>BDP|9418460512140642459</stp>
        <tr r="O2161" s="2"/>
      </tp>
      <tp t="s">
        <v>#N/A Requesting Data...3746009701</v>
        <stp/>
        <stp>BDP|7626256797933084779</stp>
        <tr r="C1899" s="2"/>
      </tp>
      <tp t="s">
        <v>#N/A Requesting Data...2906861130</v>
        <stp/>
        <stp>BDP|4161409065238372646</stp>
        <tr r="H549" s="2"/>
      </tp>
      <tp t="s">
        <v>#N/A Requesting Data...3215726471</v>
        <stp/>
        <stp>BDP|4151959677146012400</stp>
        <tr r="S1802" s="2"/>
      </tp>
      <tp t="s">
        <v>#N/A Requesting Data...3790232577</v>
        <stp/>
        <stp>BDP|8117239420249606976</stp>
        <tr r="T384" s="2"/>
      </tp>
      <tp t="b">
        <v>0</v>
        <stp/>
        <stp>BDS|1470759004796335855</stp>
        <tr r="I504" s="2"/>
      </tp>
      <tp t="s">
        <v>#N/A Requesting Data...3490890346</v>
        <stp/>
        <stp>BDP|1102034711179684162</stp>
        <tr r="C519" s="2"/>
      </tp>
      <tp t="s">
        <v>#N/A Requesting Data...4160133668</v>
        <stp/>
        <stp>BDP|5353274521848425524</stp>
        <tr r="D1391" s="2"/>
      </tp>
      <tp t="s">
        <v>#N/A Requesting Data...2672088962</v>
        <stp/>
        <stp>BDP|9328710726846051270</stp>
        <tr r="H1618" s="2"/>
      </tp>
      <tp t="s">
        <v>#N/A Requesting Data...3785019828</v>
        <stp/>
        <stp>BDP|1893899973084796267</stp>
        <tr r="K304" s="2"/>
      </tp>
      <tp t="s">
        <v>#N/A Requesting Data...3452738347</v>
        <stp/>
        <stp>BDP|1281567567043061907</stp>
        <tr r="H1364" s="2"/>
      </tp>
      <tp t="s">
        <v>#N/A Requesting Data...3124398930</v>
        <stp/>
        <stp>BDP|1210915674225006248</stp>
        <tr r="J970" s="2"/>
      </tp>
      <tp t="s">
        <v>#N/A Requesting Data...3418260034</v>
        <stp/>
        <stp>BDP|3775075772704690872</stp>
        <tr r="P1084" s="2"/>
      </tp>
      <tp t="s">
        <v>#N/A Requesting Data...3928390060</v>
        <stp/>
        <stp>BDP|5227579591371509026</stp>
        <tr r="A601" s="2"/>
      </tp>
      <tp t="s">
        <v>#N/A Requesting Data...3444289068</v>
        <stp/>
        <stp>BDP|2745064266895223964</stp>
        <tr r="Q1958" s="2"/>
      </tp>
      <tp t="s">
        <v>#N/A Requesting Data...3739542130</v>
        <stp/>
        <stp>BDP|5291908431740645763</stp>
        <tr r="O445" s="2"/>
      </tp>
      <tp t="s">
        <v>#N/A Requesting Data...2547541619</v>
        <stp/>
        <stp>BDP|5883767672914972960</stp>
        <tr r="A1036" s="2"/>
      </tp>
      <tp t="s">
        <v>#N/A Requesting Data...3994061503</v>
        <stp/>
        <stp>BDP|6474903184668074734</stp>
        <tr r="M1308" s="2"/>
      </tp>
      <tp t="s">
        <v>#N/A Requesting Data...2566002342</v>
        <stp/>
        <stp>BDP|7663655261338612770</stp>
        <tr r="R1321" s="2"/>
      </tp>
      <tp t="s">
        <v>#N/A Requesting Data...3175447117</v>
        <stp/>
        <stp>BDP|1462965133461479261</stp>
        <tr r="H1604" s="2"/>
      </tp>
      <tp t="s">
        <v>#N/A Requesting Data...3695800580</v>
        <stp/>
        <stp>BDP|4761475876676473913</stp>
        <tr r="H676" s="2"/>
      </tp>
      <tp t="s">
        <v>#N/A Requesting Data...2697949748</v>
        <stp/>
        <stp>BDP|6299907485728717739</stp>
        <tr r="R469" s="2"/>
      </tp>
      <tp t="s">
        <v>#N/A Requesting Data...3504476505</v>
        <stp/>
        <stp>BDP|8353672626747654375</stp>
        <tr r="C1522" s="2"/>
      </tp>
      <tp t="s">
        <v>#N/A Requesting Data...4027645238</v>
        <stp/>
        <stp>BDP|8077082668504667256</stp>
        <tr r="T1956" s="2"/>
      </tp>
      <tp t="b">
        <v>0</v>
        <stp/>
        <stp>BDS|7979684461199512660</stp>
        <tr r="I1347" s="2"/>
      </tp>
      <tp t="s">
        <v>#N/A Requesting Data...4087613639</v>
        <stp/>
        <stp>BDP|1504474960122478952</stp>
        <tr r="S2024" s="2"/>
      </tp>
      <tp t="s">
        <v>#N/A Requesting Data...4002560602</v>
        <stp/>
        <stp>BDP|5745278689645320298</stp>
        <tr r="T823" s="2"/>
      </tp>
      <tp t="s">
        <v>#N/A Requesting Data...3339042692</v>
        <stp/>
        <stp>BDP|1902468596800824422</stp>
        <tr r="H2137" s="2"/>
      </tp>
      <tp t="s">
        <v>#N/A Requesting Data...3686423307</v>
        <stp/>
        <stp>BDP|9373367643101156744</stp>
        <tr r="F2194" s="2"/>
      </tp>
      <tp t="s">
        <v>#N/A Requesting Data...4003454488</v>
        <stp/>
        <stp>BDP|9680412323373697410</stp>
        <tr r="G2396" s="2"/>
      </tp>
      <tp t="s">
        <v>#N/A Requesting Data...3785195836</v>
        <stp/>
        <stp>BDP|7212961245036078427</stp>
        <tr r="A912" s="2"/>
      </tp>
      <tp t="s">
        <v>#N/A Requesting Data...2818576542</v>
        <stp/>
        <stp>BDP|3743563808499356795</stp>
        <tr r="C1165" s="2"/>
      </tp>
      <tp t="s">
        <v>#N/A Requesting Data...2751788224</v>
        <stp/>
        <stp>BDP|2747715023679756611</stp>
        <tr r="D2318" s="2"/>
      </tp>
      <tp t="s">
        <v>#N/A Requesting Data...2364170464</v>
        <stp/>
        <stp>BDP|1182939694540531904</stp>
        <tr r="K1917" s="2"/>
      </tp>
      <tp t="s">
        <v>#N/A Requesting Data...3038084396</v>
        <stp/>
        <stp>BDP|2134566088335976252</stp>
        <tr r="K1141" s="2"/>
      </tp>
      <tp t="s">
        <v>#N/A Requesting Data...2902646315</v>
        <stp/>
        <stp>BDP|5470041584545710001</stp>
        <tr r="N1044" s="2"/>
      </tp>
      <tp t="s">
        <v>#N/A Requesting Data...4021418615</v>
        <stp/>
        <stp>BDP|8632438103714563009</stp>
        <tr r="A1451" s="2"/>
      </tp>
      <tp t="s">
        <v>#N/A Requesting Data...3589251478</v>
        <stp/>
        <stp>BDP|1375182758649624462</stp>
        <tr r="R2357" s="2"/>
      </tp>
      <tp t="s">
        <v>#N/A Requesting Data...3757436240</v>
        <stp/>
        <stp>BDP|7345845603291659615</stp>
        <tr r="O1138" s="2"/>
      </tp>
      <tp t="s">
        <v>#N/A Requesting Data...2825013697</v>
        <stp/>
        <stp>BDP|5411714630241765813</stp>
        <tr r="K1646" s="2"/>
      </tp>
      <tp t="s">
        <v>#N/A Requesting Data...4181247821</v>
        <stp/>
        <stp>BDP|8078485973750112396</stp>
        <tr r="K1911" s="2"/>
      </tp>
      <tp t="s">
        <v>#N/A Requesting Data...3186180483</v>
        <stp/>
        <stp>BDP|7564976253273750055</stp>
        <tr r="M930" s="2"/>
      </tp>
      <tp t="s">
        <v>#N/A Requesting Data...3977245984</v>
        <stp/>
        <stp>BDP|7110895358651098339</stp>
        <tr r="D1381" s="2"/>
      </tp>
      <tp t="s">
        <v>#N/A Requesting Data...3298978598</v>
        <stp/>
        <stp>BDP|8102996195080600084</stp>
        <tr r="C124" s="2"/>
      </tp>
      <tp t="s">
        <v>#N/A Requesting Data...2878179296</v>
        <stp/>
        <stp>BDP|8388464796934359935</stp>
        <tr r="P2334" s="2"/>
      </tp>
      <tp t="s">
        <v>#N/A Requesting Data...3858234748</v>
        <stp/>
        <stp>BDP|9677925704158603056</stp>
        <tr r="O1089" s="2"/>
      </tp>
      <tp t="s">
        <v>#N/A Requesting Data...4059979314</v>
        <stp/>
        <stp>BDP|5210856563104524721</stp>
        <tr r="N492" s="2"/>
      </tp>
      <tp t="s">
        <v>#N/A Requesting Data...3848456885</v>
        <stp/>
        <stp>BDP|6276090718779027607</stp>
        <tr r="R462" s="2"/>
      </tp>
      <tp t="s">
        <v>#N/A Requesting Data...2826228196</v>
        <stp/>
        <stp>BDP|5650315379499828053</stp>
        <tr r="T345" s="2"/>
      </tp>
      <tp t="s">
        <v>#N/A Requesting Data...3206792003</v>
        <stp/>
        <stp>BDP|8256621437500231567</stp>
        <tr r="N1841" s="2"/>
      </tp>
      <tp t="s">
        <v>#N/A Requesting Data...2852764123</v>
        <stp/>
        <stp>BDP|3646920800542524026</stp>
        <tr r="J562" s="2"/>
      </tp>
      <tp t="s">
        <v>#N/A Requesting Data...3555685025</v>
        <stp/>
        <stp>BDP|5625914227463035535</stp>
        <tr r="M1594" s="2"/>
      </tp>
      <tp t="s">
        <v>#N/A Requesting Data...2529502988</v>
        <stp/>
        <stp>BDP|1764823311769434935</stp>
        <tr r="A1153" s="2"/>
      </tp>
      <tp t="s">
        <v>#N/A Requesting Data...2906527978</v>
        <stp/>
        <stp>BDP|4592749294951382355</stp>
        <tr r="M86" s="2"/>
      </tp>
      <tp t="s">
        <v>#N/A Requesting Data...3580579231</v>
        <stp/>
        <stp>BDP|3353879230108783801</stp>
        <tr r="A231" s="2"/>
      </tp>
      <tp t="s">
        <v>#N/A Requesting Data...3625235453</v>
        <stp/>
        <stp>BDP|8469933183416702705</stp>
        <tr r="A2125" s="2"/>
      </tp>
      <tp t="s">
        <v>#N/A Requesting Data...3047644243</v>
        <stp/>
        <stp>BDP|1248827555457348354</stp>
        <tr r="J58" s="2"/>
      </tp>
      <tp t="s">
        <v>#N/A Requesting Data...3248887744</v>
        <stp/>
        <stp>BDP|6647099530904443987</stp>
        <tr r="G1146" s="2"/>
      </tp>
      <tp t="s">
        <v>#N/A Requesting Data...4145075356</v>
        <stp/>
        <stp>BDP|9005647006137045015</stp>
        <tr r="K2192" s="2"/>
      </tp>
      <tp t="s">
        <v>#N/A Requesting Data...2540821592</v>
        <stp/>
        <stp>BDP|3744106767788126420</stp>
        <tr r="P1276" s="2"/>
      </tp>
      <tp t="s">
        <v>#N/A Requesting Data...3212317336</v>
        <stp/>
        <stp>BDP|8343410576521479231</stp>
        <tr r="H1258" s="2"/>
      </tp>
      <tp t="s">
        <v>#N/A Requesting Data...3558515070</v>
        <stp/>
        <stp>BDP|3450975298083954812</stp>
        <tr r="P1253" s="2"/>
      </tp>
      <tp t="s">
        <v>#N/A Requesting Data...3025008870</v>
        <stp/>
        <stp>BDP|6939255596660150582</stp>
        <tr r="K2182" s="2"/>
      </tp>
      <tp t="s">
        <v>#N/A Requesting Data...4195376740</v>
        <stp/>
        <stp>BDP|8407755251190729240</stp>
        <tr r="O1249" s="2"/>
      </tp>
      <tp t="b">
        <v>0</v>
        <stp/>
        <stp>BDS|8836605215554836365</stp>
        <tr r="I517" s="2"/>
      </tp>
      <tp t="s">
        <v>#N/A Requesting Data...3711846590</v>
        <stp/>
        <stp>BDP|9835473045141102087</stp>
        <tr r="O20" s="2"/>
      </tp>
      <tp t="s">
        <v>#N/A Requesting Data...4235569570</v>
        <stp/>
        <stp>BDP|3949458708936620911</stp>
        <tr r="D540" s="2"/>
      </tp>
      <tp t="s">
        <v>#N/A Requesting Data...2863439825</v>
        <stp/>
        <stp>BDP|7296061348519553291</stp>
        <tr r="Q2020" s="2"/>
      </tp>
      <tp t="s">
        <v>#N/A Requesting Data...3873851099</v>
        <stp/>
        <stp>BDP|7390646194717223713</stp>
        <tr r="S706" s="2"/>
      </tp>
      <tp t="s">
        <v>#N/A Requesting Data...3155147382</v>
        <stp/>
        <stp>BDP|7105844484879952681</stp>
        <tr r="Q1826" s="2"/>
      </tp>
      <tp t="s">
        <v>#N/A Requesting Data...4006269527</v>
        <stp/>
        <stp>BDP|3141328173056723976</stp>
        <tr r="E2474" s="2"/>
      </tp>
      <tp t="s">
        <v>#N/A Requesting Data...3548805397</v>
        <stp/>
        <stp>BDP|2639698135658860723</stp>
        <tr r="C1479" s="2"/>
      </tp>
      <tp t="s">
        <v>#N/A Requesting Data...2789392063</v>
        <stp/>
        <stp>BDP|1726112882996272665</stp>
        <tr r="S1593" s="2"/>
      </tp>
      <tp t="s">
        <v>#N/A Requesting Data...3075561999</v>
        <stp/>
        <stp>BDP|3605592419637564839</stp>
        <tr r="E2035" s="2"/>
      </tp>
      <tp t="s">
        <v>#N/A Requesting Data...3190447928</v>
        <stp/>
        <stp>BDP|4789427882043363342</stp>
        <tr r="H1637" s="2"/>
      </tp>
      <tp t="s">
        <v>#N/A Requesting Data...3276583839</v>
        <stp/>
        <stp>BDP|8061655122911763507</stp>
        <tr r="F1589" s="2"/>
      </tp>
      <tp t="s">
        <v>#N/A Requesting Data...2858920917</v>
        <stp/>
        <stp>BDP|9016173226765890797</stp>
        <tr r="O2475" s="2"/>
      </tp>
      <tp t="s">
        <v>#N/A Requesting Data...3173788860</v>
        <stp/>
        <stp>BDP|2372081414089984265</stp>
        <tr r="M2156" s="2"/>
      </tp>
      <tp t="s">
        <v>#N/A Requesting Data...3537285489</v>
        <stp/>
        <stp>BDP|6082109028084031989</stp>
        <tr r="J195" s="2"/>
      </tp>
      <tp t="s">
        <v>#N/A Requesting Data...2855682758</v>
        <stp/>
        <stp>BDP|2111648278603843851</stp>
        <tr r="D154" s="2"/>
      </tp>
      <tp t="s">
        <v>#N/A Requesting Data...2575030631</v>
        <stp/>
        <stp>BDP|3771079288021941210</stp>
        <tr r="C885" s="2"/>
      </tp>
      <tp t="s">
        <v>#N/A Requesting Data...3650530383</v>
        <stp/>
        <stp>BDP|2092582898314050207</stp>
        <tr r="A121" s="2"/>
      </tp>
      <tp t="s">
        <v>#N/A Requesting Data...3406640957</v>
        <stp/>
        <stp>BDP|7905434870835909931</stp>
        <tr r="Q6" s="2"/>
      </tp>
      <tp t="s">
        <v>#N/A Requesting Data...2577897756</v>
        <stp/>
        <stp>BDP|8231230697199189277</stp>
        <tr r="K1197" s="2"/>
      </tp>
      <tp t="s">
        <v>#N/A Requesting Data...2816604587</v>
        <stp/>
        <stp>BDP|1460640881030298732</stp>
        <tr r="C1537" s="2"/>
      </tp>
      <tp t="s">
        <v>#N/A Requesting Data...2786561184</v>
        <stp/>
        <stp>BDP|5202608363709522440</stp>
        <tr r="T1978" s="2"/>
      </tp>
      <tp t="s">
        <v>#N/A Requesting Data...2923014126</v>
        <stp/>
        <stp>BDP|8162214721026094616</stp>
        <tr r="M271" s="2"/>
      </tp>
      <tp t="s">
        <v>#N/A Requesting Data...2903855069</v>
        <stp/>
        <stp>BDP|3190519603386193827</stp>
        <tr r="M1112" s="2"/>
      </tp>
      <tp t="s">
        <v>#N/A Requesting Data...3219968614</v>
        <stp/>
        <stp>BDP|7544724584984427476</stp>
        <tr r="P2306" s="2"/>
      </tp>
      <tp t="s">
        <v>#N/A Requesting Data...3362797548</v>
        <stp/>
        <stp>BDP|8009606426017184373</stp>
        <tr r="Q1439" s="2"/>
      </tp>
      <tp t="s">
        <v>#N/A Requesting Data...4247724903</v>
        <stp/>
        <stp>BDP|4610064486784565039</stp>
        <tr r="Q2255" s="2"/>
      </tp>
      <tp t="s">
        <v>#N/A Requesting Data...2617067336</v>
        <stp/>
        <stp>BDP|1845917273966215187</stp>
        <tr r="F1389" s="2"/>
      </tp>
      <tp t="s">
        <v>#N/A Requesting Data...4188743977</v>
        <stp/>
        <stp>BDP|5606704280985642706</stp>
        <tr r="G2055" s="2"/>
      </tp>
      <tp t="s">
        <v>#N/A Requesting Data...3805621726</v>
        <stp/>
        <stp>BDP|5907049639537609923</stp>
        <tr r="D1606" s="2"/>
      </tp>
      <tp t="s">
        <v>#N/A Requesting Data...4064783763</v>
        <stp/>
        <stp>BDP|2059108378135800902</stp>
        <tr r="D806" s="2"/>
      </tp>
      <tp t="b">
        <v>0</v>
        <stp/>
        <stp>BDS|5878709497503645092</stp>
        <tr r="I2486" s="2"/>
      </tp>
      <tp t="s">
        <v>#N/A Requesting Data...3083833245</v>
        <stp/>
        <stp>BDP|5445760376528440504</stp>
        <tr r="T1986" s="2"/>
      </tp>
      <tp t="b">
        <v>0</v>
        <stp/>
        <stp>BDS|1549752092293713457</stp>
        <tr r="I383" s="2"/>
      </tp>
      <tp t="s">
        <v>#N/A Requesting Data...3521259450</v>
        <stp/>
        <stp>BDP|2188732679413393986</stp>
        <tr r="K485" s="2"/>
      </tp>
      <tp t="s">
        <v>#N/A Requesting Data...3846925428</v>
        <stp/>
        <stp>BDP|2570327131149658305</stp>
        <tr r="P1028" s="2"/>
      </tp>
      <tp t="s">
        <v>#N/A Requesting Data...4149063482</v>
        <stp/>
        <stp>BDP|6571932455083640150</stp>
        <tr r="J623" s="2"/>
      </tp>
      <tp t="s">
        <v>#N/A Requesting Data...3597496736</v>
        <stp/>
        <stp>BDP|8079390108371720267</stp>
        <tr r="M1547" s="2"/>
      </tp>
      <tp t="s">
        <v>#N/A Requesting Data...3553659695</v>
        <stp/>
        <stp>BDP|5466930350489504823</stp>
        <tr r="Q2091" s="2"/>
      </tp>
      <tp t="s">
        <v>#N/A Requesting Data...3774635127</v>
        <stp/>
        <stp>BDP|2654678381251397536</stp>
        <tr r="K2116" s="2"/>
      </tp>
      <tp t="s">
        <v>#N/A Requesting Data...3941535215</v>
        <stp/>
        <stp>BDP|5785299910287603983</stp>
        <tr r="A1927" s="2"/>
      </tp>
      <tp t="s">
        <v>#N/A Requesting Data...3277025619</v>
        <stp/>
        <stp>BDP|1664791183230447681</stp>
        <tr r="H2321" s="2"/>
      </tp>
      <tp t="s">
        <v>#N/A Requesting Data...3684652827</v>
        <stp/>
        <stp>BDP|5436635374279100524</stp>
        <tr r="C2518" s="2"/>
      </tp>
      <tp t="s">
        <v>#N/A Requesting Data...2944632142</v>
        <stp/>
        <stp>BDP|3858959337728995932</stp>
        <tr r="S248" s="2"/>
      </tp>
      <tp t="s">
        <v>#N/A Requesting Data...3825120407</v>
        <stp/>
        <stp>BDP|5087873079244835669</stp>
        <tr r="H1744" s="2"/>
      </tp>
      <tp t="s">
        <v>#N/A Requesting Data...2784926812</v>
        <stp/>
        <stp>BDP|4044626174535776813</stp>
        <tr r="P1937" s="2"/>
      </tp>
      <tp t="s">
        <v>#N/A Requesting Data...4167667821</v>
        <stp/>
        <stp>BDP|9711099571607899174</stp>
        <tr r="G2221" s="2"/>
      </tp>
      <tp t="s">
        <v>#N/A Requesting Data...3782631869</v>
        <stp/>
        <stp>BDP|1883297511879662363</stp>
        <tr r="M1501" s="2"/>
      </tp>
      <tp t="s">
        <v>#N/A Requesting Data...4224605504</v>
        <stp/>
        <stp>BDP|8901066719107279642</stp>
        <tr r="R912" s="2"/>
      </tp>
      <tp t="s">
        <v>#N/A Requesting Data...4002109894</v>
        <stp/>
        <stp>BDP|1127352393170217355</stp>
        <tr r="P1656" s="2"/>
      </tp>
      <tp t="s">
        <v>#N/A Requesting Data...2804143302</v>
        <stp/>
        <stp>BDP|4502164293064542055</stp>
        <tr r="H1338" s="2"/>
      </tp>
      <tp t="s">
        <v>#N/A Requesting Data...3590920449</v>
        <stp/>
        <stp>BDP|8270035504685368567</stp>
        <tr r="S1955" s="2"/>
      </tp>
      <tp t="s">
        <v>#N/A Requesting Data...3775946016</v>
        <stp/>
        <stp>BDP|8541344759556025082</stp>
        <tr r="T1409" s="2"/>
      </tp>
      <tp t="s">
        <v>#N/A Requesting Data...3851098253</v>
        <stp/>
        <stp>BDP|2986309577236642882</stp>
        <tr r="D1819" s="2"/>
      </tp>
      <tp t="s">
        <v>#N/A Requesting Data...3228597390</v>
        <stp/>
        <stp>BDP|3499204062826024962</stp>
        <tr r="S348" s="2"/>
      </tp>
      <tp t="s">
        <v>#N/A Requesting Data...2976976886</v>
        <stp/>
        <stp>BDP|8218553375442547077</stp>
        <tr r="Q240" s="2"/>
      </tp>
      <tp t="s">
        <v>#N/A Requesting Data...3198149078</v>
        <stp/>
        <stp>BDP|5069754194235700665</stp>
        <tr r="E1374" s="2"/>
      </tp>
      <tp t="s">
        <v>#N/A Requesting Data...3561701173</v>
        <stp/>
        <stp>BDP|2887830523917877702</stp>
        <tr r="E136" s="2"/>
      </tp>
      <tp t="s">
        <v>#N/A Requesting Data...2652646650</v>
        <stp/>
        <stp>BDP|8727194751147846377</stp>
        <tr r="C1772" s="2"/>
      </tp>
      <tp t="s">
        <v>#N/A Requesting Data...4133253272</v>
        <stp/>
        <stp>BDP|6333725510221449954</stp>
        <tr r="K782" s="2"/>
      </tp>
      <tp t="s">
        <v>#N/A Requesting Data...3770980370</v>
        <stp/>
        <stp>BDP|8729121403720246144</stp>
        <tr r="H845" s="2"/>
      </tp>
      <tp t="s">
        <v>#N/A Requesting Data...3042043490</v>
        <stp/>
        <stp>BDP|1088908162210242602</stp>
        <tr r="N1952" s="2"/>
      </tp>
      <tp t="s">
        <v>#N/A Requesting Data...2808224781</v>
        <stp/>
        <stp>BDP|6524611090473767236</stp>
        <tr r="F2365" s="2"/>
      </tp>
      <tp t="s">
        <v>#N/A Requesting Data...2869981457</v>
        <stp/>
        <stp>BDP|8950376708141525237</stp>
        <tr r="A36" s="2"/>
      </tp>
      <tp t="s">
        <v>#N/A Requesting Data...3035665440</v>
        <stp/>
        <stp>BDP|5405398309377380974</stp>
        <tr r="A2459" s="2"/>
      </tp>
      <tp t="s">
        <v>#N/A Requesting Data...3538262247</v>
        <stp/>
        <stp>BDP|1395894004914727591</stp>
        <tr r="M2043" s="2"/>
      </tp>
      <tp t="s">
        <v>#N/A Requesting Data...3077284074</v>
        <stp/>
        <stp>BDP|4335860749177466783</stp>
        <tr r="N1977" s="2"/>
      </tp>
      <tp t="b">
        <v>0</v>
        <stp/>
        <stp>BDS|5173725413038479341</stp>
        <tr r="I1993" s="2"/>
      </tp>
      <tp t="s">
        <v>#N/A Requesting Data...3669756957</v>
        <stp/>
        <stp>BDP|1186778609977998967</stp>
        <tr r="S1441" s="2"/>
      </tp>
      <tp t="s">
        <v>#N/A Requesting Data...3314458376</v>
        <stp/>
        <stp>BDP|5496578775986476928</stp>
        <tr r="S1854" s="2"/>
      </tp>
      <tp t="s">
        <v>#N/A Requesting Data...3485627706</v>
        <stp/>
        <stp>BDP|2239738085194359178</stp>
        <tr r="K1974" s="2"/>
      </tp>
      <tp t="s">
        <v>#N/A Requesting Data...3493185825</v>
        <stp/>
        <stp>BDP|9600590521333826567</stp>
        <tr r="K988" s="2"/>
      </tp>
      <tp t="s">
        <v>#N/A Requesting Data...3524372621</v>
        <stp/>
        <stp>BDP|5332417264307083869</stp>
        <tr r="Q244" s="2"/>
      </tp>
      <tp t="s">
        <v>#N/A Requesting Data...3813336546</v>
        <stp/>
        <stp>BDP|4173482675299800641</stp>
        <tr r="N1424" s="2"/>
      </tp>
      <tp t="s">
        <v>#N/A Requesting Data...4132822790</v>
        <stp/>
        <stp>BDP|6531826683876604834</stp>
        <tr r="O1839" s="2"/>
      </tp>
      <tp t="s">
        <v>#N/A Requesting Data...3632401403</v>
        <stp/>
        <stp>BDP|9104902447274083871</stp>
        <tr r="D2109" s="2"/>
      </tp>
      <tp t="s">
        <v>#N/A Requesting Data...2953054694</v>
        <stp/>
        <stp>BDP|1529148768407917916</stp>
        <tr r="P1115" s="2"/>
      </tp>
      <tp t="s">
        <v>#N/A Requesting Data...3977878921</v>
        <stp/>
        <stp>BDP|9943171555774928139</stp>
        <tr r="T811" s="2"/>
      </tp>
      <tp t="s">
        <v>#N/A Requesting Data...2925375054</v>
        <stp/>
        <stp>BDP|1250861801630490103</stp>
        <tr r="K406" s="2"/>
      </tp>
      <tp t="s">
        <v>#N/A Requesting Data...4232028051</v>
        <stp/>
        <stp>BDP|5367111692947932286</stp>
        <tr r="N1010" s="2"/>
      </tp>
      <tp t="b">
        <v>0</v>
        <stp/>
        <stp>BDS|8778954930523394907</stp>
        <tr r="I119" s="2"/>
      </tp>
      <tp t="s">
        <v>#N/A Requesting Data...3303999903</v>
        <stp/>
        <stp>BDP|6268809173096311735</stp>
        <tr r="N551" s="2"/>
      </tp>
      <tp t="s">
        <v>#N/A Requesting Data...3108136611</v>
        <stp/>
        <stp>BDP|5592692831570504895</stp>
        <tr r="K1853" s="2"/>
      </tp>
      <tp t="s">
        <v>#N/A Requesting Data...2683430100</v>
        <stp/>
        <stp>BDP|9266932679928146783</stp>
        <tr r="E1581" s="2"/>
      </tp>
      <tp t="b">
        <v>0</v>
        <stp/>
        <stp>BDS|1960896756907445334</stp>
        <tr r="I1220" s="2"/>
      </tp>
      <tp t="s">
        <v>#N/A Requesting Data...2806803823</v>
        <stp/>
        <stp>BDP|1776071817631080962</stp>
        <tr r="R417" s="2"/>
      </tp>
      <tp t="s">
        <v>#N/A Requesting Data...3572022663</v>
        <stp/>
        <stp>BDP|7653568701682821883</stp>
        <tr r="H518" s="2"/>
      </tp>
      <tp t="s">
        <v>#N/A Requesting Data...3410250868</v>
        <stp/>
        <stp>BDP|5725738693054128772</stp>
        <tr r="H1914" s="2"/>
      </tp>
      <tp t="s">
        <v>#N/A Requesting Data...3043062158</v>
        <stp/>
        <stp>BDP|2763990357274868208</stp>
        <tr r="O44" s="2"/>
      </tp>
      <tp t="s">
        <v>#N/A Requesting Data...3886716805</v>
        <stp/>
        <stp>BDP|6214446747557389930</stp>
        <tr r="M342" s="2"/>
      </tp>
      <tp t="s">
        <v>#N/A Requesting Data...3210384865</v>
        <stp/>
        <stp>BDP|1739992435920226380</stp>
        <tr r="A842" s="2"/>
      </tp>
      <tp t="s">
        <v>#N/A Requesting Data...4104462970</v>
        <stp/>
        <stp>BDP|9543033256794421058</stp>
        <tr r="O1522" s="2"/>
      </tp>
      <tp t="s">
        <v>#N/A Requesting Data...3406521570</v>
        <stp/>
        <stp>BDP|1425894039820022251</stp>
        <tr r="O2033" s="2"/>
      </tp>
      <tp t="s">
        <v>#N/A Requesting Data...3185288225</v>
        <stp/>
        <stp>BDP|1740838311406312674</stp>
        <tr r="E413" s="2"/>
      </tp>
      <tp t="s">
        <v>#N/A Requesting Data...3767511479</v>
        <stp/>
        <stp>BDP|2905599721599697468</stp>
        <tr r="T1506" s="2"/>
      </tp>
      <tp t="s">
        <v>#N/A Requesting Data...3488574067</v>
        <stp/>
        <stp>BDP|9294847901310151975</stp>
        <tr r="G1359" s="2"/>
      </tp>
      <tp t="s">
        <v>#N/A Requesting Data...4146419081</v>
        <stp/>
        <stp>BDP|7108488118669766375</stp>
        <tr r="R685" s="2"/>
      </tp>
      <tp t="s">
        <v>#N/A Requesting Data...2769816213</v>
        <stp/>
        <stp>BDP|4393422594691704030</stp>
        <tr r="S1927" s="2"/>
      </tp>
      <tp t="s">
        <v>#N/A Requesting Data...2768751524</v>
        <stp/>
        <stp>BDP|9280005528376927520</stp>
        <tr r="K2176" s="2"/>
      </tp>
      <tp t="s">
        <v>#N/A Requesting Data...3097801830</v>
        <stp/>
        <stp>BDP|6559036655919666240</stp>
        <tr r="C134" s="2"/>
      </tp>
      <tp t="s">
        <v>#N/A Requesting Data...3560862192</v>
        <stp/>
        <stp>BDP|1494667084475433236</stp>
        <tr r="O62" s="2"/>
      </tp>
      <tp t="s">
        <v>#N/A Requesting Data...3274320630</v>
        <stp/>
        <stp>BDP|5639069120238429755</stp>
        <tr r="E91" s="2"/>
      </tp>
      <tp t="s">
        <v>#N/A Requesting Data...3759272833</v>
        <stp/>
        <stp>BDP|6734471800913260932</stp>
        <tr r="R1347" s="2"/>
      </tp>
      <tp t="s">
        <v>#N/A Requesting Data...3362800520</v>
        <stp/>
        <stp>BDP|7021740825033880985</stp>
        <tr r="R703" s="2"/>
      </tp>
      <tp t="s">
        <v>#N/A Requesting Data...3949615208</v>
        <stp/>
        <stp>BDP|6321335850180207838</stp>
        <tr r="R22" s="2"/>
      </tp>
      <tp t="s">
        <v>#N/A Requesting Data...4214544166</v>
        <stp/>
        <stp>BDP|9516408058309536997</stp>
        <tr r="K2442" s="2"/>
      </tp>
      <tp t="s">
        <v>#N/A Requesting Data...3742754237</v>
        <stp/>
        <stp>BDP|1329178757699644446</stp>
        <tr r="G797" s="2"/>
      </tp>
      <tp t="s">
        <v>#N/A Requesting Data...3951585395</v>
        <stp/>
        <stp>BDP|9433688461768854948</stp>
        <tr r="T2343" s="2"/>
      </tp>
      <tp t="s">
        <v>#N/A Requesting Data...3673741154</v>
        <stp/>
        <stp>BDP|7884983717031430629</stp>
        <tr r="C2243" s="2"/>
      </tp>
      <tp t="s">
        <v>#N/A Requesting Data...3060870775</v>
        <stp/>
        <stp>BDP|1357415631718322614</stp>
        <tr r="R1922" s="2"/>
      </tp>
      <tp t="s">
        <v>#N/A Requesting Data...3931352360</v>
        <stp/>
        <stp>BDP|4401519394799663969</stp>
        <tr r="E688" s="2"/>
      </tp>
      <tp t="s">
        <v>#N/A Requesting Data...4070598155</v>
        <stp/>
        <stp>BDP|9577037440700153562</stp>
        <tr r="C949" s="2"/>
      </tp>
      <tp t="s">
        <v>#N/A Requesting Data...2937306408</v>
        <stp/>
        <stp>BDP|1039373556599774672</stp>
        <tr r="Q1065" s="2"/>
      </tp>
      <tp t="s">
        <v>#N/A Requesting Data...3942679571</v>
        <stp/>
        <stp>BDP|1831332571058210590</stp>
        <tr r="G1947" s="2"/>
      </tp>
      <tp t="s">
        <v>#N/A Requesting Data...3998464151</v>
        <stp/>
        <stp>BDP|2027039731331592861</stp>
        <tr r="G972" s="2"/>
      </tp>
      <tp t="s">
        <v>#N/A Requesting Data...3487315202</v>
        <stp/>
        <stp>BDP|3981974038714023579</stp>
        <tr r="A593" s="2"/>
      </tp>
      <tp t="s">
        <v>#N/A Requesting Data...3226198396</v>
        <stp/>
        <stp>BDP|4071327654193440935</stp>
        <tr r="J2225" s="2"/>
      </tp>
      <tp t="b">
        <v>0</v>
        <stp/>
        <stp>BDS|9057365976645914084</stp>
        <tr r="I576" s="2"/>
      </tp>
      <tp t="s">
        <v>#N/A Requesting Data...3088993238</v>
        <stp/>
        <stp>BDP|7235867871713588318</stp>
        <tr r="J2066" s="2"/>
      </tp>
      <tp t="s">
        <v>#N/A Requesting Data...2998446375</v>
        <stp/>
        <stp>BDP|2027211596203035261</stp>
        <tr r="T1281" s="2"/>
      </tp>
      <tp t="s">
        <v>#N/A Requesting Data...2931479454</v>
        <stp/>
        <stp>BDP|3721837089512537990</stp>
        <tr r="P1761" s="2"/>
      </tp>
      <tp t="s">
        <v>#N/A Requesting Data...3584621605</v>
        <stp/>
        <stp>BDP|7192420206253195851</stp>
        <tr r="T1794" s="2"/>
      </tp>
      <tp t="s">
        <v>#N/A Requesting Data...3044337845</v>
        <stp/>
        <stp>BDP|5315954078195853672</stp>
        <tr r="S816" s="2"/>
      </tp>
      <tp t="s">
        <v>#N/A Requesting Data...4061888520</v>
        <stp/>
        <stp>BDP|3750437468189924042</stp>
        <tr r="E2161" s="2"/>
      </tp>
      <tp t="s">
        <v>#N/A Requesting Data...4176216785</v>
        <stp/>
        <stp>BDP|1831979998238332158</stp>
        <tr r="D1356" s="2"/>
      </tp>
      <tp t="s">
        <v>#N/A Requesting Data...2903276882</v>
        <stp/>
        <stp>BDP|8542347254511058740</stp>
        <tr r="E1190" s="2"/>
      </tp>
      <tp t="s">
        <v>#N/A Requesting Data...4240523953</v>
        <stp/>
        <stp>BDP|9756834990604055451</stp>
        <tr r="C1105" s="2"/>
      </tp>
      <tp t="s">
        <v>#N/A Requesting Data...3851382080</v>
        <stp/>
        <stp>BDP|1524956405487253766</stp>
        <tr r="K1775" s="2"/>
      </tp>
      <tp t="s">
        <v>#N/A Requesting Data...3175950749</v>
        <stp/>
        <stp>BDP|3014756844990750879</stp>
        <tr r="J157" s="2"/>
      </tp>
      <tp t="s">
        <v>#N/A Requesting Data...3620698772</v>
        <stp/>
        <stp>BDP|7047937933190172507</stp>
        <tr r="T2039" s="2"/>
      </tp>
      <tp t="s">
        <v>#N/A Requesting Data...4189324226</v>
        <stp/>
        <stp>BDP|7765978359645927618</stp>
        <tr r="C1538" s="2"/>
      </tp>
      <tp t="s">
        <v>#N/A Requesting Data...4246382935</v>
        <stp/>
        <stp>BDP|5656272169219001097</stp>
        <tr r="O1304" s="2"/>
      </tp>
      <tp t="s">
        <v>#N/A Requesting Data...3494133318</v>
        <stp/>
        <stp>BDP|1706459084372201758</stp>
        <tr r="S1498" s="2"/>
      </tp>
      <tp t="s">
        <v>#N/A Requesting Data...2785512159</v>
        <stp/>
        <stp>BDP|4731918008872835772</stp>
        <tr r="H540" s="2"/>
      </tp>
      <tp t="s">
        <v>#N/A Requesting Data...3988209333</v>
        <stp/>
        <stp>BDP|8323474535622948596</stp>
        <tr r="F1214" s="2"/>
      </tp>
      <tp t="s">
        <v>#N/A Requesting Data...3903609661</v>
        <stp/>
        <stp>BDP|4939276634055924825</stp>
        <tr r="R354" s="2"/>
      </tp>
      <tp t="s">
        <v>#N/A Requesting Data...2988935441</v>
        <stp/>
        <stp>BDP|3133842658785434387</stp>
        <tr r="O2175" s="2"/>
      </tp>
      <tp t="s">
        <v>#N/A Requesting Data...3524651193</v>
        <stp/>
        <stp>BDP|1343314850096315904</stp>
        <tr r="O61" s="2"/>
      </tp>
      <tp t="s">
        <v>#N/A Requesting Data...3274818972</v>
        <stp/>
        <stp>BDP|9389557400913640717</stp>
        <tr r="Q88" s="2"/>
      </tp>
      <tp t="s">
        <v>#N/A Requesting Data...4245116806</v>
        <stp/>
        <stp>BDP|3272500353692955991</stp>
        <tr r="M2449" s="2"/>
      </tp>
      <tp t="s">
        <v>#N/A Requesting Data...4057604024</v>
        <stp/>
        <stp>BDP|3626646071622531875</stp>
        <tr r="C481" s="2"/>
      </tp>
      <tp t="s">
        <v>#N/A Requesting Data...3972767836</v>
        <stp/>
        <stp>BDP|1814623143153106897</stp>
        <tr r="A1480" s="2"/>
      </tp>
      <tp t="s">
        <v>#N/A Requesting Data...4099662207</v>
        <stp/>
        <stp>BDP|1488002416050260818</stp>
        <tr r="M1077" s="2"/>
      </tp>
      <tp t="s">
        <v>#N/A Requesting Data...4268709523</v>
        <stp/>
        <stp>BDP|2044143287540648342</stp>
        <tr r="E1170" s="2"/>
      </tp>
      <tp t="b">
        <v>0</v>
        <stp/>
        <stp>BDS|9152069484920220903</stp>
        <tr r="I893" s="2"/>
      </tp>
      <tp t="s">
        <v>#N/A Requesting Data...3415009593</v>
        <stp/>
        <stp>BDP|3761868535150716029</stp>
        <tr r="S1882" s="2"/>
      </tp>
      <tp t="s">
        <v>#N/A Requesting Data...3781421410</v>
        <stp/>
        <stp>BDP|8726719200972200555</stp>
        <tr r="T90" s="2"/>
      </tp>
      <tp t="s">
        <v>#N/A Requesting Data...3519396739</v>
        <stp/>
        <stp>BDP|2129911863293465660</stp>
        <tr r="N2046" s="2"/>
      </tp>
      <tp t="s">
        <v>#N/A Requesting Data...4040021879</v>
        <stp/>
        <stp>BDP|3237342825948585277</stp>
        <tr r="N1914" s="2"/>
      </tp>
      <tp t="s">
        <v>#N/A Requesting Data...3595930242</v>
        <stp/>
        <stp>BDP|3894532252812118995</stp>
        <tr r="O1295" s="2"/>
      </tp>
      <tp t="s">
        <v>#N/A Requesting Data...3577080374</v>
        <stp/>
        <stp>BDP|8422031603814740429</stp>
        <tr r="G2390" s="2"/>
      </tp>
      <tp t="s">
        <v>#N/A Requesting Data...2951514966</v>
        <stp/>
        <stp>BDP|1162377987040829285</stp>
        <tr r="A606" s="2"/>
      </tp>
      <tp t="s">
        <v>#N/A Requesting Data...4203515620</v>
        <stp/>
        <stp>BDP|4758991115715919134</stp>
        <tr r="S1286" s="2"/>
      </tp>
      <tp t="s">
        <v>#N/A Requesting Data...3031318408</v>
        <stp/>
        <stp>BDP|6220978007010340708</stp>
        <tr r="M891" s="2"/>
      </tp>
      <tp t="s">
        <v>#N/A Requesting Data...4262489214</v>
        <stp/>
        <stp>BDP|8424505205387230221</stp>
        <tr r="H2014" s="2"/>
      </tp>
      <tp t="s">
        <v>#N/A Requesting Data...3939837855</v>
        <stp/>
        <stp>BDP|3590339216540459956</stp>
        <tr r="K450" s="2"/>
      </tp>
      <tp t="s">
        <v>#N/A Requesting Data...4055966417</v>
        <stp/>
        <stp>BDP|3132842256351330768</stp>
        <tr r="O7" s="2"/>
      </tp>
      <tp t="s">
        <v>#N/A Requesting Data...3278252876</v>
        <stp/>
        <stp>BDP|1699342347689332707</stp>
        <tr r="H1451" s="2"/>
      </tp>
      <tp t="s">
        <v>#N/A Requesting Data...3127853282</v>
        <stp/>
        <stp>BDP|8907564917912742690</stp>
        <tr r="C1188" s="2"/>
      </tp>
      <tp t="s">
        <v>#N/A Requesting Data...4026365607</v>
        <stp/>
        <stp>BDP|2712967643071699626</stp>
        <tr r="K769" s="2"/>
      </tp>
      <tp t="s">
        <v>#N/A Requesting Data...4066503074</v>
        <stp/>
        <stp>BDP|5540207591212282401</stp>
        <tr r="N36" s="2"/>
      </tp>
      <tp t="s">
        <v>#N/A Requesting Data...4062373720</v>
        <stp/>
        <stp>BDP|1534919002674454441</stp>
        <tr r="O580" s="2"/>
      </tp>
      <tp t="s">
        <v>#N/A Requesting Data...4164617495</v>
        <stp/>
        <stp>BDP|1974243768964202915</stp>
        <tr r="H974" s="2"/>
      </tp>
      <tp t="s">
        <v>#N/A Requesting Data...3768544047</v>
        <stp/>
        <stp>BDP|5155114047308434059</stp>
        <tr r="F1686" s="2"/>
      </tp>
      <tp t="s">
        <v>#N/A Requesting Data...3995101808</v>
        <stp/>
        <stp>BDP|2272892863742730699</stp>
        <tr r="T213" s="2"/>
      </tp>
      <tp t="s">
        <v>#N/A Requesting Data...4067767194</v>
        <stp/>
        <stp>BDP|6030443711908549365</stp>
        <tr r="K902" s="2"/>
      </tp>
      <tp t="b">
        <v>0</v>
        <stp/>
        <stp>BDS|9568229229353931214</stp>
        <tr r="I2376" s="2"/>
      </tp>
      <tp t="s">
        <v>#N/A Requesting Data...3976157594</v>
        <stp/>
        <stp>BDP|2178020269579509599</stp>
        <tr r="A197" s="2"/>
      </tp>
      <tp t="s">
        <v>#N/A Requesting Data...3913861802</v>
        <stp/>
        <stp>BDP|9260514254156693771</stp>
        <tr r="A2228" s="2"/>
      </tp>
      <tp t="s">
        <v>#N/A Requesting Data...4202425872</v>
        <stp/>
        <stp>BDP|5214587279056250978</stp>
        <tr r="R1879" s="2"/>
      </tp>
      <tp t="s">
        <v>#N/A Requesting Data...3017003459</v>
        <stp/>
        <stp>BDP|5201179347270798839</stp>
        <tr r="K1796" s="2"/>
      </tp>
      <tp t="s">
        <v>#N/A Requesting Data...4264478241</v>
        <stp/>
        <stp>BDP|6247819668135938544</stp>
        <tr r="R755" s="2"/>
      </tp>
      <tp t="s">
        <v>#N/A Requesting Data...3284665760</v>
        <stp/>
        <stp>BDP|8700723355980541235</stp>
        <tr r="K118" s="2"/>
      </tp>
      <tp t="s">
        <v>#N/A Requesting Data...3513934854</v>
        <stp/>
        <stp>BDP|3914083342799665638</stp>
        <tr r="H2373" s="2"/>
      </tp>
      <tp t="s">
        <v>#N/A Requesting Data...3550485448</v>
        <stp/>
        <stp>BDP|2488926990429756375</stp>
        <tr r="M1606" s="2"/>
      </tp>
      <tp t="s">
        <v>#N/A Requesting Data...4090273172</v>
        <stp/>
        <stp>BDP|2481245093476604733</stp>
        <tr r="E1665" s="2"/>
      </tp>
      <tp t="s">
        <v>#N/A Requesting Data...3171253481</v>
        <stp/>
        <stp>BDP|3252907130096515719</stp>
        <tr r="T605" s="2"/>
      </tp>
      <tp t="s">
        <v>#N/A Requesting Data...3672030033</v>
        <stp/>
        <stp>BDP|1991747960170375882</stp>
        <tr r="P1589" s="2"/>
      </tp>
      <tp t="s">
        <v>#N/A Requesting Data...3068458093</v>
        <stp/>
        <stp>BDP|8676203880843234922</stp>
        <tr r="O2372" s="2"/>
      </tp>
      <tp t="s">
        <v>#N/A Requesting Data...3584562048</v>
        <stp/>
        <stp>BDP|7498624775129282779</stp>
        <tr r="Q452" s="2"/>
      </tp>
      <tp t="s">
        <v>#N/A Requesting Data...3455039684</v>
        <stp/>
        <stp>BDP|2110610010398183577</stp>
        <tr r="E618" s="2"/>
      </tp>
      <tp t="s">
        <v>#N/A Requesting Data...3931395401</v>
        <stp/>
        <stp>BDP|9692524653471336026</stp>
        <tr r="Q217" s="2"/>
      </tp>
      <tp t="s">
        <v>#N/A Requesting Data...3137951388</v>
        <stp/>
        <stp>BDP|5016955301165491160</stp>
        <tr r="M1812" s="2"/>
      </tp>
      <tp t="s">
        <v>#N/A Requesting Data...4047537156</v>
        <stp/>
        <stp>BDP|7276869638295901130</stp>
        <tr r="A1343" s="2"/>
      </tp>
      <tp t="s">
        <v>#N/A Requesting Data...3079688996</v>
        <stp/>
        <stp>BDP|4739782234351498994</stp>
        <tr r="D2527" s="2"/>
      </tp>
      <tp t="s">
        <v>#N/A Requesting Data...3039101351</v>
        <stp/>
        <stp>BDP|8103413670556680501</stp>
        <tr r="G200" s="2"/>
      </tp>
      <tp t="s">
        <v>#N/A Requesting Data...4205050734</v>
        <stp/>
        <stp>BDP|7097270585207253261</stp>
        <tr r="T939" s="2"/>
      </tp>
      <tp t="s">
        <v>#N/A Requesting Data...3953664112</v>
        <stp/>
        <stp>BDP|7353143287857785119</stp>
        <tr r="G1159" s="2"/>
      </tp>
      <tp t="s">
        <v>#N/A Requesting Data...3793227868</v>
        <stp/>
        <stp>BDP|9486515382809487552</stp>
        <tr r="F936" s="2"/>
      </tp>
      <tp t="s">
        <v>#N/A Requesting Data...3897555279</v>
        <stp/>
        <stp>BDP|1898751877488815142</stp>
        <tr r="N1255" s="2"/>
      </tp>
      <tp t="s">
        <v>#N/A Requesting Data...3900780764</v>
        <stp/>
        <stp>BDP|3596841967550737571</stp>
        <tr r="C2130" s="2"/>
      </tp>
      <tp t="s">
        <v>#N/A Requesting Data...3226464759</v>
        <stp/>
        <stp>BDP|8875665684387885946</stp>
        <tr r="D1262" s="2"/>
      </tp>
      <tp t="s">
        <v>#N/A Requesting Data...3157640814</v>
        <stp/>
        <stp>BDP|6032900120885044060</stp>
        <tr r="A1299" s="2"/>
      </tp>
      <tp t="s">
        <v>#N/A Requesting Data...3107806701</v>
        <stp/>
        <stp>BDP|9267650434836539202</stp>
        <tr r="S1293" s="2"/>
      </tp>
      <tp t="s">
        <v>#N/A Requesting Data...4011818038</v>
        <stp/>
        <stp>BDP|4091970627155328255</stp>
        <tr r="K2018" s="2"/>
      </tp>
      <tp t="s">
        <v>#N/A Requesting Data...4071104983</v>
        <stp/>
        <stp>BDP|2903634885296809219</stp>
        <tr r="D2124" s="2"/>
      </tp>
      <tp t="s">
        <v>#N/A Requesting Data...3865055927</v>
        <stp/>
        <stp>BDP|4725992108286797374</stp>
        <tr r="K2427" s="2"/>
      </tp>
      <tp t="s">
        <v>#N/A Requesting Data...3062372379</v>
        <stp/>
        <stp>BDP|1903179889848888897</stp>
        <tr r="F865" s="2"/>
      </tp>
      <tp t="s">
        <v>#N/A Requesting Data...4204823643</v>
        <stp/>
        <stp>BDP|5952928172626656590</stp>
        <tr r="G315" s="2"/>
      </tp>
      <tp t="s">
        <v>#N/A Requesting Data...4176056354</v>
        <stp/>
        <stp>BDP|6440858176612770363</stp>
        <tr r="M959" s="2"/>
      </tp>
      <tp t="s">
        <v>#N/A Requesting Data...4042352678</v>
        <stp/>
        <stp>BDP|9473762115140687772</stp>
        <tr r="C917" s="2"/>
      </tp>
      <tp t="s">
        <v>#N/A Requesting Data...3689354851</v>
        <stp/>
        <stp>BDP|1667658496590622657</stp>
        <tr r="M2016" s="2"/>
      </tp>
      <tp t="s">
        <v>#N/A Requesting Data...4189701362</v>
        <stp/>
        <stp>BDP|2975650498007224204</stp>
        <tr r="M1141" s="2"/>
      </tp>
      <tp t="s">
        <v>#N/A Requesting Data...3459001213</v>
        <stp/>
        <stp>BDP|2198358354785573930</stp>
        <tr r="M415" s="2"/>
      </tp>
      <tp t="s">
        <v>#N/A Requesting Data...2998440953</v>
        <stp/>
        <stp>BDP|6237503692910593231</stp>
        <tr r="K291" s="2"/>
      </tp>
      <tp t="s">
        <v>#N/A Requesting Data...3741492593</v>
        <stp/>
        <stp>BDP|8468481928651067726</stp>
        <tr r="M483" s="2"/>
      </tp>
      <tp t="s">
        <v>#N/A Requesting Data...3158670583</v>
        <stp/>
        <stp>BDP|6606533791395155734</stp>
        <tr r="C238" s="2"/>
      </tp>
      <tp t="s">
        <v>#N/A Requesting Data...3003564928</v>
        <stp/>
        <stp>BDP|3419101393770252333</stp>
        <tr r="T2014" s="2"/>
      </tp>
      <tp t="b">
        <v>0</v>
        <stp/>
        <stp>BDS|1939100997492843301</stp>
        <tr r="I1531" s="2"/>
      </tp>
      <tp t="s">
        <v>#N/A Requesting Data...4196855712</v>
        <stp/>
        <stp>BDP|2270956160602526745</stp>
        <tr r="Q508" s="2"/>
      </tp>
      <tp t="s">
        <v>#N/A Requesting Data...3043690654</v>
        <stp/>
        <stp>BDP|8569657864649262901</stp>
        <tr r="D1159" s="2"/>
      </tp>
      <tp t="b">
        <v>0</v>
        <stp/>
        <stp>BDS|3994933544972917411</stp>
        <tr r="I2134" s="2"/>
      </tp>
      <tp t="b">
        <v>0</v>
        <stp/>
        <stp>BDS|5604226589500983728</stp>
        <tr r="I1943" s="2"/>
      </tp>
      <tp t="s">
        <v>#N/A Requesting Data...4187806481</v>
        <stp/>
        <stp>BDP|9091199902444562482</stp>
        <tr r="F154" s="2"/>
      </tp>
      <tp t="s">
        <v>#N/A Requesting Data...3241758090</v>
        <stp/>
        <stp>BDP|1567460349178842140</stp>
        <tr r="T448" s="2"/>
      </tp>
      <tp t="s">
        <v>#N/A Requesting Data...3862648603</v>
        <stp/>
        <stp>BDP|8124702877990426048</stp>
        <tr r="E592" s="2"/>
      </tp>
      <tp t="b">
        <v>0</v>
        <stp/>
        <stp>BDS|9298242071921539541</stp>
        <tr r="I2252" s="2"/>
      </tp>
      <tp t="s">
        <v>#N/A Requesting Data...4006192149</v>
        <stp/>
        <stp>BDP|2118333276808216608</stp>
        <tr r="M956" s="2"/>
      </tp>
      <tp t="b">
        <v>0</v>
        <stp/>
        <stp>BDS|2994945955735923379</stp>
        <tr r="I2353" s="2"/>
      </tp>
      <tp t="s">
        <v>#N/A Requesting Data...4188342499</v>
        <stp/>
        <stp>BDP|1538762104586639874</stp>
        <tr r="H563" s="2"/>
      </tp>
      <tp t="s">
        <v>#N/A Requesting Data...3490341564</v>
        <stp/>
        <stp>BDP|2043002117423879896</stp>
        <tr r="F2019" s="2"/>
      </tp>
      <tp t="s">
        <v>#N/A Requesting Data...4215498731</v>
        <stp/>
        <stp>BDP|5315565236562055956</stp>
        <tr r="R1075" s="2"/>
      </tp>
      <tp t="s">
        <v>#N/A Requesting Data...4205077586</v>
        <stp/>
        <stp>BDP|1457670394582829490</stp>
        <tr r="S1848" s="2"/>
      </tp>
      <tp t="s">
        <v>#N/A Requesting Data...4036205290</v>
        <stp/>
        <stp>BDP|7038824345063828097</stp>
        <tr r="O160" s="2"/>
      </tp>
      <tp t="s">
        <v>#N/A Requesting Data...3879858642</v>
        <stp/>
        <stp>BDP|3113587668298501026</stp>
        <tr r="C2415" s="2"/>
      </tp>
      <tp t="s">
        <v>#N/A Requesting Data...3136219453</v>
        <stp/>
        <stp>BDP|8239657675199719836</stp>
        <tr r="P1548" s="2"/>
      </tp>
      <tp t="s">
        <v>#N/A Requesting Data...3923790502</v>
        <stp/>
        <stp>BDP|8323784837306953232</stp>
        <tr r="O1704" s="2"/>
      </tp>
      <tp t="s">
        <v>#N/A Requesting Data...3599031954</v>
        <stp/>
        <stp>BDP|3306208750978661432</stp>
        <tr r="T1172" s="2"/>
      </tp>
      <tp t="s">
        <v>#N/A Requesting Data...3050401504</v>
        <stp/>
        <stp>BDP|5942750129041617950</stp>
        <tr r="O84" s="2"/>
      </tp>
      <tp t="s">
        <v>#N/A Requesting Data...4012162615</v>
        <stp/>
        <stp>BDP|9063727222983099764</stp>
        <tr r="S1560" s="2"/>
      </tp>
      <tp t="s">
        <v>#N/A Requesting Data...4003103199</v>
        <stp/>
        <stp>BDP|1377110197336069737</stp>
        <tr r="D2523" s="2"/>
      </tp>
      <tp t="s">
        <v>#N/A Requesting Data...4185469691</v>
        <stp/>
        <stp>BDP|3196038987600315303</stp>
        <tr r="F322" s="2"/>
      </tp>
      <tp t="s">
        <v>#N/A Requesting Data...3634036785</v>
        <stp/>
        <stp>BDP|6356120090296774005</stp>
        <tr r="T2004" s="2"/>
      </tp>
      <tp t="s">
        <v>#N/A Requesting Data...3530536712</v>
        <stp/>
        <stp>BDP|4054610699105852665</stp>
        <tr r="K136" s="2"/>
      </tp>
      <tp t="b">
        <v>0</v>
        <stp/>
        <stp>BDS|8317311628493909253</stp>
        <tr r="I2347" s="2"/>
      </tp>
      <tp t="s">
        <v>#N/A Requesting Data...3674960023</v>
        <stp/>
        <stp>BDP|1489829431064139606</stp>
        <tr r="D1580" s="2"/>
      </tp>
      <tp t="b">
        <v>0</v>
        <stp/>
        <stp>BDS|5671954729226556093</stp>
        <tr r="I1097" s="2"/>
      </tp>
      <tp t="s">
        <v>#N/A Requesting Data...3259600181</v>
        <stp/>
        <stp>BDP|1353893981700836956</stp>
        <tr r="F2153" s="2"/>
      </tp>
      <tp t="s">
        <v>#N/A Requesting Data...3230880052</v>
        <stp/>
        <stp>BDP|1238061197379316964</stp>
        <tr r="A757" s="2"/>
      </tp>
      <tp t="s">
        <v>#N/A Requesting Data...3941239169</v>
        <stp/>
        <stp>BDP|4467978415923728771</stp>
        <tr r="N2297" s="2"/>
      </tp>
      <tp t="s">
        <v>#N/A Requesting Data...3339637762</v>
        <stp/>
        <stp>BDP|2215942604316758531</stp>
        <tr r="J2442" s="2"/>
      </tp>
      <tp t="s">
        <v>#N/A Requesting Data...3752828747</v>
        <stp/>
        <stp>BDP|5598064394882839692</stp>
        <tr r="S841" s="2"/>
      </tp>
      <tp t="s">
        <v>#N/A Requesting Data...4082891548</v>
        <stp/>
        <stp>BDP|3937864978731346520</stp>
        <tr r="G1484" s="2"/>
      </tp>
      <tp t="b">
        <v>0</v>
        <stp/>
        <stp>BDS|2215765200814610949</stp>
        <tr r="I1172" s="2"/>
      </tp>
      <tp t="s">
        <v>#N/A Requesting Data...3204198682</v>
        <stp/>
        <stp>BDP|6061094166581058995</stp>
        <tr r="J349" s="2"/>
      </tp>
      <tp t="s">
        <v>#N/A Requesting Data...3362384052</v>
        <stp/>
        <stp>BDP|8220979397735082543</stp>
        <tr r="A188" s="2"/>
      </tp>
      <tp t="s">
        <v>#N/A Requesting Data...3671197786</v>
        <stp/>
        <stp>BDP|9738946535312580959</stp>
        <tr r="M645" s="2"/>
      </tp>
      <tp t="b">
        <v>0</v>
        <stp/>
        <stp>BDS|8773111640377666266</stp>
        <tr r="I1941" s="2"/>
      </tp>
      <tp t="s">
        <v>#N/A Requesting Data...4159975939</v>
        <stp/>
        <stp>BDP|3758781980344960007</stp>
        <tr r="R1397" s="2"/>
      </tp>
      <tp t="s">
        <v>#N/A Requesting Data...3107906890</v>
        <stp/>
        <stp>BDP|2649741825687278832</stp>
        <tr r="K53" s="2"/>
      </tp>
      <tp t="s">
        <v>#N/A Requesting Data...3932432675</v>
        <stp/>
        <stp>BDP|4944713199580141260</stp>
        <tr r="O1009" s="2"/>
      </tp>
      <tp t="s">
        <v>#N/A Requesting Data...4178022101</v>
        <stp/>
        <stp>BDP|1242216327569399007</stp>
        <tr r="R444" s="2"/>
      </tp>
      <tp t="s">
        <v>#N/A Requesting Data...3412389518</v>
        <stp/>
        <stp>BDP|5293602987673144030</stp>
        <tr r="R1096" s="2"/>
      </tp>
      <tp t="s">
        <v>#N/A Requesting Data...3617778143</v>
        <stp/>
        <stp>BDP|2221340154664282874</stp>
        <tr r="R1305" s="2"/>
      </tp>
      <tp t="s">
        <v>#N/A Requesting Data...4150950957</v>
        <stp/>
        <stp>BDP|2116927636408685842</stp>
        <tr r="N58" s="2"/>
      </tp>
      <tp t="s">
        <v>#N/A Requesting Data...3134270577</v>
        <stp/>
        <stp>BDP|5641881849981354031</stp>
        <tr r="T977" s="2"/>
      </tp>
      <tp t="s">
        <v>#N/A Requesting Data...4043673967</v>
        <stp/>
        <stp>BDP|1307228915389421371</stp>
        <tr r="D2155" s="2"/>
      </tp>
      <tp t="s">
        <v>#N/A Requesting Data...3781637310</v>
        <stp/>
        <stp>BDP|4637923696965106941</stp>
        <tr r="A1745" s="2"/>
      </tp>
      <tp t="s">
        <v>#N/A Requesting Data...3951495350</v>
        <stp/>
        <stp>BDP|9289486084968961509</stp>
        <tr r="H2409" s="2"/>
      </tp>
      <tp t="s">
        <v>#N/A Requesting Data...3559518535</v>
        <stp/>
        <stp>BDP|9468618308233370493</stp>
        <tr r="G2467" s="2"/>
      </tp>
      <tp t="s">
        <v>#N/A Requesting Data...3727994468</v>
        <stp/>
        <stp>BDP|3398531110669414637</stp>
        <tr r="G1136" s="2"/>
      </tp>
      <tp t="s">
        <v>#N/A Requesting Data...3490020068</v>
        <stp/>
        <stp>BDP|3203829571851324558</stp>
        <tr r="T1194" s="2"/>
      </tp>
      <tp t="s">
        <v>#N/A Requesting Data...3256595974</v>
        <stp/>
        <stp>BDP|3651191272158266588</stp>
        <tr r="P150" s="2"/>
      </tp>
      <tp t="s">
        <v>#N/A Requesting Data...4012566226</v>
        <stp/>
        <stp>BDP|5596420829893996803</stp>
        <tr r="A155" s="2"/>
      </tp>
      <tp t="s">
        <v>#N/A Requesting Data...3199998464</v>
        <stp/>
        <stp>BDP|9399967105948082074</stp>
        <tr r="J758" s="2"/>
      </tp>
      <tp t="b">
        <v>0</v>
        <stp/>
        <stp>BDS|6233833368968979876</stp>
        <tr r="I778" s="2"/>
      </tp>
      <tp t="s">
        <v>#N/A Requesting Data...4086204492</v>
        <stp/>
        <stp>BDP|4868795512869620322</stp>
        <tr r="J2100" s="2"/>
      </tp>
      <tp t="s">
        <v>#N/A Requesting Data...3632793585</v>
        <stp/>
        <stp>BDP|7468648896101474152</stp>
        <tr r="F2123" s="2"/>
      </tp>
      <tp t="s">
        <v>#N/A Requesting Data...4274837336</v>
        <stp/>
        <stp>BDP|8340767424876737312</stp>
        <tr r="E1555" s="2"/>
      </tp>
      <tp t="s">
        <v>#N/A Requesting Data...3628894572</v>
        <stp/>
        <stp>BDP|7693902887676459822</stp>
        <tr r="A892" s="2"/>
      </tp>
      <tp t="s">
        <v>#N/A Requesting Data...3297335856</v>
        <stp/>
        <stp>BDP|4792930683615142811</stp>
        <tr r="A2230" s="2"/>
      </tp>
      <tp t="s">
        <v>#N/A Requesting Data...3744140111</v>
        <stp/>
        <stp>BDP|5785452096300358006</stp>
        <tr r="E1460" s="2"/>
      </tp>
      <tp t="s">
        <v>#N/A Requesting Data...3228272883</v>
        <stp/>
        <stp>BDP|1127867641194096117</stp>
        <tr r="Q730" s="2"/>
      </tp>
      <tp t="s">
        <v>#N/A Requesting Data...3785252084</v>
        <stp/>
        <stp>BDP|8705753964933840294</stp>
        <tr r="Q829" s="2"/>
      </tp>
      <tp t="s">
        <v>#N/A Requesting Data...3595271009</v>
        <stp/>
        <stp>BDP|3321344882931102135</stp>
        <tr r="O260" s="2"/>
      </tp>
      <tp t="s">
        <v>#N/A Requesting Data...4017819121</v>
        <stp/>
        <stp>BDP|1178948148217289388</stp>
        <tr r="K1422" s="2"/>
      </tp>
      <tp t="b">
        <v>0</v>
        <stp/>
        <stp>BDS|5255388851098475384</stp>
        <tr r="I1016" s="2"/>
      </tp>
      <tp t="s">
        <v>#N/A Requesting Data...3937631587</v>
        <stp/>
        <stp>BDP|3216857670205082101</stp>
        <tr r="M2442" s="2"/>
      </tp>
      <tp t="s">
        <v>#N/A Requesting Data...3830804436</v>
        <stp/>
        <stp>BDP|4544089812298168594</stp>
        <tr r="A1562" s="2"/>
      </tp>
      <tp t="s">
        <v>#N/A Requesting Data...3893373691</v>
        <stp/>
        <stp>BDP|9699020172134056210</stp>
        <tr r="J1700" s="2"/>
      </tp>
      <tp t="s">
        <v>#N/A Requesting Data...4242971618</v>
        <stp/>
        <stp>BDP|9444274160815564012</stp>
        <tr r="R873" s="2"/>
      </tp>
      <tp t="s">
        <v>#N/A Requesting Data...3484938837</v>
        <stp/>
        <stp>BDP|9619126541612246609</stp>
        <tr r="K1794" s="2"/>
      </tp>
      <tp t="s">
        <v>#N/A Requesting Data...3502605104</v>
        <stp/>
        <stp>BDP|5696140364888389226</stp>
        <tr r="S1507" s="2"/>
      </tp>
      <tp t="s">
        <v>#N/A Requesting Data...3601560570</v>
        <stp/>
        <stp>BDP|8662362548832625591</stp>
        <tr r="R903" s="2"/>
      </tp>
      <tp t="s">
        <v>#N/A Requesting Data...3855382717</v>
        <stp/>
        <stp>BDP|2144781431908712682</stp>
        <tr r="D1647" s="2"/>
      </tp>
      <tp t="s">
        <v>#N/A Requesting Data...3941821969</v>
        <stp/>
        <stp>BDP|8767063122662192055</stp>
        <tr r="M56" s="2"/>
      </tp>
      <tp t="s">
        <v>#N/A Requesting Data...4293635491</v>
        <stp/>
        <stp>BDP|2812872338459798871</stp>
        <tr r="T1224" s="2"/>
      </tp>
      <tp t="s">
        <v>#N/A Requesting Data...4158398509</v>
        <stp/>
        <stp>BDP|6373040901677382926</stp>
        <tr r="P881" s="2"/>
      </tp>
      <tp t="s">
        <v>#N/A Requesting Data...3497918936</v>
        <stp/>
        <stp>BDP|4662914058882843201</stp>
        <tr r="P1686" s="2"/>
      </tp>
      <tp t="s">
        <v>#N/A Requesting Data...3825247074</v>
        <stp/>
        <stp>BDP|7913976744646969448</stp>
        <tr r="F1962" s="2"/>
      </tp>
      <tp t="s">
        <v>#N/A Requesting Data...3420174215</v>
        <stp/>
        <stp>BDP|3624270225948669352</stp>
        <tr r="C965" s="2"/>
      </tp>
      <tp t="s">
        <v>#N/A Requesting Data...4195681612</v>
        <stp/>
        <stp>BDP|3578843899558991266</stp>
        <tr r="P1092" s="2"/>
      </tp>
      <tp t="s">
        <v>#N/A Requesting Data...3683371585</v>
        <stp/>
        <stp>BDP|3825051730048246089</stp>
        <tr r="S783" s="2"/>
      </tp>
      <tp t="s">
        <v>#N/A Requesting Data...4133196985</v>
        <stp/>
        <stp>BDP|3957879998079339321</stp>
        <tr r="G1504" s="2"/>
      </tp>
      <tp t="s">
        <v>#N/A Requesting Data...4181387930</v>
        <stp/>
        <stp>BDP|9845992561649087776</stp>
        <tr r="R1277" s="2"/>
      </tp>
      <tp t="s">
        <v>#N/A Requesting Data...3750092067</v>
        <stp/>
        <stp>BDP|4910273775598991150</stp>
        <tr r="Q2200" s="2"/>
      </tp>
      <tp t="s">
        <v>#N/A Requesting Data...3813554657</v>
        <stp/>
        <stp>BDP|6131320448420508999</stp>
        <tr r="O833" s="2"/>
      </tp>
      <tp t="s">
        <v>#N/A Requesting Data...4266432824</v>
        <stp/>
        <stp>BDP|7732520882857938599</stp>
        <tr r="H456" s="2"/>
      </tp>
      <tp t="s">
        <v>#N/A Requesting Data...4284155607</v>
        <stp/>
        <stp>BDP|7690616204330681925</stp>
        <tr r="N885" s="2"/>
      </tp>
      <tp t="s">
        <v>#N/A Requesting Data...3514103578</v>
        <stp/>
        <stp>BDP|9274792129741572504</stp>
        <tr r="J405" s="2"/>
      </tp>
      <tp t="s">
        <v>#N/A Requesting Data...3278160049</v>
        <stp/>
        <stp>BDP|9242219711416388460</stp>
        <tr r="P1905" s="2"/>
      </tp>
      <tp t="s">
        <v>#N/A Requesting Data...3697284239</v>
        <stp/>
        <stp>BDP|5429262640132401910</stp>
        <tr r="E1077" s="2"/>
      </tp>
      <tp t="s">
        <v>#N/A Requesting Data...3677719539</v>
        <stp/>
        <stp>BDP|3037951974177060264</stp>
        <tr r="Q2003" s="2"/>
      </tp>
      <tp t="s">
        <v>#N/A Requesting Data...3621675599</v>
        <stp/>
        <stp>BDP|5845760750788130781</stp>
        <tr r="S1062" s="2"/>
      </tp>
      <tp t="s">
        <v>#N/A Requesting Data...3264536509</v>
        <stp/>
        <stp>BDP|1016740606766016857</stp>
        <tr r="E1369" s="2"/>
      </tp>
      <tp t="s">
        <v>#N/A Requesting Data...3653636958</v>
        <stp/>
        <stp>BDP|6806201220048810670</stp>
        <tr r="G931" s="2"/>
      </tp>
      <tp t="s">
        <v>#N/A Requesting Data...3427203326</v>
        <stp/>
        <stp>BDP|9902230902446633597</stp>
        <tr r="G294" s="2"/>
      </tp>
      <tp t="s">
        <v>#N/A Requesting Data...4182584491</v>
        <stp/>
        <stp>BDP|6414041868301807973</stp>
        <tr r="Q1683" s="2"/>
      </tp>
      <tp t="s">
        <v>#N/A Requesting Data...3306275703</v>
        <stp/>
        <stp>BDP|7624969012036113149</stp>
        <tr r="D1884" s="2"/>
      </tp>
      <tp t="s">
        <v>#N/A Requesting Data...3846359074</v>
        <stp/>
        <stp>BDP|8824982393513252363</stp>
        <tr r="O2328" s="2"/>
      </tp>
      <tp t="s">
        <v>#N/A Requesting Data...3636849335</v>
        <stp/>
        <stp>BDP|9577057330863436138</stp>
        <tr r="E2210" s="2"/>
      </tp>
      <tp t="s">
        <v>#N/A Requesting Data...3770596104</v>
        <stp/>
        <stp>BDP|4045979523724215318</stp>
        <tr r="K1504" s="2"/>
      </tp>
      <tp t="s">
        <v>#N/A Requesting Data...4209521943</v>
        <stp/>
        <stp>BDP|6767467652606206964</stp>
        <tr r="R711" s="2"/>
      </tp>
      <tp t="b">
        <v>0</v>
        <stp/>
        <stp>BDS|9737997297474793599</stp>
        <tr r="I1007" s="2"/>
      </tp>
      <tp t="s">
        <v>#N/A Requesting Data...3459287573</v>
        <stp/>
        <stp>BDP|1211072518910816828</stp>
        <tr r="C2280" s="2"/>
      </tp>
      <tp t="s">
        <v>#N/A Requesting Data...3338160136</v>
        <stp/>
        <stp>BDP|6597657613190347978</stp>
        <tr r="A2242" s="2"/>
      </tp>
      <tp t="s">
        <v>#N/A Requesting Data...3420268698</v>
        <stp/>
        <stp>BDP|9855838975567020999</stp>
        <tr r="G993" s="2"/>
      </tp>
      <tp t="s">
        <v>#N/A Requesting Data...3547914738</v>
        <stp/>
        <stp>BDP|6927903133441937544</stp>
        <tr r="E890" s="2"/>
      </tp>
      <tp t="s">
        <v>#N/A Requesting Data...4230785602</v>
        <stp/>
        <stp>BDP|9718045311846668638</stp>
        <tr r="R2355" s="2"/>
      </tp>
      <tp t="s">
        <v>#N/A Requesting Data...4023908970</v>
        <stp/>
        <stp>BDP|9893426610991510585</stp>
        <tr r="D978" s="2"/>
      </tp>
      <tp t="s">
        <v>#N/A Requesting Data...3976208350</v>
        <stp/>
        <stp>BDP|8781525833543892593</stp>
        <tr r="A1384" s="2"/>
      </tp>
      <tp t="s">
        <v>#N/A Requesting Data...3435782503</v>
        <stp/>
        <stp>BDP|9994027114716940618</stp>
        <tr r="T596" s="2"/>
      </tp>
      <tp t="s">
        <v>#N/A Requesting Data...3672396084</v>
        <stp/>
        <stp>BDP|5091711635511384800</stp>
        <tr r="M2033" s="2"/>
      </tp>
      <tp t="s">
        <v>#N/A Requesting Data...3594570364</v>
        <stp/>
        <stp>BDP|8983716853596570499</stp>
        <tr r="O2028" s="2"/>
      </tp>
      <tp t="s">
        <v>#N/A Requesting Data...3893235604</v>
        <stp/>
        <stp>BDP|8110196088028321140</stp>
        <tr r="S2369" s="2"/>
      </tp>
      <tp t="s">
        <v>#N/A Requesting Data...4010967074</v>
        <stp/>
        <stp>BDP|8330757803926219109</stp>
        <tr r="G2171" s="2"/>
      </tp>
      <tp t="s">
        <v>#N/A Requesting Data...4105217831</v>
        <stp/>
        <stp>BDP|6841504730120743881</stp>
        <tr r="T937" s="2"/>
      </tp>
      <tp t="s">
        <v>#N/A Requesting Data...4096465431</v>
        <stp/>
        <stp>BDP|8199076382011499972</stp>
        <tr r="J2479" s="2"/>
      </tp>
      <tp t="s">
        <v>#N/A Requesting Data...3445412073</v>
        <stp/>
        <stp>BDP|9498180681861275982</stp>
        <tr r="N2319" s="2"/>
      </tp>
      <tp t="s">
        <v>#N/A Requesting Data...3365929641</v>
        <stp/>
        <stp>BDP|1242844521751507250</stp>
        <tr r="C1930" s="2"/>
      </tp>
      <tp t="s">
        <v>#N/A Requesting Data...3907392976</v>
        <stp/>
        <stp>BDP|7464893404622672583</stp>
        <tr r="P1291" s="2"/>
      </tp>
      <tp t="s">
        <v>#N/A Requesting Data...3957818566</v>
        <stp/>
        <stp>BDP|8214537043303366264</stp>
        <tr r="R38" s="2"/>
      </tp>
      <tp t="s">
        <v>#N/A Requesting Data...3804603455</v>
        <stp/>
        <stp>BDP|5795918502470714443</stp>
        <tr r="J1639" s="2"/>
      </tp>
      <tp t="s">
        <v>#N/A Requesting Data...3462010035</v>
        <stp/>
        <stp>BDP|7797871823854057142</stp>
        <tr r="F1515" s="2"/>
      </tp>
      <tp t="s">
        <v>#N/A Requesting Data...3815294888</v>
        <stp/>
        <stp>BDP|6602051465489805192</stp>
        <tr r="F487" s="2"/>
      </tp>
      <tp t="s">
        <v>#N/A Requesting Data...3998960253</v>
        <stp/>
        <stp>BDP|3384725756910341936</stp>
        <tr r="G1341" s="2"/>
      </tp>
      <tp t="s">
        <v>#N/A Requesting Data...3360891324</v>
        <stp/>
        <stp>BDP|7108852615441214741</stp>
        <tr r="R2488" s="2"/>
      </tp>
      <tp t="s">
        <v>#N/A Requesting Data...3719059157</v>
        <stp/>
        <stp>BDP|8218165798930294892</stp>
        <tr r="H1634" s="2"/>
      </tp>
      <tp t="s">
        <v>#N/A Requesting Data...4098757556</v>
        <stp/>
        <stp>BDP|6293556475398737429</stp>
        <tr r="E340" s="2"/>
      </tp>
      <tp t="s">
        <v>#N/A Requesting Data...4054146108</v>
        <stp/>
        <stp>BDP|8413765471903051371</stp>
        <tr r="G896" s="2"/>
      </tp>
      <tp t="s">
        <v>#N/A Requesting Data...3906768425</v>
        <stp/>
        <stp>BDP|6956895556192786150</stp>
        <tr r="P1629" s="2"/>
      </tp>
      <tp t="s">
        <v>#N/A Requesting Data...4237290555</v>
        <stp/>
        <stp>BDP|9378204712231481310</stp>
        <tr r="T1083" s="2"/>
      </tp>
      <tp t="s">
        <v>#N/A Requesting Data...3422989579</v>
        <stp/>
        <stp>BDP|9138841610848874094</stp>
        <tr r="R770" s="2"/>
      </tp>
      <tp t="s">
        <v>#N/A Requesting Data...3516495678</v>
        <stp/>
        <stp>BDP|6405517713829179331</stp>
        <tr r="P1389" s="2"/>
      </tp>
      <tp t="s">
        <v>#N/A Requesting Data...3379829448</v>
        <stp/>
        <stp>BDP|2694931757765152372</stp>
        <tr r="K410" s="2"/>
      </tp>
      <tp t="s">
        <v>#N/A Requesting Data...3772769238</v>
        <stp/>
        <stp>BDP|5276381711998864771</stp>
        <tr r="K2175" s="2"/>
      </tp>
      <tp t="s">
        <v>#N/A Requesting Data...4135689236</v>
        <stp/>
        <stp>BDP|6577290915905422894</stp>
        <tr r="S2505" s="2"/>
      </tp>
      <tp t="s">
        <v>#N/A Requesting Data...3484767791</v>
        <stp/>
        <stp>BDP|5608531684926451615</stp>
        <tr r="A106" s="2"/>
      </tp>
      <tp t="s">
        <v>#N/A Requesting Data...3421249618</v>
        <stp/>
        <stp>BDP|8791899043899113581</stp>
        <tr r="O1373" s="2"/>
      </tp>
      <tp t="s">
        <v>#N/A Requesting Data...3718102173</v>
        <stp/>
        <stp>BDP|7622385486974455080</stp>
        <tr r="A120" s="2"/>
      </tp>
      <tp t="s">
        <v>#N/A Requesting Data...3672394091</v>
        <stp/>
        <stp>BDP|9012350650923610472</stp>
        <tr r="R122" s="2"/>
      </tp>
      <tp t="s">
        <v>#N/A Requesting Data...3565344110</v>
        <stp/>
        <stp>BDP|9402508352357104630</stp>
        <tr r="O974" s="2"/>
      </tp>
      <tp t="s">
        <v>#N/A Requesting Data...3701727991</v>
        <stp/>
        <stp>BDP|5656663311268699236</stp>
        <tr r="S2251" s="2"/>
      </tp>
      <tp t="b">
        <v>0</v>
        <stp/>
        <stp>BDS|7838655280763918209</stp>
        <tr r="I2244" s="2"/>
      </tp>
      <tp t="s">
        <v>#N/A Requesting Data...3661182781</v>
        <stp/>
        <stp>BDP|9423875986868739966</stp>
        <tr r="D2146" s="2"/>
      </tp>
      <tp t="s">
        <v>#N/A Requesting Data...4036654473</v>
        <stp/>
        <stp>BDP|2946890436270347118</stp>
        <tr r="K2340" s="2"/>
      </tp>
      <tp t="s">
        <v>#N/A Requesting Data...3842156394</v>
        <stp/>
        <stp>BDP|7811285446888260100</stp>
        <tr r="N1016" s="2"/>
      </tp>
      <tp t="s">
        <v>#N/A Requesting Data...3861301761</v>
        <stp/>
        <stp>BDP|1545830848040972539</stp>
        <tr r="S836" s="2"/>
      </tp>
      <tp t="s">
        <v>#N/A Requesting Data...4086561707</v>
        <stp/>
        <stp>BDP|9424364023731181144</stp>
        <tr r="O2344" s="2"/>
      </tp>
      <tp t="s">
        <v>#N/A Requesting Data...4078397673</v>
        <stp/>
        <stp>BDP|9347507506036571249</stp>
        <tr r="H55" s="2"/>
      </tp>
      <tp t="s">
        <v>#N/A Requesting Data...3597929617</v>
        <stp/>
        <stp>BDP|6765776105118547148</stp>
        <tr r="E9" s="2"/>
      </tp>
      <tp t="s">
        <v>#N/A Requesting Data...3594337777</v>
        <stp/>
        <stp>BDP|3088409267898050131</stp>
        <tr r="J2260" s="2"/>
      </tp>
      <tp t="s">
        <v>#N/A Requesting Data...4012145153</v>
        <stp/>
        <stp>BDP|3320873737494580420</stp>
        <tr r="H1871" s="2"/>
      </tp>
      <tp t="s">
        <v>#N/A Requesting Data...3839287009</v>
        <stp/>
        <stp>BDP|1388835516724070420</stp>
        <tr r="N2076" s="2"/>
      </tp>
      <tp t="s">
        <v>#N/A Requesting Data...3616710040</v>
        <stp/>
        <stp>BDP|2686805846094356274</stp>
        <tr r="N2469" s="2"/>
      </tp>
      <tp t="s">
        <v>#N/A Requesting Data...3864204901</v>
        <stp/>
        <stp>BDP|8300508575130624247</stp>
        <tr r="Q435" s="2"/>
      </tp>
      <tp t="s">
        <v>#N/A Requesting Data...4023263748</v>
        <stp/>
        <stp>BDP|1951899260657558013</stp>
        <tr r="C356" s="2"/>
      </tp>
      <tp t="s">
        <v>#N/A Requesting Data...3724880004</v>
        <stp/>
        <stp>BDP|2581939863220294536</stp>
        <tr r="H348" s="2"/>
      </tp>
      <tp t="b">
        <v>0</v>
        <stp/>
        <stp>BDS|9690495964177966464</stp>
        <tr r="I679" s="2"/>
      </tp>
      <tp t="s">
        <v>#N/A Requesting Data...3870998462</v>
        <stp/>
        <stp>BDP|6482702132728448265</stp>
        <tr r="T763" s="2"/>
      </tp>
      <tp t="s">
        <v>#N/A Requesting Data...3672088491</v>
        <stp/>
        <stp>BDP|9040958233518179332</stp>
        <tr r="T1202" s="2"/>
      </tp>
      <tp t="s">
        <v>#N/A Requesting Data...3833502101</v>
        <stp/>
        <stp>BDP|9443970670337690811</stp>
        <tr r="O745" s="2"/>
      </tp>
      <tp t="s">
        <v>#N/A Requesting Data...4058953318</v>
        <stp/>
        <stp>BDP|9806355600361981301</stp>
        <tr r="J2503" s="2"/>
      </tp>
      <tp t="s">
        <v>#N/A Requesting Data...4170884347</v>
        <stp/>
        <stp>BDP|7821769344394707897</stp>
        <tr r="P1117" s="2"/>
      </tp>
      <tp t="s">
        <v>#N/A Requesting Data...3575732885</v>
        <stp/>
        <stp>BDP|1143804865957563050</stp>
        <tr r="Q221" s="2"/>
      </tp>
      <tp t="s">
        <v>#N/A Requesting Data...3876335342</v>
        <stp/>
        <stp>BDP|8824594553113184371</stp>
        <tr r="O1956" s="2"/>
      </tp>
      <tp t="s">
        <v>#N/A Requesting Data...3600274134</v>
        <stp/>
        <stp>BDP|1701285017473586997</stp>
        <tr r="G2051" s="2"/>
      </tp>
      <tp t="b">
        <v>0</v>
        <stp/>
        <stp>BDS|4924681285847063500</stp>
        <tr r="I2217" s="2"/>
      </tp>
      <tp t="s">
        <v>#N/A Requesting Data...4251985637</v>
        <stp/>
        <stp>BDP|8784274754514851382</stp>
        <tr r="N935" s="2"/>
      </tp>
      <tp t="s">
        <v>#N/A Requesting Data...3874540389</v>
        <stp/>
        <stp>BDP|6475822484178798613</stp>
        <tr r="F528" s="2"/>
      </tp>
      <tp t="s">
        <v>#N/A Requesting Data...3581401550</v>
        <stp/>
        <stp>BDP|4488528314068194077</stp>
        <tr r="C1673" s="2"/>
      </tp>
      <tp t="s">
        <v>#N/A Requesting Data...4002303060</v>
        <stp/>
        <stp>BDP|3602865000927684425</stp>
        <tr r="K614" s="2"/>
      </tp>
      <tp t="s">
        <v>#N/A Requesting Data...3660666257</v>
        <stp/>
        <stp>BDP|8673050501420253047</stp>
        <tr r="R760" s="2"/>
      </tp>
      <tp t="s">
        <v>#N/A Requesting Data...3928533283</v>
        <stp/>
        <stp>BDP|7267556540376404872</stp>
        <tr r="Q607" s="2"/>
      </tp>
      <tp t="s">
        <v>#N/A Requesting Data...4019667446</v>
        <stp/>
        <stp>BDP|5696979936291705643</stp>
        <tr r="Q683" s="2"/>
      </tp>
      <tp t="s">
        <v>#N/A Requesting Data...3741880632</v>
        <stp/>
        <stp>BDP|7529969565314590470</stp>
        <tr r="R695" s="2"/>
      </tp>
      <tp t="s">
        <v>#N/A Requesting Data...3592063336</v>
        <stp/>
        <stp>BDP|2317796903758544585</stp>
        <tr r="S2498" s="2"/>
      </tp>
      <tp t="s">
        <v>#N/A Requesting Data...3945016884</v>
        <stp/>
        <stp>BDP|8158802691219507814</stp>
        <tr r="F1356" s="2"/>
      </tp>
      <tp t="s">
        <v>#N/A Requesting Data...3596043503</v>
        <stp/>
        <stp>BDP|9397575066655398752</stp>
        <tr r="C665" s="2"/>
      </tp>
      <tp t="s">
        <v>#N/A Requesting Data...3781054894</v>
        <stp/>
        <stp>BDP|9476647162880114178</stp>
        <tr r="H438" s="2"/>
      </tp>
      <tp t="s">
        <v>#N/A Requesting Data...3932805485</v>
        <stp/>
        <stp>BDP|4500315562470035922</stp>
        <tr r="J2349" s="2"/>
      </tp>
      <tp t="s">
        <v>#N/A Requesting Data...3684094741</v>
        <stp/>
        <stp>BDP|2492191991084811609</stp>
        <tr r="O1117" s="2"/>
      </tp>
      <tp t="s">
        <v>#N/A Requesting Data...4085114731</v>
        <stp/>
        <stp>BDP|9319502624320513661</stp>
        <tr r="H2138" s="2"/>
      </tp>
      <tp t="s">
        <v>#N/A Requesting Data...3862318465</v>
        <stp/>
        <stp>BDP|8326615767726035610</stp>
        <tr r="G2100" s="2"/>
      </tp>
      <tp t="s">
        <v>#N/A Requesting Data...3754789751</v>
        <stp/>
        <stp>BDP|4382309874121408973</stp>
        <tr r="K82" s="2"/>
      </tp>
      <tp t="s">
        <v>#N/A Requesting Data...3564913670</v>
        <stp/>
        <stp>BDP|4133197181590813553</stp>
        <tr r="M457" s="2"/>
      </tp>
      <tp t="s">
        <v>#N/A Requesting Data...3750184938</v>
        <stp/>
        <stp>BDP|3772373266076362810</stp>
        <tr r="D139" s="2"/>
      </tp>
      <tp t="s">
        <v>#N/A Requesting Data...4130687009</v>
        <stp/>
        <stp>BDP|1378452485681214450</stp>
        <tr r="M426" s="2"/>
      </tp>
      <tp t="s">
        <v>#N/A Requesting Data...3704810997</v>
        <stp/>
        <stp>BDP|1476973181560141877</stp>
        <tr r="Q1040" s="2"/>
      </tp>
      <tp t="s">
        <v>#N/A Requesting Data...3520935274</v>
        <stp/>
        <stp>BDP|1954685518777816954</stp>
        <tr r="E831" s="2"/>
      </tp>
      <tp t="s">
        <v>#N/A Requesting Data...3933524782</v>
        <stp/>
        <stp>BDP|5691142690115586030</stp>
        <tr r="Q691" s="2"/>
      </tp>
      <tp t="s">
        <v>#N/A Requesting Data...3868857715</v>
        <stp/>
        <stp>BDP|9605903672178315731</stp>
        <tr r="P419" s="2"/>
      </tp>
      <tp t="s">
        <v>#N/A Requesting Data...3926893473</v>
        <stp/>
        <stp>BDP|1038822970495043363</stp>
        <tr r="P1219" s="2"/>
      </tp>
      <tp t="s">
        <v>#N/A Requesting Data...4034402073</v>
        <stp/>
        <stp>BDP|7973419799811760325</stp>
        <tr r="S453" s="2"/>
      </tp>
      <tp t="s">
        <v>#N/A Requesting Data...4251676254</v>
        <stp/>
        <stp>BDP|8712070657182669753</stp>
        <tr r="H811" s="2"/>
      </tp>
      <tp t="s">
        <v>#N/A Requesting Data...3911173563</v>
        <stp/>
        <stp>BDP|7579636026122216964</stp>
        <tr r="R420" s="2"/>
      </tp>
      <tp t="s">
        <v>#N/A Requesting Data...3708117484</v>
        <stp/>
        <stp>BDP|5500836666104753736</stp>
        <tr r="J736" s="2"/>
      </tp>
      <tp t="s">
        <v>#N/A Requesting Data...3563644951</v>
        <stp/>
        <stp>BDP|8974889000279095151</stp>
        <tr r="P1821" s="2"/>
      </tp>
      <tp t="s">
        <v>#N/A Requesting Data...3631787696</v>
        <stp/>
        <stp>BDP|3520929616437085453</stp>
        <tr r="Q1552" s="2"/>
      </tp>
      <tp t="s">
        <v>#N/A Requesting Data...4206204579</v>
        <stp/>
        <stp>BDP|9966282634910103009</stp>
        <tr r="P575" s="2"/>
      </tp>
      <tp t="s">
        <v>#N/A Requesting Data...4220167730</v>
        <stp/>
        <stp>BDP|8416536358715837537</stp>
        <tr r="Q2240" s="2"/>
      </tp>
      <tp t="s">
        <v>#N/A Requesting Data...3908039180</v>
        <stp/>
        <stp>BDP|4128824138242820572</stp>
        <tr r="K2180" s="2"/>
      </tp>
      <tp t="s">
        <v>#N/A Requesting Data...3750044051</v>
        <stp/>
        <stp>BDP|5309242914637098979</stp>
        <tr r="D2394" s="2"/>
      </tp>
      <tp t="s">
        <v>#N/A Requesting Data...3768829034</v>
        <stp/>
        <stp>BDP|9852792154515947681</stp>
        <tr r="O1670" s="2"/>
      </tp>
      <tp t="s">
        <v>#N/A Requesting Data...4008453973</v>
        <stp/>
        <stp>BDP|6555025989485863325</stp>
        <tr r="K911" s="2"/>
      </tp>
      <tp t="s">
        <v>#N/A Requesting Data...3688438277</v>
        <stp/>
        <stp>BDP|5851600646549303697</stp>
        <tr r="N715" s="2"/>
      </tp>
      <tp t="s">
        <v>#N/A Requesting Data...4214983464</v>
        <stp/>
        <stp>BDP|1339384770034661996</stp>
        <tr r="P1572" s="2"/>
      </tp>
      <tp t="s">
        <v>#N/A Requesting Data...3733022365</v>
        <stp/>
        <stp>BDP|4886660371809268491</stp>
        <tr r="A396" s="2"/>
      </tp>
      <tp t="s">
        <v>#N/A Requesting Data...3893071586</v>
        <stp/>
        <stp>BDP|1605441231759347744</stp>
        <tr r="F2447" s="2"/>
      </tp>
      <tp t="s">
        <v>#N/A Requesting Data...3714091134</v>
        <stp/>
        <stp>BDP|9673497466312547181</stp>
        <tr r="A327" s="2"/>
      </tp>
      <tp t="s">
        <v>#N/A Requesting Data...3643598467</v>
        <stp/>
        <stp>BDP|1709927326065370746</stp>
        <tr r="F1062" s="2"/>
      </tp>
      <tp t="s">
        <v>#N/A Requesting Data...4119412387</v>
        <stp/>
        <stp>BDP|6328722787433030221</stp>
        <tr r="P2240" s="2"/>
      </tp>
      <tp t="s">
        <v>#N/A Requesting Data...4234108763</v>
        <stp/>
        <stp>BDP|1344533934579241620</stp>
        <tr r="K951" s="2"/>
      </tp>
      <tp t="s">
        <v>#N/A Requesting Data...3788468501</v>
        <stp/>
        <stp>BDP|6889480669495906955</stp>
        <tr r="C2016" s="2"/>
      </tp>
      <tp t="s">
        <v>#N/A Requesting Data...3740429589</v>
        <stp/>
        <stp>BDP|4895813898565228864</stp>
        <tr r="P1210" s="2"/>
      </tp>
      <tp t="s">
        <v>#N/A Requesting Data...3771485660</v>
        <stp/>
        <stp>BDP|1127840371011788763</stp>
        <tr r="E1639" s="2"/>
      </tp>
      <tp t="s">
        <v>#N/A Requesting Data...3900836070</v>
        <stp/>
        <stp>BDP|7994113346299277396</stp>
        <tr r="F2383" s="2"/>
      </tp>
      <tp t="s">
        <v>#N/A Requesting Data...4048658067</v>
        <stp/>
        <stp>BDP|9616047761010379758</stp>
        <tr r="P1558" s="2"/>
      </tp>
      <tp t="s">
        <v>#N/A Requesting Data...4159947480</v>
        <stp/>
        <stp>BDP|9182607652534362654</stp>
        <tr r="Q832" s="2"/>
      </tp>
      <tp t="s">
        <v>#N/A Requesting Data...3917348604</v>
        <stp/>
        <stp>BDP|9938643168448948998</stp>
        <tr r="F712" s="2"/>
      </tp>
      <tp t="s">
        <v>#N/A Requesting Data...3653712383</v>
        <stp/>
        <stp>BDP|4870566391635299586</stp>
        <tr r="K1433" s="2"/>
      </tp>
      <tp t="s">
        <v>#N/A Requesting Data...3715710159</v>
        <stp/>
        <stp>BDP|2353097082316899450</stp>
        <tr r="H31" s="2"/>
      </tp>
      <tp t="s">
        <v>#N/A Requesting Data...4077251411</v>
        <stp/>
        <stp>BDP|9994056896588713080</stp>
        <tr r="J1891" s="2"/>
      </tp>
      <tp t="s">
        <v>#N/A Requesting Data...4231674558</v>
        <stp/>
        <stp>BDP|4593337964718509122</stp>
        <tr r="R2242" s="2"/>
      </tp>
      <tp t="s">
        <v>#N/A Requesting Data...4222923764</v>
        <stp/>
        <stp>BDP|8294338421303198240</stp>
        <tr r="E1025" s="2"/>
      </tp>
      <tp t="s">
        <v>#N/A Requesting Data...3850091851</v>
        <stp/>
        <stp>BDP|3076078122040052900</stp>
        <tr r="C2122" s="2"/>
      </tp>
      <tp t="s">
        <v>#N/A Requesting Data...4045958953</v>
        <stp/>
        <stp>BDP|5609468814660605874</stp>
        <tr r="F1021" s="2"/>
      </tp>
      <tp t="s">
        <v>#N/A Requesting Data...4175314767</v>
        <stp/>
        <stp>BDP|9084794706760916630</stp>
        <tr r="G225" s="2"/>
      </tp>
      <tp t="s">
        <v>#N/A Requesting Data...4076906361</v>
        <stp/>
        <stp>BDP|6825898448747901550</stp>
        <tr r="N962" s="2"/>
      </tp>
      <tp t="s">
        <v>#N/A Requesting Data...3931600886</v>
        <stp/>
        <stp>BDP|4396552290201421176</stp>
        <tr r="N135" s="2"/>
      </tp>
      <tp t="s">
        <v>#N/A Requesting Data...3989243303</v>
        <stp/>
        <stp>BDP|6836346412149313588</stp>
        <tr r="R2420" s="2"/>
      </tp>
      <tp t="b">
        <v>0</v>
        <stp/>
        <stp>BDS|7073913021211487510</stp>
        <tr r="I1837" s="2"/>
      </tp>
      <tp t="s">
        <v>#N/A Requesting Data...4148394612</v>
        <stp/>
        <stp>BDP|5522528997533628230</stp>
        <tr r="S1726" s="2"/>
      </tp>
      <tp t="s">
        <v>#N/A Requesting Data...3683258861</v>
        <stp/>
        <stp>BDP|8726575863473188076</stp>
        <tr r="G1218" s="2"/>
      </tp>
      <tp t="s">
        <v>#N/A Requesting Data...3864678256</v>
        <stp/>
        <stp>BDP|9349316398533895873</stp>
        <tr r="R198" s="2"/>
      </tp>
      <tp t="s">
        <v>#N/A Requesting Data...3854150559</v>
        <stp/>
        <stp>BDP|3553068615009788348</stp>
        <tr r="S2168" s="2"/>
      </tp>
      <tp t="s">
        <v>#N/A Requesting Data...4083244366</v>
        <stp/>
        <stp>BDP|9186330031591585038</stp>
        <tr r="G1076" s="2"/>
      </tp>
      <tp t="s">
        <v>#N/A Requesting Data...4086690029</v>
        <stp/>
        <stp>BDP|1372495530307751988</stp>
        <tr r="D145" s="2"/>
      </tp>
      <tp t="s">
        <v>#N/A Requesting Data...4248033099</v>
        <stp/>
        <stp>BDP|2674133695924287679</stp>
        <tr r="M689" s="2"/>
      </tp>
      <tp t="s">
        <v>#N/A Requesting Data...4062547222</v>
        <stp/>
        <stp>BDP|2418118775779248576</stp>
        <tr r="J587" s="2"/>
      </tp>
      <tp t="s">
        <v>#N/A Requesting Data...3837610036</v>
        <stp/>
        <stp>BDP|3672081557938505693</stp>
        <tr r="C295" s="2"/>
      </tp>
      <tp t="s">
        <v>#N/A Requesting Data...3706732560</v>
        <stp/>
        <stp>BDP|2039134987972144106</stp>
        <tr r="K1842" s="2"/>
      </tp>
      <tp t="s">
        <v>#N/A Requesting Data...4151554160</v>
        <stp/>
        <stp>BDP|9759588546933993351</stp>
        <tr r="O1355" s="2"/>
      </tp>
      <tp t="s">
        <v>#N/A Requesting Data...4232831848</v>
        <stp/>
        <stp>BDP|1779536104449612538</stp>
        <tr r="E755" s="2"/>
      </tp>
      <tp t="s">
        <v>#N/A Requesting Data...4286033869</v>
        <stp/>
        <stp>BDP|8899181523451236243</stp>
        <tr r="A2356" s="2"/>
      </tp>
      <tp t="s">
        <v>#N/A Requesting Data...4104372945</v>
        <stp/>
        <stp>BDP|7964574679524028929</stp>
        <tr r="O133" s="2"/>
      </tp>
      <tp t="s">
        <v>#N/A Requesting Data...4276915095</v>
        <stp/>
        <stp>BDP|4901504534869947317</stp>
        <tr r="H1595" s="2"/>
      </tp>
      <tp t="s">
        <v>#N/A Requesting Data...3884892220</v>
        <stp/>
        <stp>BDP|8367779573968581871</stp>
        <tr r="A1565" s="2"/>
      </tp>
      <tp t="s">
        <v>#N/A Requesting Data...4277446153</v>
        <stp/>
        <stp>BDP|7269079536655524934</stp>
        <tr r="M1822" s="2"/>
      </tp>
      <tp t="s">
        <v>#N/A Requesting Data...4272740093</v>
        <stp/>
        <stp>BDP|1188619907818119737</stp>
        <tr r="H1769" s="2"/>
      </tp>
      <tp t="s">
        <v>#N/A Requesting Data...3929169226</v>
        <stp/>
        <stp>BDP|1186960603487513742</stp>
        <tr r="J2523" s="2"/>
      </tp>
      <tp t="s">
        <v>#N/A Requesting Data...3798151609</v>
        <stp/>
        <stp>BDP|5707055322179126648</stp>
        <tr r="G2458" s="2"/>
      </tp>
      <tp t="s">
        <v>#N/A Requesting Data...4086160623</v>
        <stp/>
        <stp>BDP|8469880859979573456</stp>
        <tr r="P2400" s="2"/>
      </tp>
      <tp t="s">
        <v>#N/A Requesting Data...3871725366</v>
        <stp/>
        <stp>BDP|1053080088939137841</stp>
        <tr r="E2264" s="2"/>
      </tp>
      <tp t="s">
        <v>#N/A Requesting Data...3707948907</v>
        <stp/>
        <stp>BDP|9127536237617394035</stp>
        <tr r="H764" s="2"/>
      </tp>
      <tp t="s">
        <v>#N/A Requesting Data...4030443729</v>
        <stp/>
        <stp>BDP|5669882508795246019</stp>
        <tr r="T1298" s="2"/>
      </tp>
      <tp t="s">
        <v>#N/A Requesting Data...4242888844</v>
        <stp/>
        <stp>BDP|6755459127228059005</stp>
        <tr r="G1091" s="2"/>
      </tp>
      <tp t="s">
        <v>#N/A Requesting Data...4027773808</v>
        <stp/>
        <stp>BDP|3535550790034059358</stp>
        <tr r="Q2054" s="2"/>
      </tp>
      <tp t="s">
        <v>#N/A Requesting Data...3970611133</v>
        <stp/>
        <stp>BDP|4753944962561397273</stp>
        <tr r="E612" s="2"/>
      </tp>
      <tp t="s">
        <v>#N/A Requesting Data...4040157119</v>
        <stp/>
        <stp>BDP|4116136399104921075</stp>
        <tr r="M2310" s="2"/>
      </tp>
      <tp t="s">
        <v>#N/A Requesting Data...4015430667</v>
        <stp/>
        <stp>BDP|1246675431564222837</stp>
        <tr r="R548" s="2"/>
      </tp>
      <tp t="s">
        <v>#N/A Requesting Data...3808982289</v>
        <stp/>
        <stp>BDP|5691722356946361945</stp>
        <tr r="F522" s="2"/>
      </tp>
      <tp t="s">
        <v>#N/A Requesting Data...4104612850</v>
        <stp/>
        <stp>BDP|8257619578135846468</stp>
        <tr r="H2060" s="2"/>
      </tp>
      <tp t="s">
        <v>#N/A Requesting Data...4110099864</v>
        <stp/>
        <stp>BDP|8581528626684528315</stp>
        <tr r="T182" s="2"/>
      </tp>
      <tp t="s">
        <v>#N/A Requesting Data...3763842487</v>
        <stp/>
        <stp>BDP|9542433070516724441</stp>
        <tr r="K467" s="2"/>
      </tp>
      <tp t="b">
        <v>0</v>
        <stp/>
        <stp>BDS|5226191686077955314</stp>
        <tr r="I822" s="2"/>
      </tp>
      <tp t="s">
        <v>#N/A Requesting Data...4016505942</v>
        <stp/>
        <stp>BDP|1829474089303704644</stp>
        <tr r="S512" s="2"/>
      </tp>
      <tp t="s">
        <v>#N/A Requesting Data...4015253659</v>
        <stp/>
        <stp>BDP|6384971570482994285</stp>
        <tr r="C1398" s="2"/>
      </tp>
      <tp t="s">
        <v>#N/A Requesting Data...4190602443</v>
        <stp/>
        <stp>BDP|6994958524590557580</stp>
        <tr r="E1912" s="2"/>
      </tp>
      <tp t="s">
        <v>#N/A Requesting Data...4280657726</v>
        <stp/>
        <stp>BDP|4855381937478223403</stp>
        <tr r="N764" s="2"/>
      </tp>
      <tp t="s">
        <v>#N/A Requesting Data...4114486803</v>
        <stp/>
        <stp>BDP|7542940025702914682</stp>
        <tr r="C1334" s="2"/>
      </tp>
      <tp t="s">
        <v>#N/A Requesting Data...3804972372</v>
        <stp/>
        <stp>BDP|2569388971626995801</stp>
        <tr r="C2532" s="2"/>
      </tp>
      <tp t="s">
        <v>#N/A Requesting Data...3902359764</v>
        <stp/>
        <stp>BDP|9028145050095543043</stp>
        <tr r="J1916" s="2"/>
      </tp>
      <tp t="s">
        <v>#N/A Requesting Data...3890405392</v>
        <stp/>
        <stp>BDP|7416513820029830181</stp>
        <tr r="K775" s="2"/>
      </tp>
      <tp t="s">
        <v>#N/A Requesting Data...3862651896</v>
        <stp/>
        <stp>BDP|4806921365810899320</stp>
        <tr r="K601" s="2"/>
      </tp>
      <tp t="s">
        <v>#N/A Requesting Data...4137032374</v>
        <stp/>
        <stp>BDP|8544248825862473253</stp>
        <tr r="E304" s="2"/>
      </tp>
      <tp t="s">
        <v>#N/A Requesting Data...4224348267</v>
        <stp/>
        <stp>BDP|9806955169038313627</stp>
        <tr r="N334" s="2"/>
      </tp>
      <tp t="s">
        <v>#N/A Requesting Data...3996055492</v>
        <stp/>
        <stp>BDP|7030573510338556375</stp>
        <tr r="S1510" s="2"/>
      </tp>
      <tp t="s">
        <v>#N/A Requesting Data...4125277809</v>
        <stp/>
        <stp>BDP|7843152424724434881</stp>
        <tr r="T123" s="2"/>
      </tp>
      <tp t="s">
        <v>#N/A Requesting Data...4080511691</v>
        <stp/>
        <stp>BDP|4675344014436208814</stp>
        <tr r="C2252" s="2"/>
      </tp>
      <tp t="s">
        <v>#N/A Requesting Data...3885389252</v>
        <stp/>
        <stp>BDP|8495446665026299425</stp>
        <tr r="A498" s="2"/>
      </tp>
      <tp t="s">
        <v>#N/A Requesting Data...4019522412</v>
        <stp/>
        <stp>BDP|5720837317767610301</stp>
        <tr r="M27" s="2"/>
      </tp>
      <tp t="s">
        <v>#N/A Requesting Data...3911195820</v>
        <stp/>
        <stp>BDP|5301803706975396031</stp>
        <tr r="Q2532" s="2"/>
      </tp>
      <tp t="s">
        <v>#N/A Requesting Data...3895144489</v>
        <stp/>
        <stp>BDP|7209860856520640213</stp>
        <tr r="K328" s="2"/>
      </tp>
      <tp t="b">
        <v>0</v>
        <stp/>
        <stp>BDS|3141804936944295401</stp>
        <tr r="I2121" s="2"/>
      </tp>
      <tp t="s">
        <v>#N/A Requesting Data...4093487167</v>
        <stp/>
        <stp>BDP|1879746216189858677</stp>
        <tr r="C167" s="2"/>
      </tp>
      <tp t="s">
        <v>#N/A Requesting Data...3992573376</v>
        <stp/>
        <stp>BDP|8723361610672759032</stp>
        <tr r="G1265" s="2"/>
      </tp>
      <tp t="s">
        <v>#N/A Requesting Data...4055931928</v>
        <stp/>
        <stp>BDP|8625703001404215301</stp>
        <tr r="J1915" s="2"/>
      </tp>
      <tp t="s">
        <v>#N/A Requesting Data...3920671689</v>
        <stp/>
        <stp>BDP|2102880151786547186</stp>
        <tr r="Q523" s="2"/>
      </tp>
      <tp t="s">
        <v>#N/A Requesting Data...4251379700</v>
        <stp/>
        <stp>BDP|9213734866733376310</stp>
        <tr r="J255" s="2"/>
      </tp>
      <tp t="s">
        <v>#N/A Requesting Data...4285254018</v>
        <stp/>
        <stp>BDP|2960302244685875800</stp>
        <tr r="P1641" s="2"/>
      </tp>
      <tp t="s">
        <v>#N/A Requesting Data...4095048759</v>
        <stp/>
        <stp>BDP|3235319956279483445</stp>
        <tr r="K27" s="2"/>
      </tp>
      <tp t="s">
        <v>#N/A Requesting Data...4255731365</v>
        <stp/>
        <stp>BDP|2249147611353011924</stp>
        <tr r="E1123" s="2"/>
      </tp>
      <tp t="s">
        <v>#N/A Requesting Data...4255538141</v>
        <stp/>
        <stp>BDP|9777642626794303137</stp>
        <tr r="P517" s="2"/>
      </tp>
      <tp t="s">
        <v>#N/A Requesting Data...4099761368</v>
        <stp/>
        <stp>BDP|8216465031352526551</stp>
        <tr r="H232" s="2"/>
      </tp>
      <tp t="s">
        <v>#N/A Requesting Data...4276311580</v>
        <stp/>
        <stp>BDP|2744171697902305018</stp>
        <tr r="R783" s="2"/>
      </tp>
      <tp t="s">
        <v>#N/A Requesting Data...4292262585</v>
        <stp/>
        <stp>BDP|1343041897315329560</stp>
        <tr r="F894" s="2"/>
      </tp>
      <tp t="s">
        <v>#N/A Requesting Data...4222663462</v>
        <stp/>
        <stp>BDP|7541090938719155502</stp>
        <tr r="R157" s="2"/>
      </tp>
      <tp t="s">
        <v>#N/A Requesting Data...4159963215</v>
        <stp/>
        <stp>BDP|2543815644013779522</stp>
        <tr r="E969" s="2"/>
      </tp>
      <tp t="s">
        <v>#N/A Requesting Data...4001790312</v>
        <stp/>
        <stp>BDP|5576399899930175714</stp>
        <tr r="A309" s="2"/>
      </tp>
      <tp t="s">
        <v>#N/A Requesting Data...4153633139</v>
        <stp/>
        <stp>BDP|1207814825854210719</stp>
        <tr r="T403" s="2"/>
      </tp>
      <tp t="s">
        <v>#N/A Requesting Data...4186262508</v>
        <stp/>
        <stp>BDP|8450898059834127900</stp>
        <tr r="N449" s="2"/>
      </tp>
      <tp t="s">
        <v>#N/A Requesting Data...4293915709</v>
        <stp/>
        <stp>BDP|5263546083561412143</stp>
        <tr r="T1659" s="2"/>
      </tp>
      <tp t="s">
        <v>#N/A Requesting Data...3999265310</v>
        <stp/>
        <stp>BDP|2275451263641143903</stp>
        <tr r="M243" s="2"/>
      </tp>
      <tp t="s">
        <v>#N/A Requesting Data...4185022723</v>
        <stp/>
        <stp>BDP|9109198966226950028</stp>
        <tr r="K2499" s="2"/>
      </tp>
      <tp t="s">
        <v>#N/A Requesting Data...4060048881</v>
        <stp/>
        <stp>BDP|4863792047449631655</stp>
        <tr r="G1553" s="2"/>
      </tp>
      <tp t="s">
        <v>#N/A Requesting Data...3975611570</v>
        <stp/>
        <stp>BDP|7855470531129965124</stp>
        <tr r="Q421" s="2"/>
      </tp>
      <tp t="s">
        <v>#N/A Requesting Data...4202913516</v>
        <stp/>
        <stp>BDP|1770253288017973465</stp>
        <tr r="H2103" s="2"/>
      </tp>
      <tp t="s">
        <v>#N/A Requesting Data...4114636772</v>
        <stp/>
        <stp>BDP|9416871397663382328</stp>
        <tr r="E1842" s="2"/>
      </tp>
      <tp t="s">
        <v>#N/A Requesting Data...4185051305</v>
        <stp/>
        <stp>BDP|7932241955170941841</stp>
        <tr r="Q835" s="2"/>
      </tp>
      <tp t="s">
        <v>#N/A Requesting Data...3975392615</v>
        <stp/>
        <stp>BDP|9456251535486555643</stp>
        <tr r="S1674" s="2"/>
      </tp>
      <tp t="s">
        <v>#N/A Requesting Data...4012401437</v>
        <stp/>
        <stp>BDP|4715060776042415899</stp>
        <tr r="R809" s="2"/>
      </tp>
      <tp t="s">
        <v>#N/A Requesting Data...4193834308</v>
        <stp/>
        <stp>BDP|9331117679326561049</stp>
        <tr r="C1513" s="2"/>
      </tp>
      <tp t="s">
        <v>#N/A Requesting Data...4019551592</v>
        <stp/>
        <stp>BDP|6611488697152364006</stp>
        <tr r="S2476" s="2"/>
      </tp>
      <tp t="s">
        <v>#N/A Requesting Data...4093280418</v>
        <stp/>
        <stp>BDP|8600797595367252829</stp>
        <tr r="J162" s="2"/>
      </tp>
      <tp t="s">
        <v>#N/A Requesting Data...4060608432</v>
        <stp/>
        <stp>BDP|1867002708790996832</stp>
        <tr r="G1094" s="2"/>
      </tp>
      <tp t="s">
        <v>#N/A Requesting Data...4133758643</v>
        <stp/>
        <stp>BDP|9939679304020677665</stp>
        <tr r="F506" s="2"/>
      </tp>
      <tp t="s">
        <v>#N/A Requesting Data...4195061572</v>
        <stp/>
        <stp>BDP|1290981221524019714</stp>
        <tr r="O171" s="2"/>
      </tp>
      <tp t="s">
        <v>#N/A Requesting Data...4191946041</v>
        <stp/>
        <stp>BDP|4972482719478739059</stp>
        <tr r="K547" s="2"/>
      </tp>
      <tp t="s">
        <v>#N/A Requesting Data...4061131139</v>
        <stp/>
        <stp>BDP|8679103925554133688</stp>
        <tr r="O1012" s="2"/>
      </tp>
      <tp t="s">
        <v>#N/A Requesting Data...4249878609</v>
        <stp/>
        <stp>BDP|4227618683763832023</stp>
        <tr r="G1267" s="2"/>
      </tp>
      <tp t="s">
        <v>#N/A Requesting Data...4117526311</v>
        <stp/>
        <stp>BDP|7775968512264113281</stp>
        <tr r="A2009" s="2"/>
      </tp>
      <tp t="s">
        <v>#N/A Requesting Data...4268675377</v>
        <stp/>
        <stp>BDP|9994136497560606817</stp>
        <tr r="O33" s="2"/>
      </tp>
      <tp t="s">
        <v>#N/A Requesting Data...4087367584</v>
        <stp/>
        <stp>BDP|9890820985942653238</stp>
        <tr r="H567" s="2"/>
      </tp>
      <tp t="s">
        <v>#N/A Requesting Data...4115197683</v>
        <stp/>
        <stp>BDP|1780857117359872877</stp>
        <tr r="C964" s="2"/>
      </tp>
      <tp t="s">
        <v>#N/A Requesting Data...4203399967</v>
        <stp/>
        <stp>BDP|2592967351507057082</stp>
        <tr r="G1506" s="2"/>
      </tp>
      <tp t="s">
        <v>#N/A Requesting Data...4091429174</v>
        <stp/>
        <stp>BDP|8459618607544939317</stp>
        <tr r="G1189" s="2"/>
      </tp>
      <tp t="s">
        <v>#N/A Requesting Data...4274669623</v>
        <stp/>
        <stp>BDP|3235493890413692471</stp>
        <tr r="O80" s="2"/>
      </tp>
      <tp t="s">
        <v>#N/A Requesting Data...4122332282</v>
        <stp/>
        <stp>BDP|4564805412506998243</stp>
        <tr r="O733" s="2"/>
      </tp>
      <tp t="s">
        <v>#N/A Requesting Data...4234736503</v>
        <stp/>
        <stp>BDP|5859879608715946143</stp>
        <tr r="A1337" s="2"/>
      </tp>
      <tp t="s">
        <v>#N/A Requesting Data...4230468970</v>
        <stp/>
        <stp>BDP|6125619597308868852</stp>
        <tr r="G1192" s="2"/>
      </tp>
      <tp t="s">
        <v>#N/A Requesting Data...4044666360</v>
        <stp/>
        <stp>BDP|8198499161061499276</stp>
        <tr r="C1299" s="2"/>
      </tp>
      <tp t="s">
        <v>#N/A Requesting Data...4223390616</v>
        <stp/>
        <stp>BDP|5185682152508063716</stp>
        <tr r="K403" s="2"/>
      </tp>
      <tp t="s">
        <v>#N/A Requesting Data...4248185847</v>
        <stp/>
        <stp>BDP|4850162833767262859</stp>
        <tr r="P934" s="2"/>
      </tp>
      <tp t="s">
        <v>#N/A Requesting Data...4064387197</v>
        <stp/>
        <stp>BDP|9180381494533249957</stp>
        <tr r="S2003" s="2"/>
      </tp>
      <tp t="s">
        <v>#N/A Requesting Data...4263782360</v>
        <stp/>
        <stp>BDP|2333090729758038198</stp>
        <tr r="E1047" s="2"/>
      </tp>
      <tp t="s">
        <v>#N/A Requesting Data...4276550098</v>
        <stp/>
        <stp>BDP|1368349431638975051</stp>
        <tr r="M2444" s="2"/>
      </tp>
      <tp t="b">
        <v>0</v>
        <stp/>
        <stp>BDS|4283775744098946625</stp>
        <tr r="I2418" s="2"/>
      </tp>
      <tp t="s">
        <v>#N/A Requesting Data...4061641847</v>
        <stp/>
        <stp>BDP|7934419094542696108</stp>
        <tr r="D2353" s="2"/>
      </tp>
      <tp t="s">
        <v>#N/A Requesting Data...4100604553</v>
        <stp/>
        <stp>BDP|7268985512196555079</stp>
        <tr r="C477" s="2"/>
      </tp>
      <tp t="s">
        <v>#N/A Requesting Data...4194262739</v>
        <stp/>
        <stp>BDP|4739806149941555017</stp>
        <tr r="J1951" s="2"/>
      </tp>
      <tp t="s">
        <v>#N/A Requesting Data...4104303530</v>
        <stp/>
        <stp>BDP|5312212809357296937</stp>
        <tr r="A1440" s="2"/>
      </tp>
      <tp t="s">
        <v>#N/A Requesting Data...4169676036</v>
        <stp/>
        <stp>BDP|4803775543896534830</stp>
        <tr r="C825" s="2"/>
      </tp>
      <tp t="s">
        <v>#N/A Requesting Data...4263953406</v>
        <stp/>
        <stp>BDP|1583718844649979230</stp>
        <tr r="Q246" s="2"/>
      </tp>
      <tp t="s">
        <v>#N/A Requesting Data...4226763652</v>
        <stp/>
        <stp>BDP|6128439728901253826</stp>
        <tr r="D193" s="2"/>
      </tp>
      <tp t="s">
        <v>#N/A Requesting Data...4099771975</v>
        <stp/>
        <stp>BDP|7143188377599214169</stp>
        <tr r="N137" s="2"/>
      </tp>
      <tp t="s">
        <v>#N/A Requesting Data...4285328913</v>
        <stp/>
        <stp>BDP|9540616998779040660</stp>
        <tr r="J704" s="2"/>
      </tp>
      <tp t="s">
        <v>#N/A Requesting Data...4170304204</v>
        <stp/>
        <stp>BDP|9485172715256498680</stp>
        <tr r="K1374" s="2"/>
      </tp>
      <tp t="s">
        <v>#N/A Requesting Data...4177572480</v>
        <stp/>
        <stp>BDP|1983608116596001954</stp>
        <tr r="T1498" s="2"/>
      </tp>
      <tp t="s">
        <v>#N/A Requesting Data...4146947956</v>
        <stp/>
        <stp>BDP|1960132235423146944</stp>
        <tr r="A288" s="2"/>
      </tp>
      <tp t="s">
        <v>#N/A Requesting Data...4232111112</v>
        <stp/>
        <stp>BDP|3700291153799778401</stp>
        <tr r="C2449" s="2"/>
      </tp>
      <tp t="s">
        <v>#N/A Requesting Data...4151725432</v>
        <stp/>
        <stp>BDP|2057539615108993754</stp>
        <tr r="K934" s="2"/>
      </tp>
      <tp t="s">
        <v>#N/A Requesting Data...4282063715</v>
        <stp/>
        <stp>BDP|5886000159449248098</stp>
        <tr r="D1700" s="2"/>
      </tp>
      <tp t="s">
        <v>#N/A Requesting Data...4157101670</v>
        <stp/>
        <stp>BDP|1261448063739724388</stp>
        <tr r="N993" s="2"/>
      </tp>
      <tp t="s">
        <v>#N/A Requesting Data...4233102998</v>
        <stp/>
        <stp>BDP|8203775155696297589</stp>
        <tr r="E1049" s="2"/>
      </tp>
      <tp t="s">
        <v>#N/A Requesting Data...4285638181</v>
        <stp/>
        <stp>BDP|6417804953017812557</stp>
        <tr r="D2003" s="2"/>
      </tp>
      <tp t="s">
        <v>#N/A Requesting Data...4140646315</v>
        <stp/>
        <stp>BDP|6356865509686624107</stp>
        <tr r="J1133" s="2"/>
      </tp>
      <tp t="s">
        <v>#N/A Requesting Data...4255247358</v>
        <stp/>
        <stp>BDP|6378320583074032087</stp>
        <tr r="N1039" s="2"/>
      </tp>
      <tp t="s">
        <v>#N/A Requesting Data...4206961633</v>
        <stp/>
        <stp>BDP|9872831242759712542</stp>
        <tr r="C485" s="2"/>
      </tp>
      <tp t="s">
        <v>#N/A Requesting Data...4139145691</v>
        <stp/>
        <stp>BDP|5485819459696264743</stp>
        <tr r="T995" s="2"/>
      </tp>
      <tp t="s">
        <v>#N/A Requesting Data...4145899154</v>
        <stp/>
        <stp>BDP|5511017587163127780</stp>
        <tr r="N1160" s="2"/>
      </tp>
      <tp t="s">
        <v>#N/A Requesting Data...4223620609</v>
        <stp/>
        <stp>BDP|9315883980480611072</stp>
        <tr r="K84" s="2"/>
      </tp>
      <tp t="s">
        <v>#N/A Requesting Data...4143162446</v>
        <stp/>
        <stp>BDP|4787639892154859640</stp>
        <tr r="J1030" s="2"/>
      </tp>
      <tp t="s">
        <v>#N/A Requesting Data...4237170574</v>
        <stp/>
        <stp>BDP|9805047745032622650</stp>
        <tr r="Q2327" s="2"/>
      </tp>
      <tp t="s">
        <v>#N/A Requesting Data...4182671479</v>
        <stp/>
        <stp>BDP|4329236757613833954</stp>
        <tr r="H468" s="2"/>
      </tp>
      <tp t="s">
        <v>#N/A Requesting Data...4280264123</v>
        <stp/>
        <stp>BDP|3109926081622026987</stp>
        <tr r="F1063" s="2"/>
      </tp>
      <tp t="s">
        <v>#N/A Requesting Data...4159942045</v>
        <stp/>
        <stp>BDP|9058304726373426285</stp>
        <tr r="O2256" s="2"/>
      </tp>
      <tp t="b">
        <v>0</v>
        <stp/>
        <stp>BDS|9904865047564219807</stp>
        <tr r="I900" s="2"/>
      </tp>
      <tp t="s">
        <v>#N/A Requesting Data...4250594206</v>
        <stp/>
        <stp>BDP|5833180068713560876</stp>
        <tr r="N60" s="2"/>
      </tp>
      <tp t="s">
        <v>#N/A Requesting Data...4188155952</v>
        <stp/>
        <stp>BDP|2630222591749712983</stp>
        <tr r="E2435" s="2"/>
      </tp>
      <tp t="s">
        <v>#N/A Requesting Data...4178483222</v>
        <stp/>
        <stp>BDP|4403120880726571294</stp>
        <tr r="J508" s="2"/>
      </tp>
      <tp t="s">
        <v>#N/A Requesting Data...4197148187</v>
        <stp/>
        <stp>BDP|6464603296682976210</stp>
        <tr r="C2206" s="2"/>
      </tp>
      <tp t="s">
        <v>#N/A Requesting Data...4248037169</v>
        <stp/>
        <stp>BDP|7834576984702005116</stp>
        <tr r="P2308" s="2"/>
      </tp>
      <tp t="b">
        <v>0</v>
        <stp/>
        <stp>BDS|4960675201963060858</stp>
        <tr r="I1026" s="2"/>
      </tp>
      <tp t="s">
        <v>#N/A Requesting Data...4245387659</v>
        <stp/>
        <stp>BDP|7757402057348346797</stp>
        <tr r="S81" s="2"/>
      </tp>
      <tp t="s">
        <v>#N/A Requesting Data...4187429717</v>
        <stp/>
        <stp>BDP|1169806439584732751</stp>
        <tr r="C650" s="2"/>
      </tp>
      <tp t="s">
        <v>#N/A Requesting Data...4205288076</v>
        <stp/>
        <stp>BDP|7544926498856482815</stp>
        <tr r="O1689" s="2"/>
      </tp>
      <tp t="s">
        <v>#N/A Requesting Data...4199903053</v>
        <stp/>
        <stp>BDP|9847423935581044651</stp>
        <tr r="O1990" s="2"/>
      </tp>
      <tp t="s">
        <v>#N/A Requesting Data...4237408343</v>
        <stp/>
        <stp>BDP|7272973936503145782</stp>
        <tr r="M102" s="2"/>
      </tp>
      <tp t="s">
        <v>#N/A Requesting Data...4290035571</v>
        <stp/>
        <stp>BDP|2639784292097617200</stp>
        <tr r="Q250" s="2"/>
      </tp>
      <tp t="s">
        <v>#N/A Requesting Data...4210415075</v>
        <stp/>
        <stp>BDP|9651021360407742192</stp>
        <tr r="E1535" s="2"/>
      </tp>
      <tp t="s">
        <v>#N/A Requesting Data...4274909333</v>
        <stp/>
        <stp>BDP|8655323672110541595</stp>
        <tr r="S1780" s="2"/>
      </tp>
      <tp t="s">
        <v>#N/A Requesting Data...4278483506</v>
        <stp/>
        <stp>BDP|1426962703603939223</stp>
        <tr r="D1217" s="2"/>
      </tp>
      <tp t="s">
        <v>#N/A Requesting Data...4212187208</v>
        <stp/>
        <stp>BDP|2471050318139475368</stp>
        <tr r="A1567" s="2"/>
      </tp>
      <tp t="s">
        <v>#N/A Requesting Data...4290802254</v>
        <stp/>
        <stp>BDP|5851576586365687441</stp>
        <tr r="E437" s="2"/>
      </tp>
      <tp t="s">
        <v>#N/A Requesting Data...4275902263</v>
        <stp/>
        <stp>BDP|5439594278147868969</stp>
        <tr r="P268" s="2"/>
      </tp>
      <tp t="s">
        <v>#N/A Requesting Data...4221702755</v>
        <stp/>
        <stp>BDP|7616009188917606138</stp>
        <tr r="K487" s="2"/>
      </tp>
      <tp t="s">
        <v>#N/A Requesting Data...4256936153</v>
        <stp/>
        <stp>BDP|7089903878673264312</stp>
        <tr r="A1789" s="2"/>
      </tp>
      <tp t="s">
        <v>#N/A Requesting Data...4289331283</v>
        <stp/>
        <stp>BDP|4815541448905769986</stp>
        <tr r="O2390" s="2"/>
      </tp>
      <tp t="s">
        <v>#N/A Requesting Data...4219511693</v>
        <stp/>
        <stp>BDP|6413587801649087361</stp>
        <tr r="R293" s="2"/>
      </tp>
      <tp t="s">
        <v>#N/A Requesting Data...4286765252</v>
        <stp/>
        <stp>BDP|9921436231567107019</stp>
        <tr r="G244" s="2"/>
      </tp>
      <tp t="s">
        <v>#N/A Requesting Data...4227038429</v>
        <stp/>
        <stp>BDP|8281755566634204483</stp>
        <tr r="C1328" s="2"/>
      </tp>
      <tp t="s">
        <v>#N/A Requesting Data...4212409450</v>
        <stp/>
        <stp>BDP|9965675996878428771</stp>
        <tr r="D97" s="2"/>
      </tp>
      <tp t="b">
        <v>0</v>
        <stp/>
        <stp>BDS|6889732971417658870</stp>
        <tr r="I586" s="2"/>
      </tp>
      <tp t="s">
        <v>#N/A Requesting Data...4253399837</v>
        <stp/>
        <stp>BDP|8965849896806767679</stp>
        <tr r="J698" s="2"/>
      </tp>
      <tp t="s">
        <v>#N/A Requesting Data...4272941291</v>
        <stp/>
        <stp>BDP|5889867587509079527</stp>
        <tr r="R825" s="2"/>
      </tp>
      <tp t="s">
        <v>#N/A Requesting Data...4229394406</v>
        <stp/>
        <stp>BDP|8184966799711274074</stp>
        <tr r="F583" s="2"/>
      </tp>
      <tp t="s">
        <v>#N/A Requesting Data...4264525772</v>
        <stp/>
        <stp>BDP|1226062728993207953</stp>
        <tr r="D1055" s="2"/>
      </tp>
      <tp t="s">
        <v>#N/A Requesting Data...4283571496</v>
        <stp/>
        <stp>BDP|2921077467599725458</stp>
        <tr r="K499" s="2"/>
      </tp>
      <tp t="s">
        <v>#N/A Requesting Data...4246417064</v>
        <stp/>
        <stp>BDP|3059846355692997531</stp>
        <tr r="O439" s="2"/>
      </tp>
      <tp t="s">
        <v>#N/A Requesting Data...4281532970</v>
        <stp/>
        <stp>BDP|4374026329926601955</stp>
        <tr r="O148" s="2"/>
      </tp>
      <tp t="b">
        <v>0</v>
        <stp/>
        <stp>BDS|3678935508754326759</stp>
        <tr r="I11" s="2"/>
      </tp>
      <tp t="s">
        <v>#N/A Requesting Data...4290520026</v>
        <stp/>
        <stp>BDP|5803459053104549901</stp>
        <tr r="E194" s="2"/>
      </tp>
      <tp t="s">
        <v>#N/A Requesting Data...4246941337</v>
        <stp/>
        <stp>BDP|9228585831507184116</stp>
        <tr r="O1504" s="2"/>
      </tp>
      <tp t="s">
        <v>#N/A Requesting Data...4248993786</v>
        <stp/>
        <stp>BDP|4290194489203934700</stp>
        <tr r="O387" s="2"/>
      </tp>
      <tp t="s">
        <v>#N/A Requesting Data...4260257427</v>
        <stp/>
        <stp>BDP|2510388783838285875</stp>
        <tr r="N2476" s="2"/>
      </tp>
      <tp t="s">
        <v>#N/A Requesting Data...4286472940</v>
        <stp/>
        <stp>BDP|9028179928110571311</stp>
        <tr r="J1982" s="2"/>
      </tp>
      <tp t="s">
        <v>#N/A Requesting Data...4276561582</v>
        <stp/>
        <stp>BDP|1893340340218232754</stp>
        <tr r="G1675" s="2"/>
      </tp>
      <tp t="s">
        <v>#N/A Requesting Data...4278887121</v>
        <stp/>
        <stp>BDP|1359238578465772842</stp>
        <tr r="D2327" s="2"/>
      </tp>
      <tp t="s">
        <v>#N/A Requesting Data...4289525627</v>
        <stp/>
        <stp>BDP|8913265334219614968</stp>
        <tr r="J1056" s="2"/>
      </tp>
      <tp t="s">
        <v>#N/A Requesting Data...4270750731</v>
        <stp/>
        <stp>BDP|9057038530565124695</stp>
        <tr r="R750" s="2"/>
      </tp>
      <tp t="s">
        <v>#N/A Requesting Data...4284508150</v>
        <stp/>
        <stp>BDP|1961779485912196510</stp>
        <tr r="M1821" s="2"/>
      </tp>
      <tp t="b">
        <v>0</v>
        <stp/>
        <stp>BDS|6098442190511704382</stp>
        <tr r="I709" s="2"/>
      </tp>
      <tp t="s">
        <v>#N/A Requesting Data...4281683467</v>
        <stp/>
        <stp>BDP|3740202959515740828</stp>
        <tr r="K426" s="2"/>
      </tp>
      <tp t="s">
        <v>#N/A Requesting Data...4274976487</v>
        <stp/>
        <stp>BDP|9480701120017928264</stp>
        <tr r="S2365" s="2"/>
      </tp>
      <tp t="s">
        <v>#N/A Requesting Data...4285157339</v>
        <stp/>
        <stp>BDP|7931900042892072103</stp>
        <tr r="R262" s="2"/>
      </tp>
      <tp t="s">
        <v>#N/A Requesting Data...4285352158</v>
        <stp/>
        <stp>BDP|4667988692819213459</stp>
        <tr r="S8" s="2"/>
      </tp>
      <tp t="s">
        <v>#N/A Requesting Data...4291571719</v>
        <stp/>
        <stp>BDP|9448325107892913136</stp>
        <tr r="F2298" s="2"/>
      </tp>
      <tp t="s">
        <v>#N/A Requesting Data...4292140728</v>
        <stp/>
        <stp>BDP|5829912954735045562</stp>
        <tr r="K920" s="2"/>
      </tp>
      <tp t="s">
        <v>#N/A Requesting Data...4294103731</v>
        <stp/>
        <stp>BDP|2827911636539370870</stp>
        <tr r="H226" s="2"/>
      </tp>
      <tp t="s">
        <v>#N/A Requesting Data...4293592927</v>
        <stp/>
        <stp>BDP|4981500752048200529</stp>
        <tr r="S1438" s="2"/>
      </tp>
      <tp t="s">
        <v>#N/A Requesting Data...4294619875</v>
        <stp/>
        <stp>BDP|3282061478048017578</stp>
        <tr r="M1584" s="2"/>
      </tp>
      <tp t="s">
        <v>#N/A Requesting Data...3694614102</v>
        <stp/>
        <stp>BDP|9006394995352408837</stp>
        <tr r="O428" s="2"/>
      </tp>
      <tp t="s">
        <v>#N/A Requesting Data...3127156172</v>
        <stp/>
        <stp>BDP|7696739490795768591</stp>
        <tr r="N2281" s="2"/>
      </tp>
      <tp t="s">
        <v>#N/A Requesting Data...2705179540</v>
        <stp/>
        <stp>BDP|5961816814846285350</stp>
        <tr r="O2527" s="2"/>
      </tp>
      <tp t="s">
        <v>#N/A Requesting Data...74771237</v>
        <stp/>
        <stp>BDP|9653632468794057465</stp>
        <tr r="R1604" s="2"/>
      </tp>
      <tp t="s">
        <v>#N/A Requesting Data...966762999</v>
        <stp/>
        <stp>BDP|3310050239779534016</stp>
        <tr r="T245" s="2"/>
      </tp>
      <tp t="s">
        <v>#N/A Requesting Data...1559757439</v>
        <stp/>
        <stp>BDP|7630910561469962842</stp>
        <tr r="J854" s="2"/>
      </tp>
      <tp t="s">
        <v>#N/A Requesting Data...2724069703</v>
        <stp/>
        <stp>BDP|5970306778490936835</stp>
        <tr r="J2419" s="2"/>
      </tp>
      <tp t="s">
        <v>#N/A Requesting Data...1063318196</v>
        <stp/>
        <stp>BDP|7897919153363929182</stp>
        <tr r="T331" s="2"/>
      </tp>
      <tp t="s">
        <v>#N/A Requesting Data...3798547949</v>
        <stp/>
        <stp>BDP|4355218928609916489</stp>
        <tr r="Q808" s="2"/>
      </tp>
      <tp t="s">
        <v>#N/A Requesting Data...4195992587</v>
        <stp/>
        <stp>BDP|2088816124497906678</stp>
        <tr r="P1640" s="2"/>
      </tp>
      <tp t="s">
        <v>#N/A Requesting Data...1775462623</v>
        <stp/>
        <stp>BDP|6647967153857993410</stp>
        <tr r="O2296" s="2"/>
      </tp>
      <tp t="s">
        <v>#N/A Requesting Data...2017278528</v>
        <stp/>
        <stp>BDP|9231185138645154787</stp>
        <tr r="C1401" s="2"/>
      </tp>
      <tp t="s">
        <v>#N/A Requesting Data...2911365799</v>
        <stp/>
        <stp>BDP|3828230510798627165</stp>
        <tr r="Q2287" s="2"/>
      </tp>
      <tp t="s">
        <v>#N/A Requesting Data...490851265</v>
        <stp/>
        <stp>BDP|8679128554982848730</stp>
        <tr r="R15" s="2"/>
      </tp>
      <tp t="s">
        <v>#N/A Requesting Data...950392868</v>
        <stp/>
        <stp>BDP|2540247197352439291</stp>
        <tr r="Q1617" s="2"/>
      </tp>
      <tp t="s">
        <v>#N/A Requesting Data...3610541986</v>
        <stp/>
        <stp>BDP|2512682595541379503</stp>
        <tr r="E464" s="2"/>
      </tp>
      <tp t="s">
        <v>#N/A Requesting Data...3929798575</v>
        <stp/>
        <stp>BDP|7280309799140777472</stp>
        <tr r="T343" s="2"/>
      </tp>
      <tp t="s">
        <v>#N/A Requesting Data...3232762801</v>
        <stp/>
        <stp>BDP|1711988631940704225</stp>
        <tr r="T10" s="2"/>
      </tp>
      <tp t="s">
        <v>#N/A Requesting Data...1822251446</v>
        <stp/>
        <stp>BDP|8125087247112311760</stp>
        <tr r="C460" s="2"/>
      </tp>
      <tp t="s">
        <v>#N/A Requesting Data...3931227970</v>
        <stp/>
        <stp>BDP|3898888035637679685</stp>
        <tr r="G1952" s="2"/>
      </tp>
      <tp t="s">
        <v>#N/A Requesting Data...2559236297</v>
        <stp/>
        <stp>BDP|3023446489052791418</stp>
        <tr r="E2280" s="2"/>
      </tp>
      <tp t="s">
        <v>#N/A Requesting Data...3677489792</v>
        <stp/>
        <stp>BDP|9823607732045653075</stp>
        <tr r="C480" s="2"/>
      </tp>
      <tp t="s">
        <v>#N/A Requesting Data...511740880</v>
        <stp/>
        <stp>BDP|1310499127846130877</stp>
        <tr r="T681" s="2"/>
      </tp>
      <tp t="s">
        <v>#N/A Requesting Data...3789781041</v>
        <stp/>
        <stp>BDP|2878126283894655648</stp>
        <tr r="E2305" s="2"/>
      </tp>
      <tp t="s">
        <v>#N/A Requesting Data...2283413017</v>
        <stp/>
        <stp>BDP|3960454616957760869</stp>
        <tr r="R2478" s="2"/>
      </tp>
      <tp t="b">
        <v>0</v>
        <stp/>
        <stp>BDS|8763920489812105269</stp>
        <tr r="I2328" s="2"/>
      </tp>
      <tp t="s">
        <v>#N/A Requesting Data...4080023565</v>
        <stp/>
        <stp>BDP|6734507798192116150</stp>
        <tr r="S2176" s="2"/>
      </tp>
      <tp t="s">
        <v>#N/A Requesting Data...266269990</v>
        <stp/>
        <stp>BDP|8362261106086077584</stp>
        <tr r="J96" s="2"/>
      </tp>
      <tp t="s">
        <v>#N/A Requesting Data...3211250834</v>
        <stp/>
        <stp>BDP|7836260090810068559</stp>
        <tr r="G2136" s="2"/>
      </tp>
      <tp t="s">
        <v>#N/A Requesting Data...2440411454</v>
        <stp/>
        <stp>BDP|7773871835682748790</stp>
        <tr r="C1236" s="2"/>
      </tp>
      <tp t="s">
        <v>#N/A Requesting Data...2456972269</v>
        <stp/>
        <stp>BDP|7686695227363706949</stp>
        <tr r="J1505" s="2"/>
      </tp>
      <tp t="s">
        <v>#N/A Requesting Data...3189523493</v>
        <stp/>
        <stp>BDP|5417985636104314223</stp>
        <tr r="R2313" s="2"/>
      </tp>
      <tp t="s">
        <v>#N/A Requesting Data...3608660710</v>
        <stp/>
        <stp>BDP|1370985547943557629</stp>
        <tr r="N2351" s="2"/>
      </tp>
      <tp t="s">
        <v>#N/A Requesting Data...2398350440</v>
        <stp/>
        <stp>BDP|2302376728668104267</stp>
        <tr r="O234" s="2"/>
      </tp>
      <tp t="s">
        <v>#N/A Requesting Data...4090772519</v>
        <stp/>
        <stp>BDP|1441961728240620372</stp>
        <tr r="F602" s="2"/>
      </tp>
      <tp t="s">
        <v>#N/A Requesting Data...2494466232</v>
        <stp/>
        <stp>BDP|7995255326528772668</stp>
        <tr r="H1243" s="2"/>
      </tp>
      <tp t="s">
        <v>#N/A Requesting Data...1006600863</v>
        <stp/>
        <stp>BDP|1462730099561143741</stp>
        <tr r="O1541" s="2"/>
      </tp>
      <tp t="s">
        <v>#N/A Requesting Data...2507500519</v>
        <stp/>
        <stp>BDP|2516688376898921295</stp>
        <tr r="A1482" s="2"/>
      </tp>
      <tp t="s">
        <v>#N/A Requesting Data...4242254963</v>
        <stp/>
        <stp>BDP|1219434193727070293</stp>
        <tr r="C1091" s="2"/>
      </tp>
      <tp t="b">
        <v>0</v>
        <stp/>
        <stp>BDS|3676857958842291524</stp>
        <tr r="I1874" s="2"/>
      </tp>
      <tp t="s">
        <v>#N/A Requesting Data...407004265</v>
        <stp/>
        <stp>BDP|1921821590551765849</stp>
        <tr r="J155" s="2"/>
      </tp>
      <tp t="s">
        <v>#N/A Requesting Data...432518297</v>
        <stp/>
        <stp>BDP|8996673826280502551</stp>
        <tr r="O729" s="2"/>
      </tp>
      <tp t="s">
        <v>#N/A Requesting Data...3275988803</v>
        <stp/>
        <stp>BDP|3942576460781548838</stp>
        <tr r="E1478" s="2"/>
      </tp>
      <tp t="s">
        <v>#N/A Requesting Data...2326753051</v>
        <stp/>
        <stp>BDP|1066878850343838677</stp>
        <tr r="N1750" s="2"/>
      </tp>
      <tp t="s">
        <v>#N/A Requesting Data...1297304580</v>
        <stp/>
        <stp>BDP|8553829977157125996</stp>
        <tr r="O1124" s="2"/>
      </tp>
      <tp t="s">
        <v>#N/A Requesting Data...3360696748</v>
        <stp/>
        <stp>BDP|5827823092925412841</stp>
        <tr r="G2366" s="2"/>
      </tp>
      <tp t="s">
        <v>#N/A Requesting Data...2488195648</v>
        <stp/>
        <stp>BDP|6844970206847815195</stp>
        <tr r="G1823" s="2"/>
      </tp>
      <tp t="s">
        <v>#N/A Requesting Data...2288261364</v>
        <stp/>
        <stp>BDP|5109868056150830112</stp>
        <tr r="N1898" s="2"/>
      </tp>
      <tp t="s">
        <v>#N/A Requesting Data...1718910774</v>
        <stp/>
        <stp>BDP|3482521042092524993</stp>
        <tr r="M1486" s="2"/>
      </tp>
      <tp t="s">
        <v>#N/A Requesting Data...3025403904</v>
        <stp/>
        <stp>BDP|8998502512017515262</stp>
        <tr r="P374" s="2"/>
      </tp>
      <tp t="s">
        <v>#N/A Requesting Data...4079888192</v>
        <stp/>
        <stp>BDP|9890605837450346544</stp>
        <tr r="G286" s="2"/>
      </tp>
      <tp t="s">
        <v>#N/A Requesting Data...4111040441</v>
        <stp/>
        <stp>BDP|4627961047011601198</stp>
        <tr r="N54" s="2"/>
      </tp>
      <tp t="s">
        <v>#N/A Requesting Data...3202237832</v>
        <stp/>
        <stp>BDP|6369967629205088140</stp>
        <tr r="P1978" s="2"/>
      </tp>
      <tp t="s">
        <v>#N/A Requesting Data...3530892005</v>
        <stp/>
        <stp>BDP|1728425811535481881</stp>
        <tr r="T1017" s="2"/>
      </tp>
      <tp t="s">
        <v>#N/A Requesting Data...4155032802</v>
        <stp/>
        <stp>BDP|4567714497622392186</stp>
        <tr r="P2469" s="2"/>
      </tp>
      <tp t="s">
        <v>#N/A Requesting Data...3913946817</v>
        <stp/>
        <stp>BDP|8284690501452659542</stp>
        <tr r="T1918" s="2"/>
      </tp>
      <tp t="s">
        <v>#N/A Requesting Data...3143613139</v>
        <stp/>
        <stp>BDP|5707988657076068605</stp>
        <tr r="E1604" s="2"/>
      </tp>
      <tp t="s">
        <v>#N/A Requesting Data...2002567458</v>
        <stp/>
        <stp>BDP|2386648193013899742</stp>
        <tr r="Q1752" s="2"/>
      </tp>
      <tp t="s">
        <v>#N/A Requesting Data...1496080116</v>
        <stp/>
        <stp>BDP|2823096295535598793</stp>
        <tr r="E1401" s="2"/>
      </tp>
      <tp t="s">
        <v>#N/A Requesting Data...3328847819</v>
        <stp/>
        <stp>BDP|6890208647930623910</stp>
        <tr r="C87" s="2"/>
      </tp>
      <tp t="s">
        <v>#N/A Requesting Data...4200169923</v>
        <stp/>
        <stp>BDP|1676401082365478188</stp>
        <tr r="O1412" s="2"/>
      </tp>
      <tp t="s">
        <v>#N/A Requesting Data...2706860232</v>
        <stp/>
        <stp>BDP|9581383991458523210</stp>
        <tr r="H2497" s="2"/>
      </tp>
      <tp t="s">
        <v>#N/A Requesting Data...2992967154</v>
        <stp/>
        <stp>BDP|6153692733548179228</stp>
        <tr r="O2510" s="2"/>
      </tp>
      <tp t="s">
        <v>#N/A Requesting Data...712661318</v>
        <stp/>
        <stp>BDP|6072869356164913612</stp>
        <tr r="D311" s="2"/>
      </tp>
      <tp t="s">
        <v>#N/A Requesting Data...3575262008</v>
        <stp/>
        <stp>BDP|3686994743627556013</stp>
        <tr r="F1942" s="2"/>
      </tp>
      <tp t="s">
        <v>#N/A Requesting Data...2512400773</v>
        <stp/>
        <stp>BDP|7096638722613125989</stp>
        <tr r="C177" s="2"/>
      </tp>
      <tp t="s">
        <v>#N/A Requesting Data...4285413359</v>
        <stp/>
        <stp>BDP|2845811722826307701</stp>
        <tr r="E461" s="2"/>
      </tp>
      <tp t="s">
        <v>#N/A Requesting Data...1881879445</v>
        <stp/>
        <stp>BDP|6630703188019348958</stp>
        <tr r="G755" s="2"/>
      </tp>
      <tp t="s">
        <v>#N/A Requesting Data...2266016442</v>
        <stp/>
        <stp>BDP|8876806917900266852</stp>
        <tr r="Q1122" s="2"/>
      </tp>
      <tp t="s">
        <v>#N/A Requesting Data...1303128983</v>
        <stp/>
        <stp>BDP|5582610903043815975</stp>
        <tr r="Q657" s="2"/>
      </tp>
      <tp t="s">
        <v>#N/A Requesting Data...2949828817</v>
        <stp/>
        <stp>BDP|3843889217032846176</stp>
        <tr r="N1611" s="2"/>
      </tp>
      <tp t="s">
        <v>#N/A Requesting Data...3821095334</v>
        <stp/>
        <stp>BDP|6109345814979123481</stp>
        <tr r="H15" s="2"/>
      </tp>
      <tp t="s">
        <v>#N/A Requesting Data...998880105</v>
        <stp/>
        <stp>BDP|4198305276528958163</stp>
        <tr r="C616" s="2"/>
      </tp>
      <tp t="s">
        <v>#N/A Requesting Data...3049383472</v>
        <stp/>
        <stp>BDP|8543041825900541397</stp>
        <tr r="S1797" s="2"/>
      </tp>
      <tp t="s">
        <v>#N/A Requesting Data...3694909885</v>
        <stp/>
        <stp>BDP|1888371238698683099</stp>
        <tr r="F1905" s="2"/>
      </tp>
      <tp t="s">
        <v>#N/A Requesting Data...2811195498</v>
        <stp/>
        <stp>BDP|4676696752867315966</stp>
        <tr r="M754" s="2"/>
      </tp>
      <tp t="s">
        <v>#N/A Requesting Data...2951687489</v>
        <stp/>
        <stp>BDP|2023419956063861973</stp>
        <tr r="J837" s="2"/>
      </tp>
      <tp t="s">
        <v>#N/A Requesting Data...2115641566</v>
        <stp/>
        <stp>BDP|7125198603227159823</stp>
        <tr r="O1844" s="2"/>
      </tp>
      <tp t="s">
        <v>#N/A Requesting Data...1663399764</v>
        <stp/>
        <stp>BDP|8755577706605700195</stp>
        <tr r="T169" s="2"/>
      </tp>
      <tp t="s">
        <v>#N/A Requesting Data...1240199515</v>
        <stp/>
        <stp>BDP|6561897564161038002</stp>
        <tr r="N2311" s="2"/>
      </tp>
      <tp t="s">
        <v>#N/A Requesting Data...3783529788</v>
        <stp/>
        <stp>BDP|9186194120947405445</stp>
        <tr r="O1558" s="2"/>
      </tp>
      <tp t="s">
        <v>#N/A Requesting Data...2695205505</v>
        <stp/>
        <stp>BDP|1434880874244186319</stp>
        <tr r="H195" s="2"/>
      </tp>
      <tp t="s">
        <v>#N/A Requesting Data...3982735788</v>
        <stp/>
        <stp>BDP|9726617659473149065</stp>
        <tr r="P1773" s="2"/>
      </tp>
      <tp t="s">
        <v>#N/A Requesting Data...2451652751</v>
        <stp/>
        <stp>BDP|9960076730692060160</stp>
        <tr r="E1864" s="2"/>
      </tp>
      <tp t="s">
        <v>#N/A Requesting Data...2992013407</v>
        <stp/>
        <stp>BDP|4927610344888293763</stp>
        <tr r="S1967" s="2"/>
      </tp>
      <tp t="s">
        <v>#N/A Requesting Data...529008496</v>
        <stp/>
        <stp>BDP|6061173689707133172</stp>
        <tr r="O1277" s="2"/>
      </tp>
      <tp t="s">
        <v>#N/A Requesting Data...3152468858</v>
        <stp/>
        <stp>BDP|7246892998887842839</stp>
        <tr r="F1574" s="2"/>
      </tp>
      <tp t="b">
        <v>0</v>
        <stp/>
        <stp>BDS|3972557340733177850</stp>
        <tr r="I1612" s="2"/>
      </tp>
      <tp t="s">
        <v>#N/A Requesting Data...4273124262</v>
        <stp/>
        <stp>BDP|4439810064272119183</stp>
        <tr r="S106" s="2"/>
      </tp>
      <tp t="s">
        <v>#N/A Requesting Data...744635477</v>
        <stp/>
        <stp>BDP|7620441630168921133</stp>
        <tr r="O1113" s="2"/>
      </tp>
      <tp t="s">
        <v>#N/A Requesting Data...4020915238</v>
        <stp/>
        <stp>BDP|3043515991971029788</stp>
        <tr r="M54" s="2"/>
      </tp>
      <tp t="s">
        <v>#N/A Requesting Data...3476699551</v>
        <stp/>
        <stp>BDP|7897775956584993882</stp>
        <tr r="A1607" s="2"/>
      </tp>
      <tp t="s">
        <v>#N/A Requesting Data...1630157553</v>
        <stp/>
        <stp>BDP|3423308081364982543</stp>
        <tr r="O1605" s="2"/>
      </tp>
      <tp t="s">
        <v>#N/A Requesting Data...1234923546</v>
        <stp/>
        <stp>BDP|5100154767518801333</stp>
        <tr r="C1388" s="2"/>
      </tp>
      <tp t="s">
        <v>#N/A Requesting Data...1525180695</v>
        <stp/>
        <stp>BDP|5303374366800370999</stp>
        <tr r="G1181" s="2"/>
      </tp>
      <tp t="s">
        <v>#N/A Requesting Data...2219410822</v>
        <stp/>
        <stp>BDP|5729846406092554683</stp>
        <tr r="N526" s="2"/>
      </tp>
      <tp t="s">
        <v>#N/A Requesting Data...1632182935</v>
        <stp/>
        <stp>BDP|5416948289124435959</stp>
        <tr r="H1691" s="2"/>
      </tp>
      <tp t="s">
        <v>#N/A Requesting Data...1361120731</v>
        <stp/>
        <stp>BDP|3771237231329549285</stp>
        <tr r="N681" s="2"/>
      </tp>
      <tp t="s">
        <v>#N/A Requesting Data...3216443966</v>
        <stp/>
        <stp>BDP|3730294243175765925</stp>
        <tr r="C57" s="2"/>
      </tp>
      <tp t="s">
        <v>#N/A Requesting Data...518753197</v>
        <stp/>
        <stp>BDP|9630266902981383391</stp>
        <tr r="C1885" s="2"/>
      </tp>
      <tp t="s">
        <v>#N/A Requesting Data...3552553676</v>
        <stp/>
        <stp>BDP|3577988832294385440</stp>
        <tr r="M554" s="2"/>
      </tp>
      <tp t="s">
        <v>#N/A Requesting Data...525220282</v>
        <stp/>
        <stp>BDP|6885759991249170851</stp>
        <tr r="A2139" s="2"/>
      </tp>
      <tp t="s">
        <v>#N/A Requesting Data...2375752080</v>
        <stp/>
        <stp>BDP|5577853621214113283</stp>
        <tr r="P1623" s="2"/>
      </tp>
      <tp t="s">
        <v>#N/A Requesting Data...3507288425</v>
        <stp/>
        <stp>BDP|5884666039389782081</stp>
        <tr r="J1679" s="2"/>
      </tp>
      <tp t="s">
        <v>#N/A Requesting Data...1489383013</v>
        <stp/>
        <stp>BDP|8658779711821982618</stp>
        <tr r="H1822" s="2"/>
      </tp>
      <tp t="s">
        <v>#N/A Requesting Data...2784695335</v>
        <stp/>
        <stp>BDP|7814326136359648724</stp>
        <tr r="F1998" s="2"/>
      </tp>
      <tp t="b">
        <v>0</v>
        <stp/>
        <stp>BDS|2076814670105808115</stp>
        <tr r="I1275" s="2"/>
      </tp>
      <tp t="s">
        <v>#N/A Requesting Data...3887446629</v>
        <stp/>
        <stp>BDP|6328091702778819782</stp>
        <tr r="P1423" s="2"/>
      </tp>
      <tp t="s">
        <v>#N/A Requesting Data...1430628836</v>
        <stp/>
        <stp>BDP|8902243271675215163</stp>
        <tr r="H860" s="2"/>
      </tp>
      <tp t="s">
        <v>#N/A Requesting Data...759479032</v>
        <stp/>
        <stp>BDP|5815353535269815586</stp>
        <tr r="D1874" s="2"/>
      </tp>
      <tp t="s">
        <v>#N/A Requesting Data...2343185459</v>
        <stp/>
        <stp>BDP|7340984316387637137</stp>
        <tr r="P2500" s="2"/>
      </tp>
      <tp t="s">
        <v>#N/A Requesting Data...1793727958</v>
        <stp/>
        <stp>BDP|6382616051984241894</stp>
        <tr r="C2117" s="2"/>
      </tp>
      <tp t="s">
        <v>#N/A Requesting Data...3994899925</v>
        <stp/>
        <stp>BDP|9869286066642976676</stp>
        <tr r="R1083" s="2"/>
      </tp>
      <tp t="s">
        <v>#N/A Requesting Data...1209000045</v>
        <stp/>
        <stp>BDP|2695499335719251504</stp>
        <tr r="D2189" s="2"/>
      </tp>
      <tp t="s">
        <v>#N/A Requesting Data...1871530855</v>
        <stp/>
        <stp>BDP|9734473373554854736</stp>
        <tr r="M1397" s="2"/>
      </tp>
      <tp t="s">
        <v>#N/A Requesting Data...3824142459</v>
        <stp/>
        <stp>BDP|9748378920021834009</stp>
        <tr r="K2031" s="2"/>
      </tp>
      <tp t="s">
        <v>#N/A Requesting Data...3585194894</v>
        <stp/>
        <stp>BDP|7241422079065655875</stp>
        <tr r="Q1933" s="2"/>
      </tp>
      <tp t="s">
        <v>#N/A Requesting Data...2444585838</v>
        <stp/>
        <stp>BDP|6985534600073029928</stp>
        <tr r="H1442" s="2"/>
      </tp>
      <tp t="s">
        <v>#N/A Requesting Data...2902272523</v>
        <stp/>
        <stp>BDP|1667674559142109915</stp>
        <tr r="F1088" s="2"/>
      </tp>
      <tp t="s">
        <v>#N/A Requesting Data...1427593114</v>
        <stp/>
        <stp>BDP|8660056407790572196</stp>
        <tr r="Q1679" s="2"/>
      </tp>
      <tp t="b">
        <v>0</v>
        <stp/>
        <stp>BDS|5301984053159662979</stp>
        <tr r="I1648" s="2"/>
      </tp>
      <tp t="s">
        <v>#N/A Requesting Data...3762668143</v>
        <stp/>
        <stp>BDP|3832999335052554286</stp>
        <tr r="E953" s="2"/>
      </tp>
      <tp t="s">
        <v>#N/A Requesting Data...2924532923</v>
        <stp/>
        <stp>BDP|5503186995073167709</stp>
        <tr r="C1571" s="2"/>
      </tp>
      <tp t="s">
        <v>#N/A Requesting Data...3030715900</v>
        <stp/>
        <stp>BDP|9784552011481357593</stp>
        <tr r="J909" s="2"/>
      </tp>
      <tp t="s">
        <v>#N/A Requesting Data...2448725322</v>
        <stp/>
        <stp>BDP|8925497518760990480</stp>
        <tr r="A1001" s="2"/>
      </tp>
      <tp t="s">
        <v>#N/A Requesting Data...3965012619</v>
        <stp/>
        <stp>BDP|7239660290319498892</stp>
        <tr r="T2235" s="2"/>
      </tp>
      <tp t="s">
        <v>#N/A Requesting Data...3658668633</v>
        <stp/>
        <stp>BDP|9838230755510140769</stp>
        <tr r="T2312" s="2"/>
      </tp>
      <tp t="b">
        <v>0</v>
        <stp/>
        <stp>BDS|7079462171684985972</stp>
        <tr r="I2386" s="2"/>
      </tp>
      <tp t="s">
        <v>#N/A Requesting Data...2165557385</v>
        <stp/>
        <stp>BDP|5970739562478022512</stp>
        <tr r="G2275" s="2"/>
      </tp>
      <tp t="s">
        <v>#N/A Requesting Data...437625588</v>
        <stp/>
        <stp>BDP|4225269784787037095</stp>
        <tr r="T702" s="2"/>
      </tp>
      <tp t="s">
        <v>#N/A Requesting Data...3199391268</v>
        <stp/>
        <stp>BDP|4369820516432701698</stp>
        <tr r="Q836" s="2"/>
      </tp>
      <tp t="s">
        <v>#N/A Requesting Data...883278457</v>
        <stp/>
        <stp>BDP|8043589779386012585</stp>
        <tr r="M21" s="2"/>
      </tp>
      <tp t="s">
        <v>#N/A Requesting Data...2500701669</v>
        <stp/>
        <stp>BDP|5326198275688509231</stp>
        <tr r="N559" s="2"/>
      </tp>
      <tp t="s">
        <v>#N/A Requesting Data...1770128255</v>
        <stp/>
        <stp>BDP|2758118354587872832</stp>
        <tr r="D224" s="2"/>
      </tp>
      <tp t="s">
        <v>#N/A Requesting Data...3749525350</v>
        <stp/>
        <stp>BDP|4972146841931168943</stp>
        <tr r="S281" s="2"/>
      </tp>
      <tp t="s">
        <v>#N/A Requesting Data...4150681720</v>
        <stp/>
        <stp>BDP|4029937559806494779</stp>
        <tr r="H946" s="2"/>
      </tp>
      <tp t="s">
        <v>#N/A Requesting Data...1474333325</v>
        <stp/>
        <stp>BDP|8718677831236895201</stp>
        <tr r="D622" s="2"/>
      </tp>
      <tp t="b">
        <v>0</v>
        <stp/>
        <stp>BDS|1979619230124375927</stp>
        <tr r="I1320" s="2"/>
      </tp>
      <tp t="s">
        <v>#N/A Requesting Data...435032328</v>
        <stp/>
        <stp>BDP|4560470580831878035</stp>
        <tr r="S1816" s="2"/>
      </tp>
      <tp t="s">
        <v>#N/A Requesting Data...3602907881</v>
        <stp/>
        <stp>BDP|1622169550589830511</stp>
        <tr r="T810" s="2"/>
      </tp>
      <tp t="s">
        <v>#N/A Requesting Data...2468842947</v>
        <stp/>
        <stp>BDP|1237101989838335915</stp>
        <tr r="K1832" s="2"/>
      </tp>
      <tp t="s">
        <v>#N/A Requesting Data...3314176228</v>
        <stp/>
        <stp>BDP|6928906323961634552</stp>
        <tr r="C978" s="2"/>
      </tp>
      <tp t="s">
        <v>#N/A Requesting Data...4156897182</v>
        <stp/>
        <stp>BDP|9876639062282244224</stp>
        <tr r="H2526" s="2"/>
      </tp>
      <tp t="s">
        <v>#N/A Requesting Data...2900016760</v>
        <stp/>
        <stp>BDP|3214307140274919929</stp>
        <tr r="D239" s="2"/>
      </tp>
      <tp t="s">
        <v>#N/A Requesting Data...2367828845</v>
        <stp/>
        <stp>BDP|3742884848367888164</stp>
        <tr r="H2146" s="2"/>
      </tp>
      <tp t="s">
        <v>#N/A Requesting Data...1135924752</v>
        <stp/>
        <stp>BDP|2888224243585374831</stp>
        <tr r="Q208" s="2"/>
      </tp>
      <tp t="s">
        <v>#N/A Requesting Data...3125036607</v>
        <stp/>
        <stp>BDP|1886457616039201400</stp>
        <tr r="T2432" s="2"/>
      </tp>
      <tp t="s">
        <v>#N/A Requesting Data...1728766704</v>
        <stp/>
        <stp>BDP|2186795899732171792</stp>
        <tr r="P2496" s="2"/>
      </tp>
      <tp t="s">
        <v>#N/A Requesting Data...2117995067</v>
        <stp/>
        <stp>BDP|7849370225058187723</stp>
        <tr r="N1251" s="2"/>
      </tp>
      <tp t="s">
        <v>#N/A Requesting Data...539362904</v>
        <stp/>
        <stp>BDP|4903951900235093155</stp>
        <tr r="P726" s="2"/>
      </tp>
      <tp t="s">
        <v>#N/A Requesting Data...2768348121</v>
        <stp/>
        <stp>BDP|1030392645309652639</stp>
        <tr r="F1281" s="2"/>
      </tp>
      <tp t="s">
        <v>#N/A Requesting Data...1005423273</v>
        <stp/>
        <stp>BDP|2800411585406583103</stp>
        <tr r="M773" s="2"/>
      </tp>
      <tp t="s">
        <v>#N/A Requesting Data...2776403572</v>
        <stp/>
        <stp>BDP|3011349586419834831</stp>
        <tr r="P1118" s="2"/>
      </tp>
      <tp t="s">
        <v>#N/A Requesting Data...2311874500</v>
        <stp/>
        <stp>BDP|9323829299406143705</stp>
        <tr r="O269" s="2"/>
      </tp>
      <tp t="s">
        <v>#N/A Requesting Data...3129527622</v>
        <stp/>
        <stp>BDP|2645792326029087700</stp>
        <tr r="H2112" s="2"/>
      </tp>
      <tp t="s">
        <v>#N/A Requesting Data...3611344737</v>
        <stp/>
        <stp>BDP|1513300598841539314</stp>
        <tr r="E1121" s="2"/>
      </tp>
      <tp t="s">
        <v>#N/A Requesting Data...1262732112</v>
        <stp/>
        <stp>BDP|6503914018546192149</stp>
        <tr r="C1390" s="2"/>
      </tp>
      <tp t="s">
        <v>#N/A Requesting Data...2247018935</v>
        <stp/>
        <stp>BDP|2590625165268386387</stp>
        <tr r="F374" s="2"/>
      </tp>
      <tp t="s">
        <v>#N/A Requesting Data...3398746048</v>
        <stp/>
        <stp>BDP|8431187948563801750</stp>
        <tr r="S2387" s="2"/>
      </tp>
      <tp t="s">
        <v>#N/A Requesting Data...4153963015</v>
        <stp/>
        <stp>BDP|3541845203704922624</stp>
        <tr r="C2327" s="2"/>
      </tp>
      <tp t="s">
        <v>#N/A Requesting Data...664276008</v>
        <stp/>
        <stp>BDP|9926988460389109699</stp>
        <tr r="P738" s="2"/>
      </tp>
      <tp t="s">
        <v>#N/A Requesting Data...1644809131</v>
        <stp/>
        <stp>BDP|9356223899739353224</stp>
        <tr r="A1117" s="2"/>
      </tp>
      <tp t="s">
        <v>#N/A Requesting Data...3588382543</v>
        <stp/>
        <stp>BDP|4789340224869639580</stp>
        <tr r="T1692" s="2"/>
      </tp>
      <tp t="b">
        <v>0</v>
        <stp/>
        <stp>BDS|9655060878387270031</stp>
        <tr r="I1940" s="2"/>
      </tp>
      <tp t="s">
        <v>#N/A Requesting Data...4088112632</v>
        <stp/>
        <stp>BDP|8826400775094102651</stp>
        <tr r="G188" s="2"/>
      </tp>
      <tp t="s">
        <v>#N/A Requesting Data...1063395931</v>
        <stp/>
        <stp>BDP|2414963622100967007</stp>
        <tr r="J2192" s="2"/>
      </tp>
      <tp t="s">
        <v>#N/A Requesting Data...2579168978</v>
        <stp/>
        <stp>BDP|3694083396855927682</stp>
        <tr r="E299" s="2"/>
      </tp>
      <tp t="s">
        <v>#N/A Requesting Data...3557426711</v>
        <stp/>
        <stp>BDP|3368445911247855876</stp>
        <tr r="K2481" s="2"/>
      </tp>
      <tp t="s">
        <v>#N/A Requesting Data...665904211</v>
        <stp/>
        <stp>BDP|3600988864995570064</stp>
        <tr r="M2227" s="2"/>
      </tp>
      <tp t="s">
        <v>#N/A Requesting Data...2865960390</v>
        <stp/>
        <stp>BDP|3597948661672164783</stp>
        <tr r="K680" s="2"/>
      </tp>
      <tp t="s">
        <v>#N/A Requesting Data...1802211535</v>
        <stp/>
        <stp>BDP|2254760770943469898</stp>
        <tr r="R292" s="2"/>
      </tp>
      <tp t="s">
        <v>#N/A Requesting Data...3852091857</v>
        <stp/>
        <stp>BDP|9023057111692954344</stp>
        <tr r="F1693" s="2"/>
      </tp>
      <tp t="s">
        <v>#N/A Requesting Data...2990579896</v>
        <stp/>
        <stp>BDP|7980394922028981726</stp>
        <tr r="J2374" s="2"/>
      </tp>
      <tp t="s">
        <v>#N/A Requesting Data...955605578</v>
        <stp/>
        <stp>BDP|5942647472099564437</stp>
        <tr r="A128" s="2"/>
      </tp>
      <tp t="s">
        <v>#N/A Requesting Data...1569640077</v>
        <stp/>
        <stp>BDP|2017084594531145341</stp>
        <tr r="S251" s="2"/>
      </tp>
      <tp t="s">
        <v>#N/A Requesting Data...1014011051</v>
        <stp/>
        <stp>BDP|3743881597228937381</stp>
        <tr r="O218" s="2"/>
      </tp>
      <tp t="s">
        <v>#N/A Requesting Data...2842277076</v>
        <stp/>
        <stp>BDP|4843090661689860211</stp>
        <tr r="N779" s="2"/>
      </tp>
      <tp t="s">
        <v>#N/A Requesting Data...2095558929</v>
        <stp/>
        <stp>BDP|4374143200078846464</stp>
        <tr r="S1205" s="2"/>
      </tp>
      <tp t="s">
        <v>#N/A Requesting Data...1791932611</v>
        <stp/>
        <stp>BDP|9204535118405042101</stp>
        <tr r="H1352" s="2"/>
      </tp>
      <tp t="s">
        <v>#N/A Requesting Data...3570207593</v>
        <stp/>
        <stp>BDP|2941901302916283400</stp>
        <tr r="N1596" s="2"/>
      </tp>
      <tp t="s">
        <v>#N/A Requesting Data...2844597936</v>
        <stp/>
        <stp>BDP|9904664861993306349</stp>
        <tr r="E1026" s="2"/>
      </tp>
      <tp t="s">
        <v>#N/A Requesting Data...1007893049</v>
        <stp/>
        <stp>BDP|1965641504718228626</stp>
        <tr r="E826" s="2"/>
      </tp>
      <tp t="s">
        <v>#N/A Requesting Data...3102445459</v>
        <stp/>
        <stp>BDP|2977952144022250437</stp>
        <tr r="C1697" s="2"/>
      </tp>
      <tp t="s">
        <v>#N/A Requesting Data...1381104995</v>
        <stp/>
        <stp>BDP|6625783835399352210</stp>
        <tr r="D1800" s="2"/>
      </tp>
      <tp t="s">
        <v>#N/A Requesting Data...3945631590</v>
        <stp/>
        <stp>BDP|4123397010859331629</stp>
        <tr r="E1772" s="2"/>
      </tp>
      <tp t="s">
        <v>#N/A Requesting Data...2602615339</v>
        <stp/>
        <stp>BDP|4671263474318444094</stp>
        <tr r="G1605" s="2"/>
      </tp>
      <tp t="s">
        <v>#N/A Requesting Data...3627815778</v>
        <stp/>
        <stp>BDP|5546626028039654100</stp>
        <tr r="P314" s="2"/>
      </tp>
      <tp t="s">
        <v>#N/A Requesting Data...2020980267</v>
        <stp/>
        <stp>BDP|9438367936792524286</stp>
        <tr r="O1507" s="2"/>
      </tp>
      <tp t="s">
        <v>#N/A Requesting Data...2450575163</v>
        <stp/>
        <stp>BDP|7376249041239833179</stp>
        <tr r="E1204" s="2"/>
      </tp>
      <tp t="s">
        <v>#N/A Requesting Data...1489875611</v>
        <stp/>
        <stp>BDP|5462436944089924534</stp>
        <tr r="D1207" s="2"/>
      </tp>
      <tp t="s">
        <v>#N/A Requesting Data...3097607540</v>
        <stp/>
        <stp>BDP|7276257287110945403</stp>
        <tr r="C1426" s="2"/>
      </tp>
      <tp t="s">
        <v>#N/A Requesting Data...1405442040</v>
        <stp/>
        <stp>BDP|9644496754713333210</stp>
        <tr r="T1923" s="2"/>
      </tp>
      <tp t="s">
        <v>#N/A Requesting Data...3055650350</v>
        <stp/>
        <stp>BDP|9339912188415377404</stp>
        <tr r="E746" s="2"/>
      </tp>
      <tp t="s">
        <v>#N/A Requesting Data...3804053300</v>
        <stp/>
        <stp>BDP|7903287652260229981</stp>
        <tr r="Q2311" s="2"/>
      </tp>
      <tp t="s">
        <v>#N/A Requesting Data...1432155936</v>
        <stp/>
        <stp>BDP|7596064679929146059</stp>
        <tr r="H394" s="2"/>
      </tp>
      <tp t="s">
        <v>#N/A Requesting Data...2233133854</v>
        <stp/>
        <stp>BDP|8932442770055685750</stp>
        <tr r="N1679" s="2"/>
      </tp>
      <tp t="s">
        <v>#N/A Requesting Data...933321286</v>
        <stp/>
        <stp>BDP|4881453993891182112</stp>
        <tr r="P1234" s="2"/>
      </tp>
      <tp t="s">
        <v>#N/A Requesting Data...2970007431</v>
        <stp/>
        <stp>BDP|7195278364883955955</stp>
        <tr r="F1961" s="2"/>
      </tp>
      <tp t="s">
        <v>#N/A Requesting Data...2513644189</v>
        <stp/>
        <stp>BDP|7845315997435448149</stp>
        <tr r="O514" s="2"/>
      </tp>
      <tp t="s">
        <v>#N/A Requesting Data...3761398761</v>
        <stp/>
        <stp>BDP|4836360686036593032</stp>
        <tr r="R42" s="2"/>
      </tp>
      <tp t="s">
        <v>#N/A Requesting Data...1897030922</v>
        <stp/>
        <stp>BDP|6858828722171001464</stp>
        <tr r="C1973" s="2"/>
      </tp>
      <tp t="s">
        <v>#N/A Requesting Data...3800066310</v>
        <stp/>
        <stp>BDP|5867865111830199509</stp>
        <tr r="P2407" s="2"/>
      </tp>
      <tp t="s">
        <v>#N/A Requesting Data...2207178687</v>
        <stp/>
        <stp>BDP|9498308630912273284</stp>
        <tr r="D282" s="2"/>
      </tp>
      <tp t="s">
        <v>#N/A Requesting Data...2124289418</v>
        <stp/>
        <stp>BDP|8868722106146072029</stp>
        <tr r="A358" s="2"/>
      </tp>
      <tp t="s">
        <v>#N/A Requesting Data...2368756778</v>
        <stp/>
        <stp>BDP|3067957706013838059</stp>
        <tr r="P1736" s="2"/>
      </tp>
      <tp t="s">
        <v>#N/A Requesting Data...2974803968</v>
        <stp/>
        <stp>BDP|2897064813342650850</stp>
        <tr r="J437" s="2"/>
      </tp>
      <tp t="s">
        <v>#N/A Requesting Data...1542900464</v>
        <stp/>
        <stp>BDP|4482359301446893866</stp>
        <tr r="K55" s="2"/>
      </tp>
      <tp t="s">
        <v>#N/A Requesting Data...4049219108</v>
        <stp/>
        <stp>BDP|5857012445808770052</stp>
        <tr r="Q1092" s="2"/>
      </tp>
      <tp t="s">
        <v>#N/A Requesting Data...3567376686</v>
        <stp/>
        <stp>BDP|7421142181082994563</stp>
        <tr r="S1028" s="2"/>
      </tp>
      <tp t="s">
        <v>#N/A Requesting Data...2198511034</v>
        <stp/>
        <stp>BDP|1281428984944241087</stp>
        <tr r="P1060" s="2"/>
      </tp>
      <tp t="s">
        <v>#N/A Requesting Data...3961175262</v>
        <stp/>
        <stp>BDP|2397396813641776804</stp>
        <tr r="A790" s="2"/>
      </tp>
      <tp t="s">
        <v>#N/A Requesting Data...3610421599</v>
        <stp/>
        <stp>BDP|4559598751585069834</stp>
        <tr r="T795" s="2"/>
      </tp>
      <tp t="s">
        <v>#N/A Requesting Data...1434398807</v>
        <stp/>
        <stp>BDP|8333486136836008037</stp>
        <tr r="S1803" s="2"/>
      </tp>
      <tp t="s">
        <v>#N/A Requesting Data...891256430</v>
        <stp/>
        <stp>BDP|8129372037470895177</stp>
        <tr r="F2270" s="2"/>
      </tp>
      <tp t="s">
        <v>#N/A Requesting Data...2385898702</v>
        <stp/>
        <stp>BDP|1245403679202507908</stp>
        <tr r="S2444" s="2"/>
      </tp>
      <tp t="s">
        <v>#N/A Requesting Data...2059006357</v>
        <stp/>
        <stp>BDP|6572383789934982038</stp>
        <tr r="N134" s="2"/>
      </tp>
      <tp t="s">
        <v>#N/A Requesting Data...4095558469</v>
        <stp/>
        <stp>BDP|4116469297203751392</stp>
        <tr r="E2400" s="2"/>
      </tp>
      <tp t="s">
        <v>#N/A Requesting Data...2067738418</v>
        <stp/>
        <stp>BDP|1139809018260249151</stp>
        <tr r="R2486" s="2"/>
      </tp>
      <tp t="s">
        <v>#N/A Requesting Data...3103092536</v>
        <stp/>
        <stp>BDP|6179505549696196870</stp>
        <tr r="M392" s="2"/>
      </tp>
      <tp t="s">
        <v>#N/A Requesting Data...3499419247</v>
        <stp/>
        <stp>BDP|4900747997662753139</stp>
        <tr r="P1169" s="2"/>
      </tp>
      <tp t="s">
        <v>#N/A Requesting Data...1054074492</v>
        <stp/>
        <stp>BDP|6108681312231082956</stp>
        <tr r="M1312" s="2"/>
      </tp>
      <tp t="s">
        <v>#N/A Requesting Data...3514754440</v>
        <stp/>
        <stp>BDP|4388293295551748766</stp>
        <tr r="T570" s="2"/>
      </tp>
      <tp t="s">
        <v>#N/A Requesting Data...1400177074</v>
        <stp/>
        <stp>BDP|6434818610044251292</stp>
        <tr r="F645" s="2"/>
      </tp>
      <tp t="s">
        <v>#N/A Requesting Data...2084386402</v>
        <stp/>
        <stp>BDP|3936221795902611366</stp>
        <tr r="Q2092" s="2"/>
      </tp>
      <tp t="s">
        <v>#N/A Requesting Data...1877750438</v>
        <stp/>
        <stp>BDP|7539828910666155184</stp>
        <tr r="Q1678" s="2"/>
      </tp>
      <tp t="s">
        <v>#N/A Requesting Data...1232177960</v>
        <stp/>
        <stp>BDP|5947912826723350438</stp>
        <tr r="M2278" s="2"/>
      </tp>
      <tp t="b">
        <v>0</v>
        <stp/>
        <stp>BDS|7331956155887555587</stp>
        <tr r="I2192" s="2"/>
      </tp>
      <tp t="s">
        <v>#N/A Requesting Data...1037564780</v>
        <stp/>
        <stp>BDP|2304565921078383491</stp>
        <tr r="Q1808" s="2"/>
      </tp>
      <tp t="s">
        <v>#N/A Requesting Data...3628582081</v>
        <stp/>
        <stp>BDP|8647222286372930959</stp>
        <tr r="K2523" s="2"/>
      </tp>
      <tp t="s">
        <v>#N/A Requesting Data...809549862</v>
        <stp/>
        <stp>BDP|9380553045129500885</stp>
        <tr r="F1540" s="2"/>
      </tp>
      <tp t="s">
        <v>#N/A Requesting Data...1171400190</v>
        <stp/>
        <stp>BDP|7695117241243870804</stp>
        <tr r="E216" s="2"/>
      </tp>
      <tp t="s">
        <v>#N/A Requesting Data...2906754641</v>
        <stp/>
        <stp>BDP|1447341983446986546</stp>
        <tr r="T1439" s="2"/>
      </tp>
      <tp t="s">
        <v>#N/A Requesting Data...3707094560</v>
        <stp/>
        <stp>BDP|1464061689842374266</stp>
        <tr r="O1045" s="2"/>
      </tp>
      <tp t="s">
        <v>#N/A Requesting Data...3328490537</v>
        <stp/>
        <stp>BDP|1277384999852857050</stp>
        <tr r="N2258" s="2"/>
      </tp>
      <tp t="s">
        <v>#N/A Requesting Data...3574984921</v>
        <stp/>
        <stp>BDP|9077598649624659582</stp>
        <tr r="O1484" s="2"/>
      </tp>
      <tp t="s">
        <v>#N/A Requesting Data...3843483260</v>
        <stp/>
        <stp>BDP|3748936954520801666</stp>
        <tr r="D374" s="2"/>
      </tp>
      <tp t="s">
        <v>#N/A Requesting Data...1621373798</v>
        <stp/>
        <stp>BDP|7344063028975090936</stp>
        <tr r="O1408" s="2"/>
      </tp>
      <tp t="s">
        <v>#N/A Requesting Data...3394091359</v>
        <stp/>
        <stp>BDP|3426276055128958511</stp>
        <tr r="T900" s="2"/>
      </tp>
      <tp t="s">
        <v>#N/A Requesting Data...3876580624</v>
        <stp/>
        <stp>BDP|7616542737298851035</stp>
        <tr r="C1369" s="2"/>
      </tp>
      <tp t="s">
        <v>#N/A Requesting Data...2412732485</v>
        <stp/>
        <stp>BDP|2330794818469849447</stp>
        <tr r="G2327" s="2"/>
      </tp>
      <tp t="s">
        <v>#N/A Requesting Data...3792036420</v>
        <stp/>
        <stp>BDP|1516977361101969641</stp>
        <tr r="P344" s="2"/>
      </tp>
      <tp t="s">
        <v>#N/A Requesting Data...3635837286</v>
        <stp/>
        <stp>BDP|8159636707334327382</stp>
        <tr r="C2110" s="2"/>
      </tp>
      <tp t="b">
        <v>0</v>
        <stp/>
        <stp>BDS|5577598492511180112</stp>
        <tr r="I2404" s="2"/>
      </tp>
      <tp t="s">
        <v>#N/A Requesting Data...3106556301</v>
        <stp/>
        <stp>BDP|2601995858632102580</stp>
        <tr r="O1502" s="2"/>
      </tp>
      <tp t="s">
        <v>#N/A Requesting Data...3954748738</v>
        <stp/>
        <stp>BDP|5910130361599710226</stp>
        <tr r="Q467" s="2"/>
      </tp>
      <tp t="s">
        <v>#N/A Requesting Data...2312931281</v>
        <stp/>
        <stp>BDP|9647960905628912121</stp>
        <tr r="P2061" s="2"/>
      </tp>
      <tp t="s">
        <v>#N/A Requesting Data...2540475253</v>
        <stp/>
        <stp>BDP|4747387805069090748</stp>
        <tr r="D653" s="2"/>
      </tp>
      <tp t="s">
        <v>#N/A Requesting Data...1856579864</v>
        <stp/>
        <stp>BDP|6335851058374229621</stp>
        <tr r="A2448" s="2"/>
      </tp>
      <tp t="s">
        <v>#N/A Requesting Data...1348393411</v>
        <stp/>
        <stp>BDP|6137322099676716333</stp>
        <tr r="C416" s="2"/>
      </tp>
      <tp t="s">
        <v>#N/A Requesting Data...4173781161</v>
        <stp/>
        <stp>BDP|6942635189379945843</stp>
        <tr r="Q1894" s="2"/>
      </tp>
      <tp t="s">
        <v>#N/A Requesting Data...2500593181</v>
        <stp/>
        <stp>BDP|2167306563247545993</stp>
        <tr r="Q2246" s="2"/>
      </tp>
      <tp t="s">
        <v>#N/A Requesting Data...3933767269</v>
        <stp/>
        <stp>BDP|1752437421486955826</stp>
        <tr r="H2488" s="2"/>
      </tp>
      <tp t="s">
        <v>#N/A Requesting Data...1538484357</v>
        <stp/>
        <stp>BDP|9227571498275021937</stp>
        <tr r="P2399" s="2"/>
      </tp>
      <tp t="s">
        <v>#N/A Requesting Data...1052492699</v>
        <stp/>
        <stp>BDP|5889322792881047762</stp>
        <tr r="H1521" s="2"/>
      </tp>
      <tp t="s">
        <v>#N/A Requesting Data...2361301531</v>
        <stp/>
        <stp>BDP|7206828759696220558</stp>
        <tr r="K2047" s="2"/>
      </tp>
      <tp t="s">
        <v>#N/A Requesting Data...2283653399</v>
        <stp/>
        <stp>BDP|4007931828037179141</stp>
        <tr r="O924" s="2"/>
      </tp>
      <tp t="s">
        <v>#N/A Requesting Data...2113953475</v>
        <stp/>
        <stp>BDP|1550658155668391385</stp>
        <tr r="P2509" s="2"/>
      </tp>
      <tp t="s">
        <v>#N/A Requesting Data...3644842149</v>
        <stp/>
        <stp>BDP|2947109258216883970</stp>
        <tr r="K694" s="2"/>
      </tp>
      <tp t="s">
        <v>#N/A Requesting Data...1346419706</v>
        <stp/>
        <stp>BDP|3850980178561070560</stp>
        <tr r="N1690" s="2"/>
      </tp>
      <tp t="s">
        <v>#N/A Requesting Data...4099857680</v>
        <stp/>
        <stp>BDP|9370690627066077237</stp>
        <tr r="E387" s="2"/>
      </tp>
      <tp t="s">
        <v>#N/A Requesting Data...2732922449</v>
        <stp/>
        <stp>BDP|8146895301979091076</stp>
        <tr r="O1463" s="2"/>
      </tp>
      <tp t="s">
        <v>#N/A Requesting Data...3405075646</v>
        <stp/>
        <stp>BDP|6114204880070810573</stp>
        <tr r="J788" s="2"/>
      </tp>
      <tp t="s">
        <v>#N/A Requesting Data...2937011798</v>
        <stp/>
        <stp>BDP|3797411374840945952</stp>
        <tr r="F2254" s="2"/>
      </tp>
      <tp t="b">
        <v>0</v>
        <stp/>
        <stp>BDS|3321429193803526494</stp>
        <tr r="I705" s="2"/>
      </tp>
      <tp t="s">
        <v>#N/A Requesting Data...1364533406</v>
        <stp/>
        <stp>BDP|5614211545668456285</stp>
        <tr r="O1622" s="2"/>
      </tp>
      <tp t="b">
        <v>0</v>
        <stp/>
        <stp>BDS|9035086946556454240</stp>
        <tr r="I124" s="2"/>
      </tp>
      <tp t="s">
        <v>#N/A Requesting Data...3737788650</v>
        <stp/>
        <stp>BDP|9361481161387721530</stp>
        <tr r="O1968" s="2"/>
      </tp>
      <tp t="s">
        <v>#N/A Requesting Data...3561116600</v>
        <stp/>
        <stp>BDP|5166158360663308881</stp>
        <tr r="P247" s="2"/>
      </tp>
      <tp t="s">
        <v>#N/A Requesting Data...2616969030</v>
        <stp/>
        <stp>BDP|5729479699072013363</stp>
        <tr r="Q795" s="2"/>
      </tp>
      <tp t="s">
        <v>#N/A Requesting Data...1755470773</v>
        <stp/>
        <stp>BDP|4586860144123120293</stp>
        <tr r="O692" s="2"/>
      </tp>
      <tp t="s">
        <v>#N/A Requesting Data...3571913703</v>
        <stp/>
        <stp>BDP|8007031116730294087</stp>
        <tr r="N2266" s="2"/>
      </tp>
      <tp t="s">
        <v>#N/A Requesting Data...3899095125</v>
        <stp/>
        <stp>BDP|1984772981496876181</stp>
        <tr r="T1529" s="2"/>
      </tp>
      <tp t="b">
        <v>0</v>
        <stp/>
        <stp>BDS|4898194798261231447</stp>
        <tr r="I2079" s="2"/>
      </tp>
      <tp t="s">
        <v>#N/A Requesting Data...3786728508</v>
        <stp/>
        <stp>BDP|6827490194104312699</stp>
        <tr r="H248" s="2"/>
      </tp>
      <tp t="s">
        <v>#N/A Requesting Data...1742925943</v>
        <stp/>
        <stp>BDP|8542171261207946158</stp>
        <tr r="C107" s="2"/>
      </tp>
      <tp t="s">
        <v>#N/A Requesting Data...2323098910</v>
        <stp/>
        <stp>BDP|4187949521914922220</stp>
        <tr r="H1050" s="2"/>
      </tp>
      <tp t="s">
        <v>#N/A Requesting Data...1108535618</v>
        <stp/>
        <stp>BDP|9284174701745944425</stp>
        <tr r="P2323" s="2"/>
      </tp>
      <tp t="s">
        <v>#N/A Requesting Data...3217131239</v>
        <stp/>
        <stp>BDP|8768529869684142627</stp>
        <tr r="D1131" s="2"/>
      </tp>
      <tp t="b">
        <v>0</v>
        <stp/>
        <stp>BDS|5877987778522726009</stp>
        <tr r="I455" s="2"/>
      </tp>
      <tp t="s">
        <v>#N/A Requesting Data...1026374599</v>
        <stp/>
        <stp>BDP|1791642058063752833</stp>
        <tr r="T2359" s="2"/>
      </tp>
      <tp t="s">
        <v>#N/A Requesting Data...1053454238</v>
        <stp/>
        <stp>BDP|1114543959808107027</stp>
        <tr r="T1828" s="2"/>
      </tp>
      <tp t="s">
        <v>#N/A Requesting Data...3368655886</v>
        <stp/>
        <stp>BDP|6326652542115884835</stp>
        <tr r="H2198" s="2"/>
      </tp>
      <tp t="b">
        <v>0</v>
        <stp/>
        <stp>BDS|3909971521369843889</stp>
        <tr r="I2113" s="2"/>
      </tp>
      <tp t="s">
        <v>#N/A Requesting Data...2210353213</v>
        <stp/>
        <stp>BDP|7203802167214949438</stp>
        <tr r="D424" s="2"/>
      </tp>
      <tp t="s">
        <v>#N/A Requesting Data...2106541683</v>
        <stp/>
        <stp>BDP|3636989167800040569</stp>
        <tr r="R2413" s="2"/>
      </tp>
      <tp t="s">
        <v>#N/A Requesting Data...2404997716</v>
        <stp/>
        <stp>BDP|3537028736528963177</stp>
        <tr r="A1879" s="2"/>
      </tp>
      <tp t="s">
        <v>#N/A Requesting Data...4128996982</v>
        <stp/>
        <stp>BDP|5836221738154955949</stp>
        <tr r="C1487" s="2"/>
      </tp>
      <tp t="s">
        <v>#N/A Requesting Data...893705210</v>
        <stp/>
        <stp>BDP|3925070547307288946</stp>
        <tr r="K1020" s="2"/>
      </tp>
      <tp t="s">
        <v>#N/A Requesting Data...3793949222</v>
        <stp/>
        <stp>BDP|7070453698887517472</stp>
        <tr r="Q180" s="2"/>
      </tp>
      <tp t="s">
        <v>#N/A Requesting Data...2453896275</v>
        <stp/>
        <stp>BDP|2643365893054470588</stp>
        <tr r="E781" s="2"/>
      </tp>
      <tp t="s">
        <v>#N/A Requesting Data...2157270431</v>
        <stp/>
        <stp>BDP|9608770759893369140</stp>
        <tr r="H921" s="2"/>
      </tp>
      <tp t="s">
        <v>#N/A Requesting Data...2403230211</v>
        <stp/>
        <stp>BDP|1619339585702875176</stp>
        <tr r="F658" s="2"/>
      </tp>
      <tp t="s">
        <v>#N/A Requesting Data...3643893794</v>
        <stp/>
        <stp>BDP|8207254870831946516</stp>
        <tr r="M1086" s="2"/>
      </tp>
      <tp t="s">
        <v>#N/A Requesting Data...3187510753</v>
        <stp/>
        <stp>BDP|2950935491048474306</stp>
        <tr r="C61" s="2"/>
      </tp>
      <tp t="s">
        <v>#N/A Requesting Data...1002736215</v>
        <stp/>
        <stp>BDP|7951239160263173948</stp>
        <tr r="O905" s="2"/>
      </tp>
      <tp t="s">
        <v>#N/A Requesting Data...2135685662</v>
        <stp/>
        <stp>BDP|8573922296023626286</stp>
        <tr r="C125" s="2"/>
      </tp>
      <tp t="b">
        <v>0</v>
        <stp/>
        <stp>BDS|7880966588306163989</stp>
        <tr r="I2176" s="2"/>
      </tp>
      <tp t="s">
        <v>#N/A Requesting Data...1087792302</v>
        <stp/>
        <stp>BDP|5250290100638755637</stp>
        <tr r="G1981" s="2"/>
      </tp>
      <tp t="s">
        <v>#N/A Requesting Data...1624010988</v>
        <stp/>
        <stp>BDP|5574811041826267689</stp>
        <tr r="F513" s="2"/>
      </tp>
      <tp t="s">
        <v>#N/A Requesting Data...3827941134</v>
        <stp/>
        <stp>BDP|7619476175228218595</stp>
        <tr r="R1886" s="2"/>
      </tp>
      <tp t="s">
        <v>#N/A Requesting Data...1619744797</v>
        <stp/>
        <stp>BDP|8922579913693541678</stp>
        <tr r="C2322" s="2"/>
      </tp>
      <tp t="s">
        <v>#N/A Requesting Data...1386233079</v>
        <stp/>
        <stp>BDP|8173701967533166384</stp>
        <tr r="N1758" s="2"/>
      </tp>
      <tp t="s">
        <v>#N/A Requesting Data...3406604055</v>
        <stp/>
        <stp>BDP|5781822829560487676</stp>
        <tr r="A747" s="2"/>
      </tp>
      <tp t="s">
        <v>#N/A Requesting Data...2342708456</v>
        <stp/>
        <stp>BDP|3345657352188367185</stp>
        <tr r="G1612" s="2"/>
      </tp>
      <tp t="b">
        <v>0</v>
        <stp/>
        <stp>BDS|7564567889526017557</stp>
        <tr r="I298" s="2"/>
      </tp>
      <tp t="s">
        <v>#N/A Requesting Data...1771411456</v>
        <stp/>
        <stp>BDP|3199829459137175047</stp>
        <tr r="R1190" s="2"/>
      </tp>
      <tp t="s">
        <v>#N/A Requesting Data...1663239443</v>
        <stp/>
        <stp>BDP|7633069161968715092</stp>
        <tr r="F120" s="2"/>
      </tp>
      <tp t="s">
        <v>#N/A Requesting Data...2155891151</v>
        <stp/>
        <stp>BDP|2049349640445208999</stp>
        <tr r="P2494" s="2"/>
      </tp>
      <tp t="s">
        <v>#N/A Requesting Data...3719656812</v>
        <stp/>
        <stp>BDP|2039497216247646962</stp>
        <tr r="G1915" s="2"/>
      </tp>
      <tp t="s">
        <v>#N/A Requesting Data...4089436885</v>
        <stp/>
        <stp>BDP|8009944893175972411</stp>
        <tr r="C1677" s="2"/>
      </tp>
      <tp t="s">
        <v>#N/A Requesting Data...4124239937</v>
        <stp/>
        <stp>BDP|9640472342260507097</stp>
        <tr r="F1297" s="2"/>
      </tp>
      <tp t="s">
        <v>#N/A Requesting Data...2857547727</v>
        <stp/>
        <stp>BDP|5949241164021236945</stp>
        <tr r="D2" s="2"/>
      </tp>
      <tp t="s">
        <v>#N/A Requesting Data...1428313646</v>
        <stp/>
        <stp>BDP|4000988628985751387</stp>
        <tr r="E822" s="2"/>
      </tp>
      <tp t="s">
        <v>#N/A Requesting Data...3509325282</v>
        <stp/>
        <stp>BDP|3505773575209131390</stp>
        <tr r="T150" s="2"/>
      </tp>
      <tp t="s">
        <v>#N/A Requesting Data...2066519513</v>
        <stp/>
        <stp>BDP|7874976064889732838</stp>
        <tr r="H1831" s="2"/>
      </tp>
      <tp t="s">
        <v>#N/A Requesting Data...1429967052</v>
        <stp/>
        <stp>BDP|8970442850388427861</stp>
        <tr r="F463" s="2"/>
      </tp>
      <tp t="s">
        <v>#N/A Requesting Data...2085670243</v>
        <stp/>
        <stp>BDP|1663622549439327317</stp>
        <tr r="D2047" s="2"/>
      </tp>
      <tp t="s">
        <v>#N/A Requesting Data...3714279043</v>
        <stp/>
        <stp>BDP|9003995546288701572</stp>
        <tr r="D182" s="2"/>
      </tp>
      <tp t="s">
        <v>#N/A Requesting Data...2308635302</v>
        <stp/>
        <stp>BDP|7778770040339972466</stp>
        <tr r="G173" s="2"/>
      </tp>
      <tp t="s">
        <v>#N/A Requesting Data...1337468324</v>
        <stp/>
        <stp>BDP|4304644812073311990</stp>
        <tr r="A874" s="2"/>
      </tp>
      <tp t="s">
        <v>#N/A Requesting Data...3568935521</v>
        <stp/>
        <stp>BDP|6843802222233237673</stp>
        <tr r="J1540" s="2"/>
      </tp>
      <tp t="s">
        <v>#N/A Requesting Data...1026463272</v>
        <stp/>
        <stp>BDP|9073680230844325149</stp>
        <tr r="R1273" s="2"/>
      </tp>
      <tp t="s">
        <v>#N/A Requesting Data...1197485867</v>
        <stp/>
        <stp>BDP|7932252671212176930</stp>
        <tr r="C315" s="2"/>
      </tp>
      <tp t="s">
        <v>#N/A Requesting Data...3843955584</v>
        <stp/>
        <stp>BDP|1039296273615614836</stp>
        <tr r="A725" s="2"/>
      </tp>
      <tp t="s">
        <v>#N/A Requesting Data...1997880351</v>
        <stp/>
        <stp>BDP|1852014897456410750</stp>
        <tr r="J731" s="2"/>
      </tp>
      <tp t="s">
        <v>#N/A Requesting Data...2628566310</v>
        <stp/>
        <stp>BDP|8446698844440342358</stp>
        <tr r="J1532" s="2"/>
      </tp>
      <tp t="s">
        <v>#N/A Requesting Data...3421903497</v>
        <stp/>
        <stp>BDP|7746253965168000282</stp>
        <tr r="O197" s="2"/>
      </tp>
      <tp t="b">
        <v>0</v>
        <stp/>
        <stp>BDS|4540016098707509362</stp>
        <tr r="I2136" s="2"/>
      </tp>
      <tp t="s">
        <v>#N/A Requesting Data...2953465475</v>
        <stp/>
        <stp>BDP|9459323508732938185</stp>
        <tr r="Q18" s="2"/>
      </tp>
      <tp t="s">
        <v>#N/A Requesting Data...1200814092</v>
        <stp/>
        <stp>BDP|4704088380054961199</stp>
        <tr r="C259" s="2"/>
      </tp>
      <tp t="s">
        <v>#N/A Requesting Data...2747680020</v>
        <stp/>
        <stp>BDP|1962515826379573640</stp>
        <tr r="Q8" s="2"/>
      </tp>
      <tp t="s">
        <v>#N/A Requesting Data...2488206034</v>
        <stp/>
        <stp>BDP|3810832264423190718</stp>
        <tr r="M2443" s="2"/>
      </tp>
      <tp t="s">
        <v>#N/A Requesting Data...965283527</v>
        <stp/>
        <stp>BDP|7008219009838751402</stp>
        <tr r="O2229" s="2"/>
      </tp>
      <tp t="b">
        <v>0</v>
        <stp/>
        <stp>BDS|1192583386172131722</stp>
        <tr r="I2304" s="2"/>
      </tp>
      <tp t="s">
        <v>#N/A Requesting Data...1685065136</v>
        <stp/>
        <stp>BDP|6664489717192648833</stp>
        <tr r="S1104" s="2"/>
      </tp>
      <tp t="s">
        <v>#N/A Requesting Data...2336169836</v>
        <stp/>
        <stp>BDP|8110394605075353729</stp>
        <tr r="G831" s="2"/>
      </tp>
      <tp t="s">
        <v>#N/A Requesting Data...1451632785</v>
        <stp/>
        <stp>BDP|9744134679104010219</stp>
        <tr r="C251" s="2"/>
      </tp>
      <tp t="b">
        <v>0</v>
        <stp/>
        <stp>BDS|2142283168829432696</stp>
        <tr r="I857" s="2"/>
      </tp>
      <tp t="s">
        <v>#N/A Requesting Data...1055863014</v>
        <stp/>
        <stp>BDP|3922068700723077932</stp>
        <tr r="H1905" s="2"/>
      </tp>
      <tp t="s">
        <v>#N/A Requesting Data...2966332221</v>
        <stp/>
        <stp>BDP|8837760547895119742</stp>
        <tr r="J1970" s="2"/>
      </tp>
      <tp t="s">
        <v>#N/A Requesting Data...1204308753</v>
        <stp/>
        <stp>BDP|1382998143097796221</stp>
        <tr r="S1586" s="2"/>
      </tp>
      <tp t="s">
        <v>#N/A Requesting Data...1182320837</v>
        <stp/>
        <stp>BDP|3311939249882083550</stp>
        <tr r="P1583" s="2"/>
      </tp>
      <tp t="s">
        <v>#N/A Requesting Data...2031667700</v>
        <stp/>
        <stp>BDP|3757940846930849713</stp>
        <tr r="G91" s="2"/>
      </tp>
      <tp t="s">
        <v>#N/A Requesting Data...3176668837</v>
        <stp/>
        <stp>BDP|5777631771705086892</stp>
        <tr r="K2029" s="2"/>
      </tp>
      <tp t="s">
        <v>#N/A Requesting Data...1592587971</v>
        <stp/>
        <stp>BDP|3406469630955894862</stp>
        <tr r="G227" s="2"/>
      </tp>
      <tp t="s">
        <v>#N/A Requesting Data...1798819058</v>
        <stp/>
        <stp>BDP|6696523508468549251</stp>
        <tr r="F667" s="2"/>
      </tp>
      <tp t="s">
        <v>#N/A Requesting Data...4199591818</v>
        <stp/>
        <stp>BDP|2566399621602618873</stp>
        <tr r="C1910" s="2"/>
      </tp>
      <tp t="s">
        <v>#N/A Requesting Data...2820905809</v>
        <stp/>
        <stp>BDP|8251892182746422718</stp>
        <tr r="S244" s="2"/>
      </tp>
      <tp t="s">
        <v>#N/A Requesting Data...4114195262</v>
        <stp/>
        <stp>BDP|4713204758769190321</stp>
        <tr r="Q954" s="2"/>
      </tp>
      <tp t="s">
        <v>#N/A Requesting Data...2900343416</v>
        <stp/>
        <stp>BDP|8778668634296024295</stp>
        <tr r="S796" s="2"/>
      </tp>
      <tp t="s">
        <v>#N/A Requesting Data...2162262262</v>
        <stp/>
        <stp>BDP|1712162828979385268</stp>
        <tr r="H2087" s="2"/>
      </tp>
      <tp t="s">
        <v>#N/A Requesting Data...2220177218</v>
        <stp/>
        <stp>BDP|4625613618269071339</stp>
        <tr r="C2085" s="2"/>
      </tp>
      <tp t="s">
        <v>#N/A Requesting Data...4176503596</v>
        <stp/>
        <stp>BDP|5187486962036679814</stp>
        <tr r="P1652" s="2"/>
      </tp>
      <tp t="s">
        <v>#N/A Requesting Data...4190224145</v>
        <stp/>
        <stp>BDP|2158591881966543004</stp>
        <tr r="H1129" s="2"/>
      </tp>
      <tp t="s">
        <v>#N/A Requesting Data...3806944520</v>
        <stp/>
        <stp>BDP|2834141481501735369</stp>
        <tr r="M452" s="2"/>
      </tp>
      <tp t="s">
        <v>#N/A Requesting Data...3834020277</v>
        <stp/>
        <stp>BDP|4376954201515394182</stp>
        <tr r="G958" s="2"/>
      </tp>
      <tp t="s">
        <v>#N/A Requesting Data...2154677382</v>
        <stp/>
        <stp>BDP|9568791440731752278</stp>
        <tr r="M840" s="2"/>
      </tp>
      <tp t="s">
        <v>#N/A Requesting Data...2485148693</v>
        <stp/>
        <stp>BDP|9661344669793703608</stp>
        <tr r="C463" s="2"/>
      </tp>
      <tp t="s">
        <v>#N/A Requesting Data...1457285010</v>
        <stp/>
        <stp>BDP|1333167488158393920</stp>
        <tr r="S196" s="2"/>
      </tp>
      <tp t="s">
        <v>#N/A Requesting Data...2606720269</v>
        <stp/>
        <stp>BDP|5460369643753822856</stp>
        <tr r="R303" s="2"/>
      </tp>
      <tp t="s">
        <v>#N/A Requesting Data...1674865126</v>
        <stp/>
        <stp>BDP|5788207032424842913</stp>
        <tr r="D2383" s="2"/>
      </tp>
      <tp t="s">
        <v>#N/A Requesting Data...1319996360</v>
        <stp/>
        <stp>BDP|3712553949593728809</stp>
        <tr r="N516" s="2"/>
      </tp>
      <tp t="b">
        <v>0</v>
        <stp/>
        <stp>BDS|9788730952675933731</stp>
        <tr r="I1927" s="2"/>
      </tp>
      <tp t="b">
        <v>0</v>
        <stp/>
        <stp>BDS|1827887147987324382</stp>
        <tr r="I70" s="2"/>
      </tp>
      <tp t="s">
        <v>#N/A Requesting Data...3901725391</v>
        <stp/>
        <stp>BDP|9526256454926004183</stp>
        <tr r="H2136" s="2"/>
      </tp>
      <tp t="b">
        <v>0</v>
        <stp/>
        <stp>BDS|7352639259229362465</stp>
        <tr r="I2314" s="2"/>
      </tp>
      <tp t="s">
        <v>#N/A Requesting Data...3367168733</v>
        <stp/>
        <stp>BDP|2807984918077095443</stp>
        <tr r="J1538" s="2"/>
      </tp>
      <tp t="s">
        <v>#N/A Requesting Data...1966856666</v>
        <stp/>
        <stp>BDP|9845159516413001378</stp>
        <tr r="Q1049" s="2"/>
      </tp>
      <tp t="s">
        <v>#N/A Requesting Data...4035421101</v>
        <stp/>
        <stp>BDP|8830283776282817622</stp>
        <tr r="M201" s="2"/>
      </tp>
      <tp t="b">
        <v>0</v>
        <stp/>
        <stp>BDS|8475256322865628499</stp>
        <tr r="I470" s="2"/>
      </tp>
      <tp t="s">
        <v>#N/A Requesting Data...3194100287</v>
        <stp/>
        <stp>BDP|5028486103471047975</stp>
        <tr r="Q1433" s="2"/>
      </tp>
      <tp t="s">
        <v>#N/A Requesting Data...2429805800</v>
        <stp/>
        <stp>BDP|2606562762631758990</stp>
        <tr r="O2065" s="2"/>
      </tp>
      <tp t="s">
        <v>#N/A Requesting Data...3438754897</v>
        <stp/>
        <stp>BDP|8910743047324368656</stp>
        <tr r="H2069" s="2"/>
      </tp>
      <tp t="s">
        <v>#N/A Requesting Data...2070036473</v>
        <stp/>
        <stp>BDP|5058736947247862807</stp>
        <tr r="H1385" s="2"/>
      </tp>
      <tp t="s">
        <v>#N/A Requesting Data...1764908028</v>
        <stp/>
        <stp>BDP|9289101877953873517</stp>
        <tr r="F1668" s="2"/>
      </tp>
      <tp t="s">
        <v>#N/A Requesting Data...2168787083</v>
        <stp/>
        <stp>BDP|4509226825859776499</stp>
        <tr r="Q1462" s="2"/>
      </tp>
      <tp t="s">
        <v>#N/A Requesting Data...2812248590</v>
        <stp/>
        <stp>BDP|4110342831818120599</stp>
        <tr r="G2462" s="2"/>
      </tp>
      <tp t="s">
        <v>#N/A Requesting Data...1581787993</v>
        <stp/>
        <stp>BDP|7600636409558238020</stp>
        <tr r="K933" s="2"/>
      </tp>
      <tp t="s">
        <v>#N/A Requesting Data...2708437812</v>
        <stp/>
        <stp>BDP|4963669874989079571</stp>
        <tr r="P1634" s="2"/>
      </tp>
      <tp t="s">
        <v>#N/A Requesting Data...2730013755</v>
        <stp/>
        <stp>BDP|5136253642743321996</stp>
        <tr r="M34" s="2"/>
      </tp>
      <tp t="s">
        <v>#N/A Requesting Data...1970579084</v>
        <stp/>
        <stp>BDP|2177684376018423272</stp>
        <tr r="T770" s="2"/>
      </tp>
      <tp t="b">
        <v>0</v>
        <stp/>
        <stp>BDS|1615767779638216071</stp>
        <tr r="I2482" s="2"/>
      </tp>
      <tp t="s">
        <v>#N/A Requesting Data...2617516052</v>
        <stp/>
        <stp>BDP|3206810349282750414</stp>
        <tr r="S1874" s="2"/>
      </tp>
      <tp t="s">
        <v>#N/A Requesting Data...2897434239</v>
        <stp/>
        <stp>BDP|7813689443695790984</stp>
        <tr r="Q79" s="2"/>
      </tp>
      <tp t="s">
        <v>#N/A Requesting Data...2559093001</v>
        <stp/>
        <stp>BDP|9359157711411915124</stp>
        <tr r="A1006" s="2"/>
      </tp>
      <tp t="s">
        <v>#N/A Requesting Data...1148167631</v>
        <stp/>
        <stp>BDP|1850672890110152720</stp>
        <tr r="T932" s="2"/>
      </tp>
      <tp t="s">
        <v>#N/A Requesting Data...2903358860</v>
        <stp/>
        <stp>BDP|4307819504064884123</stp>
        <tr r="N104" s="2"/>
      </tp>
      <tp t="s">
        <v>#N/A Requesting Data...3032407070</v>
        <stp/>
        <stp>BDP|2248299674918102626</stp>
        <tr r="Q1753" s="2"/>
      </tp>
      <tp t="s">
        <v>#N/A Requesting Data...2642481506</v>
        <stp/>
        <stp>BDP|9494250582788984264</stp>
        <tr r="D888" s="2"/>
      </tp>
      <tp t="s">
        <v>#N/A Requesting Data...3839529347</v>
        <stp/>
        <stp>BDP|5383899279434808777</stp>
        <tr r="G2049" s="2"/>
      </tp>
      <tp t="s">
        <v>#N/A Requesting Data...3226834831</v>
        <stp/>
        <stp>BDP|8669469677066943429</stp>
        <tr r="F518" s="2"/>
      </tp>
      <tp t="s">
        <v>#N/A Requesting Data...1620989970</v>
        <stp/>
        <stp>BDP|5337196423917113848</stp>
        <tr r="K1558" s="2"/>
      </tp>
      <tp t="s">
        <v>#N/A Requesting Data...2177695426</v>
        <stp/>
        <stp>BDP|1477138312888120080</stp>
        <tr r="F1721" s="2"/>
      </tp>
      <tp t="s">
        <v>#N/A Requesting Data...1500478136</v>
        <stp/>
        <stp>BDP|7462668304940249886</stp>
        <tr r="O594" s="2"/>
      </tp>
      <tp t="s">
        <v>#N/A Requesting Data...2762450413</v>
        <stp/>
        <stp>BDP|8971467277385016747</stp>
        <tr r="D535" s="2"/>
      </tp>
      <tp t="s">
        <v>#N/A Requesting Data...3345381964</v>
        <stp/>
        <stp>BDP|7341751886830890141</stp>
        <tr r="T2351" s="2"/>
      </tp>
      <tp t="s">
        <v>#N/A Requesting Data...4098122471</v>
        <stp/>
        <stp>BDP|2925475523284623972</stp>
        <tr r="T1702" s="2"/>
      </tp>
      <tp t="s">
        <v>#N/A Requesting Data...3339062403</v>
        <stp/>
        <stp>BDP|1486549601769543486</stp>
        <tr r="D1353" s="2"/>
      </tp>
      <tp t="s">
        <v>#N/A Requesting Data...2737418946</v>
        <stp/>
        <stp>BDP|4236319997387097084</stp>
        <tr r="K1755" s="2"/>
      </tp>
      <tp t="s">
        <v>#N/A Requesting Data...3666390208</v>
        <stp/>
        <stp>BDP|8366513019311174465</stp>
        <tr r="E2492" s="2"/>
      </tp>
      <tp t="s">
        <v>#N/A Requesting Data...2773588124</v>
        <stp/>
        <stp>BDP|8242142174664969372</stp>
        <tr r="A2004" s="2"/>
      </tp>
      <tp t="s">
        <v>#N/A Requesting Data...1473481793</v>
        <stp/>
        <stp>BDP|7373184596452649477</stp>
        <tr r="O1972" s="2"/>
      </tp>
      <tp t="s">
        <v>#N/A Requesting Data...2041816272</v>
        <stp/>
        <stp>BDP|8668248637835049595</stp>
        <tr r="F190" s="2"/>
      </tp>
      <tp t="s">
        <v>#N/A Requesting Data...2596317779</v>
        <stp/>
        <stp>BDP|2717870128100306177</stp>
        <tr r="M306" s="2"/>
      </tp>
      <tp t="s">
        <v>#N/A Requesting Data...2249162135</v>
        <stp/>
        <stp>BDP|1820082218760198959</stp>
        <tr r="F675" s="2"/>
      </tp>
      <tp t="s">
        <v>#N/A Requesting Data...4101577826</v>
        <stp/>
        <stp>BDP|3824149073185196924</stp>
        <tr r="P635" s="2"/>
      </tp>
      <tp t="s">
        <v>#N/A Requesting Data...1454233991</v>
        <stp/>
        <stp>BDP|5996782518608399263</stp>
        <tr r="K1082" s="2"/>
      </tp>
      <tp t="s">
        <v>#N/A Requesting Data...3876125074</v>
        <stp/>
        <stp>BDP|6871842680727851881</stp>
        <tr r="J1854" s="2"/>
      </tp>
      <tp t="s">
        <v>#N/A Requesting Data...1466488055</v>
        <stp/>
        <stp>BDP|9895615642677591525</stp>
        <tr r="T1082" s="2"/>
      </tp>
      <tp t="s">
        <v>#N/A Requesting Data...2304887353</v>
        <stp/>
        <stp>BDP|8233066269223324423</stp>
        <tr r="P1753" s="2"/>
      </tp>
      <tp t="s">
        <v>#N/A Requesting Data...3963819128</v>
        <stp/>
        <stp>BDP|9875049756660187576</stp>
        <tr r="Q2034" s="2"/>
      </tp>
      <tp t="s">
        <v>#N/A Requesting Data...1860393439</v>
        <stp/>
        <stp>BDP|1845859317607789615</stp>
        <tr r="G1757" s="2"/>
      </tp>
      <tp t="s">
        <v>#N/A Requesting Data...4284676701</v>
        <stp/>
        <stp>BDP|4550425201241339897</stp>
        <tr r="O2353" s="2"/>
      </tp>
      <tp t="s">
        <v>#N/A Requesting Data...2993063322</v>
        <stp/>
        <stp>BDP|1899537413918146455</stp>
        <tr r="F808" s="2"/>
      </tp>
      <tp t="s">
        <v>#N/A Requesting Data...3187672422</v>
        <stp/>
        <stp>BDP|3730720483287818239</stp>
        <tr r="M402" s="2"/>
      </tp>
      <tp t="s">
        <v>#N/A Requesting Data...2182204659</v>
        <stp/>
        <stp>BDP|5233869626716871073</stp>
        <tr r="G621" s="2"/>
      </tp>
      <tp t="s">
        <v>#N/A Requesting Data...2219714688</v>
        <stp/>
        <stp>BDP|7484514363895949829</stp>
        <tr r="T494" s="2"/>
      </tp>
      <tp t="s">
        <v>#N/A Requesting Data...3533592167</v>
        <stp/>
        <stp>BDP|5445583095226195655</stp>
        <tr r="O296" s="2"/>
      </tp>
      <tp t="s">
        <v>#N/A Requesting Data...1395915520</v>
        <stp/>
        <stp>BDP|3195100735139005190</stp>
        <tr r="O1090" s="2"/>
      </tp>
      <tp t="b">
        <v>0</v>
        <stp/>
        <stp>BDS|8799891880572021334</stp>
        <tr r="I1241" s="2"/>
      </tp>
      <tp t="s">
        <v>#N/A Requesting Data...2249603731</v>
        <stp/>
        <stp>BDP|7781183411126155827</stp>
        <tr r="T446" s="2"/>
      </tp>
      <tp t="b">
        <v>0</v>
        <stp/>
        <stp>BDS|7594792175216158857</stp>
        <tr r="I2237" s="2"/>
      </tp>
      <tp t="s">
        <v>#N/A Requesting Data...2810420057</v>
        <stp/>
        <stp>BDP|8417740806173983520</stp>
        <tr r="K1265" s="2"/>
      </tp>
      <tp t="s">
        <v>#N/A Requesting Data...2350034186</v>
        <stp/>
        <stp>BDP|8692237431788995808</stp>
        <tr r="D1350" s="2"/>
      </tp>
      <tp t="s">
        <v>#N/A Requesting Data...1532835780</v>
        <stp/>
        <stp>BDP|8553042235420817219</stp>
        <tr r="E1781" s="2"/>
      </tp>
      <tp t="s">
        <v>#N/A Requesting Data...3510286160</v>
        <stp/>
        <stp>BDP|9803600042405272758</stp>
        <tr r="D818" s="2"/>
      </tp>
      <tp t="s">
        <v>#N/A Requesting Data...2624144176</v>
        <stp/>
        <stp>BDP|3857632480443414729</stp>
        <tr r="F2084" s="2"/>
      </tp>
      <tp t="s">
        <v>#N/A Requesting Data...2609932071</v>
        <stp/>
        <stp>BDP|7992813624997800398</stp>
        <tr r="F2135" s="2"/>
      </tp>
      <tp t="s">
        <v>#N/A Requesting Data...3722049005</v>
        <stp/>
        <stp>BDP|5914962221980026733</stp>
        <tr r="A1015" s="2"/>
      </tp>
      <tp t="b">
        <v>0</v>
        <stp/>
        <stp>BDS|8480386723589147937</stp>
        <tr r="I2130" s="2"/>
      </tp>
      <tp t="s">
        <v>#N/A Requesting Data...3112840632</v>
        <stp/>
        <stp>BDP|1965808913741042076</stp>
        <tr r="M1948" s="2"/>
      </tp>
      <tp t="s">
        <v>#N/A Requesting Data...3545615931</v>
        <stp/>
        <stp>BDP|1903733808808790789</stp>
        <tr r="S1830" s="2"/>
      </tp>
      <tp t="s">
        <v>#N/A Requesting Data...2752819612</v>
        <stp/>
        <stp>BDP|5693819204622954679</stp>
        <tr r="R105" s="2"/>
      </tp>
      <tp t="s">
        <v>#N/A Requesting Data...3855370608</v>
        <stp/>
        <stp>BDP|1219532797575298195</stp>
        <tr r="D747" s="2"/>
      </tp>
      <tp t="s">
        <v>#N/A Requesting Data...2877560552</v>
        <stp/>
        <stp>BDP|3663231396543608288</stp>
        <tr r="C8" s="2"/>
      </tp>
      <tp t="s">
        <v>#N/A Requesting Data...3799687355</v>
        <stp/>
        <stp>BDP|8757239843707980039</stp>
        <tr r="A80" s="2"/>
      </tp>
      <tp t="s">
        <v>#N/A Requesting Data...3883458810</v>
        <stp/>
        <stp>BDP|6193102662680877860</stp>
        <tr r="R820" s="2"/>
      </tp>
      <tp t="s">
        <v>#N/A Requesting Data...1319588701</v>
        <stp/>
        <stp>BDP|8455388929903166398</stp>
        <tr r="C1735" s="2"/>
      </tp>
      <tp t="s">
        <v>#N/A Requesting Data...3290068075</v>
        <stp/>
        <stp>BDP|2201194221778190067</stp>
        <tr r="E802" s="2"/>
      </tp>
      <tp t="s">
        <v>#N/A Requesting Data...4104456648</v>
        <stp/>
        <stp>BDP|1465996547306175369</stp>
        <tr r="P1901" s="2"/>
      </tp>
      <tp t="s">
        <v>#N/A Requesting Data...1514259668</v>
        <stp/>
        <stp>BDP|1918558351688103012</stp>
        <tr r="M1480" s="2"/>
      </tp>
      <tp t="s">
        <v>#N/A Requesting Data...2630358015</v>
        <stp/>
        <stp>BDP|2947600084096388330</stp>
        <tr r="N730" s="2"/>
      </tp>
      <tp t="s">
        <v>#N/A Requesting Data...3051309835</v>
        <stp/>
        <stp>BDP|5687850076412830103</stp>
        <tr r="E1355" s="2"/>
      </tp>
      <tp t="s">
        <v>#N/A Requesting Data...2672170743</v>
        <stp/>
        <stp>BDP|1401755086657294086</stp>
        <tr r="O1805" s="2"/>
      </tp>
      <tp t="s">
        <v>#N/A Requesting Data...2003269432</v>
        <stp/>
        <stp>BDP|2762007054238883667</stp>
        <tr r="N111" s="2"/>
      </tp>
      <tp t="s">
        <v>#N/A Requesting Data...1957984890</v>
        <stp/>
        <stp>BDP|5429814705537476398</stp>
        <tr r="A2138" s="2"/>
      </tp>
      <tp t="s">
        <v>#N/A Requesting Data...3714359354</v>
        <stp/>
        <stp>BDP|1894073770546073927</stp>
        <tr r="F198" s="2"/>
      </tp>
      <tp t="s">
        <v>#N/A Requesting Data...3790430527</v>
        <stp/>
        <stp>BDP|9790895860148268614</stp>
        <tr r="Q925" s="2"/>
      </tp>
      <tp t="s">
        <v>#N/A Requesting Data...2999108562</v>
        <stp/>
        <stp>BDP|8666179179541662633</stp>
        <tr r="N1117" s="2"/>
      </tp>
      <tp t="s">
        <v>#N/A Requesting Data...3764108649</v>
        <stp/>
        <stp>BDP|3612757193801570586</stp>
        <tr r="T1593" s="2"/>
      </tp>
      <tp t="s">
        <v>#N/A Requesting Data...2788443148</v>
        <stp/>
        <stp>BDP|6356536015859027287</stp>
        <tr r="S2236" s="2"/>
      </tp>
      <tp t="s">
        <v>#N/A Requesting Data...1844626980</v>
        <stp/>
        <stp>BDP|8070206544932126584</stp>
        <tr r="H180" s="2"/>
      </tp>
      <tp t="s">
        <v>#N/A Requesting Data...4091949137</v>
        <stp/>
        <stp>BDP|9719796810441445779</stp>
        <tr r="E2282" s="2"/>
      </tp>
      <tp t="s">
        <v>#N/A Requesting Data...2958422308</v>
        <stp/>
        <stp>BDP|6710410453847813906</stp>
        <tr r="J716" s="2"/>
      </tp>
      <tp t="s">
        <v>#N/A Requesting Data...2831931447</v>
        <stp/>
        <stp>BDP|4854956778893863003</stp>
        <tr r="S45" s="2"/>
      </tp>
      <tp t="s">
        <v>#N/A Requesting Data...1980944789</v>
        <stp/>
        <stp>BDP|3630715837126410898</stp>
        <tr r="C379" s="2"/>
      </tp>
      <tp t="s">
        <v>#N/A Requesting Data...3129952646</v>
        <stp/>
        <stp>BDP|5901045802734580874</stp>
        <tr r="M1781" s="2"/>
      </tp>
      <tp t="s">
        <v>#N/A Requesting Data...4234724672</v>
        <stp/>
        <stp>BDP|9542415188134423853</stp>
        <tr r="P2205" s="2"/>
      </tp>
      <tp t="s">
        <v>#N/A Requesting Data...2387617554</v>
        <stp/>
        <stp>BDP|3336962244490424786</stp>
        <tr r="D2340" s="2"/>
      </tp>
      <tp t="s">
        <v>#N/A Requesting Data...2782219649</v>
        <stp/>
        <stp>BDP|2779136721420038886</stp>
        <tr r="R81" s="2"/>
      </tp>
      <tp t="s">
        <v>#N/A Requesting Data...2279292472</v>
        <stp/>
        <stp>BDP|9645693606155021344</stp>
        <tr r="D284" s="2"/>
      </tp>
      <tp t="s">
        <v>#N/A Requesting Data...4008527569</v>
        <stp/>
        <stp>BDP|4821403116909780140</stp>
        <tr r="N1473" s="2"/>
      </tp>
      <tp t="s">
        <v>#N/A Requesting Data...3915581442</v>
        <stp/>
        <stp>BDP|9606457644402313292</stp>
        <tr r="T1185" s="2"/>
      </tp>
      <tp t="s">
        <v>#N/A Requesting Data...3192330871</v>
        <stp/>
        <stp>BDP|3791338771397912913</stp>
        <tr r="R2225" s="2"/>
      </tp>
      <tp t="s">
        <v>#N/A Requesting Data...3237432396</v>
        <stp/>
        <stp>BDP|4204731942768746692</stp>
        <tr r="A662" s="2"/>
      </tp>
      <tp t="s">
        <v>#N/A Requesting Data...3137786319</v>
        <stp/>
        <stp>BDP|1850581335019876700</stp>
        <tr r="P278" s="2"/>
      </tp>
      <tp t="s">
        <v>#N/A Requesting Data...3351140448</v>
        <stp/>
        <stp>BDP|7979956495347576916</stp>
        <tr r="C2006" s="2"/>
      </tp>
      <tp t="s">
        <v>#N/A Requesting Data...1672671125</v>
        <stp/>
        <stp>BDP|6754657585624878520</stp>
        <tr r="M1371" s="2"/>
      </tp>
      <tp t="s">
        <v>#N/A Requesting Data...4293653340</v>
        <stp/>
        <stp>BDP|6085413134831072986</stp>
        <tr r="E1250" s="2"/>
      </tp>
      <tp t="s">
        <v>#N/A Requesting Data...4062035511</v>
        <stp/>
        <stp>BDP|8559891606691160866</stp>
        <tr r="Q26" s="2"/>
      </tp>
      <tp t="s">
        <v>#N/A Requesting Data...2526535266</v>
        <stp/>
        <stp>BDP|3257178258018573658</stp>
        <tr r="M1782" s="2"/>
      </tp>
      <tp t="s">
        <v>#N/A Requesting Data...3490854719</v>
        <stp/>
        <stp>BDP|3357443660970954838</stp>
        <tr r="A746" s="2"/>
      </tp>
      <tp t="s">
        <v>#N/A Requesting Data...3558801212</v>
        <stp/>
        <stp>BDP|7161784135759127305</stp>
        <tr r="D479" s="2"/>
      </tp>
      <tp t="b">
        <v>0</v>
        <stp/>
        <stp>BDS|1958435283094011040</stp>
        <tr r="I1040" s="2"/>
      </tp>
      <tp t="s">
        <v>#N/A Requesting Data...1924138935</v>
        <stp/>
        <stp>BDP|8065197375542720563</stp>
        <tr r="S1487" s="2"/>
      </tp>
      <tp t="s">
        <v>#N/A Requesting Data...2301168310</v>
        <stp/>
        <stp>BDP|9955366544241779613</stp>
        <tr r="J1081" s="2"/>
      </tp>
      <tp t="s">
        <v>#N/A Requesting Data...1421721239</v>
        <stp/>
        <stp>BDP|4546850948848583901</stp>
        <tr r="M1182" s="2"/>
      </tp>
      <tp t="s">
        <v>#N/A Requesting Data...1813502704</v>
        <stp/>
        <stp>BDP|6760164298296613124</stp>
        <tr r="A1906" s="2"/>
      </tp>
      <tp t="s">
        <v>#N/A Requesting Data...2353927726</v>
        <stp/>
        <stp>BDP|1031141833469306393</stp>
        <tr r="R2115" s="2"/>
      </tp>
      <tp t="s">
        <v>#N/A Requesting Data...2186981314</v>
        <stp/>
        <stp>BDP|8230441008710792548</stp>
        <tr r="P1364" s="2"/>
      </tp>
      <tp t="s">
        <v>#N/A Requesting Data...3804999076</v>
        <stp/>
        <stp>BDP|9012541965756805543</stp>
        <tr r="Q1299" s="2"/>
      </tp>
      <tp t="s">
        <v>#N/A Requesting Data...2961039713</v>
        <stp/>
        <stp>BDP|3920223457018665570</stp>
        <tr r="M1492" s="2"/>
      </tp>
      <tp t="s">
        <v>#N/A Requesting Data...1954400434</v>
        <stp/>
        <stp>BDP|3884244994856669735</stp>
        <tr r="C2469" s="2"/>
      </tp>
      <tp t="s">
        <v>#N/A Requesting Data...2520314709</v>
        <stp/>
        <stp>BDP|9835368155936456020</stp>
        <tr r="C818" s="2"/>
      </tp>
      <tp t="s">
        <v>#N/A Requesting Data...2747140922</v>
        <stp/>
        <stp>BDP|9642247061187942371</stp>
        <tr r="O2334" s="2"/>
      </tp>
      <tp t="s">
        <v>#N/A Requesting Data...3762868980</v>
        <stp/>
        <stp>BDP|8578820099253603353</stp>
        <tr r="F1344" s="2"/>
      </tp>
      <tp t="s">
        <v>#N/A Requesting Data...1406568136</v>
        <stp/>
        <stp>BDP|5266466293666064759</stp>
        <tr r="P2325" s="2"/>
      </tp>
      <tp t="s">
        <v>#N/A Requesting Data...2662780445</v>
        <stp/>
        <stp>BDP|4609912244928279835</stp>
        <tr r="T329" s="2"/>
      </tp>
      <tp t="s">
        <v>#N/A Requesting Data...3221473250</v>
        <stp/>
        <stp>BDP|4105509761117410960</stp>
        <tr r="E1920" s="2"/>
      </tp>
      <tp t="s">
        <v>#N/A Requesting Data...2734882332</v>
        <stp/>
        <stp>BDP|6419927434622783771</stp>
        <tr r="M323" s="2"/>
      </tp>
      <tp t="s">
        <v>#N/A Requesting Data...2911551692</v>
        <stp/>
        <stp>BDP|4314846343687691601</stp>
        <tr r="H1607" s="2"/>
      </tp>
      <tp t="s">
        <v>#N/A Requesting Data...2745522745</v>
        <stp/>
        <stp>BDP|3036916483552483940</stp>
        <tr r="O822" s="2"/>
      </tp>
      <tp t="s">
        <v>#N/A Requesting Data...2132505463</v>
        <stp/>
        <stp>BDP|9385785669716402742</stp>
        <tr r="J1711" s="2"/>
      </tp>
      <tp t="s">
        <v>#N/A Requesting Data...3620290262</v>
        <stp/>
        <stp>BDP|3657754988795186086</stp>
        <tr r="J676" s="2"/>
      </tp>
      <tp t="s">
        <v>#N/A Requesting Data...1987485495</v>
        <stp/>
        <stp>BDP|5720841539185823208</stp>
        <tr r="O2430" s="2"/>
      </tp>
      <tp t="s">
        <v>#N/A Requesting Data...2513537731</v>
        <stp/>
        <stp>BDP|8047446764872739151</stp>
        <tr r="T502" s="2"/>
      </tp>
      <tp t="s">
        <v>#N/A Requesting Data...3024695489</v>
        <stp/>
        <stp>BDP|2913881260893101620</stp>
        <tr r="O625" s="2"/>
      </tp>
      <tp t="s">
        <v>#N/A Requesting Data...2903035909</v>
        <stp/>
        <stp>BDP|6371247585596844389</stp>
        <tr r="H1640" s="2"/>
      </tp>
      <tp t="b">
        <v>0</v>
        <stp/>
        <stp>BDS|2010999468582135625</stp>
        <tr r="I2531" s="2"/>
      </tp>
      <tp t="s">
        <v>#N/A Requesting Data...2254557593</v>
        <stp/>
        <stp>BDP|3653070197342581115</stp>
        <tr r="Q2194" s="2"/>
      </tp>
      <tp t="s">
        <v>#N/A Requesting Data...3211380347</v>
        <stp/>
        <stp>BDP|5681450603671133936</stp>
        <tr r="T1803" s="2"/>
      </tp>
      <tp t="s">
        <v>#N/A Requesting Data...4073310748</v>
        <stp/>
        <stp>BDP|2783079603999630270</stp>
        <tr r="T1688" s="2"/>
      </tp>
      <tp t="s">
        <v>#N/A Requesting Data...3814631335</v>
        <stp/>
        <stp>BDP|4929109572068933303</stp>
        <tr r="H274" s="2"/>
      </tp>
      <tp t="s">
        <v>#N/A Requesting Data...3867870235</v>
        <stp/>
        <stp>BDP|2435809235012650255</stp>
        <tr r="J223" s="2"/>
      </tp>
      <tp t="s">
        <v>#N/A Requesting Data...3498896004</v>
        <stp/>
        <stp>BDP|2662343598849152892</stp>
        <tr r="O409" s="2"/>
      </tp>
      <tp t="s">
        <v>#N/A Requesting Data...3231900974</v>
        <stp/>
        <stp>BDP|7434488701512653891</stp>
        <tr r="F1170" s="2"/>
      </tp>
      <tp t="s">
        <v>#N/A Requesting Data...3166016346</v>
        <stp/>
        <stp>BDP|3188893271761915427</stp>
        <tr r="A237" s="2"/>
      </tp>
      <tp t="s">
        <v>#N/A Requesting Data...2688144602</v>
        <stp/>
        <stp>BDP|9141281014393682094</stp>
        <tr r="J1027" s="2"/>
      </tp>
      <tp t="s">
        <v>#N/A Requesting Data...3431077068</v>
        <stp/>
        <stp>BDP|3990381995451417127</stp>
        <tr r="G2389" s="2"/>
      </tp>
      <tp t="s">
        <v>#N/A Requesting Data...2129112498</v>
        <stp/>
        <stp>BDP|1725918430660542215</stp>
        <tr r="G1080" s="2"/>
      </tp>
      <tp t="b">
        <v>0</v>
        <stp/>
        <stp>BDS|1970895137852202174</stp>
        <tr r="I333" s="2"/>
      </tp>
      <tp t="s">
        <v>#N/A Requesting Data...2285116237</v>
        <stp/>
        <stp>BDP|5941671865975949905</stp>
        <tr r="H423" s="2"/>
      </tp>
      <tp t="s">
        <v>#N/A Requesting Data...2347239882</v>
        <stp/>
        <stp>BDP|2854145346746190893</stp>
        <tr r="F2289" s="2"/>
      </tp>
      <tp t="s">
        <v>#N/A Requesting Data...1854016516</v>
        <stp/>
        <stp>BDP|8614106341187392362</stp>
        <tr r="O224" s="2"/>
      </tp>
      <tp t="s">
        <v>#N/A Requesting Data...3279877385</v>
        <stp/>
        <stp>BDP|9641092316883267295</stp>
        <tr r="F20" s="2"/>
      </tp>
      <tp t="s">
        <v>#N/A Requesting Data...3539263663</v>
        <stp/>
        <stp>BDP|7630989752762719091</stp>
        <tr r="C2166" s="2"/>
      </tp>
      <tp t="s">
        <v>#N/A Requesting Data...2031819913</v>
        <stp/>
        <stp>BDP|6537222032469008778</stp>
        <tr r="K1088" s="2"/>
      </tp>
      <tp t="s">
        <v>#N/A Requesting Data...2281034372</v>
        <stp/>
        <stp>BDP|6145109663599621167</stp>
        <tr r="M737" s="2"/>
      </tp>
      <tp t="s">
        <v>#N/A Requesting Data...1739672597</v>
        <stp/>
        <stp>BDP|1167766206609231619</stp>
        <tr r="C1950" s="2"/>
      </tp>
      <tp t="s">
        <v>#N/A Requesting Data...3520876719</v>
        <stp/>
        <stp>BDP|4323133482373776779</stp>
        <tr r="M1008" s="2"/>
      </tp>
      <tp t="s">
        <v>#N/A Requesting Data...3436326033</v>
        <stp/>
        <stp>BDP|5852474588809101945</stp>
        <tr r="M1815" s="2"/>
      </tp>
      <tp t="s">
        <v>#N/A Requesting Data...2967964117</v>
        <stp/>
        <stp>BDP|9354162517970116013</stp>
        <tr r="K265" s="2"/>
      </tp>
      <tp t="s">
        <v>#N/A Requesting Data...2335256120</v>
        <stp/>
        <stp>BDP|9252852787943020320</stp>
        <tr r="H707" s="2"/>
      </tp>
      <tp t="s">
        <v>#N/A Requesting Data...3663996482</v>
        <stp/>
        <stp>BDP|3735167092560680275</stp>
        <tr r="M1839" s="2"/>
      </tp>
      <tp t="s">
        <v>#N/A Requesting Data...2041010647</v>
        <stp/>
        <stp>BDP|6700270751801718945</stp>
        <tr r="A577" s="2"/>
      </tp>
      <tp t="s">
        <v>#N/A Requesting Data...2971310200</v>
        <stp/>
        <stp>BDP|7108655663849681739</stp>
        <tr r="M391" s="2"/>
      </tp>
      <tp t="s">
        <v>#N/A Requesting Data...2293663490</v>
        <stp/>
        <stp>BDP|3586534898033429581</stp>
        <tr r="E790" s="2"/>
      </tp>
      <tp t="s">
        <v>#N/A Requesting Data...4285960596</v>
        <stp/>
        <stp>BDP|1905705088946047137</stp>
        <tr r="T106" s="2"/>
      </tp>
      <tp t="s">
        <v>#N/A Requesting Data...4051872019</v>
        <stp/>
        <stp>BDP|6614046777171502929</stp>
        <tr r="H1610" s="2"/>
      </tp>
      <tp t="s">
        <v>#N/A Requesting Data...1591322951</v>
        <stp/>
        <stp>BDP|1248138995174701412</stp>
        <tr r="Q662" s="2"/>
      </tp>
      <tp t="s">
        <v>#N/A Requesting Data...3486068030</v>
        <stp/>
        <stp>BDP|7954480782670647278</stp>
        <tr r="K1345" s="2"/>
      </tp>
      <tp t="s">
        <v>#N/A Requesting Data...1778801215</v>
        <stp/>
        <stp>BDP|9770401386384626858</stp>
        <tr r="E2049" s="2"/>
      </tp>
      <tp t="s">
        <v>#N/A Requesting Data...4094119559</v>
        <stp/>
        <stp>BDP|9649702588239836648</stp>
        <tr r="J1521" s="2"/>
      </tp>
      <tp t="s">
        <v>#N/A Requesting Data...3143964558</v>
        <stp/>
        <stp>BDP|9474113096921536940</stp>
        <tr r="J316" s="2"/>
      </tp>
      <tp t="s">
        <v>#N/A Requesting Data...2261980518</v>
        <stp/>
        <stp>BDP|8481166814628457903</stp>
        <tr r="Q1209" s="2"/>
      </tp>
      <tp t="s">
        <v>#N/A Requesting Data...2079635973</v>
        <stp/>
        <stp>BDP|6358239667119102243</stp>
        <tr r="T18" s="2"/>
      </tp>
      <tp t="s">
        <v>#N/A Requesting Data...2021408106</v>
        <stp/>
        <stp>BDP|8407243351341235712</stp>
        <tr r="C675" s="2"/>
      </tp>
      <tp t="s">
        <v>#N/A Requesting Data...4142958479</v>
        <stp/>
        <stp>BDP|9378869286224889495</stp>
        <tr r="O679" s="2"/>
      </tp>
      <tp t="s">
        <v>#N/A Requesting Data...2629203938</v>
        <stp/>
        <stp>BDP|7347370291367320344</stp>
        <tr r="N251" s="2"/>
      </tp>
      <tp t="s">
        <v>#N/A Requesting Data...3113840382</v>
        <stp/>
        <stp>BDP|3578504583903381473</stp>
        <tr r="D1425" s="2"/>
      </tp>
      <tp t="s">
        <v>#N/A Requesting Data...1743898765</v>
        <stp/>
        <stp>BDP|1679551080751621472</stp>
        <tr r="D2180" s="2"/>
      </tp>
      <tp t="s">
        <v>#N/A Requesting Data...2467449061</v>
        <stp/>
        <stp>BDP|9666153807732717312</stp>
        <tr r="M1489" s="2"/>
      </tp>
      <tp t="s">
        <v>#N/A Requesting Data...2308871011</v>
        <stp/>
        <stp>BDP|3463182302598482388</stp>
        <tr r="N1777" s="2"/>
      </tp>
      <tp t="s">
        <v>#N/A Requesting Data...3188317388</v>
        <stp/>
        <stp>BDP|3852845012930807349</stp>
        <tr r="G928" s="2"/>
      </tp>
      <tp t="s">
        <v>#N/A Requesting Data...3618903101</v>
        <stp/>
        <stp>BDP|6641001729905957849</stp>
        <tr r="D1385" s="2"/>
      </tp>
      <tp t="s">
        <v>#N/A Requesting Data...4192060453</v>
        <stp/>
        <stp>BDP|9736644340132944082</stp>
        <tr r="A2161" s="2"/>
      </tp>
      <tp t="s">
        <v>#N/A Requesting Data...4102300057</v>
        <stp/>
        <stp>BDP|3855456294634337386</stp>
        <tr r="C1648" s="2"/>
      </tp>
      <tp t="s">
        <v>#N/A Requesting Data...2393285324</v>
        <stp/>
        <stp>BDP|2971613819854053839</stp>
        <tr r="M1444" s="2"/>
      </tp>
      <tp t="s">
        <v>#N/A Requesting Data...1774410237</v>
        <stp/>
        <stp>BDP|4867282630035058921</stp>
        <tr r="E258" s="2"/>
      </tp>
      <tp t="s">
        <v>#N/A Requesting Data...2535664710</v>
        <stp/>
        <stp>BDP|7384458493467302447</stp>
        <tr r="K1366" s="2"/>
      </tp>
      <tp t="s">
        <v>#N/A Requesting Data...2479711293</v>
        <stp/>
        <stp>BDP|6001408275868010472</stp>
        <tr r="E1324" s="2"/>
      </tp>
      <tp t="s">
        <v>#N/A Requesting Data...3561606762</v>
        <stp/>
        <stp>BDP|2762299541389479498</stp>
        <tr r="N625" s="2"/>
      </tp>
      <tp t="s">
        <v>#N/A Requesting Data...2498738625</v>
        <stp/>
        <stp>BDP|3632707797360055431</stp>
        <tr r="C920" s="2"/>
      </tp>
      <tp t="s">
        <v>#N/A Requesting Data...2324625985</v>
        <stp/>
        <stp>BDP|8113579022117222148</stp>
        <tr r="M628" s="2"/>
      </tp>
      <tp t="s">
        <v>#N/A Requesting Data...3483540175</v>
        <stp/>
        <stp>BDP|9441410154308561962</stp>
        <tr r="K981" s="2"/>
      </tp>
      <tp t="s">
        <v>#N/A Requesting Data...3679039882</v>
        <stp/>
        <stp>BDP|5022003589635359181</stp>
        <tr r="N2103" s="2"/>
      </tp>
      <tp t="s">
        <v>#N/A Requesting Data...2767161553</v>
        <stp/>
        <stp>BDP|3305701236227391948</stp>
        <tr r="A1065" s="2"/>
      </tp>
      <tp t="s">
        <v>#N/A Requesting Data...1891457754</v>
        <stp/>
        <stp>BDP|7836888415835226253</stp>
        <tr r="C1547" s="2"/>
      </tp>
      <tp t="s">
        <v>#N/A Requesting Data...3453728075</v>
        <stp/>
        <stp>BDP|8946148214942810336</stp>
        <tr r="N2485" s="2"/>
      </tp>
      <tp t="s">
        <v>#N/A Requesting Data...1666832122</v>
        <stp/>
        <stp>BDP|6879705681168981829</stp>
        <tr r="R743" s="2"/>
      </tp>
      <tp t="s">
        <v>#N/A Requesting Data...3560170696</v>
        <stp/>
        <stp>BDP|5665829057461999080</stp>
        <tr r="D392" s="2"/>
      </tp>
      <tp t="s">
        <v>#N/A Requesting Data...2501957453</v>
        <stp/>
        <stp>BDP|9044707546707264467</stp>
        <tr r="S1665" s="2"/>
      </tp>
      <tp t="s">
        <v>#N/A Requesting Data...3194384682</v>
        <stp/>
        <stp>BDP|3027075552227277857</stp>
        <tr r="F165" s="2"/>
      </tp>
      <tp t="s">
        <v>#N/A Requesting Data...2379230618</v>
        <stp/>
        <stp>BDP|7993556232679996155</stp>
        <tr r="N2502" s="2"/>
      </tp>
      <tp t="b">
        <v>0</v>
        <stp/>
        <stp>BDS|3075245244558483469</stp>
        <tr r="I1317" s="2"/>
      </tp>
      <tp t="s">
        <v>#N/A Requesting Data...3413879842</v>
        <stp/>
        <stp>BDP|5670322571431065972</stp>
        <tr r="G2087" s="2"/>
      </tp>
      <tp t="s">
        <v>#N/A Requesting Data...2628766460</v>
        <stp/>
        <stp>BDP|1032440092294605124</stp>
        <tr r="T2001" s="2"/>
      </tp>
      <tp t="s">
        <v>#N/A Requesting Data...3317679335</v>
        <stp/>
        <stp>BDP|1551262847869790713</stp>
        <tr r="O1900" s="2"/>
      </tp>
      <tp t="s">
        <v>#N/A Requesting Data...3403905658</v>
        <stp/>
        <stp>BDP|9403203420518002862</stp>
        <tr r="T1574" s="2"/>
      </tp>
      <tp t="s">
        <v>#N/A Requesting Data...3634916992</v>
        <stp/>
        <stp>BDP|3380369461557477827</stp>
        <tr r="R956" s="2"/>
      </tp>
      <tp t="s">
        <v>#N/A Requesting Data...1841637013</v>
        <stp/>
        <stp>BDP|5816904728062471566</stp>
        <tr r="H2139" s="2"/>
      </tp>
      <tp t="s">
        <v>#N/A Requesting Data...3023749144</v>
        <stp/>
        <stp>BDP|6955198782865225323</stp>
        <tr r="E1611" s="2"/>
      </tp>
      <tp t="s">
        <v>#N/A Requesting Data...2143702636</v>
        <stp/>
        <stp>BDP|8234184028335116711</stp>
        <tr r="S1105" s="2"/>
      </tp>
      <tp t="s">
        <v>#N/A Requesting Data...1803141434</v>
        <stp/>
        <stp>BDP|3987870824528805809</stp>
        <tr r="C291" s="2"/>
      </tp>
      <tp t="s">
        <v>#N/A Requesting Data...1986839711</v>
        <stp/>
        <stp>BDP|2853789320736797855</stp>
        <tr r="D405" s="2"/>
      </tp>
      <tp t="s">
        <v>#N/A Requesting Data...2770538482</v>
        <stp/>
        <stp>BDP|7160426111673712870</stp>
        <tr r="N2507" s="2"/>
      </tp>
      <tp t="s">
        <v>#N/A Requesting Data...1962302254</v>
        <stp/>
        <stp>BDP|7195659287260615074</stp>
        <tr r="O1302" s="2"/>
      </tp>
      <tp t="s">
        <v>#N/A Requesting Data...3285188214</v>
        <stp/>
        <stp>BDP|7104366311595629926</stp>
        <tr r="H663" s="2"/>
      </tp>
      <tp t="s">
        <v>#N/A Requesting Data...3172693925</v>
        <stp/>
        <stp>BDP|7525675501048773066</stp>
        <tr r="K261" s="2"/>
      </tp>
      <tp t="s">
        <v>#N/A Requesting Data...3425564184</v>
        <stp/>
        <stp>BDP|3954634130756860906</stp>
        <tr r="D1481" s="2"/>
      </tp>
      <tp t="s">
        <v>#N/A Requesting Data...2963406784</v>
        <stp/>
        <stp>BDP|9166384608185065633</stp>
        <tr r="H1087" s="2"/>
      </tp>
      <tp t="b">
        <v>0</v>
        <stp/>
        <stp>BDS|8844932978076224931</stp>
        <tr r="I1807" s="2"/>
      </tp>
      <tp t="s">
        <v>#N/A Requesting Data...3615536534</v>
        <stp/>
        <stp>BDP|9448568619960127481</stp>
        <tr r="D757" s="2"/>
      </tp>
      <tp t="s">
        <v>#N/A Requesting Data...1935472478</v>
        <stp/>
        <stp>BDP|3082148315883780946</stp>
        <tr r="C2382" s="2"/>
      </tp>
      <tp t="s">
        <v>#N/A Requesting Data...2677645552</v>
        <stp/>
        <stp>BDP|5607270506636538803</stp>
        <tr r="E1858" s="2"/>
      </tp>
      <tp t="s">
        <v>#N/A Requesting Data...4167100734</v>
        <stp/>
        <stp>BDP|4350451999676935647</stp>
        <tr r="M232" s="2"/>
      </tp>
      <tp t="s">
        <v>#N/A Requesting Data...3373256898</v>
        <stp/>
        <stp>BDP|8802162066870805633</stp>
        <tr r="J1599" s="2"/>
      </tp>
      <tp t="s">
        <v>#N/A Requesting Data...3117289419</v>
        <stp/>
        <stp>BDP|2684527002848381666</stp>
        <tr r="Q118" s="2"/>
      </tp>
      <tp t="s">
        <v>#N/A Requesting Data...1922144832</v>
        <stp/>
        <stp>BDP|5131764080577194452</stp>
        <tr r="H617" s="2"/>
      </tp>
      <tp t="s">
        <v>#N/A Requesting Data...2276206960</v>
        <stp/>
        <stp>BDP|6781741336388729311</stp>
        <tr r="C848" s="2"/>
      </tp>
      <tp t="s">
        <v>#N/A Requesting Data...1724051928</v>
        <stp/>
        <stp>BDP|4855848989955441829</stp>
        <tr r="H994" s="2"/>
      </tp>
      <tp t="s">
        <v>#N/A Requesting Data...1990999528</v>
        <stp/>
        <stp>BDP|1082147070486161864</stp>
        <tr r="M771" s="2"/>
      </tp>
      <tp t="s">
        <v>#N/A Requesting Data...3135734159</v>
        <stp/>
        <stp>BDP|4394802509756170383</stp>
        <tr r="A1322" s="2"/>
      </tp>
      <tp t="s">
        <v>#N/A Requesting Data...3243377660</v>
        <stp/>
        <stp>BDP|1039827161836824086</stp>
        <tr r="J517" s="2"/>
      </tp>
      <tp t="s">
        <v>#N/A Requesting Data...3849296371</v>
        <stp/>
        <stp>BDP|3608924637333986397</stp>
        <tr r="Q966" s="2"/>
      </tp>
      <tp t="s">
        <v>#N/A Requesting Data...3359851491</v>
        <stp/>
        <stp>BDP|2885240705368830123</stp>
        <tr r="N1445" s="2"/>
      </tp>
      <tp t="s">
        <v>#N/A Requesting Data...3384450783</v>
        <stp/>
        <stp>BDP|1782919127501386217</stp>
        <tr r="C2494" s="2"/>
      </tp>
      <tp t="s">
        <v>#N/A Requesting Data...3473479295</v>
        <stp/>
        <stp>BDP|4886695523651311821</stp>
        <tr r="N45" s="2"/>
      </tp>
      <tp t="s">
        <v>#N/A Requesting Data...3684006385</v>
        <stp/>
        <stp>BDP|7178600733003283834</stp>
        <tr r="S2041" s="2"/>
      </tp>
      <tp t="s">
        <v>#N/A Requesting Data...3863597879</v>
        <stp/>
        <stp>BDP|9851335443481289696</stp>
        <tr r="G2203" s="2"/>
      </tp>
      <tp t="s">
        <v>#N/A Requesting Data...3528594916</v>
        <stp/>
        <stp>BDP|9037753970995627501</stp>
        <tr r="S2015" s="2"/>
      </tp>
      <tp t="b">
        <v>0</v>
        <stp/>
        <stp>BDS|1192166182043456223</stp>
        <tr r="I339" s="2"/>
      </tp>
      <tp t="s">
        <v>#N/A Requesting Data...3900762767</v>
        <stp/>
        <stp>BDP|2545067693265292715</stp>
        <tr r="N1759" s="2"/>
      </tp>
      <tp t="s">
        <v>#N/A Requesting Data...2357466674</v>
        <stp/>
        <stp>BDP|7427336787132284710</stp>
        <tr r="A1835" s="2"/>
      </tp>
      <tp t="s">
        <v>#N/A Requesting Data...3672847299</v>
        <stp/>
        <stp>BDP|1100825045670395467</stp>
        <tr r="T133" s="2"/>
      </tp>
      <tp t="s">
        <v>#N/A Requesting Data...2561466473</v>
        <stp/>
        <stp>BDP|9487277400420623264</stp>
        <tr r="E800" s="2"/>
      </tp>
      <tp t="s">
        <v>#N/A Requesting Data...3704445066</v>
        <stp/>
        <stp>BDP|6703590484024189685</stp>
        <tr r="M200" s="2"/>
      </tp>
      <tp t="s">
        <v>#N/A Requesting Data...3111365253</v>
        <stp/>
        <stp>BDP|2723855601921519252</stp>
        <tr r="F1862" s="2"/>
      </tp>
      <tp t="s">
        <v>#N/A Requesting Data...3080266368</v>
        <stp/>
        <stp>BDP|3155534077950568833</stp>
        <tr r="Q11" s="2"/>
      </tp>
      <tp t="s">
        <v>#N/A Requesting Data...4276436357</v>
        <stp/>
        <stp>BDP|8563161442385318119</stp>
        <tr r="Q1078" s="2"/>
      </tp>
      <tp t="s">
        <v>#N/A Requesting Data...2712068950</v>
        <stp/>
        <stp>BDP|3795816106574411677</stp>
        <tr r="H1418" s="2"/>
      </tp>
      <tp t="s">
        <v>#N/A Requesting Data...2269067487</v>
        <stp/>
        <stp>BDP|5617243235599593412</stp>
        <tr r="K1280" s="2"/>
      </tp>
      <tp t="s">
        <v>#N/A Requesting Data...2006832933</v>
        <stp/>
        <stp>BDP|4435809756880392027</stp>
        <tr r="C441" s="2"/>
      </tp>
      <tp t="s">
        <v>#N/A Requesting Data...4193194341</v>
        <stp/>
        <stp>BDP|8172772382237039978</stp>
        <tr r="Q330" s="2"/>
      </tp>
      <tp t="s">
        <v>#N/A Requesting Data...2111504672</v>
        <stp/>
        <stp>BDP|5589951750694572467</stp>
        <tr r="R2020" s="2"/>
      </tp>
      <tp t="s">
        <v>#N/A Requesting Data...3229475598</v>
        <stp/>
        <stp>BDP|9630475507443283775</stp>
        <tr r="H1983" s="2"/>
      </tp>
      <tp t="s">
        <v>#N/A Requesting Data...3472026467</v>
        <stp/>
        <stp>BDP|9364168293629738124</stp>
        <tr r="M1922" s="2"/>
      </tp>
      <tp t="s">
        <v>#N/A Requesting Data...3190603745</v>
        <stp/>
        <stp>BDP|7655631080099789912</stp>
        <tr r="M912" s="2"/>
      </tp>
      <tp t="s">
        <v>#N/A Requesting Data...3157623115</v>
        <stp/>
        <stp>BDP|8721415560382499113</stp>
        <tr r="D741" s="2"/>
      </tp>
      <tp t="s">
        <v>#N/A Requesting Data...3291989391</v>
        <stp/>
        <stp>BDP|6014894279969217913</stp>
        <tr r="S1737" s="2"/>
      </tp>
      <tp t="s">
        <v>#N/A Requesting Data...3441239038</v>
        <stp/>
        <stp>BDP|8643939198609641881</stp>
        <tr r="S247" s="2"/>
      </tp>
      <tp t="s">
        <v>#N/A Requesting Data...2988573348</v>
        <stp/>
        <stp>BDP|1229474575873486878</stp>
        <tr r="K1988" s="2"/>
      </tp>
      <tp t="s">
        <v>#N/A Requesting Data...4197298193</v>
        <stp/>
        <stp>BDP|6339932322562649671</stp>
        <tr r="A1081" s="2"/>
      </tp>
      <tp t="s">
        <v>#N/A Requesting Data...2521637857</v>
        <stp/>
        <stp>BDP|9083785274943914364</stp>
        <tr r="K1625" s="2"/>
      </tp>
      <tp t="s">
        <v>#N/A Requesting Data...3685820943</v>
        <stp/>
        <stp>BDP|6425813122275221060</stp>
        <tr r="S148" s="2"/>
      </tp>
      <tp t="s">
        <v>#N/A Requesting Data...2632459719</v>
        <stp/>
        <stp>BDP|1062984364685647291</stp>
        <tr r="H2327" s="2"/>
      </tp>
      <tp t="s">
        <v>#N/A Requesting Data...3066791263</v>
        <stp/>
        <stp>BDP|1494173481784282534</stp>
        <tr r="Q1735" s="2"/>
      </tp>
      <tp t="b">
        <v>0</v>
        <stp/>
        <stp>BDS|1535654822225379921</stp>
        <tr r="I2393" s="2"/>
      </tp>
      <tp t="b">
        <v>0</v>
        <stp/>
        <stp>BDS|7610828133173027649</stp>
        <tr r="I2505" s="2"/>
      </tp>
      <tp t="s">
        <v>#N/A Requesting Data...2898635912</v>
        <stp/>
        <stp>BDP|8572793124995256198</stp>
        <tr r="E489" s="2"/>
      </tp>
      <tp t="b">
        <v>0</v>
        <stp/>
        <stp>BDS|2479206971447138975</stp>
        <tr r="I2170" s="2"/>
      </tp>
      <tp t="s">
        <v>#N/A Requesting Data...2216850519</v>
        <stp/>
        <stp>BDP|6006884636080475493</stp>
        <tr r="F1197" s="2"/>
      </tp>
      <tp t="s">
        <v>#N/A Requesting Data...3427237951</v>
        <stp/>
        <stp>BDP|1359216470138930581</stp>
        <tr r="G1615" s="2"/>
      </tp>
      <tp t="s">
        <v>#N/A Requesting Data...2369766496</v>
        <stp/>
        <stp>BDP|5389963506222600769</stp>
        <tr r="N1710" s="2"/>
      </tp>
      <tp t="s">
        <v>#N/A Requesting Data...1954138589</v>
        <stp/>
        <stp>BDP|8720587826804996234</stp>
        <tr r="P1875" s="2"/>
      </tp>
      <tp t="s">
        <v>#N/A Requesting Data...2333816919</v>
        <stp/>
        <stp>BDP|1785937424305594666</stp>
        <tr r="A1402" s="2"/>
      </tp>
      <tp t="s">
        <v>#N/A Requesting Data...3807109821</v>
        <stp/>
        <stp>BDP|1291643178619891056</stp>
        <tr r="N1451" s="2"/>
      </tp>
      <tp t="s">
        <v>#N/A Requesting Data...3483904370</v>
        <stp/>
        <stp>BDP|4646770696330430307</stp>
        <tr r="T2278" s="2"/>
      </tp>
      <tp t="s">
        <v>#N/A Requesting Data...3920299516</v>
        <stp/>
        <stp>BDP|6704863505414253351</stp>
        <tr r="G157" s="2"/>
      </tp>
      <tp t="s">
        <v>#N/A Requesting Data...3504468949</v>
        <stp/>
        <stp>BDP|6661444746559268652</stp>
        <tr r="F1223" s="2"/>
      </tp>
      <tp t="s">
        <v>#N/A Requesting Data...2894580790</v>
        <stp/>
        <stp>BDP|9615120379190874664</stp>
        <tr r="S2241" s="2"/>
      </tp>
      <tp t="s">
        <v>#N/A Requesting Data...2729156562</v>
        <stp/>
        <stp>BDP|3115160493274467637</stp>
        <tr r="M1988" s="2"/>
      </tp>
      <tp t="s">
        <v>#N/A Requesting Data...2698528162</v>
        <stp/>
        <stp>BDP|3844913344034907375</stp>
        <tr r="E1490" s="2"/>
      </tp>
      <tp t="s">
        <v>#N/A Requesting Data...4264842953</v>
        <stp/>
        <stp>BDP|1091969316391357104</stp>
        <tr r="T1000" s="2"/>
      </tp>
      <tp t="s">
        <v>#N/A Requesting Data...2138902461</v>
        <stp/>
        <stp>BDP|3263053741629748725</stp>
        <tr r="E779" s="2"/>
      </tp>
      <tp t="s">
        <v>#N/A Requesting Data...3964430933</v>
        <stp/>
        <stp>BDP|7232294892722337791</stp>
        <tr r="G1078" s="2"/>
      </tp>
      <tp t="s">
        <v>#N/A Requesting Data...3779949403</v>
        <stp/>
        <stp>BDP|7533926337505159127</stp>
        <tr r="K2476" s="2"/>
      </tp>
      <tp t="s">
        <v>#N/A Requesting Data...2782450843</v>
        <stp/>
        <stp>BDP|6953496141209046620</stp>
        <tr r="G426" s="2"/>
      </tp>
      <tp t="s">
        <v>#N/A Requesting Data...3042096191</v>
        <stp/>
        <stp>BDP|9606787268628022956</stp>
        <tr r="S1037" s="2"/>
      </tp>
      <tp t="s">
        <v>#N/A Requesting Data...3512304082</v>
        <stp/>
        <stp>BDP|3080450277838947181</stp>
        <tr r="A1598" s="2"/>
      </tp>
      <tp t="s">
        <v>#N/A Requesting Data...4019408934</v>
        <stp/>
        <stp>BDP|4256689059039984791</stp>
        <tr r="S936" s="2"/>
      </tp>
      <tp t="s">
        <v>#N/A Requesting Data...3992130130</v>
        <stp/>
        <stp>BDP|2381973880803166960</stp>
        <tr r="C1642" s="2"/>
      </tp>
      <tp t="s">
        <v>#N/A Requesting Data...2132712824</v>
        <stp/>
        <stp>BDP|3844482334604778902</stp>
        <tr r="G1307" s="2"/>
      </tp>
      <tp t="s">
        <v>#N/A Requesting Data...3364068782</v>
        <stp/>
        <stp>BDP|9524699042543988143</stp>
        <tr r="O131" s="2"/>
      </tp>
      <tp t="s">
        <v>#N/A Requesting Data...2061227788</v>
        <stp/>
        <stp>BDP|4368138478739956229</stp>
        <tr r="H410" s="2"/>
      </tp>
      <tp t="s">
        <v>#N/A Requesting Data...3366038100</v>
        <stp/>
        <stp>BDP|1777559621526268928</stp>
        <tr r="N1471" s="2"/>
      </tp>
      <tp t="s">
        <v>#N/A Requesting Data...2741030143</v>
        <stp/>
        <stp>BDP|9910016691550267980</stp>
        <tr r="N292" s="2"/>
      </tp>
      <tp t="s">
        <v>#N/A Requesting Data...3128142097</v>
        <stp/>
        <stp>BDP|1854345800638619393</stp>
        <tr r="F67" s="2"/>
      </tp>
      <tp t="s">
        <v>#N/A Requesting Data...3525844604</v>
        <stp/>
        <stp>BDP|3621968235211342158</stp>
        <tr r="M1893" s="2"/>
      </tp>
      <tp t="s">
        <v>#N/A Requesting Data...2858553863</v>
        <stp/>
        <stp>BDP|8416270365024166143</stp>
        <tr r="N1323" s="2"/>
      </tp>
      <tp t="b">
        <v>0</v>
        <stp/>
        <stp>BDS|8810623158417701561</stp>
        <tr r="I1679" s="2"/>
      </tp>
      <tp t="b">
        <v>0</v>
        <stp/>
        <stp>BDS|2552844157475347366</stp>
        <tr r="I692" s="2"/>
      </tp>
      <tp t="s">
        <v>#N/A Requesting Data...2118705386</v>
        <stp/>
        <stp>BDP|8679041136097139561</stp>
        <tr r="J152" s="2"/>
      </tp>
      <tp t="s">
        <v>#N/A Requesting Data...4269849205</v>
        <stp/>
        <stp>BDP|3156615907789510511</stp>
        <tr r="Q762" s="2"/>
      </tp>
      <tp t="s">
        <v>#N/A Requesting Data...4275818197</v>
        <stp/>
        <stp>BDP|3530869922910768052</stp>
        <tr r="S1342" s="2"/>
      </tp>
      <tp t="s">
        <v>#N/A Requesting Data...3422676492</v>
        <stp/>
        <stp>BDP|7296258598075804046</stp>
        <tr r="N956" s="2"/>
      </tp>
      <tp t="s">
        <v>#N/A Requesting Data...2873206781</v>
        <stp/>
        <stp>BDP|9226201271560582559</stp>
        <tr r="A1097" s="2"/>
      </tp>
      <tp t="s">
        <v>#N/A Requesting Data...2681271693</v>
        <stp/>
        <stp>BDP|1801876292749665080</stp>
        <tr r="G2022" s="2"/>
      </tp>
      <tp t="s">
        <v>#N/A Requesting Data...2620229115</v>
        <stp/>
        <stp>BDP|5411495415121944826</stp>
        <tr r="Q1652" s="2"/>
      </tp>
      <tp t="s">
        <v>#N/A Requesting Data...2572745705</v>
        <stp/>
        <stp>BDP|3997469618658679726</stp>
        <tr r="T880" s="2"/>
      </tp>
      <tp t="s">
        <v>#N/A Requesting Data...4290231213</v>
        <stp/>
        <stp>BDP|9479434514555304031</stp>
        <tr r="M2027" s="2"/>
      </tp>
      <tp t="s">
        <v>#N/A Requesting Data...3608529278</v>
        <stp/>
        <stp>BDP|3388265151268691511</stp>
        <tr r="J1516" s="2"/>
      </tp>
      <tp t="s">
        <v>#N/A Requesting Data...2782001847</v>
        <stp/>
        <stp>BDP|1791051516090662919</stp>
        <tr r="K2219" s="2"/>
      </tp>
      <tp t="s">
        <v>#N/A Requesting Data...3048554559</v>
        <stp/>
        <stp>BDP|7546866137902288754</stp>
        <tr r="F1438" s="2"/>
      </tp>
      <tp t="s">
        <v>#N/A Requesting Data...2391049205</v>
        <stp/>
        <stp>BDP|8005601859042800026</stp>
        <tr r="E408" s="2"/>
      </tp>
      <tp t="s">
        <v>#N/A Requesting Data...3150702534</v>
        <stp/>
        <stp>BDP|6378754047615453967</stp>
        <tr r="T1988" s="2"/>
      </tp>
      <tp t="s">
        <v>#N/A Requesting Data...3299446652</v>
        <stp/>
        <stp>BDP|9733161654401731513</stp>
        <tr r="T363" s="2"/>
      </tp>
      <tp t="s">
        <v>#N/A Requesting Data...2721355890</v>
        <stp/>
        <stp>BDP|9860804706308473090</stp>
        <tr r="E1186" s="2"/>
      </tp>
      <tp t="s">
        <v>#N/A Requesting Data...2364257824</v>
        <stp/>
        <stp>BDP|2251332090961381010</stp>
        <tr r="M1861" s="2"/>
      </tp>
      <tp t="s">
        <v>#N/A Requesting Data...3584617488</v>
        <stp/>
        <stp>BDP|5503780238630074867</stp>
        <tr r="J1117" s="2"/>
      </tp>
      <tp t="s">
        <v>#N/A Requesting Data...3296760853</v>
        <stp/>
        <stp>BDP|9967244532438566996</stp>
        <tr r="A522" s="2"/>
      </tp>
      <tp t="s">
        <v>#N/A Requesting Data...2195471483</v>
        <stp/>
        <stp>BDP|6558556627341259963</stp>
        <tr r="K627" s="2"/>
      </tp>
      <tp t="s">
        <v>#N/A Requesting Data...3015203510</v>
        <stp/>
        <stp>BDP|7304129693942815497</stp>
        <tr r="D1000" s="2"/>
      </tp>
      <tp t="s">
        <v>#N/A Requesting Data...3506750512</v>
        <stp/>
        <stp>BDP|5993388976739506110</stp>
        <tr r="G1889" s="2"/>
      </tp>
      <tp t="s">
        <v>#N/A Requesting Data...4014657265</v>
        <stp/>
        <stp>BDP|1190748381923026443</stp>
        <tr r="P991" s="2"/>
      </tp>
      <tp t="s">
        <v>#N/A Requesting Data...4284185889</v>
        <stp/>
        <stp>BDP|2919379938772275941</stp>
        <tr r="P260" s="2"/>
      </tp>
      <tp t="s">
        <v>#N/A Requesting Data...4148443487</v>
        <stp/>
        <stp>BDP|5053216997346112178</stp>
        <tr r="D114" s="2"/>
      </tp>
      <tp t="s">
        <v>#N/A Requesting Data...4179085264</v>
        <stp/>
        <stp>BDP|6686667556775308951</stp>
        <tr r="P2525" s="2"/>
      </tp>
      <tp t="s">
        <v>#N/A Requesting Data...2426662325</v>
        <stp/>
        <stp>BDP|7961394976022292842</stp>
        <tr r="A300" s="2"/>
      </tp>
      <tp t="s">
        <v>#N/A Requesting Data...4157996499</v>
        <stp/>
        <stp>BDP|5065757427319599072</stp>
        <tr r="J408" s="2"/>
      </tp>
      <tp t="s">
        <v>#N/A Requesting Data...2252991229</v>
        <stp/>
        <stp>BDP|7551861765979628906</stp>
        <tr r="O1898" s="2"/>
      </tp>
      <tp t="s">
        <v>#N/A Requesting Data...2750554242</v>
        <stp/>
        <stp>BDP|4887800559180371027</stp>
        <tr r="K353" s="2"/>
      </tp>
      <tp t="s">
        <v>#N/A Requesting Data...3362314340</v>
        <stp/>
        <stp>BDP|6812990515977500010</stp>
        <tr r="K154" s="2"/>
      </tp>
      <tp t="s">
        <v>#N/A Requesting Data...2134905174</v>
        <stp/>
        <stp>BDP|8900509028670805697</stp>
        <tr r="M671" s="2"/>
      </tp>
      <tp t="s">
        <v>#N/A Requesting Data...3535166337</v>
        <stp/>
        <stp>BDP|2365578604298839687</stp>
        <tr r="E1287" s="2"/>
      </tp>
      <tp t="s">
        <v>#N/A Requesting Data...4058806337</v>
        <stp/>
        <stp>BDP|3064812967464203048</stp>
        <tr r="A962" s="2"/>
      </tp>
      <tp t="s">
        <v>#N/A Requesting Data...2556835776</v>
        <stp/>
        <stp>BDP|6448221204084259908</stp>
        <tr r="G343" s="2"/>
      </tp>
      <tp t="s">
        <v>#N/A Requesting Data...2125527607</v>
        <stp/>
        <stp>BDP|7614687372839503695</stp>
        <tr r="C1032" s="2"/>
      </tp>
      <tp t="s">
        <v>#N/A Requesting Data...3899386270</v>
        <stp/>
        <stp>BDP|5290869152858574934</stp>
        <tr r="P2517" s="2"/>
      </tp>
      <tp t="s">
        <v>#N/A Requesting Data...2572350014</v>
        <stp/>
        <stp>BDP|6179945102867323143</stp>
        <tr r="N1174" s="2"/>
      </tp>
      <tp t="s">
        <v>#N/A Requesting Data...3300185425</v>
        <stp/>
        <stp>BDP|7313757094353569378</stp>
        <tr r="C252" s="2"/>
      </tp>
      <tp t="s">
        <v>#N/A Requesting Data...3554714606</v>
        <stp/>
        <stp>BDP|1882203122940382890</stp>
        <tr r="H1994" s="2"/>
      </tp>
      <tp t="s">
        <v>#N/A Requesting Data...2490088937</v>
        <stp/>
        <stp>BDP|5304891369104426678</stp>
        <tr r="G185" s="2"/>
      </tp>
      <tp t="s">
        <v>#N/A Requesting Data...2639087258</v>
        <stp/>
        <stp>BDP|6885620689345665457</stp>
        <tr r="K2164" s="2"/>
      </tp>
      <tp t="s">
        <v>#N/A Requesting Data...4281673401</v>
        <stp/>
        <stp>BDP|4733200285051187631</stp>
        <tr r="E2528" s="2"/>
      </tp>
      <tp t="s">
        <v>#N/A Requesting Data...3924521561</v>
        <stp/>
        <stp>BDP|5864608898533290028</stp>
        <tr r="M1140" s="2"/>
      </tp>
      <tp t="s">
        <v>#N/A Requesting Data...3263571176</v>
        <stp/>
        <stp>BDP|8345136876172703519</stp>
        <tr r="F1637" s="2"/>
      </tp>
      <tp t="s">
        <v>#N/A Requesting Data...4115186071</v>
        <stp/>
        <stp>BDP|4997542122558958261</stp>
        <tr r="P7" s="2"/>
      </tp>
      <tp t="s">
        <v>#N/A Requesting Data...2396238530</v>
        <stp/>
        <stp>BDP|9226737977898162877</stp>
        <tr r="J2387" s="2"/>
      </tp>
      <tp t="s">
        <v>#N/A Requesting Data...2216761357</v>
        <stp/>
        <stp>BDP|8976118055636470392</stp>
        <tr r="C2170" s="2"/>
      </tp>
      <tp t="s">
        <v>#N/A Requesting Data...3399965235</v>
        <stp/>
        <stp>BDP|2531519053048753303</stp>
        <tr r="K885" s="2"/>
      </tp>
      <tp t="s">
        <v>#N/A Requesting Data...2215248514</v>
        <stp/>
        <stp>BDP|3244570186951650654</stp>
        <tr r="H989" s="2"/>
      </tp>
      <tp t="s">
        <v>#N/A Requesting Data...2359504454</v>
        <stp/>
        <stp>BDP|9539908635543339931</stp>
        <tr r="R339" s="2"/>
      </tp>
      <tp t="s">
        <v>#N/A Requesting Data...2589039706</v>
        <stp/>
        <stp>BDP|8921433988429589471</stp>
        <tr r="D1774" s="2"/>
      </tp>
      <tp t="b">
        <v>0</v>
        <stp/>
        <stp>BDS|3016458964278074013</stp>
        <tr r="I1271" s="2"/>
      </tp>
      <tp t="s">
        <v>#N/A Requesting Data...3588703177</v>
        <stp/>
        <stp>BDP|6774841409232996532</stp>
        <tr r="H2394" s="2"/>
      </tp>
      <tp t="s">
        <v>#N/A Requesting Data...2325656798</v>
        <stp/>
        <stp>BDP|9036803485640319068</stp>
        <tr r="O314" s="2"/>
      </tp>
      <tp t="s">
        <v>#N/A Requesting Data...3360955321</v>
        <stp/>
        <stp>BDP|8738008257247217327</stp>
        <tr r="F371" s="2"/>
      </tp>
      <tp t="s">
        <v>#N/A Requesting Data...3098955507</v>
        <stp/>
        <stp>BDP|9810274965781398594</stp>
        <tr r="G804" s="2"/>
      </tp>
      <tp t="s">
        <v>#N/A Requesting Data...2349050591</v>
        <stp/>
        <stp>BDP|9580161021555233601</stp>
        <tr r="M1391" s="2"/>
      </tp>
      <tp t="s">
        <v>#N/A Requesting Data...4133508277</v>
        <stp/>
        <stp>BDP|9118077360996662007</stp>
        <tr r="M2497" s="2"/>
      </tp>
      <tp t="s">
        <v>#N/A Requesting Data...2326033561</v>
        <stp/>
        <stp>BDP|7150938293977194903</stp>
        <tr r="E2268" s="2"/>
      </tp>
      <tp t="s">
        <v>#N/A Requesting Data...2741420602</v>
        <stp/>
        <stp>BDP|9694468768254885605</stp>
        <tr r="G645" s="2"/>
      </tp>
      <tp t="s">
        <v>#N/A Requesting Data...2905260037</v>
        <stp/>
        <stp>BDP|1669964683701092832</stp>
        <tr r="T538" s="2"/>
      </tp>
      <tp t="s">
        <v>#N/A Requesting Data...2856004015</v>
        <stp/>
        <stp>BDP|9466204254020088704</stp>
        <tr r="H2470" s="2"/>
      </tp>
      <tp t="s">
        <v>#N/A Requesting Data...3359404702</v>
        <stp/>
        <stp>BDP|4200119933358677763</stp>
        <tr r="F1631" s="2"/>
      </tp>
      <tp t="b">
        <v>0</v>
        <stp/>
        <stp>BDS|5898810078624411753</stp>
        <tr r="I1412" s="2"/>
      </tp>
      <tp t="s">
        <v>#N/A Requesting Data...2243468707</v>
        <stp/>
        <stp>BDP|8711642022365525043</stp>
        <tr r="E1084" s="2"/>
      </tp>
      <tp t="s">
        <v>#N/A Requesting Data...2655340948</v>
        <stp/>
        <stp>BDP|3913351512460679882</stp>
        <tr r="M515" s="2"/>
      </tp>
      <tp t="s">
        <v>#N/A Requesting Data...2423770005</v>
        <stp/>
        <stp>BDP|5087121964903627803</stp>
        <tr r="F1988" s="2"/>
      </tp>
      <tp t="s">
        <v>#N/A Requesting Data...2740192090</v>
        <stp/>
        <stp>BDP|2419282299343204371</stp>
        <tr r="R1774" s="2"/>
      </tp>
      <tp t="s">
        <v>#N/A Requesting Data...3162503641</v>
        <stp/>
        <stp>BDP|9594731923865410010</stp>
        <tr r="J1517" s="2"/>
      </tp>
      <tp t="s">
        <v>#N/A Requesting Data...2995091888</v>
        <stp/>
        <stp>BDP|6901911569327613773</stp>
        <tr r="M953" s="2"/>
      </tp>
      <tp t="b">
        <v>0</v>
        <stp/>
        <stp>BDS|4251847014002702651</stp>
        <tr r="I758" s="2"/>
      </tp>
      <tp t="s">
        <v>#N/A Requesting Data...3424039565</v>
        <stp/>
        <stp>BDP|2701783909108364454</stp>
        <tr r="F2506" s="2"/>
      </tp>
      <tp t="s">
        <v>#N/A Requesting Data...3055387401</v>
        <stp/>
        <stp>BDP|3079410285640413600</stp>
        <tr r="D371" s="2"/>
      </tp>
      <tp t="s">
        <v>#N/A Requesting Data...2421962910</v>
        <stp/>
        <stp>BDP|1847642990464915353</stp>
        <tr r="Q331" s="2"/>
      </tp>
      <tp t="s">
        <v>#N/A Requesting Data...3026729393</v>
        <stp/>
        <stp>BDP|6137075693097312167</stp>
        <tr r="R506" s="2"/>
      </tp>
      <tp t="s">
        <v>#N/A Requesting Data...2585348720</v>
        <stp/>
        <stp>BDP|6401411482476329547</stp>
        <tr r="M2106" s="2"/>
      </tp>
      <tp t="s">
        <v>#N/A Requesting Data...4198516403</v>
        <stp/>
        <stp>BDP|7628267474653332870</stp>
        <tr r="G1311" s="2"/>
      </tp>
      <tp t="s">
        <v>#N/A Requesting Data...2659017515</v>
        <stp/>
        <stp>BDP|9046236585659232344</stp>
        <tr r="R1121" s="2"/>
      </tp>
      <tp t="s">
        <v>#N/A Requesting Data...3663542241</v>
        <stp/>
        <stp>BDP|9344709212911502747</stp>
        <tr r="E1819" s="2"/>
      </tp>
      <tp t="s">
        <v>#N/A Requesting Data...3274495785</v>
        <stp/>
        <stp>BDP|1759801670626266157</stp>
        <tr r="J1170" s="2"/>
      </tp>
      <tp t="s">
        <v>#N/A Requesting Data...3220437996</v>
        <stp/>
        <stp>BDP|2469631440810648919</stp>
        <tr r="J1966" s="2"/>
      </tp>
      <tp t="s">
        <v>#N/A Requesting Data...3786399577</v>
        <stp/>
        <stp>BDP|5410152357110697809</stp>
        <tr r="F1858" s="2"/>
      </tp>
      <tp t="s">
        <v>#N/A Requesting Data...2222169905</v>
        <stp/>
        <stp>BDP|3453747498076886208</stp>
        <tr r="A526" s="2"/>
      </tp>
      <tp t="s">
        <v>#N/A Requesting Data...3143766110</v>
        <stp/>
        <stp>BDP|1106355100053052842</stp>
        <tr r="O195" s="2"/>
      </tp>
      <tp t="s">
        <v>#N/A Requesting Data...3521705862</v>
        <stp/>
        <stp>BDP|4456358256128696317</stp>
        <tr r="D631" s="2"/>
      </tp>
      <tp t="s">
        <v>#N/A Requesting Data...3024448553</v>
        <stp/>
        <stp>BDP|8310846044128622556</stp>
        <tr r="T1169" s="2"/>
      </tp>
      <tp t="s">
        <v>#N/A Requesting Data...3428004684</v>
        <stp/>
        <stp>BDP|3186002002809794349</stp>
        <tr r="R2490" s="2"/>
      </tp>
      <tp t="s">
        <v>#N/A Requesting Data...3898498883</v>
        <stp/>
        <stp>BDP|5378549082679196843</stp>
        <tr r="M1545" s="2"/>
      </tp>
      <tp t="s">
        <v>#N/A Requesting Data...3423218925</v>
        <stp/>
        <stp>BDP|4030097082684973127</stp>
        <tr r="N316" s="2"/>
      </tp>
      <tp t="b">
        <v>0</v>
        <stp/>
        <stp>BDS|9826558366581276299</stp>
        <tr r="I1304" s="2"/>
      </tp>
      <tp t="s">
        <v>#N/A Requesting Data...3210507593</v>
        <stp/>
        <stp>BDP|1900840714080878112</stp>
        <tr r="N363" s="2"/>
      </tp>
      <tp t="s">
        <v>#N/A Requesting Data...3753596443</v>
        <stp/>
        <stp>BDP|5687510597904212425</stp>
        <tr r="K2347" s="2"/>
      </tp>
      <tp t="s">
        <v>#N/A Requesting Data...3418642687</v>
        <stp/>
        <stp>BDP|6518355593051369407</stp>
        <tr r="K482" s="2"/>
      </tp>
      <tp t="s">
        <v>#N/A Requesting Data...3103906857</v>
        <stp/>
        <stp>BDP|2994903224383850359</stp>
        <tr r="O294" s="2"/>
      </tp>
      <tp t="s">
        <v>#N/A Requesting Data...4030168952</v>
        <stp/>
        <stp>BDP|2409040160268226525</stp>
        <tr r="N532" s="2"/>
      </tp>
      <tp t="s">
        <v>#N/A Requesting Data...2737402961</v>
        <stp/>
        <stp>BDP|8514527442215168547</stp>
        <tr r="J748" s="2"/>
      </tp>
      <tp t="s">
        <v>#N/A Requesting Data...4140432275</v>
        <stp/>
        <stp>BDP|9782190979066456038</stp>
        <tr r="N1535" s="2"/>
      </tp>
      <tp t="s">
        <v>#N/A Requesting Data...3477652838</v>
        <stp/>
        <stp>BDP|8878815258708694478</stp>
        <tr r="A975" s="2"/>
      </tp>
      <tp t="s">
        <v>#N/A Requesting Data...3680908822</v>
        <stp/>
        <stp>BDP|5728979428433090482</stp>
        <tr r="A1279" s="2"/>
      </tp>
      <tp t="s">
        <v>#N/A Requesting Data...2357595356</v>
        <stp/>
        <stp>BDP|9698654103533645568</stp>
        <tr r="N994" s="2"/>
      </tp>
      <tp t="s">
        <v>#N/A Requesting Data...2630441968</v>
        <stp/>
        <stp>BDP|7074064866920974899</stp>
        <tr r="A1836" s="2"/>
      </tp>
      <tp t="s">
        <v>#N/A Requesting Data...3024533195</v>
        <stp/>
        <stp>BDP|7855706137282727887</stp>
        <tr r="C933" s="2"/>
      </tp>
      <tp t="s">
        <v>#N/A Requesting Data...3256771715</v>
        <stp/>
        <stp>BDP|5076207775220616934</stp>
        <tr r="A1076" s="2"/>
      </tp>
      <tp t="s">
        <v>#N/A Requesting Data...2362861633</v>
        <stp/>
        <stp>BDP|8220938620713021918</stp>
        <tr r="K2471" s="2"/>
      </tp>
      <tp t="s">
        <v>#N/A Requesting Data...2947932716</v>
        <stp/>
        <stp>BDP|3012082890411977217</stp>
        <tr r="Q1329" s="2"/>
      </tp>
      <tp t="s">
        <v>#N/A Requesting Data...3112048660</v>
        <stp/>
        <stp>BDP|5839887723372715441</stp>
        <tr r="S1475" s="2"/>
      </tp>
      <tp t="s">
        <v>#N/A Requesting Data...2884346088</v>
        <stp/>
        <stp>BDP|5478577668209856630</stp>
        <tr r="D2266" s="2"/>
      </tp>
      <tp t="b">
        <v>0</v>
        <stp/>
        <stp>BDS|1169209603938515273</stp>
        <tr r="I390" s="2"/>
      </tp>
      <tp t="s">
        <v>#N/A Requesting Data...2832914121</v>
        <stp/>
        <stp>BDP|8287763172890335157</stp>
        <tr r="D413" s="2"/>
      </tp>
      <tp t="s">
        <v>#N/A Requesting Data...3406725211</v>
        <stp/>
        <stp>BDP|6649804410426038061</stp>
        <tr r="D824" s="2"/>
      </tp>
      <tp t="s">
        <v>#N/A Requesting Data...2561797007</v>
        <stp/>
        <stp>BDP|3342023854937598801</stp>
        <tr r="M1158" s="2"/>
      </tp>
      <tp t="s">
        <v>#N/A Requesting Data...4030942000</v>
        <stp/>
        <stp>BDP|3127645031328219763</stp>
        <tr r="K2326" s="2"/>
      </tp>
      <tp t="s">
        <v>#N/A Requesting Data...3174106720</v>
        <stp/>
        <stp>BDP|2586964471127438268</stp>
        <tr r="M1488" s="2"/>
      </tp>
      <tp t="s">
        <v>#N/A Requesting Data...3048659018</v>
        <stp/>
        <stp>BDP|7912540409133710828</stp>
        <tr r="K1687" s="2"/>
      </tp>
      <tp t="s">
        <v>#N/A Requesting Data...3041904046</v>
        <stp/>
        <stp>BDP|6127038693695529357</stp>
        <tr r="K965" s="2"/>
      </tp>
      <tp t="s">
        <v>#N/A Requesting Data...3458661785</v>
        <stp/>
        <stp>BDP|8696360145953380571</stp>
        <tr r="F1072" s="2"/>
      </tp>
      <tp t="s">
        <v>#N/A Requesting Data...3810413880</v>
        <stp/>
        <stp>BDP|9666872585209691936</stp>
        <tr r="N446" s="2"/>
      </tp>
      <tp t="s">
        <v>#N/A Requesting Data...3812681120</v>
        <stp/>
        <stp>BDP|9385193604464808576</stp>
        <tr r="S1596" s="2"/>
      </tp>
      <tp t="s">
        <v>#N/A Requesting Data...4025444392</v>
        <stp/>
        <stp>BDP|4259441021502500938</stp>
        <tr r="R2063" s="2"/>
      </tp>
      <tp t="b">
        <v>0</v>
        <stp/>
        <stp>BDS|9242292667966459290</stp>
        <tr r="I216" s="2"/>
      </tp>
      <tp t="s">
        <v>#N/A Requesting Data...2455840685</v>
        <stp/>
        <stp>BDP|1192725780512772556</stp>
        <tr r="N2238" s="2"/>
      </tp>
      <tp t="s">
        <v>#N/A Requesting Data...3220639564</v>
        <stp/>
        <stp>BDP|1081197397946678699</stp>
        <tr r="J1930" s="2"/>
      </tp>
      <tp t="s">
        <v>#N/A Requesting Data...3467249864</v>
        <stp/>
        <stp>BDP|4041850344358899986</stp>
        <tr r="E1690" s="2"/>
      </tp>
      <tp t="s">
        <v>#N/A Requesting Data...2688431937</v>
        <stp/>
        <stp>BDP|7662891960044770498</stp>
        <tr r="S958" s="2"/>
      </tp>
      <tp t="s">
        <v>#N/A Requesting Data...2284254009</v>
        <stp/>
        <stp>BDP|7387898330077219299</stp>
        <tr r="D2270" s="2"/>
      </tp>
      <tp t="s">
        <v>#N/A Requesting Data...2497490708</v>
        <stp/>
        <stp>BDP|5913491660967765964</stp>
        <tr r="M2414" s="2"/>
      </tp>
      <tp t="s">
        <v>#N/A Requesting Data...3067433615</v>
        <stp/>
        <stp>BDP|1124169511481455931</stp>
        <tr r="P742" s="2"/>
      </tp>
      <tp t="s">
        <v>#N/A Requesting Data...3236792462</v>
        <stp/>
        <stp>BDP|7234848897109785679</stp>
        <tr r="O161" s="2"/>
      </tp>
      <tp t="s">
        <v>#N/A Requesting Data...3814885290</v>
        <stp/>
        <stp>BDP|7013672188029614988</stp>
        <tr r="C958" s="2"/>
      </tp>
      <tp t="s">
        <v>#N/A Requesting Data...3979995707</v>
        <stp/>
        <stp>BDP|6878953631280887554</stp>
        <tr r="F591" s="2"/>
      </tp>
      <tp t="s">
        <v>#N/A Requesting Data...2693705041</v>
        <stp/>
        <stp>BDP|5328409963496415854</stp>
        <tr r="J158" s="2"/>
      </tp>
      <tp t="s">
        <v>#N/A Requesting Data...3933754089</v>
        <stp/>
        <stp>BDP|1954807959866162306</stp>
        <tr r="N1573" s="2"/>
      </tp>
      <tp t="s">
        <v>#N/A Requesting Data...3129470008</v>
        <stp/>
        <stp>BDP|2617771077369594227</stp>
        <tr r="C615" s="2"/>
      </tp>
      <tp t="s">
        <v>#N/A Requesting Data...3067387370</v>
        <stp/>
        <stp>BDP|1411117928173433889</stp>
        <tr r="F1676" s="2"/>
      </tp>
      <tp t="s">
        <v>#N/A Requesting Data...2609942305</v>
        <stp/>
        <stp>BDP|5842399943759676250</stp>
        <tr r="S1647" s="2"/>
      </tp>
      <tp t="s">
        <v>#N/A Requesting Data...3880866738</v>
        <stp/>
        <stp>BDP|2444649897706205247</stp>
        <tr r="J2486" s="2"/>
      </tp>
      <tp t="s">
        <v>#N/A Requesting Data...3900741892</v>
        <stp/>
        <stp>BDP|3598015653407477822</stp>
        <tr r="H1171" s="2"/>
      </tp>
      <tp t="s">
        <v>#N/A Requesting Data...3803145658</v>
        <stp/>
        <stp>BDP|1185972185160516976</stp>
        <tr r="D2036" s="2"/>
      </tp>
      <tp t="s">
        <v>#N/A Requesting Data...3444025386</v>
        <stp/>
        <stp>BDP|9980888662057597975</stp>
        <tr r="N648" s="2"/>
      </tp>
      <tp t="s">
        <v>#N/A Requesting Data...4212403483</v>
        <stp/>
        <stp>BDP|3282864523731473120</stp>
        <tr r="M2292" s="2"/>
      </tp>
      <tp t="s">
        <v>#N/A Requesting Data...3664387796</v>
        <stp/>
        <stp>BDP|1180920432696953497</stp>
        <tr r="D2307" s="2"/>
      </tp>
      <tp t="s">
        <v>#N/A Requesting Data...3790864567</v>
        <stp/>
        <stp>BDP|4160158024279829792</stp>
        <tr r="K917" s="2"/>
      </tp>
      <tp t="s">
        <v>#N/A Requesting Data...2680482562</v>
        <stp/>
        <stp>BDP|4794757586166478414</stp>
        <tr r="H2371" s="2"/>
      </tp>
      <tp t="s">
        <v>#N/A Requesting Data...2600364902</v>
        <stp/>
        <stp>BDP|8554479542575627474</stp>
        <tr r="O1882" s="2"/>
      </tp>
      <tp t="b">
        <v>0</v>
        <stp/>
        <stp>BDS|2278828006666505525</stp>
        <tr r="I2481" s="2"/>
      </tp>
      <tp t="s">
        <v>#N/A Requesting Data...3882538415</v>
        <stp/>
        <stp>BDP|1035788140269120285</stp>
        <tr r="P1493" s="2"/>
      </tp>
      <tp t="s">
        <v>#N/A Requesting Data...2944119106</v>
        <stp/>
        <stp>BDP|8278171711917081659</stp>
        <tr r="C2069" s="2"/>
      </tp>
      <tp t="s">
        <v>#N/A Requesting Data...4058270225</v>
        <stp/>
        <stp>BDP|6245768082257088778</stp>
        <tr r="N1533" s="2"/>
      </tp>
      <tp t="s">
        <v>#N/A Requesting Data...3677130355</v>
        <stp/>
        <stp>BDP|3559156281104941798</stp>
        <tr r="N2525" s="2"/>
      </tp>
      <tp t="s">
        <v>#N/A Requesting Data...2912907385</v>
        <stp/>
        <stp>BDP|5825359702228995771</stp>
        <tr r="D988" s="2"/>
      </tp>
      <tp t="s">
        <v>#N/A Requesting Data...3295157039</v>
        <stp/>
        <stp>BDP|6724858753113437149</stp>
        <tr r="C1878" s="2"/>
      </tp>
      <tp t="s">
        <v>#N/A Requesting Data...3392891597</v>
        <stp/>
        <stp>BDP|6269074705786156901</stp>
        <tr r="M480" s="2"/>
      </tp>
      <tp t="b">
        <v>0</v>
        <stp/>
        <stp>BDS|1560897610712916345</stp>
        <tr r="I1814" s="2"/>
      </tp>
      <tp t="s">
        <v>#N/A Requesting Data...3139049973</v>
        <stp/>
        <stp>BDP|6002173504367623943</stp>
        <tr r="G938" s="2"/>
      </tp>
      <tp t="s">
        <v>#N/A Requesting Data...3111374743</v>
        <stp/>
        <stp>BDP|7090501436581390945</stp>
        <tr r="P2095" s="2"/>
      </tp>
      <tp t="s">
        <v>#N/A Requesting Data...3656355624</v>
        <stp/>
        <stp>BDP|4345109931656521968</stp>
        <tr r="M1589" s="2"/>
      </tp>
      <tp t="s">
        <v>#N/A Requesting Data...3332302248</v>
        <stp/>
        <stp>BDP|1339873672345032271</stp>
        <tr r="P699" s="2"/>
      </tp>
      <tp t="s">
        <v>#N/A Requesting Data...4084249866</v>
        <stp/>
        <stp>BDP|4115540910268011143</stp>
        <tr r="N2268" s="2"/>
      </tp>
      <tp t="s">
        <v>#N/A Requesting Data...3486094451</v>
        <stp/>
        <stp>BDP|6455431194440514271</stp>
        <tr r="Q1529" s="2"/>
      </tp>
      <tp t="s">
        <v>#N/A Requesting Data...3104667066</v>
        <stp/>
        <stp>BDP|9109813913128648146</stp>
        <tr r="T208" s="2"/>
      </tp>
      <tp t="s">
        <v>#N/A Requesting Data...2526524792</v>
        <stp/>
        <stp>BDP|7485230317179085412</stp>
        <tr r="C1830" s="2"/>
      </tp>
      <tp t="s">
        <v>#N/A Requesting Data...3511974519</v>
        <stp/>
        <stp>BDP|5129045504758759476</stp>
        <tr r="G445" s="2"/>
      </tp>
      <tp t="s">
        <v>#N/A Requesting Data...2756488546</v>
        <stp/>
        <stp>BDP|7651843521264773050</stp>
        <tr r="P960" s="2"/>
      </tp>
      <tp t="s">
        <v>#N/A Requesting Data...3616872934</v>
        <stp/>
        <stp>BDP|2729324053738075575</stp>
        <tr r="A39" s="2"/>
      </tp>
      <tp t="s">
        <v>#N/A Requesting Data...3633709505</v>
        <stp/>
        <stp>BDP|8714274624708644934</stp>
        <tr r="M1425" s="2"/>
      </tp>
      <tp t="s">
        <v>#N/A Requesting Data...3902885393</v>
        <stp/>
        <stp>BDP|4556207656832003828</stp>
        <tr r="T442" s="2"/>
      </tp>
      <tp t="s">
        <v>#N/A Requesting Data...2973647432</v>
        <stp/>
        <stp>BDP|2142265898587903776</stp>
        <tr r="Q501" s="2"/>
      </tp>
      <tp t="s">
        <v>#N/A Requesting Data...3945530969</v>
        <stp/>
        <stp>BDP|1262774964510228927</stp>
        <tr r="R1885" s="2"/>
      </tp>
      <tp t="s">
        <v>#N/A Requesting Data...2661059614</v>
        <stp/>
        <stp>BDP|7218522387447267443</stp>
        <tr r="C319" s="2"/>
      </tp>
      <tp t="s">
        <v>#N/A Requesting Data...2415330827</v>
        <stp/>
        <stp>BDP|8232133786558078060</stp>
        <tr r="F1069" s="2"/>
      </tp>
      <tp t="s">
        <v>#N/A Requesting Data...2693504757</v>
        <stp/>
        <stp>BDP|2973727529109212715</stp>
        <tr r="A1309" s="2"/>
      </tp>
      <tp t="s">
        <v>#N/A Requesting Data...3093077651</v>
        <stp/>
        <stp>BDP|4919723944719915771</stp>
        <tr r="J582" s="2"/>
      </tp>
      <tp t="s">
        <v>#N/A Requesting Data...2634871359</v>
        <stp/>
        <stp>BDP|6020408091610491240</stp>
        <tr r="N1867" s="2"/>
      </tp>
      <tp t="s">
        <v>#N/A Requesting Data...3608991353</v>
        <stp/>
        <stp>BDP|9817795371905185500</stp>
        <tr r="D2351" s="2"/>
      </tp>
      <tp t="s">
        <v>#N/A Requesting Data...4078236492</v>
        <stp/>
        <stp>BDP|1772794714659913721</stp>
        <tr r="P898" s="2"/>
      </tp>
      <tp t="s">
        <v>#N/A Requesting Data...3605044844</v>
        <stp/>
        <stp>BDP|8878843780471955040</stp>
        <tr r="A2227" s="2"/>
      </tp>
      <tp t="s">
        <v>#N/A Requesting Data...3712775893</v>
        <stp/>
        <stp>BDP|4133110455270259961</stp>
        <tr r="H1439" s="2"/>
      </tp>
      <tp t="s">
        <v>#N/A Requesting Data...3079332120</v>
        <stp/>
        <stp>BDP|4290935440844585458</stp>
        <tr r="M2109" s="2"/>
      </tp>
      <tp t="s">
        <v>#N/A Requesting Data...3284092148</v>
        <stp/>
        <stp>BDP|3738019185961348313</stp>
        <tr r="O1377" s="2"/>
      </tp>
      <tp t="s">
        <v>#N/A Requesting Data...2947549390</v>
        <stp/>
        <stp>BDP|9171402421843096510</stp>
        <tr r="N1041" s="2"/>
      </tp>
      <tp t="s">
        <v>#N/A Requesting Data...3638339545</v>
        <stp/>
        <stp>BDP|8374392657292969555</stp>
        <tr r="D965" s="2"/>
      </tp>
      <tp t="s">
        <v>#N/A Requesting Data...3788601968</v>
        <stp/>
        <stp>BDP|8971203309491037217</stp>
        <tr r="F1722" s="2"/>
      </tp>
      <tp t="s">
        <v>#N/A Requesting Data...2952589184</v>
        <stp/>
        <stp>BDP|1020162400228639115</stp>
        <tr r="H1708" s="2"/>
      </tp>
      <tp t="s">
        <v>#N/A Requesting Data...2549681829</v>
        <stp/>
        <stp>BDP|4179635093070977291</stp>
        <tr r="N763" s="2"/>
      </tp>
      <tp t="s">
        <v>#N/A Requesting Data...4289890121</v>
        <stp/>
        <stp>BDP|7976980737885480133</stp>
        <tr r="C713" s="2"/>
      </tp>
      <tp t="s">
        <v>#N/A Requesting Data...2486033852</v>
        <stp/>
        <stp>BDP|7164126313757249937</stp>
        <tr r="N1266" s="2"/>
      </tp>
      <tp t="s">
        <v>#N/A Requesting Data...3218020286</v>
        <stp/>
        <stp>BDP|9595601565499702968</stp>
        <tr r="O358" s="2"/>
      </tp>
      <tp t="s">
        <v>#N/A Requesting Data...3771972434</v>
        <stp/>
        <stp>BDP|4834762803093851943</stp>
        <tr r="J2340" s="2"/>
      </tp>
      <tp t="s">
        <v>#N/A Requesting Data...3404299080</v>
        <stp/>
        <stp>BDP|1408929425535028629</stp>
        <tr r="J1076" s="2"/>
      </tp>
      <tp t="s">
        <v>#N/A Requesting Data...3087655584</v>
        <stp/>
        <stp>BDP|1779626691715379266</stp>
        <tr r="C2437" s="2"/>
      </tp>
      <tp t="s">
        <v>#N/A Requesting Data...3446175694</v>
        <stp/>
        <stp>BDP|8463537936676871187</stp>
        <tr r="H1961" s="2"/>
      </tp>
      <tp t="s">
        <v>#N/A Requesting Data...3642685726</v>
        <stp/>
        <stp>BDP|4987992223591085720</stp>
        <tr r="H611" s="2"/>
      </tp>
      <tp t="s">
        <v>#N/A Requesting Data...4093623207</v>
        <stp/>
        <stp>BDP|4459630740137527831</stp>
        <tr r="O591" s="2"/>
      </tp>
      <tp t="s">
        <v>#N/A Requesting Data...3008584216</v>
        <stp/>
        <stp>BDP|4171716256169537625</stp>
        <tr r="D1135" s="2"/>
      </tp>
      <tp t="b">
        <v>0</v>
        <stp/>
        <stp>BDS|1860269801128789293</stp>
        <tr r="I970" s="2"/>
      </tp>
      <tp t="s">
        <v>#N/A Requesting Data...3448928832</v>
        <stp/>
        <stp>BDP|5814960360596812573</stp>
        <tr r="D701" s="2"/>
      </tp>
      <tp t="s">
        <v>#N/A Requesting Data...3203656676</v>
        <stp/>
        <stp>BDP|9958600974891834048</stp>
        <tr r="Q806" s="2"/>
      </tp>
      <tp t="s">
        <v>#N/A Requesting Data...4135302715</v>
        <stp/>
        <stp>BDP|1379630423239146537</stp>
        <tr r="F1732" s="2"/>
      </tp>
      <tp t="s">
        <v>#N/A Requesting Data...3260307012</v>
        <stp/>
        <stp>BDP|8164685191696005893</stp>
        <tr r="D716" s="2"/>
      </tp>
      <tp t="s">
        <v>#N/A Requesting Data...3117915392</v>
        <stp/>
        <stp>BDP|1994737947789843234</stp>
        <tr r="M80" s="2"/>
      </tp>
      <tp t="s">
        <v>#N/A Requesting Data...3342051424</v>
        <stp/>
        <stp>BDP|4793262995942329419</stp>
        <tr r="N1793" s="2"/>
      </tp>
      <tp t="s">
        <v>#N/A Requesting Data...3458102542</v>
        <stp/>
        <stp>BDP|3513612504468462428</stp>
        <tr r="H1094" s="2"/>
      </tp>
      <tp t="s">
        <v>#N/A Requesting Data...3970003254</v>
        <stp/>
        <stp>BDP|8203760363366829698</stp>
        <tr r="P1802" s="2"/>
      </tp>
      <tp t="s">
        <v>#N/A Requesting Data...4230745661</v>
        <stp/>
        <stp>BDP|9478569765414204733</stp>
        <tr r="A1368" s="2"/>
      </tp>
      <tp t="s">
        <v>#N/A Requesting Data...3534816239</v>
        <stp/>
        <stp>BDP|9534545546901934084</stp>
        <tr r="D365" s="2"/>
      </tp>
      <tp t="s">
        <v>#N/A Requesting Data...4183976287</v>
        <stp/>
        <stp>BDP|4307897532854860261</stp>
        <tr r="J666" s="2"/>
      </tp>
      <tp t="s">
        <v>#N/A Requesting Data...3092114021</v>
        <stp/>
        <stp>BDP|8299655850824154609</stp>
        <tr r="G892" s="2"/>
      </tp>
      <tp t="b">
        <v>0</v>
        <stp/>
        <stp>BDS|7643532489445984631</stp>
        <tr r="I2210" s="2"/>
      </tp>
      <tp t="s">
        <v>#N/A Requesting Data...3160422924</v>
        <stp/>
        <stp>BDP|7901509671504829866</stp>
        <tr r="A2296" s="2"/>
      </tp>
      <tp t="s">
        <v>#N/A Requesting Data...4213298802</v>
        <stp/>
        <stp>BDP|5459540202869537016</stp>
        <tr r="J2158" s="2"/>
      </tp>
      <tp t="s">
        <v>#N/A Requesting Data...3353658234</v>
        <stp/>
        <stp>BDP|9607332072451547549</stp>
        <tr r="F1501" s="2"/>
      </tp>
      <tp t="s">
        <v>#N/A Requesting Data...2976629255</v>
        <stp/>
        <stp>BDP|7516824691867930895</stp>
        <tr r="E726" s="2"/>
      </tp>
      <tp t="s">
        <v>#N/A Requesting Data...2629753648</v>
        <stp/>
        <stp>BDP|1224936247185699067</stp>
        <tr r="Q2143" s="2"/>
      </tp>
      <tp t="s">
        <v>#N/A Requesting Data...2650685504</v>
        <stp/>
        <stp>BDP|4167602610959103366</stp>
        <tr r="C1568" s="2"/>
      </tp>
      <tp t="s">
        <v>#N/A Requesting Data...2744408458</v>
        <stp/>
        <stp>BDP|2211312034999438252</stp>
        <tr r="R1518" s="2"/>
      </tp>
      <tp t="s">
        <v>#N/A Requesting Data...4116758615</v>
        <stp/>
        <stp>BDP|1821724071001590984</stp>
        <tr r="E2396" s="2"/>
      </tp>
      <tp t="s">
        <v>#N/A Requesting Data...3658278663</v>
        <stp/>
        <stp>BDP|3905399243458551503</stp>
        <tr r="Q2190" s="2"/>
      </tp>
      <tp t="s">
        <v>#N/A Requesting Data...3943710482</v>
        <stp/>
        <stp>BDP|7590047960629536120</stp>
        <tr r="Q1263" s="2"/>
      </tp>
      <tp t="s">
        <v>#N/A Requesting Data...2796990706</v>
        <stp/>
        <stp>BDP|9294657734726234370</stp>
        <tr r="P468" s="2"/>
      </tp>
      <tp t="s">
        <v>#N/A Requesting Data...3731244144</v>
        <stp/>
        <stp>BDP|5102874554130686127</stp>
        <tr r="A331" s="2"/>
      </tp>
      <tp t="s">
        <v>#N/A Requesting Data...4281256999</v>
        <stp/>
        <stp>BDP|5120299048399761314</stp>
        <tr r="J1150" s="2"/>
      </tp>
      <tp t="s">
        <v>#N/A Requesting Data...4235335237</v>
        <stp/>
        <stp>BDP|1950982822533612039</stp>
        <tr r="P1755" s="2"/>
      </tp>
      <tp t="s">
        <v>#N/A Requesting Data...3004044515</v>
        <stp/>
        <stp>BDP|6417096349343169838</stp>
        <tr r="N773" s="2"/>
      </tp>
      <tp t="s">
        <v>#N/A Requesting Data...3544996343</v>
        <stp/>
        <stp>BDP|3727696918348450548</stp>
        <tr r="J850" s="2"/>
      </tp>
      <tp t="b">
        <v>0</v>
        <stp/>
        <stp>BDS|1023971386869042071</stp>
        <tr r="I882" s="2"/>
      </tp>
      <tp t="b">
        <v>0</v>
        <stp/>
        <stp>BDS|6952941751941279284</stp>
        <tr r="I340" s="2"/>
      </tp>
      <tp t="s">
        <v>#N/A Requesting Data...3556314481</v>
        <stp/>
        <stp>BDP|2663069916718442241</stp>
        <tr r="D1775" s="2"/>
      </tp>
      <tp t="s">
        <v>#N/A Requesting Data...3542186800</v>
        <stp/>
        <stp>BDP|1288697029254019840</stp>
        <tr r="Q274" s="2"/>
      </tp>
      <tp t="s">
        <v>#N/A Requesting Data...3445583543</v>
        <stp/>
        <stp>BDP|2582697870998224288</stp>
        <tr r="P116" s="2"/>
      </tp>
      <tp t="s">
        <v>#N/A Requesting Data...4090444048</v>
        <stp/>
        <stp>BDP|8227910892056088776</stp>
        <tr r="N1377" s="2"/>
      </tp>
      <tp t="s">
        <v>#N/A Requesting Data...2768011115</v>
        <stp/>
        <stp>BDP|9530312431865741541</stp>
        <tr r="M449" s="2"/>
      </tp>
      <tp t="s">
        <v>#N/A Requesting Data...2708565824</v>
        <stp/>
        <stp>BDP|9475987992971947111</stp>
        <tr r="J594" s="2"/>
      </tp>
      <tp t="b">
        <v>0</v>
        <stp/>
        <stp>BDS|7098576919052038883</stp>
        <tr r="I1961" s="2"/>
      </tp>
      <tp t="s">
        <v>#N/A Requesting Data...3891948104</v>
        <stp/>
        <stp>BDP|3488251487143952391</stp>
        <tr r="R2172" s="2"/>
      </tp>
      <tp t="s">
        <v>#N/A Requesting Data...3547338540</v>
        <stp/>
        <stp>BDP|5548097988831367512</stp>
        <tr r="Q1900" s="2"/>
      </tp>
      <tp t="s">
        <v>#N/A Requesting Data...3341946681</v>
        <stp/>
        <stp>BDP|1885491205825662948</stp>
        <tr r="Q2084" s="2"/>
      </tp>
      <tp t="s">
        <v>#N/A Requesting Data...3828584658</v>
        <stp/>
        <stp>BDP|7278889659466569503</stp>
        <tr r="K708" s="2"/>
      </tp>
      <tp t="s">
        <v>#N/A Requesting Data...2675402834</v>
        <stp/>
        <stp>BDP|9490340927900374128</stp>
        <tr r="F95" s="2"/>
      </tp>
      <tp t="s">
        <v>#N/A Requesting Data...3974125193</v>
        <stp/>
        <stp>BDP|7829019871229819067</stp>
        <tr r="F196" s="2"/>
      </tp>
      <tp t="b">
        <v>0</v>
        <stp/>
        <stp>BDS|9598639871428309928</stp>
        <tr r="I1968" s="2"/>
      </tp>
      <tp t="s">
        <v>#N/A Requesting Data...3837754315</v>
        <stp/>
        <stp>BDP|7647572219352887863</stp>
        <tr r="G433" s="2"/>
      </tp>
      <tp t="s">
        <v>#N/A Requesting Data...3708632729</v>
        <stp/>
        <stp>BDP|4724277012128328678</stp>
        <tr r="K2058" s="2"/>
      </tp>
      <tp t="s">
        <v>#N/A Requesting Data...4280555638</v>
        <stp/>
        <stp>BDP|8476936842848234414</stp>
        <tr r="H941" s="2"/>
      </tp>
      <tp t="b">
        <v>0</v>
        <stp/>
        <stp>BDS|4493609066185644828</stp>
        <tr r="I435" s="2"/>
      </tp>
      <tp t="s">
        <v>#N/A Requesting Data...3885178505</v>
        <stp/>
        <stp>BDP|5739185880216164383</stp>
        <tr r="N749" s="2"/>
      </tp>
      <tp t="s">
        <v>#N/A Requesting Data...4205512222</v>
        <stp/>
        <stp>BDP|9477879099034861549</stp>
        <tr r="F1996" s="2"/>
      </tp>
      <tp t="s">
        <v>#N/A Requesting Data...3761571180</v>
        <stp/>
        <stp>BDP|1802792852483004957</stp>
        <tr r="C237" s="2"/>
      </tp>
      <tp t="s">
        <v>#N/A Requesting Data...3608777802</v>
        <stp/>
        <stp>BDP|9489143427945049617</stp>
        <tr r="Q251" s="2"/>
      </tp>
      <tp t="s">
        <v>#N/A Requesting Data...4284783029</v>
        <stp/>
        <stp>BDP|6086833065839356837</stp>
        <tr r="F2449" s="2"/>
      </tp>
      <tp t="s">
        <v>#N/A Requesting Data...3372663445</v>
        <stp/>
        <stp>BDP|4001366976540012963</stp>
        <tr r="C239" s="2"/>
      </tp>
      <tp t="s">
        <v>#N/A Requesting Data...2714678489</v>
        <stp/>
        <stp>BDP|5957942257187974750</stp>
        <tr r="N554" s="2"/>
      </tp>
      <tp t="s">
        <v>#N/A Requesting Data...3031830015</v>
        <stp/>
        <stp>BDP|6985953349242698051</stp>
        <tr r="M2383" s="2"/>
      </tp>
      <tp t="s">
        <v>#N/A Requesting Data...3757034604</v>
        <stp/>
        <stp>BDP|2325235592657195758</stp>
        <tr r="Q1245" s="2"/>
      </tp>
      <tp t="s">
        <v>#N/A Requesting Data...2745507539</v>
        <stp/>
        <stp>BDP|2312515431565583809</stp>
        <tr r="T1622" s="2"/>
      </tp>
      <tp t="s">
        <v>#N/A Requesting Data...2638056932</v>
        <stp/>
        <stp>BDP|1531851784890226808</stp>
        <tr r="A963" s="2"/>
      </tp>
      <tp t="s">
        <v>#N/A Requesting Data...2782839004</v>
        <stp/>
        <stp>BDP|5586229555082611920</stp>
        <tr r="Q594" s="2"/>
      </tp>
      <tp t="s">
        <v>#N/A Requesting Data...3778282263</v>
        <stp/>
        <stp>BDP|4752555372036326951</stp>
        <tr r="T686" s="2"/>
      </tp>
      <tp t="s">
        <v>#N/A Requesting Data...3379119190</v>
        <stp/>
        <stp>BDP|8870797580656614814</stp>
        <tr r="K745" s="2"/>
      </tp>
      <tp t="s">
        <v>#N/A Requesting Data...4034250911</v>
        <stp/>
        <stp>BDP|5231832941466322654</stp>
        <tr r="S1813" s="2"/>
      </tp>
      <tp t="s">
        <v>#N/A Requesting Data...3815613402</v>
        <stp/>
        <stp>BDP|9580115958082398697</stp>
        <tr r="R395" s="2"/>
      </tp>
      <tp t="s">
        <v>#N/A Requesting Data...4103879246</v>
        <stp/>
        <stp>BDP|1566217655497503826</stp>
        <tr r="H1286" s="2"/>
      </tp>
      <tp t="s">
        <v>#N/A Requesting Data...3405258344</v>
        <stp/>
        <stp>BDP|3321969665157196271</stp>
        <tr r="D301" s="2"/>
      </tp>
      <tp t="s">
        <v>#N/A Requesting Data...3529807665</v>
        <stp/>
        <stp>BDP|6197915177811577041</stp>
        <tr r="O1069" s="2"/>
      </tp>
      <tp t="s">
        <v>#N/A Requesting Data...4139671222</v>
        <stp/>
        <stp>BDP|5040942528954243389</stp>
        <tr r="H574" s="2"/>
      </tp>
      <tp t="s">
        <v>#N/A Requesting Data...3789057221</v>
        <stp/>
        <stp>BDP|7533849545484682644</stp>
        <tr r="T2195" s="2"/>
      </tp>
      <tp t="s">
        <v>#N/A Requesting Data...2708688038</v>
        <stp/>
        <stp>BDP|2862682479809993360</stp>
        <tr r="S1315" s="2"/>
      </tp>
      <tp t="s">
        <v>#N/A Requesting Data...3714953568</v>
        <stp/>
        <stp>BDP|7399879147287446513</stp>
        <tr r="N760" s="2"/>
      </tp>
      <tp t="s">
        <v>#N/A Requesting Data...3631542143</v>
        <stp/>
        <stp>BDP|1203480132258977770</stp>
        <tr r="C1118" s="2"/>
      </tp>
      <tp t="s">
        <v>#N/A Requesting Data...4009654106</v>
        <stp/>
        <stp>BDP|9721692869395831595</stp>
        <tr r="T1528" s="2"/>
      </tp>
      <tp t="s">
        <v>#N/A Requesting Data...3827721104</v>
        <stp/>
        <stp>BDP|2606463242603106850</stp>
        <tr r="J2413" s="2"/>
      </tp>
      <tp t="s">
        <v>#N/A Requesting Data...2791057743</v>
        <stp/>
        <stp>BDP|6422887114697926174</stp>
        <tr r="A1256" s="2"/>
      </tp>
      <tp t="s">
        <v>#N/A Requesting Data...3343656241</v>
        <stp/>
        <stp>BDP|9010293028509628910</stp>
        <tr r="Q2116" s="2"/>
      </tp>
      <tp t="s">
        <v>#N/A Requesting Data...4031009907</v>
        <stp/>
        <stp>BDP|1226412326697275914</stp>
        <tr r="Q409" s="2"/>
      </tp>
      <tp t="s">
        <v>#N/A Requesting Data...3313286404</v>
        <stp/>
        <stp>BDP|6986642086841919046</stp>
        <tr r="D1039" s="2"/>
      </tp>
      <tp t="s">
        <v>#N/A Requesting Data...3787325974</v>
        <stp/>
        <stp>BDP|5760610703208782248</stp>
        <tr r="K936" s="2"/>
      </tp>
      <tp t="s">
        <v>#N/A Requesting Data...4017428050</v>
        <stp/>
        <stp>BDP|4837421491103973340</stp>
        <tr r="E141" s="2"/>
      </tp>
      <tp t="s">
        <v>#N/A Requesting Data...2749043353</v>
        <stp/>
        <stp>BDP|1153916647612729763</stp>
        <tr r="S430" s="2"/>
      </tp>
      <tp t="s">
        <v>#N/A Requesting Data...4027087826</v>
        <stp/>
        <stp>BDP|7477124104087400807</stp>
        <tr r="K1413" s="2"/>
      </tp>
      <tp t="s">
        <v>#N/A Requesting Data...3002964523</v>
        <stp/>
        <stp>BDP|6208211464262311926</stp>
        <tr r="A447" s="2"/>
      </tp>
      <tp t="s">
        <v>#N/A Requesting Data...3125356777</v>
        <stp/>
        <stp>BDP|6590231126806074960</stp>
        <tr r="N2317" s="2"/>
      </tp>
      <tp t="s">
        <v>#N/A Requesting Data...3396478314</v>
        <stp/>
        <stp>BDP|8674143876162559577</stp>
        <tr r="M714" s="2"/>
      </tp>
      <tp t="s">
        <v>#N/A Requesting Data...3887753488</v>
        <stp/>
        <stp>BDP|5061654884731007372</stp>
        <tr r="T1648" s="2"/>
      </tp>
      <tp t="s">
        <v>#N/A Requesting Data...2806727775</v>
        <stp/>
        <stp>BDP|4917785699337683489</stp>
        <tr r="F2281" s="2"/>
      </tp>
      <tp t="s">
        <v>#N/A Requesting Data...3290419863</v>
        <stp/>
        <stp>BDP|3998965321937165695</stp>
        <tr r="A1990" s="2"/>
      </tp>
      <tp t="s">
        <v>#N/A Requesting Data...3874404111</v>
        <stp/>
        <stp>BDP|9157434873622145165</stp>
        <tr r="K1395" s="2"/>
      </tp>
      <tp t="b">
        <v>0</v>
        <stp/>
        <stp>BDS|8741488642884997528</stp>
        <tr r="I1240" s="2"/>
      </tp>
      <tp t="s">
        <v>#N/A Requesting Data...4212841353</v>
        <stp/>
        <stp>BDP|2213140287236119464</stp>
        <tr r="Q776" s="2"/>
      </tp>
      <tp t="s">
        <v>#N/A Requesting Data...3884220952</v>
        <stp/>
        <stp>BDP|7638603629859096388</stp>
        <tr r="J2133" s="2"/>
      </tp>
      <tp t="s">
        <v>#N/A Requesting Data...3380673338</v>
        <stp/>
        <stp>BDP|3437067972165747808</stp>
        <tr r="F2489" s="2"/>
      </tp>
      <tp t="s">
        <v>#N/A Requesting Data...3221859727</v>
        <stp/>
        <stp>BDP|1612038592096706770</stp>
        <tr r="Q840" s="2"/>
      </tp>
      <tp t="s">
        <v>#N/A Requesting Data...3807337800</v>
        <stp/>
        <stp>BDP|5181834362587241554</stp>
        <tr r="M522" s="2"/>
      </tp>
      <tp t="s">
        <v>#N/A Requesting Data...3117103080</v>
        <stp/>
        <stp>BDP|9066636437936547365</stp>
        <tr r="A1534" s="2"/>
      </tp>
      <tp t="s">
        <v>#N/A Requesting Data...3821292907</v>
        <stp/>
        <stp>BDP|9878001249555138178</stp>
        <tr r="A827" s="2"/>
      </tp>
      <tp t="s">
        <v>#N/A Requesting Data...3534666697</v>
        <stp/>
        <stp>BDP|9099463157112179374</stp>
        <tr r="P1662" s="2"/>
      </tp>
      <tp t="s">
        <v>#N/A Requesting Data...3268310636</v>
        <stp/>
        <stp>BDP|7505944702371374678</stp>
        <tr r="T2386" s="2"/>
      </tp>
      <tp t="s">
        <v>#N/A Requesting Data...2775480356</v>
        <stp/>
        <stp>BDP|4642301198246884117</stp>
        <tr r="J1220" s="2"/>
      </tp>
      <tp t="s">
        <v>#N/A Requesting Data...3092550827</v>
        <stp/>
        <stp>BDP|1251191448998050540</stp>
        <tr r="N2470" s="2"/>
      </tp>
      <tp t="s">
        <v>#N/A Requesting Data...3852065135</v>
        <stp/>
        <stp>BDP|2430815935069672919</stp>
        <tr r="R1804" s="2"/>
      </tp>
      <tp t="s">
        <v>#N/A Requesting Data...4200139888</v>
        <stp/>
        <stp>BDP|9678472115554482170</stp>
        <tr r="M181" s="2"/>
      </tp>
      <tp t="s">
        <v>#N/A Requesting Data...4007463605</v>
        <stp/>
        <stp>BDP|8441296028982241307</stp>
        <tr r="N436" s="2"/>
      </tp>
      <tp t="s">
        <v>#N/A Requesting Data...2752870577</v>
        <stp/>
        <stp>BDP|4370714946546694857</stp>
        <tr r="J2334" s="2"/>
      </tp>
      <tp t="s">
        <v>#N/A Requesting Data...3741250379</v>
        <stp/>
        <stp>BDP|5833489498591735084</stp>
        <tr r="P2038" s="2"/>
      </tp>
      <tp t="s">
        <v>#N/A Requesting Data...3163738320</v>
        <stp/>
        <stp>BDP|8792512165165731732</stp>
        <tr r="K1542" s="2"/>
      </tp>
      <tp t="s">
        <v>#N/A Requesting Data...3130133596</v>
        <stp/>
        <stp>BDP|1635660072678464118</stp>
        <tr r="T2360" s="2"/>
      </tp>
      <tp t="s">
        <v>#N/A Requesting Data...2776806767</v>
        <stp/>
        <stp>BDP|8195800633033357967</stp>
        <tr r="F956" s="2"/>
      </tp>
      <tp t="b">
        <v>0</v>
        <stp/>
        <stp>BDS|8332213923559359858</stp>
        <tr r="I1861" s="2"/>
      </tp>
      <tp t="s">
        <v>#N/A Requesting Data...3703620905</v>
        <stp/>
        <stp>BDP|4361841573913719144</stp>
        <tr r="F444" s="2"/>
      </tp>
      <tp t="s">
        <v>#N/A Requesting Data...3219868639</v>
        <stp/>
        <stp>BDP|3838181829800779996</stp>
        <tr r="K2393" s="2"/>
      </tp>
      <tp t="s">
        <v>#N/A Requesting Data...4283651736</v>
        <stp/>
        <stp>BDP|6050893714780885622</stp>
        <tr r="F330" s="2"/>
      </tp>
      <tp t="s">
        <v>#N/A Requesting Data...3709964789</v>
        <stp/>
        <stp>BDP|6692763829999607389</stp>
        <tr r="J2417" s="2"/>
      </tp>
      <tp t="s">
        <v>#N/A Requesting Data...3941504423</v>
        <stp/>
        <stp>BDP|1140007311368130169</stp>
        <tr r="D918" s="2"/>
      </tp>
      <tp t="s">
        <v>#N/A Requesting Data...3830826203</v>
        <stp/>
        <stp>BDP|6714140732214217948</stp>
        <tr r="T1660" s="2"/>
      </tp>
      <tp t="s">
        <v>#N/A Requesting Data...3763109650</v>
        <stp/>
        <stp>BDP|5573421502110245809</stp>
        <tr r="A1807" s="2"/>
      </tp>
      <tp t="s">
        <v>#N/A Requesting Data...2938774456</v>
        <stp/>
        <stp>BDP|5638476905141486976</stp>
        <tr r="O778" s="2"/>
      </tp>
      <tp t="s">
        <v>#N/A Requesting Data...3691522079</v>
        <stp/>
        <stp>BDP|1636743765261419849</stp>
        <tr r="G1322" s="2"/>
      </tp>
      <tp t="s">
        <v>#N/A Requesting Data...3440618927</v>
        <stp/>
        <stp>BDP|1954389791440646211</stp>
        <tr r="N186" s="2"/>
      </tp>
      <tp t="s">
        <v>#N/A Requesting Data...3993630876</v>
        <stp/>
        <stp>BDP|8664262793963796939</stp>
        <tr r="Q1499" s="2"/>
      </tp>
      <tp t="s">
        <v>#N/A Requesting Data...3108227028</v>
        <stp/>
        <stp>BDP|4220254797822231451</stp>
        <tr r="F1455" s="2"/>
      </tp>
      <tp t="s">
        <v>#N/A Requesting Data...3417547178</v>
        <stp/>
        <stp>BDP|9422259564510653447</stp>
        <tr r="R2315" s="2"/>
      </tp>
      <tp t="s">
        <v>#N/A Requesting Data...4026098650</v>
        <stp/>
        <stp>BDP|8231009029376930556</stp>
        <tr r="N1547" s="2"/>
      </tp>
      <tp t="s">
        <v>#N/A Requesting Data...3825007324</v>
        <stp/>
        <stp>BDP|9489447246358379827</stp>
        <tr r="G1121" s="2"/>
      </tp>
      <tp t="s">
        <v>#N/A Requesting Data...2812707867</v>
        <stp/>
        <stp>BDP|1805684664758367009</stp>
        <tr r="J1068" s="2"/>
      </tp>
      <tp t="s">
        <v>#N/A Requesting Data...3504734364</v>
        <stp/>
        <stp>BDP|4814584094952260316</stp>
        <tr r="J1956" s="2"/>
      </tp>
      <tp t="s">
        <v>#N/A Requesting Data...4156403133</v>
        <stp/>
        <stp>BDP|5790260287464256234</stp>
        <tr r="N31" s="2"/>
      </tp>
      <tp t="s">
        <v>#N/A Requesting Data...4046853643</v>
        <stp/>
        <stp>BDP|4284319593266151169</stp>
        <tr r="N1755" s="2"/>
      </tp>
      <tp t="s">
        <v>#N/A Requesting Data...3405755765</v>
        <stp/>
        <stp>BDP|6921398195323475661</stp>
        <tr r="Q1440" s="2"/>
      </tp>
      <tp t="s">
        <v>#N/A Requesting Data...3305489993</v>
        <stp/>
        <stp>BDP|8118517731313682402</stp>
        <tr r="A388" s="2"/>
      </tp>
      <tp t="s">
        <v>#N/A Requesting Data...3405696264</v>
        <stp/>
        <stp>BDP|1688219572744707959</stp>
        <tr r="N100" s="2"/>
      </tp>
      <tp t="s">
        <v>#N/A Requesting Data...3022858360</v>
        <stp/>
        <stp>BDP|6601908126767079377</stp>
        <tr r="P1534" s="2"/>
      </tp>
      <tp t="s">
        <v>#N/A Requesting Data...4200732201</v>
        <stp/>
        <stp>BDP|7392491599173058043</stp>
        <tr r="T2217" s="2"/>
      </tp>
      <tp t="s">
        <v>#N/A Requesting Data...4113497976</v>
        <stp/>
        <stp>BDP|4726816360682087115</stp>
        <tr r="C2277" s="2"/>
      </tp>
      <tp t="s">
        <v>#N/A Requesting Data...3409430859</v>
        <stp/>
        <stp>BDP|5010448164328069673</stp>
        <tr r="M1360" s="2"/>
      </tp>
      <tp t="s">
        <v>#N/A Requesting Data...3629534575</v>
        <stp/>
        <stp>BDP|6926135842969913360</stp>
        <tr r="Q1112" s="2"/>
      </tp>
      <tp t="s">
        <v>#N/A Requesting Data...3292452048</v>
        <stp/>
        <stp>BDP|1793704523654107925</stp>
        <tr r="P2003" s="2"/>
      </tp>
      <tp t="s">
        <v>#N/A Requesting Data...3520201118</v>
        <stp/>
        <stp>BDP|9591818232839365221</stp>
        <tr r="T1521" s="2"/>
      </tp>
      <tp t="b">
        <v>0</v>
        <stp/>
        <stp>BDS|2169439380843299473</stp>
        <tr r="I1983" s="2"/>
      </tp>
      <tp t="s">
        <v>#N/A Requesting Data...3844219712</v>
        <stp/>
        <stp>BDP|1970789191597565123</stp>
        <tr r="K2190" s="2"/>
      </tp>
      <tp t="b">
        <v>0</v>
        <stp/>
        <stp>BDS|8890210469393570620</stp>
        <tr r="I841" s="2"/>
      </tp>
      <tp t="s">
        <v>#N/A Requesting Data...3838873098</v>
        <stp/>
        <stp>BDP|9398337446316333120</stp>
        <tr r="A1959" s="2"/>
      </tp>
      <tp t="s">
        <v>#N/A Requesting Data...3383891698</v>
        <stp/>
        <stp>BDP|7480025432058279514</stp>
        <tr r="M2176" s="2"/>
      </tp>
      <tp t="s">
        <v>#N/A Requesting Data...3220482766</v>
        <stp/>
        <stp>BDP|3679926973157721373</stp>
        <tr r="J2062" s="2"/>
      </tp>
      <tp t="s">
        <v>#N/A Requesting Data...3009915728</v>
        <stp/>
        <stp>BDP|8330851614309186148</stp>
        <tr r="R2460" s="2"/>
      </tp>
      <tp t="s">
        <v>#N/A Requesting Data...3922082682</v>
        <stp/>
        <stp>BDP|8383858783726416767</stp>
        <tr r="P1107" s="2"/>
      </tp>
      <tp t="b">
        <v>0</v>
        <stp/>
        <stp>BDS|8355932783177519715</stp>
        <tr r="I158" s="2"/>
      </tp>
      <tp t="s">
        <v>#N/A Requesting Data...3269392059</v>
        <stp/>
        <stp>BDP|7495448286235419753</stp>
        <tr r="R777" s="2"/>
      </tp>
      <tp t="s">
        <v>#N/A Requesting Data...3036660204</v>
        <stp/>
        <stp>BDP|1837211496152178195</stp>
        <tr r="S1915" s="2"/>
      </tp>
      <tp t="s">
        <v>#N/A Requesting Data...3771968183</v>
        <stp/>
        <stp>BDP|1673420186430263475</stp>
        <tr r="S1646" s="2"/>
      </tp>
      <tp t="s">
        <v>#N/A Requesting Data...2963232299</v>
        <stp/>
        <stp>BDP|2413965631461131053</stp>
        <tr r="F504" s="2"/>
      </tp>
      <tp t="s">
        <v>#N/A Requesting Data...3531064579</v>
        <stp/>
        <stp>BDP|9231801075296324932</stp>
        <tr r="E1919" s="2"/>
      </tp>
      <tp t="s">
        <v>#N/A Requesting Data...4163793706</v>
        <stp/>
        <stp>BDP|8643806022192443977</stp>
        <tr r="A1185" s="2"/>
      </tp>
      <tp t="s">
        <v>#N/A Requesting Data...3521685718</v>
        <stp/>
        <stp>BDP|3471586886144527382</stp>
        <tr r="R2387" s="2"/>
      </tp>
      <tp t="s">
        <v>#N/A Requesting Data...3360919949</v>
        <stp/>
        <stp>BDP|2157958142970925685</stp>
        <tr r="S2515" s="2"/>
      </tp>
      <tp t="s">
        <v>#N/A Requesting Data...4079391271</v>
        <stp/>
        <stp>BDP|7633145860290237974</stp>
        <tr r="Q363" s="2"/>
      </tp>
      <tp t="s">
        <v>#N/A Requesting Data...3512278450</v>
        <stp/>
        <stp>BDP|9261613342744640605</stp>
        <tr r="Q2271" s="2"/>
      </tp>
      <tp t="s">
        <v>#N/A Requesting Data...4195519689</v>
        <stp/>
        <stp>BDP|1511867309411534182</stp>
        <tr r="H2438" s="2"/>
      </tp>
      <tp t="s">
        <v>#N/A Requesting Data...3743551562</v>
        <stp/>
        <stp>BDP|6621885207421996679</stp>
        <tr r="G794" s="2"/>
      </tp>
      <tp t="s">
        <v>#N/A Requesting Data...4020615669</v>
        <stp/>
        <stp>BDP|6222105592252100566</stp>
        <tr r="A1178" s="2"/>
      </tp>
      <tp t="s">
        <v>#N/A Requesting Data...3088114652</v>
        <stp/>
        <stp>BDP|1311976678136219094</stp>
        <tr r="C1254" s="2"/>
      </tp>
      <tp t="s">
        <v>#N/A Requesting Data...3817057299</v>
        <stp/>
        <stp>BDP|5151851446045038554</stp>
        <tr r="N2067" s="2"/>
      </tp>
      <tp t="s">
        <v>#N/A Requesting Data...3618914678</v>
        <stp/>
        <stp>BDP|8375641416595282348</stp>
        <tr r="P1075" s="2"/>
      </tp>
      <tp t="s">
        <v>#N/A Requesting Data...4091752403</v>
        <stp/>
        <stp>BDP|1248854821900684273</stp>
        <tr r="T1060" s="2"/>
      </tp>
      <tp t="s">
        <v>#N/A Requesting Data...4287404810</v>
        <stp/>
        <stp>BDP|9534356701547742416</stp>
        <tr r="R2016" s="2"/>
      </tp>
      <tp t="s">
        <v>#N/A Requesting Data...3042622396</v>
        <stp/>
        <stp>BDP|8743747564238462845</stp>
        <tr r="Q2501" s="2"/>
      </tp>
      <tp t="s">
        <v>#N/A Requesting Data...2993351583</v>
        <stp/>
        <stp>BDP|3254266092067262637</stp>
        <tr r="F2045" s="2"/>
      </tp>
      <tp t="s">
        <v>#N/A Requesting Data...4062112134</v>
        <stp/>
        <stp>BDP|8582905734428389353</stp>
        <tr r="Q2000" s="2"/>
      </tp>
      <tp t="s">
        <v>#N/A Requesting Data...3982393639</v>
        <stp/>
        <stp>BDP|9710753584176489959</stp>
        <tr r="N2376" s="2"/>
      </tp>
      <tp t="b">
        <v>0</v>
        <stp/>
        <stp>BDS|9494674653735586624</stp>
        <tr r="I1755" s="2"/>
      </tp>
      <tp t="s">
        <v>#N/A Requesting Data...4152423785</v>
        <stp/>
        <stp>BDP|5436845806200300421</stp>
        <tr r="F1284" s="2"/>
      </tp>
      <tp t="s">
        <v>#N/A Requesting Data...3325049117</v>
        <stp/>
        <stp>BDP|6992984453172089151</stp>
        <tr r="T220" s="2"/>
      </tp>
      <tp t="s">
        <v>#N/A Requesting Data...3207254168</v>
        <stp/>
        <stp>BDP|6316896812075820370</stp>
        <tr r="G1873" s="2"/>
      </tp>
      <tp t="s">
        <v>#N/A Requesting Data...3519887958</v>
        <stp/>
        <stp>BDP|4287772784465630709</stp>
        <tr r="C1541" s="2"/>
      </tp>
      <tp t="s">
        <v>#N/A Requesting Data...3863388083</v>
        <stp/>
        <stp>BDP|9188729031393627734</stp>
        <tr r="M2495" s="2"/>
      </tp>
      <tp t="s">
        <v>#N/A Requesting Data...3663618894</v>
        <stp/>
        <stp>BDP|8999078017918940878</stp>
        <tr r="O46" s="2"/>
      </tp>
      <tp t="s">
        <v>#N/A Requesting Data...3404366452</v>
        <stp/>
        <stp>BDP|4090333836488399513</stp>
        <tr r="K630" s="2"/>
      </tp>
      <tp t="s">
        <v>#N/A Requesting Data...4055661577</v>
        <stp/>
        <stp>BDP|9644214231643978285</stp>
        <tr r="A1494" s="2"/>
      </tp>
      <tp t="s">
        <v>#N/A Requesting Data...3243534450</v>
        <stp/>
        <stp>BDP|6716034501546450962</stp>
        <tr r="Q2420" s="2"/>
      </tp>
      <tp t="s">
        <v>#N/A Requesting Data...3207990786</v>
        <stp/>
        <stp>BDP|7649737870186368813</stp>
        <tr r="G2021" s="2"/>
      </tp>
      <tp t="s">
        <v>#N/A Requesting Data...3095791365</v>
        <stp/>
        <stp>BDP|3760925586659273265</stp>
        <tr r="T1780" s="2"/>
      </tp>
      <tp t="s">
        <v>#N/A Requesting Data...3379936985</v>
        <stp/>
        <stp>BDP|9136246308224369696</stp>
        <tr r="J959" s="2"/>
      </tp>
      <tp t="s">
        <v>#N/A Requesting Data...4157657188</v>
        <stp/>
        <stp>BDP|7531414634719179060</stp>
        <tr r="M1766" s="2"/>
      </tp>
      <tp t="s">
        <v>#N/A Requesting Data...4025101704</v>
        <stp/>
        <stp>BDP|3187349106370418904</stp>
        <tr r="S2424" s="2"/>
      </tp>
      <tp t="s">
        <v>#N/A Requesting Data...3741183689</v>
        <stp/>
        <stp>BDP|3248351305789547000</stp>
        <tr r="A913" s="2"/>
      </tp>
      <tp t="b">
        <v>0</v>
        <stp/>
        <stp>BDS|9546646417523001412</stp>
        <tr r="I2128" s="2"/>
      </tp>
      <tp t="s">
        <v>#N/A Requesting Data...3158462651</v>
        <stp/>
        <stp>BDP|9669524764652361144</stp>
        <tr r="J730" s="2"/>
      </tp>
      <tp t="s">
        <v>#N/A Requesting Data...4024289159</v>
        <stp/>
        <stp>BDP|4444828454302506236</stp>
        <tr r="D1364" s="2"/>
      </tp>
      <tp t="s">
        <v>#N/A Requesting Data...3267934112</v>
        <stp/>
        <stp>BDP|4551681318882129807</stp>
        <tr r="P549" s="2"/>
      </tp>
      <tp t="s">
        <v>#N/A Requesting Data...3266708120</v>
        <stp/>
        <stp>BDP|9554995640894043985</stp>
        <tr r="D1683" s="2"/>
      </tp>
      <tp t="s">
        <v>#N/A Requesting Data...2993646878</v>
        <stp/>
        <stp>BDP|4953273607667919848</stp>
        <tr r="J441" s="2"/>
      </tp>
      <tp t="s">
        <v>#N/A Requesting Data...3792530055</v>
        <stp/>
        <stp>BDP|1829725884017374098</stp>
        <tr r="M1787" s="2"/>
      </tp>
      <tp t="s">
        <v>#N/A Requesting Data...3838564544</v>
        <stp/>
        <stp>BDP|8711005752914431056</stp>
        <tr r="H395" s="2"/>
      </tp>
      <tp t="s">
        <v>#N/A Requesting Data...4217776127</v>
        <stp/>
        <stp>BDP|3286424490174365373</stp>
        <tr r="O113" s="2"/>
      </tp>
      <tp t="s">
        <v>#N/A Requesting Data...3976218856</v>
        <stp/>
        <stp>BDP|5283603488335894769</stp>
        <tr r="J2514" s="2"/>
      </tp>
      <tp t="s">
        <v>#N/A Requesting Data...3217487274</v>
        <stp/>
        <stp>BDP|1796542685412020725</stp>
        <tr r="O290" s="2"/>
      </tp>
      <tp t="s">
        <v>#N/A Requesting Data...4108543962</v>
        <stp/>
        <stp>BDP|3522773342310381972</stp>
        <tr r="A2210" s="2"/>
      </tp>
      <tp t="s">
        <v>#N/A Requesting Data...4262342675</v>
        <stp/>
        <stp>BDP|3245866825962567205</stp>
        <tr r="N2458" s="2"/>
      </tp>
      <tp t="b">
        <v>0</v>
        <stp/>
        <stp>BDS|1803402337496850938</stp>
        <tr r="I1410" s="2"/>
      </tp>
      <tp t="s">
        <v>#N/A Requesting Data...3727098116</v>
        <stp/>
        <stp>BDP|6152416483007591421</stp>
        <tr r="A650" s="2"/>
      </tp>
      <tp t="s">
        <v>#N/A Requesting Data...4109867448</v>
        <stp/>
        <stp>BDP|4787706644137603914</stp>
        <tr r="D836" s="2"/>
      </tp>
      <tp t="s">
        <v>#N/A Requesting Data...3298525892</v>
        <stp/>
        <stp>BDP|1046153079767089983</stp>
        <tr r="C286" s="2"/>
      </tp>
      <tp t="s">
        <v>#N/A Requesting Data...3895780417</v>
        <stp/>
        <stp>BDP|6093511970534650933</stp>
        <tr r="H637" s="2"/>
      </tp>
      <tp t="s">
        <v>#N/A Requesting Data...3188038742</v>
        <stp/>
        <stp>BDP|9030647341503594142</stp>
        <tr r="D1758" s="2"/>
      </tp>
      <tp t="s">
        <v>#N/A Requesting Data...3139119949</v>
        <stp/>
        <stp>BDP|4978901615880128596</stp>
        <tr r="E1325" s="2"/>
      </tp>
      <tp t="s">
        <v>#N/A Requesting Data...3621539890</v>
        <stp/>
        <stp>BDP|7382961353166038421</stp>
        <tr r="F1033" s="2"/>
      </tp>
      <tp t="s">
        <v>#N/A Requesting Data...4026888962</v>
        <stp/>
        <stp>BDP|1252942429133980023</stp>
        <tr r="T481" s="2"/>
      </tp>
      <tp t="s">
        <v>#N/A Requesting Data...3712483407</v>
        <stp/>
        <stp>BDP|6263336346560410879</stp>
        <tr r="H1951" s="2"/>
      </tp>
      <tp t="s">
        <v>#N/A Requesting Data...3169937209</v>
        <stp/>
        <stp>BDP|5371260450409564248</stp>
        <tr r="J1879" s="2"/>
      </tp>
      <tp t="s">
        <v>#N/A Requesting Data...3994241517</v>
        <stp/>
        <stp>BDP|3582371841294453932</stp>
        <tr r="P2087" s="2"/>
      </tp>
      <tp t="s">
        <v>#N/A Requesting Data...3136911813</v>
        <stp/>
        <stp>BDP|8269433511146290261</stp>
        <tr r="T1038" s="2"/>
      </tp>
      <tp t="s">
        <v>#N/A Requesting Data...4022039630</v>
        <stp/>
        <stp>BDP|2913855802854976734</stp>
        <tr r="R120" s="2"/>
      </tp>
      <tp t="s">
        <v>#N/A Requesting Data...3452724192</v>
        <stp/>
        <stp>BDP|4116671563688990580</stp>
        <tr r="P2128" s="2"/>
      </tp>
      <tp t="s">
        <v>#N/A Requesting Data...3684116510</v>
        <stp/>
        <stp>BDP|9635469578245840642</stp>
        <tr r="Q964" s="2"/>
      </tp>
      <tp t="s">
        <v>#N/A Requesting Data...3364110376</v>
        <stp/>
        <stp>BDP|7155419651409724624</stp>
        <tr r="E2001" s="2"/>
      </tp>
      <tp t="s">
        <v>#N/A Requesting Data...3832904099</v>
        <stp/>
        <stp>BDP|1347193323642988947</stp>
        <tr r="P1259" s="2"/>
      </tp>
      <tp t="s">
        <v>#N/A Requesting Data...3820249175</v>
        <stp/>
        <stp>BDP|3447002071348467552</stp>
        <tr r="H2414" s="2"/>
      </tp>
      <tp t="s">
        <v>#N/A Requesting Data...3656765425</v>
        <stp/>
        <stp>BDP|3921884974595846096</stp>
        <tr r="J1339" s="2"/>
      </tp>
      <tp t="s">
        <v>#N/A Requesting Data...3077939054</v>
        <stp/>
        <stp>BDP|6607612702811036818</stp>
        <tr r="K1244" s="2"/>
      </tp>
      <tp t="s">
        <v>#N/A Requesting Data...3918828279</v>
        <stp/>
        <stp>BDP|6309106125705315911</stp>
        <tr r="F2340" s="2"/>
      </tp>
      <tp t="s">
        <v>#N/A Requesting Data...3263881209</v>
        <stp/>
        <stp>BDP|3705963351233207561</stp>
        <tr r="C2241" s="2"/>
      </tp>
      <tp t="s">
        <v>#N/A Requesting Data...3640961354</v>
        <stp/>
        <stp>BDP|2815230252549800554</stp>
        <tr r="E694" s="2"/>
      </tp>
      <tp t="s">
        <v>#N/A Requesting Data...3314322724</v>
        <stp/>
        <stp>BDP|8598727581677115939</stp>
        <tr r="H1210" s="2"/>
      </tp>
      <tp t="s">
        <v>#N/A Requesting Data...3269953075</v>
        <stp/>
        <stp>BDP|5861539993304882444</stp>
        <tr r="N1380" s="2"/>
      </tp>
      <tp t="s">
        <v>#N/A Requesting Data...3550699145</v>
        <stp/>
        <stp>BDP|5362637257477341802</stp>
        <tr r="D977" s="2"/>
      </tp>
      <tp t="s">
        <v>#N/A Requesting Data...4192977128</v>
        <stp/>
        <stp>BDP|7417419657729695605</stp>
        <tr r="A1693" s="2"/>
      </tp>
      <tp t="s">
        <v>#N/A Requesting Data...3678743365</v>
        <stp/>
        <stp>BDP|9030850573327610842</stp>
        <tr r="O673" s="2"/>
      </tp>
      <tp t="s">
        <v>#N/A Requesting Data...3857411532</v>
        <stp/>
        <stp>BDP|8650706455064212751</stp>
        <tr r="O1185" s="2"/>
      </tp>
      <tp t="s">
        <v>#N/A Requesting Data...4115189165</v>
        <stp/>
        <stp>BDP|7131857574352750331</stp>
        <tr r="S119" s="2"/>
      </tp>
      <tp t="s">
        <v>#N/A Requesting Data...3966831674</v>
        <stp/>
        <stp>BDP|7219035883326752011</stp>
        <tr r="D1125" s="2"/>
      </tp>
      <tp t="s">
        <v>#N/A Requesting Data...4284700418</v>
        <stp/>
        <stp>BDP|1121114584671961095</stp>
        <tr r="J309" s="2"/>
      </tp>
      <tp t="s">
        <v>#N/A Requesting Data...3290336567</v>
        <stp/>
        <stp>BDP|1562767054893696953</stp>
        <tr r="Q1195" s="2"/>
      </tp>
      <tp t="b">
        <v>0</v>
        <stp/>
        <stp>BDS|4928636750096638887</stp>
        <tr r="I2102" s="2"/>
      </tp>
      <tp t="s">
        <v>#N/A Requesting Data...3790982223</v>
        <stp/>
        <stp>BDP|8256757761407068723</stp>
        <tr r="R922" s="2"/>
      </tp>
      <tp t="s">
        <v>#N/A Requesting Data...3951642693</v>
        <stp/>
        <stp>BDP|9120087247203816724</stp>
        <tr r="A2522" s="2"/>
      </tp>
      <tp t="s">
        <v>#N/A Requesting Data...3132562619</v>
        <stp/>
        <stp>BDP|6650140016657060807</stp>
        <tr r="E1427" s="2"/>
      </tp>
      <tp t="s">
        <v>#N/A Requesting Data...3976828648</v>
        <stp/>
        <stp>BDP|2277664690641343533</stp>
        <tr r="A1460" s="2"/>
      </tp>
      <tp t="s">
        <v>#N/A Requesting Data...3834031153</v>
        <stp/>
        <stp>BDP|2323743222029643777</stp>
        <tr r="E2494" s="2"/>
      </tp>
      <tp t="s">
        <v>#N/A Requesting Data...3962837629</v>
        <stp/>
        <stp>BDP|6831443552777222987</stp>
        <tr r="O1953" s="2"/>
      </tp>
      <tp t="s">
        <v>#N/A Requesting Data...4247105818</v>
        <stp/>
        <stp>BDP|8789954892702700339</stp>
        <tr r="C851" s="2"/>
      </tp>
      <tp t="s">
        <v>#N/A Requesting Data...3765585224</v>
        <stp/>
        <stp>BDP|8932897316538710052</stp>
        <tr r="C2455" s="2"/>
      </tp>
      <tp t="s">
        <v>#N/A Requesting Data...3714141952</v>
        <stp/>
        <stp>BDP|2818563035238946566</stp>
        <tr r="D1674" s="2"/>
      </tp>
      <tp t="s">
        <v>#N/A Requesting Data...3614500466</v>
        <stp/>
        <stp>BDP|9603493379823518078</stp>
        <tr r="E684" s="2"/>
      </tp>
      <tp t="b">
        <v>0</v>
        <stp/>
        <stp>BDS|9624226522820697043</stp>
        <tr r="I402" s="2"/>
      </tp>
      <tp t="s">
        <v>#N/A Requesting Data...3439096372</v>
        <stp/>
        <stp>BDP|7840763804958788193</stp>
        <tr r="H2030" s="2"/>
      </tp>
      <tp t="s">
        <v>#N/A Requesting Data...3605949144</v>
        <stp/>
        <stp>BDP|7067683270667923854</stp>
        <tr r="O274" s="2"/>
      </tp>
      <tp t="s">
        <v>#N/A Requesting Data...3284719546</v>
        <stp/>
        <stp>BDP|2676289893745898515</stp>
        <tr r="M1582" s="2"/>
      </tp>
      <tp t="s">
        <v>#N/A Requesting Data...3694807320</v>
        <stp/>
        <stp>BDP|7779627159845141899</stp>
        <tr r="E383" s="2"/>
      </tp>
      <tp t="s">
        <v>#N/A Requesting Data...3792700630</v>
        <stp/>
        <stp>BDP|8083434063993227062</stp>
        <tr r="P730" s="2"/>
      </tp>
      <tp t="s">
        <v>#N/A Requesting Data...4006371344</v>
        <stp/>
        <stp>BDP|6701425199187116590</stp>
        <tr r="S1739" s="2"/>
      </tp>
      <tp t="s">
        <v>#N/A Requesting Data...3415114916</v>
        <stp/>
        <stp>BDP|3439192624948890154</stp>
        <tr r="P1362" s="2"/>
      </tp>
      <tp t="b">
        <v>0</v>
        <stp/>
        <stp>BDS|8009379586513336969</stp>
        <tr r="I1611" s="2"/>
      </tp>
      <tp t="s">
        <v>#N/A Requesting Data...3736850548</v>
        <stp/>
        <stp>BDP|4313620630150415815</stp>
        <tr r="O5" s="2"/>
      </tp>
      <tp t="s">
        <v>#N/A Requesting Data...3901500893</v>
        <stp/>
        <stp>BDP|3352631053010585928</stp>
        <tr r="M2054" s="2"/>
      </tp>
      <tp t="s">
        <v>#N/A Requesting Data...3286585554</v>
        <stp/>
        <stp>BDP|8670622773136304600</stp>
        <tr r="K1890" s="2"/>
      </tp>
      <tp t="b">
        <v>0</v>
        <stp/>
        <stp>BDS|1295083580359975979</stp>
        <tr r="I1772" s="2"/>
      </tp>
      <tp t="s">
        <v>#N/A Requesting Data...4211534350</v>
        <stp/>
        <stp>BDP|3523220162459706762</stp>
        <tr r="N1415" s="2"/>
      </tp>
      <tp t="s">
        <v>#N/A Requesting Data...3916589364</v>
        <stp/>
        <stp>BDP|1162233638151713891</stp>
        <tr r="P1503" s="2"/>
      </tp>
      <tp t="s">
        <v>#N/A Requesting Data...3732264891</v>
        <stp/>
        <stp>BDP|2716214781541406074</stp>
        <tr r="P1976" s="2"/>
      </tp>
      <tp t="s">
        <v>#N/A Requesting Data...4242419184</v>
        <stp/>
        <stp>BDP|8659013591030726850</stp>
        <tr r="Q1151" s="2"/>
      </tp>
      <tp t="s">
        <v>#N/A Requesting Data...4042239545</v>
        <stp/>
        <stp>BDP|2741109056499052658</stp>
        <tr r="F125" s="2"/>
      </tp>
      <tp t="s">
        <v>#N/A Requesting Data...3399098811</v>
        <stp/>
        <stp>BDP|2938347482207266794</stp>
        <tr r="P701" s="2"/>
      </tp>
      <tp t="s">
        <v>#N/A Requesting Data...3247379449</v>
        <stp/>
        <stp>BDP|7004864990808198732</stp>
        <tr r="T969" s="2"/>
      </tp>
      <tp t="s">
        <v>#N/A Requesting Data...3801690627</v>
        <stp/>
        <stp>BDP|3170014537648736141</stp>
        <tr r="K1727" s="2"/>
      </tp>
      <tp t="s">
        <v>#N/A Requesting Data...3328059912</v>
        <stp/>
        <stp>BDP|5204632037209563071</stp>
        <tr r="N141" s="2"/>
      </tp>
      <tp t="s">
        <v>#N/A Requesting Data...3399503798</v>
        <stp/>
        <stp>BDP|3888070889240658248</stp>
        <tr r="T1387" s="2"/>
      </tp>
      <tp t="s">
        <v>#N/A Requesting Data...3848601745</v>
        <stp/>
        <stp>BDP|7008211644138831094</stp>
        <tr r="M1083" s="2"/>
      </tp>
      <tp t="s">
        <v>#N/A Requesting Data...3524514685</v>
        <stp/>
        <stp>BDP|9405131124217729406</stp>
        <tr r="T274" s="2"/>
      </tp>
      <tp t="s">
        <v>#N/A Requesting Data...3833703839</v>
        <stp/>
        <stp>BDP|8124393878522153756</stp>
        <tr r="K2053" s="2"/>
      </tp>
      <tp t="s">
        <v>#N/A Requesting Data...3754975391</v>
        <stp/>
        <stp>BDP|7142873833247616273</stp>
        <tr r="S861" s="2"/>
      </tp>
      <tp t="s">
        <v>#N/A Requesting Data...4183967189</v>
        <stp/>
        <stp>BDP|1993828349494650007</stp>
        <tr r="F917" s="2"/>
      </tp>
      <tp t="s">
        <v>#N/A Requesting Data...3687932391</v>
        <stp/>
        <stp>BDP|9511303124702015352</stp>
        <tr r="R642" s="2"/>
      </tp>
      <tp t="b">
        <v>0</v>
        <stp/>
        <stp>BDS|9654931731609336334</stp>
        <tr r="I476" s="2"/>
      </tp>
      <tp t="s">
        <v>#N/A Requesting Data...4245554542</v>
        <stp/>
        <stp>BDP|6927410098325635724</stp>
        <tr r="K49" s="2"/>
      </tp>
      <tp t="s">
        <v>#N/A Requesting Data...4091232643</v>
        <stp/>
        <stp>BDP|8335636570251779136</stp>
        <tr r="M1238" s="2"/>
      </tp>
      <tp t="s">
        <v>#N/A Requesting Data...4253699267</v>
        <stp/>
        <stp>BDP|9023630924325567161</stp>
        <tr r="F266" s="2"/>
      </tp>
      <tp t="s">
        <v>#N/A Requesting Data...4268199050</v>
        <stp/>
        <stp>BDP|3482516393902384406</stp>
        <tr r="C898" s="2"/>
      </tp>
      <tp t="s">
        <v>#N/A Requesting Data...3525802346</v>
        <stp/>
        <stp>BDP|4812192567142733848</stp>
        <tr r="A1077" s="2"/>
      </tp>
      <tp t="b">
        <v>0</v>
        <stp/>
        <stp>BDS|2846249509390528956</stp>
        <tr r="I562" s="2"/>
      </tp>
      <tp t="s">
        <v>#N/A Requesting Data...3980355086</v>
        <stp/>
        <stp>BDP|5190642613092315903</stp>
        <tr r="Q910" s="2"/>
      </tp>
      <tp t="s">
        <v>#N/A Requesting Data...4260401666</v>
        <stp/>
        <stp>BDP|3398850027765158553</stp>
        <tr r="G488" s="2"/>
      </tp>
      <tp t="s">
        <v>#N/A Requesting Data...3327820378</v>
        <stp/>
        <stp>BDP|6578171250193195866</stp>
        <tr r="P1128" s="2"/>
      </tp>
      <tp t="s">
        <v>#N/A Requesting Data...3939591701</v>
        <stp/>
        <stp>BDP|8083107897739128032</stp>
        <tr r="D1542" s="2"/>
      </tp>
      <tp t="s">
        <v>#N/A Requesting Data...3771158578</v>
        <stp/>
        <stp>BDP|1951693053148096366</stp>
        <tr r="O457" s="2"/>
      </tp>
      <tp t="s">
        <v>#N/A Requesting Data...3816969518</v>
        <stp/>
        <stp>BDP|3586834019040266381</stp>
        <tr r="N1077" s="2"/>
      </tp>
      <tp t="s">
        <v>#N/A Requesting Data...3468145444</v>
        <stp/>
        <stp>BDP|9811076537195598684</stp>
        <tr r="R317" s="2"/>
      </tp>
      <tp t="s">
        <v>#N/A Requesting Data...3418781097</v>
        <stp/>
        <stp>BDP|5311323297121490771</stp>
        <tr r="K1256" s="2"/>
      </tp>
      <tp t="s">
        <v>#N/A Requesting Data...3386901290</v>
        <stp/>
        <stp>BDP|6161697216660847838</stp>
        <tr r="R1133" s="2"/>
      </tp>
      <tp t="s">
        <v>#N/A Requesting Data...3730115789</v>
        <stp/>
        <stp>BDP|3911105655998127684</stp>
        <tr r="F438" s="2"/>
      </tp>
      <tp t="s">
        <v>#N/A Requesting Data...3600548229</v>
        <stp/>
        <stp>BDP|9478292704106875448</stp>
        <tr r="M2181" s="2"/>
      </tp>
      <tp t="s">
        <v>#N/A Requesting Data...3750177437</v>
        <stp/>
        <stp>BDP|9393521440271484008</stp>
        <tr r="E1680" s="2"/>
      </tp>
      <tp t="s">
        <v>#N/A Requesting Data...4157750208</v>
        <stp/>
        <stp>BDP|3357846140920612641</stp>
        <tr r="M1251" s="2"/>
      </tp>
      <tp t="s">
        <v>#N/A Requesting Data...3790237660</v>
        <stp/>
        <stp>BDP|7227246142050788866</stp>
        <tr r="F1990" s="2"/>
      </tp>
      <tp t="s">
        <v>#N/A Requesting Data...4138619725</v>
        <stp/>
        <stp>BDP|7346447083762517048</stp>
        <tr r="K1281" s="2"/>
      </tp>
      <tp t="s">
        <v>#N/A Requesting Data...3696999008</v>
        <stp/>
        <stp>BDP|1364931060333085451</stp>
        <tr r="D40" s="2"/>
      </tp>
      <tp t="s">
        <v>#N/A Requesting Data...4153827612</v>
        <stp/>
        <stp>BDP|7868956466772729398</stp>
        <tr r="Q880" s="2"/>
      </tp>
      <tp t="s">
        <v>#N/A Requesting Data...3310730575</v>
        <stp/>
        <stp>BDP|1826956140945847005</stp>
        <tr r="D304" s="2"/>
      </tp>
      <tp t="s">
        <v>#N/A Requesting Data...3656008734</v>
        <stp/>
        <stp>BDP|5872209105538934614</stp>
        <tr r="H1985" s="2"/>
      </tp>
      <tp t="s">
        <v>#N/A Requesting Data...3451502430</v>
        <stp/>
        <stp>BDP|8343169511556065712</stp>
        <tr r="G590" s="2"/>
      </tp>
      <tp t="s">
        <v>#N/A Requesting Data...3728724227</v>
        <stp/>
        <stp>BDP|4583002424438165754</stp>
        <tr r="Q2484" s="2"/>
      </tp>
      <tp t="s">
        <v>#N/A Requesting Data...3843248884</v>
        <stp/>
        <stp>BDP|7097529922528690130</stp>
        <tr r="J889" s="2"/>
      </tp>
      <tp t="s">
        <v>#N/A Requesting Data...4068351259</v>
        <stp/>
        <stp>BDP|9518069931184544721</stp>
        <tr r="Q507" s="2"/>
      </tp>
      <tp t="s">
        <v>#N/A Requesting Data...4039663578</v>
        <stp/>
        <stp>BDP|5224190148959628005</stp>
        <tr r="O1137" s="2"/>
      </tp>
      <tp t="s">
        <v>#N/A Requesting Data...3891886663</v>
        <stp/>
        <stp>BDP|1907940270084068289</stp>
        <tr r="N2375" s="2"/>
      </tp>
      <tp t="s">
        <v>#N/A Requesting Data...3505304129</v>
        <stp/>
        <stp>BDP|9717769654577623560</stp>
        <tr r="A78" s="2"/>
      </tp>
      <tp t="s">
        <v>#N/A Requesting Data...4004093267</v>
        <stp/>
        <stp>BDP|9817395341514693337</stp>
        <tr r="A1977" s="2"/>
      </tp>
      <tp t="s">
        <v>#N/A Requesting Data...3803473075</v>
        <stp/>
        <stp>BDP|9200328370417247376</stp>
        <tr r="D1343" s="2"/>
      </tp>
      <tp t="s">
        <v>#N/A Requesting Data...3343925149</v>
        <stp/>
        <stp>BDP|2591694290016105283</stp>
        <tr r="O511" s="2"/>
      </tp>
      <tp t="s">
        <v>#N/A Requesting Data...3371655512</v>
        <stp/>
        <stp>BDP|2487449870980674831</stp>
        <tr r="N2209" s="2"/>
      </tp>
      <tp t="s">
        <v>#N/A Requesting Data...3919933200</v>
        <stp/>
        <stp>BDP|2239636183844500123</stp>
        <tr r="O874" s="2"/>
      </tp>
      <tp t="s">
        <v>#N/A Requesting Data...3710210858</v>
        <stp/>
        <stp>BDP|2606988965002843662</stp>
        <tr r="R47" s="2"/>
      </tp>
      <tp t="s">
        <v>#N/A Requesting Data...3459464862</v>
        <stp/>
        <stp>BDP|2291852461486413370</stp>
        <tr r="G1212" s="2"/>
      </tp>
      <tp t="s">
        <v>#N/A Requesting Data...4260993200</v>
        <stp/>
        <stp>BDP|6446421701392797951</stp>
        <tr r="C1702" s="2"/>
      </tp>
      <tp t="b">
        <v>0</v>
        <stp/>
        <stp>BDS|4487128147841328977</stp>
        <tr r="I699" s="2"/>
      </tp>
      <tp t="b">
        <v>0</v>
        <stp/>
        <stp>BDS|5301630644858539646</stp>
        <tr r="I1534" s="2"/>
      </tp>
      <tp t="s">
        <v>#N/A Requesting Data...3612270314</v>
        <stp/>
        <stp>BDP|9355435361342136051</stp>
        <tr r="P1733" s="2"/>
      </tp>
      <tp t="s">
        <v>#N/A Requesting Data...4176532160</v>
        <stp/>
        <stp>BDP|4056064090045514161</stp>
        <tr r="J779" s="2"/>
      </tp>
      <tp t="b">
        <v>0</v>
        <stp/>
        <stp>BDS|6667544337650027904</stp>
        <tr r="I1009" s="2"/>
      </tp>
      <tp t="s">
        <v>#N/A Requesting Data...3758659783</v>
        <stp/>
        <stp>BDP|2602574152272265941</stp>
        <tr r="H511" s="2"/>
      </tp>
      <tp t="s">
        <v>#N/A Requesting Data...4182614883</v>
        <stp/>
        <stp>BDP|4772861238681979756</stp>
        <tr r="F1380" s="2"/>
      </tp>
      <tp t="s">
        <v>#N/A Requesting Data...4142688020</v>
        <stp/>
        <stp>BDP|7854446288557711566</stp>
        <tr r="R523" s="2"/>
      </tp>
      <tp t="s">
        <v>#N/A Requesting Data...4165387079</v>
        <stp/>
        <stp>BDP|7922292119199999459</stp>
        <tr r="H1568" s="2"/>
      </tp>
      <tp t="s">
        <v>#N/A Requesting Data...3413598309</v>
        <stp/>
        <stp>BDP|7561449984011475349</stp>
        <tr r="H629" s="2"/>
      </tp>
      <tp t="s">
        <v>#N/A Requesting Data...4134803564</v>
        <stp/>
        <stp>BDP|5724524816001515936</stp>
        <tr r="F754" s="2"/>
      </tp>
      <tp t="s">
        <v>#N/A Requesting Data...3771057637</v>
        <stp/>
        <stp>BDP|7483890410097184091</stp>
        <tr r="S1664" s="2"/>
      </tp>
      <tp t="s">
        <v>#N/A Requesting Data...3539683812</v>
        <stp/>
        <stp>BDP|8771444823770244771</stp>
        <tr r="K2070" s="2"/>
      </tp>
      <tp t="s">
        <v>#N/A Requesting Data...3869113738</v>
        <stp/>
        <stp>BDP|2716564080075155350</stp>
        <tr r="K1349" s="2"/>
      </tp>
      <tp t="s">
        <v>#N/A Requesting Data...3448897729</v>
        <stp/>
        <stp>BDP|7767672752544370946</stp>
        <tr r="E1056" s="2"/>
      </tp>
      <tp t="s">
        <v>#N/A Requesting Data...3673144614</v>
        <stp/>
        <stp>BDP|6885709638033071856</stp>
        <tr r="F1349" s="2"/>
      </tp>
      <tp t="s">
        <v>#N/A Requesting Data...3867224733</v>
        <stp/>
        <stp>BDP|9591349917421456371</stp>
        <tr r="O2336" s="2"/>
      </tp>
      <tp t="s">
        <v>#N/A Requesting Data...3469423068</v>
        <stp/>
        <stp>BDP|4130605928141843843</stp>
        <tr r="R443" s="2"/>
      </tp>
      <tp t="s">
        <v>#N/A Requesting Data...3946491756</v>
        <stp/>
        <stp>BDP|1630245788312930065</stp>
        <tr r="J1089" s="2"/>
      </tp>
      <tp t="s">
        <v>#N/A Requesting Data...4235510664</v>
        <stp/>
        <stp>BDP|8242320113604075766</stp>
        <tr r="E736" s="2"/>
      </tp>
      <tp t="s">
        <v>#N/A Requesting Data...3648994374</v>
        <stp/>
        <stp>BDP|2063871027276534705</stp>
        <tr r="G1789" s="2"/>
      </tp>
      <tp t="s">
        <v>#N/A Requesting Data...3647932788</v>
        <stp/>
        <stp>BDP|1377046900168079024</stp>
        <tr r="A1747" s="2"/>
      </tp>
      <tp t="s">
        <v>#N/A Requesting Data...3396565174</v>
        <stp/>
        <stp>BDP|2178222737938175208</stp>
        <tr r="O741" s="2"/>
      </tp>
      <tp t="s">
        <v>#N/A Requesting Data...3411204749</v>
        <stp/>
        <stp>BDP|6965970356944589784</stp>
        <tr r="P1296" s="2"/>
      </tp>
      <tp t="s">
        <v>#N/A Requesting Data...3985485164</v>
        <stp/>
        <stp>BDP|9430286881208823206</stp>
        <tr r="K2350" s="2"/>
      </tp>
      <tp t="s">
        <v>#N/A Requesting Data...3901442945</v>
        <stp/>
        <stp>BDP|8913395624531076114</stp>
        <tr r="F1378" s="2"/>
      </tp>
      <tp t="s">
        <v>#N/A Requesting Data...3462973105</v>
        <stp/>
        <stp>BDP|3365602342200545810</stp>
        <tr r="C280" s="2"/>
      </tp>
      <tp t="s">
        <v>#N/A Requesting Data...3594432197</v>
        <stp/>
        <stp>BDP|2774413126624209970</stp>
        <tr r="M438" s="2"/>
      </tp>
      <tp t="s">
        <v>#N/A Requesting Data...4147357475</v>
        <stp/>
        <stp>BDP|6931846333691823533</stp>
        <tr r="P629" s="2"/>
      </tp>
      <tp t="s">
        <v>#N/A Requesting Data...3750572959</v>
        <stp/>
        <stp>BDP|9913969399280302008</stp>
        <tr r="H1169" s="2"/>
      </tp>
      <tp t="s">
        <v>#N/A Requesting Data...3428707668</v>
        <stp/>
        <stp>BDP|5143193698384621033</stp>
        <tr r="E2263" s="2"/>
      </tp>
      <tp t="s">
        <v>#N/A Requesting Data...3527024153</v>
        <stp/>
        <stp>BDP|7361497858777412832</stp>
        <tr r="C1786" s="2"/>
      </tp>
      <tp t="s">
        <v>#N/A Requesting Data...4043243002</v>
        <stp/>
        <stp>BDP|8515772128684864076</stp>
        <tr r="A2099" s="2"/>
      </tp>
      <tp t="s">
        <v>#N/A Requesting Data...3663047947</v>
        <stp/>
        <stp>BDP|5457952044829692862</stp>
        <tr r="D655" s="2"/>
      </tp>
      <tp t="s">
        <v>#N/A Requesting Data...4201067757</v>
        <stp/>
        <stp>BDP|3898568502477888819</stp>
        <tr r="T483" s="2"/>
      </tp>
      <tp t="s">
        <v>#N/A Requesting Data...3842997214</v>
        <stp/>
        <stp>BDP|9402727359600942231</stp>
        <tr r="K1668" s="2"/>
      </tp>
      <tp t="s">
        <v>#N/A Requesting Data...3835746945</v>
        <stp/>
        <stp>BDP|2731318985151370159</stp>
        <tr r="T170" s="2"/>
      </tp>
      <tp t="s">
        <v>#N/A Requesting Data...3684748736</v>
        <stp/>
        <stp>BDP|1919850401706008681</stp>
        <tr r="P795" s="2"/>
      </tp>
      <tp t="s">
        <v>#N/A Requesting Data...3966304921</v>
        <stp/>
        <stp>BDP|9286961013481288902</stp>
        <tr r="P771" s="2"/>
      </tp>
      <tp t="s">
        <v>#N/A Requesting Data...3985221645</v>
        <stp/>
        <stp>BDP|1807866941384206082</stp>
        <tr r="G1354" s="2"/>
      </tp>
      <tp t="s">
        <v>#N/A Requesting Data...4132078679</v>
        <stp/>
        <stp>BDP|3347348361338106728</stp>
        <tr r="P206" s="2"/>
      </tp>
      <tp t="s">
        <v>#N/A Requesting Data...3666982917</v>
        <stp/>
        <stp>BDP|4650315955372732907</stp>
        <tr r="P2035" s="2"/>
      </tp>
      <tp t="s">
        <v>#N/A Requesting Data...3660479373</v>
        <stp/>
        <stp>BDP|2351997755392350593</stp>
        <tr r="P1354" s="2"/>
      </tp>
      <tp t="s">
        <v>#N/A Requesting Data...3702878535</v>
        <stp/>
        <stp>BDP|7126456973218546575</stp>
        <tr r="R390" s="2"/>
      </tp>
      <tp t="s">
        <v>#N/A Requesting Data...4195589810</v>
        <stp/>
        <stp>BDP|3675912977447171341</stp>
        <tr r="M1002" s="2"/>
      </tp>
      <tp t="s">
        <v>#N/A Requesting Data...3839565834</v>
        <stp/>
        <stp>BDP|4129576952758364523</stp>
        <tr r="T1551" s="2"/>
      </tp>
      <tp t="s">
        <v>#N/A Requesting Data...3871098720</v>
        <stp/>
        <stp>BDP|6057338985055428179</stp>
        <tr r="J2339" s="2"/>
      </tp>
      <tp t="s">
        <v>#N/A Requesting Data...4018527091</v>
        <stp/>
        <stp>BDP|5209493794506333793</stp>
        <tr r="G1594" s="2"/>
      </tp>
      <tp t="s">
        <v>#N/A Requesting Data...4055405842</v>
        <stp/>
        <stp>BDP|5238328059488353103</stp>
        <tr r="O1038" s="2"/>
      </tp>
      <tp t="s">
        <v>#N/A Requesting Data...3828905063</v>
        <stp/>
        <stp>BDP|5713709254584062992</stp>
        <tr r="J2440" s="2"/>
      </tp>
      <tp t="s">
        <v>#N/A Requesting Data...4000265651</v>
        <stp/>
        <stp>BDP|6391585901258659163</stp>
        <tr r="O1215" s="2"/>
      </tp>
      <tp t="s">
        <v>#N/A Requesting Data...4268262344</v>
        <stp/>
        <stp>BDP|1392387297622343354</stp>
        <tr r="A304" s="2"/>
      </tp>
      <tp t="s">
        <v>#N/A Requesting Data...4105414236</v>
        <stp/>
        <stp>BDP|9418645701445316089</stp>
        <tr r="R1981" s="2"/>
      </tp>
      <tp t="b">
        <v>0</v>
        <stp/>
        <stp>BDS|6999681092726834517</stp>
        <tr r="I2373" s="2"/>
      </tp>
      <tp t="s">
        <v>#N/A Requesting Data...3648394483</v>
        <stp/>
        <stp>BDP|1084237899166911697</stp>
        <tr r="T358" s="2"/>
      </tp>
      <tp t="s">
        <v>#N/A Requesting Data...3498474048</v>
        <stp/>
        <stp>BDP|9470294981359089063</stp>
        <tr r="F411" s="2"/>
      </tp>
      <tp t="s">
        <v>#N/A Requesting Data...3756920438</v>
        <stp/>
        <stp>BDP|2670078997821458089</stp>
        <tr r="S1600" s="2"/>
      </tp>
      <tp t="s">
        <v>#N/A Requesting Data...4208536649</v>
        <stp/>
        <stp>BDP|2090944692890560898</stp>
        <tr r="M1122" s="2"/>
      </tp>
      <tp t="s">
        <v>#N/A Requesting Data...4207571298</v>
        <stp/>
        <stp>BDP|6386880961991784373</stp>
        <tr r="O159" s="2"/>
      </tp>
      <tp t="s">
        <v>#N/A Requesting Data...3796895115</v>
        <stp/>
        <stp>BDP|7445639796770969226</stp>
        <tr r="O1252" s="2"/>
      </tp>
      <tp t="s">
        <v>#N/A Requesting Data...3905285968</v>
        <stp/>
        <stp>BDP|3555260891824016686</stp>
        <tr r="E633" s="2"/>
      </tp>
      <tp t="s">
        <v>#N/A Requesting Data...4207400227</v>
        <stp/>
        <stp>BDP|4029601051249399485</stp>
        <tr r="N1617" s="2"/>
      </tp>
      <tp t="s">
        <v>#N/A Requesting Data...4068543173</v>
        <stp/>
        <stp>BDP|8513289156005157000</stp>
        <tr r="H2005" s="2"/>
      </tp>
      <tp t="s">
        <v>#N/A Requesting Data...4133146470</v>
        <stp/>
        <stp>BDP|8892572508310973742</stp>
        <tr r="R2348" s="2"/>
      </tp>
      <tp t="s">
        <v>#N/A Requesting Data...3787228673</v>
        <stp/>
        <stp>BDP|9778319842471872560</stp>
        <tr r="D1536" s="2"/>
      </tp>
      <tp t="s">
        <v>#N/A Requesting Data...3808187856</v>
        <stp/>
        <stp>BDP|6446235388344367269</stp>
        <tr r="Q397" s="2"/>
      </tp>
      <tp t="s">
        <v>#N/A Requesting Data...3966156436</v>
        <stp/>
        <stp>BDP|7331919567361814375</stp>
        <tr r="H1770" s="2"/>
      </tp>
      <tp t="s">
        <v>#N/A Requesting Data...3780675980</v>
        <stp/>
        <stp>BDP|7700871771976246491</stp>
        <tr r="P255" s="2"/>
      </tp>
      <tp t="s">
        <v>#N/A Requesting Data...4206968413</v>
        <stp/>
        <stp>BDP|6476396915316265809</stp>
        <tr r="D1620" s="2"/>
      </tp>
      <tp t="s">
        <v>#N/A Requesting Data...3787331536</v>
        <stp/>
        <stp>BDP|3406558847789512192</stp>
        <tr r="M110" s="2"/>
      </tp>
      <tp t="s">
        <v>#N/A Requesting Data...4115459652</v>
        <stp/>
        <stp>BDP|1881405477039743125</stp>
        <tr r="K2305" s="2"/>
      </tp>
      <tp t="b">
        <v>0</v>
        <stp/>
        <stp>BDS|9986603116240764420</stp>
        <tr r="I362" s="2"/>
      </tp>
      <tp t="s">
        <v>#N/A Requesting Data...4010657368</v>
        <stp/>
        <stp>BDP|1297385811988207139</stp>
        <tr r="O279" s="2"/>
      </tp>
      <tp t="s">
        <v>#N/A Requesting Data...3564324347</v>
        <stp/>
        <stp>BDP|1126939750383008484</stp>
        <tr r="G676" s="2"/>
      </tp>
      <tp t="s">
        <v>#N/A Requesting Data...4014516901</v>
        <stp/>
        <stp>BDP|8358345479353675528</stp>
        <tr r="O841" s="2"/>
      </tp>
      <tp t="b">
        <v>0</v>
        <stp/>
        <stp>BDS|6856876117691583472</stp>
        <tr r="I842" s="2"/>
      </tp>
      <tp t="s">
        <v>#N/A Requesting Data...3602565316</v>
        <stp/>
        <stp>BDP|4447824953672880172</stp>
        <tr r="F2316" s="2"/>
      </tp>
      <tp t="s">
        <v>#N/A Requesting Data...3701510083</v>
        <stp/>
        <stp>BDP|5272850806122383582</stp>
        <tr r="S960" s="2"/>
      </tp>
      <tp t="s">
        <v>#N/A Requesting Data...4106612327</v>
        <stp/>
        <stp>BDP|9874214702151952088</stp>
        <tr r="N152" s="2"/>
      </tp>
      <tp t="s">
        <v>#N/A Requesting Data...3818987307</v>
        <stp/>
        <stp>BDP|8352799369913186082</stp>
        <tr r="H1609" s="2"/>
      </tp>
      <tp t="s">
        <v>#N/A Requesting Data...3660284461</v>
        <stp/>
        <stp>BDP|1013243457605884913</stp>
        <tr r="G1962" s="2"/>
      </tp>
      <tp t="b">
        <v>0</v>
        <stp/>
        <stp>BDS|9786765185359931571</stp>
        <tr r="I1116" s="2"/>
      </tp>
      <tp t="s">
        <v>#N/A Requesting Data...4192882718</v>
        <stp/>
        <stp>BDP|8785070320657910731</stp>
        <tr r="A1188" s="2"/>
      </tp>
      <tp t="s">
        <v>#N/A Requesting Data...3936083893</v>
        <stp/>
        <stp>BDP|4495870709186546052</stp>
        <tr r="E168" s="2"/>
      </tp>
      <tp t="s">
        <v>#N/A Requesting Data...4180132368</v>
        <stp/>
        <stp>BDP|1124164947278225688</stp>
        <tr r="H1538" s="2"/>
      </tp>
      <tp t="s">
        <v>#N/A Requesting Data...4285087398</v>
        <stp/>
        <stp>BDP|1769830315510244299</stp>
        <tr r="P245" s="2"/>
      </tp>
      <tp t="s">
        <v>#N/A Requesting Data...3870013655</v>
        <stp/>
        <stp>BDP|7381845879014637620</stp>
        <tr r="C2177" s="2"/>
      </tp>
      <tp t="s">
        <v>#N/A Requesting Data...3780676004</v>
        <stp/>
        <stp>BDP|1957371090636354776</stp>
        <tr r="O464" s="2"/>
      </tp>
      <tp t="b">
        <v>0</v>
        <stp/>
        <stp>BDS|7340211312238800625</stp>
        <tr r="I5" s="2"/>
      </tp>
      <tp t="s">
        <v>#N/A Requesting Data...3964888974</v>
        <stp/>
        <stp>BDP|8426687566451017301</stp>
        <tr r="K1792" s="2"/>
      </tp>
      <tp t="s">
        <v>#N/A Requesting Data...3833977232</v>
        <stp/>
        <stp>BDP|7672407352399617583</stp>
        <tr r="S1424" s="2"/>
      </tp>
      <tp t="s">
        <v>#N/A Requesting Data...3732286506</v>
        <stp/>
        <stp>BDP|8025437801427988119</stp>
        <tr r="T1971" s="2"/>
      </tp>
      <tp t="s">
        <v>#N/A Requesting Data...3838975365</v>
        <stp/>
        <stp>BDP|9647297223622438126</stp>
        <tr r="A2126" s="2"/>
      </tp>
      <tp t="s">
        <v>#N/A Requesting Data...4014028230</v>
        <stp/>
        <stp>BDP|5911427433428793058</stp>
        <tr r="A2318" s="2"/>
      </tp>
      <tp t="s">
        <v>#N/A Requesting Data...3707220703</v>
        <stp/>
        <stp>BDP|6695590693836055667</stp>
        <tr r="P1459" s="2"/>
      </tp>
      <tp t="s">
        <v>#N/A Requesting Data...3896153105</v>
        <stp/>
        <stp>BDP|3967933434771579216</stp>
        <tr r="E99" s="2"/>
      </tp>
      <tp t="s">
        <v>#N/A Requesting Data...3989433821</v>
        <stp/>
        <stp>BDP|5691194504299782764</stp>
        <tr r="G202" s="2"/>
      </tp>
      <tp t="s">
        <v>#N/A Requesting Data...4091251454</v>
        <stp/>
        <stp>BDP|2647765469538743142</stp>
        <tr r="G1424" s="2"/>
      </tp>
      <tp t="s">
        <v>#N/A Requesting Data...3963209797</v>
        <stp/>
        <stp>BDP|3826540695193456674</stp>
        <tr r="J2513" s="2"/>
      </tp>
      <tp t="s">
        <v>#N/A Requesting Data...4249281660</v>
        <stp/>
        <stp>BDP|7134145598714358146</stp>
        <tr r="E2200" s="2"/>
      </tp>
      <tp t="s">
        <v>#N/A Requesting Data...4217599382</v>
        <stp/>
        <stp>BDP|9218771358176458731</stp>
        <tr r="G334" s="2"/>
      </tp>
      <tp t="s">
        <v>#N/A Requesting Data...3826867328</v>
        <stp/>
        <stp>BDP|3978720615487403806</stp>
        <tr r="H1689" s="2"/>
      </tp>
      <tp t="s">
        <v>#N/A Requesting Data...3709512102</v>
        <stp/>
        <stp>BDP|5591744774607674899</stp>
        <tr r="C2228" s="2"/>
      </tp>
      <tp t="s">
        <v>#N/A Requesting Data...4005584949</v>
        <stp/>
        <stp>BDP|7631946306512900675</stp>
        <tr r="K2272" s="2"/>
      </tp>
      <tp t="s">
        <v>#N/A Requesting Data...3717989644</v>
        <stp/>
        <stp>BDP|3412956768987486173</stp>
        <tr r="A2390" s="2"/>
      </tp>
      <tp t="s">
        <v>#N/A Requesting Data...3693432873</v>
        <stp/>
        <stp>BDP|2584363700578130389</stp>
        <tr r="O1532" s="2"/>
      </tp>
      <tp t="s">
        <v>#N/A Requesting Data...3712915394</v>
        <stp/>
        <stp>BDP|6441835158603450216</stp>
        <tr r="P369" s="2"/>
      </tp>
      <tp t="s">
        <v>#N/A Requesting Data...4240703389</v>
        <stp/>
        <stp>BDP|9581251119767686752</stp>
        <tr r="H2035" s="2"/>
      </tp>
      <tp t="s">
        <v>#N/A Requesting Data...3795304787</v>
        <stp/>
        <stp>BDP|2645139331969732393</stp>
        <tr r="A676" s="2"/>
      </tp>
      <tp t="b">
        <v>0</v>
        <stp/>
        <stp>BDS|3780367699996610540</stp>
        <tr r="I2233" s="2"/>
      </tp>
      <tp t="s">
        <v>#N/A Requesting Data...4120959021</v>
        <stp/>
        <stp>BDP|4905137955242730822</stp>
        <tr r="D1932" s="2"/>
      </tp>
      <tp t="s">
        <v>#N/A Requesting Data...4192443590</v>
        <stp/>
        <stp>BDP|9956356312558069944</stp>
        <tr r="J2224" s="2"/>
      </tp>
      <tp t="s">
        <v>#N/A Requesting Data...4280196578</v>
        <stp/>
        <stp>BDP|1933617083552466750</stp>
        <tr r="A2244" s="2"/>
      </tp>
      <tp t="s">
        <v>#N/A Requesting Data...3808334432</v>
        <stp/>
        <stp>BDP|4958730581575864491</stp>
        <tr r="E1151" s="2"/>
      </tp>
      <tp t="s">
        <v>#N/A Requesting Data...3958793692</v>
        <stp/>
        <stp>BDP|6638580083690365145</stp>
        <tr r="O1158" s="2"/>
      </tp>
      <tp t="b">
        <v>0</v>
        <stp/>
        <stp>BDS|7436351836428478594</stp>
        <tr r="I267" s="2"/>
      </tp>
      <tp t="s">
        <v>#N/A Requesting Data...3695785015</v>
        <stp/>
        <stp>BDP|1132546056652012994</stp>
        <tr r="G2066" s="2"/>
      </tp>
      <tp t="s">
        <v>#N/A Requesting Data...3750185163</v>
        <stp/>
        <stp>BDP|6741455579726323922</stp>
        <tr r="S2284" s="2"/>
      </tp>
      <tp t="s">
        <v>#N/A Requesting Data...3712153176</v>
        <stp/>
        <stp>BDP|7767842436855633399</stp>
        <tr r="G946" s="2"/>
      </tp>
      <tp t="s">
        <v>#N/A Requesting Data...4141139810</v>
        <stp/>
        <stp>BDP|9662850485034470787</stp>
        <tr r="M2499" s="2"/>
      </tp>
      <tp t="s">
        <v>#N/A Requesting Data...4226833180</v>
        <stp/>
        <stp>BDP|5741133078508548130</stp>
        <tr r="C790" s="2"/>
      </tp>
      <tp t="b">
        <v>0</v>
        <stp/>
        <stp>BDS|7922683422150894903</stp>
        <tr r="I1630" s="2"/>
      </tp>
      <tp t="s">
        <v>#N/A Requesting Data...4214740704</v>
        <stp/>
        <stp>BDP|4623121098461594727</stp>
        <tr r="D2064" s="2"/>
      </tp>
      <tp t="s">
        <v>#N/A Requesting Data...3968239570</v>
        <stp/>
        <stp>BDP|4625987643645535639</stp>
        <tr r="D1138" s="2"/>
      </tp>
      <tp t="s">
        <v>#N/A Requesting Data...4101604037</v>
        <stp/>
        <stp>BDP|7731603124119082080</stp>
        <tr r="J442" s="2"/>
      </tp>
      <tp t="s">
        <v>#N/A Requesting Data...3750179621</v>
        <stp/>
        <stp>BDP|3146870209901008044</stp>
        <tr r="T1261" s="2"/>
      </tp>
      <tp t="s">
        <v>#N/A Requesting Data...3834504751</v>
        <stp/>
        <stp>BDP|9732348107660619095</stp>
        <tr r="F599" s="2"/>
      </tp>
      <tp t="s">
        <v>#N/A Requesting Data...4190747799</v>
        <stp/>
        <stp>BDP|9659341968897227137</stp>
        <tr r="T144" s="2"/>
      </tp>
      <tp t="s">
        <v>#N/A Requesting Data...4058721961</v>
        <stp/>
        <stp>BDP|5397796900100556842</stp>
        <tr r="A1766" s="2"/>
      </tp>
      <tp t="s">
        <v>#N/A Requesting Data...3917176568</v>
        <stp/>
        <stp>BDP|4891814152587061407</stp>
        <tr r="H41" s="2"/>
      </tp>
      <tp t="s">
        <v>#N/A Requesting Data...3898599062</v>
        <stp/>
        <stp>BDP|2409805209385188577</stp>
        <tr r="A1640" s="2"/>
      </tp>
      <tp t="s">
        <v>#N/A Requesting Data...4294675280</v>
        <stp/>
        <stp>BDP|4344081597457490030</stp>
        <tr r="C1581" s="2"/>
      </tp>
      <tp t="s">
        <v>#N/A Requesting Data...3737348882</v>
        <stp/>
        <stp>BDP|1125607109544606958</stp>
        <tr r="A761" s="2"/>
      </tp>
      <tp t="s">
        <v>#N/A Requesting Data...3954873682</v>
        <stp/>
        <stp>BDP|4951327743411580866</stp>
        <tr r="K1650" s="2"/>
      </tp>
      <tp t="s">
        <v>#N/A Requesting Data...3868900764</v>
        <stp/>
        <stp>BDP|5396841622196956377</stp>
        <tr r="M418" s="2"/>
      </tp>
      <tp t="s">
        <v>#N/A Requesting Data...4020146725</v>
        <stp/>
        <stp>BDP|4563992696278058618</stp>
        <tr r="A2212" s="2"/>
      </tp>
      <tp t="b">
        <v>0</v>
        <stp/>
        <stp>BDS|2998070107050087829</stp>
        <tr r="I1011" s="2"/>
      </tp>
      <tp t="s">
        <v>#N/A Requesting Data...4121842173</v>
        <stp/>
        <stp>BDP|3203615135669891550</stp>
        <tr r="C1156" s="2"/>
      </tp>
      <tp t="s">
        <v>#N/A Requesting Data...3852842043</v>
        <stp/>
        <stp>BDP|5986502264358114472</stp>
        <tr r="N1591" s="2"/>
      </tp>
      <tp t="s">
        <v>#N/A Requesting Data...3954588137</v>
        <stp/>
        <stp>BDP|3748217566358230599</stp>
        <tr r="Q1126" s="2"/>
      </tp>
      <tp t="s">
        <v>#N/A Requesting Data...3964450770</v>
        <stp/>
        <stp>BDP|5735460435551996962</stp>
        <tr r="J462" s="2"/>
      </tp>
      <tp t="s">
        <v>#N/A Requesting Data...4056181861</v>
        <stp/>
        <stp>BDP|5884743487164644463</stp>
        <tr r="H1116" s="2"/>
      </tp>
      <tp t="s">
        <v>#N/A Requesting Data...3892944368</v>
        <stp/>
        <stp>BDP|9501883384942074120</stp>
        <tr r="G1971" s="2"/>
      </tp>
      <tp t="s">
        <v>#N/A Requesting Data...3918784333</v>
        <stp/>
        <stp>BDP|1932400697183594506</stp>
        <tr r="O907" s="2"/>
      </tp>
      <tp t="s">
        <v>#N/A Requesting Data...4089078280</v>
        <stp/>
        <stp>BDP|1206170960998613484</stp>
        <tr r="P582" s="2"/>
      </tp>
      <tp t="s">
        <v>#N/A Requesting Data...4225828961</v>
        <stp/>
        <stp>BDP|9551328338673562011</stp>
        <tr r="K2273" s="2"/>
      </tp>
      <tp t="s">
        <v>#N/A Requesting Data...3932156479</v>
        <stp/>
        <stp>BDP|8699986553469356752</stp>
        <tr r="Q1176" s="2"/>
      </tp>
      <tp t="s">
        <v>#N/A Requesting Data...3833682887</v>
        <stp/>
        <stp>BDP|6234081331796090900</stp>
        <tr r="Q2487" s="2"/>
      </tp>
      <tp t="s">
        <v>#N/A Requesting Data...4038054824</v>
        <stp/>
        <stp>BDP|6967935184199096457</stp>
        <tr r="C302" s="2"/>
      </tp>
      <tp t="s">
        <v>#N/A Requesting Data...3877602429</v>
        <stp/>
        <stp>BDP|2645883402656269658</stp>
        <tr r="P872" s="2"/>
      </tp>
      <tp t="s">
        <v>#N/A Requesting Data...3998575562</v>
        <stp/>
        <stp>BDP|8882201616626132742</stp>
        <tr r="H1926" s="2"/>
      </tp>
      <tp t="s">
        <v>#N/A Requesting Data...3790942169</v>
        <stp/>
        <stp>BDP|9269068932763833354</stp>
        <tr r="C1134" s="2"/>
      </tp>
      <tp t="s">
        <v>#N/A Requesting Data...3851294980</v>
        <stp/>
        <stp>BDP|9352217049911404445</stp>
        <tr r="S1097" s="2"/>
      </tp>
      <tp t="s">
        <v>#N/A Requesting Data...3899973020</v>
        <stp/>
        <stp>BDP|2436258810732870925</stp>
        <tr r="S2144" s="2"/>
      </tp>
      <tp t="s">
        <v>#N/A Requesting Data...4189058293</v>
        <stp/>
        <stp>BDP|8456203815486249788</stp>
        <tr r="G570" s="2"/>
      </tp>
      <tp t="s">
        <v>#N/A Requesting Data...4239313237</v>
        <stp/>
        <stp>BDP|5475917309544438238</stp>
        <tr r="A2165" s="2"/>
      </tp>
      <tp t="s">
        <v>#N/A Requesting Data...3935153868</v>
        <stp/>
        <stp>BDP|6947475387650365010</stp>
        <tr r="E173" s="2"/>
      </tp>
      <tp t="s">
        <v>#N/A Requesting Data...4263463598</v>
        <stp/>
        <stp>BDP|1995548017026771967</stp>
        <tr r="M638" s="2"/>
      </tp>
      <tp t="s">
        <v>#N/A Requesting Data...4042910431</v>
        <stp/>
        <stp>BDP|6335931249432123335</stp>
        <tr r="D714" s="2"/>
      </tp>
      <tp t="s">
        <v>#N/A Requesting Data...3970526248</v>
        <stp/>
        <stp>BDP|4904623151339066417</stp>
        <tr r="J2386" s="2"/>
      </tp>
      <tp t="s">
        <v>#N/A Requesting Data...3883848585</v>
        <stp/>
        <stp>BDP|1594538399005732232</stp>
        <tr r="N2133" s="2"/>
      </tp>
      <tp t="s">
        <v>#N/A Requesting Data...4052297739</v>
        <stp/>
        <stp>BDP|6857831672331772250</stp>
        <tr r="A688" s="2"/>
      </tp>
      <tp t="s">
        <v>#N/A Requesting Data...3821499255</v>
        <stp/>
        <stp>BDP|6607075879689065235</stp>
        <tr r="G378" s="2"/>
      </tp>
      <tp t="s">
        <v>#N/A Requesting Data...4029515848</v>
        <stp/>
        <stp>BDP|5145225429649266631</stp>
        <tr r="O1778" s="2"/>
      </tp>
      <tp t="s">
        <v>#N/A Requesting Data...3999069725</v>
        <stp/>
        <stp>BDP|9824869493485281747</stp>
        <tr r="P371" s="2"/>
      </tp>
      <tp t="s">
        <v>#N/A Requesting Data...3879981532</v>
        <stp/>
        <stp>BDP|2579075889713237325</stp>
        <tr r="J521" s="2"/>
      </tp>
      <tp t="s">
        <v>#N/A Requesting Data...4158950012</v>
        <stp/>
        <stp>BDP|1831649827897472846</stp>
        <tr r="A1767" s="2"/>
      </tp>
      <tp t="s">
        <v>#N/A Requesting Data...3983980977</v>
        <stp/>
        <stp>BDP|5618522250658822774</stp>
        <tr r="P2333" s="2"/>
      </tp>
      <tp t="b">
        <v>0</v>
        <stp/>
        <stp>BDS|8232559490796887845</stp>
        <tr r="I1096" s="2"/>
      </tp>
      <tp t="s">
        <v>#N/A Requesting Data...4092227398</v>
        <stp/>
        <stp>BDP|9926471586889701648</stp>
        <tr r="C1888" s="2"/>
      </tp>
      <tp t="s">
        <v>#N/A Requesting Data...3871137418</v>
        <stp/>
        <stp>BDP|9989724454718116959</stp>
        <tr r="G783" s="2"/>
      </tp>
      <tp t="s">
        <v>#N/A Requesting Data...3986056253</v>
        <stp/>
        <stp>BDP|2237839654805924072</stp>
        <tr r="E133" s="2"/>
      </tp>
      <tp t="s">
        <v>#N/A Requesting Data...4058746926</v>
        <stp/>
        <stp>BDP|1257826728990788140</stp>
        <tr r="D2361" s="2"/>
      </tp>
      <tp t="s">
        <v>#N/A Requesting Data...3922951387</v>
        <stp/>
        <stp>BDP|5004564180797484599</stp>
        <tr r="O2293" s="2"/>
      </tp>
      <tp t="s">
        <v>#N/A Requesting Data...3920420166</v>
        <stp/>
        <stp>BDP|5452851413777829113</stp>
        <tr r="N129" s="2"/>
      </tp>
      <tp t="b">
        <v>0</v>
        <stp/>
        <stp>BDS|5182484602093287825</stp>
        <tr r="I1114" s="2"/>
      </tp>
      <tp t="s">
        <v>#N/A Requesting Data...4135571961</v>
        <stp/>
        <stp>BDP|8996297946845930147</stp>
        <tr r="T1970" s="2"/>
      </tp>
      <tp t="s">
        <v>#N/A Requesting Data...4186321090</v>
        <stp/>
        <stp>BDP|9453299845122288710</stp>
        <tr r="S1326" s="2"/>
      </tp>
      <tp t="s">
        <v>#N/A Requesting Data...4018229367</v>
        <stp/>
        <stp>BDP|5016856477333145384</stp>
        <tr r="E2125" s="2"/>
      </tp>
      <tp t="s">
        <v>#N/A Requesting Data...4084207249</v>
        <stp/>
        <stp>BDP|9274985497795189679</stp>
        <tr r="F1941" s="2"/>
      </tp>
      <tp t="s">
        <v>#N/A Requesting Data...4171714737</v>
        <stp/>
        <stp>BDP|6112985010910382411</stp>
        <tr r="F2379" s="2"/>
      </tp>
      <tp t="s">
        <v>#N/A Requesting Data...3879351730</v>
        <stp/>
        <stp>BDP|4991938906664342347</stp>
        <tr r="A658" s="2"/>
      </tp>
      <tp t="s">
        <v>#N/A Requesting Data...4091117370</v>
        <stp/>
        <stp>BDP|8878620743041776154</stp>
        <tr r="R1437" s="2"/>
      </tp>
      <tp t="s">
        <v>#N/A Requesting Data...4256335457</v>
        <stp/>
        <stp>BDP|5922417952218175604</stp>
        <tr r="M1093" s="2"/>
      </tp>
      <tp t="s">
        <v>#N/A Requesting Data...4214870731</v>
        <stp/>
        <stp>BDP|1931092842697148887</stp>
        <tr r="C1701" s="2"/>
      </tp>
      <tp t="s">
        <v>#N/A Requesting Data...4230373761</v>
        <stp/>
        <stp>BDP|4531482585160328206</stp>
        <tr r="H1205" s="2"/>
      </tp>
      <tp t="s">
        <v>#N/A Requesting Data...4084173705</v>
        <stp/>
        <stp>BDP|3924866008835831448</stp>
        <tr r="D1600" s="2"/>
      </tp>
      <tp t="s">
        <v>#N/A Requesting Data...3941212182</v>
        <stp/>
        <stp>BDP|1602910678224371172</stp>
        <tr r="P1694" s="2"/>
      </tp>
      <tp t="s">
        <v>#N/A Requesting Data...4235912701</v>
        <stp/>
        <stp>BDP|7591972218223496657</stp>
        <tr r="P984" s="2"/>
      </tp>
      <tp t="s">
        <v>#N/A Requesting Data...4148671053</v>
        <stp/>
        <stp>BDP|7307797597525262643</stp>
        <tr r="F2206" s="2"/>
      </tp>
      <tp t="s">
        <v>#N/A Requesting Data...4243711731</v>
        <stp/>
        <stp>BDP|4367435451437813821</stp>
        <tr r="C2504" s="2"/>
      </tp>
      <tp t="s">
        <v>#N/A Requesting Data...4045582620</v>
        <stp/>
        <stp>BDP|2482907278044118269</stp>
        <tr r="M899" s="2"/>
      </tp>
      <tp t="s">
        <v>#N/A Requesting Data...4241684623</v>
        <stp/>
        <stp>BDP|4059613224549756391</stp>
        <tr r="N2104" s="2"/>
      </tp>
      <tp t="s">
        <v>#N/A Requesting Data...4128614527</v>
        <stp/>
        <stp>BDP|3031267389136008543</stp>
        <tr r="A1100" s="2"/>
      </tp>
      <tp t="s">
        <v>#N/A Requesting Data...4228382990</v>
        <stp/>
        <stp>BDP|3900568098805887071</stp>
        <tr r="N722" s="2"/>
      </tp>
      <tp t="s">
        <v>#N/A Requesting Data...3952736843</v>
        <stp/>
        <stp>BDP|1053599523728109432</stp>
        <tr r="G1291" s="2"/>
      </tp>
      <tp t="s">
        <v>#N/A Requesting Data...4212963865</v>
        <stp/>
        <stp>BDP|9414693913493699706</stp>
        <tr r="M414" s="2"/>
      </tp>
      <tp t="s">
        <v>#N/A Requesting Data...4123472395</v>
        <stp/>
        <stp>BDP|7965630393211598344</stp>
        <tr r="H1044" s="2"/>
      </tp>
      <tp t="s">
        <v>#N/A Requesting Data...4198077455</v>
        <stp/>
        <stp>BDP|5498729591756786787</stp>
        <tr r="Q1443" s="2"/>
      </tp>
      <tp t="s">
        <v>#N/A Requesting Data...4149209857</v>
        <stp/>
        <stp>BDP|8480502347983985023</stp>
        <tr r="S1483" s="2"/>
      </tp>
      <tp t="s">
        <v>#N/A Requesting Data...4091815708</v>
        <stp/>
        <stp>BDP|6815479859625667880</stp>
        <tr r="T1452" s="2"/>
      </tp>
      <tp t="s">
        <v>#N/A Requesting Data...4225169334</v>
        <stp/>
        <stp>BDP|4845194568079731068</stp>
        <tr r="M1042" s="2"/>
      </tp>
      <tp t="s">
        <v>#N/A Requesting Data...4177521113</v>
        <stp/>
        <stp>BDP|2466924027912144184</stp>
        <tr r="R1031" s="2"/>
      </tp>
      <tp t="s">
        <v>#N/A Requesting Data...4140227799</v>
        <stp/>
        <stp>BDP|4912926584908339746</stp>
        <tr r="A273" s="2"/>
      </tp>
      <tp t="s">
        <v>#N/A Requesting Data...4233485088</v>
        <stp/>
        <stp>BDP|9629649581574365983</stp>
        <tr r="Q60" s="2"/>
      </tp>
      <tp t="s">
        <v>#N/A Requesting Data...4002186374</v>
        <stp/>
        <stp>BDP|6884654211059009247</stp>
        <tr r="P2336" s="2"/>
      </tp>
      <tp t="s">
        <v>#N/A Requesting Data...4128817701</v>
        <stp/>
        <stp>BDP|3969031579438917628</stp>
        <tr r="D2207" s="2"/>
      </tp>
      <tp t="s">
        <v>#N/A Requesting Data...4021355103</v>
        <stp/>
        <stp>BDP|4345560388941094259</stp>
        <tr r="N1884" s="2"/>
      </tp>
      <tp t="s">
        <v>#N/A Requesting Data...4112432173</v>
        <stp/>
        <stp>BDP|4729489331150218946</stp>
        <tr r="K584" s="2"/>
      </tp>
      <tp t="s">
        <v>#N/A Requesting Data...4089070766</v>
        <stp/>
        <stp>BDP|9134100228947175701</stp>
        <tr r="S2089" s="2"/>
      </tp>
      <tp t="s">
        <v>#N/A Requesting Data...4110656157</v>
        <stp/>
        <stp>BDP|8881205512210447167</stp>
        <tr r="S896" s="2"/>
      </tp>
      <tp t="s">
        <v>#N/A Requesting Data...3976798673</v>
        <stp/>
        <stp>BDP|9415174970312331789</stp>
        <tr r="G2531" s="2"/>
      </tp>
      <tp t="s">
        <v>#N/A Requesting Data...3981329584</v>
        <stp/>
        <stp>BDP|6366183023899582659</stp>
        <tr r="A1662" s="2"/>
      </tp>
      <tp t="b">
        <v>0</v>
        <stp/>
        <stp>BDS|5782836443080763387</stp>
        <tr r="I375" s="2"/>
      </tp>
      <tp t="s">
        <v>#N/A Requesting Data...3982804445</v>
        <stp/>
        <stp>BDP|7427709402482942877</stp>
        <tr r="P1884" s="2"/>
      </tp>
      <tp t="s">
        <v>#N/A Requesting Data...4032922595</v>
        <stp/>
        <stp>BDP|3564169969268401661</stp>
        <tr r="O1685" s="2"/>
      </tp>
      <tp t="s">
        <v>#N/A Requesting Data...4276117428</v>
        <stp/>
        <stp>BDP|8924238163312660470</stp>
        <tr r="T1695" s="2"/>
      </tp>
      <tp t="s">
        <v>#N/A Requesting Data...4112447526</v>
        <stp/>
        <stp>BDP|7317615794637796594</stp>
        <tr r="T24" s="2"/>
      </tp>
      <tp t="b">
        <v>0</v>
        <stp/>
        <stp>BDS|3777388714413737844</stp>
        <tr r="I1078" s="2"/>
      </tp>
      <tp t="s">
        <v>#N/A Requesting Data...4202990504</v>
        <stp/>
        <stp>BDP|2559871819897313602</stp>
        <tr r="E782" s="2"/>
      </tp>
      <tp t="s">
        <v>#N/A Requesting Data...4177984822</v>
        <stp/>
        <stp>BDP|7384445043475857842</stp>
        <tr r="T297" s="2"/>
      </tp>
      <tp t="s">
        <v>#N/A Requesting Data...4165202047</v>
        <stp/>
        <stp>BDP|2223997862997607072</stp>
        <tr r="R608" s="2"/>
      </tp>
      <tp t="s">
        <v>#N/A Requesting Data...4082338819</v>
        <stp/>
        <stp>BDP|5889951733084567131</stp>
        <tr r="G2144" s="2"/>
      </tp>
      <tp t="s">
        <v>#N/A Requesting Data...4242158376</v>
        <stp/>
        <stp>BDP|9330586777850001143</stp>
        <tr r="P1730" s="2"/>
      </tp>
      <tp t="s">
        <v>#N/A Requesting Data...4128294647</v>
        <stp/>
        <stp>BDP|4319905398207386900</stp>
        <tr r="C2288" s="2"/>
      </tp>
      <tp t="s">
        <v>#N/A Requesting Data...4011087066</v>
        <stp/>
        <stp>BDP|4742718180376739792</stp>
        <tr r="J2401" s="2"/>
      </tp>
      <tp t="s">
        <v>#N/A Requesting Data...4142450654</v>
        <stp/>
        <stp>BDP|6332495276718176757</stp>
        <tr r="K91" s="2"/>
      </tp>
      <tp t="s">
        <v>#N/A Requesting Data...4152458859</v>
        <stp/>
        <stp>BDP|8237212316020986148</stp>
        <tr r="Q2031" s="2"/>
      </tp>
      <tp t="s">
        <v>#N/A Requesting Data...4020698332</v>
        <stp/>
        <stp>BDP|9308292985551416837</stp>
        <tr r="R1193" s="2"/>
      </tp>
      <tp t="b">
        <v>0</v>
        <stp/>
        <stp>BDS|2238235706479746384</stp>
        <tr r="I1403" s="2"/>
      </tp>
      <tp t="s">
        <v>#N/A Requesting Data...4186712431</v>
        <stp/>
        <stp>BDP|8009715061835089685</stp>
        <tr r="O1435" s="2"/>
      </tp>
      <tp t="s">
        <v>#N/A Requesting Data...4267090947</v>
        <stp/>
        <stp>BDP|5121831648303569076</stp>
        <tr r="M1735" s="2"/>
      </tp>
      <tp t="s">
        <v>#N/A Requesting Data...4177151612</v>
        <stp/>
        <stp>BDP|8290074824619836918</stp>
        <tr r="G212" s="2"/>
      </tp>
      <tp t="s">
        <v>#N/A Requesting Data...4158113713</v>
        <stp/>
        <stp>BDP|7830525886518370874</stp>
        <tr r="A2039" s="2"/>
      </tp>
      <tp t="b">
        <v>0</v>
        <stp/>
        <stp>BDS|3822590850081888819</stp>
        <tr r="I121" s="2"/>
      </tp>
      <tp t="s">
        <v>#N/A Requesting Data...4023833336</v>
        <stp/>
        <stp>BDP|5548881273579706910</stp>
        <tr r="E1656" s="2"/>
      </tp>
      <tp t="s">
        <v>#N/A Requesting Data...4073484692</v>
        <stp/>
        <stp>BDP|9784033531842481298</stp>
        <tr r="O2309" s="2"/>
      </tp>
      <tp t="s">
        <v>#N/A Requesting Data...4100492662</v>
        <stp/>
        <stp>BDP|8099223856817896248</stp>
        <tr r="M596" s="2"/>
      </tp>
      <tp t="s">
        <v>#N/A Requesting Data...4237017485</v>
        <stp/>
        <stp>BDP|1037598162048505068</stp>
        <tr r="R2021" s="2"/>
      </tp>
      <tp t="s">
        <v>#N/A Requesting Data...4150532008</v>
        <stp/>
        <stp>BDP|4721161192217943126</stp>
        <tr r="A287" s="2"/>
      </tp>
      <tp t="s">
        <v>#N/A Requesting Data...4247670551</v>
        <stp/>
        <stp>BDP|5637249206014416988</stp>
        <tr r="G945" s="2"/>
      </tp>
      <tp t="s">
        <v>#N/A Requesting Data...4243208695</v>
        <stp/>
        <stp>BDP|5520743826403765980</stp>
        <tr r="E1430" s="2"/>
      </tp>
      <tp t="s">
        <v>#N/A Requesting Data...4054314378</v>
        <stp/>
        <stp>BDP|9555641638513979585</stp>
        <tr r="R892" s="2"/>
      </tp>
      <tp t="s">
        <v>#N/A Requesting Data...4249784812</v>
        <stp/>
        <stp>BDP|2340994079711265793</stp>
        <tr r="S750" s="2"/>
      </tp>
      <tp t="s">
        <v>#N/A Requesting Data...4144855390</v>
        <stp/>
        <stp>BDP|7723621296410367283</stp>
        <tr r="R362" s="2"/>
      </tp>
      <tp t="s">
        <v>#N/A Requesting Data...4120387605</v>
        <stp/>
        <stp>BDP|3538343486335913760</stp>
        <tr r="N1717" s="2"/>
      </tp>
      <tp t="s">
        <v>#N/A Requesting Data...4289638853</v>
        <stp/>
        <stp>BDP|3845944711081662034</stp>
        <tr r="A986" s="2"/>
      </tp>
      <tp t="s">
        <v>#N/A Requesting Data...4190874724</v>
        <stp/>
        <stp>BDP|5832061413379324766</stp>
        <tr r="C2264" s="2"/>
      </tp>
      <tp t="s">
        <v>#N/A Requesting Data...4199383538</v>
        <stp/>
        <stp>BDP|7251525191030922107</stp>
        <tr r="N4" s="2"/>
      </tp>
      <tp t="s">
        <v>#N/A Requesting Data...4280700222</v>
        <stp/>
        <stp>BDP|4413532688453349046</stp>
        <tr r="E1196" s="2"/>
      </tp>
      <tp t="s">
        <v>#N/A Requesting Data...4199713797</v>
        <stp/>
        <stp>BDP|9856865970585343955</stp>
        <tr r="N1784" s="2"/>
      </tp>
      <tp t="s">
        <v>#N/A Requesting Data...4200785334</v>
        <stp/>
        <stp>BDP|6924975065224467777</stp>
        <tr r="D1497" s="2"/>
      </tp>
      <tp t="s">
        <v>#N/A Requesting Data...4279710063</v>
        <stp/>
        <stp>BDP|4204986069553815235</stp>
        <tr r="N182" s="2"/>
      </tp>
      <tp t="s">
        <v>#N/A Requesting Data...4278554196</v>
        <stp/>
        <stp>BDP|5508737775297312883</stp>
        <tr r="C621" s="2"/>
      </tp>
      <tp t="s">
        <v>#N/A Requesting Data...4274570391</v>
        <stp/>
        <stp>BDP|2916945779454841243</stp>
        <tr r="J2396" s="2"/>
      </tp>
      <tp t="s">
        <v>#N/A Requesting Data...4154837876</v>
        <stp/>
        <stp>BDP|4150742899582327277</stp>
        <tr r="T2030" s="2"/>
      </tp>
      <tp t="s">
        <v>#N/A Requesting Data...4159199683</v>
        <stp/>
        <stp>BDP|4900455758509806647</stp>
        <tr r="G2364" s="2"/>
      </tp>
      <tp t="s">
        <v>#N/A Requesting Data...4106121514</v>
        <stp/>
        <stp>BDP|8031554863253947276</stp>
        <tr r="E1807" s="2"/>
      </tp>
      <tp t="s">
        <v>#N/A Requesting Data...4213232007</v>
        <stp/>
        <stp>BDP|1484099495714631663</stp>
        <tr r="N926" s="2"/>
      </tp>
      <tp t="s">
        <v>#N/A Requesting Data...4290164377</v>
        <stp/>
        <stp>BDP|4234205468723222905</stp>
        <tr r="H1518" s="2"/>
      </tp>
      <tp t="s">
        <v>#N/A Requesting Data...4189061749</v>
        <stp/>
        <stp>BDP|2069182112908626049</stp>
        <tr r="M745" s="2"/>
      </tp>
      <tp t="s">
        <v>#N/A Requesting Data...4121574273</v>
        <stp/>
        <stp>BDP|8611605995725914824</stp>
        <tr r="O71" s="2"/>
      </tp>
      <tp t="s">
        <v>#N/A Requesting Data...4157711471</v>
        <stp/>
        <stp>BDP|6405842874442970157</stp>
        <tr r="D1103" s="2"/>
      </tp>
      <tp t="s">
        <v>#N/A Requesting Data...4259311886</v>
        <stp/>
        <stp>BDP|2944478093756113353</stp>
        <tr r="T2437" s="2"/>
      </tp>
      <tp t="s">
        <v>#N/A Requesting Data...4148453278</v>
        <stp/>
        <stp>BDP|1923931702891451357</stp>
        <tr r="R2007" s="2"/>
      </tp>
      <tp t="s">
        <v>#N/A Requesting Data...4276271834</v>
        <stp/>
        <stp>BDP|3417525768942378843</stp>
        <tr r="S2478" s="2"/>
      </tp>
      <tp t="s">
        <v>#N/A Requesting Data...4137643133</v>
        <stp/>
        <stp>BDP|9589981377015786848</stp>
        <tr r="A1724" s="2"/>
      </tp>
      <tp t="s">
        <v>#N/A Requesting Data...4167470497</v>
        <stp/>
        <stp>BDP|7567470480599884832</stp>
        <tr r="C1551" s="2"/>
      </tp>
      <tp t="s">
        <v>#N/A Requesting Data...4249527833</v>
        <stp/>
        <stp>BDP|8915192939945766575</stp>
        <tr r="D60" s="2"/>
      </tp>
      <tp t="b">
        <v>0</v>
        <stp/>
        <stp>BDS|5079943518502422519</stp>
        <tr r="I1562" s="2"/>
      </tp>
      <tp t="s">
        <v>#N/A Requesting Data...4228906521</v>
        <stp/>
        <stp>BDP|1798856619375221707</stp>
        <tr r="C467" s="2"/>
      </tp>
      <tp t="s">
        <v>#N/A Requesting Data...4192206081</v>
        <stp/>
        <stp>BDP|2571895816698445978</stp>
        <tr r="C956" s="2"/>
      </tp>
      <tp t="s">
        <v>#N/A Requesting Data...4274577686</v>
        <stp/>
        <stp>BDP|1865895174067595392</stp>
        <tr r="K2194" s="2"/>
      </tp>
      <tp t="s">
        <v>#N/A Requesting Data...4146294330</v>
        <stp/>
        <stp>BDP|2183714518729547747</stp>
        <tr r="O1028" s="2"/>
      </tp>
      <tp t="s">
        <v>#N/A Requesting Data...4165350482</v>
        <stp/>
        <stp>BDP|6016515048099743478</stp>
        <tr r="K1916" s="2"/>
      </tp>
      <tp t="s">
        <v>#N/A Requesting Data...4224681063</v>
        <stp/>
        <stp>BDP|2401293722169695100</stp>
        <tr r="Q1402" s="2"/>
      </tp>
      <tp t="s">
        <v>#N/A Requesting Data...4247989502</v>
        <stp/>
        <stp>BDP|7597576399076336717</stp>
        <tr r="N1762" s="2"/>
      </tp>
      <tp t="s">
        <v>#N/A Requesting Data...4287592561</v>
        <stp/>
        <stp>BDP|4907689499412824394</stp>
        <tr r="M246" s="2"/>
      </tp>
      <tp t="s">
        <v>#N/A Requesting Data...4222110935</v>
        <stp/>
        <stp>BDP|4893645205329560152</stp>
        <tr r="C1436" s="2"/>
      </tp>
      <tp t="s">
        <v>#N/A Requesting Data...4208129349</v>
        <stp/>
        <stp>BDP|6266121897394664089</stp>
        <tr r="K2076" s="2"/>
      </tp>
      <tp t="s">
        <v>#N/A Requesting Data...4289602519</v>
        <stp/>
        <stp>BDP|9484506351917555499</stp>
        <tr r="Q1947" s="2"/>
      </tp>
      <tp t="s">
        <v>#N/A Requesting Data...4268478284</v>
        <stp/>
        <stp>BDP|6331478703511839966</stp>
        <tr r="D572" s="2"/>
      </tp>
      <tp t="s">
        <v>#N/A Requesting Data...4197349686</v>
        <stp/>
        <stp>BDP|8014088154692632537</stp>
        <tr r="S2136" s="2"/>
      </tp>
      <tp t="s">
        <v>#N/A Requesting Data...4218879829</v>
        <stp/>
        <stp>BDP|8986020087793665932</stp>
        <tr r="F2319" s="2"/>
      </tp>
      <tp t="s">
        <v>#N/A Requesting Data...4246438211</v>
        <stp/>
        <stp>BDP|2937210584847482519</stp>
        <tr r="D403" s="2"/>
      </tp>
      <tp t="s">
        <v>#N/A Requesting Data...4228768378</v>
        <stp/>
        <stp>BDP|9717069636478654883</stp>
        <tr r="A860" s="2"/>
      </tp>
      <tp t="s">
        <v>#N/A Requesting Data...4185372303</v>
        <stp/>
        <stp>BDP|9492695325471677672</stp>
        <tr r="T2519" s="2"/>
      </tp>
      <tp t="s">
        <v>#N/A Requesting Data...4235878522</v>
        <stp/>
        <stp>BDP|9617501837245199096</stp>
        <tr r="J902" s="2"/>
      </tp>
      <tp t="s">
        <v>#N/A Requesting Data...4225929464</v>
        <stp/>
        <stp>BDP|6911994275382587093</stp>
        <tr r="P557" s="2"/>
      </tp>
      <tp t="s">
        <v>#N/A Requesting Data...4193355079</v>
        <stp/>
        <stp>BDP|6188874165561200384</stp>
        <tr r="H2370" s="2"/>
      </tp>
      <tp t="s">
        <v>#N/A Requesting Data...4251574594</v>
        <stp/>
        <stp>BDP|4779213283816892248</stp>
        <tr r="N736" s="2"/>
      </tp>
      <tp t="s">
        <v>#N/A Requesting Data...4263399131</v>
        <stp/>
        <stp>BDP|8961835454857577820</stp>
        <tr r="R2135" s="2"/>
      </tp>
      <tp t="s">
        <v>#N/A Requesting Data...4244328710</v>
        <stp/>
        <stp>BDP|3796333783423842166</stp>
        <tr r="N1607" s="2"/>
      </tp>
      <tp t="s">
        <v>#N/A Requesting Data...4248259508</v>
        <stp/>
        <stp>BDP|3866100384439574909</stp>
        <tr r="G2482" s="2"/>
      </tp>
      <tp t="s">
        <v>#N/A Requesting Data...4242058758</v>
        <stp/>
        <stp>BDP|9711872388761997281</stp>
        <tr r="O288" s="2"/>
      </tp>
      <tp t="s">
        <v>#N/A Requesting Data...4212894005</v>
        <stp/>
        <stp>BDP|1297814448487203005</stp>
        <tr r="F1120" s="2"/>
      </tp>
      <tp t="s">
        <v>#N/A Requesting Data...4227034031</v>
        <stp/>
        <stp>BDP|8072116930774036489</stp>
        <tr r="A1869" s="2"/>
      </tp>
      <tp t="s">
        <v>#N/A Requesting Data...4284660102</v>
        <stp/>
        <stp>BDP|2379838448301638570</stp>
        <tr r="Q2430" s="2"/>
      </tp>
      <tp t="b">
        <v>0</v>
        <stp/>
        <stp>BDS|8041244650634831159</stp>
        <tr r="I2060" s="2"/>
      </tp>
      <tp t="s">
        <v>#N/A Requesting Data...4254386827</v>
        <stp/>
        <stp>BDP|9873803955427768939</stp>
        <tr r="M909" s="2"/>
      </tp>
      <tp t="s">
        <v>#N/A Requesting Data...4224566537</v>
        <stp/>
        <stp>BDP|3805738659768208390</stp>
        <tr r="Q1718" s="2"/>
      </tp>
      <tp t="s">
        <v>#N/A Requesting Data...4258564777</v>
        <stp/>
        <stp>BDP|5400892328582596791</stp>
        <tr r="S1962" s="2"/>
      </tp>
      <tp t="s">
        <v>#N/A Requesting Data...4246515608</v>
        <stp/>
        <stp>BDP|9799893889671919272</stp>
        <tr r="K1778" s="2"/>
      </tp>
      <tp t="s">
        <v>#N/A Requesting Data...4291178602</v>
        <stp/>
        <stp>BDP|4185583154458645625</stp>
        <tr r="K306" s="2"/>
      </tp>
      <tp t="s">
        <v>#N/A Requesting Data...4263053860</v>
        <stp/>
        <stp>BDP|4944290771668151399</stp>
        <tr r="A176" s="2"/>
      </tp>
      <tp t="s">
        <v>#N/A Requesting Data...4268146097</v>
        <stp/>
        <stp>BDP|5777593304159084333</stp>
        <tr r="E1549" s="2"/>
      </tp>
      <tp t="s">
        <v>#N/A Requesting Data...4266407569</v>
        <stp/>
        <stp>BDP|8794379388309747069</stp>
        <tr r="G1386" s="2"/>
      </tp>
      <tp t="s">
        <v>#N/A Requesting Data...4238989755</v>
        <stp/>
        <stp>BDP|3458855004279842848</stp>
        <tr r="G17" s="2"/>
      </tp>
      <tp t="s">
        <v>#N/A Requesting Data...4248544575</v>
        <stp/>
        <stp>BDP|3750215407518922316</stp>
        <tr r="R1930" s="2"/>
      </tp>
      <tp t="s">
        <v>#N/A Requesting Data...4269580593</v>
        <stp/>
        <stp>BDP|1323445059509601313</stp>
        <tr r="J699" s="2"/>
      </tp>
      <tp t="s">
        <v>#N/A Requesting Data...4290721313</v>
        <stp/>
        <stp>BDP|3762186082085599518</stp>
        <tr r="G1468" s="2"/>
      </tp>
      <tp t="s">
        <v>#N/A Requesting Data...4267467252</v>
        <stp/>
        <stp>BDP|1961922150051239606</stp>
        <tr r="G901" s="2"/>
      </tp>
      <tp t="s">
        <v>#N/A Requesting Data...4281618934</v>
        <stp/>
        <stp>BDP|7613277892120805626</stp>
        <tr r="P2040" s="2"/>
      </tp>
      <tp t="s">
        <v>#N/A Requesting Data...4272083830</v>
        <stp/>
        <stp>BDP|2916592842261987828</stp>
        <tr r="E2459" s="2"/>
      </tp>
      <tp t="s">
        <v>#N/A Requesting Data...4275713460</v>
        <stp/>
        <stp>BDP|9817874151318078670</stp>
        <tr r="J125" s="2"/>
      </tp>
      <tp t="s">
        <v>#N/A Requesting Data...4276090351</v>
        <stp/>
        <stp>BDP|6795147908705415869</stp>
        <tr r="D1936" s="2"/>
      </tp>
      <tp t="s">
        <v>#N/A Requesting Data...4287181983</v>
        <stp/>
        <stp>BDP|2350768301308899756</stp>
        <tr r="J958" s="2"/>
      </tp>
      <tp t="s">
        <v>#N/A Requesting Data...4285785912</v>
        <stp/>
        <stp>BDP|8378635635466472180</stp>
        <tr r="A796" s="2"/>
      </tp>
      <tp t="s">
        <v>#N/A Requesting Data...4280032650</v>
        <stp/>
        <stp>BDP|9844217480370481948</stp>
        <tr r="Q2369" s="2"/>
      </tp>
      <tp t="s">
        <v>#N/A Requesting Data...4282750117</v>
        <stp/>
        <stp>BDP|5786281186904626162</stp>
        <tr r="O2524" s="2"/>
      </tp>
      <tp t="s">
        <v>#N/A Requesting Data...4293926227</v>
        <stp/>
        <stp>BDP|4242639187988829876</stp>
        <tr r="H1206" s="2"/>
      </tp>
      <tp t="s">
        <v>#N/A Requesting Data...4281538947</v>
        <stp/>
        <stp>BDP|4689608582598417894</stp>
        <tr r="N336" s="2"/>
      </tp>
      <tp t="s">
        <v>#N/A Requesting Data...4284450246</v>
        <stp/>
        <stp>BDP|6126197453630363815</stp>
        <tr r="O2339" s="2"/>
      </tp>
      <tp t="s">
        <v>#N/A Requesting Data...4284689425</v>
        <stp/>
        <stp>BDP|7884360960419490135</stp>
        <tr r="Q229" s="2"/>
      </tp>
      <tp t="s">
        <v>#N/A Requesting Data...4290545070</v>
        <stp/>
        <stp>BDP|5895881278969238932</stp>
        <tr r="H2113" s="2"/>
      </tp>
      <tp t="s">
        <v>#N/A Requesting Data...4290725508</v>
        <stp/>
        <stp>BDP|4742555748667078830</stp>
        <tr r="K2048" s="2"/>
      </tp>
      <tp t="s">
        <v>#N/A Requesting Data...4293363312</v>
        <stp/>
        <stp>BDP|9880748276342197129</stp>
        <tr r="M1847" s="2"/>
      </tp>
      <tp t="s">
        <v>#N/A Requesting Data...4294491859</v>
        <stp/>
        <stp>BDP|7678225310796521884</stp>
        <tr r="O1639" s="2"/>
      </tp>
      <tp t="s">
        <v>#N/A Requesting Data...3159790322</v>
        <stp/>
        <stp>BDP|7983919007385617100</stp>
        <tr r="G1226" s="2"/>
      </tp>
      <tp t="s">
        <v>#N/A Requesting Data...1380873434</v>
        <stp/>
        <stp>BDP|6998697830639039098</stp>
        <tr r="T174" s="2"/>
      </tp>
      <tp t="s">
        <v>#N/A Requesting Data...3871884361</v>
        <stp/>
        <stp>BDP|5517812214675936304</stp>
        <tr r="C2528" s="2"/>
      </tp>
      <tp t="s">
        <v>#N/A Requesting Data...1543648653</v>
        <stp/>
        <stp>BDP|9791372519957113611</stp>
        <tr r="J2277" s="2"/>
      </tp>
      <tp t="s">
        <v>#N/A Requesting Data...3390909420</v>
        <stp/>
        <stp>BDP|2823162162929123649</stp>
        <tr r="N2344" s="2"/>
      </tp>
      <tp t="s">
        <v>#N/A Requesting Data...257581641</v>
        <stp/>
        <stp>BDP|8122192536000508022</stp>
        <tr r="C642" s="2"/>
      </tp>
      <tp t="s">
        <v>#N/A Requesting Data...2709040856</v>
        <stp/>
        <stp>BDP|6363904094905661988</stp>
        <tr r="T771" s="2"/>
      </tp>
      <tp t="s">
        <v>#N/A Requesting Data...2345121339</v>
        <stp/>
        <stp>BDP|4540345453488829033</stp>
        <tr r="T1116" s="2"/>
      </tp>
      <tp t="s">
        <v>#N/A Requesting Data...3108942501</v>
        <stp/>
        <stp>BDP|1893949268577977346</stp>
        <tr r="O424" s="2"/>
      </tp>
      <tp t="s">
        <v>#N/A Requesting Data...4258213371</v>
        <stp/>
        <stp>BDP|9334141294432208982</stp>
        <tr r="M886" s="2"/>
      </tp>
      <tp t="s">
        <v>#N/A Requesting Data...3311610019</v>
        <stp/>
        <stp>BDP|9426134950575967271</stp>
        <tr r="J1404" s="2"/>
      </tp>
      <tp t="s">
        <v>#N/A Requesting Data...2403447868</v>
        <stp/>
        <stp>BDP|6853703188184173784</stp>
        <tr r="N963" s="2"/>
      </tp>
      <tp t="s">
        <v>#N/A Requesting Data...3096652312</v>
        <stp/>
        <stp>BDP|5683581935540305918</stp>
        <tr r="E1147" s="2"/>
      </tp>
      <tp t="s">
        <v>#N/A Requesting Data...552136049</v>
        <stp/>
        <stp>BDP|4943562332111196959</stp>
        <tr r="T2120" s="2"/>
      </tp>
      <tp t="s">
        <v>#N/A Requesting Data...1209501649</v>
        <stp/>
        <stp>BDP|9894324693800012903</stp>
        <tr r="H2142" s="2"/>
      </tp>
      <tp t="s">
        <v>#N/A Requesting Data...2244404517</v>
        <stp/>
        <stp>BDP|7526595945624150813</stp>
        <tr r="P484" s="2"/>
      </tp>
      <tp t="b">
        <v>0</v>
        <stp/>
        <stp>BDS|2260666704509893719</stp>
        <tr r="I800" s="2"/>
      </tp>
      <tp t="s">
        <v>#N/A Requesting Data...2178476969</v>
        <stp/>
        <stp>BDP|2637280341248206647</stp>
        <tr r="J1035" s="2"/>
      </tp>
      <tp t="s">
        <v>#N/A Requesting Data...280352813</v>
        <stp/>
        <stp>BDP|6272058083672972648</stp>
        <tr r="C2202" s="2"/>
      </tp>
      <tp t="s">
        <v>#N/A Requesting Data...797343799</v>
        <stp/>
        <stp>BDP|7629324014398000793</stp>
        <tr r="Q2370" s="2"/>
      </tp>
      <tp t="s">
        <v>#N/A Requesting Data...2969635470</v>
        <stp/>
        <stp>BDP|1975558976990724942</stp>
        <tr r="G2491" s="2"/>
      </tp>
      <tp t="s">
        <v>#N/A Requesting Data...884180157</v>
        <stp/>
        <stp>BDP|4107030469701121933</stp>
        <tr r="N1564" s="2"/>
      </tp>
      <tp t="s">
        <v>#N/A Requesting Data...2595938290</v>
        <stp/>
        <stp>BDP|5037591355336314966</stp>
        <tr r="O1542" s="2"/>
      </tp>
      <tp t="s">
        <v>#N/A Requesting Data...406410268</v>
        <stp/>
        <stp>BDP|6387398657293552911</stp>
        <tr r="E673" s="2"/>
      </tp>
      <tp t="s">
        <v>#N/A Requesting Data...514969804</v>
        <stp/>
        <stp>BDP|6295895105257235324</stp>
        <tr r="G1637" s="2"/>
      </tp>
      <tp t="s">
        <v>#N/A Requesting Data...278665359</v>
        <stp/>
        <stp>BDP|1891163439950025998</stp>
        <tr r="T696" s="2"/>
      </tp>
      <tp t="s">
        <v>#N/A Requesting Data...2631945786</v>
        <stp/>
        <stp>BDP|1746652053211980965</stp>
        <tr r="K250" s="2"/>
      </tp>
      <tp t="s">
        <v>#N/A Requesting Data...335003831</v>
        <stp/>
        <stp>BDP|8378896054749088606</stp>
        <tr r="E2151" s="2"/>
      </tp>
      <tp t="s">
        <v>#N/A Requesting Data...1530271273</v>
        <stp/>
        <stp>BDP|7780625391213364191</stp>
        <tr r="E1290" s="2"/>
      </tp>
      <tp t="s">
        <v>#N/A Requesting Data...1521450842</v>
        <stp/>
        <stp>BDP|9128444131372988635</stp>
        <tr r="O600" s="2"/>
      </tp>
      <tp t="s">
        <v>#N/A Requesting Data...3417357568</v>
        <stp/>
        <stp>BDP|7217488784751672061</stp>
        <tr r="S1069" s="2"/>
      </tp>
      <tp t="s">
        <v>#N/A Requesting Data...3595585860</v>
        <stp/>
        <stp>BDP|5336652886854631582</stp>
        <tr r="H1792" s="2"/>
      </tp>
      <tp t="s">
        <v>#N/A Requesting Data...1918295183</v>
        <stp/>
        <stp>BDP|6370354598735876388</stp>
        <tr r="T2472" s="2"/>
      </tp>
      <tp t="s">
        <v>#N/A Requesting Data...1588828221</v>
        <stp/>
        <stp>BDP|9773410759973023117</stp>
        <tr r="O1129" s="2"/>
      </tp>
      <tp t="s">
        <v>#N/A Requesting Data...1259813360</v>
        <stp/>
        <stp>BDP|2922263495837777435</stp>
        <tr r="F2408" s="2"/>
      </tp>
      <tp t="s">
        <v>#N/A Requesting Data...1117099255</v>
        <stp/>
        <stp>BDP|3665860427035980605</stp>
        <tr r="Q2140" s="2"/>
      </tp>
      <tp t="s">
        <v>#N/A Requesting Data...3340329630</v>
        <stp/>
        <stp>BDP|4668885124735485107</stp>
        <tr r="M1231" s="2"/>
      </tp>
      <tp t="s">
        <v>#N/A Requesting Data...3218791848</v>
        <stp/>
        <stp>BDP|8289303455731014596</stp>
        <tr r="K1325" s="2"/>
      </tp>
      <tp t="b">
        <v>0</v>
        <stp/>
        <stp>BDS|5976104518807677895</stp>
        <tr r="I1980" s="2"/>
      </tp>
      <tp t="s">
        <v>#N/A Requesting Data...4025130910</v>
        <stp/>
        <stp>BDP|1560250885963238296</stp>
        <tr r="K2218" s="2"/>
      </tp>
      <tp t="s">
        <v>#N/A Requesting Data...1351657844</v>
        <stp/>
        <stp>BDP|3146987442667169349</stp>
        <tr r="R2446" s="2"/>
      </tp>
      <tp t="s">
        <v>#N/A Requesting Data...687474165</v>
        <stp/>
        <stp>BDP|8401092611976377511</stp>
        <tr r="A2337" s="2"/>
      </tp>
      <tp t="s">
        <v>#N/A Requesting Data...1213039443</v>
        <stp/>
        <stp>BDP|5824579134331756820</stp>
        <tr r="K191" s="2"/>
      </tp>
      <tp t="s">
        <v>#N/A Requesting Data...2689656557</v>
        <stp/>
        <stp>BDP|9106693933027262178</stp>
        <tr r="S2320" s="2"/>
      </tp>
      <tp t="s">
        <v>#N/A Requesting Data...836411802</v>
        <stp/>
        <stp>BDP|5242000883012703589</stp>
        <tr r="G145" s="2"/>
      </tp>
      <tp t="s">
        <v>#N/A Requesting Data...2109664167</v>
        <stp/>
        <stp>BDP|9513590164016759619</stp>
        <tr r="P124" s="2"/>
      </tp>
      <tp t="s">
        <v>#N/A Requesting Data...3346261334</v>
        <stp/>
        <stp>BDP|4900447615998654307</stp>
        <tr r="O1737" s="2"/>
      </tp>
      <tp t="s">
        <v>#N/A Requesting Data...1190513061</v>
        <stp/>
        <stp>BDP|9263814878009160548</stp>
        <tr r="H483" s="2"/>
      </tp>
      <tp t="s">
        <v>#N/A Requesting Data...1431975314</v>
        <stp/>
        <stp>BDP|4427974768099508809</stp>
        <tr r="J843" s="2"/>
      </tp>
      <tp t="s">
        <v>#N/A Requesting Data...3933314298</v>
        <stp/>
        <stp>BDP|4189047062399123181</stp>
        <tr r="E975" s="2"/>
      </tp>
      <tp t="s">
        <v>#N/A Requesting Data...2658844835</v>
        <stp/>
        <stp>BDP|1245727840929903175</stp>
        <tr r="H1434" s="2"/>
      </tp>
      <tp t="s">
        <v>#N/A Requesting Data...3761862128</v>
        <stp/>
        <stp>BDP|9550134661382992604</stp>
        <tr r="P1204" s="2"/>
      </tp>
      <tp t="s">
        <v>#N/A Requesting Data...1554438107</v>
        <stp/>
        <stp>BDP|7576632127108689193</stp>
        <tr r="M2222" s="2"/>
      </tp>
      <tp t="b">
        <v>0</v>
        <stp/>
        <stp>BDS|9089630017554892028</stp>
        <tr r="I1970" s="2"/>
      </tp>
      <tp t="s">
        <v>#N/A Requesting Data...1459725248</v>
        <stp/>
        <stp>BDP|9938473056711716319</stp>
        <tr r="M2366" s="2"/>
      </tp>
      <tp t="s">
        <v>#N/A Requesting Data...3886704841</v>
        <stp/>
        <stp>BDP|3158008539612646800</stp>
        <tr r="S519" s="2"/>
      </tp>
      <tp t="s">
        <v>#N/A Requesting Data...2565443999</v>
        <stp/>
        <stp>BDP|4500742929293384856</stp>
        <tr r="C475" s="2"/>
      </tp>
      <tp t="b">
        <v>0</v>
        <stp/>
        <stp>BDS|2750067586924940402</stp>
        <tr r="I343" s="2"/>
      </tp>
      <tp t="s">
        <v>#N/A Requesting Data...1255123433</v>
        <stp/>
        <stp>BDP|4261597610349543307</stp>
        <tr r="E2502" s="2"/>
      </tp>
      <tp t="s">
        <v>#N/A Requesting Data...2961463323</v>
        <stp/>
        <stp>BDP|9092095531505484520</stp>
        <tr r="O1974" s="2"/>
      </tp>
      <tp t="s">
        <v>#N/A Requesting Data...788087440</v>
        <stp/>
        <stp>BDP|6302208463558959079</stp>
        <tr r="D1575" s="2"/>
      </tp>
      <tp t="b">
        <v>0</v>
        <stp/>
        <stp>BDS|3378774419047263817</stp>
        <tr r="I2111" s="2"/>
      </tp>
      <tp t="s">
        <v>#N/A Requesting Data...2451337837</v>
        <stp/>
        <stp>BDP|7974925704727112304</stp>
        <tr r="S1177" s="2"/>
      </tp>
      <tp t="s">
        <v>#N/A Requesting Data...720804779</v>
        <stp/>
        <stp>BDP|8680346713851721184</stp>
        <tr r="C1164" s="2"/>
      </tp>
      <tp t="s">
        <v>#N/A Requesting Data...2930724773</v>
        <stp/>
        <stp>BDP|6936703396007716562</stp>
        <tr r="P700" s="2"/>
      </tp>
      <tp t="s">
        <v>#N/A Requesting Data...2080755731</v>
        <stp/>
        <stp>BDP|2381838907760900004</stp>
        <tr r="K2507" s="2"/>
      </tp>
      <tp t="s">
        <v>#N/A Requesting Data...2109525192</v>
        <stp/>
        <stp>BDP|8043372018026625676</stp>
        <tr r="M322" s="2"/>
      </tp>
      <tp t="s">
        <v>#N/A Requesting Data...3522007437</v>
        <stp/>
        <stp>BDP|1267645369712300926</stp>
        <tr r="J2501" s="2"/>
      </tp>
      <tp t="s">
        <v>#N/A Requesting Data...716034862</v>
        <stp/>
        <stp>BDP|8683096262944352000</stp>
        <tr r="J351" s="2"/>
      </tp>
      <tp t="s">
        <v>#N/A Requesting Data...4291998456</v>
        <stp/>
        <stp>BDP|2265904909718113946</stp>
        <tr r="R2294" s="2"/>
      </tp>
      <tp t="s">
        <v>#N/A Requesting Data...3270053361</v>
        <stp/>
        <stp>BDP|8245153633110336090</stp>
        <tr r="D2306" s="2"/>
      </tp>
      <tp t="s">
        <v>#N/A Requesting Data...4157532959</v>
        <stp/>
        <stp>BDP|1237798675443636869</stp>
        <tr r="Q1725" s="2"/>
      </tp>
      <tp t="s">
        <v>#N/A Requesting Data...3414907938</v>
        <stp/>
        <stp>BDP|9829649837975225375</stp>
        <tr r="R1104" s="2"/>
      </tp>
      <tp t="s">
        <v>#N/A Requesting Data...705752284</v>
        <stp/>
        <stp>BDP|6150159709024098930</stp>
        <tr r="O95" s="2"/>
      </tp>
      <tp t="s">
        <v>#N/A Requesting Data...250625078</v>
        <stp/>
        <stp>BDP|1443596855242348950</stp>
        <tr r="P1552" s="2"/>
      </tp>
      <tp t="s">
        <v>#N/A Requesting Data...2065550268</v>
        <stp/>
        <stp>BDP|9775409198267781960</stp>
        <tr r="S998" s="2"/>
      </tp>
      <tp t="s">
        <v>#N/A Requesting Data...3431916388</v>
        <stp/>
        <stp>BDP|3829484498730367453</stp>
        <tr r="A1461" s="2"/>
      </tp>
      <tp t="s">
        <v>#N/A Requesting Data...3975249728</v>
        <stp/>
        <stp>BDP|7417314934435944861</stp>
        <tr r="K2423" s="2"/>
      </tp>
      <tp t="s">
        <v>#N/A Requesting Data...3952761382</v>
        <stp/>
        <stp>BDP|4825496549817237948</stp>
        <tr r="E1641" s="2"/>
      </tp>
      <tp t="s">
        <v>#N/A Requesting Data...2235561998</v>
        <stp/>
        <stp>BDP|9809499948674411739</stp>
        <tr r="K2261" s="2"/>
      </tp>
      <tp t="s">
        <v>#N/A Requesting Data...619253894</v>
        <stp/>
        <stp>BDP|8181532257893927127</stp>
        <tr r="G1044" s="2"/>
      </tp>
      <tp t="s">
        <v>#N/A Requesting Data...297676331</v>
        <stp/>
        <stp>BDP|1250683984682034705</stp>
        <tr r="K2178" s="2"/>
      </tp>
      <tp t="s">
        <v>#N/A Requesting Data...3205820512</v>
        <stp/>
        <stp>BDP|1473590727868297460</stp>
        <tr r="Q154" s="2"/>
      </tp>
      <tp t="s">
        <v>#N/A Requesting Data...3294112523</v>
        <stp/>
        <stp>BDP|4705027551563353891</stp>
        <tr r="G969" s="2"/>
      </tp>
      <tp t="s">
        <v>#N/A Requesting Data...2074338978</v>
        <stp/>
        <stp>BDP|9730004760230152586</stp>
        <tr r="N536" s="2"/>
      </tp>
      <tp t="s">
        <v>#N/A Requesting Data...2421569851</v>
        <stp/>
        <stp>BDP|1823969319200161389</stp>
        <tr r="E2197" s="2"/>
      </tp>
      <tp t="s">
        <v>#N/A Requesting Data...3943347307</v>
        <stp/>
        <stp>BDP|2676199680957964687</stp>
        <tr r="S511" s="2"/>
      </tp>
      <tp t="s">
        <v>#N/A Requesting Data...2607089255</v>
        <stp/>
        <stp>BDP|6116895364233397119</stp>
        <tr r="R1070" s="2"/>
      </tp>
      <tp t="s">
        <v>#N/A Requesting Data...2714640891</v>
        <stp/>
        <stp>BDP|3207046865759838654</stp>
        <tr r="P1337" s="2"/>
      </tp>
      <tp t="s">
        <v>#N/A Requesting Data...1590271608</v>
        <stp/>
        <stp>BDP|9828147356742663522</stp>
        <tr r="E742" s="2"/>
      </tp>
      <tp t="s">
        <v>#N/A Requesting Data...1370619704</v>
        <stp/>
        <stp>BDP|2679398162244181923</stp>
        <tr r="G1415" s="2"/>
      </tp>
      <tp t="s">
        <v>#N/A Requesting Data...1183608304</v>
        <stp/>
        <stp>BDP|4385518318288223266</stp>
        <tr r="M532" s="2"/>
      </tp>
      <tp t="s">
        <v>#N/A Requesting Data...2376399678</v>
        <stp/>
        <stp>BDP|2197102331899863363</stp>
        <tr r="K2105" s="2"/>
      </tp>
      <tp t="s">
        <v>#N/A Requesting Data...2561735074</v>
        <stp/>
        <stp>BDP|5212865060684224586</stp>
        <tr r="M171" s="2"/>
      </tp>
      <tp t="s">
        <v>#N/A Requesting Data...884002398</v>
        <stp/>
        <stp>BDP|8518692842785736571</stp>
        <tr r="E219" s="2"/>
      </tp>
      <tp t="s">
        <v>#N/A Requesting Data...1577626957</v>
        <stp/>
        <stp>BDP|4339033152152964951</stp>
        <tr r="N199" s="2"/>
      </tp>
      <tp t="s">
        <v>#N/A Requesting Data...2739182181</v>
        <stp/>
        <stp>BDP|6693781058556837817</stp>
        <tr r="A758" s="2"/>
      </tp>
      <tp t="s">
        <v>#N/A Requesting Data...406245061</v>
        <stp/>
        <stp>BDP|2976433587694128039</stp>
        <tr r="T2451" s="2"/>
      </tp>
      <tp t="s">
        <v>#N/A Requesting Data...2800803125</v>
        <stp/>
        <stp>BDP|4058120005926868903</stp>
        <tr r="D926" s="2"/>
      </tp>
      <tp t="s">
        <v>#N/A Requesting Data...457791090</v>
        <stp/>
        <stp>BDP|8807031285949992388</stp>
        <tr r="R1416" s="2"/>
      </tp>
      <tp t="s">
        <v>#N/A Requesting Data...3462993201</v>
        <stp/>
        <stp>BDP|8869689196408156587</stp>
        <tr r="S1169" s="2"/>
      </tp>
      <tp t="b">
        <v>0</v>
        <stp/>
        <stp>BDS|5532820784397591892</stp>
        <tr r="I590" s="2"/>
      </tp>
      <tp t="s">
        <v>#N/A Requesting Data...3639708500</v>
        <stp/>
        <stp>BDP|3890647134314765800</stp>
        <tr r="T1698" s="2"/>
      </tp>
      <tp t="s">
        <v>#N/A Requesting Data...404606205</v>
        <stp/>
        <stp>BDP|5348134978851261855</stp>
        <tr r="H1435" s="2"/>
      </tp>
      <tp t="s">
        <v>#N/A Requesting Data...332785787</v>
        <stp/>
        <stp>BDP|6898369941443862889</stp>
        <tr r="H2416" s="2"/>
      </tp>
      <tp t="b">
        <v>0</v>
        <stp/>
        <stp>BDS|7573656461285688883</stp>
        <tr r="I1077" s="2"/>
      </tp>
      <tp t="b">
        <v>0</v>
        <stp/>
        <stp>BDS|3552319589121347311</stp>
        <tr r="I1302" s="2"/>
      </tp>
      <tp t="s">
        <v>#N/A Requesting Data...813117179</v>
        <stp/>
        <stp>BDP|9836045625200475129</stp>
        <tr r="E2484" s="2"/>
      </tp>
      <tp t="b">
        <v>0</v>
        <stp/>
        <stp>BDS|3596306019728246315</stp>
        <tr r="I573" s="2"/>
      </tp>
      <tp t="s">
        <v>#N/A Requesting Data...1639834682</v>
        <stp/>
        <stp>BDP|5939080141703770889</stp>
        <tr r="M901" s="2"/>
      </tp>
      <tp t="s">
        <v>#N/A Requesting Data...2578127064</v>
        <stp/>
        <stp>BDP|3268289595442873086</stp>
        <tr r="P158" s="2"/>
      </tp>
      <tp t="s">
        <v>#N/A Requesting Data...3134496579</v>
        <stp/>
        <stp>BDP|9350627346731016089</stp>
        <tr r="K762" s="2"/>
      </tp>
      <tp t="s">
        <v>#N/A Requesting Data...2416307307</v>
        <stp/>
        <stp>BDP|3590532792055920024</stp>
        <tr r="A2419" s="2"/>
      </tp>
      <tp t="s">
        <v>#N/A Requesting Data...1383284951</v>
        <stp/>
        <stp>BDP|1544780916348190553</stp>
        <tr r="D1720" s="2"/>
      </tp>
      <tp t="s">
        <v>#N/A Requesting Data...3470708363</v>
        <stp/>
        <stp>BDP|3489716091650215794</stp>
        <tr r="T1979" s="2"/>
      </tp>
      <tp t="s">
        <v>#N/A Requesting Data...2925469754</v>
        <stp/>
        <stp>BDP|5081494566128035502</stp>
        <tr r="G2381" s="2"/>
      </tp>
      <tp t="s">
        <v>#N/A Requesting Data...2382826760</v>
        <stp/>
        <stp>BDP|2405869367534258285</stp>
        <tr r="C1452" s="2"/>
      </tp>
      <tp t="s">
        <v>#N/A Requesting Data...562269644</v>
        <stp/>
        <stp>BDP|6274999850029751937</stp>
        <tr r="H1629" s="2"/>
      </tp>
      <tp t="s">
        <v>#N/A Requesting Data...2421193506</v>
        <stp/>
        <stp>BDP|1799634609405464863</stp>
        <tr r="S2142" s="2"/>
      </tp>
      <tp t="s">
        <v>#N/A Requesting Data...2620940836</v>
        <stp/>
        <stp>BDP|5258382151330198952</stp>
        <tr r="Q1110" s="2"/>
      </tp>
      <tp t="s">
        <v>#N/A Requesting Data...3753272544</v>
        <stp/>
        <stp>BDP|9941469624642608724</stp>
        <tr r="O1475" s="2"/>
      </tp>
      <tp t="s">
        <v>#N/A Requesting Data...1882835108</v>
        <stp/>
        <stp>BDP|5035643418400585862</stp>
        <tr r="H543" s="2"/>
      </tp>
      <tp t="s">
        <v>#N/A Requesting Data...3089390688</v>
        <stp/>
        <stp>BDP|6281305299262573416</stp>
        <tr r="E2246" s="2"/>
      </tp>
      <tp t="s">
        <v>#N/A Requesting Data...3440382036</v>
        <stp/>
        <stp>BDP|6484952119974391044</stp>
        <tr r="P2071" s="2"/>
      </tp>
      <tp t="s">
        <v>#N/A Requesting Data...2009561114</v>
        <stp/>
        <stp>BDP|9813950397533375062</stp>
        <tr r="S49" s="2"/>
      </tp>
      <tp t="s">
        <v>#N/A Requesting Data...2775992170</v>
        <stp/>
        <stp>BDP|1994975351046480145</stp>
        <tr r="D1854" s="2"/>
      </tp>
      <tp t="s">
        <v>#N/A Requesting Data...1652280695</v>
        <stp/>
        <stp>BDP|5087446805273955878</stp>
        <tr r="E666" s="2"/>
      </tp>
      <tp t="s">
        <v>#N/A Requesting Data...3617565770</v>
        <stp/>
        <stp>BDP|3234793782141218741</stp>
        <tr r="A95" s="2"/>
      </tp>
      <tp t="s">
        <v>#N/A Requesting Data...2415758755</v>
        <stp/>
        <stp>BDP|7765203157438928262</stp>
        <tr r="Q2172" s="2"/>
      </tp>
      <tp t="b">
        <v>0</v>
        <stp/>
        <stp>BDS|7804110197772017715</stp>
        <tr r="I2460" s="2"/>
      </tp>
      <tp t="s">
        <v>#N/A Requesting Data...1988959443</v>
        <stp/>
        <stp>BDP|9954657086714246971</stp>
        <tr r="K1055" s="2"/>
      </tp>
      <tp t="s">
        <v>#N/A Requesting Data...2207179322</v>
        <stp/>
        <stp>BDP|1146162684191514396</stp>
        <tr r="O616" s="2"/>
      </tp>
      <tp t="s">
        <v>#N/A Requesting Data...1519096547</v>
        <stp/>
        <stp>BDP|2032898215872696359</stp>
        <tr r="E2089" s="2"/>
      </tp>
      <tp t="s">
        <v>#N/A Requesting Data...2070865023</v>
        <stp/>
        <stp>BDP|4703486500202207827</stp>
        <tr r="M1585" s="2"/>
      </tp>
      <tp t="s">
        <v>#N/A Requesting Data...1421349913</v>
        <stp/>
        <stp>BDP|8433522306120723781</stp>
        <tr r="H735" s="2"/>
      </tp>
      <tp t="s">
        <v>#N/A Requesting Data...1876365029</v>
        <stp/>
        <stp>BDP|4874997465606223797</stp>
        <tr r="J153" s="2"/>
      </tp>
      <tp t="s">
        <v>#N/A Requesting Data...1649396118</v>
        <stp/>
        <stp>BDP|3730709508107289920</stp>
        <tr r="A1238" s="2"/>
      </tp>
      <tp t="s">
        <v>#N/A Requesting Data...3286790795</v>
        <stp/>
        <stp>BDP|3251112858944593914</stp>
        <tr r="E650" s="2"/>
      </tp>
      <tp t="s">
        <v>#N/A Requesting Data...2878672682</v>
        <stp/>
        <stp>BDP|2321083547155158926</stp>
        <tr r="H332" s="2"/>
      </tp>
      <tp t="s">
        <v>#N/A Requesting Data...3687085287</v>
        <stp/>
        <stp>BDP|7264471198584634442</stp>
        <tr r="Q2139" s="2"/>
      </tp>
      <tp t="s">
        <v>#N/A Requesting Data...1293010181</v>
        <stp/>
        <stp>BDP|3206793557652200917</stp>
        <tr r="T2520" s="2"/>
      </tp>
      <tp t="b">
        <v>0</v>
        <stp/>
        <stp>BDS|6397477530873359882</stp>
        <tr r="I1776" s="2"/>
      </tp>
      <tp t="s">
        <v>#N/A Requesting Data...2200909726</v>
        <stp/>
        <stp>BDP|1802358427148689233</stp>
        <tr r="N1260" s="2"/>
      </tp>
      <tp t="s">
        <v>#N/A Requesting Data...4009923475</v>
        <stp/>
        <stp>BDP|4420144615306300890</stp>
        <tr r="Q563" s="2"/>
      </tp>
      <tp t="s">
        <v>#N/A Requesting Data...1489326507</v>
        <stp/>
        <stp>BDP|2751885765633572504</stp>
        <tr r="K2074" s="2"/>
      </tp>
      <tp t="s">
        <v>#N/A Requesting Data...1484532746</v>
        <stp/>
        <stp>BDP|1182525683851798789</stp>
        <tr r="K2096" s="2"/>
      </tp>
      <tp t="s">
        <v>#N/A Requesting Data...1853661024</v>
        <stp/>
        <stp>BDP|9275620051055879565</stp>
        <tr r="O2181" s="2"/>
      </tp>
      <tp t="s">
        <v>#N/A Requesting Data...1934419667</v>
        <stp/>
        <stp>BDP|9639560609705386359</stp>
        <tr r="O667" s="2"/>
      </tp>
      <tp t="b">
        <v>0</v>
        <stp/>
        <stp>BDS|2020698027368592447</stp>
        <tr r="I1500" s="2"/>
      </tp>
      <tp t="s">
        <v>#N/A Requesting Data...2562029287</v>
        <stp/>
        <stp>BDP|4920905251372512021</stp>
        <tr r="J457" s="2"/>
      </tp>
      <tp t="s">
        <v>#N/A Requesting Data...420662613</v>
        <stp/>
        <stp>BDP|4951528295935863796</stp>
        <tr r="G1034" s="2"/>
      </tp>
      <tp t="s">
        <v>#N/A Requesting Data...1948316845</v>
        <stp/>
        <stp>BDP|9312368290031350898</stp>
        <tr r="A1863" s="2"/>
      </tp>
      <tp t="s">
        <v>#N/A Requesting Data...4111087698</v>
        <stp/>
        <stp>BDP|2641283255786607924</stp>
        <tr r="A933" s="2"/>
      </tp>
      <tp t="s">
        <v>#N/A Requesting Data...3248987559</v>
        <stp/>
        <stp>BDP|5328536091767702497</stp>
        <tr r="E1497" s="2"/>
      </tp>
      <tp t="s">
        <v>#N/A Requesting Data...872379965</v>
        <stp/>
        <stp>BDP|4897191066458025189</stp>
        <tr r="A1004" s="2"/>
      </tp>
      <tp t="b">
        <v>0</v>
        <stp/>
        <stp>BDS|3930631662379662013</stp>
        <tr r="I2019" s="2"/>
      </tp>
      <tp t="s">
        <v>#N/A Requesting Data...811895259</v>
        <stp/>
        <stp>BDP|7849256747072537906</stp>
        <tr r="Q949" s="2"/>
      </tp>
      <tp t="s">
        <v>#N/A Requesting Data...3126889176</v>
        <stp/>
        <stp>BDP|3979730438909992440</stp>
        <tr r="F1028" s="2"/>
      </tp>
      <tp t="s">
        <v>#N/A Requesting Data...2811256689</v>
        <stp/>
        <stp>BDP|8895195929202588320</stp>
        <tr r="G2243" s="2"/>
      </tp>
      <tp t="s">
        <v>#N/A Requesting Data...887734664</v>
        <stp/>
        <stp>BDP|6320762395705953764</stp>
        <tr r="F1671" s="2"/>
      </tp>
      <tp t="s">
        <v>#N/A Requesting Data...1945549208</v>
        <stp/>
        <stp>BDP|7037897479714622697</stp>
        <tr r="M1636" s="2"/>
      </tp>
      <tp t="s">
        <v>#N/A Requesting Data...3596136018</v>
        <stp/>
        <stp>BDP|4870351051758167021</stp>
        <tr r="R2281" s="2"/>
      </tp>
      <tp t="s">
        <v>#N/A Requesting Data...1114149614</v>
        <stp/>
        <stp>BDP|4691926418723269518</stp>
        <tr r="S28" s="2"/>
      </tp>
      <tp t="s">
        <v>#N/A Requesting Data...3950235108</v>
        <stp/>
        <stp>BDP|2452195575297231957</stp>
        <tr r="P1594" s="2"/>
      </tp>
      <tp t="s">
        <v>#N/A Requesting Data...3353679538</v>
        <stp/>
        <stp>BDP|3532621902629931631</stp>
        <tr r="O2455" s="2"/>
      </tp>
      <tp t="s">
        <v>#N/A Requesting Data...3945510395</v>
        <stp/>
        <stp>BDP|3102036145188841505</stp>
        <tr r="K1797" s="2"/>
      </tp>
      <tp t="s">
        <v>#N/A Requesting Data...3835378227</v>
        <stp/>
        <stp>BDP|3486872045040959509</stp>
        <tr r="E292" s="2"/>
      </tp>
      <tp t="s">
        <v>#N/A Requesting Data...2961348890</v>
        <stp/>
        <stp>BDP|4608155499934158270</stp>
        <tr r="R1551" s="2"/>
      </tp>
      <tp t="s">
        <v>#N/A Requesting Data...622654990</v>
        <stp/>
        <stp>BDP|5630707855699932468</stp>
        <tr r="H1646" s="2"/>
      </tp>
      <tp t="s">
        <v>#N/A Requesting Data...1673622592</v>
        <stp/>
        <stp>BDP|3458150298369075858</stp>
        <tr r="C1336" s="2"/>
      </tp>
      <tp t="s">
        <v>#N/A Requesting Data...3962518276</v>
        <stp/>
        <stp>BDP|3655919542283112786</stp>
        <tr r="F135" s="2"/>
      </tp>
      <tp t="s">
        <v>#N/A Requesting Data...4098660174</v>
        <stp/>
        <stp>BDP|1494280147024581929</stp>
        <tr r="M10" s="2"/>
      </tp>
      <tp t="s">
        <v>#N/A Requesting Data...3766864115</v>
        <stp/>
        <stp>BDP|5353265987531847469</stp>
        <tr r="J1678" s="2"/>
      </tp>
      <tp t="s">
        <v>#N/A Requesting Data...1241259724</v>
        <stp/>
        <stp>BDP|1989204222463787808</stp>
        <tr r="Q1052" s="2"/>
      </tp>
      <tp t="s">
        <v>#N/A Requesting Data...3861984632</v>
        <stp/>
        <stp>BDP|8976571760689283800</stp>
        <tr r="G218" s="2"/>
      </tp>
      <tp t="s">
        <v>#N/A Requesting Data...3104029347</v>
        <stp/>
        <stp>BDP|8639187368853964632</stp>
        <tr r="A2462" s="2"/>
      </tp>
      <tp t="s">
        <v>#N/A Requesting Data...2746753047</v>
        <stp/>
        <stp>BDP|4365954637241481593</stp>
        <tr r="M1355" s="2"/>
      </tp>
      <tp t="s">
        <v>#N/A Requesting Data...3075484849</v>
        <stp/>
        <stp>BDP|9123217392960876860</stp>
        <tr r="H65" s="2"/>
      </tp>
      <tp t="s">
        <v>#N/A Requesting Data...1121363414</v>
        <stp/>
        <stp>BDP|8881691528347002151</stp>
        <tr r="Q2335" s="2"/>
      </tp>
      <tp t="s">
        <v>#N/A Requesting Data...2855974314</v>
        <stp/>
        <stp>BDP|7301895355786587661</stp>
        <tr r="H1475" s="2"/>
      </tp>
      <tp t="s">
        <v>#N/A Requesting Data...780844692</v>
        <stp/>
        <stp>BDP|9158783342665185563</stp>
        <tr r="O1367" s="2"/>
      </tp>
      <tp t="s">
        <v>#N/A Requesting Data...1908381008</v>
        <stp/>
        <stp>BDP|6631094477643488802</stp>
        <tr r="J1262" s="2"/>
      </tp>
      <tp t="s">
        <v>#N/A Requesting Data...3958449050</v>
        <stp/>
        <stp>BDP|9849743462824225606</stp>
        <tr r="R1495" s="2"/>
      </tp>
      <tp t="s">
        <v>#N/A Requesting Data...509864869</v>
        <stp/>
        <stp>BDP|4839104460319788036</stp>
        <tr r="M267" s="2"/>
      </tp>
      <tp t="s">
        <v>#N/A Requesting Data...1405581808</v>
        <stp/>
        <stp>BDP|8013126511952667092</stp>
        <tr r="A527" s="2"/>
      </tp>
      <tp t="s">
        <v>#N/A Requesting Data...2199986550</v>
        <stp/>
        <stp>BDP|7444972200156756288</stp>
        <tr r="S1807" s="2"/>
      </tp>
      <tp t="s">
        <v>#N/A Requesting Data...3231766249</v>
        <stp/>
        <stp>BDP|3860170865189280745</stp>
        <tr r="K363" s="2"/>
      </tp>
      <tp t="s">
        <v>#N/A Requesting Data...1061312559</v>
        <stp/>
        <stp>BDP|5533775369759588723</stp>
        <tr r="D1769" s="2"/>
      </tp>
      <tp t="s">
        <v>#N/A Requesting Data...1047302580</v>
        <stp/>
        <stp>BDP|5503084983246255109</stp>
        <tr r="Q1417" s="2"/>
      </tp>
      <tp t="s">
        <v>#N/A Requesting Data...3343849032</v>
        <stp/>
        <stp>BDP|6190868280379992526</stp>
        <tr r="J259" s="2"/>
      </tp>
      <tp t="s">
        <v>#N/A Requesting Data...4000207712</v>
        <stp/>
        <stp>BDP|6009185455588655078</stp>
        <tr r="K1922" s="2"/>
      </tp>
      <tp t="s">
        <v>#N/A Requesting Data...1279954177</v>
        <stp/>
        <stp>BDP|7461651454909057796</stp>
        <tr r="Q389" s="2"/>
      </tp>
      <tp t="s">
        <v>#N/A Requesting Data...4120794669</v>
        <stp/>
        <stp>BDP|6195004064633079991</stp>
        <tr r="D1370" s="2"/>
      </tp>
      <tp t="s">
        <v>#N/A Requesting Data...2690779601</v>
        <stp/>
        <stp>BDP|6868849441772734266</stp>
        <tr r="F2020" s="2"/>
      </tp>
      <tp t="s">
        <v>#N/A Requesting Data...1664481559</v>
        <stp/>
        <stp>BDP|9415062338884121474</stp>
        <tr r="E1010" s="2"/>
      </tp>
      <tp t="s">
        <v>#N/A Requesting Data...554819546</v>
        <stp/>
        <stp>BDP|8152401699128783731</stp>
        <tr r="G2510" s="2"/>
      </tp>
      <tp t="s">
        <v>#N/A Requesting Data...2009175056</v>
        <stp/>
        <stp>BDP|2500742778178766029</stp>
        <tr r="P913" s="2"/>
      </tp>
      <tp t="s">
        <v>#N/A Requesting Data...2708066621</v>
        <stp/>
        <stp>BDP|4272889351503736004</stp>
        <tr r="Q1150" s="2"/>
      </tp>
      <tp t="s">
        <v>#N/A Requesting Data...2442259556</v>
        <stp/>
        <stp>BDP|8180486394317133802</stp>
        <tr r="G1475" s="2"/>
      </tp>
      <tp t="s">
        <v>#N/A Requesting Data...2061847970</v>
        <stp/>
        <stp>BDP|9190664742241112082</stp>
        <tr r="T1366" s="2"/>
      </tp>
      <tp t="s">
        <v>#N/A Requesting Data...4176706417</v>
        <stp/>
        <stp>BDP|5107882051952020045</stp>
        <tr r="H34" s="2"/>
      </tp>
      <tp t="s">
        <v>#N/A Requesting Data...4070990700</v>
        <stp/>
        <stp>BDP|8196095953894199361</stp>
        <tr r="N1915" s="2"/>
      </tp>
      <tp t="s">
        <v>#N/A Requesting Data...1024033412</v>
        <stp/>
        <stp>BDP|4277383755911009931</stp>
        <tr r="J2520" s="2"/>
      </tp>
      <tp t="s">
        <v>#N/A Requesting Data...2471975680</v>
        <stp/>
        <stp>BDP|2075604501807414995</stp>
        <tr r="Q485" s="2"/>
      </tp>
      <tp t="s">
        <v>#N/A Requesting Data...3735935197</v>
        <stp/>
        <stp>BDP|2548388329889926019</stp>
        <tr r="F1649" s="2"/>
      </tp>
      <tp t="s">
        <v>#N/A Requesting Data...2622637592</v>
        <stp/>
        <stp>BDP|8727488250536311501</stp>
        <tr r="Q2289" s="2"/>
      </tp>
      <tp t="s">
        <v>#N/A Requesting Data...763455803</v>
        <stp/>
        <stp>BDP|5679198039219912433</stp>
        <tr r="G2196" s="2"/>
      </tp>
      <tp t="s">
        <v>#N/A Requesting Data...2431666936</v>
        <stp/>
        <stp>BDP|3894364199017272494</stp>
        <tr r="J2305" s="2"/>
      </tp>
      <tp t="s">
        <v>#N/A Requesting Data...3738154498</v>
        <stp/>
        <stp>BDP|8471092354563592407</stp>
        <tr r="J50" s="2"/>
      </tp>
      <tp t="s">
        <v>#N/A Requesting Data...4267040435</v>
        <stp/>
        <stp>BDP|9708027173965328192</stp>
        <tr r="H953" s="2"/>
      </tp>
      <tp t="s">
        <v>#N/A Requesting Data...1415704168</v>
        <stp/>
        <stp>BDP|2601765322608682585</stp>
        <tr r="M1437" s="2"/>
      </tp>
      <tp t="s">
        <v>#N/A Requesting Data...2025909494</v>
        <stp/>
        <stp>BDP|8656558945757816425</stp>
        <tr r="O1042" s="2"/>
      </tp>
      <tp t="s">
        <v>#N/A Requesting Data...2461153462</v>
        <stp/>
        <stp>BDP|3467146798581335078</stp>
        <tr r="D343" s="2"/>
      </tp>
      <tp t="s">
        <v>#N/A Requesting Data...1965489234</v>
        <stp/>
        <stp>BDP|2856621581377650113</stp>
        <tr r="A2485" s="2"/>
      </tp>
      <tp t="s">
        <v>#N/A Requesting Data...3120869485</v>
        <stp/>
        <stp>BDP|9822019929425879449</stp>
        <tr r="P1801" s="2"/>
      </tp>
      <tp t="s">
        <v>#N/A Requesting Data...1048557977</v>
        <stp/>
        <stp>BDP|5525136518576129932</stp>
        <tr r="E1899" s="2"/>
      </tp>
      <tp t="s">
        <v>#N/A Requesting Data...4216144274</v>
        <stp/>
        <stp>BDP|9919341301503742370</stp>
        <tr r="E640" s="2"/>
      </tp>
      <tp t="s">
        <v>#N/A Requesting Data...704228382</v>
        <stp/>
        <stp>BDP|5274660398026321635</stp>
        <tr r="R202" s="2"/>
      </tp>
      <tp t="s">
        <v>#N/A Requesting Data...2443303687</v>
        <stp/>
        <stp>BDP|6182126567658897301</stp>
        <tr r="H482" s="2"/>
      </tp>
      <tp t="s">
        <v>#N/A Requesting Data...1523078632</v>
        <stp/>
        <stp>BDP|6630137369472351935</stp>
        <tr r="S1981" s="2"/>
      </tp>
      <tp t="s">
        <v>#N/A Requesting Data...2484986281</v>
        <stp/>
        <stp>BDP|4207049117328492793</stp>
        <tr r="D929" s="2"/>
      </tp>
      <tp t="s">
        <v>#N/A Requesting Data...725271390</v>
        <stp/>
        <stp>BDP|6129971943422805317</stp>
        <tr r="E1723" s="2"/>
      </tp>
      <tp t="s">
        <v>#N/A Requesting Data...3837081049</v>
        <stp/>
        <stp>BDP|2904106910998594006</stp>
        <tr r="C307" s="2"/>
      </tp>
      <tp t="s">
        <v>#N/A Requesting Data...1739960863</v>
        <stp/>
        <stp>BDP|7901148498803925601</stp>
        <tr r="A1736" s="2"/>
      </tp>
      <tp t="s">
        <v>#N/A Requesting Data...1081515333</v>
        <stp/>
        <stp>BDP|8965365001634116537</stp>
        <tr r="G1547" s="2"/>
      </tp>
      <tp t="s">
        <v>#N/A Requesting Data...850722256</v>
        <stp/>
        <stp>BDP|1201114082804970648</stp>
        <tr r="T1223" s="2"/>
      </tp>
      <tp t="s">
        <v>#N/A Requesting Data...4126427670</v>
        <stp/>
        <stp>BDP|8813552301096944194</stp>
        <tr r="R2477" s="2"/>
      </tp>
      <tp t="s">
        <v>#N/A Requesting Data...662843239</v>
        <stp/>
        <stp>BDP|1019692406115666857</stp>
        <tr r="P950" s="2"/>
      </tp>
      <tp t="s">
        <v>#N/A Requesting Data...4185057192</v>
        <stp/>
        <stp>BDP|6587486275816450901</stp>
        <tr r="S33" s="2"/>
      </tp>
      <tp t="s">
        <v>#N/A Requesting Data...1543095387</v>
        <stp/>
        <stp>BDP|8646520228495509052</stp>
        <tr r="D1336" s="2"/>
      </tp>
      <tp t="b">
        <v>0</v>
        <stp/>
        <stp>BDS|9645763026776306091</stp>
        <tr r="I1214" s="2"/>
      </tp>
      <tp t="s">
        <v>#N/A Requesting Data...3702803071</v>
        <stp/>
        <stp>BDP|8420686520156505057</stp>
        <tr r="R441" s="2"/>
      </tp>
      <tp t="s">
        <v>#N/A Requesting Data...2638525884</v>
        <stp/>
        <stp>BDP|5243523569439415510</stp>
        <tr r="R1286" s="2"/>
      </tp>
      <tp t="s">
        <v>#N/A Requesting Data...3725321833</v>
        <stp/>
        <stp>BDP|1934260753899505559</stp>
        <tr r="C989" s="2"/>
      </tp>
      <tp t="b">
        <v>0</v>
        <stp/>
        <stp>BDS|6140803397788243585</stp>
        <tr r="I133" s="2"/>
      </tp>
      <tp t="s">
        <v>#N/A Requesting Data...2399315393</v>
        <stp/>
        <stp>BDP|6993960227795398272</stp>
        <tr r="T1491" s="2"/>
      </tp>
      <tp t="s">
        <v>#N/A Requesting Data...1908602226</v>
        <stp/>
        <stp>BDP|8839355114892281273</stp>
        <tr r="T1253" s="2"/>
      </tp>
      <tp t="s">
        <v>#N/A Requesting Data...3092747896</v>
        <stp/>
        <stp>BDP|3105050992566378697</stp>
        <tr r="H44" s="2"/>
      </tp>
      <tp t="s">
        <v>#N/A Requesting Data...4025959526</v>
        <stp/>
        <stp>BDP|1943912267641026537</stp>
        <tr r="C2104" s="2"/>
      </tp>
      <tp t="s">
        <v>#N/A Requesting Data...1918314727</v>
        <stp/>
        <stp>BDP|5246182709136871875</stp>
        <tr r="M1789" s="2"/>
      </tp>
      <tp t="s">
        <v>#N/A Requesting Data...3577870661</v>
        <stp/>
        <stp>BDP|8826320544283268603</stp>
        <tr r="E1813" s="2"/>
      </tp>
      <tp t="s">
        <v>#N/A Requesting Data...3460640509</v>
        <stp/>
        <stp>BDP|3410980510803481245</stp>
        <tr r="T527" s="2"/>
      </tp>
      <tp t="s">
        <v>#N/A Requesting Data...3879432944</v>
        <stp/>
        <stp>BDP|8063953226051802871</stp>
        <tr r="C777" s="2"/>
      </tp>
      <tp t="s">
        <v>#N/A Requesting Data...3930811589</v>
        <stp/>
        <stp>BDP|2663018331602340998</stp>
        <tr r="R1000" s="2"/>
      </tp>
      <tp t="s">
        <v>#N/A Requesting Data...3072585491</v>
        <stp/>
        <stp>BDP|3355551491025340084</stp>
        <tr r="H2236" s="2"/>
      </tp>
      <tp t="s">
        <v>#N/A Requesting Data...2785685787</v>
        <stp/>
        <stp>BDP|3635195753478329534</stp>
        <tr r="F1816" s="2"/>
      </tp>
      <tp t="s">
        <v>#N/A Requesting Data...807600585</v>
        <stp/>
        <stp>BDP|8713637721687943100</stp>
        <tr r="H1398" s="2"/>
      </tp>
      <tp t="s">
        <v>#N/A Requesting Data...1999233013</v>
        <stp/>
        <stp>BDP|3823562961549446375</stp>
        <tr r="F822" s="2"/>
      </tp>
      <tp t="s">
        <v>#N/A Requesting Data...1398508283</v>
        <stp/>
        <stp>BDP|3020113965187068982</stp>
        <tr r="M190" s="2"/>
      </tp>
      <tp t="s">
        <v>#N/A Requesting Data...1362057701</v>
        <stp/>
        <stp>BDP|3322974974631951651</stp>
        <tr r="E1740" s="2"/>
      </tp>
      <tp t="s">
        <v>#N/A Requesting Data...697927017</v>
        <stp/>
        <stp>BDP|6449971087098174595</stp>
        <tr r="F610" s="2"/>
      </tp>
      <tp t="s">
        <v>#N/A Requesting Data...2820956832</v>
        <stp/>
        <stp>BDP|4110827460144976467</stp>
        <tr r="Q1521" s="2"/>
      </tp>
      <tp t="s">
        <v>#N/A Requesting Data...2479220505</v>
        <stp/>
        <stp>BDP|6396437998236731738</stp>
        <tr r="P493" s="2"/>
      </tp>
      <tp t="s">
        <v>#N/A Requesting Data...3216363590</v>
        <stp/>
        <stp>BDP|6639854294064936923</stp>
        <tr r="O670" s="2"/>
      </tp>
      <tp t="s">
        <v>#N/A Requesting Data...3623326008</v>
        <stp/>
        <stp>BDP|7907612944208555752</stp>
        <tr r="D2196" s="2"/>
      </tp>
      <tp t="s">
        <v>#N/A Requesting Data...2925667945</v>
        <stp/>
        <stp>BDP|1802071711673130932</stp>
        <tr r="J1061" s="2"/>
      </tp>
      <tp t="s">
        <v>#N/A Requesting Data...2507553124</v>
        <stp/>
        <stp>BDP|4910714392625262543</stp>
        <tr r="N705" s="2"/>
      </tp>
      <tp t="s">
        <v>#N/A Requesting Data...1809932149</v>
        <stp/>
        <stp>BDP|7311730982684833662</stp>
        <tr r="M2128" s="2"/>
      </tp>
      <tp t="s">
        <v>#N/A Requesting Data...3580539567</v>
        <stp/>
        <stp>BDP|4717514814353634983</stp>
        <tr r="K963" s="2"/>
      </tp>
      <tp t="s">
        <v>#N/A Requesting Data...2961947066</v>
        <stp/>
        <stp>BDP|9846624943061076051</stp>
        <tr r="R1818" s="2"/>
      </tp>
      <tp t="s">
        <v>#N/A Requesting Data...2477507627</v>
        <stp/>
        <stp>BDP|4187839429895176177</stp>
        <tr r="D575" s="2"/>
      </tp>
      <tp t="s">
        <v>#N/A Requesting Data...912826662</v>
        <stp/>
        <stp>BDP|6498117212238256480</stp>
        <tr r="G1648" s="2"/>
      </tp>
      <tp t="s">
        <v>#N/A Requesting Data...2332617794</v>
        <stp/>
        <stp>BDP|5568686463919426672</stp>
        <tr r="S1168" s="2"/>
      </tp>
      <tp t="s">
        <v>#N/A Requesting Data...1001325946</v>
        <stp/>
        <stp>BDP|4401223459040783953</stp>
        <tr r="D1084" s="2"/>
      </tp>
      <tp t="s">
        <v>#N/A Requesting Data...2888954646</v>
        <stp/>
        <stp>BDP|9868567034303122668</stp>
        <tr r="E1618" s="2"/>
      </tp>
      <tp t="s">
        <v>#N/A Requesting Data...1976461572</v>
        <stp/>
        <stp>BDP|2582421493606032397</stp>
        <tr r="E572" s="2"/>
      </tp>
      <tp t="s">
        <v>#N/A Requesting Data...3267026559</v>
        <stp/>
        <stp>BDP|2976189287803882235</stp>
        <tr r="O2267" s="2"/>
      </tp>
      <tp t="s">
        <v>#N/A Requesting Data...1033951695</v>
        <stp/>
        <stp>BDP|1201009877034158897</stp>
        <tr r="J572" s="2"/>
      </tp>
      <tp t="s">
        <v>#N/A Requesting Data...3677908213</v>
        <stp/>
        <stp>BDP|7934921419694973168</stp>
        <tr r="R1656" s="2"/>
      </tp>
      <tp t="s">
        <v>#N/A Requesting Data...3705231354</v>
        <stp/>
        <stp>BDP|3421595649019982105</stp>
        <tr r="S2220" s="2"/>
      </tp>
      <tp t="s">
        <v>#N/A Requesting Data...1487337155</v>
        <stp/>
        <stp>BDP|6075997326550677748</stp>
        <tr r="P2133" s="2"/>
      </tp>
      <tp t="s">
        <v>#N/A Requesting Data...3278912007</v>
        <stp/>
        <stp>BDP|2812258815673571802</stp>
        <tr r="S1680" s="2"/>
      </tp>
      <tp t="s">
        <v>#N/A Requesting Data...2789067424</v>
        <stp/>
        <stp>BDP|7798350339838084563</stp>
        <tr r="P280" s="2"/>
      </tp>
      <tp t="s">
        <v>#N/A Requesting Data...3242204389</v>
        <stp/>
        <stp>BDP|8804409647243341112</stp>
        <tr r="E430" s="2"/>
      </tp>
      <tp t="s">
        <v>#N/A Requesting Data...2395011404</v>
        <stp/>
        <stp>BDP|7301684547986884998</stp>
        <tr r="K1115" s="2"/>
      </tp>
      <tp t="s">
        <v>#N/A Requesting Data...2271271965</v>
        <stp/>
        <stp>BDP|8649374632427906579</stp>
        <tr r="Q928" s="2"/>
      </tp>
      <tp t="s">
        <v>#N/A Requesting Data...2216437172</v>
        <stp/>
        <stp>BDP|1066827201924800764</stp>
        <tr r="T498" s="2"/>
      </tp>
      <tp t="s">
        <v>#N/A Requesting Data...1015370284</v>
        <stp/>
        <stp>BDP|5328867666806718790</stp>
        <tr r="S739" s="2"/>
      </tp>
      <tp t="s">
        <v>#N/A Requesting Data...2910463707</v>
        <stp/>
        <stp>BDP|9913889045617062894</stp>
        <tr r="A1137" s="2"/>
      </tp>
      <tp t="b">
        <v>0</v>
        <stp/>
        <stp>BDS|7874122163012125858</stp>
        <tr r="I894" s="2"/>
      </tp>
      <tp t="s">
        <v>#N/A Requesting Data...2789981512</v>
        <stp/>
        <stp>BDP|8059786523924130375</stp>
        <tr r="C947" s="2"/>
      </tp>
      <tp t="s">
        <v>#N/A Requesting Data...3845666586</v>
        <stp/>
        <stp>BDP|4584831911327260080</stp>
        <tr r="H1763" s="2"/>
      </tp>
      <tp t="s">
        <v>#N/A Requesting Data...2034677972</v>
        <stp/>
        <stp>BDP|7659123546949701183</stp>
        <tr r="N443" s="2"/>
      </tp>
      <tp t="s">
        <v>#N/A Requesting Data...2606983827</v>
        <stp/>
        <stp>BDP|9848574556852652121</stp>
        <tr r="G1542" s="2"/>
      </tp>
      <tp t="s">
        <v>#N/A Requesting Data...4124908323</v>
        <stp/>
        <stp>BDP|8797193930491533162</stp>
        <tr r="P325" s="2"/>
      </tp>
      <tp t="s">
        <v>#N/A Requesting Data...2887356709</v>
        <stp/>
        <stp>BDP|8396608058312697304</stp>
        <tr r="R2439" s="2"/>
      </tp>
      <tp t="b">
        <v>0</v>
        <stp/>
        <stp>BDS|7986781670194829946</stp>
        <tr r="I2437" s="2"/>
      </tp>
      <tp t="s">
        <v>#N/A Requesting Data...2449182313</v>
        <stp/>
        <stp>BDP|4804315884913803683</stp>
        <tr r="N745" s="2"/>
      </tp>
      <tp t="b">
        <v>0</v>
        <stp/>
        <stp>BDS|5672769971907890842</stp>
        <tr r="I708" s="2"/>
      </tp>
      <tp t="s">
        <v>#N/A Requesting Data...3318434975</v>
        <stp/>
        <stp>BDP|6523819659183639267</stp>
        <tr r="F2195" s="2"/>
      </tp>
      <tp t="s">
        <v>#N/A Requesting Data...1891254002</v>
        <stp/>
        <stp>BDP|1198033655909948739</stp>
        <tr r="G2298" s="2"/>
      </tp>
      <tp t="s">
        <v>#N/A Requesting Data...2211875619</v>
        <stp/>
        <stp>BDP|1153654649980033905</stp>
        <tr r="S1423" s="2"/>
      </tp>
      <tp t="s">
        <v>#N/A Requesting Data...1206839151</v>
        <stp/>
        <stp>BDP|3979657602766307909</stp>
        <tr r="G1368" s="2"/>
      </tp>
      <tp t="s">
        <v>#N/A Requesting Data...2914280086</v>
        <stp/>
        <stp>BDP|3493299601942219936</stp>
        <tr r="D2280" s="2"/>
      </tp>
      <tp t="s">
        <v>#N/A Requesting Data...4160006636</v>
        <stp/>
        <stp>BDP|9615081480222548968</stp>
        <tr r="E1643" s="2"/>
      </tp>
      <tp t="s">
        <v>#N/A Requesting Data...1412600300</v>
        <stp/>
        <stp>BDP|5187577687811454383</stp>
        <tr r="A251" s="2"/>
      </tp>
      <tp t="s">
        <v>#N/A Requesting Data...2716394210</v>
        <stp/>
        <stp>BDP|6438943498034538802</stp>
        <tr r="J285" s="2"/>
      </tp>
      <tp t="s">
        <v>#N/A Requesting Data...1302724990</v>
        <stp/>
        <stp>BDP|8553591035413091748</stp>
        <tr r="D1809" s="2"/>
      </tp>
      <tp t="s">
        <v>#N/A Requesting Data...4075761255</v>
        <stp/>
        <stp>BDP|9344114943441841741</stp>
        <tr r="Q179" s="2"/>
      </tp>
      <tp t="s">
        <v>#N/A Requesting Data...3250555813</v>
        <stp/>
        <stp>BDP|5171483281217759422</stp>
        <tr r="D557" s="2"/>
      </tp>
      <tp t="s">
        <v>#N/A Requesting Data...3324593448</v>
        <stp/>
        <stp>BDP|8723691425481044762</stp>
        <tr r="P965" s="2"/>
      </tp>
      <tp t="s">
        <v>#N/A Requesting Data...1604317877</v>
        <stp/>
        <stp>BDP|7854511049688468494</stp>
        <tr r="P2186" s="2"/>
      </tp>
      <tp t="s">
        <v>#N/A Requesting Data...4284222898</v>
        <stp/>
        <stp>BDP|7303580902489575113</stp>
        <tr r="H1186" s="2"/>
      </tp>
      <tp t="s">
        <v>#N/A Requesting Data...866426901</v>
        <stp/>
        <stp>BDP|5540453218439550306</stp>
        <tr r="A665" s="2"/>
      </tp>
      <tp t="s">
        <v>#N/A Requesting Data...3287546089</v>
        <stp/>
        <stp>BDP|9244306411359889869</stp>
        <tr r="A2116" s="2"/>
      </tp>
      <tp t="s">
        <v>#N/A Requesting Data...2474855011</v>
        <stp/>
        <stp>BDP|9464145826927294793</stp>
        <tr r="D1805" s="2"/>
      </tp>
      <tp t="s">
        <v>#N/A Requesting Data...1754961733</v>
        <stp/>
        <stp>BDP|9261110070711604482</stp>
        <tr r="O1833" s="2"/>
      </tp>
      <tp t="s">
        <v>#N/A Requesting Data...3405089445</v>
        <stp/>
        <stp>BDP|4947332573203305977</stp>
        <tr r="M2435" s="2"/>
      </tp>
      <tp t="s">
        <v>#N/A Requesting Data...3711475999</v>
        <stp/>
        <stp>BDP|9884269623323327033</stp>
        <tr r="T1453" s="2"/>
      </tp>
      <tp t="s">
        <v>#N/A Requesting Data...1249695899</v>
        <stp/>
        <stp>BDP|9384527854201093287</stp>
        <tr r="J353" s="2"/>
      </tp>
      <tp t="s">
        <v>#N/A Requesting Data...2665680763</v>
        <stp/>
        <stp>BDP|5029036988150333754</stp>
        <tr r="K2114" s="2"/>
      </tp>
      <tp t="s">
        <v>#N/A Requesting Data...2169580476</v>
        <stp/>
        <stp>BDP|3852380084812074098</stp>
        <tr r="O87" s="2"/>
      </tp>
      <tp t="s">
        <v>#N/A Requesting Data...2935423581</v>
        <stp/>
        <stp>BDP|1449416219939588741</stp>
        <tr r="S1525" s="2"/>
      </tp>
      <tp t="s">
        <v>#N/A Requesting Data...2627121219</v>
        <stp/>
        <stp>BDP|3101705161581477995</stp>
        <tr r="T397" s="2"/>
      </tp>
      <tp t="s">
        <v>#N/A Requesting Data...3164925116</v>
        <stp/>
        <stp>BDP|1738520002357364994</stp>
        <tr r="R1581" s="2"/>
      </tp>
      <tp t="s">
        <v>#N/A Requesting Data...4237442069</v>
        <stp/>
        <stp>BDP|7574953518124264176</stp>
        <tr r="S589" s="2"/>
      </tp>
      <tp t="s">
        <v>#N/A Requesting Data...2788667792</v>
        <stp/>
        <stp>BDP|7882102584904809096</stp>
        <tr r="P1679" s="2"/>
      </tp>
      <tp t="s">
        <v>#N/A Requesting Data...2851923831</v>
        <stp/>
        <stp>BDP|1905014787222641146</stp>
        <tr r="S929" s="2"/>
      </tp>
      <tp t="s">
        <v>#N/A Requesting Data...984891491</v>
        <stp/>
        <stp>BDP|9772322316955799491</stp>
        <tr r="H375" s="2"/>
      </tp>
      <tp t="s">
        <v>#N/A Requesting Data...3811084884</v>
        <stp/>
        <stp>BDP|2858939883780376968</stp>
        <tr r="E1370" s="2"/>
      </tp>
      <tp t="s">
        <v>#N/A Requesting Data...2908749261</v>
        <stp/>
        <stp>BDP|2449578063048484390</stp>
        <tr r="P625" s="2"/>
      </tp>
      <tp t="s">
        <v>#N/A Requesting Data...4204607883</v>
        <stp/>
        <stp>BDP|4577006397646709183</stp>
        <tr r="R2480" s="2"/>
      </tp>
      <tp t="b">
        <v>0</v>
        <stp/>
        <stp>BDS|7879935724103625546</stp>
        <tr r="I467" s="2"/>
      </tp>
      <tp t="s">
        <v>#N/A Requesting Data...2362099930</v>
        <stp/>
        <stp>BDP|4422562298104454633</stp>
        <tr r="T2102" s="2"/>
      </tp>
      <tp t="b">
        <v>0</v>
        <stp/>
        <stp>BDS|6906938742371673038</stp>
        <tr r="I2037" s="2"/>
      </tp>
      <tp t="s">
        <v>#N/A Requesting Data...2893142796</v>
        <stp/>
        <stp>BDP|6478564969778666705</stp>
        <tr r="O589" s="2"/>
      </tp>
      <tp t="s">
        <v>#N/A Requesting Data...1115883694</v>
        <stp/>
        <stp>BDP|8450212058372369735</stp>
        <tr r="G1690" s="2"/>
      </tp>
      <tp t="b">
        <v>0</v>
        <stp/>
        <stp>BDS|7080028299081360552</stp>
        <tr r="I1517" s="2"/>
      </tp>
      <tp t="s">
        <v>#N/A Requesting Data...1503575953</v>
        <stp/>
        <stp>BDP|5067606691466503692</stp>
        <tr r="O620" s="2"/>
      </tp>
      <tp t="s">
        <v>#N/A Requesting Data...2905294577</v>
        <stp/>
        <stp>BDP|6854747283715751656</stp>
        <tr r="A2204" s="2"/>
      </tp>
      <tp t="s">
        <v>#N/A Requesting Data...2980425912</v>
        <stp/>
        <stp>BDP|8139933510132902867</stp>
        <tr r="C1723" s="2"/>
      </tp>
      <tp t="s">
        <v>#N/A Requesting Data...3155500638</v>
        <stp/>
        <stp>BDP|4359880409146647096</stp>
        <tr r="F417" s="2"/>
      </tp>
      <tp t="s">
        <v>#N/A Requesting Data...2633616563</v>
        <stp/>
        <stp>BDP|9653148938219794800</stp>
        <tr r="N2182" s="2"/>
      </tp>
      <tp t="s">
        <v>#N/A Requesting Data...3405513939</v>
        <stp/>
        <stp>BDP|7578118903304170842</stp>
        <tr r="G1008" s="2"/>
      </tp>
      <tp t="s">
        <v>#N/A Requesting Data...1310457993</v>
        <stp/>
        <stp>BDP|1226634684376785304</stp>
        <tr r="C2258" s="2"/>
      </tp>
      <tp t="s">
        <v>#N/A Requesting Data...1502805244</v>
        <stp/>
        <stp>BDP|9047495979993135332</stp>
        <tr r="A2431" s="2"/>
      </tp>
      <tp t="s">
        <v>#N/A Requesting Data...1390114703</v>
        <stp/>
        <stp>BDP|6431444184260140079</stp>
        <tr r="F1852" s="2"/>
      </tp>
      <tp t="s">
        <v>#N/A Requesting Data...1323503064</v>
        <stp/>
        <stp>BDP|8558359700680191138</stp>
        <tr r="J818" s="2"/>
      </tp>
      <tp t="s">
        <v>#N/A Requesting Data...1896121327</v>
        <stp/>
        <stp>BDP|1780831443951191642</stp>
        <tr r="T856" s="2"/>
      </tp>
      <tp t="s">
        <v>#N/A Requesting Data...1293862375</v>
        <stp/>
        <stp>BDP|9566512138840663581</stp>
        <tr r="R461" s="2"/>
      </tp>
      <tp t="s">
        <v>#N/A Requesting Data...1038284335</v>
        <stp/>
        <stp>BDP|5329910957850774306</stp>
        <tr r="C1504" s="2"/>
      </tp>
      <tp t="s">
        <v>#N/A Requesting Data...3788955673</v>
        <stp/>
        <stp>BDP|8950695927094123249</stp>
        <tr r="Q1229" s="2"/>
      </tp>
      <tp t="s">
        <v>#N/A Requesting Data...3765342876</v>
        <stp/>
        <stp>BDP|7316142373938239342</stp>
        <tr r="G2520" s="2"/>
      </tp>
      <tp t="s">
        <v>#N/A Requesting Data...3099436392</v>
        <stp/>
        <stp>BDP|6590398849919020270</stp>
        <tr r="P2524" s="2"/>
      </tp>
      <tp t="s">
        <v>#N/A Requesting Data...2509969098</v>
        <stp/>
        <stp>BDP|5716405730320526808</stp>
        <tr r="G1694" s="2"/>
      </tp>
      <tp t="s">
        <v>#N/A Requesting Data...2308458075</v>
        <stp/>
        <stp>BDP|9624400447957733445</stp>
        <tr r="O220" s="2"/>
      </tp>
      <tp t="b">
        <v>0</v>
        <stp/>
        <stp>BDS|5039579766404253815</stp>
        <tr r="I1107" s="2"/>
      </tp>
      <tp t="s">
        <v>#N/A Requesting Data...986573065</v>
        <stp/>
        <stp>BDP|1488162080753244124</stp>
        <tr r="P1994" s="2"/>
      </tp>
      <tp t="s">
        <v>#N/A Requesting Data...1501732267</v>
        <stp/>
        <stp>BDP|6212718393575653745</stp>
        <tr r="E391" s="2"/>
      </tp>
      <tp t="s">
        <v>#N/A Requesting Data...4209802564</v>
        <stp/>
        <stp>BDP|4678368273199045316</stp>
        <tr r="J740" s="2"/>
      </tp>
      <tp t="s">
        <v>#N/A Requesting Data...3723759027</v>
        <stp/>
        <stp>BDP|7905070337857865932</stp>
        <tr r="A1029" s="2"/>
      </tp>
      <tp t="s">
        <v>#N/A Requesting Data...2161779231</v>
        <stp/>
        <stp>BDP|6451819123692414407</stp>
        <tr r="R2169" s="2"/>
      </tp>
      <tp t="b">
        <v>0</v>
        <stp/>
        <stp>BDS|5661155131334955999</stp>
        <tr r="I348" s="2"/>
      </tp>
      <tp t="s">
        <v>#N/A Requesting Data...3082446049</v>
        <stp/>
        <stp>BDP|2415957030314783642</stp>
        <tr r="R2064" s="2"/>
      </tp>
      <tp t="s">
        <v>#N/A Requesting Data...1592856247</v>
        <stp/>
        <stp>BDP|8956658415280908520</stp>
        <tr r="J1280" s="2"/>
      </tp>
      <tp t="s">
        <v>#N/A Requesting Data...3102115869</v>
        <stp/>
        <stp>BDP|2761972409201208099</stp>
        <tr r="M1719" s="2"/>
      </tp>
      <tp t="s">
        <v>#N/A Requesting Data...1091390446</v>
        <stp/>
        <stp>BDP|7651748870884884983</stp>
        <tr r="K1077" s="2"/>
      </tp>
      <tp t="s">
        <v>#N/A Requesting Data...3520671797</v>
        <stp/>
        <stp>BDP|9146420681069083602</stp>
        <tr r="N1570" s="2"/>
      </tp>
      <tp t="s">
        <v>#N/A Requesting Data...2187561711</v>
        <stp/>
        <stp>BDP|7325334740429256309</stp>
        <tr r="G2285" s="2"/>
      </tp>
      <tp t="s">
        <v>#N/A Requesting Data...1587968201</v>
        <stp/>
        <stp>BDP|5606297298843090758</stp>
        <tr r="Q2512" s="2"/>
      </tp>
      <tp t="s">
        <v>#N/A Requesting Data...3207793667</v>
        <stp/>
        <stp>BDP|8186471915603931482</stp>
        <tr r="R1156" s="2"/>
      </tp>
      <tp t="s">
        <v>#N/A Requesting Data...2263134797</v>
        <stp/>
        <stp>BDP|2811537299980754474</stp>
        <tr r="P1035" s="2"/>
      </tp>
      <tp t="s">
        <v>#N/A Requesting Data...3488094863</v>
        <stp/>
        <stp>BDP|1902734669353819998</stp>
        <tr r="P198" s="2"/>
      </tp>
      <tp t="s">
        <v>#N/A Requesting Data...3086192975</v>
        <stp/>
        <stp>BDP|8741654474213206063</stp>
        <tr r="D813" s="2"/>
      </tp>
      <tp t="s">
        <v>#N/A Requesting Data...1504257261</v>
        <stp/>
        <stp>BDP|8845061306403384198</stp>
        <tr r="C659" s="2"/>
      </tp>
      <tp t="s">
        <v>#N/A Requesting Data...3223568916</v>
        <stp/>
        <stp>BDP|2156439387097151368</stp>
        <tr r="H583" s="2"/>
      </tp>
      <tp t="s">
        <v>#N/A Requesting Data...2690990607</v>
        <stp/>
        <stp>BDP|3235457596492314600</stp>
        <tr r="D179" s="2"/>
      </tp>
      <tp t="s">
        <v>#N/A Requesting Data...3623372084</v>
        <stp/>
        <stp>BDP|3446310709249878360</stp>
        <tr r="F1015" s="2"/>
      </tp>
      <tp t="s">
        <v>#N/A Requesting Data...3631778903</v>
        <stp/>
        <stp>BDP|1600251702100629953</stp>
        <tr r="R161" s="2"/>
      </tp>
      <tp t="s">
        <v>#N/A Requesting Data...2357922680</v>
        <stp/>
        <stp>BDP|9665756009655958112</stp>
        <tr r="D1897" s="2"/>
      </tp>
      <tp t="s">
        <v>#N/A Requesting Data...1721412861</v>
        <stp/>
        <stp>BDP|7490479315290523811</stp>
        <tr r="O82" s="2"/>
      </tp>
      <tp t="s">
        <v>#N/A Requesting Data...2549964029</v>
        <stp/>
        <stp>BDP|8542392220121818267</stp>
        <tr r="N1028" s="2"/>
      </tp>
      <tp t="s">
        <v>#N/A Requesting Data...2310483342</v>
        <stp/>
        <stp>BDP|6090069897191045435</stp>
        <tr r="R336" s="2"/>
      </tp>
      <tp t="s">
        <v>#N/A Requesting Data...1378559146</v>
        <stp/>
        <stp>BDP|4808460901869892351</stp>
        <tr r="D2469" s="2"/>
      </tp>
      <tp t="s">
        <v>#N/A Requesting Data...2383752790</v>
        <stp/>
        <stp>BDP|9810488773458194804</stp>
        <tr r="H1265" s="2"/>
      </tp>
      <tp t="b">
        <v>0</v>
        <stp/>
        <stp>BDS|2546322202243073870</stp>
        <tr r="I1314" s="2"/>
      </tp>
      <tp t="s">
        <v>#N/A Requesting Data...3001829492</v>
        <stp/>
        <stp>BDP|2652939981468283140</stp>
        <tr r="G56" s="2"/>
      </tp>
      <tp t="s">
        <v>#N/A Requesting Data...2778036186</v>
        <stp/>
        <stp>BDP|6952798911332199824</stp>
        <tr r="C2447" s="2"/>
      </tp>
      <tp t="s">
        <v>#N/A Requesting Data...1215062307</v>
        <stp/>
        <stp>BDP|6747923835734037220</stp>
        <tr r="Q1422" s="2"/>
      </tp>
      <tp t="s">
        <v>#N/A Requesting Data...2445512940</v>
        <stp/>
        <stp>BDP|9927297023042436154</stp>
        <tr r="E82" s="2"/>
      </tp>
      <tp t="s">
        <v>#N/A Requesting Data...4162609095</v>
        <stp/>
        <stp>BDP|3391224320550481972</stp>
        <tr r="G585" s="2"/>
      </tp>
      <tp t="s">
        <v>#N/A Requesting Data...2614267066</v>
        <stp/>
        <stp>BDP|7641573786063137346</stp>
        <tr r="K2290" s="2"/>
      </tp>
      <tp t="b">
        <v>0</v>
        <stp/>
        <stp>BDS|8645486798387415801</stp>
        <tr r="I365" s="2"/>
      </tp>
      <tp t="s">
        <v>#N/A Requesting Data...1392369100</v>
        <stp/>
        <stp>BDP|4391258452968728118</stp>
        <tr r="H345" s="2"/>
      </tp>
      <tp t="s">
        <v>#N/A Requesting Data...3214056202</v>
        <stp/>
        <stp>BDP|1228670706689626473</stp>
        <tr r="P656" s="2"/>
      </tp>
      <tp t="s">
        <v>#N/A Requesting Data...2082540306</v>
        <stp/>
        <stp>BDP|8406304156345910193</stp>
        <tr r="M165" s="2"/>
      </tp>
      <tp t="s">
        <v>#N/A Requesting Data...4030502094</v>
        <stp/>
        <stp>BDP|1029953120800287054</stp>
        <tr r="M1744" s="2"/>
      </tp>
      <tp t="s">
        <v>#N/A Requesting Data...2335196385</v>
        <stp/>
        <stp>BDP|4113874074311944096</stp>
        <tr r="Q1714" s="2"/>
      </tp>
      <tp t="s">
        <v>#N/A Requesting Data...2364521528</v>
        <stp/>
        <stp>BDP|4127973151194278673</stp>
        <tr r="N851" s="2"/>
      </tp>
      <tp t="s">
        <v>#N/A Requesting Data...2324019356</v>
        <stp/>
        <stp>BDP|6527401329622986879</stp>
        <tr r="A1843" s="2"/>
      </tp>
      <tp t="s">
        <v>#N/A Requesting Data...1599570745</v>
        <stp/>
        <stp>BDP|8149666853563576234</stp>
        <tr r="E108" s="2"/>
      </tp>
      <tp t="s">
        <v>#N/A Requesting Data...3649546836</v>
        <stp/>
        <stp>BDP|2973683461668763050</stp>
        <tr r="T2189" s="2"/>
      </tp>
      <tp t="s">
        <v>#N/A Requesting Data...2501605293</v>
        <stp/>
        <stp>BDP|3333874671655163363</stp>
        <tr r="H2158" s="2"/>
      </tp>
      <tp t="s">
        <v>#N/A Requesting Data...3095273735</v>
        <stp/>
        <stp>BDP|8600301967325350203</stp>
        <tr r="J1851" s="2"/>
      </tp>
      <tp t="s">
        <v>#N/A Requesting Data...1213443988</v>
        <stp/>
        <stp>BDP|2497041632973561850</stp>
        <tr r="C1067" s="2"/>
      </tp>
      <tp t="s">
        <v>#N/A Requesting Data...4231365930</v>
        <stp/>
        <stp>BDP|1540369380762485255</stp>
        <tr r="R2512" s="2"/>
      </tp>
      <tp t="s">
        <v>#N/A Requesting Data...1771572231</v>
        <stp/>
        <stp>BDP|3586189514178314186</stp>
        <tr r="D1416" s="2"/>
      </tp>
      <tp t="s">
        <v>#N/A Requesting Data...3435656596</v>
        <stp/>
        <stp>BDP|6794085122018624699</stp>
        <tr r="D745" s="2"/>
      </tp>
      <tp t="s">
        <v>#N/A Requesting Data...1857501986</v>
        <stp/>
        <stp>BDP|5652434189964874768</stp>
        <tr r="S2508" s="2"/>
      </tp>
      <tp t="s">
        <v>#N/A Requesting Data...3575609780</v>
        <stp/>
        <stp>BDP|2017249262494292862</stp>
        <tr r="E2456" s="2"/>
      </tp>
      <tp t="s">
        <v>#N/A Requesting Data...1988898498</v>
        <stp/>
        <stp>BDP|1585198117988893317</stp>
        <tr r="N1600" s="2"/>
      </tp>
      <tp t="s">
        <v>#N/A Requesting Data...3793829433</v>
        <stp/>
        <stp>BDP|7761579282116605668</stp>
        <tr r="S2446" s="2"/>
      </tp>
      <tp t="s">
        <v>#N/A Requesting Data...1643242960</v>
        <stp/>
        <stp>BDP|3778239082153191050</stp>
        <tr r="D1752" s="2"/>
      </tp>
      <tp t="s">
        <v>#N/A Requesting Data...2962121956</v>
        <stp/>
        <stp>BDP|4722065991772440562</stp>
        <tr r="C2490" s="2"/>
      </tp>
      <tp t="b">
        <v>0</v>
        <stp/>
        <stp>BDS|4566837703111308745</stp>
        <tr r="I968" s="2"/>
      </tp>
      <tp t="s">
        <v>#N/A Requesting Data...1635524186</v>
        <stp/>
        <stp>BDP|3609984208986316665</stp>
        <tr r="N538" s="2"/>
      </tp>
      <tp t="s">
        <v>#N/A Requesting Data...4280666928</v>
        <stp/>
        <stp>BDP|2176338565679602420</stp>
        <tr r="N2313" s="2"/>
      </tp>
      <tp t="s">
        <v>#N/A Requesting Data...3822094895</v>
        <stp/>
        <stp>BDP|8297124012441234333</stp>
        <tr r="Q456" s="2"/>
      </tp>
      <tp t="s">
        <v>#N/A Requesting Data...2474370702</v>
        <stp/>
        <stp>BDP|8182031396039203250</stp>
        <tr r="R480" s="2"/>
      </tp>
      <tp t="s">
        <v>#N/A Requesting Data...4041243794</v>
        <stp/>
        <stp>BDP|8249342864057096016</stp>
        <tr r="J892" s="2"/>
      </tp>
      <tp t="s">
        <v>#N/A Requesting Data...2269333666</v>
        <stp/>
        <stp>BDP|3178099449878492566</stp>
        <tr r="Q1656" s="2"/>
      </tp>
      <tp t="s">
        <v>#N/A Requesting Data...1217014215</v>
        <stp/>
        <stp>BDP|9080146637642329333</stp>
        <tr r="C2488" s="2"/>
      </tp>
      <tp t="s">
        <v>#N/A Requesting Data...1432045572</v>
        <stp/>
        <stp>BDP|6282810518132092788</stp>
        <tr r="J1414" s="2"/>
      </tp>
      <tp t="s">
        <v>#N/A Requesting Data...2922970214</v>
        <stp/>
        <stp>BDP|3192884673622116482</stp>
        <tr r="G288" s="2"/>
      </tp>
      <tp t="s">
        <v>#N/A Requesting Data...2357728242</v>
        <stp/>
        <stp>BDP|7684284593950984675</stp>
        <tr r="E611" s="2"/>
      </tp>
      <tp t="s">
        <v>#N/A Requesting Data...1161064004</v>
        <stp/>
        <stp>BDP|3350466422899533610</stp>
        <tr r="K2259" s="2"/>
      </tp>
      <tp t="s">
        <v>#N/A Requesting Data...3806837713</v>
        <stp/>
        <stp>BDP|5893969958030681330</stp>
        <tr r="P1483" s="2"/>
      </tp>
      <tp t="s">
        <v>#N/A Requesting Data...2224865641</v>
        <stp/>
        <stp>BDP|2384308972184393813</stp>
        <tr r="M1924" s="2"/>
      </tp>
      <tp t="s">
        <v>#N/A Requesting Data...2541794954</v>
        <stp/>
        <stp>BDP|5432906739332686785</stp>
        <tr r="J179" s="2"/>
      </tp>
      <tp t="s">
        <v>#N/A Requesting Data...1265699434</v>
        <stp/>
        <stp>BDP|8023942059857946977</stp>
        <tr r="C828" s="2"/>
      </tp>
      <tp t="s">
        <v>#N/A Requesting Data...4072119649</v>
        <stp/>
        <stp>BDP|4214411721910603872</stp>
        <tr r="K259" s="2"/>
      </tp>
      <tp t="s">
        <v>#N/A Requesting Data...3828077332</v>
        <stp/>
        <stp>BDP|4144570161909379471</stp>
        <tr r="R244" s="2"/>
      </tp>
      <tp t="s">
        <v>#N/A Requesting Data...2980899606</v>
        <stp/>
        <stp>BDP|2214659094580414747</stp>
        <tr r="N515" s="2"/>
      </tp>
      <tp t="s">
        <v>#N/A Requesting Data...3328979599</v>
        <stp/>
        <stp>BDP|9727269813092155204</stp>
        <tr r="G1331" s="2"/>
      </tp>
      <tp t="s">
        <v>#N/A Requesting Data...1286600107</v>
        <stp/>
        <stp>BDP|2970176841065893842</stp>
        <tr r="G153" s="2"/>
      </tp>
      <tp t="s">
        <v>#N/A Requesting Data...1322864794</v>
        <stp/>
        <stp>BDP|3598780215707217895</stp>
        <tr r="R577" s="2"/>
      </tp>
      <tp t="s">
        <v>#N/A Requesting Data...2146532365</v>
        <stp/>
        <stp>BDP|9225218700689617867</stp>
        <tr r="J2254" s="2"/>
      </tp>
      <tp t="s">
        <v>#N/A Requesting Data...1735706870</v>
        <stp/>
        <stp>BDP|5543266907849481438</stp>
        <tr r="T778" s="2"/>
      </tp>
      <tp t="s">
        <v>#N/A Requesting Data...1809320047</v>
        <stp/>
        <stp>BDP|9276065225160786156</stp>
        <tr r="Q1003" s="2"/>
      </tp>
      <tp t="b">
        <v>0</v>
        <stp/>
        <stp>BDS|7979317869960761851</stp>
        <tr r="I865" s="2"/>
      </tp>
      <tp t="s">
        <v>#N/A Requesting Data...3667055126</v>
        <stp/>
        <stp>BDP|7752800671403194145</stp>
        <tr r="G1980" s="2"/>
      </tp>
      <tp t="s">
        <v>#N/A Requesting Data...3611154145</v>
        <stp/>
        <stp>BDP|7158545480891234146</stp>
        <tr r="A74" s="2"/>
      </tp>
      <tp t="s">
        <v>#N/A Requesting Data...3359436192</v>
        <stp/>
        <stp>BDP|5541968605465323367</stp>
        <tr r="M1780" s="2"/>
      </tp>
      <tp t="s">
        <v>#N/A Requesting Data...3758218468</v>
        <stp/>
        <stp>BDP|3224089875598949657</stp>
        <tr r="Q2291" s="2"/>
      </tp>
      <tp t="s">
        <v>#N/A Requesting Data...2957483141</v>
        <stp/>
        <stp>BDP|5268395226478880662</stp>
        <tr r="E310" s="2"/>
      </tp>
      <tp t="s">
        <v>#N/A Requesting Data...3656820615</v>
        <stp/>
        <stp>BDP|4996324892404370093</stp>
        <tr r="G930" s="2"/>
      </tp>
      <tp t="s">
        <v>#N/A Requesting Data...1946532971</v>
        <stp/>
        <stp>BDP|5390959484528118609</stp>
        <tr r="J1283" s="2"/>
      </tp>
      <tp t="s">
        <v>#N/A Requesting Data...1977777722</v>
        <stp/>
        <stp>BDP|8418277058007888202</stp>
        <tr r="P1327" s="2"/>
      </tp>
      <tp t="b">
        <v>0</v>
        <stp/>
        <stp>BDS|9643345122294184624</stp>
        <tr r="I1062" s="2"/>
      </tp>
      <tp t="s">
        <v>#N/A Requesting Data...3992747678</v>
        <stp/>
        <stp>BDP|2610440015989500414</stp>
        <tr r="D1367" s="2"/>
      </tp>
      <tp t="s">
        <v>#N/A Requesting Data...4101095785</v>
        <stp/>
        <stp>BDP|4398546387544427774</stp>
        <tr r="H278" s="2"/>
      </tp>
      <tp t="s">
        <v>#N/A Requesting Data...2718175315</v>
        <stp/>
        <stp>BDP|7681256134584221865</stp>
        <tr r="J332" s="2"/>
      </tp>
      <tp t="s">
        <v>#N/A Requesting Data...1462104481</v>
        <stp/>
        <stp>BDP|8518378577556019062</stp>
        <tr r="M489" s="2"/>
      </tp>
      <tp t="s">
        <v>#N/A Requesting Data...3477264694</v>
        <stp/>
        <stp>BDP|9969338937452857160</stp>
        <tr r="T104" s="2"/>
      </tp>
      <tp t="s">
        <v>#N/A Requesting Data...3352671888</v>
        <stp/>
        <stp>BDP|1194927932786370710</stp>
        <tr r="S965" s="2"/>
      </tp>
      <tp t="s">
        <v>#N/A Requesting Data...2907808474</v>
        <stp/>
        <stp>BDP|4816919922581051486</stp>
        <tr r="D2424" s="2"/>
      </tp>
      <tp t="s">
        <v>#N/A Requesting Data...2830483073</v>
        <stp/>
        <stp>BDP|9187327800956219629</stp>
        <tr r="T1750" s="2"/>
      </tp>
      <tp t="s">
        <v>#N/A Requesting Data...1482414098</v>
        <stp/>
        <stp>BDP|8773012800530671239</stp>
        <tr r="J2311" s="2"/>
      </tp>
      <tp t="s">
        <v>#N/A Requesting Data...2652345967</v>
        <stp/>
        <stp>BDP|8519324276097137137</stp>
        <tr r="S1817" s="2"/>
      </tp>
      <tp t="s">
        <v>#N/A Requesting Data...3791271267</v>
        <stp/>
        <stp>BDP|3504920639694818756</stp>
        <tr r="J2229" s="2"/>
      </tp>
      <tp t="s">
        <v>#N/A Requesting Data...2234960743</v>
        <stp/>
        <stp>BDP|5538247666039612224</stp>
        <tr r="N1504" s="2"/>
      </tp>
      <tp t="s">
        <v>#N/A Requesting Data...3245720958</v>
        <stp/>
        <stp>BDP|8151033634696156744</stp>
        <tr r="G1055" s="2"/>
      </tp>
      <tp t="s">
        <v>#N/A Requesting Data...4274589675</v>
        <stp/>
        <stp>BDP|8478453543953750169</stp>
        <tr r="T1730" s="2"/>
      </tp>
      <tp t="s">
        <v>#N/A Requesting Data...4219090759</v>
        <stp/>
        <stp>BDP|1426632884221029400</stp>
        <tr r="H743" s="2"/>
      </tp>
      <tp t="s">
        <v>#N/A Requesting Data...1620235580</v>
        <stp/>
        <stp>BDP|5113677075169403747</stp>
        <tr r="Q2530" s="2"/>
      </tp>
      <tp t="s">
        <v>#N/A Requesting Data...1815029933</v>
        <stp/>
        <stp>BDP|7170099411054870829</stp>
        <tr r="T1407" s="2"/>
      </tp>
      <tp t="s">
        <v>#N/A Requesting Data...1714120667</v>
        <stp/>
        <stp>BDP|5939982334416719314</stp>
        <tr r="A789" s="2"/>
      </tp>
      <tp t="s">
        <v>#N/A Requesting Data...3384244321</v>
        <stp/>
        <stp>BDP|4101975532413706701</stp>
        <tr r="J2481" s="2"/>
      </tp>
      <tp t="s">
        <v>#N/A Requesting Data...2342022824</v>
        <stp/>
        <stp>BDP|8356305105353641237</stp>
        <tr r="M2261" s="2"/>
      </tp>
      <tp t="b">
        <v>0</v>
        <stp/>
        <stp>BDS|5797160414898612703</stp>
        <tr r="I2355" s="2"/>
      </tp>
      <tp t="s">
        <v>#N/A Requesting Data...3665783302</v>
        <stp/>
        <stp>BDP|1261625976422240873</stp>
        <tr r="N1008" s="2"/>
      </tp>
      <tp t="s">
        <v>#N/A Requesting Data...3409847817</v>
        <stp/>
        <stp>BDP|2011872105276353627</stp>
        <tr r="R779" s="2"/>
      </tp>
      <tp t="s">
        <v>#N/A Requesting Data...2670863271</v>
        <stp/>
        <stp>BDP|2265321681912743159</stp>
        <tr r="R2320" s="2"/>
      </tp>
      <tp t="s">
        <v>#N/A Requesting Data...2520989678</v>
        <stp/>
        <stp>BDP|2888837960602889402</stp>
        <tr r="G240" s="2"/>
      </tp>
      <tp t="s">
        <v>#N/A Requesting Data...3639433288</v>
        <stp/>
        <stp>BDP|3513707997040006715</stp>
        <tr r="T315" s="2"/>
      </tp>
      <tp t="s">
        <v>#N/A Requesting Data...3355992026</v>
        <stp/>
        <stp>BDP|6459090147221052991</stp>
        <tr r="D857" s="2"/>
      </tp>
      <tp t="s">
        <v>#N/A Requesting Data...1922391495</v>
        <stp/>
        <stp>BDP|3980439746499674091</stp>
        <tr r="P524" s="2"/>
      </tp>
      <tp t="s">
        <v>#N/A Requesting Data...3536298035</v>
        <stp/>
        <stp>BDP|9085309219662330396</stp>
        <tr r="R970" s="2"/>
      </tp>
      <tp t="s">
        <v>#N/A Requesting Data...3889154558</v>
        <stp/>
        <stp>BDP|3409101967158276625</stp>
        <tr r="D524" s="2"/>
      </tp>
      <tp t="s">
        <v>#N/A Requesting Data...3071943381</v>
        <stp/>
        <stp>BDP|1461406981406375151</stp>
        <tr r="Q1033" s="2"/>
      </tp>
      <tp t="s">
        <v>#N/A Requesting Data...3482922780</v>
        <stp/>
        <stp>BDP|3144731993260644741</stp>
        <tr r="S753" s="2"/>
      </tp>
      <tp t="s">
        <v>#N/A Requesting Data...1593131340</v>
        <stp/>
        <stp>BDP|3409692423654527984</stp>
        <tr r="F2162" s="2"/>
      </tp>
      <tp t="s">
        <v>#N/A Requesting Data...1655538464</v>
        <stp/>
        <stp>BDP|7618152347041624913</stp>
        <tr r="J1143" s="2"/>
      </tp>
      <tp t="s">
        <v>#N/A Requesting Data...2036603184</v>
        <stp/>
        <stp>BDP|4060894279516532761</stp>
        <tr r="A753" s="2"/>
      </tp>
      <tp t="s">
        <v>#N/A Requesting Data...3456264229</v>
        <stp/>
        <stp>BDP|6937753266485835812</stp>
        <tr r="T1672" s="2"/>
      </tp>
      <tp t="s">
        <v>#N/A Requesting Data...3803078400</v>
        <stp/>
        <stp>BDP|3400629110929256771</stp>
        <tr r="R2173" s="2"/>
      </tp>
      <tp t="s">
        <v>#N/A Requesting Data...3004667961</v>
        <stp/>
        <stp>BDP|6821362171541902951</stp>
        <tr r="N580" s="2"/>
      </tp>
      <tp t="s">
        <v>#N/A Requesting Data...2255234974</v>
        <stp/>
        <stp>BDP|7743400892455109574</stp>
        <tr r="O2378" s="2"/>
      </tp>
      <tp t="s">
        <v>#N/A Requesting Data...1615284633</v>
        <stp/>
        <stp>BDP|2326518960988936384</stp>
        <tr r="M1813" s="2"/>
      </tp>
      <tp t="s">
        <v>#N/A Requesting Data...4231638864</v>
        <stp/>
        <stp>BDP|1507110120181172962</stp>
        <tr r="S532" s="2"/>
      </tp>
      <tp t="s">
        <v>#N/A Requesting Data...2023559970</v>
        <stp/>
        <stp>BDP|1527725634768303737</stp>
        <tr r="A1458" s="2"/>
      </tp>
      <tp t="b">
        <v>0</v>
        <stp/>
        <stp>BDS|7176132257061556834</stp>
        <tr r="I1852" s="2"/>
      </tp>
      <tp t="b">
        <v>0</v>
        <stp/>
        <stp>BDS|7923130444539947147</stp>
        <tr r="I624" s="2"/>
      </tp>
      <tp t="s">
        <v>#N/A Requesting Data...2810504431</v>
        <stp/>
        <stp>BDP|4584639588784854454</stp>
        <tr r="D1060" s="2"/>
      </tp>
      <tp t="s">
        <v>#N/A Requesting Data...2349814087</v>
        <stp/>
        <stp>BDP|6411646831061611841</stp>
        <tr r="M697" s="2"/>
      </tp>
      <tp t="s">
        <v>#N/A Requesting Data...2189159900</v>
        <stp/>
        <stp>BDP|6902626876134966976</stp>
        <tr r="J70" s="2"/>
      </tp>
      <tp t="s">
        <v>#N/A Requesting Data...4150667075</v>
        <stp/>
        <stp>BDP|2303318325008188157</stp>
        <tr r="F1491" s="2"/>
      </tp>
      <tp t="s">
        <v>#N/A Requesting Data...3730480098</v>
        <stp/>
        <stp>BDP|4562913787267669866</stp>
        <tr r="T1235" s="2"/>
      </tp>
      <tp t="s">
        <v>#N/A Requesting Data...1882967949</v>
        <stp/>
        <stp>BDP|8612573800461217600</stp>
        <tr r="Q582" s="2"/>
      </tp>
      <tp t="s">
        <v>#N/A Requesting Data...3958763546</v>
        <stp/>
        <stp>BDP|9497211230554334658</stp>
        <tr r="H804" s="2"/>
      </tp>
      <tp t="s">
        <v>#N/A Requesting Data...3370575168</v>
        <stp/>
        <stp>BDP|9933287061433304406</stp>
        <tr r="N1931" s="2"/>
      </tp>
      <tp t="s">
        <v>#N/A Requesting Data...2035438533</v>
        <stp/>
        <stp>BDP|6381233357079243269</stp>
        <tr r="G268" s="2"/>
      </tp>
      <tp t="s">
        <v>#N/A Requesting Data...2392389866</v>
        <stp/>
        <stp>BDP|9648381953532962770</stp>
        <tr r="J39" s="2"/>
      </tp>
      <tp t="s">
        <v>#N/A Requesting Data...4014721143</v>
        <stp/>
        <stp>BDP|8736012414626431552</stp>
        <tr r="N1170" s="2"/>
      </tp>
      <tp t="s">
        <v>#N/A Requesting Data...2202901111</v>
        <stp/>
        <stp>BDP|9510764985915335969</stp>
        <tr r="P842" s="2"/>
      </tp>
      <tp t="s">
        <v>#N/A Requesting Data...1561461248</v>
        <stp/>
        <stp>BDP|3168051030708176261</stp>
        <tr r="J1816" s="2"/>
      </tp>
      <tp t="s">
        <v>#N/A Requesting Data...3055047197</v>
        <stp/>
        <stp>BDP|1681504304617077924</stp>
        <tr r="F554" s="2"/>
      </tp>
      <tp t="s">
        <v>#N/A Requesting Data...3100379221</v>
        <stp/>
        <stp>BDP|9454131769766980272</stp>
        <tr r="J1640" s="2"/>
      </tp>
      <tp t="s">
        <v>#N/A Requesting Data...2458350976</v>
        <stp/>
        <stp>BDP|9174617671152210039</stp>
        <tr r="F779" s="2"/>
      </tp>
      <tp t="s">
        <v>#N/A Requesting Data...2847872361</v>
        <stp/>
        <stp>BDP|9693500310043307450</stp>
        <tr r="H64" s="2"/>
      </tp>
      <tp t="s">
        <v>#N/A Requesting Data...2532621907</v>
        <stp/>
        <stp>BDP|3148920113815409444</stp>
        <tr r="P2180" s="2"/>
      </tp>
      <tp t="s">
        <v>#N/A Requesting Data...4075415854</v>
        <stp/>
        <stp>BDP|4597738477567744968</stp>
        <tr r="T649" s="2"/>
      </tp>
      <tp t="s">
        <v>#N/A Requesting Data...3978061779</v>
        <stp/>
        <stp>BDP|6359278964150454841</stp>
        <tr r="N2072" s="2"/>
      </tp>
      <tp t="s">
        <v>#N/A Requesting Data...1632817423</v>
        <stp/>
        <stp>BDP|5673443382147096404</stp>
        <tr r="A1502" s="2"/>
      </tp>
      <tp t="b">
        <v>0</v>
        <stp/>
        <stp>BDS|6626652334769751009</stp>
        <tr r="I1143" s="2"/>
      </tp>
      <tp t="s">
        <v>#N/A Requesting Data...2591017507</v>
        <stp/>
        <stp>BDP|2896050829968386270</stp>
        <tr r="D879" s="2"/>
      </tp>
      <tp t="s">
        <v>#N/A Requesting Data...4032198379</v>
        <stp/>
        <stp>BDP|3926649285253175495</stp>
        <tr r="H533" s="2"/>
      </tp>
      <tp t="s">
        <v>#N/A Requesting Data...1571565365</v>
        <stp/>
        <stp>BDP|2091624256573132850</stp>
        <tr r="F1801" s="2"/>
      </tp>
      <tp t="s">
        <v>#N/A Requesting Data...1890356267</v>
        <stp/>
        <stp>BDP|2836306679829202536</stp>
        <tr r="G432" s="2"/>
      </tp>
      <tp t="s">
        <v>#N/A Requesting Data...3802952366</v>
        <stp/>
        <stp>BDP|6477457375628586715</stp>
        <tr r="N1575" s="2"/>
      </tp>
      <tp t="s">
        <v>#N/A Requesting Data...3376579623</v>
        <stp/>
        <stp>BDP|4497658246918176464</stp>
        <tr r="E2304" s="2"/>
      </tp>
      <tp t="s">
        <v>#N/A Requesting Data...4024269107</v>
        <stp/>
        <stp>BDP|3821492661378283320</stp>
        <tr r="N553" s="2"/>
      </tp>
      <tp t="s">
        <v>#N/A Requesting Data...4289545118</v>
        <stp/>
        <stp>BDP|1282865840615457205</stp>
        <tr r="G1756" s="2"/>
      </tp>
      <tp t="s">
        <v>#N/A Requesting Data...3128125402</v>
        <stp/>
        <stp>BDP|2922159089423028256</stp>
        <tr r="R1011" s="2"/>
      </tp>
      <tp t="s">
        <v>#N/A Requesting Data...3559890706</v>
        <stp/>
        <stp>BDP|4238560564434096905</stp>
        <tr r="F1194" s="2"/>
      </tp>
      <tp t="s">
        <v>#N/A Requesting Data...2623987194</v>
        <stp/>
        <stp>BDP|3713418126029639661</stp>
        <tr r="D1623" s="2"/>
      </tp>
      <tp t="s">
        <v>#N/A Requesting Data...2681882588</v>
        <stp/>
        <stp>BDP|7806484170037392937</stp>
        <tr r="N2337" s="2"/>
      </tp>
      <tp t="b">
        <v>0</v>
        <stp/>
        <stp>BDS|3567734597901801692</stp>
        <tr r="I543" s="2"/>
      </tp>
      <tp t="s">
        <v>#N/A Requesting Data...3106477161</v>
        <stp/>
        <stp>BDP|1469189405723811913</stp>
        <tr r="M1923" s="2"/>
      </tp>
      <tp t="s">
        <v>#N/A Requesting Data...3832082945</v>
        <stp/>
        <stp>BDP|5957816848641765279</stp>
        <tr r="M1824" s="2"/>
      </tp>
      <tp t="s">
        <v>#N/A Requesting Data...2620595368</v>
        <stp/>
        <stp>BDP|2007599047101947871</stp>
        <tr r="J2173" s="2"/>
      </tp>
      <tp t="s">
        <v>#N/A Requesting Data...3407178977</v>
        <stp/>
        <stp>BDP|5426674004970360944</stp>
        <tr r="T1637" s="2"/>
      </tp>
      <tp t="s">
        <v>#N/A Requesting Data...2350549144</v>
        <stp/>
        <stp>BDP|3716250590140159238</stp>
        <tr r="Q1716" s="2"/>
      </tp>
      <tp t="s">
        <v>#N/A Requesting Data...4116668493</v>
        <stp/>
        <stp>BDP|3747749271681023824</stp>
        <tr r="A1914" s="2"/>
      </tp>
      <tp t="s">
        <v>#N/A Requesting Data...3712662860</v>
        <stp/>
        <stp>BDP|5125748837358206304</stp>
        <tr r="G911" s="2"/>
      </tp>
      <tp t="s">
        <v>#N/A Requesting Data...2595323715</v>
        <stp/>
        <stp>BDP|6306144978689699396</stp>
        <tr r="C2282" s="2"/>
      </tp>
      <tp t="s">
        <v>#N/A Requesting Data...3647359381</v>
        <stp/>
        <stp>BDP|6288469057545607859</stp>
        <tr r="H1187" s="2"/>
      </tp>
      <tp t="s">
        <v>#N/A Requesting Data...2551437453</v>
        <stp/>
        <stp>BDP|4384937078684951410</stp>
        <tr r="O1564" s="2"/>
      </tp>
      <tp t="s">
        <v>#N/A Requesting Data...1838893476</v>
        <stp/>
        <stp>BDP|3738914041830615412</stp>
        <tr r="G1527" s="2"/>
      </tp>
      <tp t="s">
        <v>#N/A Requesting Data...2508967522</v>
        <stp/>
        <stp>BDP|4209938746426514521</stp>
        <tr r="R1045" s="2"/>
      </tp>
      <tp t="s">
        <v>#N/A Requesting Data...2637479507</v>
        <stp/>
        <stp>BDP|4598123380417303042</stp>
        <tr r="F1278" s="2"/>
      </tp>
      <tp t="s">
        <v>#N/A Requesting Data...4120975876</v>
        <stp/>
        <stp>BDP|5085546641606529806</stp>
        <tr r="E1674" s="2"/>
      </tp>
      <tp t="s">
        <v>#N/A Requesting Data...1836726322</v>
        <stp/>
        <stp>BDP|1324126376539282456</stp>
        <tr r="M50" s="2"/>
      </tp>
      <tp t="s">
        <v>#N/A Requesting Data...3872123330</v>
        <stp/>
        <stp>BDP|6732734187411595265</stp>
        <tr r="T620" s="2"/>
      </tp>
      <tp t="s">
        <v>#N/A Requesting Data...2820359706</v>
        <stp/>
        <stp>BDP|2123738233574956885</stp>
        <tr r="J584" s="2"/>
      </tp>
      <tp t="s">
        <v>#N/A Requesting Data...1823126335</v>
        <stp/>
        <stp>BDP|5212240427669901688</stp>
        <tr r="J2408" s="2"/>
      </tp>
      <tp t="b">
        <v>0</v>
        <stp/>
        <stp>BDS|1237513325689385552</stp>
        <tr r="I183" s="2"/>
      </tp>
      <tp t="s">
        <v>#N/A Requesting Data...4219466515</v>
        <stp/>
        <stp>BDP|6464607897276650559</stp>
        <tr r="G1130" s="2"/>
      </tp>
      <tp t="s">
        <v>#N/A Requesting Data...3197880916</v>
        <stp/>
        <stp>BDP|9594487916440812634</stp>
        <tr r="A1781" s="2"/>
      </tp>
      <tp t="s">
        <v>#N/A Requesting Data...4163991438</v>
        <stp/>
        <stp>BDP|8452389773815622398</stp>
        <tr r="T898" s="2"/>
      </tp>
      <tp t="s">
        <v>#N/A Requesting Data...1932149396</v>
        <stp/>
        <stp>BDP|9825694369837872407</stp>
        <tr r="S2447" s="2"/>
      </tp>
      <tp t="s">
        <v>#N/A Requesting Data...3495533700</v>
        <stp/>
        <stp>BDP|7524825966243734068</stp>
        <tr r="M2484" s="2"/>
      </tp>
      <tp t="s">
        <v>#N/A Requesting Data...2493074645</v>
        <stp/>
        <stp>BDP|5695826115790598640</stp>
        <tr r="P804" s="2"/>
      </tp>
      <tp t="s">
        <v>#N/A Requesting Data...3941603324</v>
        <stp/>
        <stp>BDP|2431896317462242384</stp>
        <tr r="E745" s="2"/>
      </tp>
      <tp t="s">
        <v>#N/A Requesting Data...3052384607</v>
        <stp/>
        <stp>BDP|4628922832552112675</stp>
        <tr r="G496" s="2"/>
      </tp>
      <tp t="s">
        <v>#N/A Requesting Data...3337097350</v>
        <stp/>
        <stp>BDP|5077691487506713793</stp>
        <tr r="J1799" s="2"/>
      </tp>
      <tp t="s">
        <v>#N/A Requesting Data...2789725757</v>
        <stp/>
        <stp>BDP|7838839840491398086</stp>
        <tr r="N382" s="2"/>
      </tp>
      <tp t="s">
        <v>#N/A Requesting Data...3280280684</v>
        <stp/>
        <stp>BDP|9538728427243799571</stp>
        <tr r="G2405" s="2"/>
      </tp>
      <tp t="s">
        <v>#N/A Requesting Data...2274900679</v>
        <stp/>
        <stp>BDP|9540753322324640241</stp>
        <tr r="G487" s="2"/>
      </tp>
      <tp t="s">
        <v>#N/A Requesting Data...3812988322</v>
        <stp/>
        <stp>BDP|4218840947126601471</stp>
        <tr r="R1350" s="2"/>
      </tp>
      <tp t="s">
        <v>#N/A Requesting Data...2930993284</v>
        <stp/>
        <stp>BDP|6481070922958463656</stp>
        <tr r="R273" s="2"/>
      </tp>
      <tp t="s">
        <v>#N/A Requesting Data...3381055608</v>
        <stp/>
        <stp>BDP|8616474240793815192</stp>
        <tr r="M1221" s="2"/>
      </tp>
      <tp t="s">
        <v>#N/A Requesting Data...3587124561</v>
        <stp/>
        <stp>BDP|4189288505324807842</stp>
        <tr r="H1009" s="2"/>
      </tp>
      <tp t="s">
        <v>#N/A Requesting Data...3533886830</v>
        <stp/>
        <stp>BDP|9066422830464771056</stp>
        <tr r="A1720" s="2"/>
      </tp>
      <tp t="s">
        <v>#N/A Requesting Data...3379985017</v>
        <stp/>
        <stp>BDP|1154723117074238964</stp>
        <tr r="T933" s="2"/>
      </tp>
      <tp t="s">
        <v>#N/A Requesting Data...3747183886</v>
        <stp/>
        <stp>BDP|9045454034566077212</stp>
        <tr r="D380" s="2"/>
      </tp>
      <tp t="b">
        <v>0</v>
        <stp/>
        <stp>BDS|1191147419243881847</stp>
        <tr r="I1292" s="2"/>
      </tp>
      <tp t="s">
        <v>#N/A Requesting Data...1804048124</v>
        <stp/>
        <stp>BDP|5084895256710686292</stp>
        <tr r="N1454" s="2"/>
      </tp>
      <tp t="s">
        <v>#N/A Requesting Data...3517366209</v>
        <stp/>
        <stp>BDP|6490585480253573299</stp>
        <tr r="Q87" s="2"/>
      </tp>
      <tp t="s">
        <v>#N/A Requesting Data...4158183687</v>
        <stp/>
        <stp>BDP|2254834883168516071</stp>
        <tr r="G467" s="2"/>
      </tp>
      <tp t="s">
        <v>#N/A Requesting Data...3260148238</v>
        <stp/>
        <stp>BDP|6851083959018025194</stp>
        <tr r="R2449" s="2"/>
      </tp>
      <tp t="s">
        <v>#N/A Requesting Data...4252882399</v>
        <stp/>
        <stp>BDP|9363933687504019671</stp>
        <tr r="P1631" s="2"/>
      </tp>
      <tp t="s">
        <v>#N/A Requesting Data...4258274671</v>
        <stp/>
        <stp>BDP|1303813522659519854</stp>
        <tr r="J2157" s="2"/>
      </tp>
      <tp t="s">
        <v>#N/A Requesting Data...3645829912</v>
        <stp/>
        <stp>BDP|1052741010525404802</stp>
        <tr r="Q1830" s="2"/>
      </tp>
      <tp t="s">
        <v>#N/A Requesting Data...3096057836</v>
        <stp/>
        <stp>BDP|5998499485110569304</stp>
        <tr r="S30" s="2"/>
      </tp>
      <tp t="s">
        <v>#N/A Requesting Data...3402938909</v>
        <stp/>
        <stp>BDP|8912697653477020633</stp>
        <tr r="R593" s="2"/>
      </tp>
      <tp t="b">
        <v>0</v>
        <stp/>
        <stp>BDS|8501106655561432740</stp>
        <tr r="I1495" s="2"/>
      </tp>
      <tp t="s">
        <v>#N/A Requesting Data...4142426040</v>
        <stp/>
        <stp>BDP|8651044867973523709</stp>
        <tr r="F2014" s="2"/>
      </tp>
      <tp t="s">
        <v>#N/A Requesting Data...3631669476</v>
        <stp/>
        <stp>BDP|3648221129028433195</stp>
        <tr r="K490" s="2"/>
      </tp>
      <tp t="s">
        <v>#N/A Requesting Data...3585301765</v>
        <stp/>
        <stp>BDP|6276117884972581722</stp>
        <tr r="S64" s="2"/>
      </tp>
      <tp t="s">
        <v>#N/A Requesting Data...1988308322</v>
        <stp/>
        <stp>BDP|6596739572614178852</stp>
        <tr r="H1291" s="2"/>
      </tp>
      <tp t="s">
        <v>#N/A Requesting Data...1865374516</v>
        <stp/>
        <stp>BDP|5951053701168545781</stp>
        <tr r="F2261" s="2"/>
      </tp>
      <tp t="s">
        <v>#N/A Requesting Data...2370702352</v>
        <stp/>
        <stp>BDP|9235709263842286038</stp>
        <tr r="N1336" s="2"/>
      </tp>
      <tp t="s">
        <v>#N/A Requesting Data...2624658761</v>
        <stp/>
        <stp>BDP|1217834317427266545</stp>
        <tr r="K1953" s="2"/>
      </tp>
      <tp t="s">
        <v>#N/A Requesting Data...4169817413</v>
        <stp/>
        <stp>BDP|6841889481944440852</stp>
        <tr r="G752" s="2"/>
      </tp>
      <tp t="s">
        <v>#N/A Requesting Data...2078715863</v>
        <stp/>
        <stp>BDP|4058421265985391946</stp>
        <tr r="E2272" s="2"/>
      </tp>
      <tp t="s">
        <v>#N/A Requesting Data...3258586962</v>
        <stp/>
        <stp>BDP|7666880038602105472</stp>
        <tr r="M208" s="2"/>
      </tp>
      <tp t="s">
        <v>#N/A Requesting Data...4091185081</v>
        <stp/>
        <stp>BDP|1067987948344107210</stp>
        <tr r="D1840" s="2"/>
      </tp>
      <tp t="s">
        <v>#N/A Requesting Data...1784790679</v>
        <stp/>
        <stp>BDP|5831062251208876271</stp>
        <tr r="K2297" s="2"/>
      </tp>
      <tp t="s">
        <v>#N/A Requesting Data...4291824795</v>
        <stp/>
        <stp>BDP|5230456567338230520</stp>
        <tr r="H2353" s="2"/>
      </tp>
      <tp t="s">
        <v>#N/A Requesting Data...3007720187</v>
        <stp/>
        <stp>BDP|7905435222529932216</stp>
        <tr r="H2042" s="2"/>
      </tp>
      <tp t="s">
        <v>#N/A Requesting Data...3058042431</v>
        <stp/>
        <stp>BDP|2781993973212958449</stp>
        <tr r="G1059" s="2"/>
      </tp>
      <tp t="s">
        <v>#N/A Requesting Data...2029857090</v>
        <stp/>
        <stp>BDP|1373266585358261921</stp>
        <tr r="C1088" s="2"/>
      </tp>
      <tp t="b">
        <v>0</v>
        <stp/>
        <stp>BDS|4887858238402768724</stp>
        <tr r="I981" s="2"/>
      </tp>
      <tp t="s">
        <v>#N/A Requesting Data...3766158729</v>
        <stp/>
        <stp>BDP|4230321812385404965</stp>
        <tr r="O491" s="2"/>
      </tp>
      <tp t="s">
        <v>#N/A Requesting Data...3012361415</v>
        <stp/>
        <stp>BDP|5522403864794137901</stp>
        <tr r="T2065" s="2"/>
      </tp>
      <tp t="s">
        <v>#N/A Requesting Data...2443679532</v>
        <stp/>
        <stp>BDP|9163775312710113551</stp>
        <tr r="D1215" s="2"/>
      </tp>
      <tp t="s">
        <v>#N/A Requesting Data...3761102284</v>
        <stp/>
        <stp>BDP|7042589791206089793</stp>
        <tr r="M768" s="2"/>
      </tp>
      <tp t="s">
        <v>#N/A Requesting Data...2732541330</v>
        <stp/>
        <stp>BDP|8122316255811526509</stp>
        <tr r="P141" s="2"/>
      </tp>
      <tp t="s">
        <v>#N/A Requesting Data...3198657327</v>
        <stp/>
        <stp>BDP|9222262111037510706</stp>
        <tr r="H1075" s="2"/>
      </tp>
      <tp t="s">
        <v>#N/A Requesting Data...2135512790</v>
        <stp/>
        <stp>BDP|4008480189334478653</stp>
        <tr r="D428" s="2"/>
      </tp>
      <tp t="s">
        <v>#N/A Requesting Data...2633653245</v>
        <stp/>
        <stp>BDP|2128417964709222367</stp>
        <tr r="C265" s="2"/>
      </tp>
      <tp t="s">
        <v>#N/A Requesting Data...2047269884</v>
        <stp/>
        <stp>BDP|4234464162334125871</stp>
        <tr r="G1843" s="2"/>
      </tp>
      <tp t="s">
        <v>#N/A Requesting Data...2588293042</v>
        <stp/>
        <stp>BDP|1038092567128955572</stp>
        <tr r="T529" s="2"/>
      </tp>
      <tp t="s">
        <v>#N/A Requesting Data...2359651280</v>
        <stp/>
        <stp>BDP|9677209133095504709</stp>
        <tr r="H532" s="2"/>
      </tp>
      <tp t="s">
        <v>#N/A Requesting Data...3316654469</v>
        <stp/>
        <stp>BDP|4141045123214464823</stp>
        <tr r="O1647" s="2"/>
      </tp>
      <tp t="s">
        <v>#N/A Requesting Data...3529028988</v>
        <stp/>
        <stp>BDP|9465214177013374513</stp>
        <tr r="T1771" s="2"/>
      </tp>
      <tp t="s">
        <v>#N/A Requesting Data...3401334645</v>
        <stp/>
        <stp>BDP|7201063737628407673</stp>
        <tr r="G404" s="2"/>
      </tp>
      <tp t="s">
        <v>#N/A Requesting Data...3097814983</v>
        <stp/>
        <stp>BDP|4629970811552559454</stp>
        <tr r="Q1807" s="2"/>
      </tp>
      <tp t="s">
        <v>#N/A Requesting Data...2138002359</v>
        <stp/>
        <stp>BDP|8471567382759249625</stp>
        <tr r="K1914" s="2"/>
      </tp>
      <tp t="s">
        <v>#N/A Requesting Data...3076450128</v>
        <stp/>
        <stp>BDP|3370713223739009515</stp>
        <tr r="H1783" s="2"/>
      </tp>
      <tp t="s">
        <v>#N/A Requesting Data...2308705054</v>
        <stp/>
        <stp>BDP|4076930392088154604</stp>
        <tr r="J1127" s="2"/>
      </tp>
      <tp t="s">
        <v>#N/A Requesting Data...2735138532</v>
        <stp/>
        <stp>BDP|5299728368808090686</stp>
        <tr r="S862" s="2"/>
      </tp>
      <tp t="s">
        <v>#N/A Requesting Data...3300771585</v>
        <stp/>
        <stp>BDP|7590656051479163714</stp>
        <tr r="P641" s="2"/>
      </tp>
      <tp t="s">
        <v>#N/A Requesting Data...3409950062</v>
        <stp/>
        <stp>BDP|7653428114308853092</stp>
        <tr r="D1106" s="2"/>
      </tp>
      <tp t="s">
        <v>#N/A Requesting Data...3362104620</v>
        <stp/>
        <stp>BDP|5425326078178781384</stp>
        <tr r="P845" s="2"/>
      </tp>
      <tp t="s">
        <v>#N/A Requesting Data...3443059331</v>
        <stp/>
        <stp>BDP|2820873977775896216</stp>
        <tr r="E2440" s="2"/>
      </tp>
      <tp t="s">
        <v>#N/A Requesting Data...2765749137</v>
        <stp/>
        <stp>BDP|6549390069078455108</stp>
        <tr r="S1504" s="2"/>
      </tp>
      <tp t="s">
        <v>#N/A Requesting Data...2656929547</v>
        <stp/>
        <stp>BDP|6666271547903657913</stp>
        <tr r="S1198" s="2"/>
      </tp>
      <tp t="s">
        <v>#N/A Requesting Data...3498918573</v>
        <stp/>
        <stp>BDP|3003208878038177487</stp>
        <tr r="K1606" s="2"/>
      </tp>
      <tp t="s">
        <v>#N/A Requesting Data...4047000903</v>
        <stp/>
        <stp>BDP|5059142093392094566</stp>
        <tr r="N97" s="2"/>
      </tp>
      <tp t="s">
        <v>#N/A Requesting Data...2137548054</v>
        <stp/>
        <stp>BDP|8430555622363077629</stp>
        <tr r="K1641" s="2"/>
      </tp>
      <tp t="s">
        <v>#N/A Requesting Data...3597593136</v>
        <stp/>
        <stp>BDP|4341995668951360005</stp>
        <tr r="R2142" s="2"/>
      </tp>
      <tp t="s">
        <v>#N/A Requesting Data...2190923687</v>
        <stp/>
        <stp>BDP|3365471816679382503</stp>
        <tr r="Q1436" s="2"/>
      </tp>
      <tp t="s">
        <v>#N/A Requesting Data...3015015423</v>
        <stp/>
        <stp>BDP|7470354294096313178</stp>
        <tr r="G1667" s="2"/>
      </tp>
      <tp t="s">
        <v>#N/A Requesting Data...4266151816</v>
        <stp/>
        <stp>BDP|4458796419748273079</stp>
        <tr r="K2163" s="2"/>
      </tp>
      <tp t="s">
        <v>#N/A Requesting Data...3846166699</v>
        <stp/>
        <stp>BDP|2420955235556173448</stp>
        <tr r="G2519" s="2"/>
      </tp>
      <tp t="s">
        <v>#N/A Requesting Data...3797347258</v>
        <stp/>
        <stp>BDP|7487127182022367664</stp>
        <tr r="J1192" s="2"/>
      </tp>
      <tp t="s">
        <v>#N/A Requesting Data...2005192565</v>
        <stp/>
        <stp>BDP|4887794780444418544</stp>
        <tr r="N2490" s="2"/>
      </tp>
      <tp t="s">
        <v>#N/A Requesting Data...3981349177</v>
        <stp/>
        <stp>BDP|3636699847758066396</stp>
        <tr r="H1786" s="2"/>
      </tp>
      <tp t="s">
        <v>#N/A Requesting Data...4031717884</v>
        <stp/>
        <stp>BDP|8219638370924440749</stp>
        <tr r="C910" s="2"/>
      </tp>
      <tp t="s">
        <v>#N/A Requesting Data...2623806119</v>
        <stp/>
        <stp>BDP|3584616937064478865</stp>
        <tr r="Q1837" s="2"/>
      </tp>
      <tp t="s">
        <v>#N/A Requesting Data...3636945673</v>
        <stp/>
        <stp>BDP|9426572521452288610</stp>
        <tr r="O328" s="2"/>
      </tp>
      <tp t="b">
        <v>0</v>
        <stp/>
        <stp>BDS|9419781957371999035</stp>
        <tr r="I564" s="2"/>
      </tp>
      <tp t="s">
        <v>#N/A Requesting Data...3607297430</v>
        <stp/>
        <stp>BDP|2564870732391215238</stp>
        <tr r="D942" s="2"/>
      </tp>
      <tp t="s">
        <v>#N/A Requesting Data...3829838894</v>
        <stp/>
        <stp>BDP|2373606803699328729</stp>
        <tr r="H1928" s="2"/>
      </tp>
      <tp t="s">
        <v>#N/A Requesting Data...4067871414</v>
        <stp/>
        <stp>BDP|5222844496947164906</stp>
        <tr r="F231" s="2"/>
      </tp>
      <tp t="s">
        <v>#N/A Requesting Data...4110536430</v>
        <stp/>
        <stp>BDP|7866656582965836665</stp>
        <tr r="D2507" s="2"/>
      </tp>
      <tp t="s">
        <v>#N/A Requesting Data...3775536340</v>
        <stp/>
        <stp>BDP|7791409297186676679</stp>
        <tr r="R2114" s="2"/>
      </tp>
      <tp t="s">
        <v>#N/A Requesting Data...2056198502</v>
        <stp/>
        <stp>BDP|4095034521518338404</stp>
        <tr r="R334" s="2"/>
      </tp>
      <tp t="s">
        <v>#N/A Requesting Data...2195211283</v>
        <stp/>
        <stp>BDP|5376805792369482747</stp>
        <tr r="S2293" s="2"/>
      </tp>
      <tp t="s">
        <v>#N/A Requesting Data...2909475937</v>
        <stp/>
        <stp>BDP|5285959218517920078</stp>
        <tr r="H451" s="2"/>
      </tp>
      <tp t="s">
        <v>#N/A Requesting Data...2675583341</v>
        <stp/>
        <stp>BDP|5882282343079676043</stp>
        <tr r="A1074" s="2"/>
      </tp>
      <tp t="s">
        <v>#N/A Requesting Data...4149984237</v>
        <stp/>
        <stp>BDP|7821850320900902755</stp>
        <tr r="D457" s="2"/>
      </tp>
      <tp t="s">
        <v>#N/A Requesting Data...3512038528</v>
        <stp/>
        <stp>BDP|9199054822919735806</stp>
        <tr r="P1304" s="2"/>
      </tp>
      <tp t="s">
        <v>#N/A Requesting Data...3876436904</v>
        <stp/>
        <stp>BDP|8769754512244799068</stp>
        <tr r="M2281" s="2"/>
      </tp>
      <tp t="s">
        <v>#N/A Requesting Data...4046363037</v>
        <stp/>
        <stp>BDP|7197788528359044107</stp>
        <tr r="P1819" s="2"/>
      </tp>
      <tp t="s">
        <v>#N/A Requesting Data...3883621946</v>
        <stp/>
        <stp>BDP|5229863950940189241</stp>
        <tr r="Q761" s="2"/>
      </tp>
      <tp t="s">
        <v>#N/A Requesting Data...2760461659</v>
        <stp/>
        <stp>BDP|2718787512448407683</stp>
        <tr r="R1655" s="2"/>
      </tp>
      <tp t="s">
        <v>#N/A Requesting Data...4187222026</v>
        <stp/>
        <stp>BDP|7402567596643668236</stp>
        <tr r="M1017" s="2"/>
      </tp>
      <tp t="s">
        <v>#N/A Requesting Data...2809263496</v>
        <stp/>
        <stp>BDP|2692358664848016568</stp>
        <tr r="K206" s="2"/>
      </tp>
      <tp t="s">
        <v>#N/A Requesting Data...2196651468</v>
        <stp/>
        <stp>BDP|9178637373096105410</stp>
        <tr r="A1244" s="2"/>
      </tp>
      <tp t="s">
        <v>#N/A Requesting Data...3712617876</v>
        <stp/>
        <stp>BDP|3202737880365841380</stp>
        <tr r="F270" s="2"/>
      </tp>
      <tp t="s">
        <v>#N/A Requesting Data...3235769930</v>
        <stp/>
        <stp>BDP|9157143127590430070</stp>
        <tr r="A344" s="2"/>
      </tp>
      <tp t="s">
        <v>#N/A Requesting Data...3502387082</v>
        <stp/>
        <stp>BDP|9479320483309459102</stp>
        <tr r="Q146" s="2"/>
      </tp>
      <tp t="s">
        <v>#N/A Requesting Data...2417180518</v>
        <stp/>
        <stp>BDP|4064265027237852987</stp>
        <tr r="G72" s="2"/>
      </tp>
      <tp t="s">
        <v>#N/A Requesting Data...2769861580</v>
        <stp/>
        <stp>BDP|7751944442572457242</stp>
        <tr r="S996" s="2"/>
      </tp>
      <tp t="s">
        <v>#N/A Requesting Data...3576040615</v>
        <stp/>
        <stp>BDP|4031068700239033779</stp>
        <tr r="T2376" s="2"/>
      </tp>
      <tp t="s">
        <v>#N/A Requesting Data...3707129202</v>
        <stp/>
        <stp>BDP|9521535410175663213</stp>
        <tr r="H2274" s="2"/>
      </tp>
      <tp t="s">
        <v>#N/A Requesting Data...2899805198</v>
        <stp/>
        <stp>BDP|6197934657862415207</stp>
        <tr r="C2358" s="2"/>
      </tp>
      <tp t="s">
        <v>#N/A Requesting Data...2603008072</v>
        <stp/>
        <stp>BDP|4558390941608972157</stp>
        <tr r="T834" s="2"/>
      </tp>
      <tp t="s">
        <v>#N/A Requesting Data...2994476022</v>
        <stp/>
        <stp>BDP|4543558096342458039</stp>
        <tr r="C359" s="2"/>
      </tp>
      <tp t="s">
        <v>#N/A Requesting Data...3138476337</v>
        <stp/>
        <stp>BDP|8398019622412946283</stp>
        <tr r="P2051" s="2"/>
      </tp>
      <tp t="s">
        <v>#N/A Requesting Data...2413089585</v>
        <stp/>
        <stp>BDP|8334112141622763553</stp>
        <tr r="J962" s="2"/>
      </tp>
      <tp t="s">
        <v>#N/A Requesting Data...2663600233</v>
        <stp/>
        <stp>BDP|9695606339267884167</stp>
        <tr r="E341" s="2"/>
      </tp>
      <tp t="s">
        <v>#N/A Requesting Data...2173032031</v>
        <stp/>
        <stp>BDP|3121475821756259947</stp>
        <tr r="R1688" s="2"/>
      </tp>
      <tp t="s">
        <v>#N/A Requesting Data...4263066990</v>
        <stp/>
        <stp>BDP|8886929239779716155</stp>
        <tr r="C1884" s="2"/>
      </tp>
      <tp t="s">
        <v>#N/A Requesting Data...3750782539</v>
        <stp/>
        <stp>BDP|9354145657671822696</stp>
        <tr r="A2528" s="2"/>
      </tp>
      <tp t="s">
        <v>#N/A Requesting Data...3026878157</v>
        <stp/>
        <stp>BDP|4337144534455443962</stp>
        <tr r="K1094" s="2"/>
      </tp>
      <tp t="s">
        <v>#N/A Requesting Data...2673131444</v>
        <stp/>
        <stp>BDP|7575401796228386819</stp>
        <tr r="G460" s="2"/>
      </tp>
      <tp t="s">
        <v>#N/A Requesting Data...3361971282</v>
        <stp/>
        <stp>BDP|2424043667708360655</stp>
        <tr r="P962" s="2"/>
      </tp>
      <tp t="s">
        <v>#N/A Requesting Data...2028803697</v>
        <stp/>
        <stp>BDP|8907907749609654670</stp>
        <tr r="S1652" s="2"/>
      </tp>
      <tp t="s">
        <v>#N/A Requesting Data...2519470837</v>
        <stp/>
        <stp>BDP|1712743120049530775</stp>
        <tr r="O2095" s="2"/>
      </tp>
      <tp t="s">
        <v>#N/A Requesting Data...3892243405</v>
        <stp/>
        <stp>BDP|5750376775203314874</stp>
        <tr r="T2113" s="2"/>
      </tp>
      <tp t="s">
        <v>#N/A Requesting Data...2357986280</v>
        <stp/>
        <stp>BDP|8244977991864388667</stp>
        <tr r="K20" s="2"/>
      </tp>
      <tp t="s">
        <v>#N/A Requesting Data...2708321459</v>
        <stp/>
        <stp>BDP|2682671851962913985</stp>
        <tr r="E576" s="2"/>
      </tp>
      <tp t="s">
        <v>#N/A Requesting Data...4274613360</v>
        <stp/>
        <stp>BDP|1102764782185436102</stp>
        <tr r="H1053" s="2"/>
      </tp>
      <tp t="s">
        <v>#N/A Requesting Data...3216364926</v>
        <stp/>
        <stp>BDP|7268559086903318330</stp>
        <tr r="P2356" s="2"/>
      </tp>
      <tp t="s">
        <v>#N/A Requesting Data...4237265838</v>
        <stp/>
        <stp>BDP|1316343491393619217</stp>
        <tr r="G2031" s="2"/>
      </tp>
      <tp t="s">
        <v>#N/A Requesting Data...2222306247</v>
        <stp/>
        <stp>BDP|2376682083481021794</stp>
        <tr r="G274" s="2"/>
      </tp>
      <tp t="s">
        <v>#N/A Requesting Data...3607212548</v>
        <stp/>
        <stp>BDP|3547615827318577572</stp>
        <tr r="M1843" s="2"/>
      </tp>
      <tp t="s">
        <v>#N/A Requesting Data...2837799409</v>
        <stp/>
        <stp>BDP|5353487797020532287</stp>
        <tr r="R144" s="2"/>
      </tp>
      <tp t="s">
        <v>#N/A Requesting Data...3960599136</v>
        <stp/>
        <stp>BDP|5765851876010109041</stp>
        <tr r="D805" s="2"/>
      </tp>
      <tp t="s">
        <v>#N/A Requesting Data...2376912027</v>
        <stp/>
        <stp>BDP|1111860066857969299</stp>
        <tr r="R1278" s="2"/>
      </tp>
      <tp t="s">
        <v>#N/A Requesting Data...3427713885</v>
        <stp/>
        <stp>BDP|5049053368440503995</stp>
        <tr r="D1250" s="2"/>
      </tp>
      <tp t="s">
        <v>#N/A Requesting Data...2548688183</v>
        <stp/>
        <stp>BDP|4437301055981180915</stp>
        <tr r="Q1298" s="2"/>
      </tp>
      <tp t="s">
        <v>#N/A Requesting Data...4032494057</v>
        <stp/>
        <stp>BDP|6068699008173880980</stp>
        <tr r="A454" s="2"/>
      </tp>
      <tp t="s">
        <v>#N/A Requesting Data...3025657663</v>
        <stp/>
        <stp>BDP|2518262643118034617</stp>
        <tr r="K1627" s="2"/>
      </tp>
      <tp t="s">
        <v>#N/A Requesting Data...2083291176</v>
        <stp/>
        <stp>BDP|6320739010232177877</stp>
        <tr r="D1113" s="2"/>
      </tp>
      <tp t="b">
        <v>0</v>
        <stp/>
        <stp>BDS|7988853647595441490</stp>
        <tr r="I1948" s="2"/>
      </tp>
      <tp t="s">
        <v>#N/A Requesting Data...3417689288</v>
        <stp/>
        <stp>BDP|9399064935621212143</stp>
        <tr r="G101" s="2"/>
      </tp>
      <tp t="s">
        <v>#N/A Requesting Data...2695132938</v>
        <stp/>
        <stp>BDP|6329144482397647258</stp>
        <tr r="J1202" s="2"/>
      </tp>
      <tp t="s">
        <v>#N/A Requesting Data...4245468551</v>
        <stp/>
        <stp>BDP|4740883159917208427</stp>
        <tr r="R774" s="2"/>
      </tp>
      <tp t="s">
        <v>#N/A Requesting Data...3214861559</v>
        <stp/>
        <stp>BDP|9651789906587618381</stp>
        <tr r="A1481" s="2"/>
      </tp>
      <tp t="b">
        <v>0</v>
        <stp/>
        <stp>BDS|2329468120687659953</stp>
        <tr r="I2316" s="2"/>
      </tp>
      <tp t="s">
        <v>#N/A Requesting Data...3418271580</v>
        <stp/>
        <stp>BDP|5812383770368597330</stp>
        <tr r="O198" s="2"/>
      </tp>
      <tp t="s">
        <v>#N/A Requesting Data...2861237121</v>
        <stp/>
        <stp>BDP|1530917036530303179</stp>
        <tr r="O2008" s="2"/>
      </tp>
      <tp t="b">
        <v>0</v>
        <stp/>
        <stp>BDS|2190104426648930383</stp>
        <tr r="I2090" s="2"/>
      </tp>
      <tp t="s">
        <v>#N/A Requesting Data...2893634537</v>
        <stp/>
        <stp>BDP|2400657640638086271</stp>
        <tr r="P855" s="2"/>
      </tp>
      <tp t="s">
        <v>#N/A Requesting Data...2584629408</v>
        <stp/>
        <stp>BDP|6291708525469241039</stp>
        <tr r="K882" s="2"/>
      </tp>
      <tp t="s">
        <v>#N/A Requesting Data...3089770253</v>
        <stp/>
        <stp>BDP|6335858855610634136</stp>
        <tr r="G40" s="2"/>
      </tp>
      <tp t="b">
        <v>0</v>
        <stp/>
        <stp>BDS|9800125929020191047</stp>
        <tr r="I2247" s="2"/>
      </tp>
      <tp t="s">
        <v>#N/A Requesting Data...3782859959</v>
        <stp/>
        <stp>BDP|8200390667920370795</stp>
        <tr r="G2041" s="2"/>
      </tp>
      <tp t="s">
        <v>#N/A Requesting Data...2315850462</v>
        <stp/>
        <stp>BDP|8304820041436293846</stp>
        <tr r="K703" s="2"/>
      </tp>
      <tp t="s">
        <v>#N/A Requesting Data...3333349221</v>
        <stp/>
        <stp>BDP|6425721550876082808</stp>
        <tr r="J1583" s="2"/>
      </tp>
      <tp t="s">
        <v>#N/A Requesting Data...3572857019</v>
        <stp/>
        <stp>BDP|4793921837821427509</stp>
        <tr r="K1373" s="2"/>
      </tp>
      <tp t="s">
        <v>#N/A Requesting Data...2136877438</v>
        <stp/>
        <stp>BDP|8563779577184325607</stp>
        <tr r="E888" s="2"/>
      </tp>
      <tp t="s">
        <v>#N/A Requesting Data...3135919561</v>
        <stp/>
        <stp>BDP|2172228283065123777</stp>
        <tr r="D313" s="2"/>
      </tp>
      <tp t="s">
        <v>#N/A Requesting Data...2983400905</v>
        <stp/>
        <stp>BDP|4062073813548639749</stp>
        <tr r="O352" s="2"/>
      </tp>
      <tp t="s">
        <v>#N/A Requesting Data...3440967882</v>
        <stp/>
        <stp>BDP|4825610154929236492</stp>
        <tr r="R1081" s="2"/>
      </tp>
      <tp t="s">
        <v>#N/A Requesting Data...3248961010</v>
        <stp/>
        <stp>BDP|2746861372911667630</stp>
        <tr r="H1335" s="2"/>
      </tp>
      <tp t="s">
        <v>#N/A Requesting Data...2633755988</v>
        <stp/>
        <stp>BDP|5821193035585762858</stp>
        <tr r="O2413" s="2"/>
      </tp>
      <tp t="s">
        <v>#N/A Requesting Data...2187411567</v>
        <stp/>
        <stp>BDP|3997950439165273612</stp>
        <tr r="R1772" s="2"/>
      </tp>
      <tp t="s">
        <v>#N/A Requesting Data...3588951796</v>
        <stp/>
        <stp>BDP|9203905604668763278</stp>
        <tr r="Q1518" s="2"/>
      </tp>
      <tp t="s">
        <v>#N/A Requesting Data...3761745677</v>
        <stp/>
        <stp>BDP|1067722837917560866</stp>
        <tr r="F1377" s="2"/>
      </tp>
      <tp t="s">
        <v>#N/A Requesting Data...2419526684</v>
        <stp/>
        <stp>BDP|6507418777446380968</stp>
        <tr r="D503" s="2"/>
      </tp>
      <tp t="s">
        <v>#N/A Requesting Data...2897400444</v>
        <stp/>
        <stp>BDP|2052557299947802327</stp>
        <tr r="O325" s="2"/>
      </tp>
      <tp t="s">
        <v>#N/A Requesting Data...3539758548</v>
        <stp/>
        <stp>BDP|8968985821358543138</stp>
        <tr r="J2187" s="2"/>
      </tp>
      <tp t="s">
        <v>#N/A Requesting Data...4237820603</v>
        <stp/>
        <stp>BDP|8783177060833397652</stp>
        <tr r="C367" s="2"/>
      </tp>
      <tp t="s">
        <v>#N/A Requesting Data...2165820967</v>
        <stp/>
        <stp>BDP|2018121654624130819</stp>
        <tr r="N144" s="2"/>
      </tp>
      <tp t="s">
        <v>#N/A Requesting Data...3482903072</v>
        <stp/>
        <stp>BDP|9782054872324177074</stp>
        <tr r="G2033" s="2"/>
      </tp>
      <tp t="s">
        <v>#N/A Requesting Data...3669203512</v>
        <stp/>
        <stp>BDP|8879441503804914203</stp>
        <tr r="E1303" s="2"/>
      </tp>
      <tp t="s">
        <v>#N/A Requesting Data...2156920344</v>
        <stp/>
        <stp>BDP|1419261586862773353</stp>
        <tr r="N2478" s="2"/>
      </tp>
      <tp t="s">
        <v>#N/A Requesting Data...3390988444</v>
        <stp/>
        <stp>BDP|2239224983683399167</stp>
        <tr r="A1364" s="2"/>
      </tp>
      <tp t="s">
        <v>#N/A Requesting Data...2235327472</v>
        <stp/>
        <stp>BDP|2600847801488791825</stp>
        <tr r="E1195" s="2"/>
      </tp>
      <tp t="s">
        <v>#N/A Requesting Data...3422681661</v>
        <stp/>
        <stp>BDP|7893075362543978821</stp>
        <tr r="S696" s="2"/>
      </tp>
      <tp t="s">
        <v>#N/A Requesting Data...4192259316</v>
        <stp/>
        <stp>BDP|4549831403124291212</stp>
        <tr r="M1250" s="2"/>
      </tp>
      <tp t="s">
        <v>#N/A Requesting Data...2649142225</v>
        <stp/>
        <stp>BDP|6570819047731309166</stp>
        <tr r="J1926" s="2"/>
      </tp>
      <tp t="s">
        <v>#N/A Requesting Data...2916498959</v>
        <stp/>
        <stp>BDP|4155069649678930217</stp>
        <tr r="N581" s="2"/>
      </tp>
      <tp t="s">
        <v>#N/A Requesting Data...3544580459</v>
        <stp/>
        <stp>BDP|5216337642520087855</stp>
        <tr r="G787" s="2"/>
      </tp>
      <tp t="s">
        <v>#N/A Requesting Data...4030144229</v>
        <stp/>
        <stp>BDP|2524852085010182826</stp>
        <tr r="A99" s="2"/>
      </tp>
      <tp t="s">
        <v>#N/A Requesting Data...4117094533</v>
        <stp/>
        <stp>BDP|2162949597169271167</stp>
        <tr r="D1508" s="2"/>
      </tp>
      <tp t="s">
        <v>#N/A Requesting Data...3818075387</v>
        <stp/>
        <stp>BDP|8576312215529697917</stp>
        <tr r="H2330" s="2"/>
      </tp>
      <tp t="s">
        <v>#N/A Requesting Data...4032760975</v>
        <stp/>
        <stp>BDP|5333259885021170443</stp>
        <tr r="K1679" s="2"/>
      </tp>
      <tp t="s">
        <v>#N/A Requesting Data...4029920444</v>
        <stp/>
        <stp>BDP|6160372865839730021</stp>
        <tr r="O2265" s="2"/>
      </tp>
      <tp t="s">
        <v>#N/A Requesting Data...3023305027</v>
        <stp/>
        <stp>BDP|7974517580712925274</stp>
        <tr r="S1638" s="2"/>
      </tp>
      <tp t="s">
        <v>#N/A Requesting Data...2348636795</v>
        <stp/>
        <stp>BDP|7332111557031634850</stp>
        <tr r="G729" s="2"/>
      </tp>
      <tp t="s">
        <v>#N/A Requesting Data...2311594568</v>
        <stp/>
        <stp>BDP|1149203081760150174</stp>
        <tr r="A2519" s="2"/>
      </tp>
      <tp t="s">
        <v>#N/A Requesting Data...3246746533</v>
        <stp/>
        <stp>BDP|8206713642180063175</stp>
        <tr r="J342" s="2"/>
      </tp>
      <tp t="s">
        <v>#N/A Requesting Data...4038907466</v>
        <stp/>
        <stp>BDP|3081976112879102826</stp>
        <tr r="C1707" s="2"/>
      </tp>
      <tp t="s">
        <v>#N/A Requesting Data...3696682783</v>
        <stp/>
        <stp>BDP|5179735999956529789</stp>
        <tr r="S922" s="2"/>
      </tp>
      <tp t="s">
        <v>#N/A Requesting Data...2444399484</v>
        <stp/>
        <stp>BDP|4258503743416330941</stp>
        <tr r="E1685" s="2"/>
      </tp>
      <tp t="s">
        <v>#N/A Requesting Data...4154079380</v>
        <stp/>
        <stp>BDP|9968603098774205852</stp>
        <tr r="J1626" s="2"/>
      </tp>
      <tp t="s">
        <v>#N/A Requesting Data...3285925442</v>
        <stp/>
        <stp>BDP|9886204398971222944</stp>
        <tr r="C32" s="2"/>
      </tp>
      <tp t="s">
        <v>#N/A Requesting Data...4291512490</v>
        <stp/>
        <stp>BDP|6614531896367126742</stp>
        <tr r="N1858" s="2"/>
      </tp>
      <tp t="s">
        <v>#N/A Requesting Data...2358247487</v>
        <stp/>
        <stp>BDP|8462188977432997640</stp>
        <tr r="P1250" s="2"/>
      </tp>
      <tp t="s">
        <v>#N/A Requesting Data...4084873444</v>
        <stp/>
        <stp>BDP|3508826420402954184</stp>
        <tr r="N2059" s="2"/>
      </tp>
      <tp t="s">
        <v>#N/A Requesting Data...3676384113</v>
        <stp/>
        <stp>BDP|6491868871317272476</stp>
        <tr r="T1744" s="2"/>
      </tp>
      <tp t="s">
        <v>#N/A Requesting Data...3489728793</v>
        <stp/>
        <stp>BDP|9617647435821347728</stp>
        <tr r="C1148" s="2"/>
      </tp>
      <tp t="s">
        <v>#N/A Requesting Data...3373710512</v>
        <stp/>
        <stp>BDP|7907131391402963741</stp>
        <tr r="K919" s="2"/>
      </tp>
      <tp t="s">
        <v>#N/A Requesting Data...3078021230</v>
        <stp/>
        <stp>BDP|2207113183118414921</stp>
        <tr r="S1015" s="2"/>
      </tp>
      <tp t="s">
        <v>#N/A Requesting Data...2625589428</v>
        <stp/>
        <stp>BDP|7403994140720823033</stp>
        <tr r="J2488" s="2"/>
      </tp>
      <tp t="s">
        <v>#N/A Requesting Data...3401583444</v>
        <stp/>
        <stp>BDP|3956455388302269707</stp>
        <tr r="R1711" s="2"/>
      </tp>
      <tp t="s">
        <v>#N/A Requesting Data...2408094785</v>
        <stp/>
        <stp>BDP|3051805182191023841</stp>
        <tr r="M665" s="2"/>
      </tp>
      <tp t="s">
        <v>#N/A Requesting Data...3925648387</v>
        <stp/>
        <stp>BDP|8869530900521578686</stp>
        <tr r="G1378" s="2"/>
      </tp>
      <tp t="s">
        <v>#N/A Requesting Data...3464633598</v>
        <stp/>
        <stp>BDP|4153682942155904944</stp>
        <tr r="H1948" s="2"/>
      </tp>
      <tp t="s">
        <v>#N/A Requesting Data...3063374684</v>
        <stp/>
        <stp>BDP|3264937417467905690</stp>
        <tr r="A450" s="2"/>
      </tp>
      <tp t="s">
        <v>#N/A Requesting Data...3296710085</v>
        <stp/>
        <stp>BDP|8955185713586699429</stp>
        <tr r="F65" s="2"/>
      </tp>
      <tp t="s">
        <v>#N/A Requesting Data...4286059880</v>
        <stp/>
        <stp>BDP|9632489989379480654</stp>
        <tr r="E558" s="2"/>
      </tp>
      <tp t="s">
        <v>#N/A Requesting Data...3304696213</v>
        <stp/>
        <stp>BDP|6464465913420010973</stp>
        <tr r="G1578" s="2"/>
      </tp>
      <tp t="s">
        <v>#N/A Requesting Data...3581680932</v>
        <stp/>
        <stp>BDP|5415867567328333902</stp>
        <tr r="T1119" s="2"/>
      </tp>
      <tp t="s">
        <v>#N/A Requesting Data...3021832083</v>
        <stp/>
        <stp>BDP|6399909852550305041</stp>
        <tr r="E634" s="2"/>
      </tp>
      <tp t="s">
        <v>#N/A Requesting Data...2303753446</v>
        <stp/>
        <stp>BDP|3710904273145409260</stp>
        <tr r="E1415" s="2"/>
      </tp>
      <tp t="s">
        <v>#N/A Requesting Data...2685316272</v>
        <stp/>
        <stp>BDP|8501215533460063310</stp>
        <tr r="H2382" s="2"/>
      </tp>
      <tp t="s">
        <v>#N/A Requesting Data...2392636575</v>
        <stp/>
        <stp>BDP|8403102173455635172</stp>
        <tr r="R731" s="2"/>
      </tp>
      <tp t="s">
        <v>#N/A Requesting Data...2998302734</v>
        <stp/>
        <stp>BDP|4745477094786142537</stp>
        <tr r="T1805" s="2"/>
      </tp>
      <tp t="s">
        <v>#N/A Requesting Data...3969505036</v>
        <stp/>
        <stp>BDP|7543359574898354117</stp>
        <tr r="M1138" s="2"/>
      </tp>
      <tp t="s">
        <v>#N/A Requesting Data...2856918264</v>
        <stp/>
        <stp>BDP|8862446808843395516</stp>
        <tr r="E1773" s="2"/>
      </tp>
      <tp t="s">
        <v>#N/A Requesting Data...4243090592</v>
        <stp/>
        <stp>BDP|3596453037936761863</stp>
        <tr r="R1558" s="2"/>
      </tp>
      <tp t="s">
        <v>#N/A Requesting Data...3596218084</v>
        <stp/>
        <stp>BDP|8983649599739003420</stp>
        <tr r="Q1390" s="2"/>
      </tp>
      <tp t="s">
        <v>#N/A Requesting Data...2728582021</v>
        <stp/>
        <stp>BDP|5160944229250976431</stp>
        <tr r="Q138" s="2"/>
      </tp>
      <tp t="s">
        <v>#N/A Requesting Data...3852130069</v>
        <stp/>
        <stp>BDP|3052514143249775132</stp>
        <tr r="T1214" s="2"/>
      </tp>
      <tp t="s">
        <v>#N/A Requesting Data...2511482343</v>
        <stp/>
        <stp>BDP|3250813926027098439</stp>
        <tr r="R172" s="2"/>
      </tp>
      <tp t="s">
        <v>#N/A Requesting Data...4011755284</v>
        <stp/>
        <stp>BDP|9996783348461998161</stp>
        <tr r="P1039" s="2"/>
      </tp>
      <tp t="s">
        <v>#N/A Requesting Data...4218286371</v>
        <stp/>
        <stp>BDP|2515745154858647241</stp>
        <tr r="O258" s="2"/>
      </tp>
      <tp t="s">
        <v>#N/A Requesting Data...2347899589</v>
        <stp/>
        <stp>BDP|9525250038852766085</stp>
        <tr r="E2360" s="2"/>
      </tp>
      <tp t="s">
        <v>#N/A Requesting Data...3886600693</v>
        <stp/>
        <stp>BDP|4925975677702701299</stp>
        <tr r="G1582" s="2"/>
      </tp>
      <tp t="b">
        <v>0</v>
        <stp/>
        <stp>BDS|6105986874093249188</stp>
        <tr r="I2101" s="2"/>
      </tp>
      <tp t="s">
        <v>#N/A Requesting Data...3499359832</v>
        <stp/>
        <stp>BDP|6573358885600022722</stp>
        <tr r="C2445" s="2"/>
      </tp>
      <tp t="s">
        <v>#N/A Requesting Data...3386430684</v>
        <stp/>
        <stp>BDP|7781254205707044807</stp>
        <tr r="A268" s="2"/>
      </tp>
      <tp t="s">
        <v>#N/A Requesting Data...3417610209</v>
        <stp/>
        <stp>BDP|3120914366973675570</stp>
        <tr r="K761" s="2"/>
      </tp>
      <tp t="s">
        <v>#N/A Requesting Data...2932997348</v>
        <stp/>
        <stp>BDP|2793040710771201866</stp>
        <tr r="A2490" s="2"/>
      </tp>
      <tp t="s">
        <v>#N/A Requesting Data...3246397104</v>
        <stp/>
        <stp>BDP|2780693732349270497</stp>
        <tr r="O1026" s="2"/>
      </tp>
      <tp t="s">
        <v>#N/A Requesting Data...3569882314</v>
        <stp/>
        <stp>BDP|9212731527226729068</stp>
        <tr r="C681" s="2"/>
      </tp>
      <tp t="s">
        <v>#N/A Requesting Data...2414741288</v>
        <stp/>
        <stp>BDP|9475874635450499856</stp>
        <tr r="G1451" s="2"/>
      </tp>
      <tp t="s">
        <v>#N/A Requesting Data...2920422522</v>
        <stp/>
        <stp>BDP|5131465463589795442</stp>
        <tr r="E1780" s="2"/>
      </tp>
      <tp t="s">
        <v>#N/A Requesting Data...3573911287</v>
        <stp/>
        <stp>BDP|9570733728882056491</stp>
        <tr r="R1130" s="2"/>
      </tp>
      <tp t="s">
        <v>#N/A Requesting Data...2577958432</v>
        <stp/>
        <stp>BDP|8183349245362585721</stp>
        <tr r="G1234" s="2"/>
      </tp>
      <tp t="s">
        <v>#N/A Requesting Data...3528613972</v>
        <stp/>
        <stp>BDP|8826580152411642338</stp>
        <tr r="C1928" s="2"/>
      </tp>
      <tp t="b">
        <v>0</v>
        <stp/>
        <stp>BDS|2241975996889007140</stp>
        <tr r="I2447" s="2"/>
      </tp>
      <tp t="s">
        <v>#N/A Requesting Data...4146359621</v>
        <stp/>
        <stp>BDP|3403932552874072127</stp>
        <tr r="J723" s="2"/>
      </tp>
      <tp t="s">
        <v>#N/A Requesting Data...3905225137</v>
        <stp/>
        <stp>BDP|8091264748636948205</stp>
        <tr r="D1875" s="2"/>
      </tp>
      <tp t="s">
        <v>#N/A Requesting Data...2577569779</v>
        <stp/>
        <stp>BDP|2648419470742507950</stp>
        <tr r="R104" s="2"/>
      </tp>
      <tp t="s">
        <v>#N/A Requesting Data...2826493121</v>
        <stp/>
        <stp>BDP|4672707381805618463</stp>
        <tr r="A1516" s="2"/>
      </tp>
      <tp t="s">
        <v>#N/A Requesting Data...2484475421</v>
        <stp/>
        <stp>BDP|3005974293851038835</stp>
        <tr r="T2049" s="2"/>
      </tp>
      <tp t="s">
        <v>#N/A Requesting Data...2817255133</v>
        <stp/>
        <stp>BDP|1254515154128452349</stp>
        <tr r="S834" s="2"/>
      </tp>
      <tp t="s">
        <v>#N/A Requesting Data...3529162268</v>
        <stp/>
        <stp>BDP|6307826095854345907</stp>
        <tr r="R2079" s="2"/>
      </tp>
      <tp t="s">
        <v>#N/A Requesting Data...2903665334</v>
        <stp/>
        <stp>BDP|3854426790006563288</stp>
        <tr r="G377" s="2"/>
      </tp>
      <tp t="s">
        <v>#N/A Requesting Data...3058583159</v>
        <stp/>
        <stp>BDP|1328517184942075416</stp>
        <tr r="S818" s="2"/>
      </tp>
      <tp t="s">
        <v>#N/A Requesting Data...2819778780</v>
        <stp/>
        <stp>BDP|1109489289654545326</stp>
        <tr r="T2503" s="2"/>
      </tp>
      <tp t="s">
        <v>#N/A Requesting Data...4095391721</v>
        <stp/>
        <stp>BDP|5511297040351200899</stp>
        <tr r="A2179" s="2"/>
      </tp>
      <tp t="s">
        <v>#N/A Requesting Data...2788139768</v>
        <stp/>
        <stp>BDP|7582361973379479031</stp>
        <tr r="P135" s="2"/>
      </tp>
      <tp t="s">
        <v>#N/A Requesting Data...2958519777</v>
        <stp/>
        <stp>BDP|1625729421076456862</stp>
        <tr r="D8" s="2"/>
      </tp>
      <tp t="s">
        <v>#N/A Requesting Data...2763836246</v>
        <stp/>
        <stp>BDP|8601939550429534772</stp>
        <tr r="N1937" s="2"/>
      </tp>
      <tp t="s">
        <v>#N/A Requesting Data...2926807383</v>
        <stp/>
        <stp>BDP|8859035960300873448</stp>
        <tr r="A679" s="2"/>
      </tp>
      <tp t="s">
        <v>#N/A Requesting Data...3885433954</v>
        <stp/>
        <stp>BDP|8278118623625761403</stp>
        <tr r="T1630" s="2"/>
      </tp>
      <tp t="s">
        <v>#N/A Requesting Data...3510189869</v>
        <stp/>
        <stp>BDP|1807163953149864628</stp>
        <tr r="J2307" s="2"/>
      </tp>
      <tp t="s">
        <v>#N/A Requesting Data...3666891475</v>
        <stp/>
        <stp>BDP|6678087744609537189</stp>
        <tr r="D2019" s="2"/>
      </tp>
      <tp t="s">
        <v>#N/A Requesting Data...3797095241</v>
        <stp/>
        <stp>BDP|8875117979912607615</stp>
        <tr r="N1520" s="2"/>
      </tp>
      <tp t="s">
        <v>#N/A Requesting Data...3109627242</v>
        <stp/>
        <stp>BDP|2026920074851275732</stp>
        <tr r="Q1711" s="2"/>
      </tp>
      <tp t="s">
        <v>#N/A Requesting Data...3710246960</v>
        <stp/>
        <stp>BDP|3257864674331355748</stp>
        <tr r="H2521" s="2"/>
      </tp>
      <tp t="s">
        <v>#N/A Requesting Data...3999691612</v>
        <stp/>
        <stp>BDP|3530153358839977460</stp>
        <tr r="F2355" s="2"/>
      </tp>
      <tp t="s">
        <v>#N/A Requesting Data...3366458071</v>
        <stp/>
        <stp>BDP|2950623598811414600</stp>
        <tr r="T78" s="2"/>
      </tp>
      <tp t="s">
        <v>#N/A Requesting Data...3662818863</v>
        <stp/>
        <stp>BDP|1558863146835228203</stp>
        <tr r="H2383" s="2"/>
      </tp>
      <tp t="s">
        <v>#N/A Requesting Data...3149733135</v>
        <stp/>
        <stp>BDP|8152768963592120125</stp>
        <tr r="O1642" s="2"/>
      </tp>
      <tp t="s">
        <v>#N/A Requesting Data...2485066062</v>
        <stp/>
        <stp>BDP|7319102964648297223</stp>
        <tr r="H1940" s="2"/>
      </tp>
      <tp t="s">
        <v>#N/A Requesting Data...3092774418</v>
        <stp/>
        <stp>BDP|9856773884468884445</stp>
        <tr r="K1695" s="2"/>
      </tp>
      <tp t="s">
        <v>#N/A Requesting Data...2550530625</v>
        <stp/>
        <stp>BDP|8335448136794273144</stp>
        <tr r="R286" s="2"/>
      </tp>
      <tp t="s">
        <v>#N/A Requesting Data...3277364668</v>
        <stp/>
        <stp>BDP|1876891844041515678</stp>
        <tr r="G117" s="2"/>
      </tp>
      <tp t="s">
        <v>#N/A Requesting Data...2695125759</v>
        <stp/>
        <stp>BDP|1469363787775292504</stp>
        <tr r="E1782" s="2"/>
      </tp>
      <tp t="s">
        <v>#N/A Requesting Data...2631182127</v>
        <stp/>
        <stp>BDP|1493208694658295850</stp>
        <tr r="Q1662" s="2"/>
      </tp>
      <tp t="s">
        <v>#N/A Requesting Data...3419021895</v>
        <stp/>
        <stp>BDP|8683507712881689751</stp>
        <tr r="P523" s="2"/>
      </tp>
      <tp t="s">
        <v>#N/A Requesting Data...3661957782</v>
        <stp/>
        <stp>BDP|8939880597896972582</stp>
        <tr r="E2385" s="2"/>
      </tp>
      <tp t="s">
        <v>#N/A Requesting Data...3054449474</v>
        <stp/>
        <stp>BDP|4659873533840336563</stp>
        <tr r="F50" s="2"/>
      </tp>
      <tp t="s">
        <v>#N/A Requesting Data...4064728265</v>
        <stp/>
        <stp>BDP|7499873085608406552</stp>
        <tr r="H1137" s="2"/>
      </tp>
      <tp t="s">
        <v>#N/A Requesting Data...2610941214</v>
        <stp/>
        <stp>BDP|9462712221175733347</stp>
        <tr r="D1414" s="2"/>
      </tp>
      <tp t="s">
        <v>#N/A Requesting Data...2548891362</v>
        <stp/>
        <stp>BDP|9872714082008925450</stp>
        <tr r="D2192" s="2"/>
      </tp>
      <tp t="s">
        <v>#N/A Requesting Data...3123761701</v>
        <stp/>
        <stp>BDP|3377934690450075971</stp>
        <tr r="C1422" s="2"/>
      </tp>
      <tp t="s">
        <v>#N/A Requesting Data...2903609145</v>
        <stp/>
        <stp>BDP|5224780826298309281</stp>
        <tr r="O2529" s="2"/>
      </tp>
      <tp t="s">
        <v>#N/A Requesting Data...3595650251</v>
        <stp/>
        <stp>BDP|3781515961043759978</stp>
        <tr r="F35" s="2"/>
      </tp>
      <tp t="s">
        <v>#N/A Requesting Data...3520269650</v>
        <stp/>
        <stp>BDP|1795109538108800102</stp>
        <tr r="Q2080" s="2"/>
      </tp>
      <tp t="s">
        <v>#N/A Requesting Data...4243175994</v>
        <stp/>
        <stp>BDP|4635124611756516872</stp>
        <tr r="T2285" s="2"/>
      </tp>
      <tp t="s">
        <v>#N/A Requesting Data...3428356467</v>
        <stp/>
        <stp>BDP|5145412584847694454</stp>
        <tr r="D269" s="2"/>
      </tp>
      <tp t="s">
        <v>#N/A Requesting Data...3748349659</v>
        <stp/>
        <stp>BDP|2090763045258137358</stp>
        <tr r="P1037" s="2"/>
      </tp>
      <tp t="s">
        <v>#N/A Requesting Data...2682206849</v>
        <stp/>
        <stp>BDP|6354175912479878590</stp>
        <tr r="K1770" s="2"/>
      </tp>
      <tp t="s">
        <v>#N/A Requesting Data...3331503002</v>
        <stp/>
        <stp>BDP|3161263620351141811</stp>
        <tr r="G242" s="2"/>
      </tp>
      <tp t="s">
        <v>#N/A Requesting Data...3723114221</v>
        <stp/>
        <stp>BDP|1919911113306954555</stp>
        <tr r="C2524" s="2"/>
      </tp>
      <tp t="s">
        <v>#N/A Requesting Data...3141218809</v>
        <stp/>
        <stp>BDP|7538201092433654560</stp>
        <tr r="H400" s="2"/>
      </tp>
      <tp t="s">
        <v>#N/A Requesting Data...4174470775</v>
        <stp/>
        <stp>BDP|2562914185991181870</stp>
        <tr r="D782" s="2"/>
      </tp>
      <tp t="s">
        <v>#N/A Requesting Data...2789925451</v>
        <stp/>
        <stp>BDP|3600467481425155074</stp>
        <tr r="F788" s="2"/>
      </tp>
      <tp t="s">
        <v>#N/A Requesting Data...2567976795</v>
        <stp/>
        <stp>BDP|8874974281930808318</stp>
        <tr r="M2103" s="2"/>
      </tp>
      <tp t="s">
        <v>#N/A Requesting Data...2792711351</v>
        <stp/>
        <stp>BDP|9956476958370247236</stp>
        <tr r="Q603" s="2"/>
      </tp>
      <tp t="s">
        <v>#N/A Requesting Data...4201847435</v>
        <stp/>
        <stp>BDP|9473741641134342456</stp>
        <tr r="S1318" s="2"/>
      </tp>
      <tp t="b">
        <v>0</v>
        <stp/>
        <stp>BDS|6175708212832671826</stp>
        <tr r="I1345" s="2"/>
      </tp>
      <tp t="s">
        <v>#N/A Requesting Data...2998209710</v>
        <stp/>
        <stp>BDP|8697722579320896224</stp>
        <tr r="Q968" s="2"/>
      </tp>
      <tp t="s">
        <v>#N/A Requesting Data...3997624234</v>
        <stp/>
        <stp>BDP|4786853125676105219</stp>
        <tr r="E613" s="2"/>
      </tp>
      <tp t="s">
        <v>#N/A Requesting Data...3018047090</v>
        <stp/>
        <stp>BDP|5095752381501180122</stp>
        <tr r="T102" s="2"/>
      </tp>
      <tp t="s">
        <v>#N/A Requesting Data...3887790786</v>
        <stp/>
        <stp>BDP|7481452384600482160</stp>
        <tr r="O1067" s="2"/>
      </tp>
      <tp t="s">
        <v>#N/A Requesting Data...2550734812</v>
        <stp/>
        <stp>BDP|4139215646178829091</stp>
        <tr r="F2272" s="2"/>
      </tp>
      <tp t="s">
        <v>#N/A Requesting Data...3083207987</v>
        <stp/>
        <stp>BDP|6410935367587277452</stp>
        <tr r="A2134" s="2"/>
      </tp>
      <tp t="s">
        <v>#N/A Requesting Data...3482968373</v>
        <stp/>
        <stp>BDP|3238031886605429442</stp>
        <tr r="K530" s="2"/>
      </tp>
      <tp t="s">
        <v>#N/A Requesting Data...2686968074</v>
        <stp/>
        <stp>BDP|7035420625302647963</stp>
        <tr r="K2017" s="2"/>
      </tp>
      <tp t="s">
        <v>#N/A Requesting Data...3199802475</v>
        <stp/>
        <stp>BDP|3466744027799069504</stp>
        <tr r="A1108" s="2"/>
      </tp>
      <tp t="s">
        <v>#N/A Requesting Data...3600759897</v>
        <stp/>
        <stp>BDP|5869384537188373733</stp>
        <tr r="R969" s="2"/>
      </tp>
      <tp t="s">
        <v>#N/A Requesting Data...2943395923</v>
        <stp/>
        <stp>BDP|8250567557463642125</stp>
        <tr r="C1080" s="2"/>
      </tp>
      <tp t="s">
        <v>#N/A Requesting Data...2681029111</v>
        <stp/>
        <stp>BDP|9956525089336254871</stp>
        <tr r="T2181" s="2"/>
      </tp>
      <tp t="s">
        <v>#N/A Requesting Data...2647056906</v>
        <stp/>
        <stp>BDP|9340235619755850564</stp>
        <tr r="O2282" s="2"/>
      </tp>
      <tp t="s">
        <v>#N/A Requesting Data...2709631593</v>
        <stp/>
        <stp>BDP|9765222593821781963</stp>
        <tr r="R2018" s="2"/>
      </tp>
      <tp t="s">
        <v>#N/A Requesting Data...3228555122</v>
        <stp/>
        <stp>BDP|2308722056119915395</stp>
        <tr r="F2203" s="2"/>
      </tp>
      <tp t="s">
        <v>#N/A Requesting Data...3716538908</v>
        <stp/>
        <stp>BDP|4081945145696486524</stp>
        <tr r="M878" s="2"/>
      </tp>
      <tp t="s">
        <v>#N/A Requesting Data...3723385580</v>
        <stp/>
        <stp>BDP|4150352200004576966</stp>
        <tr r="R2463" s="2"/>
      </tp>
      <tp t="s">
        <v>#N/A Requesting Data...3012863238</v>
        <stp/>
        <stp>BDP|8260434282437241964</stp>
        <tr r="O120" s="2"/>
      </tp>
      <tp t="s">
        <v>#N/A Requesting Data...3603174204</v>
        <stp/>
        <stp>BDP|8647518116754188275</stp>
        <tr r="M327" s="2"/>
      </tp>
      <tp t="s">
        <v>#N/A Requesting Data...4052223725</v>
        <stp/>
        <stp>BDP|7478038735129639704</stp>
        <tr r="D299" s="2"/>
      </tp>
      <tp t="s">
        <v>#N/A Requesting Data...3585967230</v>
        <stp/>
        <stp>BDP|8733507129306877329</stp>
        <tr r="S581" s="2"/>
      </tp>
      <tp t="s">
        <v>#N/A Requesting Data...3973214284</v>
        <stp/>
        <stp>BDP|4037706115121349929</stp>
        <tr r="M2102" s="2"/>
      </tp>
      <tp t="s">
        <v>#N/A Requesting Data...3573201325</v>
        <stp/>
        <stp>BDP|1362839828675965456</stp>
        <tr r="F2505" s="2"/>
      </tp>
      <tp t="s">
        <v>#N/A Requesting Data...3845484929</v>
        <stp/>
        <stp>BDP|2530989024214960746</stp>
        <tr r="F685" s="2"/>
      </tp>
      <tp t="s">
        <v>#N/A Requesting Data...2818288188</v>
        <stp/>
        <stp>BDP|2097073385350363057</stp>
        <tr r="H1890" s="2"/>
      </tp>
      <tp t="s">
        <v>#N/A Requesting Data...4227978387</v>
        <stp/>
        <stp>BDP|5480423918528237285</stp>
        <tr r="F2397" s="2"/>
      </tp>
      <tp t="s">
        <v>#N/A Requesting Data...3309996902</v>
        <stp/>
        <stp>BDP|4337628320488014256</stp>
        <tr r="O2046" s="2"/>
      </tp>
      <tp t="s">
        <v>#N/A Requesting Data...2888646475</v>
        <stp/>
        <stp>BDP|5132661889241217089</stp>
        <tr r="K2291" s="2"/>
      </tp>
      <tp t="s">
        <v>#N/A Requesting Data...3563415888</v>
        <stp/>
        <stp>BDP|4543975219914815272</stp>
        <tr r="E1198" s="2"/>
      </tp>
      <tp t="s">
        <v>#N/A Requesting Data...3565622902</v>
        <stp/>
        <stp>BDP|9297376722800585264</stp>
        <tr r="A911" s="2"/>
      </tp>
      <tp t="s">
        <v>#N/A Requesting Data...4177329015</v>
        <stp/>
        <stp>BDP|8805989056256723852</stp>
        <tr r="P2430" s="2"/>
      </tp>
      <tp t="s">
        <v>#N/A Requesting Data...3286169227</v>
        <stp/>
        <stp>BDP|5596651906570146932</stp>
        <tr r="D565" s="2"/>
      </tp>
      <tp t="s">
        <v>#N/A Requesting Data...3396540292</v>
        <stp/>
        <stp>BDP|7635877354496026619</stp>
        <tr r="A1298" s="2"/>
      </tp>
      <tp t="s">
        <v>#N/A Requesting Data...2776489464</v>
        <stp/>
        <stp>BDP|7526879043799765821</stp>
        <tr r="D2419" s="2"/>
      </tp>
      <tp t="s">
        <v>#N/A Requesting Data...3421204287</v>
        <stp/>
        <stp>BDP|6162278979588825133</stp>
        <tr r="M1597" s="2"/>
      </tp>
      <tp t="s">
        <v>#N/A Requesting Data...3266560573</v>
        <stp/>
        <stp>BDP|8769447964691258118</stp>
        <tr r="P125" s="2"/>
      </tp>
      <tp t="s">
        <v>#N/A Requesting Data...4265658598</v>
        <stp/>
        <stp>BDP|7797910110736526376</stp>
        <tr r="A2506" s="2"/>
      </tp>
      <tp t="s">
        <v>#N/A Requesting Data...4259004298</v>
        <stp/>
        <stp>BDP|7243514667186833888</stp>
        <tr r="K2412" s="2"/>
      </tp>
      <tp t="s">
        <v>#N/A Requesting Data...2932436250</v>
        <stp/>
        <stp>BDP|3011903725183801199</stp>
        <tr r="J2361" s="2"/>
      </tp>
      <tp t="s">
        <v>#N/A Requesting Data...4166464916</v>
        <stp/>
        <stp>BDP|1499951283739401325</stp>
        <tr r="E2083" s="2"/>
      </tp>
      <tp t="s">
        <v>#N/A Requesting Data...3137380151</v>
        <stp/>
        <stp>BDP|9085967856228724735</stp>
        <tr r="C2220" s="2"/>
      </tp>
      <tp t="s">
        <v>#N/A Requesting Data...2632354002</v>
        <stp/>
        <stp>BDP|3464739052909188203</stp>
        <tr r="N222" s="2"/>
      </tp>
      <tp t="s">
        <v>#N/A Requesting Data...4086280147</v>
        <stp/>
        <stp>BDP|6240325384195397234</stp>
        <tr r="J1120" s="2"/>
      </tp>
      <tp t="s">
        <v>#N/A Requesting Data...3482496569</v>
        <stp/>
        <stp>BDP|7376007724079056639</stp>
        <tr r="K702" s="2"/>
      </tp>
      <tp t="s">
        <v>#N/A Requesting Data...3405294112</v>
        <stp/>
        <stp>BDP|5877406666894967933</stp>
        <tr r="E1778" s="2"/>
      </tp>
      <tp t="s">
        <v>#N/A Requesting Data...3115046848</v>
        <stp/>
        <stp>BDP|5214153793120279728</stp>
        <tr r="A2121" s="2"/>
      </tp>
      <tp t="s">
        <v>#N/A Requesting Data...4221920969</v>
        <stp/>
        <stp>BDP|3563849812311623112</stp>
        <tr r="O799" s="2"/>
      </tp>
      <tp t="b">
        <v>0</v>
        <stp/>
        <stp>BDS|9946795694418438549</stp>
        <tr r="I985" s="2"/>
      </tp>
      <tp t="s">
        <v>#N/A Requesting Data...4174400302</v>
        <stp/>
        <stp>BDP|6885274317479405687</stp>
        <tr r="F1149" s="2"/>
      </tp>
      <tp t="s">
        <v>#N/A Requesting Data...3561252935</v>
        <stp/>
        <stp>BDP|2092871270882778548</stp>
        <tr r="Q942" s="2"/>
      </tp>
      <tp t="s">
        <v>#N/A Requesting Data...2850286006</v>
        <stp/>
        <stp>BDP|3854069288291392018</stp>
        <tr r="M262" s="2"/>
      </tp>
      <tp t="s">
        <v>#N/A Requesting Data...3217863119</v>
        <stp/>
        <stp>BDP|8258560250521981397</stp>
        <tr r="F2279" s="2"/>
      </tp>
      <tp t="s">
        <v>#N/A Requesting Data...4176381309</v>
        <stp/>
        <stp>BDP|1496741816808085527</stp>
        <tr r="Q1327" s="2"/>
      </tp>
      <tp t="s">
        <v>#N/A Requesting Data...3206613770</v>
        <stp/>
        <stp>BDP|2283301771655164967</stp>
        <tr r="R1466" s="2"/>
      </tp>
      <tp t="s">
        <v>#N/A Requesting Data...3882973403</v>
        <stp/>
        <stp>BDP|2451674232948475511</stp>
        <tr r="S1798" s="2"/>
      </tp>
      <tp t="s">
        <v>#N/A Requesting Data...3077793813</v>
        <stp/>
        <stp>BDP|2611888752405082084</stp>
        <tr r="T134" s="2"/>
      </tp>
      <tp t="s">
        <v>#N/A Requesting Data...3032045236</v>
        <stp/>
        <stp>BDP|9308899632390520899</stp>
        <tr r="F1036" s="2"/>
      </tp>
      <tp t="s">
        <v>#N/A Requesting Data...3544044509</v>
        <stp/>
        <stp>BDP|5162852313454335202</stp>
        <tr r="D297" s="2"/>
      </tp>
      <tp t="s">
        <v>#N/A Requesting Data...3232622344</v>
        <stp/>
        <stp>BDP|5838035766319820016</stp>
        <tr r="Q2457" s="2"/>
      </tp>
      <tp t="s">
        <v>#N/A Requesting Data...2687599011</v>
        <stp/>
        <stp>BDP|1558620091574175036</stp>
        <tr r="K1514" s="2"/>
      </tp>
      <tp t="s">
        <v>#N/A Requesting Data...3890363930</v>
        <stp/>
        <stp>BDP|4351402109048664281</stp>
        <tr r="Q340" s="2"/>
      </tp>
      <tp t="s">
        <v>#N/A Requesting Data...3954570187</v>
        <stp/>
        <stp>BDP|3369004719640747890</stp>
        <tr r="E1219" s="2"/>
      </tp>
      <tp t="s">
        <v>#N/A Requesting Data...3346422922</v>
        <stp/>
        <stp>BDP|1632758920576682816</stp>
        <tr r="K241" s="2"/>
      </tp>
      <tp t="s">
        <v>#N/A Requesting Data...3298979571</v>
        <stp/>
        <stp>BDP|2805866969624026232</stp>
        <tr r="C2323" s="2"/>
      </tp>
      <tp t="s">
        <v>#N/A Requesting Data...2721581537</v>
        <stp/>
        <stp>BDP|3837103388248349876</stp>
        <tr r="A130" s="2"/>
      </tp>
      <tp t="s">
        <v>#N/A Requesting Data...3760467334</v>
        <stp/>
        <stp>BDP|7441400384259749831</stp>
        <tr r="N2011" s="2"/>
      </tp>
      <tp t="b">
        <v>0</v>
        <stp/>
        <stp>BDS|8454241744997650368</stp>
        <tr r="I557" s="2"/>
      </tp>
      <tp t="s">
        <v>#N/A Requesting Data...2809928638</v>
        <stp/>
        <stp>BDP|3996877328790597373</stp>
        <tr r="A583" s="2"/>
      </tp>
      <tp t="s">
        <v>#N/A Requesting Data...4258046983</v>
        <stp/>
        <stp>BDP|8535472956290101311</stp>
        <tr r="P1782" s="2"/>
      </tp>
      <tp t="s">
        <v>#N/A Requesting Data...3878874907</v>
        <stp/>
        <stp>BDP|1625813191658031226</stp>
        <tr r="F1253" s="2"/>
      </tp>
      <tp t="s">
        <v>#N/A Requesting Data...3448885784</v>
        <stp/>
        <stp>BDP|2513989542054399183</stp>
        <tr r="A1751" s="2"/>
      </tp>
      <tp t="b">
        <v>0</v>
        <stp/>
        <stp>BDS|3173357492945498661</stp>
        <tr r="I2145" s="2"/>
      </tp>
      <tp t="s">
        <v>#N/A Requesting Data...4204063919</v>
        <stp/>
        <stp>BDP|5937935319271617610</stp>
        <tr r="R1260" s="2"/>
      </tp>
      <tp t="s">
        <v>#N/A Requesting Data...4023474041</v>
        <stp/>
        <stp>BDP|5940455286615937671</stp>
        <tr r="R504" s="2"/>
      </tp>
      <tp t="s">
        <v>#N/A Requesting Data...3764640103</v>
        <stp/>
        <stp>BDP|9170247169344051383</stp>
        <tr r="D1886" s="2"/>
      </tp>
      <tp t="s">
        <v>#N/A Requesting Data...3802255266</v>
        <stp/>
        <stp>BDP|4829244987253675796</stp>
        <tr r="A2527" s="2"/>
      </tp>
      <tp t="s">
        <v>#N/A Requesting Data...3624456200</v>
        <stp/>
        <stp>BDP|7300122187935060128</stp>
        <tr r="P1245" s="2"/>
      </tp>
      <tp t="s">
        <v>#N/A Requesting Data...3547938492</v>
        <stp/>
        <stp>BDP|8540119115235481712</stp>
        <tr r="D1148" s="2"/>
      </tp>
      <tp t="s">
        <v>#N/A Requesting Data...4073483083</v>
        <stp/>
        <stp>BDP|6029591600298931146</stp>
        <tr r="J2521" s="2"/>
      </tp>
      <tp t="s">
        <v>#N/A Requesting Data...3376447413</v>
        <stp/>
        <stp>BDP|6480947293179087572</stp>
        <tr r="F210" s="2"/>
      </tp>
      <tp t="s">
        <v>#N/A Requesting Data...3646955823</v>
        <stp/>
        <stp>BDP|8028852593260664340</stp>
        <tr r="Q848" s="2"/>
      </tp>
      <tp t="s">
        <v>#N/A Requesting Data...3461634132</v>
        <stp/>
        <stp>BDP|8630282720812249089</stp>
        <tr r="Q1018" s="2"/>
      </tp>
      <tp t="s">
        <v>#N/A Requesting Data...2744727627</v>
        <stp/>
        <stp>BDP|9629384072603823406</stp>
        <tr r="D2209" s="2"/>
      </tp>
      <tp t="s">
        <v>#N/A Requesting Data...2804500271</v>
        <stp/>
        <stp>BDP|7813481210939165158</stp>
        <tr r="S1426" s="2"/>
      </tp>
      <tp t="s">
        <v>#N/A Requesting Data...3835618244</v>
        <stp/>
        <stp>BDP|9342710200221792518</stp>
        <tr r="E995" s="2"/>
      </tp>
      <tp t="s">
        <v>#N/A Requesting Data...4064365180</v>
        <stp/>
        <stp>BDP|6408375921255546834</stp>
        <tr r="S1312" s="2"/>
      </tp>
      <tp t="s">
        <v>#N/A Requesting Data...3064460017</v>
        <stp/>
        <stp>BDP|7327751213743443857</stp>
        <tr r="P798" s="2"/>
      </tp>
      <tp t="s">
        <v>#N/A Requesting Data...3634799629</v>
        <stp/>
        <stp>BDP|9479187325728937843</stp>
        <tr r="F1682" s="2"/>
      </tp>
      <tp t="s">
        <v>#N/A Requesting Data...2851152939</v>
        <stp/>
        <stp>BDP|8230468534856708334</stp>
        <tr r="P423" s="2"/>
      </tp>
      <tp t="s">
        <v>#N/A Requesting Data...3143208014</v>
        <stp/>
        <stp>BDP|9843303303130864076</stp>
        <tr r="A945" s="2"/>
      </tp>
      <tp t="s">
        <v>#N/A Requesting Data...3111264212</v>
        <stp/>
        <stp>BDP|3607231178769030593</stp>
        <tr r="R1217" s="2"/>
      </tp>
      <tp t="s">
        <v>#N/A Requesting Data...3498813992</v>
        <stp/>
        <stp>BDP|3697064010209297160</stp>
        <tr r="P1844" s="2"/>
      </tp>
      <tp t="s">
        <v>#N/A Requesting Data...3980175953</v>
        <stp/>
        <stp>BDP|4232852050456704543</stp>
        <tr r="T1764" s="2"/>
      </tp>
      <tp t="s">
        <v>#N/A Requesting Data...3413515758</v>
        <stp/>
        <stp>BDP|4421786270996829809</stp>
        <tr r="J538" s="2"/>
      </tp>
      <tp t="s">
        <v>#N/A Requesting Data...4133082159</v>
        <stp/>
        <stp>BDP|3835919318764440500</stp>
        <tr r="O26" s="2"/>
      </tp>
      <tp t="s">
        <v>#N/A Requesting Data...3750130694</v>
        <stp/>
        <stp>BDP|1460718668188963210</stp>
        <tr r="S1779" s="2"/>
      </tp>
      <tp t="s">
        <v>#N/A Requesting Data...4224459483</v>
        <stp/>
        <stp>BDP|7139308192794749311</stp>
        <tr r="P2506" s="2"/>
      </tp>
      <tp t="s">
        <v>#N/A Requesting Data...3669757510</v>
        <stp/>
        <stp>BDP|7405913383189237518</stp>
        <tr r="E51" s="2"/>
      </tp>
      <tp t="s">
        <v>#N/A Requesting Data...3950043401</v>
        <stp/>
        <stp>BDP|4221173157443481935</stp>
        <tr r="R1089" s="2"/>
      </tp>
      <tp t="s">
        <v>#N/A Requesting Data...3784768813</v>
        <stp/>
        <stp>BDP|9992563613100001793</stp>
        <tr r="R2415" s="2"/>
      </tp>
      <tp t="s">
        <v>#N/A Requesting Data...4119724974</v>
        <stp/>
        <stp>BDP|8711249457882591741</stp>
        <tr r="P1098" s="2"/>
      </tp>
      <tp t="s">
        <v>#N/A Requesting Data...3368332895</v>
        <stp/>
        <stp>BDP|9386217362691544605</stp>
        <tr r="G1671" s="2"/>
      </tp>
      <tp t="s">
        <v>#N/A Requesting Data...3423237857</v>
        <stp/>
        <stp>BDP|2544566166822935992</stp>
        <tr r="G2015" s="2"/>
      </tp>
      <tp t="s">
        <v>#N/A Requesting Data...3677234500</v>
        <stp/>
        <stp>BDP|2777517258658382085</stp>
        <tr r="E163" s="2"/>
      </tp>
      <tp t="s">
        <v>#N/A Requesting Data...2879935056</v>
        <stp/>
        <stp>BDP|1686546428374616897</stp>
        <tr r="S1117" s="2"/>
      </tp>
      <tp t="s">
        <v>#N/A Requesting Data...4074659825</v>
        <stp/>
        <stp>BDP|3864616350909954357</stp>
        <tr r="P2515" s="2"/>
      </tp>
      <tp t="s">
        <v>#N/A Requesting Data...4212813748</v>
        <stp/>
        <stp>BDP|8769739333013376513</stp>
        <tr r="C388" s="2"/>
      </tp>
      <tp t="s">
        <v>#N/A Requesting Data...2913217014</v>
        <stp/>
        <stp>BDP|2259904709170880163</stp>
        <tr r="C1865" s="2"/>
      </tp>
      <tp t="s">
        <v>#N/A Requesting Data...3573687241</v>
        <stp/>
        <stp>BDP|5679733397930509127</stp>
        <tr r="F2228" s="2"/>
      </tp>
      <tp t="s">
        <v>#N/A Requesting Data...2961790828</v>
        <stp/>
        <stp>BDP|8091606263424101671</stp>
        <tr r="A1319" s="2"/>
      </tp>
      <tp t="s">
        <v>#N/A Requesting Data...4276430635</v>
        <stp/>
        <stp>BDP|3478800036487393540</stp>
        <tr r="M1063" s="2"/>
      </tp>
      <tp t="s">
        <v>#N/A Requesting Data...2947772612</v>
        <stp/>
        <stp>BDP|5364709217791261834</stp>
        <tr r="O1944" s="2"/>
      </tp>
      <tp t="s">
        <v>#N/A Requesting Data...3599159479</v>
        <stp/>
        <stp>BDP|5127230384543049639</stp>
        <tr r="J2282" s="2"/>
      </tp>
      <tp t="s">
        <v>#N/A Requesting Data...3330121865</v>
        <stp/>
        <stp>BDP|8518887098100092304</stp>
        <tr r="T1882" s="2"/>
      </tp>
      <tp t="s">
        <v>#N/A Requesting Data...3291944908</v>
        <stp/>
        <stp>BDP|5147551346668719608</stp>
        <tr r="J234" s="2"/>
      </tp>
      <tp t="s">
        <v>#N/A Requesting Data...3901491142</v>
        <stp/>
        <stp>BDP|2005423824297791945</stp>
        <tr r="P746" s="2"/>
      </tp>
      <tp t="s">
        <v>#N/A Requesting Data...3972457066</v>
        <stp/>
        <stp>BDP|7883796631410773920</stp>
        <tr r="E1776" s="2"/>
      </tp>
      <tp t="s">
        <v>#N/A Requesting Data...3982284014</v>
        <stp/>
        <stp>BDP|7394454513820811889</stp>
        <tr r="G748" s="2"/>
      </tp>
      <tp t="s">
        <v>#N/A Requesting Data...2847304118</v>
        <stp/>
        <stp>BDP|7417876140293584230</stp>
        <tr r="M820" s="2"/>
      </tp>
      <tp t="s">
        <v>#N/A Requesting Data...3537853085</v>
        <stp/>
        <stp>BDP|3364142105988659014</stp>
        <tr r="T327" s="2"/>
      </tp>
      <tp t="s">
        <v>#N/A Requesting Data...3262615195</v>
        <stp/>
        <stp>BDP|5281974666653272341</stp>
        <tr r="M963" s="2"/>
      </tp>
      <tp t="s">
        <v>#N/A Requesting Data...4063111346</v>
        <stp/>
        <stp>BDP|6635460484664686471</stp>
        <tr r="C1295" s="2"/>
      </tp>
      <tp t="s">
        <v>#N/A Requesting Data...3911749938</v>
        <stp/>
        <stp>BDP|6918983104297981294</stp>
        <tr r="A1847" s="2"/>
      </tp>
      <tp t="s">
        <v>#N/A Requesting Data...3290792527</v>
        <stp/>
        <stp>BDP|9904414900771488697</stp>
        <tr r="J2388" s="2"/>
      </tp>
      <tp t="s">
        <v>#N/A Requesting Data...3939462615</v>
        <stp/>
        <stp>BDP|9426173356045698264</stp>
        <tr r="Q1606" s="2"/>
      </tp>
      <tp t="b">
        <v>0</v>
        <stp/>
        <stp>BDS|1888685085531831484</stp>
        <tr r="I1831" s="2"/>
      </tp>
      <tp t="s">
        <v>#N/A Requesting Data...2962811536</v>
        <stp/>
        <stp>BDP|2784786495395845376</stp>
        <tr r="F699" s="2"/>
      </tp>
      <tp t="s">
        <v>#N/A Requesting Data...3041398092</v>
        <stp/>
        <stp>BDP|7380936925581968792</stp>
        <tr r="M1902" s="2"/>
      </tp>
      <tp t="s">
        <v>#N/A Requesting Data...3501477610</v>
        <stp/>
        <stp>BDP|4958313287985278087</stp>
        <tr r="E1889" s="2"/>
      </tp>
      <tp t="s">
        <v>#N/A Requesting Data...4059351573</v>
        <stp/>
        <stp>BDP|9489973322268546012</stp>
        <tr r="N658" s="2"/>
      </tp>
      <tp t="s">
        <v>#N/A Requesting Data...4077146942</v>
        <stp/>
        <stp>BDP|1336884630767860768</stp>
        <tr r="P1208" s="2"/>
      </tp>
      <tp t="s">
        <v>#N/A Requesting Data...3828044165</v>
        <stp/>
        <stp>BDP|7698340796573009412</stp>
        <tr r="R694" s="2"/>
      </tp>
      <tp t="s">
        <v>#N/A Requesting Data...4210136812</v>
        <stp/>
        <stp>BDP|2809718696793234582</stp>
        <tr r="E229" s="2"/>
      </tp>
      <tp t="s">
        <v>#N/A Requesting Data...3768566236</v>
        <stp/>
        <stp>BDP|1512972563721415504</stp>
        <tr r="G1367" s="2"/>
      </tp>
      <tp t="s">
        <v>#N/A Requesting Data...2960951064</v>
        <stp/>
        <stp>BDP|2086688487713333595</stp>
        <tr r="F1076" s="2"/>
      </tp>
      <tp t="s">
        <v>#N/A Requesting Data...3106436733</v>
        <stp/>
        <stp>BDP|9442345690018345164</stp>
        <tr r="G1785" s="2"/>
      </tp>
      <tp t="s">
        <v>#N/A Requesting Data...3065293805</v>
        <stp/>
        <stp>BDP|8916532649244465726</stp>
        <tr r="A2362" s="2"/>
      </tp>
      <tp t="s">
        <v>#N/A Requesting Data...4173603915</v>
        <stp/>
        <stp>BDP|3416100986736651612</stp>
        <tr r="A1206" s="2"/>
      </tp>
      <tp t="s">
        <v>#N/A Requesting Data...3789929207</v>
        <stp/>
        <stp>BDP|8079681558746115741</stp>
        <tr r="J1282" s="2"/>
      </tp>
      <tp t="s">
        <v>#N/A Requesting Data...3469139495</v>
        <stp/>
        <stp>BDP|3500749493784685317</stp>
        <tr r="E2071" s="2"/>
      </tp>
      <tp t="s">
        <v>#N/A Requesting Data...2923598633</v>
        <stp/>
        <stp>BDP|2791855966810112604</stp>
        <tr r="A1374" s="2"/>
      </tp>
      <tp t="s">
        <v>#N/A Requesting Data...4228589368</v>
        <stp/>
        <stp>BDP|9009511966972293201</stp>
        <tr r="K1418" s="2"/>
      </tp>
      <tp t="s">
        <v>#N/A Requesting Data...3372729885</v>
        <stp/>
        <stp>BDP|1906974068922753648</stp>
        <tr r="R138" s="2"/>
      </tp>
      <tp t="s">
        <v>#N/A Requesting Data...3667095084</v>
        <stp/>
        <stp>BDP|6562893398655254836</stp>
        <tr r="Q1564" s="2"/>
      </tp>
      <tp t="s">
        <v>#N/A Requesting Data...3798731697</v>
        <stp/>
        <stp>BDP|1624258689750794184</stp>
        <tr r="J935" s="2"/>
      </tp>
      <tp t="s">
        <v>#N/A Requesting Data...3616215108</v>
        <stp/>
        <stp>BDP|1940185582445772712</stp>
        <tr r="D280" s="2"/>
      </tp>
      <tp t="s">
        <v>#N/A Requesting Data...3662156109</v>
        <stp/>
        <stp>BDP|6454631743288328624</stp>
        <tr r="K1571" s="2"/>
      </tp>
      <tp t="s">
        <v>#N/A Requesting Data...3832333625</v>
        <stp/>
        <stp>BDP|6220592276237115990</stp>
        <tr r="J1852" s="2"/>
      </tp>
      <tp t="s">
        <v>#N/A Requesting Data...3750881194</v>
        <stp/>
        <stp>BDP|9539090838203014313</stp>
        <tr r="A90" s="2"/>
      </tp>
      <tp t="s">
        <v>#N/A Requesting Data...3074530843</v>
        <stp/>
        <stp>BDP|7304605220679772017</stp>
        <tr r="H965" s="2"/>
      </tp>
      <tp t="s">
        <v>#N/A Requesting Data...4189006332</v>
        <stp/>
        <stp>BDP|1992750911038024588</stp>
        <tr r="S126" s="2"/>
      </tp>
      <tp t="s">
        <v>#N/A Requesting Data...3385441651</v>
        <stp/>
        <stp>BDP|2296938653703555721</stp>
        <tr r="O1401" s="2"/>
      </tp>
      <tp t="s">
        <v>#N/A Requesting Data...3526022599</v>
        <stp/>
        <stp>BDP|2528198893277892723</stp>
        <tr r="N798" s="2"/>
      </tp>
      <tp t="s">
        <v>#N/A Requesting Data...3841771123</v>
        <stp/>
        <stp>BDP|3891458050150862804</stp>
        <tr r="D696" s="2"/>
      </tp>
      <tp t="s">
        <v>#N/A Requesting Data...3410731802</v>
        <stp/>
        <stp>BDP|4661649171697097862</stp>
        <tr r="J563" s="2"/>
      </tp>
      <tp t="s">
        <v>#N/A Requesting Data...2962691202</v>
        <stp/>
        <stp>BDP|7718549497956647777</stp>
        <tr r="S1472" s="2"/>
      </tp>
      <tp t="s">
        <v>#N/A Requesting Data...3949846034</v>
        <stp/>
        <stp>BDP|6943968569816653554</stp>
        <tr r="A2263" s="2"/>
      </tp>
      <tp t="s">
        <v>#N/A Requesting Data...3406369934</v>
        <stp/>
        <stp>BDP|1737089295736990461</stp>
        <tr r="H522" s="2"/>
      </tp>
      <tp t="s">
        <v>#N/A Requesting Data...3441515484</v>
        <stp/>
        <stp>BDP|9586808165979486414</stp>
        <tr r="J524" s="2"/>
      </tp>
      <tp t="s">
        <v>#N/A Requesting Data...3877761485</v>
        <stp/>
        <stp>BDP|4294127081665685225</stp>
        <tr r="D1155" s="2"/>
      </tp>
      <tp t="s">
        <v>#N/A Requesting Data...4289199703</v>
        <stp/>
        <stp>BDP|6605760617558721252</stp>
        <tr r="K1950" s="2"/>
      </tp>
      <tp t="s">
        <v>#N/A Requesting Data...3890576962</v>
        <stp/>
        <stp>BDP|9132080402642795199</stp>
        <tr r="H179" s="2"/>
      </tp>
      <tp t="s">
        <v>#N/A Requesting Data...4164189047</v>
        <stp/>
        <stp>BDP|5094966171942550376</stp>
        <tr r="C1872" s="2"/>
      </tp>
      <tp t="b">
        <v>0</v>
        <stp/>
        <stp>BDS|7148356841348145213</stp>
        <tr r="I1339" s="2"/>
      </tp>
      <tp t="s">
        <v>#N/A Requesting Data...3215841336</v>
        <stp/>
        <stp>BDP|1487799795612403792</stp>
        <tr r="C1384" s="2"/>
      </tp>
      <tp t="s">
        <v>#N/A Requesting Data...3082945507</v>
        <stp/>
        <stp>BDP|4787360981924750121</stp>
        <tr r="H122" s="2"/>
      </tp>
      <tp t="s">
        <v>#N/A Requesting Data...3445546337</v>
        <stp/>
        <stp>BDP|9367650903112221720</stp>
        <tr r="D2191" s="2"/>
      </tp>
      <tp t="s">
        <v>#N/A Requesting Data...3697388847</v>
        <stp/>
        <stp>BDP|9650109975796389356</stp>
        <tr r="O956" s="2"/>
      </tp>
      <tp t="s">
        <v>#N/A Requesting Data...3201678979</v>
        <stp/>
        <stp>BDP|1741572392215146264</stp>
        <tr r="M1184" s="2"/>
      </tp>
      <tp t="s">
        <v>#N/A Requesting Data...4067981250</v>
        <stp/>
        <stp>BDP|3860357719809142209</stp>
        <tr r="J2283" s="2"/>
      </tp>
      <tp t="s">
        <v>#N/A Requesting Data...3088296310</v>
        <stp/>
        <stp>BDP|1339061456547069965</stp>
        <tr r="K2431" s="2"/>
      </tp>
      <tp t="s">
        <v>#N/A Requesting Data...3842684148</v>
        <stp/>
        <stp>BDP|4466771083459343863</stp>
        <tr r="J1743" s="2"/>
      </tp>
      <tp t="s">
        <v>#N/A Requesting Data...3830151572</v>
        <stp/>
        <stp>BDP|6240807231600562737</stp>
        <tr r="H1219" s="2"/>
      </tp>
      <tp t="s">
        <v>#N/A Requesting Data...3797955892</v>
        <stp/>
        <stp>BDP|5395709611080218955</stp>
        <tr r="C161" s="2"/>
      </tp>
      <tp t="s">
        <v>#N/A Requesting Data...3585946917</v>
        <stp/>
        <stp>BDP|8505446666445138535</stp>
        <tr r="F1543" s="2"/>
      </tp>
      <tp t="b">
        <v>0</v>
        <stp/>
        <stp>BDS|3175773057203621820</stp>
        <tr r="I1514" s="2"/>
      </tp>
      <tp t="s">
        <v>#N/A Requesting Data...3584697888</v>
        <stp/>
        <stp>BDP|6914788319638985240</stp>
        <tr r="P2019" s="2"/>
      </tp>
      <tp t="s">
        <v>#N/A Requesting Data...3825880306</v>
        <stp/>
        <stp>BDP|9697030212337499564</stp>
        <tr r="K556" s="2"/>
      </tp>
      <tp t="s">
        <v>#N/A Requesting Data...3013441717</v>
        <stp/>
        <stp>BDP|2914496632626325945</stp>
        <tr r="C614" s="2"/>
      </tp>
      <tp t="s">
        <v>#N/A Requesting Data...3306277925</v>
        <stp/>
        <stp>BDP|7253506398575752485</stp>
        <tr r="G1881" s="2"/>
      </tp>
      <tp t="s">
        <v>#N/A Requesting Data...3499763365</v>
        <stp/>
        <stp>BDP|9034484632385616193</stp>
        <tr r="K2439" s="2"/>
      </tp>
      <tp t="s">
        <v>#N/A Requesting Data...3469392999</v>
        <stp/>
        <stp>BDP|6283646365424499825</stp>
        <tr r="T1329" s="2"/>
      </tp>
      <tp t="s">
        <v>#N/A Requesting Data...3528151949</v>
        <stp/>
        <stp>BDP|8259797366894998715</stp>
        <tr r="N631" s="2"/>
      </tp>
      <tp t="s">
        <v>#N/A Requesting Data...3516132969</v>
        <stp/>
        <stp>BDP|4585742982762818215</stp>
        <tr r="J1428" s="2"/>
      </tp>
      <tp t="s">
        <v>#N/A Requesting Data...3490591295</v>
        <stp/>
        <stp>BDP|4937373655951129802</stp>
        <tr r="F1246" s="2"/>
      </tp>
      <tp t="s">
        <v>#N/A Requesting Data...3519141625</v>
        <stp/>
        <stp>BDP|5893876974941193006</stp>
        <tr r="G293" s="2"/>
      </tp>
      <tp t="s">
        <v>#N/A Requesting Data...3891096198</v>
        <stp/>
        <stp>BDP|9259218308126665673</stp>
        <tr r="O2249" s="2"/>
      </tp>
      <tp t="s">
        <v>#N/A Requesting Data...3470000346</v>
        <stp/>
        <stp>BDP|9843484107635576389</stp>
        <tr r="K1823" s="2"/>
      </tp>
      <tp t="s">
        <v>#N/A Requesting Data...3835939941</v>
        <stp/>
        <stp>BDP|2543424665679171299</stp>
        <tr r="N1603" s="2"/>
      </tp>
      <tp t="b">
        <v>0</v>
        <stp/>
        <stp>BDS|9080348079081324749</stp>
        <tr r="I827" s="2"/>
      </tp>
      <tp t="s">
        <v>#N/A Requesting Data...3569051933</v>
        <stp/>
        <stp>BDP|3329712858968199218</stp>
        <tr r="D956" s="2"/>
      </tp>
      <tp t="s">
        <v>#N/A Requesting Data...4137968198</v>
        <stp/>
        <stp>BDP|2853038022492110920</stp>
        <tr r="P1913" s="2"/>
      </tp>
      <tp t="s">
        <v>#N/A Requesting Data...4240809141</v>
        <stp/>
        <stp>BDP|6572465935559574398</stp>
        <tr r="Q1026" s="2"/>
      </tp>
      <tp t="s">
        <v>#N/A Requesting Data...3324413461</v>
        <stp/>
        <stp>BDP|6489940775536616594</stp>
        <tr r="C1187" s="2"/>
      </tp>
      <tp t="s">
        <v>#N/A Requesting Data...3166726387</v>
        <stp/>
        <stp>BDP|9867543835542789643</stp>
        <tr r="G2081" s="2"/>
      </tp>
      <tp t="s">
        <v>#N/A Requesting Data...3813375868</v>
        <stp/>
        <stp>BDP|4049382279828364383</stp>
        <tr r="R359" s="2"/>
      </tp>
      <tp t="s">
        <v>#N/A Requesting Data...4138685497</v>
        <stp/>
        <stp>BDP|4584681671459239745</stp>
        <tr r="N435" s="2"/>
      </tp>
      <tp t="s">
        <v>#N/A Requesting Data...3372895742</v>
        <stp/>
        <stp>BDP|8266221918699399913</stp>
        <tr r="R1960" s="2"/>
      </tp>
      <tp t="s">
        <v>#N/A Requesting Data...3792877021</v>
        <stp/>
        <stp>BDP|4135643989868143977</stp>
        <tr r="A788" s="2"/>
      </tp>
      <tp t="s">
        <v>#N/A Requesting Data...4072831240</v>
        <stp/>
        <stp>BDP|2806449397367715361</stp>
        <tr r="G890" s="2"/>
      </tp>
      <tp t="s">
        <v>#N/A Requesting Data...4061372017</v>
        <stp/>
        <stp>BDP|4535538028760775831</stp>
        <tr r="R70" s="2"/>
      </tp>
      <tp t="s">
        <v>#N/A Requesting Data...3097653121</v>
        <stp/>
        <stp>BDP|9867150361233071669</stp>
        <tr r="G350" s="2"/>
      </tp>
      <tp t="s">
        <v>#N/A Requesting Data...3793159034</v>
        <stp/>
        <stp>BDP|3998982449181324412</stp>
        <tr r="O188" s="2"/>
      </tp>
      <tp t="s">
        <v>#N/A Requesting Data...4004596444</v>
        <stp/>
        <stp>BDP|9878033012802109126</stp>
        <tr r="P1732" s="2"/>
      </tp>
      <tp t="s">
        <v>#N/A Requesting Data...4294726736</v>
        <stp/>
        <stp>BDP|1360742559951423905</stp>
        <tr r="N867" s="2"/>
      </tp>
      <tp t="s">
        <v>#N/A Requesting Data...3258878453</v>
        <stp/>
        <stp>BDP|3193995194591045967</stp>
        <tr r="F396" s="2"/>
      </tp>
      <tp t="s">
        <v>#N/A Requesting Data...4153437640</v>
        <stp/>
        <stp>BDP|2021758373341823846</stp>
        <tr r="K477" s="2"/>
      </tp>
      <tp t="s">
        <v>#N/A Requesting Data...3366196086</v>
        <stp/>
        <stp>BDP|4874928472856590773</stp>
        <tr r="M552" s="2"/>
      </tp>
      <tp t="s">
        <v>#N/A Requesting Data...3560925166</v>
        <stp/>
        <stp>BDP|1603412485503933518</stp>
        <tr r="T292" s="2"/>
      </tp>
      <tp t="s">
        <v>#N/A Requesting Data...3584630427</v>
        <stp/>
        <stp>BDP|1494686324439501777</stp>
        <tr r="P2247" s="2"/>
      </tp>
      <tp t="s">
        <v>#N/A Requesting Data...3658750748</v>
        <stp/>
        <stp>BDP|2803811350600682453</stp>
        <tr r="J282" s="2"/>
      </tp>
      <tp t="s">
        <v>#N/A Requesting Data...3169889865</v>
        <stp/>
        <stp>BDP|4892199085854944270</stp>
        <tr r="K66" s="2"/>
      </tp>
      <tp t="s">
        <v>#N/A Requesting Data...3295215519</v>
        <stp/>
        <stp>BDP|7795638548909064761</stp>
        <tr r="G1802" s="2"/>
      </tp>
      <tp t="s">
        <v>#N/A Requesting Data...3456973552</v>
        <stp/>
        <stp>BDP|9405009492519916252</stp>
        <tr r="D464" s="2"/>
      </tp>
      <tp t="s">
        <v>#N/A Requesting Data...4212661053</v>
        <stp/>
        <stp>BDP|1361258242334770895</stp>
        <tr r="F2385" s="2"/>
      </tp>
      <tp t="s">
        <v>#N/A Requesting Data...4011689609</v>
        <stp/>
        <stp>BDP|9266074765580398491</stp>
        <tr r="P686" s="2"/>
      </tp>
      <tp t="s">
        <v>#N/A Requesting Data...3828527842</v>
        <stp/>
        <stp>BDP|3464359765595928877</stp>
        <tr r="D1307" s="2"/>
      </tp>
      <tp t="s">
        <v>#N/A Requesting Data...3703549026</v>
        <stp/>
        <stp>BDP|5903816302465698364</stp>
        <tr r="H1811" s="2"/>
      </tp>
      <tp t="s">
        <v>#N/A Requesting Data...3300569301</v>
        <stp/>
        <stp>BDP|7521103708395541829</stp>
        <tr r="J72" s="2"/>
      </tp>
      <tp t="s">
        <v>#N/A Requesting Data...4173772610</v>
        <stp/>
        <stp>BDP|8210456865392189393</stp>
        <tr r="C443" s="2"/>
      </tp>
      <tp t="s">
        <v>#N/A Requesting Data...3526139349</v>
        <stp/>
        <stp>BDP|3629315101353424889</stp>
        <tr r="O2120" s="2"/>
      </tp>
      <tp t="s">
        <v>#N/A Requesting Data...3766962668</v>
        <stp/>
        <stp>BDP|9977246104711512169</stp>
        <tr r="N1369" s="2"/>
      </tp>
      <tp t="s">
        <v>#N/A Requesting Data...3248472434</v>
        <stp/>
        <stp>BDP|3113222199735092603</stp>
        <tr r="K1968" s="2"/>
      </tp>
      <tp t="s">
        <v>#N/A Requesting Data...3366559865</v>
        <stp/>
        <stp>BDP|3695814451263424683</stp>
        <tr r="N2195" s="2"/>
      </tp>
      <tp t="s">
        <v>#N/A Requesting Data...3723794188</v>
        <stp/>
        <stp>BDP|9972333949952824711</stp>
        <tr r="M807" s="2"/>
      </tp>
      <tp t="s">
        <v>#N/A Requesting Data...3565947365</v>
        <stp/>
        <stp>BDP|1091609238047711850</stp>
        <tr r="Q752" s="2"/>
      </tp>
      <tp t="s">
        <v>#N/A Requesting Data...3280239371</v>
        <stp/>
        <stp>BDP|5424904011666803071</stp>
        <tr r="K1837" s="2"/>
      </tp>
      <tp t="s">
        <v>#N/A Requesting Data...3212289563</v>
        <stp/>
        <stp>BDP|6965233453532663857</stp>
        <tr r="O361" s="2"/>
      </tp>
      <tp t="s">
        <v>#N/A Requesting Data...3704961825</v>
        <stp/>
        <stp>BDP|7530246484606759087</stp>
        <tr r="R1554" s="2"/>
      </tp>
      <tp t="s">
        <v>#N/A Requesting Data...4061823672</v>
        <stp/>
        <stp>BDP|6847060265228539344</stp>
        <tr r="E21" s="2"/>
      </tp>
      <tp t="s">
        <v>#N/A Requesting Data...3343930311</v>
        <stp/>
        <stp>BDP|8429712418147507220</stp>
        <tr r="P844" s="2"/>
      </tp>
      <tp t="s">
        <v>#N/A Requesting Data...3584763284</v>
        <stp/>
        <stp>BDP|9640242659102648772</stp>
        <tr r="E410" s="2"/>
      </tp>
      <tp t="s">
        <v>#N/A Requesting Data...3719526398</v>
        <stp/>
        <stp>BDP|8597131052987677087</stp>
        <tr r="A2156" s="2"/>
      </tp>
      <tp t="s">
        <v>#N/A Requesting Data...3363951582</v>
        <stp/>
        <stp>BDP|2762057116038807061</stp>
        <tr r="D39" s="2"/>
      </tp>
      <tp t="s">
        <v>#N/A Requesting Data...3904736295</v>
        <stp/>
        <stp>BDP|6363343663809855168</stp>
        <tr r="H997" s="2"/>
      </tp>
      <tp t="s">
        <v>#N/A Requesting Data...4159704423</v>
        <stp/>
        <stp>BDP|3473661809709442755</stp>
        <tr r="S873" s="2"/>
      </tp>
      <tp t="s">
        <v>#N/A Requesting Data...4120330050</v>
        <stp/>
        <stp>BDP|5965513083640717361</stp>
        <tr r="C2101" s="2"/>
      </tp>
      <tp t="s">
        <v>#N/A Requesting Data...3225685342</v>
        <stp/>
        <stp>BDP|2627797644608120202</stp>
        <tr r="M1900" s="2"/>
      </tp>
      <tp t="s">
        <v>#N/A Requesting Data...3376908499</v>
        <stp/>
        <stp>BDP|9485536595779096783</stp>
        <tr r="G1416" s="2"/>
      </tp>
      <tp t="s">
        <v>#N/A Requesting Data...3807591024</v>
        <stp/>
        <stp>BDP|8322157444020156693</stp>
        <tr r="N2346" s="2"/>
      </tp>
      <tp t="s">
        <v>#N/A Requesting Data...3481930479</v>
        <stp/>
        <stp>BDP|1533139408233039848</stp>
        <tr r="K243" s="2"/>
      </tp>
      <tp t="s">
        <v>#N/A Requesting Data...3796171735</v>
        <stp/>
        <stp>BDP|6125280983684172311</stp>
        <tr r="N635" s="2"/>
      </tp>
      <tp t="s">
        <v>#N/A Requesting Data...3426338770</v>
        <stp/>
        <stp>BDP|1403224921459505382</stp>
        <tr r="Q1915" s="2"/>
      </tp>
      <tp t="s">
        <v>#N/A Requesting Data...4187119543</v>
        <stp/>
        <stp>BDP|3537253189016741441</stp>
        <tr r="C1821" s="2"/>
      </tp>
      <tp t="s">
        <v>#N/A Requesting Data...3253887050</v>
        <stp/>
        <stp>BDP|7043013318344752944</stp>
        <tr r="R271" s="2"/>
      </tp>
      <tp t="s">
        <v>#N/A Requesting Data...3585121027</v>
        <stp/>
        <stp>BDP|8579211130894687683</stp>
        <tr r="G1467" s="2"/>
      </tp>
      <tp t="s">
        <v>#N/A Requesting Data...4188837701</v>
        <stp/>
        <stp>BDP|7864631096532260151</stp>
        <tr r="N504" s="2"/>
      </tp>
      <tp t="s">
        <v>#N/A Requesting Data...4280321645</v>
        <stp/>
        <stp>BDP|6293219499526386038</stp>
        <tr r="P2088" s="2"/>
      </tp>
      <tp t="s">
        <v>#N/A Requesting Data...3351255705</v>
        <stp/>
        <stp>BDP|9166471309335208371</stp>
        <tr r="H1612" s="2"/>
      </tp>
      <tp t="s">
        <v>#N/A Requesting Data...4004345508</v>
        <stp/>
        <stp>BDP|9643236688750269856</stp>
        <tr r="O1822" s="2"/>
      </tp>
      <tp t="s">
        <v>#N/A Requesting Data...3581079969</v>
        <stp/>
        <stp>BDP|1271868646420991616</stp>
        <tr r="E1426" s="2"/>
      </tp>
      <tp t="s">
        <v>#N/A Requesting Data...3253964474</v>
        <stp/>
        <stp>BDP|5150365111945582995</stp>
        <tr r="F1860" s="2"/>
      </tp>
      <tp t="s">
        <v>#N/A Requesting Data...3574060805</v>
        <stp/>
        <stp>BDP|5646461282564950611</stp>
        <tr r="T526" s="2"/>
      </tp>
      <tp t="s">
        <v>#N/A Requesting Data...3523139469</v>
        <stp/>
        <stp>BDP|5893068849578950245</stp>
        <tr r="O633" s="2"/>
      </tp>
      <tp t="s">
        <v>#N/A Requesting Data...4083294418</v>
        <stp/>
        <stp>BDP|5181052731454738989</stp>
        <tr r="Q202" s="2"/>
      </tp>
      <tp t="s">
        <v>#N/A Requesting Data...3697834608</v>
        <stp/>
        <stp>BDP|4104144254308896339</stp>
        <tr r="P1025" s="2"/>
      </tp>
      <tp t="s">
        <v>#N/A Requesting Data...3446039331</v>
        <stp/>
        <stp>BDP|2988576595357784262</stp>
        <tr r="M88" s="2"/>
      </tp>
      <tp t="s">
        <v>#N/A Requesting Data...3508710888</v>
        <stp/>
        <stp>BDP|5466823416191361695</stp>
        <tr r="N1917" s="2"/>
      </tp>
      <tp t="s">
        <v>#N/A Requesting Data...3493227980</v>
        <stp/>
        <stp>BDP|6362854136734307293</stp>
        <tr r="A451" s="2"/>
      </tp>
      <tp t="s">
        <v>#N/A Requesting Data...4035051732</v>
        <stp/>
        <stp>BDP|3839093529168418266</stp>
        <tr r="O1814" s="2"/>
      </tp>
      <tp t="s">
        <v>#N/A Requesting Data...3752288969</v>
        <stp/>
        <stp>BDP|1545946168291221414</stp>
        <tr r="G2266" s="2"/>
      </tp>
      <tp t="s">
        <v>#N/A Requesting Data...4225382858</v>
        <stp/>
        <stp>BDP|9156094424394275443</stp>
        <tr r="K884" s="2"/>
      </tp>
      <tp t="s">
        <v>#N/A Requesting Data...3282787715</v>
        <stp/>
        <stp>BDP|5102495235210328943</stp>
        <tr r="K187" s="2"/>
      </tp>
      <tp t="s">
        <v>#N/A Requesting Data...3677635099</v>
        <stp/>
        <stp>BDP|3500421340120517898</stp>
        <tr r="K678" s="2"/>
      </tp>
      <tp t="s">
        <v>#N/A Requesting Data...3560196195</v>
        <stp/>
        <stp>BDP|9830603536444080355</stp>
        <tr r="C798" s="2"/>
      </tp>
      <tp t="s">
        <v>#N/A Requesting Data...4264264149</v>
        <stp/>
        <stp>BDP|7850958774985193734</stp>
        <tr r="S1089" s="2"/>
      </tp>
      <tp t="s">
        <v>#N/A Requesting Data...3740019483</v>
        <stp/>
        <stp>BDP|3800006785994604406</stp>
        <tr r="G630" s="2"/>
      </tp>
      <tp t="s">
        <v>#N/A Requesting Data...3673219421</v>
        <stp/>
        <stp>BDP|2212408149101515851</stp>
        <tr r="S1601" s="2"/>
      </tp>
      <tp t="s">
        <v>#N/A Requesting Data...3362306775</v>
        <stp/>
        <stp>BDP|8895307645677673307</stp>
        <tr r="J840" s="2"/>
      </tp>
      <tp t="s">
        <v>#N/A Requesting Data...4133204566</v>
        <stp/>
        <stp>BDP|3168790813898357633</stp>
        <tr r="T1356" s="2"/>
      </tp>
      <tp t="s">
        <v>#N/A Requesting Data...3431451452</v>
        <stp/>
        <stp>BDP|3362994631333221128</stp>
        <tr r="H1973" s="2"/>
      </tp>
      <tp t="s">
        <v>#N/A Requesting Data...3476907295</v>
        <stp/>
        <stp>BDP|2043841935103378198</stp>
        <tr r="P1592" s="2"/>
      </tp>
      <tp t="s">
        <v>#N/A Requesting Data...3996546361</v>
        <stp/>
        <stp>BDP|3755359918872499856</stp>
        <tr r="A639" s="2"/>
      </tp>
      <tp t="s">
        <v>#N/A Requesting Data...3432927379</v>
        <stp/>
        <stp>BDP|3869702331898721455</stp>
        <tr r="H2177" s="2"/>
      </tp>
      <tp t="s">
        <v>#N/A Requesting Data...3963089425</v>
        <stp/>
        <stp>BDP|9297756904894188194</stp>
        <tr r="C2310" s="2"/>
      </tp>
      <tp t="s">
        <v>#N/A Requesting Data...4044179753</v>
        <stp/>
        <stp>BDP|6837519353124022913</stp>
        <tr r="P1164" s="2"/>
      </tp>
      <tp t="s">
        <v>#N/A Requesting Data...4033272681</v>
        <stp/>
        <stp>BDP|8542219521113906076</stp>
        <tr r="C1897" s="2"/>
      </tp>
      <tp t="s">
        <v>#N/A Requesting Data...3410103204</v>
        <stp/>
        <stp>BDP|3766176327838917353</stp>
        <tr r="K2372" s="2"/>
      </tp>
      <tp t="s">
        <v>#N/A Requesting Data...3361031722</v>
        <stp/>
        <stp>BDP|1593206444928387494</stp>
        <tr r="C1265" s="2"/>
      </tp>
      <tp t="s">
        <v>#N/A Requesting Data...3843252636</v>
        <stp/>
        <stp>BDP|7757608972689984479</stp>
        <tr r="F1363" s="2"/>
      </tp>
      <tp t="s">
        <v>#N/A Requesting Data...4125149989</v>
        <stp/>
        <stp>BDP|9785709879055486713</stp>
        <tr r="O2489" s="2"/>
      </tp>
      <tp t="s">
        <v>#N/A Requesting Data...3368968296</v>
        <stp/>
        <stp>BDP|4539789189021830173</stp>
        <tr r="T2329" s="2"/>
      </tp>
      <tp t="s">
        <v>#N/A Requesting Data...3378875123</v>
        <stp/>
        <stp>BDP|5033915790559387796</stp>
        <tr r="P277" s="2"/>
      </tp>
      <tp t="s">
        <v>#N/A Requesting Data...3663024465</v>
        <stp/>
        <stp>BDP|5489576874228931452</stp>
        <tr r="G1595" s="2"/>
      </tp>
      <tp t="s">
        <v>#N/A Requesting Data...3851470057</v>
        <stp/>
        <stp>BDP|7848547453488537419</stp>
        <tr r="M624" s="2"/>
      </tp>
      <tp t="s">
        <v>#N/A Requesting Data...4267721972</v>
        <stp/>
        <stp>BDP|8032387997208135158</stp>
        <tr r="R1690" s="2"/>
      </tp>
      <tp t="s">
        <v>#N/A Requesting Data...3632793008</v>
        <stp/>
        <stp>BDP|6118409298225332515</stp>
        <tr r="G94" s="2"/>
      </tp>
      <tp t="s">
        <v>#N/A Requesting Data...3489380629</v>
        <stp/>
        <stp>BDP|3067898730697475460</stp>
        <tr r="S648" s="2"/>
      </tp>
      <tp t="s">
        <v>#N/A Requesting Data...3661145343</v>
        <stp/>
        <stp>BDP|2360385079885800814</stp>
        <tr r="A877" s="2"/>
      </tp>
      <tp t="s">
        <v>#N/A Requesting Data...3711678279</v>
        <stp/>
        <stp>BDP|8088735168622651061</stp>
        <tr r="A2290" s="2"/>
      </tp>
      <tp t="s">
        <v>#N/A Requesting Data...3800423403</v>
        <stp/>
        <stp>BDP|2990353675049410465</stp>
        <tr r="Q1121" s="2"/>
      </tp>
      <tp t="s">
        <v>#N/A Requesting Data...3734001743</v>
        <stp/>
        <stp>BDP|9650059430326048785</stp>
        <tr r="T1933" s="2"/>
      </tp>
      <tp t="s">
        <v>#N/A Requesting Data...3657328718</v>
        <stp/>
        <stp>BDP|4236667195762961234</stp>
        <tr r="C1293" s="2"/>
      </tp>
      <tp t="s">
        <v>#N/A Requesting Data...3879084958</v>
        <stp/>
        <stp>BDP|4217714177468601790</stp>
        <tr r="A1540" s="2"/>
      </tp>
      <tp t="s">
        <v>#N/A Requesting Data...3998416333</v>
        <stp/>
        <stp>BDP|7127102424286929971</stp>
        <tr r="T1714" s="2"/>
      </tp>
      <tp t="s">
        <v>#N/A Requesting Data...3976100387</v>
        <stp/>
        <stp>BDP|3767618965161886906</stp>
        <tr r="O1948" s="2"/>
      </tp>
      <tp t="s">
        <v>#N/A Requesting Data...4072106349</v>
        <stp/>
        <stp>BDP|2174489083980826594</stp>
        <tr r="A1148" s="2"/>
      </tp>
      <tp t="s">
        <v>#N/A Requesting Data...3768696400</v>
        <stp/>
        <stp>BDP|1650292384323824386</stp>
        <tr r="H2445" s="2"/>
      </tp>
      <tp t="s">
        <v>#N/A Requesting Data...3377786351</v>
        <stp/>
        <stp>BDP|6461830071431444396</stp>
        <tr r="R109" s="2"/>
      </tp>
      <tp t="s">
        <v>#N/A Requesting Data...4222402263</v>
        <stp/>
        <stp>BDP|2374624593040144687</stp>
        <tr r="S218" s="2"/>
      </tp>
      <tp t="s">
        <v>#N/A Requesting Data...3985025447</v>
        <stp/>
        <stp>BDP|3936716764069226057</stp>
        <tr r="O412" s="2"/>
      </tp>
      <tp t="s">
        <v>#N/A Requesting Data...4026042221</v>
        <stp/>
        <stp>BDP|6944290424204629994</stp>
        <tr r="J1440" s="2"/>
      </tp>
      <tp t="s">
        <v>#N/A Requesting Data...3936409285</v>
        <stp/>
        <stp>BDP|6830614219618806232</stp>
        <tr r="A1925" s="2"/>
      </tp>
      <tp t="s">
        <v>#N/A Requesting Data...3385038370</v>
        <stp/>
        <stp>BDP|3961704384246307153</stp>
        <tr r="H762" s="2"/>
      </tp>
      <tp t="s">
        <v>#N/A Requesting Data...3436758390</v>
        <stp/>
        <stp>BDP|8404595471425661414</stp>
        <tr r="T688" s="2"/>
      </tp>
      <tp t="s">
        <v>#N/A Requesting Data...3992279702</v>
        <stp/>
        <stp>BDP|9933527947533041076</stp>
        <tr r="N353" s="2"/>
      </tp>
      <tp t="s">
        <v>#N/A Requesting Data...3610298974</v>
        <stp/>
        <stp>BDP|8205201241185866005</stp>
        <tr r="D675" s="2"/>
      </tp>
      <tp t="s">
        <v>#N/A Requesting Data...4047503543</v>
        <stp/>
        <stp>BDP|9340583632176375213</stp>
        <tr r="Q911" s="2"/>
      </tp>
      <tp t="s">
        <v>#N/A Requesting Data...3848543395</v>
        <stp/>
        <stp>BDP|1464093705819372308</stp>
        <tr r="O1525" s="2"/>
      </tp>
      <tp t="s">
        <v>#N/A Requesting Data...3616999509</v>
        <stp/>
        <stp>BDP|4212139427938464495</stp>
        <tr r="D25" s="2"/>
      </tp>
      <tp t="s">
        <v>#N/A Requesting Data...4005276233</v>
        <stp/>
        <stp>BDP|4786941157255980661</stp>
        <tr r="F1889" s="2"/>
      </tp>
      <tp t="s">
        <v>#N/A Requesting Data...4248491113</v>
        <stp/>
        <stp>BDP|8759762353057940601</stp>
        <tr r="A664" s="2"/>
      </tp>
      <tp t="s">
        <v>#N/A Requesting Data...4203276592</v>
        <stp/>
        <stp>BDP|8741102010502575191</stp>
        <tr r="S602" s="2"/>
      </tp>
      <tp t="s">
        <v>#N/A Requesting Data...4152006557</v>
        <stp/>
        <stp>BDP|6305248009418092750</stp>
        <tr r="F2366" s="2"/>
      </tp>
      <tp t="s">
        <v>#N/A Requesting Data...3917724752</v>
        <stp/>
        <stp>BDP|5167603756768821545</stp>
        <tr r="M894" s="2"/>
      </tp>
      <tp t="s">
        <v>#N/A Requesting Data...3881261755</v>
        <stp/>
        <stp>BDP|3237146591388545897</stp>
        <tr r="D1709" s="2"/>
      </tp>
      <tp t="s">
        <v>#N/A Requesting Data...3431158558</v>
        <stp/>
        <stp>BDP|1160378813801841967</stp>
        <tr r="O563" s="2"/>
      </tp>
      <tp t="s">
        <v>#N/A Requesting Data...4215358839</v>
        <stp/>
        <stp>BDP|5301923774289617985</stp>
        <tr r="R1610" s="2"/>
      </tp>
      <tp t="s">
        <v>#N/A Requesting Data...3450431159</v>
        <stp/>
        <stp>BDP|2355876769580050766</stp>
        <tr r="F587" s="2"/>
      </tp>
      <tp t="s">
        <v>#N/A Requesting Data...3567387752</v>
        <stp/>
        <stp>BDP|9549617728317555120</stp>
        <tr r="E2185" s="2"/>
      </tp>
      <tp t="s">
        <v>#N/A Requesting Data...3431718907</v>
        <stp/>
        <stp>BDP|6105434581030025182</stp>
        <tr r="H51" s="2"/>
      </tp>
      <tp t="b">
        <v>0</v>
        <stp/>
        <stp>BDS|1056193224340036961</stp>
        <tr r="I1897" s="2"/>
      </tp>
      <tp t="s">
        <v>#N/A Requesting Data...3495087801</v>
        <stp/>
        <stp>BDP|8079852208158121372</stp>
        <tr r="E2333" s="2"/>
      </tp>
      <tp t="s">
        <v>#N/A Requesting Data...3957456977</v>
        <stp/>
        <stp>BDP|3012377238801798933</stp>
        <tr r="F802" s="2"/>
      </tp>
      <tp t="s">
        <v>#N/A Requesting Data...3970922019</v>
        <stp/>
        <stp>BDP|4244615558529635560</stp>
        <tr r="T1313" s="2"/>
      </tp>
      <tp t="s">
        <v>#N/A Requesting Data...3630976613</v>
        <stp/>
        <stp>BDP|8093755949897775704</stp>
        <tr r="K1591" s="2"/>
      </tp>
      <tp t="s">
        <v>#N/A Requesting Data...4285900714</v>
        <stp/>
        <stp>BDP|8938268025883376022</stp>
        <tr r="H442" s="2"/>
      </tp>
      <tp t="s">
        <v>#N/A Requesting Data...3518997835</v>
        <stp/>
        <stp>BDP|5819811307493523500</stp>
        <tr r="A581" s="2"/>
      </tp>
      <tp t="s">
        <v>#N/A Requesting Data...4163911933</v>
        <stp/>
        <stp>BDP|1651853749601857793</stp>
        <tr r="Q252" s="2"/>
      </tp>
      <tp t="s">
        <v>#N/A Requesting Data...3921902814</v>
        <stp/>
        <stp>BDP|6026449089163552239</stp>
        <tr r="O1680" s="2"/>
      </tp>
      <tp t="b">
        <v>0</v>
        <stp/>
        <stp>BDS|2023489903098861588</stp>
        <tr r="I260" s="2"/>
      </tp>
      <tp t="s">
        <v>#N/A Requesting Data...3735131618</v>
        <stp/>
        <stp>BDP|1672120909658111376</stp>
        <tr r="E2504" s="2"/>
      </tp>
      <tp t="s">
        <v>#N/A Requesting Data...3755918441</v>
        <stp/>
        <stp>BDP|8882137747887654114</stp>
        <tr r="H2047" s="2"/>
      </tp>
      <tp t="s">
        <v>#N/A Requesting Data...3924200187</v>
        <stp/>
        <stp>BDP|2961826880169215026</stp>
        <tr r="K1531" s="2"/>
      </tp>
      <tp t="s">
        <v>#N/A Requesting Data...3842723330</v>
        <stp/>
        <stp>BDP|9405246170770196791</stp>
        <tr r="A2023" s="2"/>
      </tp>
      <tp t="s">
        <v>#N/A Requesting Data...3795229881</v>
        <stp/>
        <stp>BDP|6154748738731312862</stp>
        <tr r="D2529" s="2"/>
      </tp>
      <tp t="s">
        <v>#N/A Requesting Data...3791816596</v>
        <stp/>
        <stp>BDP|7082005749419378127</stp>
        <tr r="J2461" s="2"/>
      </tp>
      <tp t="s">
        <v>#N/A Requesting Data...4217302779</v>
        <stp/>
        <stp>BDP|2940993770523188493</stp>
        <tr r="R1319" s="2"/>
      </tp>
      <tp t="s">
        <v>#N/A Requesting Data...3543842628</v>
        <stp/>
        <stp>BDP|9407200110299521899</stp>
        <tr r="N2037" s="2"/>
      </tp>
      <tp t="s">
        <v>#N/A Requesting Data...3974416525</v>
        <stp/>
        <stp>BDP|8008297304540536108</stp>
        <tr r="K1567" s="2"/>
      </tp>
      <tp t="s">
        <v>#N/A Requesting Data...4087258615</v>
        <stp/>
        <stp>BDP|7868309061951576848</stp>
        <tr r="G1794" s="2"/>
      </tp>
      <tp t="s">
        <v>#N/A Requesting Data...3670873486</v>
        <stp/>
        <stp>BDP|1534754199266381225</stp>
        <tr r="G726" s="2"/>
      </tp>
      <tp t="s">
        <v>#N/A Requesting Data...3784009033</v>
        <stp/>
        <stp>BDP|9514486065259082905</stp>
        <tr r="C2203" s="2"/>
      </tp>
      <tp t="s">
        <v>#N/A Requesting Data...3935964012</v>
        <stp/>
        <stp>BDP|8573067411212898023</stp>
        <tr r="T1181" s="2"/>
      </tp>
      <tp t="s">
        <v>#N/A Requesting Data...3974522724</v>
        <stp/>
        <stp>BDP|5340330172113388995</stp>
        <tr r="Q687" s="2"/>
      </tp>
      <tp t="s">
        <v>#N/A Requesting Data...4032883075</v>
        <stp/>
        <stp>BDP|3988849841516395276</stp>
        <tr r="K1376" s="2"/>
      </tp>
      <tp t="s">
        <v>#N/A Requesting Data...3571050664</v>
        <stp/>
        <stp>BDP|2292393660578206414</stp>
        <tr r="Q1019" s="2"/>
      </tp>
      <tp t="s">
        <v>#N/A Requesting Data...4085903850</v>
        <stp/>
        <stp>BDP|4237435238960576843</stp>
        <tr r="Q156" s="2"/>
      </tp>
      <tp t="s">
        <v>#N/A Requesting Data...3671372622</v>
        <stp/>
        <stp>BDP|5750998610695670307</stp>
        <tr r="K1815" s="2"/>
      </tp>
      <tp t="s">
        <v>#N/A Requesting Data...3698775096</v>
        <stp/>
        <stp>BDP|9240342422075959658</stp>
        <tr r="K463" s="2"/>
      </tp>
      <tp t="s">
        <v>#N/A Requesting Data...3526232354</v>
        <stp/>
        <stp>BDP|7121287261828324035</stp>
        <tr r="N1820" s="2"/>
      </tp>
      <tp t="s">
        <v>#N/A Requesting Data...3593178247</v>
        <stp/>
        <stp>BDP|3118807063131881725</stp>
        <tr r="H59" s="2"/>
      </tp>
      <tp t="s">
        <v>#N/A Requesting Data...3751836954</v>
        <stp/>
        <stp>BDP|9581304822186776587</stp>
        <tr r="C1241" s="2"/>
      </tp>
      <tp t="s">
        <v>#N/A Requesting Data...3604269413</v>
        <stp/>
        <stp>BDP|2064146313409999060</stp>
        <tr r="P2074" s="2"/>
      </tp>
      <tp t="b">
        <v>0</v>
        <stp/>
        <stp>BDS|3132978602781564094</stp>
        <tr r="I921" s="2"/>
      </tp>
      <tp t="b">
        <v>0</v>
        <stp/>
        <stp>BDS|9473278831463325097</stp>
        <tr r="I2065" s="2"/>
      </tp>
      <tp t="s">
        <v>#N/A Requesting Data...3760901744</v>
        <stp/>
        <stp>BDP|4261812865302831368</stp>
        <tr r="A1641" s="2"/>
      </tp>
      <tp t="s">
        <v>#N/A Requesting Data...4118715393</v>
        <stp/>
        <stp>BDP|6089144725028968605</stp>
        <tr r="P2214" s="2"/>
      </tp>
      <tp t="s">
        <v>#N/A Requesting Data...3817522416</v>
        <stp/>
        <stp>BDP|1379086558049268698</stp>
        <tr r="Q1963" s="2"/>
      </tp>
      <tp t="s">
        <v>#N/A Requesting Data...4236449286</v>
        <stp/>
        <stp>BDP|5157507909299965299</stp>
        <tr r="J1023" s="2"/>
      </tp>
      <tp t="s">
        <v>#N/A Requesting Data...4054401733</v>
        <stp/>
        <stp>BDP|5811875871037536638</stp>
        <tr r="N1893" s="2"/>
      </tp>
      <tp t="b">
        <v>0</v>
        <stp/>
        <stp>BDS|7626017659089704019</stp>
        <tr r="I1748" s="2"/>
      </tp>
      <tp t="s">
        <v>#N/A Requesting Data...3984626332</v>
        <stp/>
        <stp>BDP|5626991982296469918</stp>
        <tr r="A56" s="2"/>
      </tp>
      <tp t="s">
        <v>#N/A Requesting Data...3819901989</v>
        <stp/>
        <stp>BDP|7769422946294393880</stp>
        <tr r="T908" s="2"/>
      </tp>
      <tp t="s">
        <v>#N/A Requesting Data...3674247666</v>
        <stp/>
        <stp>BDP|1104454993950833771</stp>
        <tr r="G1945" s="2"/>
      </tp>
      <tp t="s">
        <v>#N/A Requesting Data...4250143591</v>
        <stp/>
        <stp>BDP|4670611017310825809</stp>
        <tr r="K1803" s="2"/>
      </tp>
      <tp t="s">
        <v>#N/A Requesting Data...4098929176</v>
        <stp/>
        <stp>BDP|9536281454375360029</stp>
        <tr r="O2159" s="2"/>
      </tp>
      <tp t="s">
        <v>#N/A Requesting Data...3826153740</v>
        <stp/>
        <stp>BDP|5040622130979271286</stp>
        <tr r="H550" s="2"/>
      </tp>
      <tp t="s">
        <v>#N/A Requesting Data...3959843593</v>
        <stp/>
        <stp>BDP|8885753822516270057</stp>
        <tr r="R1013" s="2"/>
      </tp>
      <tp t="s">
        <v>#N/A Requesting Data...3615299742</v>
        <stp/>
        <stp>BDP|4409434332881894954</stp>
        <tr r="O629" s="2"/>
      </tp>
      <tp t="s">
        <v>#N/A Requesting Data...4049382106</v>
        <stp/>
        <stp>BDP|3691603687760980604</stp>
        <tr r="K111" s="2"/>
      </tp>
      <tp t="s">
        <v>#N/A Requesting Data...3973835776</v>
        <stp/>
        <stp>BDP|7095999857712133275</stp>
        <tr r="N1479" s="2"/>
      </tp>
      <tp t="s">
        <v>#N/A Requesting Data...3931310736</v>
        <stp/>
        <stp>BDP|9359746121230763796</stp>
        <tr r="K2482" s="2"/>
      </tp>
      <tp t="s">
        <v>#N/A Requesting Data...4185248140</v>
        <stp/>
        <stp>BDP|2172376714782238985</stp>
        <tr r="S1511" s="2"/>
      </tp>
      <tp t="s">
        <v>#N/A Requesting Data...4015964447</v>
        <stp/>
        <stp>BDP|6476005637027224990</stp>
        <tr r="T1758" s="2"/>
      </tp>
      <tp t="s">
        <v>#N/A Requesting Data...3795963751</v>
        <stp/>
        <stp>BDP|7969752073799410532</stp>
        <tr r="G2413" s="2"/>
      </tp>
      <tp t="s">
        <v>#N/A Requesting Data...3578294634</v>
        <stp/>
        <stp>BDP|8664844799396469477</stp>
        <tr r="S1957" s="2"/>
      </tp>
      <tp t="s">
        <v>#N/A Requesting Data...4276761449</v>
        <stp/>
        <stp>BDP|7849871006900683474</stp>
        <tr r="P867" s="2"/>
      </tp>
      <tp t="s">
        <v>#N/A Requesting Data...4184100786</v>
        <stp/>
        <stp>BDP|9015391743403626645</stp>
        <tr r="O110" s="2"/>
      </tp>
      <tp t="s">
        <v>#N/A Requesting Data...3731719116</v>
        <stp/>
        <stp>BDP|1064211588402110201</stp>
        <tr r="E647" s="2"/>
      </tp>
      <tp t="s">
        <v>#N/A Requesting Data...4058827623</v>
        <stp/>
        <stp>BDP|3756241765009939574</stp>
        <tr r="G635" s="2"/>
      </tp>
      <tp t="s">
        <v>#N/A Requesting Data...3858707900</v>
        <stp/>
        <stp>BDP|2964920253451035403</stp>
        <tr r="O1223" s="2"/>
      </tp>
      <tp t="s">
        <v>#N/A Requesting Data...3911466784</v>
        <stp/>
        <stp>BDP|3477731299656501032</stp>
        <tr r="E2023" s="2"/>
      </tp>
      <tp t="s">
        <v>#N/A Requesting Data...4078919982</v>
        <stp/>
        <stp>BDP|7605484713878494117</stp>
        <tr r="N1715" s="2"/>
      </tp>
      <tp t="s">
        <v>#N/A Requesting Data...3819927662</v>
        <stp/>
        <stp>BDP|5435447001963170988</stp>
        <tr r="M2139" s="2"/>
      </tp>
      <tp t="s">
        <v>#N/A Requesting Data...4091336643</v>
        <stp/>
        <stp>BDP|4163273196075904110</stp>
        <tr r="A2385" s="2"/>
      </tp>
      <tp t="s">
        <v>#N/A Requesting Data...3727940432</v>
        <stp/>
        <stp>BDP|9315534089947613878</stp>
        <tr r="K198" s="2"/>
      </tp>
      <tp t="s">
        <v>#N/A Requesting Data...4290449038</v>
        <stp/>
        <stp>BDP|4903529088467298591</stp>
        <tr r="H1575" s="2"/>
      </tp>
      <tp t="s">
        <v>#N/A Requesting Data...3871236011</v>
        <stp/>
        <stp>BDP|3155204163849998535</stp>
        <tr r="H1860" s="2"/>
      </tp>
      <tp t="s">
        <v>#N/A Requesting Data...3900220980</v>
        <stp/>
        <stp>BDP|2974604991736475046</stp>
        <tr r="F1815" s="2"/>
      </tp>
      <tp t="s">
        <v>#N/A Requesting Data...4065852079</v>
        <stp/>
        <stp>BDP|8666189205434580667</stp>
        <tr r="N1830" s="2"/>
      </tp>
      <tp t="s">
        <v>#N/A Requesting Data...4030154175</v>
        <stp/>
        <stp>BDP|9788369363163306494</stp>
        <tr r="J318" s="2"/>
      </tp>
      <tp t="s">
        <v>#N/A Requesting Data...3660838623</v>
        <stp/>
        <stp>BDP|7527182559059557192</stp>
        <tr r="K2060" s="2"/>
      </tp>
      <tp t="s">
        <v>#N/A Requesting Data...3926000401</v>
        <stp/>
        <stp>BDP|6811185295231401491</stp>
        <tr r="H1776" s="2"/>
      </tp>
      <tp t="s">
        <v>#N/A Requesting Data...4278600613</v>
        <stp/>
        <stp>BDP|8046036775634730090</stp>
        <tr r="F356" s="2"/>
      </tp>
      <tp t="s">
        <v>#N/A Requesting Data...3678051651</v>
        <stp/>
        <stp>BDP|5837924860540637146</stp>
        <tr r="J1218" s="2"/>
      </tp>
      <tp t="s">
        <v>#N/A Requesting Data...3684283084</v>
        <stp/>
        <stp>BDP|3584309498546014453</stp>
        <tr r="C235" s="2"/>
      </tp>
      <tp t="s">
        <v>#N/A Requesting Data...4175434247</v>
        <stp/>
        <stp>BDP|1410427797042971507</stp>
        <tr r="P964" s="2"/>
      </tp>
      <tp t="s">
        <v>#N/A Requesting Data...4186462671</v>
        <stp/>
        <stp>BDP|1603027707572300884</stp>
        <tr r="E810" s="2"/>
      </tp>
      <tp t="s">
        <v>#N/A Requesting Data...3676106258</v>
        <stp/>
        <stp>BDP|8599776272106986510</stp>
        <tr r="G2355" s="2"/>
      </tp>
      <tp t="b">
        <v>0</v>
        <stp/>
        <stp>BDS|8334239914404430488</stp>
        <tr r="I735" s="2"/>
      </tp>
      <tp t="s">
        <v>#N/A Requesting Data...3743304037</v>
        <stp/>
        <stp>BDP|6368371698006098157</stp>
        <tr r="A1883" s="2"/>
      </tp>
      <tp t="s">
        <v>#N/A Requesting Data...4170235372</v>
        <stp/>
        <stp>BDP|3955769594261601747</stp>
        <tr r="G2316" s="2"/>
      </tp>
      <tp t="s">
        <v>#N/A Requesting Data...3790680127</v>
        <stp/>
        <stp>BDP|6850541653975560832</stp>
        <tr r="A1730" s="2"/>
      </tp>
      <tp t="s">
        <v>#N/A Requesting Data...3954765773</v>
        <stp/>
        <stp>BDP|5064361992875466190</stp>
        <tr r="O674" s="2"/>
      </tp>
      <tp t="s">
        <v>#N/A Requesting Data...4151433240</v>
        <stp/>
        <stp>BDP|7233893657924189548</stp>
        <tr r="F2227" s="2"/>
      </tp>
      <tp t="s">
        <v>#N/A Requesting Data...3783015178</v>
        <stp/>
        <stp>BDP|2790889005079398800</stp>
        <tr r="H2122" s="2"/>
      </tp>
      <tp t="s">
        <v>#N/A Requesting Data...3747941817</v>
        <stp/>
        <stp>BDP|7768359644559830270</stp>
        <tr r="D1878" s="2"/>
      </tp>
      <tp t="s">
        <v>#N/A Requesting Data...3844242065</v>
        <stp/>
        <stp>BDP|8585557518750002710</stp>
        <tr r="O963" s="2"/>
      </tp>
      <tp t="s">
        <v>#N/A Requesting Data...4108500860</v>
        <stp/>
        <stp>BDP|8867428333461273525</stp>
        <tr r="R624" s="2"/>
      </tp>
      <tp t="s">
        <v>#N/A Requesting Data...3876112012</v>
        <stp/>
        <stp>BDP|8389446225915392086</stp>
        <tr r="A1008" s="2"/>
      </tp>
      <tp t="s">
        <v>#N/A Requesting Data...4157075338</v>
        <stp/>
        <stp>BDP|3438251455866970945</stp>
        <tr r="T478" s="2"/>
      </tp>
      <tp t="s">
        <v>#N/A Requesting Data...3864567472</v>
        <stp/>
        <stp>BDP|7633364484673594483</stp>
        <tr r="A940" s="2"/>
      </tp>
      <tp t="s">
        <v>#N/A Requesting Data...3977295227</v>
        <stp/>
        <stp>BDP|4878734898712374399</stp>
        <tr r="E1651" s="2"/>
      </tp>
      <tp t="s">
        <v>#N/A Requesting Data...3814031892</v>
        <stp/>
        <stp>BDP|8809548312837799003</stp>
        <tr r="H277" s="2"/>
      </tp>
      <tp t="s">
        <v>#N/A Requesting Data...3815371777</v>
        <stp/>
        <stp>BDP|5985206447508420033</stp>
        <tr r="P2026" s="2"/>
      </tp>
      <tp t="s">
        <v>#N/A Requesting Data...3958782940</v>
        <stp/>
        <stp>BDP|7705601773135520888</stp>
        <tr r="T1635" s="2"/>
      </tp>
      <tp t="s">
        <v>#N/A Requesting Data...3855831108</v>
        <stp/>
        <stp>BDP|1311599798162913422</stp>
        <tr r="F2297" s="2"/>
      </tp>
      <tp t="s">
        <v>#N/A Requesting Data...3724663767</v>
        <stp/>
        <stp>BDP|8880652063200669314</stp>
        <tr r="P1917" s="2"/>
      </tp>
      <tp t="s">
        <v>#N/A Requesting Data...4241556745</v>
        <stp/>
        <stp>BDP|4507551679878573553</stp>
        <tr r="J984" s="2"/>
      </tp>
      <tp t="s">
        <v>#N/A Requesting Data...4201735429</v>
        <stp/>
        <stp>BDP|5957395089104149118</stp>
        <tr r="F275" s="2"/>
      </tp>
      <tp t="s">
        <v>#N/A Requesting Data...3957083543</v>
        <stp/>
        <stp>BDP|5425923636533989701</stp>
        <tr r="D2381" s="2"/>
      </tp>
      <tp t="s">
        <v>#N/A Requesting Data...4222462201</v>
        <stp/>
        <stp>BDP|5519034342122991840</stp>
        <tr r="K999" s="2"/>
      </tp>
      <tp t="s">
        <v>#N/A Requesting Data...4061866793</v>
        <stp/>
        <stp>BDP|9112308502411870026</stp>
        <tr r="M1502" s="2"/>
      </tp>
      <tp t="s">
        <v>#N/A Requesting Data...3767955710</v>
        <stp/>
        <stp>BDP|6787273012567341986</stp>
        <tr r="S2157" s="2"/>
      </tp>
      <tp t="s">
        <v>#N/A Requesting Data...3806373882</v>
        <stp/>
        <stp>BDP|1805858822471113171</stp>
        <tr r="D345" s="2"/>
      </tp>
      <tp t="s">
        <v>#N/A Requesting Data...4019449400</v>
        <stp/>
        <stp>BDP|9187463131760865575</stp>
        <tr r="A1951" s="2"/>
      </tp>
      <tp t="s">
        <v>#N/A Requesting Data...4019243506</v>
        <stp/>
        <stp>BDP|2549432600878747585</stp>
        <tr r="E1301" s="2"/>
      </tp>
      <tp t="b">
        <v>0</v>
        <stp/>
        <stp>BDS|9843140864695289036</stp>
        <tr r="I1234" s="2"/>
      </tp>
      <tp t="s">
        <v>#N/A Requesting Data...4042346284</v>
        <stp/>
        <stp>BDP|6557521140565861969</stp>
        <tr r="K2377" s="2"/>
      </tp>
      <tp t="s">
        <v>#N/A Requesting Data...3740772018</v>
        <stp/>
        <stp>BDP|4078826806550521787</stp>
        <tr r="R1675" s="2"/>
      </tp>
      <tp t="s">
        <v>#N/A Requesting Data...4242873748</v>
        <stp/>
        <stp>BDP|2999274821129346059</stp>
        <tr r="P922" s="2"/>
      </tp>
      <tp t="s">
        <v>#N/A Requesting Data...3774849283</v>
        <stp/>
        <stp>BDP|9000389280039604078</stp>
        <tr r="T583" s="2"/>
      </tp>
      <tp t="s">
        <v>#N/A Requesting Data...3843043332</v>
        <stp/>
        <stp>BDP|1206999414820147274</stp>
        <tr r="O2522" s="2"/>
      </tp>
      <tp t="s">
        <v>#N/A Requesting Data...3773945056</v>
        <stp/>
        <stp>BDP|3473546542850910929</stp>
        <tr r="Q1655" s="2"/>
      </tp>
      <tp t="s">
        <v>#N/A Requesting Data...3889404685</v>
        <stp/>
        <stp>BDP|4148369083396895257</stp>
        <tr r="O964" s="2"/>
      </tp>
      <tp t="s">
        <v>#N/A Requesting Data...3861791794</v>
        <stp/>
        <stp>BDP|9094138240342344596</stp>
        <tr r="A1792" s="2"/>
      </tp>
      <tp t="s">
        <v>#N/A Requesting Data...3777717439</v>
        <stp/>
        <stp>BDP|7555622190731640284</stp>
        <tr r="J1828" s="2"/>
      </tp>
      <tp t="s">
        <v>#N/A Requesting Data...4164859115</v>
        <stp/>
        <stp>BDP|5893718410328927090</stp>
        <tr r="R2220" s="2"/>
      </tp>
      <tp t="s">
        <v>#N/A Requesting Data...3860774183</v>
        <stp/>
        <stp>BDP|1700493269200641885</stp>
        <tr r="J59" s="2"/>
      </tp>
      <tp t="s">
        <v>#N/A Requesting Data...4107157210</v>
        <stp/>
        <stp>BDP|6146400602528278186</stp>
        <tr r="K1023" s="2"/>
      </tp>
      <tp t="s">
        <v>#N/A Requesting Data...3996508628</v>
        <stp/>
        <stp>BDP|8010153728742507216</stp>
        <tr r="O2130" s="2"/>
      </tp>
      <tp t="s">
        <v>#N/A Requesting Data...3976649950</v>
        <stp/>
        <stp>BDP|7195738078648111425</stp>
        <tr r="P1742" s="2"/>
      </tp>
      <tp t="s">
        <v>#N/A Requesting Data...4270602350</v>
        <stp/>
        <stp>BDP|9373410638660730541</stp>
        <tr r="H1603" s="2"/>
      </tp>
      <tp t="s">
        <v>#N/A Requesting Data...4101657199</v>
        <stp/>
        <stp>BDP|8069271504130254180</stp>
        <tr r="A2095" s="2"/>
      </tp>
      <tp t="s">
        <v>#N/A Requesting Data...4149509372</v>
        <stp/>
        <stp>BDP|1706918356877932101</stp>
        <tr r="H1884" s="2"/>
      </tp>
      <tp t="s">
        <v>#N/A Requesting Data...4112297146</v>
        <stp/>
        <stp>BDP|8305379374342190581</stp>
        <tr r="S1700" s="2"/>
      </tp>
      <tp t="s">
        <v>#N/A Requesting Data...3960972911</v>
        <stp/>
        <stp>BDP|9416174928965265408</stp>
        <tr r="M2501" s="2"/>
      </tp>
      <tp t="s">
        <v>#N/A Requesting Data...4064357000</v>
        <stp/>
        <stp>BDP|5039796144564650927</stp>
        <tr r="N1614" s="2"/>
      </tp>
      <tp t="s">
        <v>#N/A Requesting Data...4031746594</v>
        <stp/>
        <stp>BDP|5417492180112199059</stp>
        <tr r="P1828" s="2"/>
      </tp>
      <tp t="s">
        <v>#N/A Requesting Data...4101316471</v>
        <stp/>
        <stp>BDP|6421492165606329926</stp>
        <tr r="Q1185" s="2"/>
      </tp>
      <tp t="s">
        <v>#N/A Requesting Data...3939468779</v>
        <stp/>
        <stp>BDP|5296628286315859572</stp>
        <tr r="O239" s="2"/>
      </tp>
      <tp t="s">
        <v>#N/A Requesting Data...4098930819</v>
        <stp/>
        <stp>BDP|2555121157254109983</stp>
        <tr r="P1398" s="2"/>
      </tp>
      <tp t="s">
        <v>#N/A Requesting Data...4276254651</v>
        <stp/>
        <stp>BDP|5511344957091959965</stp>
        <tr r="D390" s="2"/>
      </tp>
      <tp t="s">
        <v>#N/A Requesting Data...4102396218</v>
        <stp/>
        <stp>BDP|9110805685553457190</stp>
        <tr r="E1545" s="2"/>
      </tp>
      <tp t="s">
        <v>#N/A Requesting Data...4148249153</v>
        <stp/>
        <stp>BDP|7616894662970481200</stp>
        <tr r="A2112" s="2"/>
      </tp>
      <tp t="s">
        <v>#N/A Requesting Data...4019206190</v>
        <stp/>
        <stp>BDP|6047740595220922310</stp>
        <tr r="K1133" s="2"/>
      </tp>
      <tp t="s">
        <v>#N/A Requesting Data...3855343045</v>
        <stp/>
        <stp>BDP|8366613958265343507</stp>
        <tr r="E980" s="2"/>
      </tp>
      <tp t="s">
        <v>#N/A Requesting Data...4155191035</v>
        <stp/>
        <stp>BDP|7247803058742064331</stp>
        <tr r="O22" s="2"/>
      </tp>
      <tp t="s">
        <v>#N/A Requesting Data...4214040152</v>
        <stp/>
        <stp>BDP|6291897252804292428</stp>
        <tr r="D2343" s="2"/>
      </tp>
      <tp t="s">
        <v>#N/A Requesting Data...4270834976</v>
        <stp/>
        <stp>BDP|5302860679996293777</stp>
        <tr r="O232" s="2"/>
      </tp>
      <tp t="s">
        <v>#N/A Requesting Data...4189750977</v>
        <stp/>
        <stp>BDP|4850295551258068093</stp>
        <tr r="C2093" s="2"/>
      </tp>
      <tp t="b">
        <v>0</v>
        <stp/>
        <stp>BDS|4638927415064064387</stp>
        <tr r="I771" s="2"/>
      </tp>
      <tp t="s">
        <v>#N/A Requesting Data...3966567645</v>
        <stp/>
        <stp>BDP|7200694063695426956</stp>
        <tr r="N469" s="2"/>
      </tp>
      <tp t="s">
        <v>#N/A Requesting Data...3836000654</v>
        <stp/>
        <stp>BDP|9863736124154510349</stp>
        <tr r="G2354" s="2"/>
      </tp>
      <tp t="s">
        <v>#N/A Requesting Data...4244619015</v>
        <stp/>
        <stp>BDP|9035158626307962647</stp>
        <tr r="H1226" s="2"/>
      </tp>
      <tp t="b">
        <v>0</v>
        <stp/>
        <stp>BDS|5309805957437880423</stp>
        <tr r="I507" s="2"/>
      </tp>
      <tp t="s">
        <v>#N/A Requesting Data...4210130041</v>
        <stp/>
        <stp>BDP|4748040488961633637</stp>
        <tr r="N1866" s="2"/>
      </tp>
      <tp t="s">
        <v>#N/A Requesting Data...4025645678</v>
        <stp/>
        <stp>BDP|9415236479702585550</stp>
        <tr r="J1325" s="2"/>
      </tp>
      <tp t="s">
        <v>#N/A Requesting Data...4031188062</v>
        <stp/>
        <stp>BDP|1835272439858083389</stp>
        <tr r="K78" s="2"/>
      </tp>
      <tp t="s">
        <v>#N/A Requesting Data...4076551618</v>
        <stp/>
        <stp>BDP|8124273416112900278</stp>
        <tr r="O1567" s="2"/>
      </tp>
      <tp t="s">
        <v>#N/A Requesting Data...4076973183</v>
        <stp/>
        <stp>BDP|3805949312161792179</stp>
        <tr r="H2363" s="2"/>
      </tp>
      <tp t="b">
        <v>0</v>
        <stp/>
        <stp>BDS|3723343464505174888</stp>
        <tr r="I1905" s="2"/>
      </tp>
      <tp t="s">
        <v>#N/A Requesting Data...4121981562</v>
        <stp/>
        <stp>BDP|9207137830139870979</stp>
        <tr r="O970" s="2"/>
      </tp>
      <tp t="s">
        <v>#N/A Requesting Data...4216592962</v>
        <stp/>
        <stp>BDP|7799171199142392648</stp>
        <tr r="T1385" s="2"/>
      </tp>
      <tp t="s">
        <v>#N/A Requesting Data...4023659525</v>
        <stp/>
        <stp>BDP|6031573775076998951</stp>
        <tr r="A1035" s="2"/>
      </tp>
      <tp t="s">
        <v>#N/A Requesting Data...3895686737</v>
        <stp/>
        <stp>BDP|7749156665152021999</stp>
        <tr r="E2352" s="2"/>
      </tp>
      <tp t="s">
        <v>#N/A Requesting Data...3868217262</v>
        <stp/>
        <stp>BDP|9377668543516818603</stp>
        <tr r="T2194" s="2"/>
      </tp>
      <tp t="s">
        <v>#N/A Requesting Data...4168112637</v>
        <stp/>
        <stp>BDP|3052913668857460033</stp>
        <tr r="H1253" s="2"/>
      </tp>
      <tp t="s">
        <v>#N/A Requesting Data...4101230327</v>
        <stp/>
        <stp>BDP|8422577536467385283</stp>
        <tr r="A1943" s="2"/>
      </tp>
      <tp t="s">
        <v>#N/A Requesting Data...4085226819</v>
        <stp/>
        <stp>BDP|8588691602295466047</stp>
        <tr r="N1902" s="2"/>
      </tp>
      <tp t="s">
        <v>#N/A Requesting Data...4057272858</v>
        <stp/>
        <stp>BDP|9312102034849885919</stp>
        <tr r="P2050" s="2"/>
      </tp>
      <tp t="s">
        <v>#N/A Requesting Data...4231197902</v>
        <stp/>
        <stp>BDP|6485267377521288998</stp>
        <tr r="A763" s="2"/>
      </tp>
      <tp t="s">
        <v>#N/A Requesting Data...3882530039</v>
        <stp/>
        <stp>BDP|9652169047794143385</stp>
        <tr r="Q1613" s="2"/>
      </tp>
      <tp t="s">
        <v>#N/A Requesting Data...4087791105</v>
        <stp/>
        <stp>BDP|1752559628139090449</stp>
        <tr r="J2272" s="2"/>
      </tp>
      <tp t="s">
        <v>#N/A Requesting Data...4289734827</v>
        <stp/>
        <stp>BDP|6035728816362907935</stp>
        <tr r="R885" s="2"/>
      </tp>
      <tp t="s">
        <v>#N/A Requesting Data...3994182215</v>
        <stp/>
        <stp>BDP|9287024768235278144</stp>
        <tr r="F2432" s="2"/>
      </tp>
      <tp t="s">
        <v>#N/A Requesting Data...3916546972</v>
        <stp/>
        <stp>BDP|1932157055816081878</stp>
        <tr r="O1369" s="2"/>
      </tp>
      <tp t="s">
        <v>#N/A Requesting Data...4121197851</v>
        <stp/>
        <stp>BDP|2722099690123912394</stp>
        <tr r="T117" s="2"/>
      </tp>
      <tp t="s">
        <v>#N/A Requesting Data...4213574242</v>
        <stp/>
        <stp>BDP|7726089990073378623</stp>
        <tr r="N1538" s="2"/>
      </tp>
      <tp t="s">
        <v>#N/A Requesting Data...4071153755</v>
        <stp/>
        <stp>BDP|9731100139078584854</stp>
        <tr r="J139" s="2"/>
      </tp>
      <tp t="s">
        <v>#N/A Requesting Data...4041726803</v>
        <stp/>
        <stp>BDP|1438095412822819991</stp>
        <tr r="S1289" s="2"/>
      </tp>
      <tp t="s">
        <v>#N/A Requesting Data...4001294385</v>
        <stp/>
        <stp>BDP|5694314684545825054</stp>
        <tr r="O1590" s="2"/>
      </tp>
      <tp t="s">
        <v>#N/A Requesting Data...4275185128</v>
        <stp/>
        <stp>BDP|8291834074398977427</stp>
        <tr r="M1980" s="2"/>
      </tp>
      <tp t="s">
        <v>#N/A Requesting Data...4255299772</v>
        <stp/>
        <stp>BDP|8949832111912671836</stp>
        <tr r="Q1604" s="2"/>
      </tp>
      <tp t="s">
        <v>#N/A Requesting Data...3937508700</v>
        <stp/>
        <stp>BDP|4879743011759796044</stp>
        <tr r="C148" s="2"/>
      </tp>
      <tp t="s">
        <v>#N/A Requesting Data...3976253249</v>
        <stp/>
        <stp>BDP|6024721969505109947</stp>
        <tr r="P11" s="2"/>
      </tp>
      <tp t="s">
        <v>#N/A Requesting Data...4253815142</v>
        <stp/>
        <stp>BDP|2856483156691819900</stp>
        <tr r="K1709" s="2"/>
      </tp>
      <tp t="s">
        <v>#N/A Requesting Data...4190510095</v>
        <stp/>
        <stp>BDP|2467585062839596353</stp>
        <tr r="P1617" s="2"/>
      </tp>
      <tp t="s">
        <v>#N/A Requesting Data...4217394308</v>
        <stp/>
        <stp>BDP|4714973013871531688</stp>
        <tr r="P383" s="2"/>
      </tp>
      <tp t="s">
        <v>#N/A Requesting Data...4085918482</v>
        <stp/>
        <stp>BDP|7996304703758597712</stp>
        <tr r="K525" s="2"/>
      </tp>
      <tp t="s">
        <v>#N/A Requesting Data...4228718732</v>
        <stp/>
        <stp>BDP|2776241026598901122</stp>
        <tr r="T1287" s="2"/>
      </tp>
      <tp t="s">
        <v>#N/A Requesting Data...4268452542</v>
        <stp/>
        <stp>BDP|2599889504329171865</stp>
        <tr r="C797" s="2"/>
      </tp>
      <tp t="s">
        <v>#N/A Requesting Data...4268284106</v>
        <stp/>
        <stp>BDP|4379298906495521878</stp>
        <tr r="S1058" s="2"/>
      </tp>
      <tp t="s">
        <v>#N/A Requesting Data...4193089279</v>
        <stp/>
        <stp>BDP|3809217400009644312</stp>
        <tr r="P2387" s="2"/>
      </tp>
      <tp t="s">
        <v>#N/A Requesting Data...4160987189</v>
        <stp/>
        <stp>BDP|6408407178766346815</stp>
        <tr r="D2256" s="2"/>
      </tp>
      <tp t="s">
        <v>#N/A Requesting Data...4089931317</v>
        <stp/>
        <stp>BDP|7366079052590196992</stp>
        <tr r="F1379" s="2"/>
      </tp>
      <tp t="s">
        <v>#N/A Requesting Data...4116454715</v>
        <stp/>
        <stp>BDP|2750131409781018932</stp>
        <tr r="A1000" s="2"/>
      </tp>
      <tp t="s">
        <v>#N/A Requesting Data...4192005501</v>
        <stp/>
        <stp>BDP|5334821872104558586</stp>
        <tr r="R1561" s="2"/>
      </tp>
      <tp t="s">
        <v>#N/A Requesting Data...4084399465</v>
        <stp/>
        <stp>BDP|8027326724494118691</stp>
        <tr r="M343" s="2"/>
      </tp>
      <tp t="s">
        <v>#N/A Requesting Data...4165104877</v>
        <stp/>
        <stp>BDP|9110631269266655437</stp>
        <tr r="S1729" s="2"/>
      </tp>
      <tp t="s">
        <v>#N/A Requesting Data...4290055982</v>
        <stp/>
        <stp>BDP|8359420704391835635</stp>
        <tr r="N1886" s="2"/>
      </tp>
      <tp t="s">
        <v>#N/A Requesting Data...4245421969</v>
        <stp/>
        <stp>BDP|9190299110415242440</stp>
        <tr r="D2380" s="2"/>
      </tp>
      <tp t="s">
        <v>#N/A Requesting Data...4169773542</v>
        <stp/>
        <stp>BDP|2018680650293719912</stp>
        <tr r="D581" s="2"/>
      </tp>
      <tp t="s">
        <v>#N/A Requesting Data...4167998014</v>
        <stp/>
        <stp>BDP|7562671190151508296</stp>
        <tr r="O1003" s="2"/>
      </tp>
      <tp t="s">
        <v>#N/A Requesting Data...3959628784</v>
        <stp/>
        <stp>BDP|8063777438080846795</stp>
        <tr r="F1411" s="2"/>
      </tp>
      <tp t="s">
        <v>#N/A Requesting Data...4021736003</v>
        <stp/>
        <stp>BDP|3498889253707671270</stp>
        <tr r="M2347" s="2"/>
      </tp>
      <tp t="s">
        <v>#N/A Requesting Data...3987647545</v>
        <stp/>
        <stp>BDP|6912409090422764209</stp>
        <tr r="H598" s="2"/>
      </tp>
      <tp t="s">
        <v>#N/A Requesting Data...3998513363</v>
        <stp/>
        <stp>BDP|7946918853700209078</stp>
        <tr r="N325" s="2"/>
      </tp>
      <tp t="b">
        <v>0</v>
        <stp/>
        <stp>BDS|6967800631037625104</stp>
        <tr r="I1502" s="2"/>
      </tp>
      <tp t="s">
        <v>#N/A Requesting Data...4090403773</v>
        <stp/>
        <stp>BDP|7946833953062139367</stp>
        <tr r="E1901" s="2"/>
      </tp>
      <tp t="s">
        <v>#N/A Requesting Data...4210312943</v>
        <stp/>
        <stp>BDP|5826976685137650823</stp>
        <tr r="T1160" s="2"/>
      </tp>
      <tp t="s">
        <v>#N/A Requesting Data...4218523235</v>
        <stp/>
        <stp>BDP|6609590466158100662</stp>
        <tr r="P431" s="2"/>
      </tp>
      <tp t="s">
        <v>#N/A Requesting Data...4061496017</v>
        <stp/>
        <stp>BDP|2824567685023524705</stp>
        <tr r="R1617" s="2"/>
      </tp>
      <tp t="s">
        <v>#N/A Requesting Data...4160043740</v>
        <stp/>
        <stp>BDP|7936321926598371502</stp>
        <tr r="C1682" s="2"/>
      </tp>
      <tp t="s">
        <v>#N/A Requesting Data...4168705964</v>
        <stp/>
        <stp>BDP|4654710578038831794</stp>
        <tr r="D94" s="2"/>
      </tp>
      <tp t="s">
        <v>#N/A Requesting Data...4222844892</v>
        <stp/>
        <stp>BDP|7803004977919677278</stp>
        <tr r="J933" s="2"/>
      </tp>
      <tp t="s">
        <v>#N/A Requesting Data...4079377841</v>
        <stp/>
        <stp>BDP|9508144939467269744</stp>
        <tr r="Q1954" s="2"/>
      </tp>
      <tp t="s">
        <v>#N/A Requesting Data...4005905238</v>
        <stp/>
        <stp>BDP|8101700849198249847</stp>
        <tr r="Q2488" s="2"/>
      </tp>
      <tp t="s">
        <v>#N/A Requesting Data...4151808189</v>
        <stp/>
        <stp>BDP|1545885434727179663</stp>
        <tr r="P1067" s="2"/>
      </tp>
      <tp t="s">
        <v>#N/A Requesting Data...4097401756</v>
        <stp/>
        <stp>BDP|6845782194410344393</stp>
        <tr r="R1175" s="2"/>
      </tp>
      <tp t="s">
        <v>#N/A Requesting Data...4135375574</v>
        <stp/>
        <stp>BDP|1722696193535443070</stp>
        <tr r="M1560" s="2"/>
      </tp>
      <tp t="s">
        <v>#N/A Requesting Data...4150917415</v>
        <stp/>
        <stp>BDP|8817390518056774703</stp>
        <tr r="J1186" s="2"/>
      </tp>
      <tp t="s">
        <v>#N/A Requesting Data...4154787320</v>
        <stp/>
        <stp>BDP|9272777272835850718</stp>
        <tr r="H1960" s="2"/>
      </tp>
      <tp t="s">
        <v>#N/A Requesting Data...4220706584</v>
        <stp/>
        <stp>BDP|4026230548178048152</stp>
        <tr r="A570" s="2"/>
      </tp>
      <tp t="s">
        <v>#N/A Requesting Data...4021992527</v>
        <stp/>
        <stp>BDP|4815836427585505077</stp>
        <tr r="Q915" s="2"/>
      </tp>
      <tp t="s">
        <v>#N/A Requesting Data...4156518122</v>
        <stp/>
        <stp>BDP|1232863879024507165</stp>
        <tr r="M1275" s="2"/>
      </tp>
      <tp t="s">
        <v>#N/A Requesting Data...4084319645</v>
        <stp/>
        <stp>BDP|7278120757368171086</stp>
        <tr r="T1822" s="2"/>
      </tp>
      <tp t="s">
        <v>#N/A Requesting Data...4291066628</v>
        <stp/>
        <stp>BDP|7405438844965432997</stp>
        <tr r="O293" s="2"/>
      </tp>
      <tp t="s">
        <v>#N/A Requesting Data...4065000439</v>
        <stp/>
        <stp>BDP|6280651022539207098</stp>
        <tr r="R2383" s="2"/>
      </tp>
      <tp t="s">
        <v>#N/A Requesting Data...4169617410</v>
        <stp/>
        <stp>BDP|5143154609236620954</stp>
        <tr r="S2513" s="2"/>
      </tp>
      <tp t="s">
        <v>#N/A Requesting Data...4127457587</v>
        <stp/>
        <stp>BDP|5249116212906699896</stp>
        <tr r="Q2152" s="2"/>
      </tp>
      <tp t="s">
        <v>#N/A Requesting Data...4240991619</v>
        <stp/>
        <stp>BDP|3648192490620122006</stp>
        <tr r="J703" s="2"/>
      </tp>
      <tp t="s">
        <v>#N/A Requesting Data...4232361605</v>
        <stp/>
        <stp>BDP|8353375100571978136</stp>
        <tr r="S66" s="2"/>
      </tp>
      <tp t="s">
        <v>#N/A Requesting Data...4100974067</v>
        <stp/>
        <stp>BDP|9496050516991017295</stp>
        <tr r="J2262" s="2"/>
      </tp>
      <tp t="s">
        <v>#N/A Requesting Data...4155932537</v>
        <stp/>
        <stp>BDP|4008177049318166216</stp>
        <tr r="C2478" s="2"/>
      </tp>
      <tp t="s">
        <v>#N/A Requesting Data...4126914027</v>
        <stp/>
        <stp>BDP|8749064333867483784</stp>
        <tr r="M2317" s="2"/>
      </tp>
      <tp t="s">
        <v>#N/A Requesting Data...4240364846</v>
        <stp/>
        <stp>BDP|8743982747589324755</stp>
        <tr r="F985" s="2"/>
      </tp>
      <tp t="s">
        <v>#N/A Requesting Data...4124566778</v>
        <stp/>
        <stp>BDP|4703945728394126040</stp>
        <tr r="T31" s="2"/>
      </tp>
      <tp t="s">
        <v>#N/A Requesting Data...4152246274</v>
        <stp/>
        <stp>BDP|4156365876508928360</stp>
        <tr r="C26" s="2"/>
      </tp>
      <tp t="s">
        <v>#N/A Requesting Data...4165653482</v>
        <stp/>
        <stp>BDP|6197929305805897106</stp>
        <tr r="Q1129" s="2"/>
      </tp>
      <tp t="b">
        <v>0</v>
        <stp/>
        <stp>BDS|2613777319826621908</stp>
        <tr r="I2300" s="2"/>
      </tp>
      <tp t="s">
        <v>#N/A Requesting Data...4111854323</v>
        <stp/>
        <stp>BDP|7549263745909107399</stp>
        <tr r="M2385" s="2"/>
      </tp>
      <tp t="s">
        <v>#N/A Requesting Data...4168950956</v>
        <stp/>
        <stp>BDP|4950665184167022655</stp>
        <tr r="E557" s="2"/>
      </tp>
      <tp t="s">
        <v>#N/A Requesting Data...4119526628</v>
        <stp/>
        <stp>BDP|6421610668409591469</stp>
        <tr r="O14" s="2"/>
      </tp>
      <tp t="s">
        <v>#N/A Requesting Data...4067914093</v>
        <stp/>
        <stp>BDP|3746299512312413969</stp>
        <tr r="P864" s="2"/>
      </tp>
      <tp t="s">
        <v>#N/A Requesting Data...4281564609</v>
        <stp/>
        <stp>BDP|8205843597596638493</stp>
        <tr r="R1167" s="2"/>
      </tp>
      <tp t="s">
        <v>#N/A Requesting Data...4113260230</v>
        <stp/>
        <stp>BDP|9532226468371183708</stp>
        <tr r="N396" s="2"/>
      </tp>
      <tp t="s">
        <v>#N/A Requesting Data...4130322218</v>
        <stp/>
        <stp>BDP|7544340089933689403</stp>
        <tr r="G660" s="2"/>
      </tp>
      <tp t="s">
        <v>#N/A Requesting Data...4221418515</v>
        <stp/>
        <stp>BDP|9135161800027925406</stp>
        <tr r="R310" s="2"/>
      </tp>
      <tp t="s">
        <v>#N/A Requesting Data...4213626127</v>
        <stp/>
        <stp>BDP|1348154340099890610</stp>
        <tr r="M374" s="2"/>
      </tp>
      <tp t="s">
        <v>#N/A Requesting Data...4127578336</v>
        <stp/>
        <stp>BDP|2592480031769776740</stp>
        <tr r="K1784" s="2"/>
      </tp>
      <tp t="s">
        <v>#N/A Requesting Data...4147439000</v>
        <stp/>
        <stp>BDP|6266636823338421198</stp>
        <tr r="P1655" s="2"/>
      </tp>
      <tp t="s">
        <v>#N/A Requesting Data...4192326535</v>
        <stp/>
        <stp>BDP|9382291571186777136</stp>
        <tr r="K1184" s="2"/>
      </tp>
      <tp t="s">
        <v>#N/A Requesting Data...4290479632</v>
        <stp/>
        <stp>BDP|8809367979795980211</stp>
        <tr r="F1277" s="2"/>
      </tp>
      <tp t="s">
        <v>#N/A Requesting Data...4183317373</v>
        <stp/>
        <stp>BDP|4909526154589297622</stp>
        <tr r="G1643" s="2"/>
      </tp>
      <tp t="s">
        <v>#N/A Requesting Data...4189311304</v>
        <stp/>
        <stp>BDP|7386033329789257741</stp>
        <tr r="J922" s="2"/>
      </tp>
      <tp t="s">
        <v>#N/A Requesting Data...4163928722</v>
        <stp/>
        <stp>BDP|4662811465683929248</stp>
        <tr r="J608" s="2"/>
      </tp>
      <tp t="s">
        <v>#N/A Requesting Data...4286061442</v>
        <stp/>
        <stp>BDP|1164872091853851802</stp>
        <tr r="A1146" s="2"/>
      </tp>
      <tp t="s">
        <v>#N/A Requesting Data...4230617452</v>
        <stp/>
        <stp>BDP|4476245764759879239</stp>
        <tr r="C1622" s="2"/>
      </tp>
      <tp t="s">
        <v>#N/A Requesting Data...4201523754</v>
        <stp/>
        <stp>BDP|2690570600499645582</stp>
        <tr r="Q1546" s="2"/>
      </tp>
      <tp t="s">
        <v>#N/A Requesting Data...4148643461</v>
        <stp/>
        <stp>BDP|2734693764029221078</stp>
        <tr r="M1094" s="2"/>
      </tp>
      <tp t="s">
        <v>#N/A Requesting Data...4201476128</v>
        <stp/>
        <stp>BDP|7551262317769336689</stp>
        <tr r="D95" s="2"/>
      </tp>
      <tp t="s">
        <v>#N/A Requesting Data...4228741543</v>
        <stp/>
        <stp>BDP|8022096827617499651</stp>
        <tr r="M1771" s="2"/>
      </tp>
      <tp t="s">
        <v>#N/A Requesting Data...4255535927</v>
        <stp/>
        <stp>BDP|3238397021891412817</stp>
        <tr r="M1895" s="2"/>
      </tp>
      <tp t="s">
        <v>#N/A Requesting Data...4156819512</v>
        <stp/>
        <stp>BDP|3352849541697930303</stp>
        <tr r="J1337" s="2"/>
      </tp>
      <tp t="s">
        <v>#N/A Requesting Data...4255629270</v>
        <stp/>
        <stp>BDP|7279338166169017085</stp>
        <tr r="T952" s="2"/>
      </tp>
      <tp t="b">
        <v>0</v>
        <stp/>
        <stp>BDS|2726317664124926848</stp>
        <tr r="I1411" s="2"/>
      </tp>
      <tp t="s">
        <v>#N/A Requesting Data...4211896727</v>
        <stp/>
        <stp>BDP|2857924619018556999</stp>
        <tr r="E2236" s="2"/>
      </tp>
      <tp t="s">
        <v>#N/A Requesting Data...4240501975</v>
        <stp/>
        <stp>BDP|8797491732393619757</stp>
        <tr r="K2491" s="2"/>
      </tp>
      <tp t="s">
        <v>#N/A Requesting Data...4136131271</v>
        <stp/>
        <stp>BDP|7615958625854849318</stp>
        <tr r="K311" s="2"/>
      </tp>
      <tp t="s">
        <v>#N/A Requesting Data...4206252932</v>
        <stp/>
        <stp>BDP|8005912185363286195</stp>
        <tr r="Q652" s="2"/>
      </tp>
      <tp t="s">
        <v>#N/A Requesting Data...4187150271</v>
        <stp/>
        <stp>BDP|8482717421704308284</stp>
        <tr r="H1584" s="2"/>
      </tp>
      <tp t="b">
        <v>0</v>
        <stp/>
        <stp>BDS|5180808943761515389</stp>
        <tr r="I443" s="2"/>
      </tp>
      <tp t="s">
        <v>#N/A Requesting Data...4194144594</v>
        <stp/>
        <stp>BDP|5286786241465446801</stp>
        <tr r="J661" s="2"/>
      </tp>
      <tp t="s">
        <v>#N/A Requesting Data...4276614824</v>
        <stp/>
        <stp>BDP|7230883367952722054</stp>
        <tr r="F1984" s="2"/>
      </tp>
      <tp t="s">
        <v>#N/A Requesting Data...4156229355</v>
        <stp/>
        <stp>BDP|7898413599586983769</stp>
        <tr r="C1249" s="2"/>
      </tp>
      <tp t="s">
        <v>#N/A Requesting Data...4151606066</v>
        <stp/>
        <stp>BDP|2761134242225966908</stp>
        <tr r="M1776" s="2"/>
      </tp>
      <tp t="s">
        <v>#N/A Requesting Data...4250137806</v>
        <stp/>
        <stp>BDP|9772898119268932310</stp>
        <tr r="G337" s="2"/>
      </tp>
      <tp t="s">
        <v>#N/A Requesting Data...4224980776</v>
        <stp/>
        <stp>BDP|1846703986766966388</stp>
        <tr r="P1775" s="2"/>
      </tp>
      <tp t="s">
        <v>#N/A Requesting Data...4199791078</v>
        <stp/>
        <stp>BDP|9770309258186191218</stp>
        <tr r="S1710" s="2"/>
      </tp>
      <tp t="s">
        <v>#N/A Requesting Data...4200224306</v>
        <stp/>
        <stp>BDP|3265032383681929141</stp>
        <tr r="G1137" s="2"/>
      </tp>
      <tp t="s">
        <v>#N/A Requesting Data...4192225691</v>
        <stp/>
        <stp>BDP|7733292268560820817</stp>
        <tr r="F1213" s="2"/>
      </tp>
      <tp t="s">
        <v>#N/A Requesting Data...4180899697</v>
        <stp/>
        <stp>BDP|9743570033427961357</stp>
        <tr r="P1687" s="2"/>
      </tp>
      <tp t="s">
        <v>#N/A Requesting Data...4291373818</v>
        <stp/>
        <stp>BDP|5661474817282940905</stp>
        <tr r="Q1979" s="2"/>
      </tp>
      <tp t="s">
        <v>#N/A Requesting Data...4292029473</v>
        <stp/>
        <stp>BDP|1126574115449445786</stp>
        <tr r="Q254" s="2"/>
      </tp>
      <tp t="s">
        <v>#N/A Requesting Data...4256492437</v>
        <stp/>
        <stp>BDP|7148898290659629418</stp>
        <tr r="P1095" s="2"/>
      </tp>
      <tp t="s">
        <v>#N/A Requesting Data...4288405364</v>
        <stp/>
        <stp>BDP|9032410720577654383</stp>
        <tr r="M2210" s="2"/>
      </tp>
      <tp t="s">
        <v>#N/A Requesting Data...4289404706</v>
        <stp/>
        <stp>BDP|9056854410148200380</stp>
        <tr r="S1404" s="2"/>
      </tp>
      <tp t="s">
        <v>#N/A Requesting Data...4265461565</v>
        <stp/>
        <stp>BDP|7818590683761820054</stp>
        <tr r="Q2280" s="2"/>
      </tp>
      <tp t="s">
        <v>#N/A Requesting Data...4197489397</v>
        <stp/>
        <stp>BDP|6976996759139008860</stp>
        <tr r="O1675" s="2"/>
      </tp>
      <tp t="s">
        <v>#N/A Requesting Data...4280928136</v>
        <stp/>
        <stp>BDP|7207671820050291888</stp>
        <tr r="R476" s="2"/>
      </tp>
      <tp t="s">
        <v>#N/A Requesting Data...4217587925</v>
        <stp/>
        <stp>BDP|4275888542352661119</stp>
        <tr r="D800" s="2"/>
      </tp>
      <tp t="s">
        <v>#N/A Requesting Data...4233042676</v>
        <stp/>
        <stp>BDP|6779325164301668984</stp>
        <tr r="J34" s="2"/>
      </tp>
      <tp t="s">
        <v>#N/A Requesting Data...4258763940</v>
        <stp/>
        <stp>BDP|4672482897511141377</stp>
        <tr r="N1781" s="2"/>
      </tp>
      <tp t="s">
        <v>#N/A Requesting Data...4262614880</v>
        <stp/>
        <stp>BDP|9593689036580118756</stp>
        <tr r="S365" s="2"/>
      </tp>
      <tp t="s">
        <v>#N/A Requesting Data...4273704441</v>
        <stp/>
        <stp>BDP|8803304187750568857</stp>
        <tr r="J767" s="2"/>
      </tp>
      <tp t="s">
        <v>#N/A Requesting Data...4220190451</v>
        <stp/>
        <stp>BDP|4163764534423842847</stp>
        <tr r="T2407" s="2"/>
      </tp>
      <tp t="s">
        <v>#N/A Requesting Data...4209871714</v>
        <stp/>
        <stp>BDP|5128589997325342729</stp>
        <tr r="P668" s="2"/>
      </tp>
      <tp t="s">
        <v>#N/A Requesting Data...4255767677</v>
        <stp/>
        <stp>BDP|7280409657315256882</stp>
        <tr r="Q2401" s="2"/>
      </tp>
      <tp t="s">
        <v>#N/A Requesting Data...4276443748</v>
        <stp/>
        <stp>BDP|9518735598144074817</stp>
        <tr r="E2500" s="2"/>
      </tp>
      <tp t="s">
        <v>#N/A Requesting Data...4271831902</v>
        <stp/>
        <stp>BDP|4274503873744817967</stp>
        <tr r="H1540" s="2"/>
      </tp>
      <tp t="s">
        <v>#N/A Requesting Data...4282044484</v>
        <stp/>
        <stp>BDP|8832721935144245322</stp>
        <tr r="A1127" s="2"/>
      </tp>
      <tp t="s">
        <v>#N/A Requesting Data...4278884593</v>
        <stp/>
        <stp>BDP|7995767372219380510</stp>
        <tr r="S1202" s="2"/>
      </tp>
      <tp t="s">
        <v>#N/A Requesting Data...4281159445</v>
        <stp/>
        <stp>BDP|5766541203303774887</stp>
        <tr r="N1956" s="2"/>
      </tp>
      <tp t="b">
        <v>0</v>
        <stp/>
        <stp>BDS|4675954595379037694</stp>
        <tr r="I1478" s="2"/>
      </tp>
      <tp t="s">
        <v>#N/A Requesting Data...4262559712</v>
        <stp/>
        <stp>BDP|2387613699125191357</stp>
        <tr r="M2229" s="2"/>
      </tp>
      <tp t="s">
        <v>#N/A Requesting Data...4243561995</v>
        <stp/>
        <stp>BDP|2586216962169196482</stp>
        <tr r="Q1759" s="2"/>
      </tp>
      <tp t="s">
        <v>#N/A Requesting Data...4288764281</v>
        <stp/>
        <stp>BDP|4287320472788422399</stp>
        <tr r="M550" s="2"/>
      </tp>
      <tp t="b">
        <v>0</v>
        <stp/>
        <stp>BDS|3881045497860447105</stp>
        <tr r="I396" s="2"/>
      </tp>
      <tp t="s">
        <v>#N/A Requesting Data...4271138173</v>
        <stp/>
        <stp>BDP|5934940453485028712</stp>
        <tr r="S2074" s="2"/>
      </tp>
      <tp t="s">
        <v>#N/A Requesting Data...4259114566</v>
        <stp/>
        <stp>BDP|5719790466799066677</stp>
        <tr r="T157" s="2"/>
      </tp>
      <tp t="s">
        <v>#N/A Requesting Data...4249387254</v>
        <stp/>
        <stp>BDP|3716847023643911166</stp>
        <tr r="Q2419" s="2"/>
      </tp>
      <tp t="s">
        <v>#N/A Requesting Data...4270869597</v>
        <stp/>
        <stp>BDP|7848681288722044071</stp>
        <tr r="M1347" s="2"/>
      </tp>
      <tp t="s">
        <v>#N/A Requesting Data...4276099515</v>
        <stp/>
        <stp>BDP|2727908138124849788</stp>
        <tr r="F1818" s="2"/>
      </tp>
      <tp t="s">
        <v>#N/A Requesting Data...4278888218</v>
        <stp/>
        <stp>BDP|1601356187543306285</stp>
        <tr r="A427" s="2"/>
      </tp>
      <tp t="s">
        <v>#N/A Requesting Data...4277686435</v>
        <stp/>
        <stp>BDP|5104850226326818254</stp>
        <tr r="M1035" s="2"/>
      </tp>
      <tp t="s">
        <v>#N/A Requesting Data...4280361689</v>
        <stp/>
        <stp>BDP|4908781221228717284</stp>
        <tr r="H2303" s="2"/>
      </tp>
      <tp t="s">
        <v>#N/A Requesting Data...4283817017</v>
        <stp/>
        <stp>BDP|2019326298575298642</stp>
        <tr r="A2305" s="2"/>
      </tp>
      <tp t="s">
        <v>#N/A Requesting Data...4292342722</v>
        <stp/>
        <stp>BDP|3280497301848287446</stp>
        <tr r="M507" s="2"/>
      </tp>
      <tp t="s">
        <v>#N/A Requesting Data...4270215712</v>
        <stp/>
        <stp>BDP|8962651091879834595</stp>
        <tr r="H887" s="2"/>
      </tp>
      <tp t="s">
        <v>#N/A Requesting Data...4275415200</v>
        <stp/>
        <stp>BDP|7134878439641127626</stp>
        <tr r="A1982" s="2"/>
      </tp>
      <tp t="b">
        <v>0</v>
        <stp/>
        <stp>BDS|3810667217096245978</stp>
        <tr r="I964" s="2"/>
      </tp>
      <tp t="s">
        <v>#N/A Requesting Data...4278169283</v>
        <stp/>
        <stp>BDP|3455119904069435096</stp>
        <tr r="K749" s="2"/>
      </tp>
      <tp t="s">
        <v>#N/A Requesting Data...4288182323</v>
        <stp/>
        <stp>BDP|4973327507168089400</stp>
        <tr r="J680" s="2"/>
      </tp>
      <tp t="b">
        <v>0</v>
        <stp/>
        <stp>BDS|5623073415366188990</stp>
        <tr r="I1437" s="2"/>
      </tp>
      <tp t="s">
        <v>#N/A Requesting Data...4287694594</v>
        <stp/>
        <stp>BDP|1922763197794390076</stp>
        <tr r="A1392" s="2"/>
      </tp>
      <tp t="s">
        <v>#N/A Requesting Data...4288546549</v>
        <stp/>
        <stp>BDP|1960961827893550212</stp>
        <tr r="M1495" s="2"/>
      </tp>
      <tp t="s">
        <v>#N/A Requesting Data...4293424768</v>
        <stp/>
        <stp>BDP|2093317402689667396</stp>
        <tr r="H1252" s="2"/>
      </tp>
      <tp t="s">
        <v>#N/A Requesting Data...4294687606</v>
        <stp/>
        <stp>BDP|5380967542540935322</stp>
        <tr r="O1570" s="2"/>
      </tp>
      <tp t="s">
        <v>#N/A Requesting Data...3466615004</v>
        <stp/>
        <stp>BDP|9885969209679995225</stp>
        <tr r="E665" s="2"/>
      </tp>
      <tp t="s">
        <v>#N/A Requesting Data...889336128</v>
        <stp/>
        <stp>BDP|6299093669203609883</stp>
        <tr r="D1109" s="2"/>
      </tp>
      <tp t="s">
        <v>#N/A Requesting Data...2986670605</v>
        <stp/>
        <stp>BDP|9159446846784679698</stp>
        <tr r="S1559" s="2"/>
      </tp>
      <tp t="s">
        <v>#N/A Requesting Data...1196735055</v>
        <stp/>
        <stp>BDP|1683260076297984839</stp>
        <tr r="J1871" s="2"/>
      </tp>
      <tp t="s">
        <v>#N/A Requesting Data...1716392539</v>
        <stp/>
        <stp>BDP|1880764091597366304</stp>
        <tr r="O1464" s="2"/>
      </tp>
      <tp t="s">
        <v>#N/A Requesting Data...3997610134</v>
        <stp/>
        <stp>BDP|3357426752761879878</stp>
        <tr r="F1577" s="2"/>
      </tp>
      <tp t="s">
        <v>#N/A Requesting Data...1255823978</v>
        <stp/>
        <stp>BDP|7940452126912378853</stp>
        <tr r="N401" s="2"/>
      </tp>
      <tp t="s">
        <v>#N/A Requesting Data...373665530</v>
        <stp/>
        <stp>BDP|2548389851169860680</stp>
        <tr r="K2024" s="2"/>
      </tp>
      <tp t="s">
        <v>#N/A Requesting Data...3334155038</v>
        <stp/>
        <stp>BDP|6783243839335058967</stp>
        <tr r="M1898" s="2"/>
      </tp>
      <tp t="s">
        <v>#N/A Requesting Data...3987682629</v>
        <stp/>
        <stp>BDP|4432080794622674428</stp>
        <tr r="R1857" s="2"/>
      </tp>
      <tp t="s">
        <v>#N/A Requesting Data...1682496721</v>
        <stp/>
        <stp>BDP|7715660970805840857</stp>
        <tr r="N1381" s="2"/>
      </tp>
      <tp t="s">
        <v>#N/A Requesting Data...1600160300</v>
        <stp/>
        <stp>BDP|1196017517483341883</stp>
        <tr r="O647" s="2"/>
      </tp>
      <tp t="s">
        <v>#N/A Requesting Data...841387491</v>
        <stp/>
        <stp>BDP|7699535904638508187</stp>
        <tr r="F1876" s="2"/>
      </tp>
      <tp t="s">
        <v>#N/A Requesting Data...1880505752</v>
        <stp/>
        <stp>BDP|8994655332244427260</stp>
        <tr r="R1738" s="2"/>
      </tp>
      <tp t="s">
        <v>#N/A Requesting Data...2947164477</v>
        <stp/>
        <stp>BDP|8424119368346441250</stp>
        <tr r="C1810" s="2"/>
      </tp>
      <tp t="s">
        <v>#N/A Requesting Data...2221945996</v>
        <stp/>
        <stp>BDP|5096186933268786409</stp>
        <tr r="F1788" s="2"/>
      </tp>
      <tp t="s">
        <v>#N/A Requesting Data...2822828409</v>
        <stp/>
        <stp>BDP|1833093171904876941</stp>
        <tr r="G41" s="2"/>
      </tp>
      <tp t="s">
        <v>#N/A Requesting Data...2981283623</v>
        <stp/>
        <stp>BDP|5184797748134994958</stp>
        <tr r="G434" s="2"/>
      </tp>
      <tp t="b">
        <v>0</v>
        <stp/>
        <stp>BDS|9477512401014101399</stp>
        <tr r="I2251" s="2"/>
      </tp>
      <tp t="s">
        <v>#N/A Requesting Data...605774245</v>
        <stp/>
        <stp>BDP|3608019618129662051</stp>
        <tr r="S1914" s="2"/>
      </tp>
      <tp t="s">
        <v>#N/A Requesting Data...3337012681</v>
        <stp/>
        <stp>BDP|3522095548105898900</stp>
        <tr r="Q856" s="2"/>
      </tp>
      <tp t="s">
        <v>#N/A Requesting Data...4255801572</v>
        <stp/>
        <stp>BDP|1864225865157490974</stp>
        <tr r="S1983" s="2"/>
      </tp>
      <tp t="s">
        <v>#N/A Requesting Data...4178038452</v>
        <stp/>
        <stp>BDP|6481952267930297284</stp>
        <tr r="D730" s="2"/>
      </tp>
      <tp t="s">
        <v>#N/A Requesting Data...2490446157</v>
        <stp/>
        <stp>BDP|9954446255891308275</stp>
        <tr r="C1098" s="2"/>
      </tp>
      <tp t="s">
        <v>#N/A Requesting Data...3609423948</v>
        <stp/>
        <stp>BDP|3686923621787944406</stp>
        <tr r="Q1196" s="2"/>
      </tp>
      <tp t="s">
        <v>#N/A Requesting Data...3783532545</v>
        <stp/>
        <stp>BDP|8141274084881615887</stp>
        <tr r="N1089" s="2"/>
      </tp>
      <tp t="s">
        <v>#N/A Requesting Data...119839965</v>
        <stp/>
        <stp>BDP|4323329301089427587</stp>
        <tr r="F829" s="2"/>
      </tp>
      <tp t="s">
        <v>#N/A Requesting Data...498138947</v>
        <stp/>
        <stp>BDP|5572594284487411408</stp>
        <tr r="P1229" s="2"/>
      </tp>
      <tp t="s">
        <v>#N/A Requesting Data...537136775</v>
        <stp/>
        <stp>BDP|5735096916066478903</stp>
        <tr r="M2213" s="2"/>
      </tp>
      <tp t="s">
        <v>#N/A Requesting Data...336038300</v>
        <stp/>
        <stp>BDP|3668455589277219341</stp>
        <tr r="C2304" s="2"/>
      </tp>
      <tp t="s">
        <v>#N/A Requesting Data...2668042905</v>
        <stp/>
        <stp>BDP|7645260494686045187</stp>
        <tr r="H575" s="2"/>
      </tp>
      <tp t="s">
        <v>#N/A Requesting Data...1114814248</v>
        <stp/>
        <stp>BDP|7623193487281222460</stp>
        <tr r="O1419" s="2"/>
      </tp>
      <tp t="s">
        <v>#N/A Requesting Data...2022453474</v>
        <stp/>
        <stp>BDP|8083021928836642704</stp>
        <tr r="H1198" s="2"/>
      </tp>
      <tp t="s">
        <v>#N/A Requesting Data...1739069173</v>
        <stp/>
        <stp>BDP|9459263676294830307</stp>
        <tr r="M889" s="2"/>
      </tp>
      <tp t="s">
        <v>#N/A Requesting Data...619252265</v>
        <stp/>
        <stp>BDP|1533789801689483444</stp>
        <tr r="M406" s="2"/>
      </tp>
      <tp t="s">
        <v>#N/A Requesting Data...1447879165</v>
        <stp/>
        <stp>BDP|9108096240127600127</stp>
        <tr r="E629" s="2"/>
      </tp>
      <tp t="s">
        <v>#N/A Requesting Data...4104891732</v>
        <stp/>
        <stp>BDP|8839293207041204080</stp>
        <tr r="G1992" s="2"/>
      </tp>
      <tp t="s">
        <v>#N/A Requesting Data...4000741246</v>
        <stp/>
        <stp>BDP|4113441398667303525</stp>
        <tr r="K2329" s="2"/>
      </tp>
      <tp t="s">
        <v>#N/A Requesting Data...2239185690</v>
        <stp/>
        <stp>BDP|3016524690354773092</stp>
        <tr r="G2170" s="2"/>
      </tp>
      <tp t="s">
        <v>#N/A Requesting Data...3680439020</v>
        <stp/>
        <stp>BDP|2191886553447407328</stp>
        <tr r="D53" s="2"/>
      </tp>
      <tp t="s">
        <v>#N/A Requesting Data...4256144104</v>
        <stp/>
        <stp>BDP|3011980304618353931</stp>
        <tr r="O1609" s="2"/>
      </tp>
      <tp t="s">
        <v>#N/A Requesting Data...2983695628</v>
        <stp/>
        <stp>BDP|5280694394189265818</stp>
        <tr r="F2190" s="2"/>
      </tp>
      <tp t="s">
        <v>#N/A Requesting Data...2707146021</v>
        <stp/>
        <stp>BDP|5439824428352556672</stp>
        <tr r="E881" s="2"/>
      </tp>
      <tp t="s">
        <v>#N/A Requesting Data...1298104375</v>
        <stp/>
        <stp>BDP|4578347698465078051</stp>
        <tr r="J360" s="2"/>
      </tp>
      <tp t="s">
        <v>#N/A Requesting Data...662139757</v>
        <stp/>
        <stp>BDP|9426040794782038984</stp>
        <tr r="C2176" s="2"/>
      </tp>
      <tp t="s">
        <v>#N/A Requesting Data...751145574</v>
        <stp/>
        <stp>BDP|6831963635975782203</stp>
        <tr r="Q1839" s="2"/>
      </tp>
      <tp t="s">
        <v>#N/A Requesting Data...2479117397</v>
        <stp/>
        <stp>BDP|7011767495526884479</stp>
        <tr r="D940" s="2"/>
      </tp>
      <tp t="s">
        <v>#N/A Requesting Data...2640180649</v>
        <stp/>
        <stp>BDP|6428485834282411806</stp>
        <tr r="A928" s="2"/>
      </tp>
      <tp t="s">
        <v>#N/A Requesting Data...3990428479</v>
        <stp/>
        <stp>BDP|2051097323488461322</stp>
        <tr r="Q670" s="2"/>
      </tp>
      <tp t="s">
        <v>#N/A Requesting Data...1605426777</v>
        <stp/>
        <stp>BDP|5118973638142761657</stp>
        <tr r="F452" s="2"/>
      </tp>
      <tp t="s">
        <v>#N/A Requesting Data...1104905484</v>
        <stp/>
        <stp>BDP|5814531482066412514</stp>
        <tr r="Q40" s="2"/>
      </tp>
      <tp t="s">
        <v>#N/A Requesting Data...2140504027</v>
        <stp/>
        <stp>BDP|2359095797330258032</stp>
        <tr r="J1400" s="2"/>
      </tp>
      <tp t="s">
        <v>#N/A Requesting Data...690850037</v>
        <stp/>
        <stp>BDP|9999853486427498523</stp>
        <tr r="C2399" s="2"/>
      </tp>
      <tp t="s">
        <v>#N/A Requesting Data...3616594480</v>
        <stp/>
        <stp>BDP|9749041804451964323</stp>
        <tr r="Q1977" s="2"/>
      </tp>
      <tp t="s">
        <v>#N/A Requesting Data...2861320242</v>
        <stp/>
        <stp>BDP|7495539378449031733</stp>
        <tr r="M670" s="2"/>
      </tp>
      <tp t="s">
        <v>#N/A Requesting Data...1252726167</v>
        <stp/>
        <stp>BDP|6174565998706391708</stp>
        <tr r="E623" s="2"/>
      </tp>
      <tp t="s">
        <v>#N/A Requesting Data...4072762036</v>
        <stp/>
        <stp>BDP|6460541038232616923</stp>
        <tr r="J242" s="2"/>
      </tp>
      <tp t="s">
        <v>#N/A Requesting Data...721278749</v>
        <stp/>
        <stp>BDP|2403185916641119875</stp>
        <tr r="D2205" s="2"/>
      </tp>
      <tp t="s">
        <v>#N/A Requesting Data...4193366626</v>
        <stp/>
        <stp>BDP|7105934548660547131</stp>
        <tr r="A2417" s="2"/>
      </tp>
      <tp t="s">
        <v>#N/A Requesting Data...399041409</v>
        <stp/>
        <stp>BDP|9025113249182746533</stp>
        <tr r="H2114" s="2"/>
      </tp>
      <tp t="s">
        <v>#N/A Requesting Data...1187315029</v>
        <stp/>
        <stp>BDP|7735999126830366772</stp>
        <tr r="D1993" s="2"/>
      </tp>
      <tp t="s">
        <v>#N/A Requesting Data...1204374746</v>
        <stp/>
        <stp>BDP|1167319894903903310</stp>
        <tr r="C988" s="2"/>
      </tp>
      <tp t="s">
        <v>#N/A Requesting Data...1239493484</v>
        <stp/>
        <stp>BDP|3019945231617964502</stp>
        <tr r="G2505" s="2"/>
      </tp>
      <tp t="b">
        <v>0</v>
        <stp/>
        <stp>BDS|4736264838328237672</stp>
        <tr r="I862" s="2"/>
      </tp>
      <tp t="s">
        <v>#N/A Requesting Data...2762003762</v>
        <stp/>
        <stp>BDP|1700163384606056589</stp>
        <tr r="C185" s="2"/>
      </tp>
      <tp t="s">
        <v>#N/A Requesting Data...2393056704</v>
        <stp/>
        <stp>BDP|9689742858539432935</stp>
        <tr r="N570" s="2"/>
      </tp>
      <tp t="s">
        <v>#N/A Requesting Data...1913895714</v>
        <stp/>
        <stp>BDP|8290692664700372313</stp>
        <tr r="R1539" s="2"/>
      </tp>
      <tp t="s">
        <v>#N/A Requesting Data...3184761307</v>
        <stp/>
        <stp>BDP|6488415780435029483</stp>
        <tr r="S607" s="2"/>
      </tp>
      <tp t="s">
        <v>#N/A Requesting Data...535118665</v>
        <stp/>
        <stp>BDP|6460950354968813906</stp>
        <tr r="S969" s="2"/>
      </tp>
      <tp t="s">
        <v>#N/A Requesting Data...1684338431</v>
        <stp/>
        <stp>BDP|4492095745318177340</stp>
        <tr r="K1816" s="2"/>
      </tp>
      <tp t="s">
        <v>#N/A Requesting Data...1776929073</v>
        <stp/>
        <stp>BDP|1128968039218130823</stp>
        <tr r="P672" s="2"/>
      </tp>
      <tp t="s">
        <v>#N/A Requesting Data...508576366</v>
        <stp/>
        <stp>BDP|3285057819611106821</stp>
        <tr r="T571" s="2"/>
      </tp>
      <tp t="s">
        <v>#N/A Requesting Data...1147219996</v>
        <stp/>
        <stp>BDP|9581097922353276313</stp>
        <tr r="A10" s="2"/>
      </tp>
      <tp t="s">
        <v>#N/A Requesting Data...1544818777</v>
        <stp/>
        <stp>BDP|9441399544407422200</stp>
        <tr r="Q1746" s="2"/>
      </tp>
      <tp t="s">
        <v>#N/A Requesting Data...2064329831</v>
        <stp/>
        <stp>BDP|2916623180930314751</stp>
        <tr r="F486" s="2"/>
      </tp>
      <tp t="s">
        <v>#N/A Requesting Data...3236907198</v>
        <stp/>
        <stp>BDP|3910854942947510366</stp>
        <tr r="P336" s="2"/>
      </tp>
      <tp t="s">
        <v>#N/A Requesting Data...3980363225</v>
        <stp/>
        <stp>BDP|9740756069975141675</stp>
        <tr r="Q63" s="2"/>
      </tp>
      <tp t="s">
        <v>#N/A Requesting Data...1233170237</v>
        <stp/>
        <stp>BDP|2276992364171063728</stp>
        <tr r="O1254" s="2"/>
      </tp>
      <tp t="s">
        <v>#N/A Requesting Data...2034918949</v>
        <stp/>
        <stp>BDP|9649229407553676385</stp>
        <tr r="P1090" s="2"/>
      </tp>
      <tp t="s">
        <v>#N/A Requesting Data...3470539913</v>
        <stp/>
        <stp>BDP|3244039373686716980</stp>
        <tr r="P104" s="2"/>
      </tp>
      <tp t="s">
        <v>#N/A Requesting Data...1369465646</v>
        <stp/>
        <stp>BDP|7332413726932842810</stp>
        <tr r="R1064" s="2"/>
      </tp>
      <tp t="s">
        <v>#N/A Requesting Data...1743693657</v>
        <stp/>
        <stp>BDP|2643594126916054841</stp>
        <tr r="H2135" s="2"/>
      </tp>
      <tp t="s">
        <v>#N/A Requesting Data...3801575940</v>
        <stp/>
        <stp>BDP|4658104898832731547</stp>
        <tr r="J688" s="2"/>
      </tp>
      <tp t="b">
        <v>0</v>
        <stp/>
        <stp>BDS|1796295236602368962</stp>
        <tr r="I2200" s="2"/>
      </tp>
      <tp t="s">
        <v>#N/A Requesting Data...3514197687</v>
        <stp/>
        <stp>BDP|3945151624868440315</stp>
        <tr r="Q214" s="2"/>
      </tp>
      <tp t="s">
        <v>#N/A Requesting Data...2970001753</v>
        <stp/>
        <stp>BDP|3807960572805304324</stp>
        <tr r="P1120" s="2"/>
      </tp>
      <tp t="s">
        <v>#N/A Requesting Data...320323522</v>
        <stp/>
        <stp>BDP|3344338789027286468</stp>
        <tr r="G1884" s="2"/>
      </tp>
      <tp t="s">
        <v>#N/A Requesting Data...3911609450</v>
        <stp/>
        <stp>BDP|6797809962901809205</stp>
        <tr r="S2468" s="2"/>
      </tp>
      <tp t="s">
        <v>#N/A Requesting Data...2223760512</v>
        <stp/>
        <stp>BDP|8042885682967053471</stp>
        <tr r="D1619" s="2"/>
      </tp>
      <tp t="s">
        <v>#N/A Requesting Data...1262702615</v>
        <stp/>
        <stp>BDP|3279656329774631859</stp>
        <tr r="R1538" s="2"/>
      </tp>
      <tp t="s">
        <v>#N/A Requesting Data...777531424</v>
        <stp/>
        <stp>BDP|6489201754073503985</stp>
        <tr r="P1284" s="2"/>
      </tp>
      <tp t="s">
        <v>#N/A Requesting Data...1586685305</v>
        <stp/>
        <stp>BDP|9405581378119092996</stp>
        <tr r="R1447" s="2"/>
      </tp>
      <tp t="s">
        <v>#N/A Requesting Data...3063588297</v>
        <stp/>
        <stp>BDP|4199126269831300948</stp>
        <tr r="C2434" s="2"/>
      </tp>
      <tp t="s">
        <v>#N/A Requesting Data...1551761264</v>
        <stp/>
        <stp>BDP|1744695583827802387</stp>
        <tr r="T1308" s="2"/>
      </tp>
      <tp t="s">
        <v>#N/A Requesting Data...1277705275</v>
        <stp/>
        <stp>BDP|7287043609939341518</stp>
        <tr r="T1690" s="2"/>
      </tp>
      <tp t="s">
        <v>#N/A Requesting Data...2074772565</v>
        <stp/>
        <stp>BDP|9984908084206357539</stp>
        <tr r="Q262" s="2"/>
      </tp>
      <tp t="s">
        <v>#N/A Requesting Data...2587314493</v>
        <stp/>
        <stp>BDP|3877384539941178953</stp>
        <tr r="F2498" s="2"/>
      </tp>
      <tp t="s">
        <v>#N/A Requesting Data...4265513524</v>
        <stp/>
        <stp>BDP|9046760644702934361</stp>
        <tr r="J2162" s="2"/>
      </tp>
      <tp t="s">
        <v>#N/A Requesting Data...2777665294</v>
        <stp/>
        <stp>BDP|8160599423024490027</stp>
        <tr r="K298" s="2"/>
      </tp>
      <tp t="s">
        <v>#N/A Requesting Data...1368355099</v>
        <stp/>
        <stp>BDP|8340565708360617662</stp>
        <tr r="E2163" s="2"/>
      </tp>
      <tp t="s">
        <v>#N/A Requesting Data...624242740</v>
        <stp/>
        <stp>BDP|8590609779451554340</stp>
        <tr r="P41" s="2"/>
      </tp>
      <tp t="s">
        <v>#N/A Requesting Data...1885662517</v>
        <stp/>
        <stp>BDP|3666540639876180877</stp>
        <tr r="J708" s="2"/>
      </tp>
      <tp t="s">
        <v>#N/A Requesting Data...2590189822</v>
        <stp/>
        <stp>BDP|9434797355465211570</stp>
        <tr r="O2152" s="2"/>
      </tp>
      <tp t="s">
        <v>#N/A Requesting Data...1724306125</v>
        <stp/>
        <stp>BDP|1922471971208207100</stp>
        <tr r="D1075" s="2"/>
      </tp>
      <tp t="s">
        <v>#N/A Requesting Data...836452932</v>
        <stp/>
        <stp>BDP|1541236869736253800</stp>
        <tr r="C1528" s="2"/>
      </tp>
      <tp t="s">
        <v>#N/A Requesting Data...3733623509</v>
        <stp/>
        <stp>BDP|6671852245059300886</stp>
        <tr r="C1690" s="2"/>
      </tp>
      <tp t="s">
        <v>#N/A Requesting Data...2401896015</v>
        <stp/>
        <stp>BDP|2468060491476938672</stp>
        <tr r="H1007" s="2"/>
      </tp>
      <tp t="s">
        <v>#N/A Requesting Data...1156541813</v>
        <stp/>
        <stp>BDP|9942267421281045336</stp>
        <tr r="K368" s="2"/>
      </tp>
      <tp t="s">
        <v>#N/A Requesting Data...2240466161</v>
        <stp/>
        <stp>BDP|3000373799154307600</stp>
        <tr r="C1638" s="2"/>
      </tp>
      <tp t="s">
        <v>#N/A Requesting Data...1907287651</v>
        <stp/>
        <stp>BDP|9594765501011680496</stp>
        <tr r="P718" s="2"/>
      </tp>
      <tp t="s">
        <v>#N/A Requesting Data...470719059</v>
        <stp/>
        <stp>BDP|7618745517362044881</stp>
        <tr r="Q1120" s="2"/>
      </tp>
      <tp t="s">
        <v>#N/A Requesting Data...2206301716</v>
        <stp/>
        <stp>BDP|4533617460696937903</stp>
        <tr r="C629" s="2"/>
      </tp>
      <tp t="s">
        <v>#N/A Requesting Data...1259680494</v>
        <stp/>
        <stp>BDP|6178013524338837716</stp>
        <tr r="P2414" s="2"/>
      </tp>
      <tp t="s">
        <v>#N/A Requesting Data...2517300182</v>
        <stp/>
        <stp>BDP|3492151282131787094</stp>
        <tr r="P566" s="2"/>
      </tp>
      <tp t="s">
        <v>#N/A Requesting Data...2951652216</v>
        <stp/>
        <stp>BDP|8391046252377900119</stp>
        <tr r="A1014" s="2"/>
      </tp>
      <tp t="s">
        <v>#N/A Requesting Data...521403318</v>
        <stp/>
        <stp>BDP|5996067584872151476</stp>
        <tr r="E1704" s="2"/>
      </tp>
      <tp t="s">
        <v>#N/A Requesting Data...1729557279</v>
        <stp/>
        <stp>BDP|3657812849787324307</stp>
        <tr r="H1906" s="2"/>
      </tp>
      <tp t="s">
        <v>#N/A Requesting Data...1524402034</v>
        <stp/>
        <stp>BDP|8229388917993435245</stp>
        <tr r="N1996" s="2"/>
      </tp>
      <tp t="s">
        <v>#N/A Requesting Data...1891452012</v>
        <stp/>
        <stp>BDP|1871214280476269664</stp>
        <tr r="A2332" s="2"/>
      </tp>
      <tp t="s">
        <v>#N/A Requesting Data...3419293214</v>
        <stp/>
        <stp>BDP|9836551551385076713</stp>
        <tr r="A2379" s="2"/>
      </tp>
      <tp t="s">
        <v>#N/A Requesting Data...2690978355</v>
        <stp/>
        <stp>BDP|1994917976836429270</stp>
        <tr r="M467" s="2"/>
      </tp>
      <tp t="s">
        <v>#N/A Requesting Data...950227792</v>
        <stp/>
        <stp>BDP|9629415499898787743</stp>
        <tr r="F841" s="2"/>
      </tp>
      <tp t="s">
        <v>#N/A Requesting Data...3670463495</v>
        <stp/>
        <stp>BDP|5751127833029905526</stp>
        <tr r="J2463" s="2"/>
      </tp>
      <tp t="s">
        <v>#N/A Requesting Data...4258295319</v>
        <stp/>
        <stp>BDP|8233823282685807672</stp>
        <tr r="J1474" s="2"/>
      </tp>
      <tp t="s">
        <v>#N/A Requesting Data...1076047232</v>
        <stp/>
        <stp>BDP|3550953996378995028</stp>
        <tr r="G203" s="2"/>
      </tp>
      <tp t="s">
        <v>#N/A Requesting Data...746598747</v>
        <stp/>
        <stp>BDP|6168372898766441170</stp>
        <tr r="J2438" s="2"/>
      </tp>
      <tp t="s">
        <v>#N/A Requesting Data...1097768379</v>
        <stp/>
        <stp>BDP|6605231682441356697</stp>
        <tr r="C1064" s="2"/>
      </tp>
      <tp t="s">
        <v>#N/A Requesting Data...2931724701</v>
        <stp/>
        <stp>BDP|9414104558162666475</stp>
        <tr r="F1108" s="2"/>
      </tp>
      <tp t="s">
        <v>#N/A Requesting Data...2212362713</v>
        <stp/>
        <stp>BDP|9851527179267925775</stp>
        <tr r="H1601" s="2"/>
      </tp>
      <tp t="b">
        <v>0</v>
        <stp/>
        <stp>BDS|1142527845379801234</stp>
        <tr r="I1159" s="2"/>
      </tp>
      <tp t="s">
        <v>#N/A Requesting Data...2897477573</v>
        <stp/>
        <stp>BDP|8945076818404980629</stp>
        <tr r="P2388" s="2"/>
      </tp>
      <tp t="s">
        <v>#N/A Requesting Data...2695193683</v>
        <stp/>
        <stp>BDP|9809066932293849296</stp>
        <tr r="C1035" s="2"/>
      </tp>
      <tp t="s">
        <v>#N/A Requesting Data...4171585790</v>
        <stp/>
        <stp>BDP|2203850564210855761</stp>
        <tr r="N1032" s="2"/>
      </tp>
      <tp t="s">
        <v>#N/A Requesting Data...2649834082</v>
        <stp/>
        <stp>BDP|1124089696204271708</stp>
        <tr r="J213" s="2"/>
      </tp>
      <tp t="s">
        <v>#N/A Requesting Data...3967079119</v>
        <stp/>
        <stp>BDP|1501553438319237575</stp>
        <tr r="D223" s="2"/>
      </tp>
      <tp t="s">
        <v>#N/A Requesting Data...1701415457</v>
        <stp/>
        <stp>BDP|9184001664482887603</stp>
        <tr r="S1614" s="2"/>
      </tp>
      <tp t="s">
        <v>#N/A Requesting Data...562581422</v>
        <stp/>
        <stp>BDP|7115635188236528422</stp>
        <tr r="H1812" s="2"/>
      </tp>
      <tp t="s">
        <v>#N/A Requesting Data...2195289745</v>
        <stp/>
        <stp>BDP|2080363305218607270</stp>
        <tr r="Q944" s="2"/>
      </tp>
      <tp t="s">
        <v>#N/A Requesting Data...2185198489</v>
        <stp/>
        <stp>BDP|5652870974956418734</stp>
        <tr r="F151" s="2"/>
      </tp>
      <tp t="s">
        <v>#N/A Requesting Data...993477343</v>
        <stp/>
        <stp>BDP|7301973752371398170</stp>
        <tr r="K1688" s="2"/>
      </tp>
      <tp t="s">
        <v>#N/A Requesting Data...3682471741</v>
        <stp/>
        <stp>BDP|8216329609590932027</stp>
        <tr r="O1579" s="2"/>
      </tp>
      <tp t="s">
        <v>#N/A Requesting Data...2115055993</v>
        <stp/>
        <stp>BDP|5925458601312773886</stp>
        <tr r="J1079" s="2"/>
      </tp>
      <tp t="s">
        <v>#N/A Requesting Data...1794561624</v>
        <stp/>
        <stp>BDP|6549703576074887997</stp>
        <tr r="C2145" s="2"/>
      </tp>
      <tp t="s">
        <v>#N/A Requesting Data...546012826</v>
        <stp/>
        <stp>BDP|1679971854513788503</stp>
        <tr r="E2420" s="2"/>
      </tp>
      <tp t="s">
        <v>#N/A Requesting Data...2417984073</v>
        <stp/>
        <stp>BDP|9448560670306999695</stp>
        <tr r="J1122" s="2"/>
      </tp>
      <tp t="s">
        <v>#N/A Requesting Data...1699085612</v>
        <stp/>
        <stp>BDP|9148119940126251102</stp>
        <tr r="P2381" s="2"/>
      </tp>
      <tp t="s">
        <v>#N/A Requesting Data...3125221399</v>
        <stp/>
        <stp>BDP|8014241773087586103</stp>
        <tr r="J534" s="2"/>
      </tp>
      <tp t="s">
        <v>#N/A Requesting Data...4224459513</v>
        <stp/>
        <stp>BDP|9955594715922018472</stp>
        <tr r="H1228" s="2"/>
      </tp>
      <tp t="s">
        <v>#N/A Requesting Data...1053076861</v>
        <stp/>
        <stp>BDP|6557388778661034872</stp>
        <tr r="G254" s="2"/>
      </tp>
      <tp t="s">
        <v>#N/A Requesting Data...1997685621</v>
        <stp/>
        <stp>BDP|6661508466416419861</stp>
        <tr r="N1642" s="2"/>
      </tp>
      <tp t="s">
        <v>#N/A Requesting Data...2867220929</v>
        <stp/>
        <stp>BDP|5546030419616499991</stp>
        <tr r="D1601" s="2"/>
      </tp>
      <tp t="s">
        <v>#N/A Requesting Data...1941907264</v>
        <stp/>
        <stp>BDP|7850549099230129066</stp>
        <tr r="P1985" s="2"/>
      </tp>
      <tp t="s">
        <v>#N/A Requesting Data...1259886542</v>
        <stp/>
        <stp>BDP|8671829963564735922</stp>
        <tr r="K1760" s="2"/>
      </tp>
      <tp t="s">
        <v>#N/A Requesting Data...2233109463</v>
        <stp/>
        <stp>BDP|8233589062759962936</stp>
        <tr r="G1363" s="2"/>
      </tp>
      <tp t="s">
        <v>#N/A Requesting Data...2047214790</v>
        <stp/>
        <stp>BDP|9594150353156333026</stp>
        <tr r="C1058" s="2"/>
      </tp>
      <tp t="s">
        <v>#N/A Requesting Data...2624291742</v>
        <stp/>
        <stp>BDP|6802331039224982996</stp>
        <tr r="C1826" s="2"/>
      </tp>
      <tp t="s">
        <v>#N/A Requesting Data...1751466622</v>
        <stp/>
        <stp>BDP|7943293809479964728</stp>
        <tr r="R1297" s="2"/>
      </tp>
      <tp t="s">
        <v>#N/A Requesting Data...2313174779</v>
        <stp/>
        <stp>BDP|4234721378507290882</stp>
        <tr r="G1063" s="2"/>
      </tp>
      <tp t="s">
        <v>#N/A Requesting Data...3267790655</v>
        <stp/>
        <stp>BDP|5407642836472098943</stp>
        <tr r="J2149" s="2"/>
      </tp>
      <tp t="s">
        <v>#N/A Requesting Data...1887010928</v>
        <stp/>
        <stp>BDP|7622872028632394480</stp>
        <tr r="E2028" s="2"/>
      </tp>
      <tp t="s">
        <v>#N/A Requesting Data...1824090075</v>
        <stp/>
        <stp>BDP|1351056187943732146</stp>
        <tr r="Q1075" s="2"/>
      </tp>
      <tp t="s">
        <v>#N/A Requesting Data...3686517042</v>
        <stp/>
        <stp>BDP|1890587196823081541</stp>
        <tr r="D2085" s="2"/>
      </tp>
      <tp t="s">
        <v>#N/A Requesting Data...1830341896</v>
        <stp/>
        <stp>BDP|7988488366229047759</stp>
        <tr r="Q2300" s="2"/>
      </tp>
      <tp t="s">
        <v>#N/A Requesting Data...2092992081</v>
        <stp/>
        <stp>BDP|8635590274819948800</stp>
        <tr r="K2508" s="2"/>
      </tp>
      <tp t="s">
        <v>#N/A Requesting Data...665078423</v>
        <stp/>
        <stp>BDP|4154871449631856259</stp>
        <tr r="E249" s="2"/>
      </tp>
      <tp t="s">
        <v>#N/A Requesting Data...1028772690</v>
        <stp/>
        <stp>BDP|6341923042144702468</stp>
        <tr r="E1586" s="2"/>
      </tp>
      <tp t="s">
        <v>#N/A Requesting Data...3216116240</v>
        <stp/>
        <stp>BDP|3663712214867246936</stp>
        <tr r="P703" s="2"/>
      </tp>
      <tp t="s">
        <v>#N/A Requesting Data...4040652572</v>
        <stp/>
        <stp>BDP|1735089489690635221</stp>
        <tr r="F2375" s="2"/>
      </tp>
      <tp t="s">
        <v>#N/A Requesting Data...3849580190</v>
        <stp/>
        <stp>BDP|9351129890058052237</stp>
        <tr r="C333" s="2"/>
      </tp>
      <tp t="s">
        <v>#N/A Requesting Data...536722607</v>
        <stp/>
        <stp>BDP|6789036424176742955</stp>
        <tr r="G573" s="2"/>
      </tp>
      <tp t="s">
        <v>#N/A Requesting Data...727837956</v>
        <stp/>
        <stp>BDP|3113722155813024948</stp>
        <tr r="R2167" s="2"/>
      </tp>
      <tp t="s">
        <v>#N/A Requesting Data...3868272662</v>
        <stp/>
        <stp>BDP|1142468431579781430</stp>
        <tr r="D617" s="2"/>
      </tp>
      <tp t="s">
        <v>#N/A Requesting Data...1048437068</v>
        <stp/>
        <stp>BDP|7775988558255084554</stp>
        <tr r="A2499" s="2"/>
      </tp>
      <tp t="s">
        <v>#N/A Requesting Data...2507904439</v>
        <stp/>
        <stp>BDP|6585248175519208144</stp>
        <tr r="S267" s="2"/>
      </tp>
      <tp t="s">
        <v>#N/A Requesting Data...2535285799</v>
        <stp/>
        <stp>BDP|5740334091182646614</stp>
        <tr r="O437" s="2"/>
      </tp>
      <tp t="s">
        <v>#N/A Requesting Data...3166212199</v>
        <stp/>
        <stp>BDP|2619802249172563785</stp>
        <tr r="S654" s="2"/>
      </tp>
      <tp t="s">
        <v>#N/A Requesting Data...1296205256</v>
        <stp/>
        <stp>BDP|7159569136838064233</stp>
        <tr r="D1664" s="2"/>
      </tp>
      <tp t="s">
        <v>#N/A Requesting Data...3533147759</v>
        <stp/>
        <stp>BDP|1822096150287053832</stp>
        <tr r="Q2340" s="2"/>
      </tp>
      <tp t="s">
        <v>#N/A Requesting Data...3080865435</v>
        <stp/>
        <stp>BDP|3338935566153712437</stp>
        <tr r="J752" s="2"/>
      </tp>
      <tp t="s">
        <v>#N/A Requesting Data...3392609424</v>
        <stp/>
        <stp>BDP|3890966060701495681</stp>
        <tr r="C1201" s="2"/>
      </tp>
      <tp t="s">
        <v>#N/A Requesting Data...943515030</v>
        <stp/>
        <stp>BDP|6347950115844153109</stp>
        <tr r="F221" s="2"/>
      </tp>
      <tp t="s">
        <v>#N/A Requesting Data...780853407</v>
        <stp/>
        <stp>BDP|1353564322688425515</stp>
        <tr r="H1343" s="2"/>
      </tp>
      <tp t="s">
        <v>#N/A Requesting Data...1728021024</v>
        <stp/>
        <stp>BDP|4992472568894558915</stp>
        <tr r="M1546" s="2"/>
      </tp>
      <tp t="s">
        <v>#N/A Requesting Data...1264178179</v>
        <stp/>
        <stp>BDP|7445775275945534918</stp>
        <tr r="O1795" s="2"/>
      </tp>
      <tp t="s">
        <v>#N/A Requesting Data...962371765</v>
        <stp/>
        <stp>BDP|8762785389215720930</stp>
        <tr r="K1279" s="2"/>
      </tp>
      <tp t="s">
        <v>#N/A Requesting Data...986903932</v>
        <stp/>
        <stp>BDP|3649015670278504700</stp>
        <tr r="N242" s="2"/>
      </tp>
      <tp t="b">
        <v>0</v>
        <stp/>
        <stp>BDS|8206277457081046503</stp>
        <tr r="I2227" s="2"/>
      </tp>
      <tp t="b">
        <v>0</v>
        <stp/>
        <stp>BDS|8951856887667111484</stp>
        <tr r="I1666" s="2"/>
      </tp>
      <tp t="s">
        <v>#N/A Requesting Data...4094618284</v>
        <stp/>
        <stp>BDP|5545326162213111863</stp>
        <tr r="G1060" s="2"/>
      </tp>
      <tp t="s">
        <v>#N/A Requesting Data...3776288099</v>
        <stp/>
        <stp>BDP|3617881074666047180</stp>
        <tr r="T984" s="2"/>
      </tp>
      <tp t="s">
        <v>#N/A Requesting Data...2509447887</v>
        <stp/>
        <stp>BDP|5133131000306614962</stp>
        <tr r="M277" s="2"/>
      </tp>
      <tp t="s">
        <v>#N/A Requesting Data...3849769829</v>
        <stp/>
        <stp>BDP|5997881356320291370</stp>
        <tr r="J858" s="2"/>
      </tp>
      <tp t="s">
        <v>#N/A Requesting Data...1351642639</v>
        <stp/>
        <stp>BDP|7230415311290304936</stp>
        <tr r="O186" s="2"/>
      </tp>
      <tp t="s">
        <v>#N/A Requesting Data...1621218764</v>
        <stp/>
        <stp>BDP|2014821302595501477</stp>
        <tr r="T1340" s="2"/>
      </tp>
      <tp t="s">
        <v>#N/A Requesting Data...3760272431</v>
        <stp/>
        <stp>BDP|2258180539462609974</stp>
        <tr r="E1112" s="2"/>
      </tp>
      <tp t="s">
        <v>#N/A Requesting Data...1314633357</v>
        <stp/>
        <stp>BDP|5497871141806304435</stp>
        <tr r="D1130" s="2"/>
      </tp>
      <tp t="s">
        <v>#N/A Requesting Data...2902770509</v>
        <stp/>
        <stp>BDP|2411687349583676811</stp>
        <tr r="Q604" s="2"/>
      </tp>
      <tp t="s">
        <v>#N/A Requesting Data...1010246554</v>
        <stp/>
        <stp>BDP|1817496655298315351</stp>
        <tr r="M1430" s="2"/>
      </tp>
      <tp t="s">
        <v>#N/A Requesting Data...3012157076</v>
        <stp/>
        <stp>BDP|6629775055417516837</stp>
        <tr r="T1619" s="2"/>
      </tp>
      <tp t="s">
        <v>#N/A Requesting Data...2558298841</v>
        <stp/>
        <stp>BDP|3289708805397350863</stp>
        <tr r="G369" s="2"/>
      </tp>
      <tp t="s">
        <v>#N/A Requesting Data...3095100885</v>
        <stp/>
        <stp>BDP|4582063491270898685</stp>
        <tr r="Q44" s="2"/>
      </tp>
      <tp t="s">
        <v>#N/A Requesting Data...2994967287</v>
        <stp/>
        <stp>BDP|2154389187461959358</stp>
        <tr r="K937" s="2"/>
      </tp>
      <tp t="s">
        <v>#N/A Requesting Data...1634468099</v>
        <stp/>
        <stp>BDP|1810330285145830447</stp>
        <tr r="C24" s="2"/>
      </tp>
      <tp t="s">
        <v>#N/A Requesting Data...866751592</v>
        <stp/>
        <stp>BDP|9254565337131832596</stp>
        <tr r="H585" s="2"/>
      </tp>
      <tp t="s">
        <v>#N/A Requesting Data...1837279099</v>
        <stp/>
        <stp>BDP|1953526218427697979</stp>
        <tr r="O2269" s="2"/>
      </tp>
      <tp t="s">
        <v>#N/A Requesting Data...4028542548</v>
        <stp/>
        <stp>BDP|6193777041756161848</stp>
        <tr r="S1165" s="2"/>
      </tp>
      <tp t="s">
        <v>#N/A Requesting Data...1528245076</v>
        <stp/>
        <stp>BDP|8778448323893125632</stp>
        <tr r="G290" s="2"/>
      </tp>
      <tp t="s">
        <v>#N/A Requesting Data...1576083134</v>
        <stp/>
        <stp>BDP|5069831392528458770</stp>
        <tr r="J784" s="2"/>
      </tp>
      <tp t="s">
        <v>#N/A Requesting Data...3128433904</v>
        <stp/>
        <stp>BDP|6366391824384419882</stp>
        <tr r="O1759" s="2"/>
      </tp>
      <tp t="s">
        <v>#N/A Requesting Data...1281179544</v>
        <stp/>
        <stp>BDP|8152871420389676027</stp>
        <tr r="R1979" s="2"/>
      </tp>
      <tp t="s">
        <v>#N/A Requesting Data...2095575953</v>
        <stp/>
        <stp>BDP|8902014043220919700</stp>
        <tr r="E1051" s="2"/>
      </tp>
      <tp t="s">
        <v>#N/A Requesting Data...1654324537</v>
        <stp/>
        <stp>BDP|2872866278485429301</stp>
        <tr r="P1702" s="2"/>
      </tp>
      <tp t="s">
        <v>#N/A Requesting Data...1709482262</v>
        <stp/>
        <stp>BDP|4336455124551853880</stp>
        <tr r="A1813" s="2"/>
      </tp>
      <tp t="s">
        <v>#N/A Requesting Data...4159892409</v>
        <stp/>
        <stp>BDP|7259195037526939870</stp>
        <tr r="A1302" s="2"/>
      </tp>
      <tp t="b">
        <v>0</v>
        <stp/>
        <stp>BDS|5881456467215007989</stp>
        <tr r="I1044" s="2"/>
      </tp>
      <tp t="s">
        <v>#N/A Requesting Data...844308825</v>
        <stp/>
        <stp>BDP|2227065898662912276</stp>
        <tr r="R2346" s="2"/>
      </tp>
      <tp t="s">
        <v>#N/A Requesting Data...1450617221</v>
        <stp/>
        <stp>BDP|8688721808281908562</stp>
        <tr r="O77" s="2"/>
      </tp>
      <tp t="s">
        <v>#N/A Requesting Data...1038804932</v>
        <stp/>
        <stp>BDP|2182160979798561780</stp>
        <tr r="H1469" s="2"/>
      </tp>
      <tp t="s">
        <v>#N/A Requesting Data...2912284271</v>
        <stp/>
        <stp>BDP|4539158830234741944</stp>
        <tr r="E145" s="2"/>
      </tp>
      <tp t="s">
        <v>#N/A Requesting Data...3944561746</v>
        <stp/>
        <stp>BDP|9184559349427987475</stp>
        <tr r="E621" s="2"/>
      </tp>
      <tp t="s">
        <v>#N/A Requesting Data...3050285974</v>
        <stp/>
        <stp>BDP|4381878632235627138</stp>
        <tr r="R1497" s="2"/>
      </tp>
      <tp t="s">
        <v>#N/A Requesting Data...2100482363</v>
        <stp/>
        <stp>BDP|5474372962508603348</stp>
        <tr r="S554" s="2"/>
      </tp>
      <tp t="s">
        <v>#N/A Requesting Data...1149164880</v>
        <stp/>
        <stp>BDP|6690857307982471738</stp>
        <tr r="K1153" s="2"/>
      </tp>
      <tp t="s">
        <v>#N/A Requesting Data...3093988239</v>
        <stp/>
        <stp>BDP|2159790296272558589</stp>
        <tr r="M2034" s="2"/>
      </tp>
      <tp t="s">
        <v>#N/A Requesting Data...1134105289</v>
        <stp/>
        <stp>BDP|8086644442326564702</stp>
        <tr r="F169" s="2"/>
      </tp>
      <tp t="b">
        <v>0</v>
        <stp/>
        <stp>BDS|9248217680780051809</stp>
        <tr r="I89" s="2"/>
      </tp>
      <tp t="s">
        <v>#N/A Requesting Data...2648532062</v>
        <stp/>
        <stp>BDP|1878828426588898878</stp>
        <tr r="H886" s="2"/>
      </tp>
      <tp t="s">
        <v>#N/A Requesting Data...1121560511</v>
        <stp/>
        <stp>BDP|1185357988820680194</stp>
        <tr r="Q1420" s="2"/>
      </tp>
      <tp t="s">
        <v>#N/A Requesting Data...2826545048</v>
        <stp/>
        <stp>BDP|4979566428669540118</stp>
        <tr r="P1760" s="2"/>
      </tp>
      <tp t="b">
        <v>0</v>
        <stp/>
        <stp>BDS|2937374988186376468</stp>
        <tr r="I920" s="2"/>
      </tp>
      <tp t="s">
        <v>#N/A Requesting Data...2474525710</v>
        <stp/>
        <stp>BDP|8089942826390769865</stp>
        <tr r="N420" s="2"/>
      </tp>
      <tp t="s">
        <v>#N/A Requesting Data...1796600264</v>
        <stp/>
        <stp>BDP|1959809605447676595</stp>
        <tr r="C1280" s="2"/>
      </tp>
      <tp t="s">
        <v>#N/A Requesting Data...693671494</v>
        <stp/>
        <stp>BDP|8663995987331281392</stp>
        <tr r="D290" s="2"/>
      </tp>
      <tp t="s">
        <v>#N/A Requesting Data...3717639443</v>
        <stp/>
        <stp>BDP|3089648170708182165</stp>
        <tr r="N817" s="2"/>
      </tp>
      <tp t="s">
        <v>#N/A Requesting Data...1654966485</v>
        <stp/>
        <stp>BDP|3276880338374898797</stp>
        <tr r="N496" s="2"/>
      </tp>
      <tp t="b">
        <v>0</v>
        <stp/>
        <stp>BDS|2011617123508285535</stp>
        <tr r="I1273" s="2"/>
      </tp>
      <tp t="b">
        <v>0</v>
        <stp/>
        <stp>BDS|5437599381476636593</stp>
        <tr r="I2050" s="2"/>
      </tp>
      <tp t="s">
        <v>#N/A Requesting Data...1273205537</v>
        <stp/>
        <stp>BDP|1364269876189142617</stp>
        <tr r="J2276" s="2"/>
      </tp>
      <tp t="s">
        <v>#N/A Requesting Data...3159922797</v>
        <stp/>
        <stp>BDP|7932062136728397792</stp>
        <tr r="A620" s="2"/>
      </tp>
      <tp t="s">
        <v>#N/A Requesting Data...3165989349</v>
        <stp/>
        <stp>BDP|5213884748603564148</stp>
        <tr r="M1591" s="2"/>
      </tp>
      <tp t="s">
        <v>#N/A Requesting Data...1619999893</v>
        <stp/>
        <stp>BDP|2890961334484917700</stp>
        <tr r="C1976" s="2"/>
      </tp>
      <tp t="b">
        <v>0</v>
        <stp/>
        <stp>BDS|7726116251080182852</stp>
        <tr r="I2212" s="2"/>
      </tp>
      <tp t="s">
        <v>#N/A Requesting Data...985711846</v>
        <stp/>
        <stp>BDP|2061879733007153566</stp>
        <tr r="H1930" s="2"/>
      </tp>
      <tp t="s">
        <v>#N/A Requesting Data...1101282223</v>
        <stp/>
        <stp>BDP|9042812280930425261</stp>
        <tr r="J773" s="2"/>
      </tp>
      <tp t="s">
        <v>#N/A Requesting Data...1273363178</v>
        <stp/>
        <stp>BDP|7496572156695499928</stp>
        <tr r="K1793" s="2"/>
      </tp>
      <tp t="s">
        <v>#N/A Requesting Data...4221736857</v>
        <stp/>
        <stp>BDP|1023806200906290418</stp>
        <tr r="K1419" s="2"/>
      </tp>
      <tp t="s">
        <v>#N/A Requesting Data...4142217945</v>
        <stp/>
        <stp>BDP|2580331524529314121</stp>
        <tr r="N2316" s="2"/>
      </tp>
      <tp t="s">
        <v>#N/A Requesting Data...3292537850</v>
        <stp/>
        <stp>BDP|5563025504986500856</stp>
        <tr r="E858" s="2"/>
      </tp>
      <tp t="s">
        <v>#N/A Requesting Data...3013988756</v>
        <stp/>
        <stp>BDP|8763158940271273737</stp>
        <tr r="D761" s="2"/>
      </tp>
      <tp t="s">
        <v>#N/A Requesting Data...3633885759</v>
        <stp/>
        <stp>BDP|1416509047472255926</stp>
        <tr r="E1236" s="2"/>
      </tp>
      <tp t="s">
        <v>#N/A Requesting Data...2983596104</v>
        <stp/>
        <stp>BDP|1083010387653760127</stp>
        <tr r="C633" s="2"/>
      </tp>
      <tp t="s">
        <v>#N/A Requesting Data...1630711921</v>
        <stp/>
        <stp>BDP|2417281630979710187</stp>
        <tr r="D2441" s="2"/>
      </tp>
      <tp t="s">
        <v>#N/A Requesting Data...2992850061</v>
        <stp/>
        <stp>BDP|1882213401420224892</stp>
        <tr r="E2177" s="2"/>
      </tp>
      <tp t="s">
        <v>#N/A Requesting Data...1578620695</v>
        <stp/>
        <stp>BDP|6921084215774599827</stp>
        <tr r="G2173" s="2"/>
      </tp>
      <tp t="s">
        <v>#N/A Requesting Data...3609870299</v>
        <stp/>
        <stp>BDP|5443253970852347914</stp>
        <tr r="H119" s="2"/>
      </tp>
      <tp t="s">
        <v>#N/A Requesting Data...2005113220</v>
        <stp/>
        <stp>BDP|6269103492501164429</stp>
        <tr r="E412" s="2"/>
      </tp>
      <tp t="s">
        <v>#N/A Requesting Data...912502732</v>
        <stp/>
        <stp>BDP|4021918171659332801</stp>
        <tr r="M2101" s="2"/>
      </tp>
      <tp t="s">
        <v>#N/A Requesting Data...3270678753</v>
        <stp/>
        <stp>BDP|1824939411006940401</stp>
        <tr r="D1850" s="2"/>
      </tp>
      <tp t="s">
        <v>#N/A Requesting Data...1547588408</v>
        <stp/>
        <stp>BDP|3525050576588185741</stp>
        <tr r="H210" s="2"/>
      </tp>
      <tp t="s">
        <v>#N/A Requesting Data...969642326</v>
        <stp/>
        <stp>BDP|1174919356186610030</stp>
        <tr r="N1831" s="2"/>
      </tp>
      <tp t="s">
        <v>#N/A Requesting Data...2933748657</v>
        <stp/>
        <stp>BDP|7334467404330518878</stp>
        <tr r="C1576" s="2"/>
      </tp>
      <tp t="s">
        <v>#N/A Requesting Data...4127436900</v>
        <stp/>
        <stp>BDP|7704568987982472317</stp>
        <tr r="R2253" s="2"/>
      </tp>
      <tp t="s">
        <v>#N/A Requesting Data...1775109520</v>
        <stp/>
        <stp>BDP|9676346141321362435</stp>
        <tr r="O383" s="2"/>
      </tp>
      <tp t="s">
        <v>#N/A Requesting Data...3777142309</v>
        <stp/>
        <stp>BDP|1794121198131695381</stp>
        <tr r="J226" s="2"/>
      </tp>
      <tp t="s">
        <v>#N/A Requesting Data...826588376</v>
        <stp/>
        <stp>BDP|6558863340713425242</stp>
        <tr r="K1814" s="2"/>
      </tp>
      <tp t="s">
        <v>#N/A Requesting Data...2303926214</v>
        <stp/>
        <stp>BDP|4228353563128707201</stp>
        <tr r="T1376" s="2"/>
      </tp>
      <tp t="s">
        <v>#N/A Requesting Data...1685112520</v>
        <stp/>
        <stp>BDP|3021223802218471275</stp>
        <tr r="H1340" s="2"/>
      </tp>
      <tp t="s">
        <v>#N/A Requesting Data...1997251820</v>
        <stp/>
        <stp>BDP|1217950700171427202</stp>
        <tr r="Q707" s="2"/>
      </tp>
      <tp t="s">
        <v>#N/A Requesting Data...2074222649</v>
        <stp/>
        <stp>BDP|4290495652588282681</stp>
        <tr r="P1726" s="2"/>
      </tp>
      <tp t="s">
        <v>#N/A Requesting Data...4280874902</v>
        <stp/>
        <stp>BDP|7415293577958988103</stp>
        <tr r="T1666" s="2"/>
      </tp>
      <tp t="s">
        <v>#N/A Requesting Data...3520231520</v>
        <stp/>
        <stp>BDP|7116882318096044327</stp>
        <tr r="K892" s="2"/>
      </tp>
      <tp t="s">
        <v>#N/A Requesting Data...2883118790</v>
        <stp/>
        <stp>BDP|1596066561834779860</stp>
        <tr r="Q334" s="2"/>
      </tp>
      <tp t="s">
        <v>#N/A Requesting Data...2942691639</v>
        <stp/>
        <stp>BDP|1650274003429948181</stp>
        <tr r="G1276" s="2"/>
      </tp>
      <tp t="s">
        <v>#N/A Requesting Data...4094735187</v>
        <stp/>
        <stp>BDP|6205211184191117651</stp>
        <tr r="R498" s="2"/>
      </tp>
      <tp t="s">
        <v>#N/A Requesting Data...1411351608</v>
        <stp/>
        <stp>BDP|7235512026698467321</stp>
        <tr r="E813" s="2"/>
      </tp>
      <tp t="s">
        <v>#N/A Requesting Data...1366220585</v>
        <stp/>
        <stp>BDP|1177752497453312733</stp>
        <tr r="P731" s="2"/>
      </tp>
      <tp t="s">
        <v>#N/A Requesting Data...1749247442</v>
        <stp/>
        <stp>BDP|5831203269249532372</stp>
        <tr r="T1530" s="2"/>
      </tp>
      <tp t="s">
        <v>#N/A Requesting Data...1592031312</v>
        <stp/>
        <stp>BDP|6646165050771454870</stp>
        <tr r="F826" s="2"/>
      </tp>
      <tp t="s">
        <v>#N/A Requesting Data...2992251031</v>
        <stp/>
        <stp>BDP|4192116996916657130</stp>
        <tr r="O453" s="2"/>
      </tp>
      <tp t="s">
        <v>#N/A Requesting Data...3230200313</v>
        <stp/>
        <stp>BDP|4865113792542929511</stp>
        <tr r="Q1278" s="2"/>
      </tp>
      <tp t="s">
        <v>#N/A Requesting Data...3536112554</v>
        <stp/>
        <stp>BDP|2016890264253659485</stp>
        <tr r="E542" s="2"/>
      </tp>
      <tp t="s">
        <v>#N/A Requesting Data...1386497309</v>
        <stp/>
        <stp>BDP|3543832757395157033</stp>
        <tr r="E1286" s="2"/>
      </tp>
      <tp t="s">
        <v>#N/A Requesting Data...3547875735</v>
        <stp/>
        <stp>BDP|3526149950019392510</stp>
        <tr r="Q2318" s="2"/>
      </tp>
      <tp t="s">
        <v>#N/A Requesting Data...2704365635</v>
        <stp/>
        <stp>BDP|8109568020945277164</stp>
        <tr r="H158" s="2"/>
      </tp>
      <tp t="s">
        <v>#N/A Requesting Data...1248584030</v>
        <stp/>
        <stp>BDP|9522388819857105760</stp>
        <tr r="F2481" s="2"/>
      </tp>
      <tp t="s">
        <v>#N/A Requesting Data...3528556893</v>
        <stp/>
        <stp>BDP|9655620130762278557</stp>
        <tr r="S1071" s="2"/>
      </tp>
      <tp t="s">
        <v>#N/A Requesting Data...3448393405</v>
        <stp/>
        <stp>BDP|5267869734144381103</stp>
        <tr r="F1845" s="2"/>
      </tp>
      <tp t="s">
        <v>#N/A Requesting Data...2394947183</v>
        <stp/>
        <stp>BDP|8944508379659277818</stp>
        <tr r="A900" s="2"/>
      </tp>
      <tp t="s">
        <v>#N/A Requesting Data...2969350933</v>
        <stp/>
        <stp>BDP|1262596680906155199</stp>
        <tr r="O1034" s="2"/>
      </tp>
      <tp t="s">
        <v>#N/A Requesting Data...2864062498</v>
        <stp/>
        <stp>BDP|1892196886494262768</stp>
        <tr r="H301" s="2"/>
      </tp>
      <tp t="b">
        <v>0</v>
        <stp/>
        <stp>BDS|4408412812499408300</stp>
        <tr r="I2148" s="2"/>
      </tp>
      <tp t="s">
        <v>#N/A Requesting Data...1758349758</v>
        <stp/>
        <stp>BDP|2909635398083260536</stp>
        <tr r="K398" s="2"/>
      </tp>
      <tp t="s">
        <v>#N/A Requesting Data...3522731240</v>
        <stp/>
        <stp>BDP|6191953102256247279</stp>
        <tr r="E977" s="2"/>
      </tp>
      <tp t="s">
        <v>#N/A Requesting Data...3005708165</v>
        <stp/>
        <stp>BDP|9646573793359707761</stp>
        <tr r="F114" s="2"/>
      </tp>
      <tp t="s">
        <v>#N/A Requesting Data...2564821773</v>
        <stp/>
        <stp>BDP|8555818207663284827</stp>
        <tr r="N796" s="2"/>
      </tp>
      <tp t="s">
        <v>#N/A Requesting Data...2604515498</v>
        <stp/>
        <stp>BDP|1619087247199225781</stp>
        <tr r="A525" s="2"/>
      </tp>
      <tp t="s">
        <v>#N/A Requesting Data...2840761033</v>
        <stp/>
        <stp>BDP|1626633124987780954</stp>
        <tr r="F235" s="2"/>
      </tp>
      <tp t="s">
        <v>#N/A Requesting Data...2559357369</v>
        <stp/>
        <stp>BDP|7048536312748314010</stp>
        <tr r="N1918" s="2"/>
      </tp>
      <tp t="s">
        <v>#N/A Requesting Data...3529043619</v>
        <stp/>
        <stp>BDP|7076966453587337750</stp>
        <tr r="S1570" s="2"/>
      </tp>
      <tp t="s">
        <v>#N/A Requesting Data...2416860420</v>
        <stp/>
        <stp>BDP|6454524798981595086</stp>
        <tr r="F2386" s="2"/>
      </tp>
      <tp t="s">
        <v>#N/A Requesting Data...3045819240</v>
        <stp/>
        <stp>BDP|6929774196593805035</stp>
        <tr r="S755" s="2"/>
      </tp>
      <tp t="s">
        <v>#N/A Requesting Data...1268092917</v>
        <stp/>
        <stp>BDP|4540616094682756247</stp>
        <tr r="T1545" s="2"/>
      </tp>
      <tp t="s">
        <v>#N/A Requesting Data...2281523019</v>
        <stp/>
        <stp>BDP|8012168390089693236</stp>
        <tr r="A423" s="2"/>
      </tp>
      <tp t="s">
        <v>#N/A Requesting Data...2354364664</v>
        <stp/>
        <stp>BDP|3629108365749359601</stp>
        <tr r="P138" s="2"/>
      </tp>
      <tp t="s">
        <v>#N/A Requesting Data...4194392687</v>
        <stp/>
        <stp>BDP|1896930026074433593</stp>
        <tr r="N2131" s="2"/>
      </tp>
      <tp t="s">
        <v>#N/A Requesting Data...2235037093</v>
        <stp/>
        <stp>BDP|1604196654066388887</stp>
        <tr r="Q1149" s="2"/>
      </tp>
      <tp t="s">
        <v>#N/A Requesting Data...1099903175</v>
        <stp/>
        <stp>BDP|7096222824708026467</stp>
        <tr r="O2382" s="2"/>
      </tp>
      <tp t="s">
        <v>#N/A Requesting Data...2298487736</v>
        <stp/>
        <stp>BDP|4664327554871196818</stp>
        <tr r="M337" s="2"/>
      </tp>
      <tp t="s">
        <v>#N/A Requesting Data...4177322578</v>
        <stp/>
        <stp>BDP|3111982878826378024</stp>
        <tr r="K1432" s="2"/>
      </tp>
      <tp t="s">
        <v>#N/A Requesting Data...3389594994</v>
        <stp/>
        <stp>BDP|1793312905700764942</stp>
        <tr r="C1828" s="2"/>
      </tp>
      <tp t="s">
        <v>#N/A Requesting Data...1568287528</v>
        <stp/>
        <stp>BDP|2199083624252594989</stp>
        <tr r="G861" s="2"/>
      </tp>
      <tp t="s">
        <v>#N/A Requesting Data...1265671366</v>
        <stp/>
        <stp>BDP|8284685108555498069</stp>
        <tr r="M464" s="2"/>
      </tp>
      <tp t="s">
        <v>#N/A Requesting Data...1173534075</v>
        <stp/>
        <stp>BDP|2051166097028328929</stp>
        <tr r="J482" s="2"/>
      </tp>
      <tp t="s">
        <v>#N/A Requesting Data...3870074208</v>
        <stp/>
        <stp>BDP|5055584499924498659</stp>
        <tr r="R468" s="2"/>
      </tp>
      <tp t="s">
        <v>#N/A Requesting Data...1218954611</v>
        <stp/>
        <stp>BDP|8579616709270982543</stp>
        <tr r="G1739" s="2"/>
      </tp>
      <tp t="s">
        <v>#N/A Requesting Data...1741896262</v>
        <stp/>
        <stp>BDP|1455813753105056269</stp>
        <tr r="R1146" s="2"/>
      </tp>
      <tp t="s">
        <v>#N/A Requesting Data...1884166738</v>
        <stp/>
        <stp>BDP|5880689086264493421</stp>
        <tr r="E1496" s="2"/>
      </tp>
      <tp t="s">
        <v>#N/A Requesting Data...1842686008</v>
        <stp/>
        <stp>BDP|1520074415559606218</stp>
        <tr r="D642" s="2"/>
      </tp>
      <tp t="s">
        <v>#N/A Requesting Data...1980595210</v>
        <stp/>
        <stp>BDP|6197892362664272781</stp>
        <tr r="K1689" s="2"/>
      </tp>
      <tp t="s">
        <v>#N/A Requesting Data...1091493453</v>
        <stp/>
        <stp>BDP|5141493809463996981</stp>
        <tr r="D708" s="2"/>
      </tp>
      <tp t="s">
        <v>#N/A Requesting Data...3483139128</v>
        <stp/>
        <stp>BDP|6398369194985668274</stp>
        <tr r="G206" s="2"/>
      </tp>
      <tp t="s">
        <v>#N/A Requesting Data...3299521219</v>
        <stp/>
        <stp>BDP|1645368191078568841</stp>
        <tr r="K756" s="2"/>
      </tp>
      <tp t="b">
        <v>0</v>
        <stp/>
        <stp>BDS|8232197829195084524</stp>
        <tr r="I1379" s="2"/>
      </tp>
      <tp t="s">
        <v>#N/A Requesting Data...1068329033</v>
        <stp/>
        <stp>BDP|9335759486088789578</stp>
        <tr r="C2141" s="2"/>
      </tp>
      <tp t="s">
        <v>#N/A Requesting Data...2205911526</v>
        <stp/>
        <stp>BDP|7556472590876578772</stp>
        <tr r="J1776" s="2"/>
      </tp>
      <tp t="s">
        <v>#N/A Requesting Data...1919993209</v>
        <stp/>
        <stp>BDP|7696681446888994613</stp>
        <tr r="C2301" s="2"/>
      </tp>
      <tp t="s">
        <v>#N/A Requesting Data...2092190791</v>
        <stp/>
        <stp>BDP|7278883159151663059</stp>
        <tr r="T255" s="2"/>
      </tp>
      <tp t="s">
        <v>#N/A Requesting Data...1461021137</v>
        <stp/>
        <stp>BDP|7289901764177310453</stp>
        <tr r="G544" s="2"/>
      </tp>
      <tp t="s">
        <v>#N/A Requesting Data...3051551307</v>
        <stp/>
        <stp>BDP|6414128206075329936</stp>
        <tr r="A1626" s="2"/>
      </tp>
      <tp t="s">
        <v>#N/A Requesting Data...2735299852</v>
        <stp/>
        <stp>BDP|1070808321735509545</stp>
        <tr r="P2152" s="2"/>
      </tp>
      <tp t="s">
        <v>#N/A Requesting Data...3346300088</v>
        <stp/>
        <stp>BDP|2171602179480992815</stp>
        <tr r="F1865" s="2"/>
      </tp>
      <tp t="s">
        <v>#N/A Requesting Data...1942260069</v>
        <stp/>
        <stp>BDP|6929394234855048846</stp>
        <tr r="A1315" s="2"/>
      </tp>
      <tp t="s">
        <v>#N/A Requesting Data...2212305297</v>
        <stp/>
        <stp>BDP|2885505069428506245</stp>
        <tr r="M631" s="2"/>
      </tp>
      <tp t="s">
        <v>#N/A Requesting Data...3063668550</v>
        <stp/>
        <stp>BDP|7252135415785132958</stp>
        <tr r="K831" s="2"/>
      </tp>
      <tp t="s">
        <v>#N/A Requesting Data...1402656938</v>
        <stp/>
        <stp>BDP|3033459439628948754</stp>
        <tr r="S1012" s="2"/>
      </tp>
      <tp t="s">
        <v>#N/A Requesting Data...2703056446</v>
        <stp/>
        <stp>BDP|1124476713128718728</stp>
        <tr r="M470" s="2"/>
      </tp>
      <tp t="s">
        <v>#N/A Requesting Data...3840387393</v>
        <stp/>
        <stp>BDP|8240040917937743565</stp>
        <tr r="S1760" s="2"/>
      </tp>
      <tp t="s">
        <v>#N/A Requesting Data...1129675168</v>
        <stp/>
        <stp>BDP|5138232612659488440</stp>
        <tr r="J1885" s="2"/>
      </tp>
      <tp t="s">
        <v>#N/A Requesting Data...1317073017</v>
        <stp/>
        <stp>BDP|8726492709282554528</stp>
        <tr r="E507" s="2"/>
      </tp>
      <tp t="s">
        <v>#N/A Requesting Data...2173271254</v>
        <stp/>
        <stp>BDP|4601106336984204920</stp>
        <tr r="C1825" s="2"/>
      </tp>
      <tp t="s">
        <v>#N/A Requesting Data...3076817949</v>
        <stp/>
        <stp>BDP|6348736265404004859</stp>
        <tr r="D120" s="2"/>
      </tp>
      <tp t="s">
        <v>#N/A Requesting Data...3296445739</v>
        <stp/>
        <stp>BDP|2929943007454333499</stp>
        <tr r="A854" s="2"/>
      </tp>
      <tp t="s">
        <v>#N/A Requesting Data...3542489636</v>
        <stp/>
        <stp>BDP|3795518721958742702</stp>
        <tr r="N1874" s="2"/>
      </tp>
      <tp t="s">
        <v>#N/A Requesting Data...3432850121</v>
        <stp/>
        <stp>BDP|4130362551221180875</stp>
        <tr r="O1438" s="2"/>
      </tp>
      <tp t="s">
        <v>#N/A Requesting Data...1995135949</v>
        <stp/>
        <stp>BDP|5760843538175935029</stp>
        <tr r="S1851" s="2"/>
      </tp>
      <tp t="s">
        <v>#N/A Requesting Data...4042698523</v>
        <stp/>
        <stp>BDP|8382875262254222943</stp>
        <tr r="K2355" s="2"/>
      </tp>
      <tp t="s">
        <v>#N/A Requesting Data...1619746751</v>
        <stp/>
        <stp>BDP|9865504816886872063</stp>
        <tr r="H1012" s="2"/>
      </tp>
      <tp t="s">
        <v>#N/A Requesting Data...3000042379</v>
        <stp/>
        <stp>BDP|1988014749767904985</stp>
        <tr r="K1664" s="2"/>
      </tp>
      <tp t="s">
        <v>#N/A Requesting Data...3567548801</v>
        <stp/>
        <stp>BDP|4022355525496793874</stp>
        <tr r="F600" s="2"/>
      </tp>
      <tp t="s">
        <v>#N/A Requesting Data...1386906713</v>
        <stp/>
        <stp>BDP|5657469356387681809</stp>
        <tr r="P2244" s="2"/>
      </tp>
      <tp t="s">
        <v>#N/A Requesting Data...2253408766</v>
        <stp/>
        <stp>BDP|5905933103876097193</stp>
        <tr r="K449" s="2"/>
      </tp>
      <tp t="s">
        <v>#N/A Requesting Data...1199284022</v>
        <stp/>
        <stp>BDP|7715028999983953654</stp>
        <tr r="J24" s="2"/>
      </tp>
      <tp t="s">
        <v>#N/A Requesting Data...3169801525</v>
        <stp/>
        <stp>BDP|7762551323408603372</stp>
        <tr r="T1436" s="2"/>
      </tp>
      <tp t="s">
        <v>#N/A Requesting Data...2291149199</v>
        <stp/>
        <stp>BDP|1428922628223814263</stp>
        <tr r="O2185" s="2"/>
      </tp>
      <tp t="s">
        <v>#N/A Requesting Data...2229388544</v>
        <stp/>
        <stp>BDP|2108156121829160348</stp>
        <tr r="S2404" s="2"/>
      </tp>
      <tp t="b">
        <v>0</v>
        <stp/>
        <stp>BDS|4215240064162108933</stp>
        <tr r="I92" s="2"/>
      </tp>
      <tp t="s">
        <v>#N/A Requesting Data...2829287620</v>
        <stp/>
        <stp>BDP|3834202451938127789</stp>
        <tr r="Q797" s="2"/>
      </tp>
      <tp t="s">
        <v>#N/A Requesting Data...3993865026</v>
        <stp/>
        <stp>BDP|6287455101228440128</stp>
        <tr r="R1191" s="2"/>
      </tp>
      <tp t="s">
        <v>#N/A Requesting Data...3977747697</v>
        <stp/>
        <stp>BDP|8724687709737624203</stp>
        <tr r="E426" s="2"/>
      </tp>
      <tp t="s">
        <v>#N/A Requesting Data...1554307515</v>
        <stp/>
        <stp>BDP|7455940537061003776</stp>
        <tr r="H701" s="2"/>
      </tp>
      <tp t="s">
        <v>#N/A Requesting Data...1738689798</v>
        <stp/>
        <stp>BDP|5390552664854554975</stp>
        <tr r="H544" s="2"/>
      </tp>
      <tp t="s">
        <v>#N/A Requesting Data...3643079688</v>
        <stp/>
        <stp>BDP|8007543507597639156</stp>
        <tr r="J1153" s="2"/>
      </tp>
      <tp t="s">
        <v>#N/A Requesting Data...1693827984</v>
        <stp/>
        <stp>BDP|2965018103991350881</stp>
        <tr r="P1752" s="2"/>
      </tp>
      <tp t="s">
        <v>#N/A Requesting Data...3902749824</v>
        <stp/>
        <stp>BDP|9474286874442967510</stp>
        <tr r="N25" s="2"/>
      </tp>
      <tp t="s">
        <v>#N/A Requesting Data...4197941731</v>
        <stp/>
        <stp>BDP|7351106050770022834</stp>
        <tr r="E220" s="2"/>
      </tp>
      <tp t="s">
        <v>#N/A Requesting Data...1670985325</v>
        <stp/>
        <stp>BDP|2483138584567756742</stp>
        <tr r="G1213" s="2"/>
      </tp>
      <tp t="s">
        <v>#N/A Requesting Data...1444199441</v>
        <stp/>
        <stp>BDP|6291470626829753246</stp>
        <tr r="F238" s="2"/>
      </tp>
      <tp t="s">
        <v>#N/A Requesting Data...1339130879</v>
        <stp/>
        <stp>BDP|1723807678100617597</stp>
        <tr r="A403" s="2"/>
      </tp>
      <tp t="s">
        <v>#N/A Requesting Data...2697854122</v>
        <stp/>
        <stp>BDP|4314843244220747346</stp>
        <tr r="R258" s="2"/>
      </tp>
      <tp t="s">
        <v>#N/A Requesting Data...1617534740</v>
        <stp/>
        <stp>BDP|2313121725539182358</stp>
        <tr r="H813" s="2"/>
      </tp>
      <tp t="s">
        <v>#N/A Requesting Data...3232675225</v>
        <stp/>
        <stp>BDP|6736125573532145972</stp>
        <tr r="A1622" s="2"/>
      </tp>
      <tp t="s">
        <v>#N/A Requesting Data...2216567124</v>
        <stp/>
        <stp>BDP|9933490052833065028</stp>
        <tr r="T2206" s="2"/>
      </tp>
      <tp t="s">
        <v>#N/A Requesting Data...3126001194</v>
        <stp/>
        <stp>BDP|8214731330950143708</stp>
        <tr r="H2500" s="2"/>
      </tp>
      <tp t="s">
        <v>#N/A Requesting Data...2795926044</v>
        <stp/>
        <stp>BDP|8172158826436186636</stp>
        <tr r="G2280" s="2"/>
      </tp>
      <tp t="s">
        <v>#N/A Requesting Data...1800638987</v>
        <stp/>
        <stp>BDP|7865711155518401686</stp>
        <tr r="A1273" s="2"/>
      </tp>
      <tp t="s">
        <v>#N/A Requesting Data...2212975886</v>
        <stp/>
        <stp>BDP|6293202618939910737</stp>
        <tr r="C1184" s="2"/>
      </tp>
      <tp t="s">
        <v>#N/A Requesting Data...1391271599</v>
        <stp/>
        <stp>BDP|5812034991083350494</stp>
        <tr r="T1352" s="2"/>
      </tp>
      <tp t="s">
        <v>#N/A Requesting Data...1655185067</v>
        <stp/>
        <stp>BDP|9159184419041021307</stp>
        <tr r="T956" s="2"/>
      </tp>
      <tp t="s">
        <v>#N/A Requesting Data...2326265947</v>
        <stp/>
        <stp>BDP|8315064364553650672</stp>
        <tr r="O25" s="2"/>
      </tp>
      <tp t="s">
        <v>#N/A Requesting Data...1698969085</v>
        <stp/>
        <stp>BDP|4561045243773208803</stp>
        <tr r="G2030" s="2"/>
      </tp>
      <tp t="s">
        <v>#N/A Requesting Data...4136271718</v>
        <stp/>
        <stp>BDP|9538323245763075627</stp>
        <tr r="D2219" s="2"/>
      </tp>
      <tp t="s">
        <v>#N/A Requesting Data...2808236525</v>
        <stp/>
        <stp>BDP|5094628752105736875</stp>
        <tr r="R1312" s="2"/>
      </tp>
      <tp t="s">
        <v>#N/A Requesting Data...2780393460</v>
        <stp/>
        <stp>BDP|6524361384740415633</stp>
        <tr r="S687" s="2"/>
      </tp>
      <tp t="s">
        <v>#N/A Requesting Data...2045782789</v>
        <stp/>
        <stp>BDP|6627492738323754900</stp>
        <tr r="J1487" s="2"/>
      </tp>
      <tp t="s">
        <v>#N/A Requesting Data...2796806123</v>
        <stp/>
        <stp>BDP|7636075567408765212</stp>
        <tr r="N274" s="2"/>
      </tp>
      <tp t="s">
        <v>#N/A Requesting Data...3009811765</v>
        <stp/>
        <stp>BDP|8355521246600510225</stp>
        <tr r="D1294" s="2"/>
      </tp>
      <tp t="s">
        <v>#N/A Requesting Data...3400841776</v>
        <stp/>
        <stp>BDP|4525644932383445977</stp>
        <tr r="F1900" s="2"/>
      </tp>
      <tp t="s">
        <v>#N/A Requesting Data...1304468202</v>
        <stp/>
        <stp>BDP|1062125839281831934</stp>
        <tr r="A2111" s="2"/>
      </tp>
      <tp t="s">
        <v>#N/A Requesting Data...1712476863</v>
        <stp/>
        <stp>BDP|7682027646809639142</stp>
        <tr r="F1370" s="2"/>
      </tp>
      <tp t="s">
        <v>#N/A Requesting Data...2238039403</v>
        <stp/>
        <stp>BDP|7009376486632030515</stp>
        <tr r="R1361" s="2"/>
      </tp>
      <tp t="s">
        <v>#N/A Requesting Data...4199484095</v>
        <stp/>
        <stp>BDP|3087428858129345093</stp>
        <tr r="A1716" s="2"/>
      </tp>
      <tp t="s">
        <v>#N/A Requesting Data...3562614963</v>
        <stp/>
        <stp>BDP|7312837166683162170</stp>
        <tr r="Q520" s="2"/>
      </tp>
      <tp t="s">
        <v>#N/A Requesting Data...1796900277</v>
        <stp/>
        <stp>BDP|9767578438012142683</stp>
        <tr r="K488" s="2"/>
      </tp>
      <tp t="s">
        <v>#N/A Requesting Data...1492513081</v>
        <stp/>
        <stp>BDP|2621710381556796007</stp>
        <tr r="O373" s="2"/>
      </tp>
      <tp t="s">
        <v>#N/A Requesting Data...2914406016</v>
        <stp/>
        <stp>BDP|7780516539483942977</stp>
        <tr r="Q1109" s="2"/>
      </tp>
      <tp t="s">
        <v>#N/A Requesting Data...1433915481</v>
        <stp/>
        <stp>BDP|6212088650121232993</stp>
        <tr r="J920" s="2"/>
      </tp>
      <tp t="s">
        <v>#N/A Requesting Data...4279304603</v>
        <stp/>
        <stp>BDP|9139889846357750994</stp>
        <tr r="F544" s="2"/>
      </tp>
      <tp t="s">
        <v>#N/A Requesting Data...3418291658</v>
        <stp/>
        <stp>BDP|2486440201718750572</stp>
        <tr r="C278" s="2"/>
      </tp>
      <tp t="s">
        <v>#N/A Requesting Data...1942994132</v>
        <stp/>
        <stp>BDP|9092155774465033103</stp>
        <tr r="H2260" s="2"/>
      </tp>
      <tp t="s">
        <v>#N/A Requesting Data...1788682446</v>
        <stp/>
        <stp>BDP|3501904113610122068</stp>
        <tr r="P1854" s="2"/>
      </tp>
      <tp t="s">
        <v>#N/A Requesting Data...2701798622</v>
        <stp/>
        <stp>BDP|3152309970119267523</stp>
        <tr r="T1516" s="2"/>
      </tp>
      <tp t="s">
        <v>#N/A Requesting Data...3919314128</v>
        <stp/>
        <stp>BDP|2923753862409644199</stp>
        <tr r="K1523" s="2"/>
      </tp>
      <tp t="s">
        <v>#N/A Requesting Data...2771955900</v>
        <stp/>
        <stp>BDP|9718737330853226574</stp>
        <tr r="P885" s="2"/>
      </tp>
      <tp t="s">
        <v>#N/A Requesting Data...1822704439</v>
        <stp/>
        <stp>BDP|4983360798696339356</stp>
        <tr r="J146" s="2"/>
      </tp>
      <tp t="s">
        <v>#N/A Requesting Data...2044009246</v>
        <stp/>
        <stp>BDP|6573388798176636126</stp>
        <tr r="E1753" s="2"/>
      </tp>
      <tp t="s">
        <v>#N/A Requesting Data...3352263097</v>
        <stp/>
        <stp>BDP|9297655240504533431</stp>
        <tr r="T1380" s="2"/>
      </tp>
      <tp t="s">
        <v>#N/A Requesting Data...1353539930</v>
        <stp/>
        <stp>BDP|5130628633543635876</stp>
        <tr r="C2328" s="2"/>
      </tp>
      <tp t="s">
        <v>#N/A Requesting Data...3298166143</v>
        <stp/>
        <stp>BDP|9987773657124183499</stp>
        <tr r="R1135" s="2"/>
      </tp>
      <tp t="s">
        <v>#N/A Requesting Data...2235476772</v>
        <stp/>
        <stp>BDP|3367529760703422841</stp>
        <tr r="K2293" s="2"/>
      </tp>
      <tp t="s">
        <v>#N/A Requesting Data...3588237266</v>
        <stp/>
        <stp>BDP|8096265212692295278</stp>
        <tr r="Q874" s="2"/>
      </tp>
      <tp t="s">
        <v>#N/A Requesting Data...2971107443</v>
        <stp/>
        <stp>BDP|5243038304236358870</stp>
        <tr r="O1260" s="2"/>
      </tp>
      <tp t="s">
        <v>#N/A Requesting Data...3711770477</v>
        <stp/>
        <stp>BDP|7932032697474987157</stp>
        <tr r="J88" s="2"/>
      </tp>
      <tp t="s">
        <v>#N/A Requesting Data...3157588374</v>
        <stp/>
        <stp>BDP|2693514367639552344</stp>
        <tr r="C1158" s="2"/>
      </tp>
      <tp t="s">
        <v>#N/A Requesting Data...1442120895</v>
        <stp/>
        <stp>BDP|8224092077337598380</stp>
        <tr r="C483" s="2"/>
      </tp>
      <tp t="s">
        <v>#N/A Requesting Data...3079810955</v>
        <stp/>
        <stp>BDP|4658018957598500242</stp>
        <tr r="J1062" s="2"/>
      </tp>
      <tp t="s">
        <v>#N/A Requesting Data...1663534498</v>
        <stp/>
        <stp>BDP|1250052395596581560</stp>
        <tr r="M1395" s="2"/>
      </tp>
      <tp t="s">
        <v>#N/A Requesting Data...3724978983</v>
        <stp/>
        <stp>BDP|5621269278463111883</stp>
        <tr r="G152" s="2"/>
      </tp>
      <tp t="s">
        <v>#N/A Requesting Data...3824944045</v>
        <stp/>
        <stp>BDP|5634976772544792454</stp>
        <tr r="N1428" s="2"/>
      </tp>
      <tp t="s">
        <v>#N/A Requesting Data...3873325828</v>
        <stp/>
        <stp>BDP|2292328912882404974</stp>
        <tr r="O2508" s="2"/>
      </tp>
      <tp t="s">
        <v>#N/A Requesting Data...4141191458</v>
        <stp/>
        <stp>BDP|8954442144840002382</stp>
        <tr r="G217" s="2"/>
      </tp>
      <tp t="s">
        <v>#N/A Requesting Data...3414614090</v>
        <stp/>
        <stp>BDP|8322950764885114926</stp>
        <tr r="C188" s="2"/>
      </tp>
      <tp t="s">
        <v>#N/A Requesting Data...3669744660</v>
        <stp/>
        <stp>BDP|1491490294206906117</stp>
        <tr r="E1918" s="2"/>
      </tp>
      <tp t="s">
        <v>#N/A Requesting Data...2847969261</v>
        <stp/>
        <stp>BDP|2261363664049905589</stp>
        <tr r="S259" s="2"/>
      </tp>
      <tp t="s">
        <v>#N/A Requesting Data...1857185317</v>
        <stp/>
        <stp>BDP|1307683105358744488</stp>
        <tr r="E2292" s="2"/>
      </tp>
      <tp t="s">
        <v>#N/A Requesting Data...4286634062</v>
        <stp/>
        <stp>BDP|8866326388801746940</stp>
        <tr r="P29" s="2"/>
      </tp>
      <tp t="s">
        <v>#N/A Requesting Data...3343436385</v>
        <stp/>
        <stp>BDP|1343636171978953391</stp>
        <tr r="H42" s="2"/>
      </tp>
      <tp t="b">
        <v>0</v>
        <stp/>
        <stp>BDS|9353055458331794686</stp>
        <tr r="I1487" s="2"/>
      </tp>
      <tp t="s">
        <v>#N/A Requesting Data...1942939235</v>
        <stp/>
        <stp>BDP|6321546424139324318</stp>
        <tr r="C1076" s="2"/>
      </tp>
      <tp t="s">
        <v>#N/A Requesting Data...4279652612</v>
        <stp/>
        <stp>BDP|9915726729846555165</stp>
        <tr r="J367" s="2"/>
      </tp>
      <tp t="s">
        <v>#N/A Requesting Data...3496139276</v>
        <stp/>
        <stp>BDP|1887416669089035112</stp>
        <tr r="J1139" s="2"/>
      </tp>
      <tp t="s">
        <v>#N/A Requesting Data...3913029162</v>
        <stp/>
        <stp>BDP|5306858277178269920</stp>
        <tr r="Q152" s="2"/>
      </tp>
      <tp t="s">
        <v>#N/A Requesting Data...2331094627</v>
        <stp/>
        <stp>BDP|3133936372001347720</stp>
        <tr r="T950" s="2"/>
      </tp>
      <tp t="s">
        <v>#N/A Requesting Data...4074662848</v>
        <stp/>
        <stp>BDP|6214894403186159380</stp>
        <tr r="S146" s="2"/>
      </tp>
      <tp t="s">
        <v>#N/A Requesting Data...1481382352</v>
        <stp/>
        <stp>BDP|1577500606769015620</stp>
        <tr r="G2412" s="2"/>
      </tp>
      <tp t="s">
        <v>#N/A Requesting Data...2377472707</v>
        <stp/>
        <stp>BDP|8813877024781361896</stp>
        <tr r="O1293" s="2"/>
      </tp>
      <tp t="s">
        <v>#N/A Requesting Data...3585212994</v>
        <stp/>
        <stp>BDP|4048320242240929884</stp>
        <tr r="Q1973" s="2"/>
      </tp>
      <tp t="s">
        <v>#N/A Requesting Data...2820488988</v>
        <stp/>
        <stp>BDP|5457246736717336847</stp>
        <tr r="S2472" s="2"/>
      </tp>
      <tp t="s">
        <v>#N/A Requesting Data...2294913656</v>
        <stp/>
        <stp>BDP|2750387233351475896</stp>
        <tr r="J89" s="2"/>
      </tp>
      <tp t="s">
        <v>#N/A Requesting Data...2316809532</v>
        <stp/>
        <stp>BDP|5591712551625155958</stp>
        <tr r="C961" s="2"/>
      </tp>
      <tp t="s">
        <v>#N/A Requesting Data...4133302956</v>
        <stp/>
        <stp>BDP|9529100547067707042</stp>
        <tr r="F2409" s="2"/>
      </tp>
      <tp t="b">
        <v>0</v>
        <stp/>
        <stp>BDS|9830976284684257785</stp>
        <tr r="I1821" s="2"/>
      </tp>
      <tp t="s">
        <v>#N/A Requesting Data...1872523769</v>
        <stp/>
        <stp>BDP|2186965920160146278</stp>
        <tr r="M2191" s="2"/>
      </tp>
      <tp t="s">
        <v>#N/A Requesting Data...2021183385</v>
        <stp/>
        <stp>BDP|5601449154808099778</stp>
        <tr r="S956" s="2"/>
      </tp>
      <tp t="s">
        <v>#N/A Requesting Data...2417516037</v>
        <stp/>
        <stp>BDP|7872882154689422811</stp>
        <tr r="E2375" s="2"/>
      </tp>
      <tp t="s">
        <v>#N/A Requesting Data...2544865711</v>
        <stp/>
        <stp>BDP|8253395553055806013</stp>
        <tr r="K184" s="2"/>
      </tp>
      <tp t="s">
        <v>#N/A Requesting Data...1624152214</v>
        <stp/>
        <stp>BDP|3815186051014742870</stp>
        <tr r="E411" s="2"/>
      </tp>
      <tp t="s">
        <v>#N/A Requesting Data...1639747331</v>
        <stp/>
        <stp>BDP|4441504905873599952</stp>
        <tr r="J2428" s="2"/>
      </tp>
      <tp t="s">
        <v>#N/A Requesting Data...3499239414</v>
        <stp/>
        <stp>BDP|6982160260642745899</stp>
        <tr r="P287" s="2"/>
      </tp>
      <tp t="s">
        <v>#N/A Requesting Data...3259022775</v>
        <stp/>
        <stp>BDP|9372798522173853418</stp>
        <tr r="F646" s="2"/>
      </tp>
      <tp t="s">
        <v>#N/A Requesting Data...3857629470</v>
        <stp/>
        <stp>BDP|6347298649369099225</stp>
        <tr r="A1973" s="2"/>
      </tp>
      <tp t="s">
        <v>#N/A Requesting Data...3016395605</v>
        <stp/>
        <stp>BDP|8465612995749957585</stp>
        <tr r="C581" s="2"/>
      </tp>
      <tp t="s">
        <v>#N/A Requesting Data...2428966960</v>
        <stp/>
        <stp>BDP|5747861097496748907</stp>
        <tr r="E908" s="2"/>
      </tp>
      <tp t="s">
        <v>#N/A Requesting Data...3413969042</v>
        <stp/>
        <stp>BDP|8419333337405458651</stp>
        <tr r="J136" s="2"/>
      </tp>
      <tp t="s">
        <v>#N/A Requesting Data...1883944946</v>
        <stp/>
        <stp>BDP|7866336294327860160</stp>
        <tr r="R1529" s="2"/>
      </tp>
      <tp t="s">
        <v>#N/A Requesting Data...2330491327</v>
        <stp/>
        <stp>BDP|2879071911008912062</stp>
        <tr r="S2209" s="2"/>
      </tp>
      <tp t="s">
        <v>#N/A Requesting Data...1943380916</v>
        <stp/>
        <stp>BDP|1361356585220578170</stp>
        <tr r="R352" s="2"/>
      </tp>
      <tp t="s">
        <v>#N/A Requesting Data...2185853298</v>
        <stp/>
        <stp>BDP|4039816365453341260</stp>
        <tr r="E1627" s="2"/>
      </tp>
      <tp t="s">
        <v>#N/A Requesting Data...2762767024</v>
        <stp/>
        <stp>BDP|1272133400952409948</stp>
        <tr r="C2242" s="2"/>
      </tp>
      <tp t="s">
        <v>#N/A Requesting Data...2263277867</v>
        <stp/>
        <stp>BDP|6030162256548613171</stp>
        <tr r="P1421" s="2"/>
      </tp>
      <tp t="s">
        <v>#N/A Requesting Data...2690380825</v>
        <stp/>
        <stp>BDP|9765023753656351142</stp>
        <tr r="A1278" s="2"/>
      </tp>
      <tp t="b">
        <v>0</v>
        <stp/>
        <stp>BDS|5595752086703623219</stp>
        <tr r="I864" s="2"/>
      </tp>
      <tp t="s">
        <v>#N/A Requesting Data...1761195029</v>
        <stp/>
        <stp>BDP|8165751049117563794</stp>
        <tr r="R2400" s="2"/>
      </tp>
      <tp t="b">
        <v>0</v>
        <stp/>
        <stp>BDS|9604105818337678596</stp>
        <tr r="I1370" s="2"/>
      </tp>
      <tp t="s">
        <v>#N/A Requesting Data...3112876789</v>
        <stp/>
        <stp>BDP|6855156408449766535</stp>
        <tr r="C1205" s="2"/>
      </tp>
      <tp t="s">
        <v>#N/A Requesting Data...1942535219</v>
        <stp/>
        <stp>BDP|5231604904271193968</stp>
        <tr r="R2494" s="2"/>
      </tp>
      <tp t="s">
        <v>#N/A Requesting Data...3215413224</v>
        <stp/>
        <stp>BDP|6489627645026791952</stp>
        <tr r="K514" s="2"/>
      </tp>
      <tp t="s">
        <v>#N/A Requesting Data...2752279290</v>
        <stp/>
        <stp>BDP|2129867947106773364</stp>
        <tr r="J1957" s="2"/>
      </tp>
      <tp t="s">
        <v>#N/A Requesting Data...2349338380</v>
        <stp/>
        <stp>BDP|3549869406060092043</stp>
        <tr r="A749" s="2"/>
      </tp>
      <tp t="b">
        <v>0</v>
        <stp/>
        <stp>BDS|8597851491192083005</stp>
        <tr r="I27" s="2"/>
      </tp>
      <tp t="s">
        <v>#N/A Requesting Data...2873493848</v>
        <stp/>
        <stp>BDP|6071064482084756121</stp>
        <tr r="Q2219" s="2"/>
      </tp>
      <tp t="s">
        <v>#N/A Requesting Data...3212020038</v>
        <stp/>
        <stp>BDP|5125074084122722443</stp>
        <tr r="G871" s="2"/>
      </tp>
      <tp t="s">
        <v>#N/A Requesting Data...2480641940</v>
        <stp/>
        <stp>BDP|1786759365252017964</stp>
        <tr r="F700" s="2"/>
      </tp>
      <tp t="s">
        <v>#N/A Requesting Data...3580500281</v>
        <stp/>
        <stp>BDP|8048165687573515953</stp>
        <tr r="R1941" s="2"/>
      </tp>
      <tp t="s">
        <v>#N/A Requesting Data...1682067621</v>
        <stp/>
        <stp>BDP|2079574581796358247</stp>
        <tr r="T1531" s="2"/>
      </tp>
      <tp t="s">
        <v>#N/A Requesting Data...4237466455</v>
        <stp/>
        <stp>BDP|7345140187092524740</stp>
        <tr r="A1209" s="2"/>
      </tp>
      <tp t="s">
        <v>#N/A Requesting Data...2896297189</v>
        <stp/>
        <stp>BDP|9249648225642556479</stp>
        <tr r="F1168" s="2"/>
      </tp>
      <tp t="s">
        <v>#N/A Requesting Data...1967711432</v>
        <stp/>
        <stp>BDP|2746950784430458833</stp>
        <tr r="C186" s="2"/>
      </tp>
      <tp t="s">
        <v>#N/A Requesting Data...3180200636</v>
        <stp/>
        <stp>BDP|2003369774535717834</stp>
        <tr r="M28" s="2"/>
      </tp>
      <tp t="s">
        <v>#N/A Requesting Data...2144930784</v>
        <stp/>
        <stp>BDP|8147363687019373159</stp>
        <tr r="C2133" s="2"/>
      </tp>
      <tp t="b">
        <v>0</v>
        <stp/>
        <stp>BDS|6789084342041922824</stp>
        <tr r="I429" s="2"/>
      </tp>
      <tp t="s">
        <v>#N/A Requesting Data...2170811690</v>
        <stp/>
        <stp>BDP|6358011498864945051</stp>
        <tr r="H1519" s="2"/>
      </tp>
      <tp t="s">
        <v>#N/A Requesting Data...3482305155</v>
        <stp/>
        <stp>BDP|3211108981549645831</stp>
        <tr r="H686" s="2"/>
      </tp>
      <tp t="s">
        <v>#N/A Requesting Data...1729411339</v>
        <stp/>
        <stp>BDP|1619760786884973196</stp>
        <tr r="S1883" s="2"/>
      </tp>
      <tp t="s">
        <v>#N/A Requesting Data...3974031281</v>
        <stp/>
        <stp>BDP|3753142107931134835</stp>
        <tr r="R252" s="2"/>
      </tp>
      <tp t="s">
        <v>#N/A Requesting Data...2332855767</v>
        <stp/>
        <stp>BDP|9742097479310401558</stp>
        <tr r="O2176" s="2"/>
      </tp>
      <tp t="s">
        <v>#N/A Requesting Data...3010542146</v>
        <stp/>
        <stp>BDP|3339155196068599837</stp>
        <tr r="F144" s="2"/>
      </tp>
      <tp t="s">
        <v>#N/A Requesting Data...1534091480</v>
        <stp/>
        <stp>BDP|4483882222586058382</stp>
        <tr r="D411" s="2"/>
      </tp>
      <tp t="s">
        <v>#N/A Requesting Data...2179909568</v>
        <stp/>
        <stp>BDP|3661063783986728625</stp>
        <tr r="F2038" s="2"/>
      </tp>
      <tp t="s">
        <v>#N/A Requesting Data...2915235183</v>
        <stp/>
        <stp>BDP|3178666642578399206</stp>
        <tr r="K1311" s="2"/>
      </tp>
      <tp t="s">
        <v>#N/A Requesting Data...2568589673</v>
        <stp/>
        <stp>BDP|7330125385930430567</stp>
        <tr r="R1620" s="2"/>
      </tp>
      <tp t="s">
        <v>#N/A Requesting Data...3944021988</v>
        <stp/>
        <stp>BDP|1370851035745139449</stp>
        <tr r="N1724" s="2"/>
      </tp>
      <tp t="s">
        <v>#N/A Requesting Data...2090805819</v>
        <stp/>
        <stp>BDP|7568062167862412866</stp>
        <tr r="T669" s="2"/>
      </tp>
      <tp t="s">
        <v>#N/A Requesting Data...2194680935</v>
        <stp/>
        <stp>BDP|9922457904662690481</stp>
        <tr r="R603" s="2"/>
      </tp>
      <tp t="s">
        <v>#N/A Requesting Data...1766453715</v>
        <stp/>
        <stp>BDP|5701459591012622131</stp>
        <tr r="P1014" s="2"/>
      </tp>
      <tp t="s">
        <v>#N/A Requesting Data...2049303746</v>
        <stp/>
        <stp>BDP|6490037252351276910</stp>
        <tr r="D148" s="2"/>
      </tp>
      <tp t="s">
        <v>#N/A Requesting Data...3778826604</v>
        <stp/>
        <stp>BDP|2619357674848319525</stp>
        <tr r="D420" s="2"/>
      </tp>
      <tp t="s">
        <v>#N/A Requesting Data...2395892897</v>
        <stp/>
        <stp>BDP|7336869543068669866</stp>
        <tr r="S2100" s="2"/>
      </tp>
      <tp t="s">
        <v>#N/A Requesting Data...4014337063</v>
        <stp/>
        <stp>BDP|8078989910392934974</stp>
        <tr r="G1443" s="2"/>
      </tp>
      <tp t="s">
        <v>#N/A Requesting Data...2855378408</v>
        <stp/>
        <stp>BDP|8695474788246808975</stp>
        <tr r="M831" s="2"/>
      </tp>
      <tp t="s">
        <v>#N/A Requesting Data...2406043127</v>
        <stp/>
        <stp>BDP|3258630807097593956</stp>
        <tr r="H1679" s="2"/>
      </tp>
      <tp t="s">
        <v>#N/A Requesting Data...4074184632</v>
        <stp/>
        <stp>BDP|3788826058874944128</stp>
        <tr r="D357" s="2"/>
      </tp>
      <tp t="s">
        <v>#N/A Requesting Data...3721982750</v>
        <stp/>
        <stp>BDP|9114207924986340406</stp>
        <tr r="T101" s="2"/>
      </tp>
      <tp t="s">
        <v>#N/A Requesting Data...3364090373</v>
        <stp/>
        <stp>BDP|6707733632031295827</stp>
        <tr r="E345" s="2"/>
      </tp>
      <tp t="s">
        <v>#N/A Requesting Data...4248684348</v>
        <stp/>
        <stp>BDP|4614905357957292459</stp>
        <tr r="A1026" s="2"/>
      </tp>
      <tp t="s">
        <v>#N/A Requesting Data...2704279294</v>
        <stp/>
        <stp>BDP|7348654750886666963</stp>
        <tr r="Q2399" s="2"/>
      </tp>
      <tp t="s">
        <v>#N/A Requesting Data...1910332050</v>
        <stp/>
        <stp>BDP|1586944381623175870</stp>
        <tr r="M1596" s="2"/>
      </tp>
      <tp t="s">
        <v>#N/A Requesting Data...1790121717</v>
        <stp/>
        <stp>BDP|5392412135039035014</stp>
        <tr r="Q1471" s="2"/>
      </tp>
      <tp t="s">
        <v>#N/A Requesting Data...3884093382</v>
        <stp/>
        <stp>BDP|4131786055594954939</stp>
        <tr r="E2439" s="2"/>
      </tp>
      <tp t="s">
        <v>#N/A Requesting Data...1668387119</v>
        <stp/>
        <stp>BDP|3950307919968072260</stp>
        <tr r="A163" s="2"/>
      </tp>
      <tp t="s">
        <v>#N/A Requesting Data...3466495018</v>
        <stp/>
        <stp>BDP|4457068340793650823</stp>
        <tr r="C2179" s="2"/>
      </tp>
      <tp t="s">
        <v>#N/A Requesting Data...2112371209</v>
        <stp/>
        <stp>BDP|6543686598917161522</stp>
        <tr r="J2500" s="2"/>
      </tp>
      <tp t="s">
        <v>#N/A Requesting Data...3767371322</v>
        <stp/>
        <stp>BDP|2978868319493705374</stp>
        <tr r="O1282" s="2"/>
      </tp>
      <tp t="s">
        <v>#N/A Requesting Data...4185878025</v>
        <stp/>
        <stp>BDP|3442468319345862856</stp>
        <tr r="C2107" s="2"/>
      </tp>
      <tp t="s">
        <v>#N/A Requesting Data...3606883721</v>
        <stp/>
        <stp>BDP|7324171495005551129</stp>
        <tr r="D2110" s="2"/>
      </tp>
      <tp t="s">
        <v>#N/A Requesting Data...1731462292</v>
        <stp/>
        <stp>BDP|9642448350372307170</stp>
        <tr r="Q1792" s="2"/>
      </tp>
      <tp t="s">
        <v>#N/A Requesting Data...4003803925</v>
        <stp/>
        <stp>BDP|2195588618388647519</stp>
        <tr r="M2457" s="2"/>
      </tp>
      <tp t="s">
        <v>#N/A Requesting Data...3271009755</v>
        <stp/>
        <stp>BDP|2585422420357539844</stp>
        <tr r="Q104" s="2"/>
      </tp>
      <tp t="s">
        <v>#N/A Requesting Data...3636892296</v>
        <stp/>
        <stp>BDP|6894275889086829180</stp>
        <tr r="H1394" s="2"/>
      </tp>
      <tp t="s">
        <v>#N/A Requesting Data...1899672376</v>
        <stp/>
        <stp>BDP|7396058192262555777</stp>
        <tr r="A608" s="2"/>
      </tp>
      <tp t="s">
        <v>#N/A Requesting Data...1891401554</v>
        <stp/>
        <stp>BDP|9105424469235877540</stp>
        <tr r="T1763" s="2"/>
      </tp>
      <tp t="s">
        <v>#N/A Requesting Data...2181837753</v>
        <stp/>
        <stp>BDP|7617640634749619066</stp>
        <tr r="Q1391" s="2"/>
      </tp>
      <tp t="s">
        <v>#N/A Requesting Data...2019720930</v>
        <stp/>
        <stp>BDP|1102111193084705620</stp>
        <tr r="O236" s="2"/>
      </tp>
      <tp t="s">
        <v>#N/A Requesting Data...2191900789</v>
        <stp/>
        <stp>BDP|9096328911894481411</stp>
        <tr r="T2158" s="2"/>
      </tp>
      <tp t="s">
        <v>#N/A Requesting Data...3098360302</v>
        <stp/>
        <stp>BDP|7536508095851173174</stp>
        <tr r="N1753" s="2"/>
      </tp>
      <tp t="s">
        <v>#N/A Requesting Data...2948541514</v>
        <stp/>
        <stp>BDP|8627533021543623746</stp>
        <tr r="A137" s="2"/>
      </tp>
      <tp t="s">
        <v>#N/A Requesting Data...2879172904</v>
        <stp/>
        <stp>BDP|3815162119191240936</stp>
        <tr r="P2299" s="2"/>
      </tp>
      <tp t="s">
        <v>#N/A Requesting Data...3528091264</v>
        <stp/>
        <stp>BDP|9341004559055828242</stp>
        <tr r="A166" s="2"/>
      </tp>
      <tp t="s">
        <v>#N/A Requesting Data...4267900548</v>
        <stp/>
        <stp>BDP|2665428234256072868</stp>
        <tr r="K94" s="2"/>
      </tp>
      <tp t="s">
        <v>#N/A Requesting Data...3936203972</v>
        <stp/>
        <stp>BDP|1312085973725785898</stp>
        <tr r="K1781" s="2"/>
      </tp>
      <tp t="s">
        <v>#N/A Requesting Data...4095762980</v>
        <stp/>
        <stp>BDP|1453939653536738059</stp>
        <tr r="O2084" s="2"/>
      </tp>
      <tp t="s">
        <v>#N/A Requesting Data...2671373017</v>
        <stp/>
        <stp>BDP|7214484295474068594</stp>
        <tr r="N1825" s="2"/>
      </tp>
      <tp t="s">
        <v>#N/A Requesting Data...4126525726</v>
        <stp/>
        <stp>BDP|5401937301603979495</stp>
        <tr r="G1838" s="2"/>
      </tp>
      <tp t="s">
        <v>#N/A Requesting Data...3606140696</v>
        <stp/>
        <stp>BDP|6546913143668375824</stp>
        <tr r="K1544" s="2"/>
      </tp>
      <tp t="s">
        <v>#N/A Requesting Data...1970010060</v>
        <stp/>
        <stp>BDP|9841672664443524182</stp>
        <tr r="G270" s="2"/>
      </tp>
      <tp t="b">
        <v>0</v>
        <stp/>
        <stp>BDS|2741127295626121776</stp>
        <tr r="I936" s="2"/>
      </tp>
      <tp t="s">
        <v>#N/A Requesting Data...4154061323</v>
        <stp/>
        <stp>BDP|1986902959971769717</stp>
        <tr r="Q192" s="2"/>
      </tp>
      <tp t="s">
        <v>#N/A Requesting Data...2366059435</v>
        <stp/>
        <stp>BDP|2822926558676562316</stp>
        <tr r="S1518" s="2"/>
      </tp>
      <tp t="s">
        <v>#N/A Requesting Data...3834586992</v>
        <stp/>
        <stp>BDP|3192403704605269918</stp>
        <tr r="A1061" s="2"/>
      </tp>
      <tp t="s">
        <v>#N/A Requesting Data...1709379353</v>
        <stp/>
        <stp>BDP|2190363801908875286</stp>
        <tr r="P1046" s="2"/>
      </tp>
      <tp t="s">
        <v>#N/A Requesting Data...3849313709</v>
        <stp/>
        <stp>BDP|3429032272217447874</stp>
        <tr r="C935" s="2"/>
      </tp>
      <tp t="s">
        <v>#N/A Requesting Data...2715320910</v>
        <stp/>
        <stp>BDP|9875409776580807109</stp>
        <tr r="M427" s="2"/>
      </tp>
      <tp t="s">
        <v>#N/A Requesting Data...1742160633</v>
        <stp/>
        <stp>BDP|8235237853224607024</stp>
        <tr r="S2038" s="2"/>
      </tp>
      <tp t="s">
        <v>#N/A Requesting Data...4208128360</v>
        <stp/>
        <stp>BDP|5528884925665743191</stp>
        <tr r="C2057" s="2"/>
      </tp>
      <tp t="b">
        <v>0</v>
        <stp/>
        <stp>BDS|8349017375496524243</stp>
        <tr r="I1075" s="2"/>
      </tp>
      <tp t="s">
        <v>#N/A Requesting Data...3004877242</v>
        <stp/>
        <stp>BDP|6988534920939810341</stp>
        <tr r="C74" s="2"/>
      </tp>
      <tp t="s">
        <v>#N/A Requesting Data...3430460296</v>
        <stp/>
        <stp>BDP|4137026864030624972</stp>
        <tr r="K227" s="2"/>
      </tp>
      <tp t="s">
        <v>#N/A Requesting Data...3779123148</v>
        <stp/>
        <stp>BDP|9336342794591080959</stp>
        <tr r="N1408" s="2"/>
      </tp>
      <tp t="s">
        <v>#N/A Requesting Data...3414622826</v>
        <stp/>
        <stp>BDP|8131045390009036331</stp>
        <tr r="M716" s="2"/>
      </tp>
      <tp t="s">
        <v>#N/A Requesting Data...3397579234</v>
        <stp/>
        <stp>BDP|2443280956119470786</stp>
        <tr r="E2350" s="2"/>
      </tp>
      <tp t="s">
        <v>#N/A Requesting Data...4059843670</v>
        <stp/>
        <stp>BDP|1751805046655120363</stp>
        <tr r="K1460" s="2"/>
      </tp>
      <tp t="s">
        <v>#N/A Requesting Data...2860043138</v>
        <stp/>
        <stp>BDP|6821683074234015825</stp>
        <tr r="O1661" s="2"/>
      </tp>
      <tp t="s">
        <v>#N/A Requesting Data...3429697196</v>
        <stp/>
        <stp>BDP|7459366896284535275</stp>
        <tr r="Q1495" s="2"/>
      </tp>
      <tp t="b">
        <v>0</v>
        <stp/>
        <stp>BDS|9300692393625999869</stp>
        <tr r="I1238" s="2"/>
      </tp>
      <tp t="s">
        <v>#N/A Requesting Data...2877912758</v>
        <stp/>
        <stp>BDP|6396935019080924569</stp>
        <tr r="P87" s="2"/>
      </tp>
      <tp t="s">
        <v>#N/A Requesting Data...2003356220</v>
        <stp/>
        <stp>BDP|8356940985004554617</stp>
        <tr r="D1127" s="2"/>
      </tp>
      <tp t="s">
        <v>#N/A Requesting Data...2011009925</v>
        <stp/>
        <stp>BDP|4435235671212464844</stp>
        <tr r="N1248" s="2"/>
      </tp>
      <tp t="s">
        <v>#N/A Requesting Data...3028979199</v>
        <stp/>
        <stp>BDP|2497458437958174619</stp>
        <tr r="J1716" s="2"/>
      </tp>
      <tp t="s">
        <v>#N/A Requesting Data...3464341667</v>
        <stp/>
        <stp>BDP|4228613532719560326</stp>
        <tr r="H1152" s="2"/>
      </tp>
      <tp t="s">
        <v>#N/A Requesting Data...2473185825</v>
        <stp/>
        <stp>BDP|3290714327254208909</stp>
        <tr r="D2138" s="2"/>
      </tp>
      <tp t="s">
        <v>#N/A Requesting Data...3364227150</v>
        <stp/>
        <stp>BDP|9478255322854590605</stp>
        <tr r="C809" s="2"/>
      </tp>
      <tp t="s">
        <v>#N/A Requesting Data...2774774355</v>
        <stp/>
        <stp>BDP|8866438308292493513</stp>
        <tr r="H1878" s="2"/>
      </tp>
      <tp t="s">
        <v>#N/A Requesting Data...2897749176</v>
        <stp/>
        <stp>BDP|1976076904973590997</stp>
        <tr r="F1917" s="2"/>
      </tp>
      <tp t="s">
        <v>#N/A Requesting Data...2939379715</v>
        <stp/>
        <stp>BDP|2452901007024219473</stp>
        <tr r="T2289" s="2"/>
      </tp>
      <tp t="s">
        <v>#N/A Requesting Data...3098687204</v>
        <stp/>
        <stp>BDP|1755036581224315619</stp>
        <tr r="A201" s="2"/>
      </tp>
      <tp t="s">
        <v>#N/A Requesting Data...2562260611</v>
        <stp/>
        <stp>BDP|9662648664113372121</stp>
        <tr r="H1808" s="2"/>
      </tp>
      <tp t="s">
        <v>#N/A Requesting Data...1994325962</v>
        <stp/>
        <stp>BDP|4456044854173098930</stp>
        <tr r="M451" s="2"/>
      </tp>
      <tp t="s">
        <v>#N/A Requesting Data...3594741316</v>
        <stp/>
        <stp>BDP|6596934330456341124</stp>
        <tr r="A736" s="2"/>
      </tp>
      <tp t="s">
        <v>#N/A Requesting Data...4100174037</v>
        <stp/>
        <stp>BDP|2992186670776181979</stp>
        <tr r="S1260" s="2"/>
      </tp>
      <tp t="s">
        <v>#N/A Requesting Data...2306612287</v>
        <stp/>
        <stp>BDP|9000869623248131031</stp>
        <tr r="C2499" s="2"/>
      </tp>
      <tp t="s">
        <v>#N/A Requesting Data...3993357260</v>
        <stp/>
        <stp>BDP|2990884815932545269</stp>
        <tr r="S105" s="2"/>
      </tp>
      <tp t="s">
        <v>#N/A Requesting Data...2821006982</v>
        <stp/>
        <stp>BDP|5570863745810018214</stp>
        <tr r="R572" s="2"/>
      </tp>
      <tp t="s">
        <v>#N/A Requesting Data...2028394399</v>
        <stp/>
        <stp>BDP|2037471005848429511</stp>
        <tr r="N2519" s="2"/>
      </tp>
      <tp t="s">
        <v>#N/A Requesting Data...3898523868</v>
        <stp/>
        <stp>BDP|8057007141942738511</stp>
        <tr r="H1238" s="2"/>
      </tp>
      <tp t="s">
        <v>#N/A Requesting Data...2941712549</v>
        <stp/>
        <stp>BDP|7893133738407242962</stp>
        <tr r="R255" s="2"/>
      </tp>
      <tp t="s">
        <v>#N/A Requesting Data...1829709060</v>
        <stp/>
        <stp>BDP|8412863297831205302</stp>
        <tr r="O1788" s="2"/>
      </tp>
      <tp t="s">
        <v>#N/A Requesting Data...1942021529</v>
        <stp/>
        <stp>BDP|6635812374603267169</stp>
        <tr r="E2189" s="2"/>
      </tp>
      <tp t="s">
        <v>#N/A Requesting Data...2609499491</v>
        <stp/>
        <stp>BDP|2392505294445127012</stp>
        <tr r="N911" s="2"/>
      </tp>
      <tp t="s">
        <v>#N/A Requesting Data...4020232218</v>
        <stp/>
        <stp>BDP|1468070860998246463</stp>
        <tr r="E1498" s="2"/>
      </tp>
      <tp t="s">
        <v>#N/A Requesting Data...3544363957</v>
        <stp/>
        <stp>BDP|6186705844776221800</stp>
        <tr r="O2232" s="2"/>
      </tp>
      <tp t="s">
        <v>#N/A Requesting Data...2586333701</v>
        <stp/>
        <stp>BDP|8850960393746912538</stp>
        <tr r="N1876" s="2"/>
      </tp>
      <tp t="s">
        <v>#N/A Requesting Data...3513122366</v>
        <stp/>
        <stp>BDP|5680036413906653979</stp>
        <tr r="T1028" s="2"/>
      </tp>
      <tp t="s">
        <v>#N/A Requesting Data...3166334022</v>
        <stp/>
        <stp>BDP|3184361370178630460</stp>
        <tr r="Q989" s="2"/>
      </tp>
      <tp t="s">
        <v>#N/A Requesting Data...2862790320</v>
        <stp/>
        <stp>BDP|6082564064509543706</stp>
        <tr r="G2450" s="2"/>
      </tp>
      <tp t="s">
        <v>#N/A Requesting Data...1984828015</v>
        <stp/>
        <stp>BDP|4628404513752534879</stp>
        <tr r="P1492" s="2"/>
      </tp>
      <tp t="s">
        <v>#N/A Requesting Data...2476160189</v>
        <stp/>
        <stp>BDP|7484888864594678699</stp>
        <tr r="E1176" s="2"/>
      </tp>
      <tp t="s">
        <v>#N/A Requesting Data...2676521216</v>
        <stp/>
        <stp>BDP|1908901020044728599</stp>
        <tr r="F1496" s="2"/>
      </tp>
      <tp t="b">
        <v>0</v>
        <stp/>
        <stp>BDS|5766028136764194959</stp>
        <tr r="I2492" s="2"/>
      </tp>
      <tp t="s">
        <v>#N/A Requesting Data...3764024346</v>
        <stp/>
        <stp>BDP|2115942527683588100</stp>
        <tr r="M1878" s="2"/>
      </tp>
      <tp t="s">
        <v>#N/A Requesting Data...2977363604</v>
        <stp/>
        <stp>BDP|5851697206978177011</stp>
        <tr r="F2114" s="2"/>
      </tp>
      <tp t="s">
        <v>#N/A Requesting Data...4214719847</v>
        <stp/>
        <stp>BDP|9356727646145169418</stp>
        <tr r="F331" s="2"/>
      </tp>
      <tp t="s">
        <v>#N/A Requesting Data...3821900359</v>
        <stp/>
        <stp>BDP|8441027920735815498</stp>
        <tr r="H1155" s="2"/>
      </tp>
      <tp t="b">
        <v>0</v>
        <stp/>
        <stp>BDS|6333130597973779673</stp>
        <tr r="I1806" s="2"/>
      </tp>
      <tp t="s">
        <v>#N/A Requesting Data...3160088520</v>
        <stp/>
        <stp>BDP|1230798797883275799</stp>
        <tr r="T841" s="2"/>
      </tp>
      <tp t="s">
        <v>#N/A Requesting Data...3530855881</v>
        <stp/>
        <stp>BDP|5688648736138457379</stp>
        <tr r="P1002" s="2"/>
      </tp>
      <tp t="s">
        <v>#N/A Requesting Data...3472001421</v>
        <stp/>
        <stp>BDP|2144113382811573104</stp>
        <tr r="A1505" s="2"/>
      </tp>
      <tp t="s">
        <v>#N/A Requesting Data...4073990775</v>
        <stp/>
        <stp>BDP|2135920805970478051</stp>
        <tr r="K1239" s="2"/>
      </tp>
      <tp t="s">
        <v>#N/A Requesting Data...2497000109</v>
        <stp/>
        <stp>BDP|6951995892238779529</stp>
        <tr r="E1053" s="2"/>
      </tp>
      <tp t="s">
        <v>#N/A Requesting Data...3027899866</v>
        <stp/>
        <stp>BDP|4626245290981260574</stp>
        <tr r="D654" s="2"/>
      </tp>
      <tp t="s">
        <v>#N/A Requesting Data...3803262155</v>
        <stp/>
        <stp>BDP|5073069588293841514</stp>
        <tr r="M952" s="2"/>
      </tp>
      <tp t="s">
        <v>#N/A Requesting Data...3633893425</v>
        <stp/>
        <stp>BDP|6929469550068024485</stp>
        <tr r="D1926" s="2"/>
      </tp>
      <tp t="s">
        <v>#N/A Requesting Data...3267833109</v>
        <stp/>
        <stp>BDP|7531917826077607038</stp>
        <tr r="G1918" s="2"/>
      </tp>
      <tp t="b">
        <v>0</v>
        <stp/>
        <stp>BDS|1281609286471389501</stp>
        <tr r="I698" s="2"/>
      </tp>
      <tp t="s">
        <v>#N/A Requesting Data...3937453697</v>
        <stp/>
        <stp>BDP|3650939344201119470</stp>
        <tr r="G601" s="2"/>
      </tp>
      <tp t="s">
        <v>#N/A Requesting Data...3748593814</v>
        <stp/>
        <stp>BDP|2522856270436688017</stp>
        <tr r="A1809" s="2"/>
      </tp>
      <tp t="s">
        <v>#N/A Requesting Data...3227590848</v>
        <stp/>
        <stp>BDP|8910450207894565391</stp>
        <tr r="D359" s="2"/>
      </tp>
      <tp t="s">
        <v>#N/A Requesting Data...2924596233</v>
        <stp/>
        <stp>BDP|6615861194928539464</stp>
        <tr r="J1817" s="2"/>
      </tp>
      <tp t="s">
        <v>#N/A Requesting Data...2509921748</v>
        <stp/>
        <stp>BDP|4120192288793701509</stp>
        <tr r="R2251" s="2"/>
      </tp>
      <tp t="s">
        <v>#N/A Requesting Data...3201054617</v>
        <stp/>
        <stp>BDP|1188538378868585081</stp>
        <tr r="K787" s="2"/>
      </tp>
      <tp t="s">
        <v>#N/A Requesting Data...2543574415</v>
        <stp/>
        <stp>BDP|8079025773814337058</stp>
        <tr r="J847" s="2"/>
      </tp>
      <tp t="s">
        <v>#N/A Requesting Data...3580446318</v>
        <stp/>
        <stp>BDP|7575736864234104942</stp>
        <tr r="N2082" s="2"/>
      </tp>
      <tp t="s">
        <v>#N/A Requesting Data...2620492295</v>
        <stp/>
        <stp>BDP|7725106365103752820</stp>
        <tr r="A1175" s="2"/>
      </tp>
      <tp t="s">
        <v>#N/A Requesting Data...4042238790</v>
        <stp/>
        <stp>BDP|5662558530410323878</stp>
        <tr r="J932" s="2"/>
      </tp>
      <tp t="s">
        <v>#N/A Requesting Data...2656043252</v>
        <stp/>
        <stp>BDP|8006872001239805290</stp>
        <tr r="T350" s="2"/>
      </tp>
      <tp t="s">
        <v>#N/A Requesting Data...3122018822</v>
        <stp/>
        <stp>BDP|8731892192736272491</stp>
        <tr r="S1503" s="2"/>
      </tp>
      <tp t="s">
        <v>#N/A Requesting Data...3811463435</v>
        <stp/>
        <stp>BDP|1721628622237206928</stp>
        <tr r="M2193" s="2"/>
      </tp>
      <tp t="s">
        <v>#N/A Requesting Data...3962073642</v>
        <stp/>
        <stp>BDP|5147627334299031202</stp>
        <tr r="T580" s="2"/>
      </tp>
      <tp t="s">
        <v>#N/A Requesting Data...3995867262</v>
        <stp/>
        <stp>BDP|2644785618089493658</stp>
        <tr r="J1908" s="2"/>
      </tp>
      <tp t="b">
        <v>0</v>
        <stp/>
        <stp>BDS|2545270905873271828</stp>
        <tr r="I47" s="2"/>
      </tp>
      <tp t="s">
        <v>#N/A Requesting Data...4225873744</v>
        <stp/>
        <stp>BDP|2652615192422755452</stp>
        <tr r="C625" s="2"/>
      </tp>
      <tp t="s">
        <v>#N/A Requesting Data...2950742726</v>
        <stp/>
        <stp>BDP|5646257593044723102</stp>
        <tr r="A1886" s="2"/>
      </tp>
      <tp t="s">
        <v>#N/A Requesting Data...3234435264</v>
        <stp/>
        <stp>BDP|6403002752348945086</stp>
        <tr r="R1803" s="2"/>
      </tp>
      <tp t="s">
        <v>#N/A Requesting Data...2590918313</v>
        <stp/>
        <stp>BDP|1215925021249666803</stp>
        <tr r="T323" s="2"/>
      </tp>
      <tp t="s">
        <v>#N/A Requesting Data...3809421274</v>
        <stp/>
        <stp>BDP|3215612678469924056</stp>
        <tr r="C1447" s="2"/>
      </tp>
      <tp t="s">
        <v>#N/A Requesting Data...2902382328</v>
        <stp/>
        <stp>BDP|7523868310927121252</stp>
        <tr r="A2513" s="2"/>
      </tp>
      <tp t="s">
        <v>#N/A Requesting Data...3315308895</v>
        <stp/>
        <stp>BDP|2783921377743288475</stp>
        <tr r="A611" s="2"/>
      </tp>
      <tp t="s">
        <v>#N/A Requesting Data...2782466616</v>
        <stp/>
        <stp>BDP|9565239665886242060</stp>
        <tr r="P2246" s="2"/>
      </tp>
      <tp t="s">
        <v>#N/A Requesting Data...2954563970</v>
        <stp/>
        <stp>BDP|8438255332851754338</stp>
        <tr r="R474" s="2"/>
      </tp>
      <tp t="s">
        <v>#N/A Requesting Data...2350699327</v>
        <stp/>
        <stp>BDP|1862956282459851203</stp>
        <tr r="A582" s="2"/>
      </tp>
      <tp t="s">
        <v>#N/A Requesting Data...3092544095</v>
        <stp/>
        <stp>BDP|5288819483538239655</stp>
        <tr r="D2393" s="2"/>
      </tp>
      <tp t="s">
        <v>#N/A Requesting Data...4034876427</v>
        <stp/>
        <stp>BDP|8745556227064557075</stp>
        <tr r="J999" s="2"/>
      </tp>
      <tp t="s">
        <v>#N/A Requesting Data...4002157365</v>
        <stp/>
        <stp>BDP|6762146886193672744</stp>
        <tr r="H2231" s="2"/>
      </tp>
      <tp t="b">
        <v>0</v>
        <stp/>
        <stp>BDS|5558528387570491330</stp>
        <tr r="I2297" s="2"/>
      </tp>
      <tp t="s">
        <v>#N/A Requesting Data...2453626928</v>
        <stp/>
        <stp>BDP|7742336193722169411</stp>
        <tr r="H539" s="2"/>
      </tp>
      <tp t="s">
        <v>#N/A Requesting Data...2605830972</v>
        <stp/>
        <stp>BDP|4823218294575833129</stp>
        <tr r="F451" s="2"/>
      </tp>
      <tp t="s">
        <v>#N/A Requesting Data...2349953687</v>
        <stp/>
        <stp>BDP|5531928613801332704</stp>
        <tr r="H756" s="2"/>
      </tp>
      <tp t="s">
        <v>#N/A Requesting Data...4265417620</v>
        <stp/>
        <stp>BDP|7376973515444100074</stp>
        <tr r="N2226" s="2"/>
      </tp>
      <tp t="s">
        <v>#N/A Requesting Data...2643425862</v>
        <stp/>
        <stp>BDP|2279024901650057964</stp>
        <tr r="H2294" s="2"/>
      </tp>
      <tp t="s">
        <v>#N/A Requesting Data...1985835706</v>
        <stp/>
        <stp>BDP|1400980170314273090</stp>
        <tr r="H2143" s="2"/>
      </tp>
      <tp t="s">
        <v>#N/A Requesting Data...2430796985</v>
        <stp/>
        <stp>BDP|5263716075879848798</stp>
        <tr r="R2518" s="2"/>
      </tp>
      <tp t="b">
        <v>0</v>
        <stp/>
        <stp>BDS|1222889803614884662</stp>
        <tr r="I718" s="2"/>
      </tp>
      <tp t="s">
        <v>#N/A Requesting Data...3134914632</v>
        <stp/>
        <stp>BDP|2066681610037647994</stp>
        <tr r="T683" s="2"/>
      </tp>
      <tp t="s">
        <v>#N/A Requesting Data...3996524330</v>
        <stp/>
        <stp>BDP|8843876798062537056</stp>
        <tr r="K1913" s="2"/>
      </tp>
      <tp t="s">
        <v>#N/A Requesting Data...3817339066</v>
        <stp/>
        <stp>BDP|3315917430116194448</stp>
        <tr r="R1021" s="2"/>
      </tp>
      <tp t="s">
        <v>#N/A Requesting Data...3775301515</v>
        <stp/>
        <stp>BDP|2054549598815326080</stp>
        <tr r="O1081" s="2"/>
      </tp>
      <tp t="s">
        <v>#N/A Requesting Data...3356921779</v>
        <stp/>
        <stp>BDP|5196237080214035059</stp>
        <tr r="E1000" s="2"/>
      </tp>
      <tp t="s">
        <v>#N/A Requesting Data...3754630756</v>
        <stp/>
        <stp>BDP|9423462525230659461</stp>
        <tr r="D1196" s="2"/>
      </tp>
      <tp t="b">
        <v>0</v>
        <stp/>
        <stp>BDS|6444657067694769959</stp>
        <tr r="I1393" s="2"/>
      </tp>
      <tp t="s">
        <v>#N/A Requesting Data...2055419105</v>
        <stp/>
        <stp>BDP|3396162715209024142</stp>
        <tr r="J2447" s="2"/>
      </tp>
      <tp t="s">
        <v>#N/A Requesting Data...3737472779</v>
        <stp/>
        <stp>BDP|4776308781282770653</stp>
        <tr r="H1184" s="2"/>
      </tp>
      <tp t="s">
        <v>#N/A Requesting Data...3990744673</v>
        <stp/>
        <stp>BDP|7171046010069793460</stp>
        <tr r="C1020" s="2"/>
      </tp>
      <tp t="s">
        <v>#N/A Requesting Data...4078855738</v>
        <stp/>
        <stp>BDP|4622861502941731611</stp>
        <tr r="J1702" s="2"/>
      </tp>
      <tp t="s">
        <v>#N/A Requesting Data...3578655561</v>
        <stp/>
        <stp>BDP|6356089398682319640</stp>
        <tr r="M1700" s="2"/>
      </tp>
      <tp t="s">
        <v>#N/A Requesting Data...2906147183</v>
        <stp/>
        <stp>BDP|7360099885286275291</stp>
        <tr r="T1919" s="2"/>
      </tp>
      <tp t="s">
        <v>#N/A Requesting Data...3046308352</v>
        <stp/>
        <stp>BDP|8968656359932577245</stp>
        <tr r="E1612" s="2"/>
      </tp>
      <tp t="s">
        <v>#N/A Requesting Data...3001510574</v>
        <stp/>
        <stp>BDP|4746330864232255868</stp>
        <tr r="E824" s="2"/>
      </tp>
      <tp t="s">
        <v>#N/A Requesting Data...3025646678</v>
        <stp/>
        <stp>BDP|6828379645932807869</stp>
        <tr r="Q635" s="2"/>
      </tp>
      <tp t="s">
        <v>#N/A Requesting Data...3435819231</v>
        <stp/>
        <stp>BDP|5271060120569598551</stp>
        <tr r="K1087" s="2"/>
      </tp>
      <tp t="s">
        <v>#N/A Requesting Data...3145735909</v>
        <stp/>
        <stp>BDP|2168534991993082679</stp>
        <tr r="A2194" s="2"/>
      </tp>
      <tp t="s">
        <v>#N/A Requesting Data...2521826882</v>
        <stp/>
        <stp>BDP|8923060896879544383</stp>
        <tr r="J2499" s="2"/>
      </tp>
      <tp t="s">
        <v>#N/A Requesting Data...2257398418</v>
        <stp/>
        <stp>BDP|9200142413145864799</stp>
        <tr r="G55" s="2"/>
      </tp>
      <tp t="b">
        <v>0</v>
        <stp/>
        <stp>BDS|6986994921787313165</stp>
        <tr r="I1162" s="2"/>
      </tp>
      <tp t="s">
        <v>#N/A Requesting Data...4250611019</v>
        <stp/>
        <stp>BDP|7774319054842426828</stp>
        <tr r="J591" s="2"/>
      </tp>
      <tp t="s">
        <v>#N/A Requesting Data...2264196146</v>
        <stp/>
        <stp>BDP|9665228613563234214</stp>
        <tr r="R953" s="2"/>
      </tp>
      <tp t="s">
        <v>#N/A Requesting Data...3764780314</v>
        <stp/>
        <stp>BDP|6206289944533232883</stp>
        <tr r="J1921" s="2"/>
      </tp>
      <tp t="s">
        <v>#N/A Requesting Data...2768111133</v>
        <stp/>
        <stp>BDP|9484695259694401547</stp>
        <tr r="M877" s="2"/>
      </tp>
      <tp t="s">
        <v>#N/A Requesting Data...3057137878</v>
        <stp/>
        <stp>BDP|9070189666447818227</stp>
        <tr r="M1476" s="2"/>
      </tp>
      <tp t="s">
        <v>#N/A Requesting Data...2888527918</v>
        <stp/>
        <stp>BDP|2999036983079861856</stp>
        <tr r="S894" s="2"/>
      </tp>
      <tp t="s">
        <v>#N/A Requesting Data...3521781190</v>
        <stp/>
        <stp>BDP|4134936760447660708</stp>
        <tr r="E2277" s="2"/>
      </tp>
      <tp t="s">
        <v>#N/A Requesting Data...3688805713</v>
        <stp/>
        <stp>BDP|7246318304179353607</stp>
        <tr r="G84" s="2"/>
      </tp>
      <tp t="s">
        <v>#N/A Requesting Data...2161894275</v>
        <stp/>
        <stp>BDP|5359847131727489262</stp>
        <tr r="O23" s="2"/>
      </tp>
      <tp t="s">
        <v>#N/A Requesting Data...3092365098</v>
        <stp/>
        <stp>BDP|8349536714473814488</stp>
        <tr r="O2449" s="2"/>
      </tp>
      <tp t="s">
        <v>#N/A Requesting Data...2188232532</v>
        <stp/>
        <stp>BDP|1444965806907852482</stp>
        <tr r="R2434" s="2"/>
      </tp>
      <tp t="s">
        <v>#N/A Requesting Data...2886912958</v>
        <stp/>
        <stp>BDP|6917883987975049821</stp>
        <tr r="N584" s="2"/>
      </tp>
      <tp t="s">
        <v>#N/A Requesting Data...2480760611</v>
        <stp/>
        <stp>BDP|7389290295430344786</stp>
        <tr r="P1222" s="2"/>
      </tp>
      <tp t="s">
        <v>#N/A Requesting Data...2262463537</v>
        <stp/>
        <stp>BDP|4108322391815633007</stp>
        <tr r="R1010" s="2"/>
      </tp>
      <tp t="s">
        <v>#N/A Requesting Data...2411861626</v>
        <stp/>
        <stp>BDP|4209286660532708992</stp>
        <tr r="R446" s="2"/>
      </tp>
      <tp t="s">
        <v>#N/A Requesting Data...3359604046</v>
        <stp/>
        <stp>BDP|4330455332730694869</stp>
        <tr r="A234" s="2"/>
      </tp>
      <tp t="s">
        <v>#N/A Requesting Data...4109654638</v>
        <stp/>
        <stp>BDP|3573760155142626845</stp>
        <tr r="Q2042" s="2"/>
      </tp>
      <tp t="s">
        <v>#N/A Requesting Data...2657860966</v>
        <stp/>
        <stp>BDP|9775367879057518190</stp>
        <tr r="K2342" s="2"/>
      </tp>
      <tp t="s">
        <v>#N/A Requesting Data...2921113783</v>
        <stp/>
        <stp>BDP|1001922556135636361</stp>
        <tr r="O1599" s="2"/>
      </tp>
      <tp t="s">
        <v>#N/A Requesting Data...2233222258</v>
        <stp/>
        <stp>BDP|4661115383026122010</stp>
        <tr r="P1584" s="2"/>
      </tp>
      <tp t="s">
        <v>#N/A Requesting Data...2341903890</v>
        <stp/>
        <stp>BDP|4696796284906956662</stp>
        <tr r="A258" s="2"/>
      </tp>
      <tp t="s">
        <v>#N/A Requesting Data...2710952726</v>
        <stp/>
        <stp>BDP|6067394995516877101</stp>
        <tr r="P1908" s="2"/>
      </tp>
      <tp t="s">
        <v>#N/A Requesting Data...2225004531</v>
        <stp/>
        <stp>BDP|8344032159244531287</stp>
        <tr r="E951" s="2"/>
      </tp>
      <tp t="s">
        <v>#N/A Requesting Data...3847434144</v>
        <stp/>
        <stp>BDP|2435493709608161510</stp>
        <tr r="J2390" s="2"/>
      </tp>
      <tp t="s">
        <v>#N/A Requesting Data...3112243321</v>
        <stp/>
        <stp>BDP|8970131268065748112</stp>
        <tr r="T75" s="2"/>
      </tp>
      <tp t="s">
        <v>#N/A Requesting Data...2801139404</v>
        <stp/>
        <stp>BDP|6647047961342243954</stp>
        <tr r="J448" s="2"/>
      </tp>
      <tp t="s">
        <v>#N/A Requesting Data...2306268740</v>
        <stp/>
        <stp>BDP|9500107301566951594</stp>
        <tr r="H147" s="2"/>
      </tp>
      <tp t="s">
        <v>#N/A Requesting Data...3384076513</v>
        <stp/>
        <stp>BDP|9004457976395736404</stp>
        <tr r="M1272" s="2"/>
      </tp>
      <tp t="s">
        <v>#N/A Requesting Data...2483968701</v>
        <stp/>
        <stp>BDP|4575874610797717116</stp>
        <tr r="N1321" s="2"/>
      </tp>
      <tp t="b">
        <v>0</v>
        <stp/>
        <stp>BDS|1435181978729956590</stp>
        <tr r="I1170" s="2"/>
      </tp>
      <tp t="s">
        <v>#N/A Requesting Data...3115292991</v>
        <stp/>
        <stp>BDP|7681749880835093663</stp>
        <tr r="H952" s="2"/>
      </tp>
      <tp t="s">
        <v>#N/A Requesting Data...3129784376</v>
        <stp/>
        <stp>BDP|8407354047543546777</stp>
        <tr r="Q182" s="2"/>
      </tp>
      <tp t="s">
        <v>#N/A Requesting Data...3072812596</v>
        <stp/>
        <stp>BDP|8455870187707518451</stp>
        <tr r="G1891" s="2"/>
      </tp>
      <tp t="s">
        <v>#N/A Requesting Data...3929435748</v>
        <stp/>
        <stp>BDP|1229656371053172831</stp>
        <tr r="H1664" s="2"/>
      </tp>
      <tp t="s">
        <v>#N/A Requesting Data...2323315608</v>
        <stp/>
        <stp>BDP|4363176042663708954</stp>
        <tr r="J887" s="2"/>
      </tp>
      <tp t="s">
        <v>#N/A Requesting Data...3288375971</v>
        <stp/>
        <stp>BDP|1751811394353748811</stp>
        <tr r="J2153" s="2"/>
      </tp>
      <tp t="s">
        <v>#N/A Requesting Data...2359347055</v>
        <stp/>
        <stp>BDP|9313316275795440376</stp>
        <tr r="G520" s="2"/>
      </tp>
      <tp t="s">
        <v>#N/A Requesting Data...2849173948</v>
        <stp/>
        <stp>BDP|3220082481289796989</stp>
        <tr r="N1495" s="2"/>
      </tp>
      <tp t="s">
        <v>#N/A Requesting Data...4240463742</v>
        <stp/>
        <stp>BDP|1638416335064049964</stp>
        <tr r="A1247" s="2"/>
      </tp>
      <tp t="s">
        <v>#N/A Requesting Data...2809265206</v>
        <stp/>
        <stp>BDP|2222967817670538125</stp>
        <tr r="G719" s="2"/>
      </tp>
      <tp t="s">
        <v>#N/A Requesting Data...3386049204</v>
        <stp/>
        <stp>BDP|4909141808157355920</stp>
        <tr r="D1507" s="2"/>
      </tp>
      <tp t="s">
        <v>#N/A Requesting Data...3528869983</v>
        <stp/>
        <stp>BDP|5264924422605449025</stp>
        <tr r="H1992" s="2"/>
      </tp>
      <tp t="s">
        <v>#N/A Requesting Data...4073489174</v>
        <stp/>
        <stp>BDP|6488106321598666679</stp>
        <tr r="F22" s="2"/>
      </tp>
      <tp t="s">
        <v>#N/A Requesting Data...2281764363</v>
        <stp/>
        <stp>BDP|2628915642664259030</stp>
        <tr r="R1172" s="2"/>
      </tp>
      <tp t="s">
        <v>#N/A Requesting Data...2455778765</v>
        <stp/>
        <stp>BDP|6917894306303275605</stp>
        <tr r="P70" s="2"/>
      </tp>
      <tp t="s">
        <v>#N/A Requesting Data...2821099424</v>
        <stp/>
        <stp>BDP|1265077706159045370</stp>
        <tr r="N2468" s="2"/>
      </tp>
      <tp t="s">
        <v>#N/A Requesting Data...2240967185</v>
        <stp/>
        <stp>BDP|5316506388017777484</stp>
        <tr r="M1632" s="2"/>
      </tp>
      <tp t="s">
        <v>#N/A Requesting Data...3856815481</v>
        <stp/>
        <stp>BDP|7831356327669817466</stp>
        <tr r="G556" s="2"/>
      </tp>
      <tp t="s">
        <v>#N/A Requesting Data...3379517181</v>
        <stp/>
        <stp>BDP|3725267896040685359</stp>
        <tr r="K906" s="2"/>
      </tp>
      <tp t="b">
        <v>0</v>
        <stp/>
        <stp>BDS|3046654634455229871</stp>
        <tr r="I30" s="2"/>
      </tp>
      <tp t="s">
        <v>#N/A Requesting Data...2717777447</v>
        <stp/>
        <stp>BDP|9384039257394241312</stp>
        <tr r="M1864" s="2"/>
      </tp>
      <tp t="s">
        <v>#N/A Requesting Data...2666379500</v>
        <stp/>
        <stp>BDP|5168563479139380598</stp>
        <tr r="E265" s="2"/>
      </tp>
      <tp t="s">
        <v>#N/A Requesting Data...2318556929</v>
        <stp/>
        <stp>BDP|5042852170738226934</stp>
        <tr r="J1227" s="2"/>
      </tp>
      <tp t="s">
        <v>#N/A Requesting Data...2931263216</v>
        <stp/>
        <stp>BDP|4167917222244446020</stp>
        <tr r="G992" s="2"/>
      </tp>
      <tp t="s">
        <v>#N/A Requesting Data...4003654608</v>
        <stp/>
        <stp>BDP|9534316512204536473</stp>
        <tr r="E1575" s="2"/>
      </tp>
      <tp t="s">
        <v>#N/A Requesting Data...2197854909</v>
        <stp/>
        <stp>BDP|5162541123468747150</stp>
        <tr r="G526" s="2"/>
      </tp>
      <tp t="s">
        <v>#N/A Requesting Data...3414905719</v>
        <stp/>
        <stp>BDP|3417242497792406173</stp>
        <tr r="T2066" s="2"/>
      </tp>
      <tp t="s">
        <v>#N/A Requesting Data...3153365954</v>
        <stp/>
        <stp>BDP|5247326734389964790</stp>
        <tr r="S1365" s="2"/>
      </tp>
      <tp t="s">
        <v>#N/A Requesting Data...4066584715</v>
        <stp/>
        <stp>BDP|8678050145660602746</stp>
        <tr r="R1283" s="2"/>
      </tp>
      <tp t="s">
        <v>#N/A Requesting Data...2858439467</v>
        <stp/>
        <stp>BDP|3923376658539720755</stp>
        <tr r="P459" s="2"/>
      </tp>
      <tp t="s">
        <v>#N/A Requesting Data...3598397378</v>
        <stp/>
        <stp>BDP|1106700209225480893</stp>
        <tr r="G577" s="2"/>
      </tp>
      <tp t="s">
        <v>#N/A Requesting Data...3613619049</v>
        <stp/>
        <stp>BDP|2502555404608086412</stp>
        <tr r="N337" s="2"/>
      </tp>
      <tp t="s">
        <v>#N/A Requesting Data...3306785207</v>
        <stp/>
        <stp>BDP|5176674455898728510</stp>
        <tr r="Q232" s="2"/>
      </tp>
      <tp t="s">
        <v>#N/A Requesting Data...2492925386</v>
        <stp/>
        <stp>BDP|8479076034328526879</stp>
        <tr r="N452" s="2"/>
      </tp>
      <tp t="s">
        <v>#N/A Requesting Data...3081109981</v>
        <stp/>
        <stp>BDP|4525574829819713196</stp>
        <tr r="N1863" s="2"/>
      </tp>
      <tp t="s">
        <v>#N/A Requesting Data...2896308310</v>
        <stp/>
        <stp>BDP|8923156724999835957</stp>
        <tr r="G296" s="2"/>
      </tp>
      <tp t="s">
        <v>#N/A Requesting Data...2814019766</v>
        <stp/>
        <stp>BDP|5705179990030326662</stp>
        <tr r="A253" s="2"/>
      </tp>
      <tp t="s">
        <v>#N/A Requesting Data...3279429362</v>
        <stp/>
        <stp>BDP|3499660657013563857</stp>
        <tr r="K341" s="2"/>
      </tp>
      <tp t="s">
        <v>#N/A Requesting Data...3745740360</v>
        <stp/>
        <stp>BDP|3389072084511360161</stp>
        <tr r="E119" s="2"/>
      </tp>
      <tp t="s">
        <v>#N/A Requesting Data...2402212313</v>
        <stp/>
        <stp>BDP|7454269563701508913</stp>
        <tr r="S805" s="2"/>
      </tp>
      <tp t="s">
        <v>#N/A Requesting Data...3247402647</v>
        <stp/>
        <stp>BDP|9504349318177514792</stp>
        <tr r="Q2424" s="2"/>
      </tp>
      <tp t="b">
        <v>0</v>
        <stp/>
        <stp>BDS|4343036440872464914</stp>
        <tr r="I1944" s="2"/>
      </tp>
      <tp t="s">
        <v>#N/A Requesting Data...2726510661</v>
        <stp/>
        <stp>BDP|2044965906125799522</stp>
        <tr r="A520" s="2"/>
      </tp>
      <tp t="s">
        <v>#N/A Requesting Data...3345812474</v>
        <stp/>
        <stp>BDP|8572381759952771763</stp>
        <tr r="Q310" s="2"/>
      </tp>
      <tp t="s">
        <v>#N/A Requesting Data...2940430991</v>
        <stp/>
        <stp>BDP|6139806147091293017</stp>
        <tr r="C79" s="2"/>
      </tp>
      <tp t="b">
        <v>0</v>
        <stp/>
        <stp>BDS|5222628650088355567</stp>
        <tr r="I249" s="2"/>
      </tp>
      <tp t="s">
        <v>#N/A Requesting Data...2796683954</v>
        <stp/>
        <stp>BDP|7100179082625336026</stp>
        <tr r="H780" s="2"/>
      </tp>
      <tp t="s">
        <v>#N/A Requesting Data...3494026434</v>
        <stp/>
        <stp>BDP|4666834018483951519</stp>
        <tr r="J2279" s="2"/>
      </tp>
      <tp t="s">
        <v>#N/A Requesting Data...3208337001</v>
        <stp/>
        <stp>BDP|9990288974246595150</stp>
        <tr r="R880" s="2"/>
      </tp>
      <tp t="s">
        <v>#N/A Requesting Data...3103994750</v>
        <stp/>
        <stp>BDP|2451566983817140355</stp>
        <tr r="P301" s="2"/>
      </tp>
      <tp t="s">
        <v>#N/A Requesting Data...3701291052</v>
        <stp/>
        <stp>BDP|8214008814594391608</stp>
        <tr r="F692" s="2"/>
      </tp>
      <tp t="s">
        <v>#N/A Requesting Data...2709741079</v>
        <stp/>
        <stp>BDP|1986688019848817554</stp>
        <tr r="P406" s="2"/>
      </tp>
      <tp t="s">
        <v>#N/A Requesting Data...3691026846</v>
        <stp/>
        <stp>BDP|8915574787428455689</stp>
        <tr r="N241" s="2"/>
      </tp>
      <tp t="s">
        <v>#N/A Requesting Data...2739431636</v>
        <stp/>
        <stp>BDP|9937996427598257108</stp>
        <tr r="D2323" s="2"/>
      </tp>
      <tp t="s">
        <v>#N/A Requesting Data...3349241595</v>
        <stp/>
        <stp>BDP|7207649012083901884</stp>
        <tr r="O811" s="2"/>
      </tp>
      <tp t="s">
        <v>#N/A Requesting Data...2333955966</v>
        <stp/>
        <stp>BDP|7358939572125050775</stp>
        <tr r="G760" s="2"/>
      </tp>
      <tp t="s">
        <v>#N/A Requesting Data...3522324322</v>
        <stp/>
        <stp>BDP|1969864439513636259</stp>
        <tr r="H2225" s="2"/>
      </tp>
      <tp t="s">
        <v>#N/A Requesting Data...3060254540</v>
        <stp/>
        <stp>BDP|3397480993277932245</stp>
        <tr r="Q2290" s="2"/>
      </tp>
      <tp t="s">
        <v>#N/A Requesting Data...3177727820</v>
        <stp/>
        <stp>BDP|9130663165232067078</stp>
        <tr r="J62" s="2"/>
      </tp>
      <tp t="s">
        <v>#N/A Requesting Data...3864245386</v>
        <stp/>
        <stp>BDP|4009612555999546543</stp>
        <tr r="D1563" s="2"/>
      </tp>
      <tp t="s">
        <v>#N/A Requesting Data...4270805552</v>
        <stp/>
        <stp>BDP|8166353553093316618</stp>
        <tr r="A361" s="2"/>
      </tp>
      <tp t="s">
        <v>#N/A Requesting Data...2945322585</v>
        <stp/>
        <stp>BDP|8592177880679153361</stp>
        <tr r="O1016" s="2"/>
      </tp>
      <tp t="s">
        <v>#N/A Requesting Data...3105291940</v>
        <stp/>
        <stp>BDP|6526489612108908036</stp>
        <tr r="F978" s="2"/>
      </tp>
      <tp t="s">
        <v>#N/A Requesting Data...3606962135</v>
        <stp/>
        <stp>BDP|2272255683477187401</stp>
        <tr r="R2472" s="2"/>
      </tp>
      <tp t="s">
        <v>#N/A Requesting Data...4173381226</v>
        <stp/>
        <stp>BDP|1288872991572270937</stp>
        <tr r="Q1634" s="2"/>
      </tp>
      <tp t="s">
        <v>#N/A Requesting Data...2595069715</v>
        <stp/>
        <stp>BDP|8851698261094649736</stp>
        <tr r="S1990" s="2"/>
      </tp>
      <tp t="s">
        <v>#N/A Requesting Data...2754118782</v>
        <stp/>
        <stp>BDP|9454585411632808409</stp>
        <tr r="O100" s="2"/>
      </tp>
      <tp t="s">
        <v>#N/A Requesting Data...2391598601</v>
        <stp/>
        <stp>BDP|2470511452721579878</stp>
        <tr r="S1539" s="2"/>
      </tp>
      <tp t="s">
        <v>#N/A Requesting Data...4201521740</v>
        <stp/>
        <stp>BDP|7544297399107648068</stp>
        <tr r="J1504" s="2"/>
      </tp>
      <tp t="s">
        <v>#N/A Requesting Data...2610176323</v>
        <stp/>
        <stp>BDP|1010085313003677882</stp>
        <tr r="G1544" s="2"/>
      </tp>
      <tp t="s">
        <v>#N/A Requesting Data...4293719453</v>
        <stp/>
        <stp>BDP|9030346314954747429</stp>
        <tr r="M2030" s="2"/>
      </tp>
      <tp t="s">
        <v>#N/A Requesting Data...3532501239</v>
        <stp/>
        <stp>BDP|2769024255489351562</stp>
        <tr r="P1071" s="2"/>
      </tp>
      <tp t="s">
        <v>#N/A Requesting Data...3288948614</v>
        <stp/>
        <stp>BDP|7580191798972563647</stp>
        <tr r="A1159" s="2"/>
      </tp>
      <tp t="s">
        <v>#N/A Requesting Data...3704798142</v>
        <stp/>
        <stp>BDP|3365934267936220109</stp>
        <tr r="E2478" s="2"/>
      </tp>
      <tp t="s">
        <v>#N/A Requesting Data...2633403209</v>
        <stp/>
        <stp>BDP|7255834749558833857</stp>
        <tr r="A1832" s="2"/>
      </tp>
      <tp t="s">
        <v>#N/A Requesting Data...3006840089</v>
        <stp/>
        <stp>BDP|5763245997493134604</stp>
        <tr r="H514" s="2"/>
      </tp>
      <tp t="s">
        <v>#N/A Requesting Data...2536425559</v>
        <stp/>
        <stp>BDP|5562911104410652736</stp>
        <tr r="G697" s="2"/>
      </tp>
      <tp t="s">
        <v>#N/A Requesting Data...4166820746</v>
        <stp/>
        <stp>BDP|1868498386916732054</stp>
        <tr r="K1473" s="2"/>
      </tp>
      <tp t="s">
        <v>#N/A Requesting Data...2440187326</v>
        <stp/>
        <stp>BDP|9684234975904264373</stp>
        <tr r="E2069" s="2"/>
      </tp>
      <tp t="s">
        <v>#N/A Requesting Data...2457982518</v>
        <stp/>
        <stp>BDP|9843126955247885128</stp>
        <tr r="M1751" s="2"/>
      </tp>
      <tp t="s">
        <v>#N/A Requesting Data...2678755949</v>
        <stp/>
        <stp>BDP|6311740721339313100</stp>
        <tr r="D1651" s="2"/>
      </tp>
      <tp t="s">
        <v>#N/A Requesting Data...2826477008</v>
        <stp/>
        <stp>BDP|1106623660143136972</stp>
        <tr r="Q2002" s="2"/>
      </tp>
      <tp t="s">
        <v>#N/A Requesting Data...3915791344</v>
        <stp/>
        <stp>BDP|3294835216509294803</stp>
        <tr r="O1571" s="2"/>
      </tp>
      <tp t="s">
        <v>#N/A Requesting Data...2488990778</v>
        <stp/>
        <stp>BDP|6655844111566541233</stp>
        <tr r="D545" s="2"/>
      </tp>
      <tp t="s">
        <v>#N/A Requesting Data...3067011693</v>
        <stp/>
        <stp>BDP|4694863792297333948</stp>
        <tr r="J28" s="2"/>
      </tp>
      <tp t="s">
        <v>#N/A Requesting Data...2507803281</v>
        <stp/>
        <stp>BDP|2472989059661480442</stp>
        <tr r="C2316" s="2"/>
      </tp>
      <tp t="s">
        <v>#N/A Requesting Data...3167200165</v>
        <stp/>
        <stp>BDP|1052494432705801864</stp>
        <tr r="S1716" s="2"/>
      </tp>
      <tp t="s">
        <v>#N/A Requesting Data...3741123845</v>
        <stp/>
        <stp>BDP|9969663661665889739</stp>
        <tr r="F1346" s="2"/>
      </tp>
      <tp t="s">
        <v>#N/A Requesting Data...3510129757</v>
        <stp/>
        <stp>BDP|6651917377840494311</stp>
        <tr r="R1020" s="2"/>
      </tp>
      <tp t="s">
        <v>#N/A Requesting Data...2845021189</v>
        <stp/>
        <stp>BDP|7606031575082328961</stp>
        <tr r="G830" s="2"/>
      </tp>
      <tp t="b">
        <v>0</v>
        <stp/>
        <stp>BDS|3828798763840451936</stp>
        <tr r="I1407" s="2"/>
      </tp>
      <tp t="s">
        <v>#N/A Requesting Data...3545790757</v>
        <stp/>
        <stp>BDP|3506100013581745943</stp>
        <tr r="R497" s="2"/>
      </tp>
      <tp t="s">
        <v>#N/A Requesting Data...3423012697</v>
        <stp/>
        <stp>BDP|8251121479037812240</stp>
        <tr r="H296" s="2"/>
      </tp>
      <tp t="s">
        <v>#N/A Requesting Data...4236932504</v>
        <stp/>
        <stp>BDP|1486573092860005646</stp>
        <tr r="J209" s="2"/>
      </tp>
      <tp t="s">
        <v>#N/A Requesting Data...3735558791</v>
        <stp/>
        <stp>BDP|4292462753656395811</stp>
        <tr r="A1599" s="2"/>
      </tp>
      <tp t="s">
        <v>#N/A Requesting Data...2510118983</v>
        <stp/>
        <stp>BDP|5453410432768204107</stp>
        <tr r="N718" s="2"/>
      </tp>
      <tp t="s">
        <v>#N/A Requesting Data...3339979249</v>
        <stp/>
        <stp>BDP|7752244303289557703</stp>
        <tr r="Q1734" s="2"/>
      </tp>
      <tp t="s">
        <v>#N/A Requesting Data...3598305526</v>
        <stp/>
        <stp>BDP|1982902508587396473</stp>
        <tr r="O228" s="2"/>
      </tp>
      <tp t="s">
        <v>#N/A Requesting Data...3399972891</v>
        <stp/>
        <stp>BDP|9041177977727363367</stp>
        <tr r="A668" s="2"/>
      </tp>
      <tp t="s">
        <v>#N/A Requesting Data...4035735562</v>
        <stp/>
        <stp>BDP|4728810352572076015</stp>
        <tr r="E92" s="2"/>
      </tp>
      <tp t="s">
        <v>#N/A Requesting Data...3949156719</v>
        <stp/>
        <stp>BDP|9518188626532789390</stp>
        <tr r="D65" s="2"/>
      </tp>
      <tp t="s">
        <v>#N/A Requesting Data...2949204408</v>
        <stp/>
        <stp>BDP|2332978395911016847</stp>
        <tr r="G1966" s="2"/>
      </tp>
      <tp t="s">
        <v>#N/A Requesting Data...4253921328</v>
        <stp/>
        <stp>BDP|6924780733610104960</stp>
        <tr r="M752" s="2"/>
      </tp>
      <tp t="s">
        <v>#N/A Requesting Data...3887905953</v>
        <stp/>
        <stp>BDP|5741168901289330669</stp>
        <tr r="N2495" s="2"/>
      </tp>
      <tp t="s">
        <v>#N/A Requesting Data...2507525762</v>
        <stp/>
        <stp>BDP|8508793067470672284</stp>
        <tr r="O1902" s="2"/>
      </tp>
      <tp t="s">
        <v>#N/A Requesting Data...3824356334</v>
        <stp/>
        <stp>BDP|8202947391676433565</stp>
        <tr r="M1324" s="2"/>
      </tp>
      <tp t="s">
        <v>#N/A Requesting Data...2985669062</v>
        <stp/>
        <stp>BDP|4876685697709476965</stp>
        <tr r="E2136" s="2"/>
      </tp>
      <tp t="s">
        <v>#N/A Requesting Data...4052480786</v>
        <stp/>
        <stp>BDP|3744874564705756365</stp>
        <tr r="G543" s="2"/>
      </tp>
      <tp t="s">
        <v>#N/A Requesting Data...2826007555</v>
        <stp/>
        <stp>BDP|3383000397866354722</stp>
        <tr r="C2053" s="2"/>
      </tp>
      <tp t="s">
        <v>#N/A Requesting Data...4267722824</v>
        <stp/>
        <stp>BDP|4404435733190866895</stp>
        <tr r="E385" s="2"/>
      </tp>
      <tp t="s">
        <v>#N/A Requesting Data...3393049075</v>
        <stp/>
        <stp>BDP|9837823103783537993</stp>
        <tr r="P1020" s="2"/>
      </tp>
      <tp t="s">
        <v>#N/A Requesting Data...3929080636</v>
        <stp/>
        <stp>BDP|7548741967235215810</stp>
        <tr r="R1087" s="2"/>
      </tp>
      <tp t="s">
        <v>#N/A Requesting Data...3956508081</v>
        <stp/>
        <stp>BDP|9365002256256435143</stp>
        <tr r="H579" s="2"/>
      </tp>
      <tp t="s">
        <v>#N/A Requesting Data...3838705890</v>
        <stp/>
        <stp>BDP|5849848998457075819</stp>
        <tr r="S2233" s="2"/>
      </tp>
      <tp t="s">
        <v>#N/A Requesting Data...3485934408</v>
        <stp/>
        <stp>BDP|1806663681313300796</stp>
        <tr r="E2359" s="2"/>
      </tp>
      <tp t="s">
        <v>#N/A Requesting Data...2765678619</v>
        <stp/>
        <stp>BDP|9624446479759944871</stp>
        <tr r="K160" s="2"/>
      </tp>
      <tp t="s">
        <v>#N/A Requesting Data...3542220816</v>
        <stp/>
        <stp>BDP|6378223670550529815</stp>
        <tr r="M655" s="2"/>
      </tp>
      <tp t="s">
        <v>#N/A Requesting Data...2709064167</v>
        <stp/>
        <stp>BDP|7413309252883767940</stp>
        <tr r="O1950" s="2"/>
      </tp>
      <tp t="s">
        <v>#N/A Requesting Data...3480850474</v>
        <stp/>
        <stp>BDP|6445156421588043655</stp>
        <tr r="G2157" s="2"/>
      </tp>
      <tp t="s">
        <v>#N/A Requesting Data...3414790668</v>
        <stp/>
        <stp>BDP|4616522059745080575</stp>
        <tr r="T2043" s="2"/>
      </tp>
      <tp t="s">
        <v>#N/A Requesting Data...3525344566</v>
        <stp/>
        <stp>BDP|5685643112352823423</stp>
        <tr r="S13" s="2"/>
      </tp>
      <tp t="s">
        <v>#N/A Requesting Data...3709878563</v>
        <stp/>
        <stp>BDP|6287571755637931535</stp>
        <tr r="D834" s="2"/>
      </tp>
      <tp t="s">
        <v>#N/A Requesting Data...3194216280</v>
        <stp/>
        <stp>BDP|6794854754398508797</stp>
        <tr r="T966" s="2"/>
      </tp>
      <tp t="s">
        <v>#N/A Requesting Data...3788702254</v>
        <stp/>
        <stp>BDP|4120909694661803174</stp>
        <tr r="J1750" s="2"/>
      </tp>
      <tp t="s">
        <v>#N/A Requesting Data...4263313527</v>
        <stp/>
        <stp>BDP|8231250631648450589</stp>
        <tr r="Q825" s="2"/>
      </tp>
      <tp t="b">
        <v>0</v>
        <stp/>
        <stp>BDS|2836169871781275170</stp>
        <tr r="I167" s="2"/>
      </tp>
      <tp t="b">
        <v>0</v>
        <stp/>
        <stp>BDS|9239482787938367944</stp>
        <tr r="I2110" s="2"/>
      </tp>
      <tp t="s">
        <v>#N/A Requesting Data...3351253325</v>
        <stp/>
        <stp>BDP|7937068257990728658</stp>
        <tr r="H1255" s="2"/>
      </tp>
      <tp t="s">
        <v>#N/A Requesting Data...2544459501</v>
        <stp/>
        <stp>BDP|7587162550297996009</stp>
        <tr r="M1258" s="2"/>
      </tp>
      <tp t="s">
        <v>#N/A Requesting Data...4178741558</v>
        <stp/>
        <stp>BDP|3119225246875917465</stp>
        <tr r="F2313" s="2"/>
      </tp>
      <tp t="s">
        <v>#N/A Requesting Data...3433825871</v>
        <stp/>
        <stp>BDP|7127572608437599115</stp>
        <tr r="D2091" s="2"/>
      </tp>
      <tp t="s">
        <v>#N/A Requesting Data...2846244939</v>
        <stp/>
        <stp>BDP|2350415626433860369</stp>
        <tr r="J298" s="2"/>
      </tp>
      <tp t="s">
        <v>#N/A Requesting Data...2583194058</v>
        <stp/>
        <stp>BDP|1730494708482899341</stp>
        <tr r="M2458" s="2"/>
      </tp>
      <tp t="s">
        <v>#N/A Requesting Data...3358121221</v>
        <stp/>
        <stp>BDP|7612882492923463127</stp>
        <tr r="S2504" s="2"/>
      </tp>
      <tp t="s">
        <v>#N/A Requesting Data...3860164682</v>
        <stp/>
        <stp>BDP|5942278775623155704</stp>
        <tr r="A976" s="2"/>
      </tp>
      <tp t="s">
        <v>#N/A Requesting Data...2679041235</v>
        <stp/>
        <stp>BDP|7010779465456974411</stp>
        <tr r="T1456" s="2"/>
      </tp>
      <tp t="s">
        <v>#N/A Requesting Data...3158422329</v>
        <stp/>
        <stp>BDP|5524568109346472244</stp>
        <tr r="O156" s="2"/>
      </tp>
      <tp t="s">
        <v>#N/A Requesting Data...3256789646</v>
        <stp/>
        <stp>BDP|4577411910631733499</stp>
        <tr r="J1528" s="2"/>
      </tp>
      <tp t="s">
        <v>#N/A Requesting Data...3299741230</v>
        <stp/>
        <stp>BDP|3970677144525186010</stp>
        <tr r="D1515" s="2"/>
      </tp>
      <tp t="s">
        <v>#N/A Requesting Data...3254604236</v>
        <stp/>
        <stp>BDP|3933073012204772218</stp>
        <tr r="C30" s="2"/>
      </tp>
      <tp t="s">
        <v>#N/A Requesting Data...2868456290</v>
        <stp/>
        <stp>BDP|7480112485452310892</stp>
        <tr r="D1680" s="2"/>
      </tp>
      <tp t="s">
        <v>#N/A Requesting Data...3536731797</v>
        <stp/>
        <stp>BDP|1804119453021951091</stp>
        <tr r="K538" s="2"/>
      </tp>
      <tp t="s">
        <v>#N/A Requesting Data...3440197596</v>
        <stp/>
        <stp>BDP|2864115077500798032</stp>
        <tr r="K1585" s="2"/>
      </tp>
      <tp t="b">
        <v>0</v>
        <stp/>
        <stp>BDS|5877704307754438219</stp>
        <tr r="I2213" s="2"/>
      </tp>
      <tp t="s">
        <v>#N/A Requesting Data...4291081354</v>
        <stp/>
        <stp>BDP|4476473160552894014</stp>
        <tr r="F228" s="2"/>
      </tp>
      <tp t="s">
        <v>#N/A Requesting Data...4044754613</v>
        <stp/>
        <stp>BDP|6388260345885283184</stp>
        <tr r="P2001" s="2"/>
      </tp>
      <tp t="s">
        <v>#N/A Requesting Data...2780670400</v>
        <stp/>
        <stp>BDP|7334031315376898474</stp>
        <tr r="M1069" s="2"/>
      </tp>
      <tp t="s">
        <v>#N/A Requesting Data...2957796590</v>
        <stp/>
        <stp>BDP|5360665937814801007</stp>
        <tr r="F483" s="2"/>
      </tp>
      <tp t="s">
        <v>#N/A Requesting Data...3625440198</v>
        <stp/>
        <stp>BDP|8322579133719575384</stp>
        <tr r="S1702" s="2"/>
      </tp>
      <tp t="s">
        <v>#N/A Requesting Data...2923789596</v>
        <stp/>
        <stp>BDP|5162150333972947144</stp>
        <tr r="F474" s="2"/>
      </tp>
      <tp t="s">
        <v>#N/A Requesting Data...4092171161</v>
        <stp/>
        <stp>BDP|3193582284653346946</stp>
        <tr r="S254" s="2"/>
      </tp>
      <tp t="s">
        <v>#N/A Requesting Data...2857409845</v>
        <stp/>
        <stp>BDP|2224416665912429680</stp>
        <tr r="P2196" s="2"/>
      </tp>
      <tp t="s">
        <v>#N/A Requesting Data...3429925162</v>
        <stp/>
        <stp>BDP|4481693159413875066</stp>
        <tr r="P1045" s="2"/>
      </tp>
      <tp t="s">
        <v>#N/A Requesting Data...3379821154</v>
        <stp/>
        <stp>BDP|5486612812290872651</stp>
        <tr r="J1465" s="2"/>
      </tp>
      <tp t="s">
        <v>#N/A Requesting Data...2865921292</v>
        <stp/>
        <stp>BDP|8634180482843633606</stp>
        <tr r="S2023" s="2"/>
      </tp>
      <tp t="s">
        <v>#N/A Requesting Data...4173082411</v>
        <stp/>
        <stp>BDP|3096835697250644684</stp>
        <tr r="R1849" s="2"/>
      </tp>
      <tp t="s">
        <v>#N/A Requesting Data...3493523744</v>
        <stp/>
        <stp>BDP|8797808633002882567</stp>
        <tr r="R1639" s="2"/>
      </tp>
      <tp t="s">
        <v>#N/A Requesting Data...3856692209</v>
        <stp/>
        <stp>BDP|4011395464880642516</stp>
        <tr r="J2150" s="2"/>
      </tp>
      <tp t="s">
        <v>#N/A Requesting Data...4014250041</v>
        <stp/>
        <stp>BDP|5898626041213856096</stp>
        <tr r="N768" s="2"/>
      </tp>
      <tp t="s">
        <v>#N/A Requesting Data...3718833101</v>
        <stp/>
        <stp>BDP|8730707540999905643</stp>
        <tr r="E709" s="2"/>
      </tp>
      <tp t="s">
        <v>#N/A Requesting Data...4081957531</v>
        <stp/>
        <stp>BDP|4697149114943429385</stp>
        <tr r="Q41" s="2"/>
      </tp>
      <tp t="s">
        <v>#N/A Requesting Data...3086026599</v>
        <stp/>
        <stp>BDP|5739155968065630364</stp>
        <tr r="G260" s="2"/>
      </tp>
      <tp t="s">
        <v>#N/A Requesting Data...2848647162</v>
        <stp/>
        <stp>BDP|2282110041132806108</stp>
        <tr r="C1808" s="2"/>
      </tp>
      <tp t="s">
        <v>#N/A Requesting Data...4065183433</v>
        <stp/>
        <stp>BDP|1974978792543785613</stp>
        <tr r="Q425" s="2"/>
      </tp>
      <tp t="s">
        <v>#N/A Requesting Data...3239209007</v>
        <stp/>
        <stp>BDP|7456021369231604437</stp>
        <tr r="A2249" s="2"/>
      </tp>
      <tp t="s">
        <v>#N/A Requesting Data...3842624557</v>
        <stp/>
        <stp>BDP|3147287447288535913</stp>
        <tr r="F384" s="2"/>
      </tp>
      <tp t="b">
        <v>0</v>
        <stp/>
        <stp>BDS|7182881797090434208</stp>
        <tr r="I777" s="2"/>
      </tp>
      <tp t="s">
        <v>#N/A Requesting Data...4271521258</v>
        <stp/>
        <stp>BDP|7013607207310844551</stp>
        <tr r="Q1188" s="2"/>
      </tp>
      <tp t="s">
        <v>#N/A Requesting Data...4207987447</v>
        <stp/>
        <stp>BDP|6636549543916375584</stp>
        <tr r="F2500" s="2"/>
      </tp>
      <tp t="s">
        <v>#N/A Requesting Data...3013862946</v>
        <stp/>
        <stp>BDP|4938827563959148739</stp>
        <tr r="O2286" s="2"/>
      </tp>
      <tp t="s">
        <v>#N/A Requesting Data...3763550344</v>
        <stp/>
        <stp>BDP|6978093335500908161</stp>
        <tr r="P925" s="2"/>
      </tp>
      <tp t="s">
        <v>#N/A Requesting Data...2926744694</v>
        <stp/>
        <stp>BDP|5174696443542659171</stp>
        <tr r="J771" s="2"/>
      </tp>
      <tp t="s">
        <v>#N/A Requesting Data...3361803458</v>
        <stp/>
        <stp>BDP|6832154381558665307</stp>
        <tr r="M1212" s="2"/>
      </tp>
      <tp t="s">
        <v>#N/A Requesting Data...3766399515</v>
        <stp/>
        <stp>BDP|6494990707852235921</stp>
        <tr r="F1892" s="2"/>
      </tp>
      <tp t="s">
        <v>#N/A Requesting Data...3711069828</v>
        <stp/>
        <stp>BDP|4395260742086425098</stp>
        <tr r="C526" s="2"/>
      </tp>
      <tp t="s">
        <v>#N/A Requesting Data...2800813331</v>
        <stp/>
        <stp>BDP|4851648929510626499</stp>
        <tr r="K387" s="2"/>
      </tp>
      <tp t="s">
        <v>#N/A Requesting Data...4076518421</v>
        <stp/>
        <stp>BDP|6898328851080071415</stp>
        <tr r="A809" s="2"/>
      </tp>
      <tp t="s">
        <v>#N/A Requesting Data...3431255402</v>
        <stp/>
        <stp>BDP|6115898224798144079</stp>
        <tr r="M747" s="2"/>
      </tp>
      <tp t="s">
        <v>#N/A Requesting Data...3226612834</v>
        <stp/>
        <stp>BDP|2833189279950722043</stp>
        <tr r="P1613" s="2"/>
      </tp>
      <tp t="s">
        <v>#N/A Requesting Data...2925096520</v>
        <stp/>
        <stp>BDP|7750173837221849052</stp>
        <tr r="G326" s="2"/>
      </tp>
      <tp t="s">
        <v>#N/A Requesting Data...3632361381</v>
        <stp/>
        <stp>BDP|1424799679524689184</stp>
        <tr r="E331" s="2"/>
      </tp>
      <tp t="s">
        <v>#N/A Requesting Data...3021753129</v>
        <stp/>
        <stp>BDP|3080181278222389391</stp>
        <tr r="E1984" s="2"/>
      </tp>
      <tp t="s">
        <v>#N/A Requesting Data...3895259370</v>
        <stp/>
        <stp>BDP|2842588447445492294</stp>
        <tr r="F1843" s="2"/>
      </tp>
      <tp t="s">
        <v>#N/A Requesting Data...3424583870</v>
        <stp/>
        <stp>BDP|4633185638276560497</stp>
        <tr r="R960" s="2"/>
      </tp>
      <tp t="s">
        <v>#N/A Requesting Data...4187230511</v>
        <stp/>
        <stp>BDP|7022061188522712932</stp>
        <tr r="J444" s="2"/>
      </tp>
      <tp t="s">
        <v>#N/A Requesting Data...2903860380</v>
        <stp/>
        <stp>BDP|7210786815145202073</stp>
        <tr r="J169" s="2"/>
      </tp>
      <tp t="s">
        <v>#N/A Requesting Data...3953282429</v>
        <stp/>
        <stp>BDP|4574969097933978375</stp>
        <tr r="K1010" s="2"/>
      </tp>
      <tp t="s">
        <v>#N/A Requesting Data...3562359840</v>
        <stp/>
        <stp>BDP|2111963401117831844</stp>
        <tr r="R2287" s="2"/>
      </tp>
      <tp t="s">
        <v>#N/A Requesting Data...3520335212</v>
        <stp/>
        <stp>BDP|1154091536851602728</stp>
        <tr r="A2418" s="2"/>
      </tp>
      <tp t="s">
        <v>#N/A Requesting Data...3133429942</v>
        <stp/>
        <stp>BDP|3041004061258976921</stp>
        <tr r="M712" s="2"/>
      </tp>
      <tp t="s">
        <v>#N/A Requesting Data...4137834896</v>
        <stp/>
        <stp>BDP|6132146540900914769</stp>
        <tr r="N1303" s="2"/>
      </tp>
      <tp t="s">
        <v>#N/A Requesting Data...3302867629</v>
        <stp/>
        <stp>BDP|7845110610762436174</stp>
        <tr r="E1268" s="2"/>
      </tp>
      <tp t="s">
        <v>#N/A Requesting Data...3557459198</v>
        <stp/>
        <stp>BDP|9507924521601841742</stp>
        <tr r="R908" s="2"/>
      </tp>
      <tp t="s">
        <v>#N/A Requesting Data...3350010583</v>
        <stp/>
        <stp>BDP|1446182944306732652</stp>
        <tr r="O1477" s="2"/>
      </tp>
      <tp t="s">
        <v>#N/A Requesting Data...3026004168</v>
        <stp/>
        <stp>BDP|5216019139900419244</stp>
        <tr r="Q854" s="2"/>
      </tp>
      <tp t="s">
        <v>#N/A Requesting Data...2876726508</v>
        <stp/>
        <stp>BDP|8971091739418023737</stp>
        <tr r="P154" s="2"/>
      </tp>
      <tp t="s">
        <v>#N/A Requesting Data...3443865285</v>
        <stp/>
        <stp>BDP|3442571143631305794</stp>
        <tr r="T1108" s="2"/>
      </tp>
      <tp t="s">
        <v>#N/A Requesting Data...3390810861</v>
        <stp/>
        <stp>BDP|3748207058674656437</stp>
        <tr r="T40" s="2"/>
      </tp>
      <tp t="s">
        <v>#N/A Requesting Data...4106289441</v>
        <stp/>
        <stp>BDP|3183015824430662588</stp>
        <tr r="F1096" s="2"/>
      </tp>
      <tp t="s">
        <v>#N/A Requesting Data...2724184884</v>
        <stp/>
        <stp>BDP|6567404145450388299</stp>
        <tr r="A79" s="2"/>
      </tp>
      <tp t="s">
        <v>#N/A Requesting Data...2955255308</v>
        <stp/>
        <stp>BDP|8691666159487653859</stp>
        <tr r="N405" s="2"/>
      </tp>
      <tp t="s">
        <v>#N/A Requesting Data...2909315999</v>
        <stp/>
        <stp>BDP|1587979248531342936</stp>
        <tr r="M857" s="2"/>
      </tp>
      <tp t="s">
        <v>#N/A Requesting Data...2937871461</v>
        <stp/>
        <stp>BDP|9869056961962482927</stp>
        <tr r="A321" s="2"/>
      </tp>
      <tp t="s">
        <v>#N/A Requesting Data...3637642171</v>
        <stp/>
        <stp>BDP|9376764732550812951</stp>
        <tr r="T2305" s="2"/>
      </tp>
      <tp t="s">
        <v>#N/A Requesting Data...3149559965</v>
        <stp/>
        <stp>BDP|1538307072082941346</stp>
        <tr r="J404" s="2"/>
      </tp>
      <tp t="s">
        <v>#N/A Requesting Data...2971080484</v>
        <stp/>
        <stp>BDP|5080513626250870658</stp>
        <tr r="H525" s="2"/>
      </tp>
      <tp t="s">
        <v>#N/A Requesting Data...3286315026</v>
        <stp/>
        <stp>BDP|3711642498180462852</stp>
        <tr r="H592" s="2"/>
      </tp>
      <tp t="s">
        <v>#N/A Requesting Data...2767133515</v>
        <stp/>
        <stp>BDP|3345253030892895440</stp>
        <tr r="M1818" s="2"/>
      </tp>
      <tp t="s">
        <v>#N/A Requesting Data...3483548313</v>
        <stp/>
        <stp>BDP|2038192343643464047</stp>
        <tr r="Q2510" s="2"/>
      </tp>
      <tp t="s">
        <v>#N/A Requesting Data...2947557909</v>
        <stp/>
        <stp>BDP|8394825475667747487</stp>
        <tr r="M1919" s="2"/>
      </tp>
      <tp t="s">
        <v>#N/A Requesting Data...2929936795</v>
        <stp/>
        <stp>BDP|3451326198934040957</stp>
        <tr r="G1790" s="2"/>
      </tp>
      <tp t="s">
        <v>#N/A Requesting Data...4286729202</v>
        <stp/>
        <stp>BDP|9859513420483596972</stp>
        <tr r="M1454" s="2"/>
      </tp>
      <tp t="s">
        <v>#N/A Requesting Data...3791293445</v>
        <stp/>
        <stp>BDP|2939098317661850641</stp>
        <tr r="N118" s="2"/>
      </tp>
      <tp t="s">
        <v>#N/A Requesting Data...2825837104</v>
        <stp/>
        <stp>BDP|5581848841855911820</stp>
        <tr r="D1836" s="2"/>
      </tp>
      <tp t="s">
        <v>#N/A Requesting Data...3700827495</v>
        <stp/>
        <stp>BDP|5864313295909568223</stp>
        <tr r="T2399" s="2"/>
      </tp>
      <tp t="b">
        <v>0</v>
        <stp/>
        <stp>BDS|5963729702137249100</stp>
        <tr r="I1169" s="2"/>
      </tp>
      <tp t="b">
        <v>0</v>
        <stp/>
        <stp>BDS|7879676234166534059</stp>
        <tr r="I764" s="2"/>
      </tp>
      <tp t="s">
        <v>#N/A Requesting Data...3407514077</v>
        <stp/>
        <stp>BDP|7363530375795702498</stp>
        <tr r="T946" s="2"/>
      </tp>
      <tp t="s">
        <v>#N/A Requesting Data...2810991265</v>
        <stp/>
        <stp>BDP|9749899771302751033</stp>
        <tr r="D779" s="2"/>
      </tp>
      <tp t="s">
        <v>#N/A Requesting Data...4044707180</v>
        <stp/>
        <stp>BDP|4908575901913759631</stp>
        <tr r="H2192" s="2"/>
      </tp>
      <tp t="s">
        <v>#N/A Requesting Data...3431972020</v>
        <stp/>
        <stp>BDP|9159928011142020795</stp>
        <tr r="J2302" s="2"/>
      </tp>
      <tp t="s">
        <v>#N/A Requesting Data...3448551999</v>
        <stp/>
        <stp>BDP|3376127180158855629</stp>
        <tr r="R1868" s="2"/>
      </tp>
      <tp t="s">
        <v>#N/A Requesting Data...4143544408</v>
        <stp/>
        <stp>BDP|2896685748334163024</stp>
        <tr r="N845" s="2"/>
      </tp>
      <tp t="s">
        <v>#N/A Requesting Data...3355294845</v>
        <stp/>
        <stp>BDP|5419201877801060583</stp>
        <tr r="J535" s="2"/>
      </tp>
      <tp t="s">
        <v>#N/A Requesting Data...4288210070</v>
        <stp/>
        <stp>BDP|7798773758908661958</stp>
        <tr r="R1869" s="2"/>
      </tp>
      <tp t="s">
        <v>#N/A Requesting Data...2982308334</v>
        <stp/>
        <stp>BDP|9995834255272159257</stp>
        <tr r="P1848" s="2"/>
      </tp>
      <tp t="s">
        <v>#N/A Requesting Data...3371670061</v>
        <stp/>
        <stp>BDP|1991425833396474474</stp>
        <tr r="M580" s="2"/>
      </tp>
      <tp t="s">
        <v>#N/A Requesting Data...3204522404</v>
        <stp/>
        <stp>BDP|6697557077188679894</stp>
        <tr r="J655" s="2"/>
      </tp>
      <tp t="s">
        <v>#N/A Requesting Data...3646435064</v>
        <stp/>
        <stp>BDP|8251945059643033349</stp>
        <tr r="T1158" s="2"/>
      </tp>
      <tp t="s">
        <v>#N/A Requesting Data...3618454977</v>
        <stp/>
        <stp>BDP|9822940336887955083</stp>
        <tr r="F2514" s="2"/>
      </tp>
      <tp t="s">
        <v>#N/A Requesting Data...4088383422</v>
        <stp/>
        <stp>BDP|8136156833808937652</stp>
        <tr r="C1445" s="2"/>
      </tp>
      <tp t="s">
        <v>#N/A Requesting Data...3823664349</v>
        <stp/>
        <stp>BDP|4625276067974575085</stp>
        <tr r="F1709" s="2"/>
      </tp>
      <tp t="s">
        <v>#N/A Requesting Data...4140322167</v>
        <stp/>
        <stp>BDP|7576418251056841464</stp>
        <tr r="H1883" s="2"/>
      </tp>
      <tp t="s">
        <v>#N/A Requesting Data...3754184322</v>
        <stp/>
        <stp>BDP|9251932653031894011</stp>
        <tr r="G511" s="2"/>
      </tp>
      <tp t="s">
        <v>#N/A Requesting Data...3229089556</v>
        <stp/>
        <stp>BDP|5315368424176837624</stp>
        <tr r="M654" s="2"/>
      </tp>
      <tp t="s">
        <v>#N/A Requesting Data...3966631422</v>
        <stp/>
        <stp>BDP|4111373300321962248</stp>
        <tr r="K1701" s="2"/>
      </tp>
      <tp t="s">
        <v>#N/A Requesting Data...2965628751</v>
        <stp/>
        <stp>BDP|7303825126059589092</stp>
        <tr r="G2192" s="2"/>
      </tp>
      <tp t="s">
        <v>#N/A Requesting Data...3978075351</v>
        <stp/>
        <stp>BDP|2883237240132032203</stp>
        <tr r="D2042" s="2"/>
      </tp>
      <tp t="s">
        <v>#N/A Requesting Data...3934696706</v>
        <stp/>
        <stp>BDP|3348555372300858579</stp>
        <tr r="R2240" s="2"/>
      </tp>
      <tp t="s">
        <v>#N/A Requesting Data...4113235766</v>
        <stp/>
        <stp>BDP|3168662362500787797</stp>
        <tr r="C456" s="2"/>
      </tp>
      <tp t="s">
        <v>#N/A Requesting Data...4237525616</v>
        <stp/>
        <stp>BDP|8263899743938598861</stp>
        <tr r="Q1055" s="2"/>
      </tp>
      <tp t="s">
        <v>#N/A Requesting Data...3648464518</v>
        <stp/>
        <stp>BDP|7853605944168672917</stp>
        <tr r="A549" s="2"/>
      </tp>
      <tp t="s">
        <v>#N/A Requesting Data...3194047659</v>
        <stp/>
        <stp>BDP|4600612952070746397</stp>
        <tr r="N2146" s="2"/>
      </tp>
      <tp t="s">
        <v>#N/A Requesting Data...3355956487</v>
        <stp/>
        <stp>BDP|1121687178546391299</stp>
        <tr r="K907" s="2"/>
      </tp>
      <tp t="s">
        <v>#N/A Requesting Data...3547875635</v>
        <stp/>
        <stp>BDP|5868981796311538087</stp>
        <tr r="S525" s="2"/>
      </tp>
      <tp t="s">
        <v>#N/A Requesting Data...3875367138</v>
        <stp/>
        <stp>BDP|1337838210655940929</stp>
        <tr r="Q1477" s="2"/>
      </tp>
      <tp t="s">
        <v>#N/A Requesting Data...3730544048</v>
        <stp/>
        <stp>BDP|9049345972540516985</stp>
        <tr r="Q575" s="2"/>
      </tp>
      <tp t="s">
        <v>#N/A Requesting Data...3346539743</v>
        <stp/>
        <stp>BDP|5029556539224643312</stp>
        <tr r="P679" s="2"/>
      </tp>
      <tp t="s">
        <v>#N/A Requesting Data...3179466526</v>
        <stp/>
        <stp>BDP|4768712672642612293</stp>
        <tr r="Q2068" s="2"/>
      </tp>
      <tp t="s">
        <v>#N/A Requesting Data...3127695997</v>
        <stp/>
        <stp>BDP|2869640635517217402</stp>
        <tr r="H2217" s="2"/>
      </tp>
      <tp t="s">
        <v>#N/A Requesting Data...3553813834</v>
        <stp/>
        <stp>BDP|7668747226052786489</stp>
        <tr r="E780" s="2"/>
      </tp>
      <tp t="s">
        <v>#N/A Requesting Data...3185874817</v>
        <stp/>
        <stp>BDP|1704704026177239786</stp>
        <tr r="E1544" s="2"/>
      </tp>
      <tp t="s">
        <v>#N/A Requesting Data...4259824551</v>
        <stp/>
        <stp>BDP|2369773632320946242</stp>
        <tr r="Q1275" s="2"/>
      </tp>
      <tp t="s">
        <v>#N/A Requesting Data...4178989830</v>
        <stp/>
        <stp>BDP|3016211101501862430</stp>
        <tr r="M1326" s="2"/>
      </tp>
      <tp t="s">
        <v>#N/A Requesting Data...3751412398</v>
        <stp/>
        <stp>BDP|5165952175908385796</stp>
        <tr r="O916" s="2"/>
      </tp>
      <tp t="s">
        <v>#N/A Requesting Data...3454344697</v>
        <stp/>
        <stp>BDP|1566138687708832429</stp>
        <tr r="S38" s="2"/>
      </tp>
      <tp t="s">
        <v>#N/A Requesting Data...3697084834</v>
        <stp/>
        <stp>BDP|2371497262294773046</stp>
        <tr r="Q1527" s="2"/>
      </tp>
      <tp t="s">
        <v>#N/A Requesting Data...4260967389</v>
        <stp/>
        <stp>BDP|2667475320550818024</stp>
        <tr r="O855" s="2"/>
      </tp>
      <tp t="s">
        <v>#N/A Requesting Data...3678892048</v>
        <stp/>
        <stp>BDP|7568427315717833116</stp>
        <tr r="Q2234" s="2"/>
      </tp>
      <tp t="s">
        <v>#N/A Requesting Data...3592256227</v>
        <stp/>
        <stp>BDP|1853012928684338391</stp>
        <tr r="F2065" s="2"/>
      </tp>
      <tp t="s">
        <v>#N/A Requesting Data...2991585934</v>
        <stp/>
        <stp>BDP|7731817432630981868</stp>
        <tr r="F1719" s="2"/>
      </tp>
      <tp t="s">
        <v>#N/A Requesting Data...3787580790</v>
        <stp/>
        <stp>BDP|2944730535437232561</stp>
        <tr r="D1333" s="2"/>
      </tp>
      <tp t="s">
        <v>#N/A Requesting Data...3122211224</v>
        <stp/>
        <stp>BDP|2522200029080010671</stp>
        <tr r="K1359" s="2"/>
      </tp>
      <tp t="s">
        <v>#N/A Requesting Data...3016245692</v>
        <stp/>
        <stp>BDP|2736092594147412854</stp>
        <tr r="S1253" s="2"/>
      </tp>
      <tp t="s">
        <v>#N/A Requesting Data...3802592255</v>
        <stp/>
        <stp>BDP|5506670482649863635</stp>
        <tr r="H1104" s="2"/>
      </tp>
      <tp t="s">
        <v>#N/A Requesting Data...3583820375</v>
        <stp/>
        <stp>BDP|1072387575599178877</stp>
        <tr r="H2412" s="2"/>
      </tp>
      <tp t="s">
        <v>#N/A Requesting Data...4172651757</v>
        <stp/>
        <stp>BDP|5923028930891515356</stp>
        <tr r="T646" s="2"/>
      </tp>
      <tp t="s">
        <v>#N/A Requesting Data...3688236068</v>
        <stp/>
        <stp>BDP|2161973355209955317</stp>
        <tr r="Q1094" s="2"/>
      </tp>
      <tp t="s">
        <v>#N/A Requesting Data...3426415724</v>
        <stp/>
        <stp>BDP|5656567708607161327</stp>
        <tr r="F1611" s="2"/>
      </tp>
      <tp t="s">
        <v>#N/A Requesting Data...4151283863</v>
        <stp/>
        <stp>BDP|4999192214963901367</stp>
        <tr r="Q668" s="2"/>
      </tp>
      <tp t="s">
        <v>#N/A Requesting Data...3106654020</v>
        <stp/>
        <stp>BDP|4379585077935487736</stp>
        <tr r="R2519" s="2"/>
      </tp>
      <tp t="s">
        <v>#N/A Requesting Data...4013659172</v>
        <stp/>
        <stp>BDP|9357520891011351085</stp>
        <tr r="Q62" s="2"/>
      </tp>
      <tp t="s">
        <v>#N/A Requesting Data...3317505210</v>
        <stp/>
        <stp>BDP|3723974880063315582</stp>
        <tr r="D1900" s="2"/>
      </tp>
      <tp t="s">
        <v>#N/A Requesting Data...4105647036</v>
        <stp/>
        <stp>BDP|8101089962939110314</stp>
        <tr r="G2506" s="2"/>
      </tp>
      <tp t="b">
        <v>0</v>
        <stp/>
        <stp>BDS|7857238775951471714</stp>
        <tr r="I1967" s="2"/>
      </tp>
      <tp t="s">
        <v>#N/A Requesting Data...3979656931</v>
        <stp/>
        <stp>BDP|3547552295009620280</stp>
        <tr r="F1050" s="2"/>
      </tp>
      <tp t="s">
        <v>#N/A Requesting Data...3958979561</v>
        <stp/>
        <stp>BDP|5815107236924620739</stp>
        <tr r="K808" s="2"/>
      </tp>
      <tp t="s">
        <v>#N/A Requesting Data...3749566187</v>
        <stp/>
        <stp>BDP|4231747367049337893</stp>
        <tr r="H9" s="2"/>
      </tp>
      <tp t="s">
        <v>#N/A Requesting Data...3538412683</v>
        <stp/>
        <stp>BDP|6363260352724420187</stp>
        <tr r="G1641" s="2"/>
      </tp>
      <tp t="s">
        <v>#N/A Requesting Data...4014200417</v>
        <stp/>
        <stp>BDP|8629855968567914597</stp>
        <tr r="K2019" s="2"/>
      </tp>
      <tp t="s">
        <v>#N/A Requesting Data...3369722932</v>
        <stp/>
        <stp>BDP|2749452952151369686</stp>
        <tr r="C785" s="2"/>
      </tp>
      <tp t="s">
        <v>#N/A Requesting Data...3877512578</v>
        <stp/>
        <stp>BDP|1013814016548408487</stp>
        <tr r="A1326" s="2"/>
      </tp>
      <tp t="s">
        <v>#N/A Requesting Data...4089032537</v>
        <stp/>
        <stp>BDP|6922242473286754120</stp>
        <tr r="D143" s="2"/>
      </tp>
      <tp t="s">
        <v>#N/A Requesting Data...3890012957</v>
        <stp/>
        <stp>BDP|7126681584589551434</stp>
        <tr r="K1132" s="2"/>
      </tp>
      <tp t="s">
        <v>#N/A Requesting Data...3877331396</v>
        <stp/>
        <stp>BDP|5302313469243756772</stp>
        <tr r="S2047" s="2"/>
      </tp>
      <tp t="s">
        <v>#N/A Requesting Data...3476969245</v>
        <stp/>
        <stp>BDP|4306030408673025332</stp>
        <tr r="O257" s="2"/>
      </tp>
      <tp t="b">
        <v>0</v>
        <stp/>
        <stp>BDS|9865827051577622763</stp>
        <tr r="I15" s="2"/>
      </tp>
      <tp t="s">
        <v>#N/A Requesting Data...4148715928</v>
        <stp/>
        <stp>BDP|3695218103153749682</stp>
        <tr r="A1335" s="2"/>
      </tp>
      <tp t="s">
        <v>#N/A Requesting Data...3551910750</v>
        <stp/>
        <stp>BDP|8030418586465589591</stp>
        <tr r="C937" s="2"/>
      </tp>
      <tp t="s">
        <v>#N/A Requesting Data...4067470976</v>
        <stp/>
        <stp>BDP|3126515620745080581</stp>
        <tr r="F939" s="2"/>
      </tp>
      <tp t="s">
        <v>#N/A Requesting Data...3244674324</v>
        <stp/>
        <stp>BDP|5780301047363112592</stp>
        <tr r="S565" s="2"/>
      </tp>
      <tp t="s">
        <v>#N/A Requesting Data...3311959126</v>
        <stp/>
        <stp>BDP|6382202130553377081</stp>
        <tr r="A599" s="2"/>
      </tp>
      <tp t="s">
        <v>#N/A Requesting Data...3704066676</v>
        <stp/>
        <stp>BDP|6422689204964834088</stp>
        <tr r="F625" s="2"/>
      </tp>
      <tp t="s">
        <v>#N/A Requesting Data...3655844017</v>
        <stp/>
        <stp>BDP|7929740565874256626</stp>
        <tr r="A2225" s="2"/>
      </tp>
      <tp t="s">
        <v>#N/A Requesting Data...3116512523</v>
        <stp/>
        <stp>BDP|6088709758979872986</stp>
        <tr r="O1978" s="2"/>
      </tp>
      <tp t="s">
        <v>#N/A Requesting Data...3426143799</v>
        <stp/>
        <stp>BDP|3952739342985852189</stp>
        <tr r="T697" s="2"/>
      </tp>
      <tp t="s">
        <v>#N/A Requesting Data...3913943258</v>
        <stp/>
        <stp>BDP|7838895144959500687</stp>
        <tr r="Q2119" s="2"/>
      </tp>
      <tp t="s">
        <v>#N/A Requesting Data...3187598129</v>
        <stp/>
        <stp>BDP|1196166500832668699</stp>
        <tr r="K11" s="2"/>
      </tp>
      <tp t="s">
        <v>#N/A Requesting Data...3930297994</v>
        <stp/>
        <stp>BDP|2380280600231260517</stp>
        <tr r="J2342" s="2"/>
      </tp>
      <tp t="s">
        <v>#N/A Requesting Data...3154887960</v>
        <stp/>
        <stp>BDP|1334463405572081387</stp>
        <tr r="O1779" s="2"/>
      </tp>
      <tp t="s">
        <v>#N/A Requesting Data...4012263369</v>
        <stp/>
        <stp>BDP|7352452031147797385</stp>
        <tr r="M2509" s="2"/>
      </tp>
      <tp t="s">
        <v>#N/A Requesting Data...3175224325</v>
        <stp/>
        <stp>BDP|2898347840590595118</stp>
        <tr r="N495" s="2"/>
      </tp>
      <tp t="s">
        <v>#N/A Requesting Data...3259662915</v>
        <stp/>
        <stp>BDP|2548421392569548289</stp>
        <tr r="J485" s="2"/>
      </tp>
      <tp t="s">
        <v>#N/A Requesting Data...3649188798</v>
        <stp/>
        <stp>BDP|7719643453782183290</stp>
        <tr r="A387" s="2"/>
      </tp>
      <tp t="s">
        <v>#N/A Requesting Data...3872575498</v>
        <stp/>
        <stp>BDP|3013722686540531898</stp>
        <tr r="H2257" s="2"/>
      </tp>
      <tp t="s">
        <v>#N/A Requesting Data...3892318652</v>
        <stp/>
        <stp>BDP|3659064529910224537</stp>
        <tr r="R1165" s="2"/>
      </tp>
      <tp t="s">
        <v>#N/A Requesting Data...3407049273</v>
        <stp/>
        <stp>BDP|7664559443687151591</stp>
        <tr r="T2425" s="2"/>
      </tp>
      <tp t="s">
        <v>#N/A Requesting Data...3377559652</v>
        <stp/>
        <stp>BDP|1496291953603748116</stp>
        <tr r="N1659" s="2"/>
      </tp>
      <tp t="s">
        <v>#N/A Requesting Data...3274898205</v>
        <stp/>
        <stp>BDP|6652297896409999083</stp>
        <tr r="D2526" s="2"/>
      </tp>
      <tp t="s">
        <v>#N/A Requesting Data...3420344748</v>
        <stp/>
        <stp>BDP|7379282666566057159</stp>
        <tr r="A1885" s="2"/>
      </tp>
      <tp t="s">
        <v>#N/A Requesting Data...3110392294</v>
        <stp/>
        <stp>BDP|3111987140068929288</stp>
        <tr r="Q778" s="2"/>
      </tp>
      <tp t="s">
        <v>#N/A Requesting Data...3516209528</v>
        <stp/>
        <stp>BDP|7713596155777293416</stp>
        <tr r="Q2100" s="2"/>
      </tp>
      <tp t="s">
        <v>#N/A Requesting Data...3922823774</v>
        <stp/>
        <stp>BDP|2000621985908869071</stp>
        <tr r="R705" s="2"/>
      </tp>
      <tp t="s">
        <v>#N/A Requesting Data...3824803272</v>
        <stp/>
        <stp>BDP|3382586288368856237</stp>
        <tr r="A864" s="2"/>
      </tp>
      <tp t="s">
        <v>#N/A Requesting Data...3241231371</v>
        <stp/>
        <stp>BDP|9110714008842604862</stp>
        <tr r="O2392" s="2"/>
      </tp>
      <tp t="s">
        <v>#N/A Requesting Data...3107650861</v>
        <stp/>
        <stp>BDP|2092731174597910163</stp>
        <tr r="H767" s="2"/>
      </tp>
      <tp t="s">
        <v>#N/A Requesting Data...3125944404</v>
        <stp/>
        <stp>BDP|8972959485049246434</stp>
        <tr r="R458" s="2"/>
      </tp>
      <tp t="s">
        <v>#N/A Requesting Data...3539220346</v>
        <stp/>
        <stp>BDP|1995282699419380739</stp>
        <tr r="K1323" s="2"/>
      </tp>
      <tp t="s">
        <v>#N/A Requesting Data...3390772398</v>
        <stp/>
        <stp>BDP|7590273867133806455</stp>
        <tr r="K171" s="2"/>
      </tp>
      <tp t="s">
        <v>#N/A Requesting Data...3725181478</v>
        <stp/>
        <stp>BDP|5260223726108689982</stp>
        <tr r="E2511" s="2"/>
      </tp>
      <tp t="s">
        <v>#N/A Requesting Data...4249857434</v>
        <stp/>
        <stp>BDP|7189046764466817315</stp>
        <tr r="G1929" s="2"/>
      </tp>
      <tp t="s">
        <v>#N/A Requesting Data...3621795104</v>
        <stp/>
        <stp>BDP|8231687583946290435</stp>
        <tr r="N910" s="2"/>
      </tp>
      <tp t="b">
        <v>0</v>
        <stp/>
        <stp>BDS|8101277032234442983</stp>
        <tr r="I1434" s="2"/>
      </tp>
      <tp t="s">
        <v>#N/A Requesting Data...3559972567</v>
        <stp/>
        <stp>BDP|7930343235714960790</stp>
        <tr r="P1461" s="2"/>
      </tp>
      <tp t="s">
        <v>#N/A Requesting Data...3281944749</v>
        <stp/>
        <stp>BDP|9239021267378910361</stp>
        <tr r="E2225" s="2"/>
      </tp>
      <tp t="s">
        <v>#N/A Requesting Data...3857232529</v>
        <stp/>
        <stp>BDP|9015858469053109058</stp>
        <tr r="P405" s="2"/>
      </tp>
      <tp t="s">
        <v>#N/A Requesting Data...3214382515</v>
        <stp/>
        <stp>BDP|7650485635273238710</stp>
        <tr r="G692" s="2"/>
      </tp>
      <tp t="s">
        <v>#N/A Requesting Data...3130514514</v>
        <stp/>
        <stp>BDP|3691120918856357175</stp>
        <tr r="P2136" s="2"/>
      </tp>
      <tp t="s">
        <v>#N/A Requesting Data...4064284189</v>
        <stp/>
        <stp>BDP|6824403825995384160</stp>
        <tr r="T2365" s="2"/>
      </tp>
      <tp t="s">
        <v>#N/A Requesting Data...3993846005</v>
        <stp/>
        <stp>BDP|5747104545666958233</stp>
        <tr r="N895" s="2"/>
      </tp>
      <tp t="s">
        <v>#N/A Requesting Data...3545931538</v>
        <stp/>
        <stp>BDP|1641787335041559066</stp>
        <tr r="C1527" s="2"/>
      </tp>
      <tp t="s">
        <v>#N/A Requesting Data...3560937924</v>
        <stp/>
        <stp>BDP|4569764167559507897</stp>
        <tr r="J2154" s="2"/>
      </tp>
      <tp t="s">
        <v>#N/A Requesting Data...3119872056</v>
        <stp/>
        <stp>BDP|6368950008263275843</stp>
        <tr r="Q1747" s="2"/>
      </tp>
      <tp t="s">
        <v>#N/A Requesting Data...4240885925</v>
        <stp/>
        <stp>BDP|1734177373337921426</stp>
        <tr r="J744" s="2"/>
      </tp>
      <tp t="s">
        <v>#N/A Requesting Data...3694857988</v>
        <stp/>
        <stp>BDP|3135449164713170689</stp>
        <tr r="F186" s="2"/>
      </tp>
      <tp t="s">
        <v>#N/A Requesting Data...3350777550</v>
        <stp/>
        <stp>BDP|6909208850967441256</stp>
        <tr r="H2258" s="2"/>
      </tp>
      <tp t="s">
        <v>#N/A Requesting Data...3757265353</v>
        <stp/>
        <stp>BDP|8317558108940533930</stp>
        <tr r="S693" s="2"/>
      </tp>
      <tp t="s">
        <v>#N/A Requesting Data...4152968186</v>
        <stp/>
        <stp>BDP|5833507205792726622</stp>
        <tr r="N1912" s="2"/>
      </tp>
      <tp t="s">
        <v>#N/A Requesting Data...3743998934</v>
        <stp/>
        <stp>BDP|6634262929454622674</stp>
        <tr r="D957" s="2"/>
      </tp>
      <tp t="s">
        <v>#N/A Requesting Data...3559700648</v>
        <stp/>
        <stp>BDP|9999299015127560984</stp>
        <tr r="G1925" s="2"/>
      </tp>
      <tp t="s">
        <v>#N/A Requesting Data...3964479504</v>
        <stp/>
        <stp>BDP|4998775597709918788</stp>
        <tr r="S2471" s="2"/>
      </tp>
      <tp t="s">
        <v>#N/A Requesting Data...3641611288</v>
        <stp/>
        <stp>BDP|5950668007242992594</stp>
        <tr r="Q1551" s="2"/>
      </tp>
      <tp t="s">
        <v>#N/A Requesting Data...3483985338</v>
        <stp/>
        <stp>BDP|3971326457638211964</stp>
        <tr r="K1002" s="2"/>
      </tp>
      <tp t="s">
        <v>#N/A Requesting Data...4258038658</v>
        <stp/>
        <stp>BDP|1101366675252332395</stp>
        <tr r="F2241" s="2"/>
      </tp>
      <tp t="s">
        <v>#N/A Requesting Data...3442821448</v>
        <stp/>
        <stp>BDP|2403860987234947244</stp>
        <tr r="M871" s="2"/>
      </tp>
      <tp t="s">
        <v>#N/A Requesting Data...3963570155</v>
        <stp/>
        <stp>BDP|5238481795219306542</stp>
        <tr r="K2504" s="2"/>
      </tp>
      <tp t="s">
        <v>#N/A Requesting Data...3427929942</v>
        <stp/>
        <stp>BDP|4409134329786464520</stp>
        <tr r="R450" s="2"/>
      </tp>
      <tp t="s">
        <v>#N/A Requesting Data...3501775457</v>
        <stp/>
        <stp>BDP|7531424278277416731</stp>
        <tr r="M2071" s="2"/>
      </tp>
      <tp t="s">
        <v>#N/A Requesting Data...3557230998</v>
        <stp/>
        <stp>BDP|9343924488164652871</stp>
        <tr r="M693" s="2"/>
      </tp>
      <tp t="s">
        <v>#N/A Requesting Data...3922512673</v>
        <stp/>
        <stp>BDP|1050646809667053455</stp>
        <tr r="J66" s="2"/>
      </tp>
      <tp t="s">
        <v>#N/A Requesting Data...4214352811</v>
        <stp/>
        <stp>BDP|9604765887104775686</stp>
        <tr r="E734" s="2"/>
      </tp>
      <tp t="s">
        <v>#N/A Requesting Data...3525652366</v>
        <stp/>
        <stp>BDP|8571665683786835403</stp>
        <tr r="C520" s="2"/>
      </tp>
      <tp t="s">
        <v>#N/A Requesting Data...3603744738</v>
        <stp/>
        <stp>BDP|1608243878411564175</stp>
        <tr r="J76" s="2"/>
      </tp>
      <tp t="s">
        <v>#N/A Requesting Data...3926482712</v>
        <stp/>
        <stp>BDP|9319837938214754275</stp>
        <tr r="J1268" s="2"/>
      </tp>
      <tp t="s">
        <v>#N/A Requesting Data...3562756302</v>
        <stp/>
        <stp>BDP|2801332544225001474</stp>
        <tr r="G746" s="2"/>
      </tp>
      <tp t="s">
        <v>#N/A Requesting Data...4247069756</v>
        <stp/>
        <stp>BDP|5411152749463662765</stp>
        <tr r="K849" s="2"/>
      </tp>
      <tp t="s">
        <v>#N/A Requesting Data...3680407669</v>
        <stp/>
        <stp>BDP|8691926126116223188</stp>
        <tr r="F48" s="2"/>
      </tp>
      <tp t="s">
        <v>#N/A Requesting Data...4105485555</v>
        <stp/>
        <stp>BDP|7014532571195877421</stp>
        <tr r="N49" s="2"/>
      </tp>
      <tp t="s">
        <v>#N/A Requesting Data...3857508243</v>
        <stp/>
        <stp>BDP|2396958748202356951</stp>
        <tr r="A683" s="2"/>
      </tp>
      <tp t="s">
        <v>#N/A Requesting Data...3804325476</v>
        <stp/>
        <stp>BDP|2857847836958456569</stp>
        <tr r="S1479" s="2"/>
      </tp>
      <tp t="s">
        <v>#N/A Requesting Data...3609618615</v>
        <stp/>
        <stp>BDP|4244149470576699086</stp>
        <tr r="K316" s="2"/>
      </tp>
      <tp t="s">
        <v>#N/A Requesting Data...3432599419</v>
        <stp/>
        <stp>BDP|4992437911717290217</stp>
        <tr r="C273" s="2"/>
      </tp>
      <tp t="s">
        <v>#N/A Requesting Data...4290675226</v>
        <stp/>
        <stp>BDP|2178960308279619612</stp>
        <tr r="K586" s="2"/>
      </tp>
      <tp t="s">
        <v>#N/A Requesting Data...3726984137</v>
        <stp/>
        <stp>BDP|5425725303013991548</stp>
        <tr r="K1903" s="2"/>
      </tp>
      <tp t="s">
        <v>#N/A Requesting Data...3609847445</v>
        <stp/>
        <stp>BDP|8941769106578667378</stp>
        <tr r="M1739" s="2"/>
      </tp>
      <tp t="s">
        <v>#N/A Requesting Data...3691292593</v>
        <stp/>
        <stp>BDP|2228827287664850270</stp>
        <tr r="Q47" s="2"/>
      </tp>
      <tp t="s">
        <v>#N/A Requesting Data...4160180046</v>
        <stp/>
        <stp>BDP|5004293877887488325</stp>
        <tr r="Q2509" s="2"/>
      </tp>
      <tp t="s">
        <v>#N/A Requesting Data...4221154572</v>
        <stp/>
        <stp>BDP|8719695530151715812</stp>
        <tr r="A1190" s="2"/>
      </tp>
      <tp t="s">
        <v>#N/A Requesting Data...3971705658</v>
        <stp/>
        <stp>BDP|4027426332306139192</stp>
        <tr r="E1620" s="2"/>
      </tp>
      <tp t="s">
        <v>#N/A Requesting Data...3677068687</v>
        <stp/>
        <stp>BDP|8529513151719434593</stp>
        <tr r="M905" s="2"/>
      </tp>
      <tp t="s">
        <v>#N/A Requesting Data...3670177711</v>
        <stp/>
        <stp>BDP|2943795464606990147</stp>
        <tr r="P2238" s="2"/>
      </tp>
      <tp t="s">
        <v>#N/A Requesting Data...3300436488</v>
        <stp/>
        <stp>BDP|9279139774082814946</stp>
        <tr r="F1836" s="2"/>
      </tp>
      <tp t="s">
        <v>#N/A Requesting Data...3912776984</v>
        <stp/>
        <stp>BDP|2264098870006114736</stp>
        <tr r="H2171" s="2"/>
      </tp>
      <tp t="s">
        <v>#N/A Requesting Data...3917079553</v>
        <stp/>
        <stp>BDP|8471658195764580788</stp>
        <tr r="F454" s="2"/>
      </tp>
      <tp t="s">
        <v>#N/A Requesting Data...3697581840</v>
        <stp/>
        <stp>BDP|8335077288350482417</stp>
        <tr r="K1250" s="2"/>
      </tp>
      <tp t="s">
        <v>#N/A Requesting Data...3878625034</v>
        <stp/>
        <stp>BDP|8541599891457171756</stp>
        <tr r="N364" s="2"/>
      </tp>
      <tp t="b">
        <v>0</v>
        <stp/>
        <stp>BDS|9432658778439159511</stp>
        <tr r="I672" s="2"/>
      </tp>
      <tp t="s">
        <v>#N/A Requesting Data...3472168522</v>
        <stp/>
        <stp>BDP|8305131202839841436</stp>
        <tr r="E170" s="2"/>
      </tp>
      <tp t="b">
        <v>0</v>
        <stp/>
        <stp>BDS|1484759005851904341</stp>
        <tr r="I1717" s="2"/>
      </tp>
      <tp t="s">
        <v>#N/A Requesting Data...3710900156</v>
        <stp/>
        <stp>BDP|7909150896012321909</stp>
        <tr r="G1826" s="2"/>
      </tp>
      <tp t="s">
        <v>#N/A Requesting Data...4249401733</v>
        <stp/>
        <stp>BDP|2994268168830744296</stp>
        <tr r="G1377" s="2"/>
      </tp>
      <tp t="s">
        <v>#N/A Requesting Data...3824708662</v>
        <stp/>
        <stp>BDP|7087852508093227863</stp>
        <tr r="Q444" s="2"/>
      </tp>
      <tp t="s">
        <v>#N/A Requesting Data...3413218035</v>
        <stp/>
        <stp>BDP|6975190923141990034</stp>
        <tr r="O518" s="2"/>
      </tp>
      <tp t="s">
        <v>#N/A Requesting Data...3268767055</v>
        <stp/>
        <stp>BDP|6796770731527908117</stp>
        <tr r="F337" s="2"/>
      </tp>
      <tp t="s">
        <v>#N/A Requesting Data...3273992315</v>
        <stp/>
        <stp>BDP|5318068576297834122</stp>
        <tr r="C1600" s="2"/>
      </tp>
      <tp t="s">
        <v>#N/A Requesting Data...3820227602</v>
        <stp/>
        <stp>BDP|4172248739514715521</stp>
        <tr r="F1506" s="2"/>
      </tp>
      <tp t="s">
        <v>#N/A Requesting Data...3668980297</v>
        <stp/>
        <stp>BDP|8658841540455984522</stp>
        <tr r="Q141" s="2"/>
      </tp>
      <tp t="b">
        <v>0</v>
        <stp/>
        <stp>BDS|5769958497574902552</stp>
        <tr r="I2337" s="2"/>
      </tp>
      <tp t="s">
        <v>#N/A Requesting Data...3316590259</v>
        <stp/>
        <stp>BDP|7969378871612264543</stp>
        <tr r="O2153" s="2"/>
      </tp>
      <tp t="s">
        <v>#N/A Requesting Data...4006989182</v>
        <stp/>
        <stp>BDP|3825565901516378458</stp>
        <tr r="H2272" s="2"/>
      </tp>
      <tp t="s">
        <v>#N/A Requesting Data...3503710650</v>
        <stp/>
        <stp>BDP|6325092024569504928</stp>
        <tr r="N544" s="2"/>
      </tp>
      <tp t="s">
        <v>#N/A Requesting Data...3579628608</v>
        <stp/>
        <stp>BDP|7996725847781655133</stp>
        <tr r="O1044" s="2"/>
      </tp>
      <tp t="s">
        <v>#N/A Requesting Data...4137954768</v>
        <stp/>
        <stp>BDP|3487031260785856466</stp>
        <tr r="P491" s="2"/>
      </tp>
      <tp t="s">
        <v>#N/A Requesting Data...3489455510</v>
        <stp/>
        <stp>BDP|1702466138861570355</stp>
        <tr r="J1247" s="2"/>
      </tp>
      <tp t="s">
        <v>#N/A Requesting Data...3928064962</v>
        <stp/>
        <stp>BDP|6545179137618439884</stp>
        <tr r="G1890" s="2"/>
      </tp>
      <tp t="s">
        <v>#N/A Requesting Data...3901397809</v>
        <stp/>
        <stp>BDP|4488795874282226221</stp>
        <tr r="Q565" s="2"/>
      </tp>
      <tp t="s">
        <v>#N/A Requesting Data...3302999406</v>
        <stp/>
        <stp>BDP|1007626429095125438</stp>
        <tr r="K344" s="2"/>
      </tp>
      <tp t="s">
        <v>#N/A Requesting Data...3794307661</v>
        <stp/>
        <stp>BDP|3166286411233099717</stp>
        <tr r="P2420" s="2"/>
      </tp>
      <tp t="s">
        <v>#N/A Requesting Data...3466770611</v>
        <stp/>
        <stp>BDP|1206929587712927673</stp>
        <tr r="R254" s="2"/>
      </tp>
      <tp t="s">
        <v>#N/A Requesting Data...3857054645</v>
        <stp/>
        <stp>BDP|4697060713606313791</stp>
        <tr r="D206" s="2"/>
      </tp>
      <tp t="s">
        <v>#N/A Requesting Data...3567304355</v>
        <stp/>
        <stp>BDP|7890664122292577507</stp>
        <tr r="N1732" s="2"/>
      </tp>
      <tp t="s">
        <v>#N/A Requesting Data...3760894898</v>
        <stp/>
        <stp>BDP|1847603256990514620</stp>
        <tr r="E2307" s="2"/>
      </tp>
      <tp t="s">
        <v>#N/A Requesting Data...3350216591</v>
        <stp/>
        <stp>BDP|6271066357755312299</stp>
        <tr r="H1375" s="2"/>
      </tp>
      <tp t="s">
        <v>#N/A Requesting Data...3829585998</v>
        <stp/>
        <stp>BDP|3003856274571146999</stp>
        <tr r="N566" s="2"/>
      </tp>
      <tp t="s">
        <v>#N/A Requesting Data...3827466685</v>
        <stp/>
        <stp>BDP|4038485294389130448</stp>
        <tr r="A1741" s="2"/>
      </tp>
      <tp t="b">
        <v>0</v>
        <stp/>
        <stp>BDS|7049488462469354800</stp>
        <tr r="I638" s="2"/>
      </tp>
      <tp t="s">
        <v>#N/A Requesting Data...4161607725</v>
        <stp/>
        <stp>BDP|7853059693519011379</stp>
        <tr r="F556" s="2"/>
      </tp>
      <tp t="s">
        <v>#N/A Requesting Data...3534628348</v>
        <stp/>
        <stp>BDP|1222417859111000535</stp>
        <tr r="S1691" s="2"/>
      </tp>
      <tp t="s">
        <v>#N/A Requesting Data...4075821636</v>
        <stp/>
        <stp>BDP|4510915382341803077</stp>
        <tr r="S1910" s="2"/>
      </tp>
      <tp t="s">
        <v>#N/A Requesting Data...3964134773</v>
        <stp/>
        <stp>BDP|4671435123513744583</stp>
        <tr r="A320" s="2"/>
      </tp>
      <tp t="s">
        <v>#N/A Requesting Data...4168916580</v>
        <stp/>
        <stp>BDP|4201024359002104714</stp>
        <tr r="E2472" s="2"/>
      </tp>
      <tp t="s">
        <v>#N/A Requesting Data...4277773063</v>
        <stp/>
        <stp>BDP|9842231501057034836</stp>
        <tr r="M786" s="2"/>
      </tp>
      <tp t="s">
        <v>#N/A Requesting Data...3395552542</v>
        <stp/>
        <stp>BDP|7176734389215144935</stp>
        <tr r="E2202" s="2"/>
      </tp>
      <tp t="s">
        <v>#N/A Requesting Data...3667878348</v>
        <stp/>
        <stp>BDP|9578898502861408437</stp>
        <tr r="R1429" s="2"/>
      </tp>
      <tp t="s">
        <v>#N/A Requesting Data...4260928366</v>
        <stp/>
        <stp>BDP|3763517939332205342</stp>
        <tr r="M1800" s="2"/>
      </tp>
      <tp t="s">
        <v>#N/A Requesting Data...3776782252</v>
        <stp/>
        <stp>BDP|1776393832413667636</stp>
        <tr r="D598" s="2"/>
      </tp>
      <tp t="s">
        <v>#N/A Requesting Data...3504335837</v>
        <stp/>
        <stp>BDP|4976683161340039094</stp>
        <tr r="K2280" s="2"/>
      </tp>
      <tp t="s">
        <v>#N/A Requesting Data...3500717723</v>
        <stp/>
        <stp>BDP|4988709351234228632</stp>
        <tr r="P1658" s="2"/>
      </tp>
      <tp t="s">
        <v>#N/A Requesting Data...3781289009</v>
        <stp/>
        <stp>BDP|3419691525220572346</stp>
        <tr r="E1890" s="2"/>
      </tp>
      <tp t="s">
        <v>#N/A Requesting Data...3452088748</v>
        <stp/>
        <stp>BDP|7703218874826325081</stp>
        <tr r="R1984" s="2"/>
      </tp>
      <tp t="s">
        <v>#N/A Requesting Data...3974276791</v>
        <stp/>
        <stp>BDP|6090662912520954548</stp>
        <tr r="H319" s="2"/>
      </tp>
      <tp t="s">
        <v>#N/A Requesting Data...3554052819</v>
        <stp/>
        <stp>BDP|6120534309484522373</stp>
        <tr r="M955" s="2"/>
      </tp>
      <tp t="s">
        <v>#N/A Requesting Data...4138965404</v>
        <stp/>
        <stp>BDP|9518025590057661381</stp>
        <tr r="D2365" s="2"/>
      </tp>
      <tp t="s">
        <v>#N/A Requesting Data...3833697058</v>
        <stp/>
        <stp>BDP|7878763817274213125</stp>
        <tr r="S799" s="2"/>
      </tp>
      <tp t="s">
        <v>#N/A Requesting Data...3694470654</v>
        <stp/>
        <stp>BDP|5624153409300556065</stp>
        <tr r="G459" s="2"/>
      </tp>
      <tp t="s">
        <v>#N/A Requesting Data...3933208542</v>
        <stp/>
        <stp>BDP|4866761315574645244</stp>
        <tr r="O2253" s="2"/>
      </tp>
      <tp t="s">
        <v>#N/A Requesting Data...3937642991</v>
        <stp/>
        <stp>BDP|6589793858119803958</stp>
        <tr r="D1828" s="2"/>
      </tp>
      <tp t="s">
        <v>#N/A Requesting Data...4071268093</v>
        <stp/>
        <stp>BDP|3305873988155545204</stp>
        <tr r="C1971" s="2"/>
      </tp>
      <tp t="s">
        <v>#N/A Requesting Data...3619531248</v>
        <stp/>
        <stp>BDP|3038151949954299677</stp>
        <tr r="Q2167" s="2"/>
      </tp>
      <tp t="s">
        <v>#N/A Requesting Data...3947437841</v>
        <stp/>
        <stp>BDP|7363126520484821403</stp>
        <tr r="G1406" s="2"/>
      </tp>
      <tp t="s">
        <v>#N/A Requesting Data...3382083292</v>
        <stp/>
        <stp>BDP|4462255241836083097</stp>
        <tr r="C2200" s="2"/>
      </tp>
      <tp t="s">
        <v>#N/A Requesting Data...3403104036</v>
        <stp/>
        <stp>BDP|4807102046452272755</stp>
        <tr r="O144" s="2"/>
      </tp>
      <tp t="s">
        <v>#N/A Requesting Data...3792979166</v>
        <stp/>
        <stp>BDP|8443882241212032243</stp>
        <tr r="F961" s="2"/>
      </tp>
      <tp t="s">
        <v>#N/A Requesting Data...3930955024</v>
        <stp/>
        <stp>BDP|5097446338802477414</stp>
        <tr r="N1531" s="2"/>
      </tp>
      <tp t="s">
        <v>#N/A Requesting Data...4112916711</v>
        <stp/>
        <stp>BDP|4934675934553566661</stp>
        <tr r="E1999" s="2"/>
      </tp>
      <tp t="s">
        <v>#N/A Requesting Data...3950272233</v>
        <stp/>
        <stp>BDP|2386881884861772712</stp>
        <tr r="P1803" s="2"/>
      </tp>
      <tp t="s">
        <v>#N/A Requesting Data...3516780167</v>
        <stp/>
        <stp>BDP|6757086816020341330</stp>
        <tr r="T1141" s="2"/>
      </tp>
      <tp t="s">
        <v>#N/A Requesting Data...3444659108</v>
        <stp/>
        <stp>BDP|5673236340170438784</stp>
        <tr r="Q1303" s="2"/>
      </tp>
      <tp t="s">
        <v>#N/A Requesting Data...3600068628</v>
        <stp/>
        <stp>BDP|3572141906022940475</stp>
        <tr r="J1208" s="2"/>
      </tp>
      <tp t="s">
        <v>#N/A Requesting Data...4170793706</v>
        <stp/>
        <stp>BDP|4139324167573959641</stp>
        <tr r="N1987" s="2"/>
      </tp>
      <tp t="s">
        <v>#N/A Requesting Data...3600158958</v>
        <stp/>
        <stp>BDP|6222395305274061575</stp>
        <tr r="G985" s="2"/>
      </tp>
      <tp t="b">
        <v>0</v>
        <stp/>
        <stp>BDS|5756380137047900680</stp>
        <tr r="I412" s="2"/>
      </tp>
      <tp t="s">
        <v>#N/A Requesting Data...3832269327</v>
        <stp/>
        <stp>BDP|1168064638927480125</stp>
        <tr r="F2491" s="2"/>
      </tp>
      <tp t="s">
        <v>#N/A Requesting Data...3641470115</v>
        <stp/>
        <stp>BDP|5934623900747125033</stp>
        <tr r="Q57" s="2"/>
      </tp>
      <tp t="s">
        <v>#N/A Requesting Data...4267613663</v>
        <stp/>
        <stp>BDP|6858743589274816943</stp>
        <tr r="P2345" s="2"/>
      </tp>
      <tp t="s">
        <v>#N/A Requesting Data...3728887961</v>
        <stp/>
        <stp>BDP|7997643146882203304</stp>
        <tr r="C1232" s="2"/>
      </tp>
      <tp t="s">
        <v>#N/A Requesting Data...4278492243</v>
        <stp/>
        <stp>BDP|9938976543321350175</stp>
        <tr r="F1100" s="2"/>
      </tp>
      <tp t="s">
        <v>#N/A Requesting Data...3909596084</v>
        <stp/>
        <stp>BDP|9142990957277584638</stp>
        <tr r="G2324" s="2"/>
      </tp>
      <tp t="s">
        <v>#N/A Requesting Data...3707025359</v>
        <stp/>
        <stp>BDP|3705083467484773566</stp>
        <tr r="M634" s="2"/>
      </tp>
      <tp t="s">
        <v>#N/A Requesting Data...4086111837</v>
        <stp/>
        <stp>BDP|4907050861617125152</stp>
        <tr r="D1032" s="2"/>
      </tp>
      <tp t="s">
        <v>#N/A Requesting Data...3896747449</v>
        <stp/>
        <stp>BDP|9649876333143588592</stp>
        <tr r="R1016" s="2"/>
      </tp>
      <tp t="s">
        <v>#N/A Requesting Data...4097504830</v>
        <stp/>
        <stp>BDP|7964615459202600298</stp>
        <tr r="P97" s="2"/>
      </tp>
      <tp t="s">
        <v>#N/A Requesting Data...4280672834</v>
        <stp/>
        <stp>BDP|3736294615893555703</stp>
        <tr r="F2028" s="2"/>
      </tp>
      <tp t="s">
        <v>#N/A Requesting Data...3876517032</v>
        <stp/>
        <stp>BDP|4634565999158590427</stp>
        <tr r="C1890" s="2"/>
      </tp>
      <tp t="s">
        <v>#N/A Requesting Data...3888939444</v>
        <stp/>
        <stp>BDP|6639604072923233084</stp>
        <tr r="S1433" s="2"/>
      </tp>
      <tp t="s">
        <v>#N/A Requesting Data...3756008849</v>
        <stp/>
        <stp>BDP|1147988296360117506</stp>
        <tr r="F1457" s="2"/>
      </tp>
      <tp t="b">
        <v>0</v>
        <stp/>
        <stp>BDS|9551870662373853068</stp>
        <tr r="I1425" s="2"/>
      </tp>
      <tp t="s">
        <v>#N/A Requesting Data...3536576091</v>
        <stp/>
        <stp>BDP|8265945427093985463</stp>
        <tr r="J2352" s="2"/>
      </tp>
      <tp t="s">
        <v>#N/A Requesting Data...3752485500</v>
        <stp/>
        <stp>BDP|4892576996484669815</stp>
        <tr r="Q1194" s="2"/>
      </tp>
      <tp t="s">
        <v>#N/A Requesting Data...4173206400</v>
        <stp/>
        <stp>BDP|4025108549035061077</stp>
        <tr r="N1375" s="2"/>
      </tp>
      <tp t="s">
        <v>#N/A Requesting Data...4124299187</v>
        <stp/>
        <stp>BDP|7412012803377992412</stp>
        <tr r="S2237" s="2"/>
      </tp>
      <tp t="s">
        <v>#N/A Requesting Data...3717809947</v>
        <stp/>
        <stp>BDP|5845917976918475756</stp>
        <tr r="H1482" s="2"/>
      </tp>
      <tp t="s">
        <v>#N/A Requesting Data...3875655640</v>
        <stp/>
        <stp>BDP|3269616112781789184</stp>
        <tr r="E174" s="2"/>
      </tp>
      <tp t="s">
        <v>#N/A Requesting Data...4127555562</v>
        <stp/>
        <stp>BDP|8314312539135506908</stp>
        <tr r="E334" s="2"/>
      </tp>
      <tp t="s">
        <v>#N/A Requesting Data...3966481566</v>
        <stp/>
        <stp>BDP|6390074166297429387</stp>
        <tr r="S344" s="2"/>
      </tp>
      <tp t="s">
        <v>#N/A Requesting Data...3585495159</v>
        <stp/>
        <stp>BDP|2861645956221538418</stp>
        <tr r="F2023" s="2"/>
      </tp>
      <tp t="s">
        <v>#N/A Requesting Data...4263472297</v>
        <stp/>
        <stp>BDP|7124713517913163684</stp>
        <tr r="S2066" s="2"/>
      </tp>
      <tp t="s">
        <v>#N/A Requesting Data...4199576665</v>
        <stp/>
        <stp>BDP|7973592126243145799</stp>
        <tr r="S236" s="2"/>
      </tp>
      <tp t="s">
        <v>#N/A Requesting Data...3852057810</v>
        <stp/>
        <stp>BDP|1099786221627714702</stp>
        <tr r="N576" s="2"/>
      </tp>
      <tp t="s">
        <v>#N/A Requesting Data...3689499244</v>
        <stp/>
        <stp>BDP|8583885942694934485</stp>
        <tr r="H1569" s="2"/>
      </tp>
      <tp t="s">
        <v>#N/A Requesting Data...4128809843</v>
        <stp/>
        <stp>BDP|9546534206689886163</stp>
        <tr r="R1003" s="2"/>
      </tp>
      <tp t="s">
        <v>#N/A Requesting Data...3753702256</v>
        <stp/>
        <stp>BDP|1992875689960119589</stp>
        <tr r="G1143" s="2"/>
      </tp>
      <tp t="s">
        <v>#N/A Requesting Data...3691845584</v>
        <stp/>
        <stp>BDP|4114275202930282289</stp>
        <tr r="E1416" s="2"/>
      </tp>
      <tp t="s">
        <v>#N/A Requesting Data...3545652222</v>
        <stp/>
        <stp>BDP|4338258509624138602</stp>
        <tr r="E1926" s="2"/>
      </tp>
      <tp t="s">
        <v>#N/A Requesting Data...3566746995</v>
        <stp/>
        <stp>BDP|7852944748269294786</stp>
        <tr r="N428" s="2"/>
      </tp>
      <tp t="s">
        <v>#N/A Requesting Data...3559413699</v>
        <stp/>
        <stp>BDP|4643425346611891142</stp>
        <tr r="K1886" s="2"/>
      </tp>
      <tp t="s">
        <v>#N/A Requesting Data...4214594805</v>
        <stp/>
        <stp>BDP|1593152462206836446</stp>
        <tr r="D855" s="2"/>
      </tp>
      <tp t="s">
        <v>#N/A Requesting Data...3944102617</v>
        <stp/>
        <stp>BDP|5685192102399355900</stp>
        <tr r="D992" s="2"/>
      </tp>
      <tp t="s">
        <v>#N/A Requesting Data...4094018827</v>
        <stp/>
        <stp>BDP|9406964888838645424</stp>
        <tr r="K433" s="2"/>
      </tp>
      <tp t="s">
        <v>#N/A Requesting Data...4180898867</v>
        <stp/>
        <stp>BDP|5583372369284312065</stp>
        <tr r="P2488" s="2"/>
      </tp>
      <tp t="s">
        <v>#N/A Requesting Data...3976148158</v>
        <stp/>
        <stp>BDP|5839459340811481076</stp>
        <tr r="P108" s="2"/>
      </tp>
      <tp t="s">
        <v>#N/A Requesting Data...3786424927</v>
        <stp/>
        <stp>BDP|6714199633032329205</stp>
        <tr r="H1921" s="2"/>
      </tp>
      <tp t="s">
        <v>#N/A Requesting Data...3555747229</v>
        <stp/>
        <stp>BDP|3734429487013428887</stp>
        <tr r="A356" s="2"/>
      </tp>
      <tp t="s">
        <v>#N/A Requesting Data...3626005907</v>
        <stp/>
        <stp>BDP|4400361603962771181</stp>
        <tr r="T2135" s="2"/>
      </tp>
      <tp t="s">
        <v>#N/A Requesting Data...3990956777</v>
        <stp/>
        <stp>BDP|5018550824943825574</stp>
        <tr r="D271" s="2"/>
      </tp>
      <tp t="b">
        <v>0</v>
        <stp/>
        <stp>BDS|5415587076206799530</stp>
        <tr r="I351" s="2"/>
      </tp>
      <tp t="s">
        <v>#N/A Requesting Data...3862706698</v>
        <stp/>
        <stp>BDP|6059303264954873326</stp>
        <tr r="C824" s="2"/>
      </tp>
      <tp t="s">
        <v>#N/A Requesting Data...3782316007</v>
        <stp/>
        <stp>BDP|2025021050225879648</stp>
        <tr r="E692" s="2"/>
      </tp>
      <tp t="s">
        <v>#N/A Requesting Data...3610858328</v>
        <stp/>
        <stp>BDP|5476629518485954391</stp>
        <tr r="F1432" s="2"/>
      </tp>
      <tp t="s">
        <v>#N/A Requesting Data...4093633214</v>
        <stp/>
        <stp>BDP|1957408009369967879</stp>
        <tr r="J2285" s="2"/>
      </tp>
      <tp t="s">
        <v>#N/A Requesting Data...3853291100</v>
        <stp/>
        <stp>BDP|9909620635211728971</stp>
        <tr r="M1725" s="2"/>
      </tp>
      <tp t="s">
        <v>#N/A Requesting Data...3657449228</v>
        <stp/>
        <stp>BDP|4317973573288130682</stp>
        <tr r="Q1801" s="2"/>
      </tp>
      <tp t="s">
        <v>#N/A Requesting Data...3963546821</v>
        <stp/>
        <stp>BDP|8807304282986758138</stp>
        <tr r="K861" s="2"/>
      </tp>
      <tp t="s">
        <v>#N/A Requesting Data...3873223994</v>
        <stp/>
        <stp>BDP|6827031012425362641</stp>
        <tr r="J3" s="2"/>
      </tp>
      <tp t="s">
        <v>#N/A Requesting Data...3722952375</v>
        <stp/>
        <stp>BDP|1658480841341204436</stp>
        <tr r="P1539" s="2"/>
      </tp>
      <tp t="s">
        <v>#N/A Requesting Data...4197620628</v>
        <stp/>
        <stp>BDP|7903233317393121322</stp>
        <tr r="C202" s="2"/>
      </tp>
      <tp t="s">
        <v>#N/A Requesting Data...4074300531</v>
        <stp/>
        <stp>BDP|1965064244545758422</stp>
        <tr r="E545" s="2"/>
      </tp>
      <tp t="s">
        <v>#N/A Requesting Data...4211076149</v>
        <stp/>
        <stp>BDP|1074086677471743362</stp>
        <tr r="A373" s="2"/>
      </tp>
      <tp t="s">
        <v>#N/A Requesting Data...4143419130</v>
        <stp/>
        <stp>BDP|4683254163232947679</stp>
        <tr r="E846" s="2"/>
      </tp>
      <tp t="s">
        <v>#N/A Requesting Data...4084020970</v>
        <stp/>
        <stp>BDP|1839773256312319541</stp>
        <tr r="Q2141" s="2"/>
      </tp>
      <tp t="s">
        <v>#N/A Requesting Data...4146498294</v>
        <stp/>
        <stp>BDP|7782228896171920940</stp>
        <tr r="S1235" s="2"/>
      </tp>
      <tp t="s">
        <v>#N/A Requesting Data...4237733618</v>
        <stp/>
        <stp>BDP|8370634452098545794</stp>
        <tr r="S389" s="2"/>
      </tp>
      <tp t="s">
        <v>#N/A Requesting Data...3974182493</v>
        <stp/>
        <stp>BDP|3812864885585008253</stp>
        <tr r="J2465" s="2"/>
      </tp>
      <tp t="s">
        <v>#N/A Requesting Data...3880483384</v>
        <stp/>
        <stp>BDP|1907663646615354242</stp>
        <tr r="J2028" s="2"/>
      </tp>
      <tp t="s">
        <v>#N/A Requesting Data...3631106536</v>
        <stp/>
        <stp>BDP|1959153987634717823</stp>
        <tr r="Q82" s="2"/>
      </tp>
      <tp t="s">
        <v>#N/A Requesting Data...4260106545</v>
        <stp/>
        <stp>BDP|3316585096778294318</stp>
        <tr r="T588" s="2"/>
      </tp>
      <tp t="s">
        <v>#N/A Requesting Data...3878559122</v>
        <stp/>
        <stp>BDP|1774527631576938534</stp>
        <tr r="A724" s="2"/>
      </tp>
      <tp t="s">
        <v>#N/A Requesting Data...3597645184</v>
        <stp/>
        <stp>BDP|9404051084621818434</stp>
        <tr r="O2155" s="2"/>
      </tp>
      <tp t="b">
        <v>0</v>
        <stp/>
        <stp>BDS|2637259159189180852</stp>
        <tr r="I442" s="2"/>
      </tp>
      <tp t="s">
        <v>#N/A Requesting Data...3949860464</v>
        <stp/>
        <stp>BDP|4811134636917569568</stp>
        <tr r="G1145" s="2"/>
      </tp>
      <tp t="s">
        <v>#N/A Requesting Data...4119175242</v>
        <stp/>
        <stp>BDP|4670213597713737895</stp>
        <tr r="T1540" s="2"/>
      </tp>
      <tp t="s">
        <v>#N/A Requesting Data...3813482223</v>
        <stp/>
        <stp>BDP|2678232527547577192</stp>
        <tr r="C2106" s="2"/>
      </tp>
      <tp t="s">
        <v>#N/A Requesting Data...3748629014</v>
        <stp/>
        <stp>BDP|7708436796436954852</stp>
        <tr r="P2118" s="2"/>
      </tp>
      <tp t="b">
        <v>0</v>
        <stp/>
        <stp>BDS|6491484197889663635</stp>
        <tr r="I1133" s="2"/>
      </tp>
      <tp t="s">
        <v>#N/A Requesting Data...4236367612</v>
        <stp/>
        <stp>BDP|2694363371835953763</stp>
        <tr r="F457" s="2"/>
      </tp>
      <tp t="s">
        <v>#N/A Requesting Data...3903989585</v>
        <stp/>
        <stp>BDP|5553305113721857206</stp>
        <tr r="G220" s="2"/>
      </tp>
      <tp t="s">
        <v>#N/A Requesting Data...3736361809</v>
        <stp/>
        <stp>BDP|5308145036424748781</stp>
        <tr r="D2249" s="2"/>
      </tp>
      <tp t="s">
        <v>#N/A Requesting Data...4071026936</v>
        <stp/>
        <stp>BDP|2489765511869471996</stp>
        <tr r="H935" s="2"/>
      </tp>
      <tp t="s">
        <v>#N/A Requesting Data...3717544631</v>
        <stp/>
        <stp>BDP|4569398933334627478</stp>
        <tr r="N521" s="2"/>
      </tp>
      <tp t="s">
        <v>#N/A Requesting Data...4012775844</v>
        <stp/>
        <stp>BDP|6219327838162362056</stp>
        <tr r="F1926" s="2"/>
      </tp>
      <tp t="s">
        <v>#N/A Requesting Data...4055030899</v>
        <stp/>
        <stp>BDP|4205071577636411181</stp>
        <tr r="A722" s="2"/>
      </tp>
      <tp t="s">
        <v>#N/A Requesting Data...3740302072</v>
        <stp/>
        <stp>BDP|8885163396167052368</stp>
        <tr r="R1728" s="2"/>
      </tp>
      <tp t="s">
        <v>#N/A Requesting Data...4028782152</v>
        <stp/>
        <stp>BDP|7375503216251231692</stp>
        <tr r="H577" s="2"/>
      </tp>
      <tp t="s">
        <v>#N/A Requesting Data...4014145390</v>
        <stp/>
        <stp>BDP|5007772636787764284</stp>
        <tr r="K355" s="2"/>
      </tp>
      <tp t="s">
        <v>#N/A Requesting Data...3838926353</v>
        <stp/>
        <stp>BDP|1092349369765118521</stp>
        <tr r="R1470" s="2"/>
      </tp>
      <tp t="s">
        <v>#N/A Requesting Data...4181078527</v>
        <stp/>
        <stp>BDP|5620120825033662193</stp>
        <tr r="P1942" s="2"/>
      </tp>
      <tp t="s">
        <v>#N/A Requesting Data...3962188630</v>
        <stp/>
        <stp>BDP|4857327555895950388</stp>
        <tr r="A2254" s="2"/>
      </tp>
      <tp t="s">
        <v>#N/A Requesting Data...3827609764</v>
        <stp/>
        <stp>BDP|1554651024602960332</stp>
        <tr r="G401" s="2"/>
      </tp>
      <tp t="s">
        <v>#N/A Requesting Data...4127468722</v>
        <stp/>
        <stp>BDP|1642991707608400425</stp>
        <tr r="K2087" s="2"/>
      </tp>
      <tp t="s">
        <v>#N/A Requesting Data...3824942929</v>
        <stp/>
        <stp>BDP|5863218354866240014</stp>
        <tr r="A2484" s="2"/>
      </tp>
      <tp t="s">
        <v>#N/A Requesting Data...3853747518</v>
        <stp/>
        <stp>BDP|4096841312969054082</stp>
        <tr r="O809" s="2"/>
      </tp>
      <tp t="s">
        <v>#N/A Requesting Data...4162022614</v>
        <stp/>
        <stp>BDP|9414879548870076151</stp>
        <tr r="S296" s="2"/>
      </tp>
      <tp t="s">
        <v>#N/A Requesting Data...3930446415</v>
        <stp/>
        <stp>BDP|7326998351179050658</stp>
        <tr r="P1940" s="2"/>
      </tp>
      <tp t="s">
        <v>#N/A Requesting Data...3843364326</v>
        <stp/>
        <stp>BDP|7605892006069401234</stp>
        <tr r="G1811" s="2"/>
      </tp>
      <tp t="s">
        <v>#N/A Requesting Data...3766537931</v>
        <stp/>
        <stp>BDP|7908531425241827597</stp>
        <tr r="G2424" s="2"/>
      </tp>
      <tp t="s">
        <v>#N/A Requesting Data...3820321832</v>
        <stp/>
        <stp>BDP|4978445214100422537</stp>
        <tr r="T1628" s="2"/>
      </tp>
      <tp t="s">
        <v>#N/A Requesting Data...3714741247</v>
        <stp/>
        <stp>BDP|4396824578027135877</stp>
        <tr r="S2517" s="2"/>
      </tp>
      <tp t="s">
        <v>#N/A Requesting Data...3827505886</v>
        <stp/>
        <stp>BDP|8695007647878861069</stp>
        <tr r="N2465" s="2"/>
      </tp>
      <tp t="s">
        <v>#N/A Requesting Data...4082226930</v>
        <stp/>
        <stp>BDP|9370676165789699486</stp>
        <tr r="E808" s="2"/>
      </tp>
      <tp t="s">
        <v>#N/A Requesting Data...3970531238</v>
        <stp/>
        <stp>BDP|6211717021265594284</stp>
        <tr r="J2398" s="2"/>
      </tp>
      <tp t="s">
        <v>#N/A Requesting Data...4206135466</v>
        <stp/>
        <stp>BDP|7616254566965909235</stp>
        <tr r="E2024" s="2"/>
      </tp>
      <tp t="s">
        <v>#N/A Requesting Data...3733691617</v>
        <stp/>
        <stp>BDP|6273307460902568586</stp>
        <tr r="J2423" s="2"/>
      </tp>
      <tp t="s">
        <v>#N/A Requesting Data...3755372839</v>
        <stp/>
        <stp>BDP|1149269207254945362</stp>
        <tr r="D595" s="2"/>
      </tp>
      <tp t="s">
        <v>#N/A Requesting Data...4015564231</v>
        <stp/>
        <stp>BDP|6084485127256806287</stp>
        <tr r="C758" s="2"/>
      </tp>
      <tp t="s">
        <v>#N/A Requesting Data...3788229816</v>
        <stp/>
        <stp>BDP|6860339845166123304</stp>
        <tr r="C510" s="2"/>
      </tp>
      <tp t="s">
        <v>#N/A Requesting Data...3939543999</v>
        <stp/>
        <stp>BDP|6385592561349712833</stp>
        <tr r="F1726" s="2"/>
      </tp>
      <tp t="s">
        <v>#N/A Requesting Data...4234956368</v>
        <stp/>
        <stp>BDP|1173071224214977348</stp>
        <tr r="C2192" s="2"/>
      </tp>
      <tp t="s">
        <v>#N/A Requesting Data...3999602586</v>
        <stp/>
        <stp>BDP|2181680016761417045</stp>
        <tr r="M1599" s="2"/>
      </tp>
      <tp t="s">
        <v>#N/A Requesting Data...4113790452</v>
        <stp/>
        <stp>BDP|4031456941962956222</stp>
        <tr r="N2517" s="2"/>
      </tp>
      <tp t="s">
        <v>#N/A Requesting Data...4113096312</v>
        <stp/>
        <stp>BDP|1528525318658134919</stp>
        <tr r="Q1105" s="2"/>
      </tp>
      <tp t="s">
        <v>#N/A Requesting Data...4193390813</v>
        <stp/>
        <stp>BDP|2888408443931355777</stp>
        <tr r="O1017" s="2"/>
      </tp>
      <tp t="s">
        <v>#N/A Requesting Data...3971418627</v>
        <stp/>
        <stp>BDP|9591543291208626990</stp>
        <tr r="T1830" s="2"/>
      </tp>
      <tp t="s">
        <v>#N/A Requesting Data...4019287363</v>
        <stp/>
        <stp>BDP|7882261665546536115</stp>
        <tr r="J1523" s="2"/>
      </tp>
      <tp t="s">
        <v>#N/A Requesting Data...3851377613</v>
        <stp/>
        <stp>BDP|2813652001561642158</stp>
        <tr r="E1817" s="2"/>
      </tp>
      <tp t="s">
        <v>#N/A Requesting Data...4243751556</v>
        <stp/>
        <stp>BDP|7036277073321354788</stp>
        <tr r="O1305" s="2"/>
      </tp>
      <tp t="s">
        <v>#N/A Requesting Data...4068740332</v>
        <stp/>
        <stp>BDP|9820938915126177306</stp>
        <tr r="E2318" s="2"/>
      </tp>
      <tp t="s">
        <v>#N/A Requesting Data...3837744848</v>
        <stp/>
        <stp>BDP|1417598794988126178</stp>
        <tr r="F1273" s="2"/>
      </tp>
      <tp t="s">
        <v>#N/A Requesting Data...4002228678</v>
        <stp/>
        <stp>BDP|9310098540598042152</stp>
        <tr r="A1044" s="2"/>
      </tp>
      <tp t="s">
        <v>#N/A Requesting Data...3718085363</v>
        <stp/>
        <stp>BDP|3804218545303731245</stp>
        <tr r="Q2448" s="2"/>
      </tp>
      <tp t="s">
        <v>#N/A Requesting Data...3750214275</v>
        <stp/>
        <stp>BDP|5375270510761385385</stp>
        <tr r="F550" s="2"/>
      </tp>
      <tp t="s">
        <v>#N/A Requesting Data...3911097527</v>
        <stp/>
        <stp>BDP|8495526897704859461</stp>
        <tr r="O1216" s="2"/>
      </tp>
      <tp t="s">
        <v>#N/A Requesting Data...4187225094</v>
        <stp/>
        <stp>BDP|2035805279840405922</stp>
        <tr r="F230" s="2"/>
      </tp>
      <tp t="s">
        <v>#N/A Requesting Data...3916504964</v>
        <stp/>
        <stp>BDP|9647305918869616674</stp>
        <tr r="J2256" s="2"/>
      </tp>
      <tp t="s">
        <v>#N/A Requesting Data...4093021495</v>
        <stp/>
        <stp>BDP|7889349331143094025</stp>
        <tr r="O1165" s="2"/>
      </tp>
      <tp t="s">
        <v>#N/A Requesting Data...3869011732</v>
        <stp/>
        <stp>BDP|4338847938419684267</stp>
        <tr r="P903" s="2"/>
      </tp>
      <tp t="s">
        <v>#N/A Requesting Data...3913531679</v>
        <stp/>
        <stp>BDP|5607107618812876397</stp>
        <tr r="G1684" s="2"/>
      </tp>
      <tp t="s">
        <v>#N/A Requesting Data...4153098439</v>
        <stp/>
        <stp>BDP|7913637647107283600</stp>
        <tr r="P2278" s="2"/>
      </tp>
      <tp t="s">
        <v>#N/A Requesting Data...4115354484</v>
        <stp/>
        <stp>BDP|3697066779568728817</stp>
        <tr r="R2163" s="2"/>
      </tp>
      <tp t="s">
        <v>#N/A Requesting Data...3955894220</v>
        <stp/>
        <stp>BDP|3910448802405836681</stp>
        <tr r="O2348" s="2"/>
      </tp>
      <tp t="s">
        <v>#N/A Requesting Data...4156824553</v>
        <stp/>
        <stp>BDP|7887540275175037464</stp>
        <tr r="R1099" s="2"/>
      </tp>
      <tp t="s">
        <v>#N/A Requesting Data...3963930350</v>
        <stp/>
        <stp>BDP|8538150129248061769</stp>
        <tr r="E2243" s="2"/>
      </tp>
      <tp t="s">
        <v>#N/A Requesting Data...4010448228</v>
        <stp/>
        <stp>BDP|7452954378995426824</stp>
        <tr r="N1687" s="2"/>
      </tp>
      <tp t="s">
        <v>#N/A Requesting Data...3849623775</v>
        <stp/>
        <stp>BDP|2138676403929334991</stp>
        <tr r="N619" s="2"/>
      </tp>
      <tp t="s">
        <v>#N/A Requesting Data...3873913599</v>
        <stp/>
        <stp>BDP|6916614261475379758</stp>
        <tr r="P2489" s="2"/>
      </tp>
      <tp t="s">
        <v>#N/A Requesting Data...4065562969</v>
        <stp/>
        <stp>BDP|3813725313671273044</stp>
        <tr r="G194" s="2"/>
      </tp>
      <tp t="s">
        <v>#N/A Requesting Data...3991202366</v>
        <stp/>
        <stp>BDP|8058338584097940018</stp>
        <tr r="H2339" s="2"/>
      </tp>
      <tp t="s">
        <v>#N/A Requesting Data...3803147018</v>
        <stp/>
        <stp>BDP|6934526277277050733</stp>
        <tr r="Q1567" s="2"/>
      </tp>
      <tp t="s">
        <v>#N/A Requesting Data...4135078080</v>
        <stp/>
        <stp>BDP|7667215507545634494</stp>
        <tr r="D149" s="2"/>
      </tp>
      <tp t="s">
        <v>#N/A Requesting Data...4044997211</v>
        <stp/>
        <stp>BDP|6869962097941080364</stp>
        <tr r="P588" s="2"/>
      </tp>
      <tp t="s">
        <v>#N/A Requesting Data...4236708301</v>
        <stp/>
        <stp>BDP|3265246705896814348</stp>
        <tr r="D1597" s="2"/>
      </tp>
      <tp t="s">
        <v>#N/A Requesting Data...3837554125</v>
        <stp/>
        <stp>BDP|5464000378745368306</stp>
        <tr r="J1897" s="2"/>
      </tp>
      <tp t="s">
        <v>#N/A Requesting Data...3839967566</v>
        <stp/>
        <stp>BDP|7835952367358766424</stp>
        <tr r="D1048" s="2"/>
      </tp>
      <tp t="s">
        <v>#N/A Requesting Data...3983148093</v>
        <stp/>
        <stp>BDP|1344606518305033742</stp>
        <tr r="N1086" s="2"/>
      </tp>
      <tp t="s">
        <v>#N/A Requesting Data...3802159682</v>
        <stp/>
        <stp>BDP|9953844181108140524</stp>
        <tr r="G1584" s="2"/>
      </tp>
      <tp t="s">
        <v>#N/A Requesting Data...3808682980</v>
        <stp/>
        <stp>BDP|6755947757599338784</stp>
        <tr r="P766" s="2"/>
      </tp>
      <tp t="s">
        <v>#N/A Requesting Data...4285113190</v>
        <stp/>
        <stp>BDP|2315981571298515003</stp>
        <tr r="D466" s="2"/>
      </tp>
      <tp t="s">
        <v>#N/A Requesting Data...4082327556</v>
        <stp/>
        <stp>BDP|9026043249148327111</stp>
        <tr r="J2079" s="2"/>
      </tp>
      <tp t="s">
        <v>#N/A Requesting Data...4192525381</v>
        <stp/>
        <stp>BDP|7957040640272377513</stp>
        <tr r="J1057" s="2"/>
      </tp>
      <tp t="s">
        <v>#N/A Requesting Data...3850345393</v>
        <stp/>
        <stp>BDP|4601533218841098521</stp>
        <tr r="R769" s="2"/>
      </tp>
      <tp t="s">
        <v>#N/A Requesting Data...3815804838</v>
        <stp/>
        <stp>BDP|3525885395852489434</stp>
        <tr r="O2160" s="2"/>
      </tp>
      <tp t="s">
        <v>#N/A Requesting Data...3834752412</v>
        <stp/>
        <stp>BDP|7680686602241487476</stp>
        <tr r="M2532" s="2"/>
      </tp>
      <tp t="s">
        <v>#N/A Requesting Data...3803902219</v>
        <stp/>
        <stp>BDP|1969112923643414501</stp>
        <tr r="A585" s="2"/>
      </tp>
      <tp t="s">
        <v>#N/A Requesting Data...4161663256</v>
        <stp/>
        <stp>BDP|3077723075156832104</stp>
        <tr r="A1681" s="2"/>
      </tp>
      <tp t="s">
        <v>#N/A Requesting Data...4156207579</v>
        <stp/>
        <stp>BDP|3964788885091956929</stp>
        <tr r="C2257" s="2"/>
      </tp>
      <tp t="s">
        <v>#N/A Requesting Data...3997322928</v>
        <stp/>
        <stp>BDP|4531543233764948241</stp>
        <tr r="M432" s="2"/>
      </tp>
      <tp t="s">
        <v>#N/A Requesting Data...4123275798</v>
        <stp/>
        <stp>BDP|2738612319141710073</stp>
        <tr r="D1717" s="2"/>
      </tp>
      <tp t="s">
        <v>#N/A Requesting Data...4248516193</v>
        <stp/>
        <stp>BDP|7402764766607844533</stp>
        <tr r="D1753" s="2"/>
      </tp>
      <tp t="s">
        <v>#N/A Requesting Data...4139140600</v>
        <stp/>
        <stp>BDP|8574921028704845380</stp>
        <tr r="M72" s="2"/>
      </tp>
      <tp t="s">
        <v>#N/A Requesting Data...3850399317</v>
        <stp/>
        <stp>BDP|1542459044963366687</stp>
        <tr r="M726" s="2"/>
      </tp>
      <tp t="s">
        <v>#N/A Requesting Data...3933563449</v>
        <stp/>
        <stp>BDP|1641599661530687675</stp>
        <tr r="T2208" s="2"/>
      </tp>
      <tp t="s">
        <v>#N/A Requesting Data...4290733657</v>
        <stp/>
        <stp>BDP|4575943352495412984</stp>
        <tr r="G408" s="2"/>
      </tp>
      <tp t="s">
        <v>#N/A Requesting Data...3865329150</v>
        <stp/>
        <stp>BDP|4637390039779168987</stp>
        <tr r="R199" s="2"/>
      </tp>
      <tp t="s">
        <v>#N/A Requesting Data...4046110055</v>
        <stp/>
        <stp>BDP|5882254358987891129</stp>
        <tr r="P2505" s="2"/>
      </tp>
      <tp t="s">
        <v>#N/A Requesting Data...4217466436</v>
        <stp/>
        <stp>BDP|2800058193438203738</stp>
        <tr r="R678" s="2"/>
      </tp>
      <tp t="s">
        <v>#N/A Requesting Data...4215670396</v>
        <stp/>
        <stp>BDP|8546469444914870807</stp>
        <tr r="A1356" s="2"/>
      </tp>
      <tp t="s">
        <v>#N/A Requesting Data...3890611997</v>
        <stp/>
        <stp>BDP|6428055438218313950</stp>
        <tr r="K1361" s="2"/>
      </tp>
      <tp t="s">
        <v>#N/A Requesting Data...4049703568</v>
        <stp/>
        <stp>BDP|8842833046794353411</stp>
        <tr r="P2239" s="2"/>
      </tp>
      <tp t="s">
        <v>#N/A Requesting Data...3939500015</v>
        <stp/>
        <stp>BDP|3972503536383426241</stp>
        <tr r="C1250" s="2"/>
      </tp>
      <tp t="s">
        <v>#N/A Requesting Data...4272206838</v>
        <stp/>
        <stp>BDP|7225586542181501321</stp>
        <tr r="C1544" s="2"/>
      </tp>
      <tp t="s">
        <v>#N/A Requesting Data...4028257210</v>
        <stp/>
        <stp>BDP|4093065719069709878</stp>
        <tr r="M1377" s="2"/>
      </tp>
      <tp t="s">
        <v>#N/A Requesting Data...3916454301</v>
        <stp/>
        <stp>BDP|1468933934179922651</stp>
        <tr r="E1146" s="2"/>
      </tp>
      <tp t="s">
        <v>#N/A Requesting Data...4237950791</v>
        <stp/>
        <stp>BDP|1262138175900816331</stp>
        <tr r="C1689" s="2"/>
      </tp>
      <tp t="s">
        <v>#N/A Requesting Data...3872199077</v>
        <stp/>
        <stp>BDP|8868140682473129607</stp>
        <tr r="G272" s="2"/>
      </tp>
      <tp t="s">
        <v>#N/A Requesting Data...4144633496</v>
        <stp/>
        <stp>BDP|5342563800993817729</stp>
        <tr r="D426" s="2"/>
      </tp>
      <tp t="s">
        <v>#N/A Requesting Data...3952477450</v>
        <stp/>
        <stp>BDP|5892888187112056383</stp>
        <tr r="G2078" s="2"/>
      </tp>
      <tp t="s">
        <v>#N/A Requesting Data...3877861420</v>
        <stp/>
        <stp>BDP|5387247769936346324</stp>
        <tr r="O1627" s="2"/>
      </tp>
      <tp t="s">
        <v>#N/A Requesting Data...4285057924</v>
        <stp/>
        <stp>BDP|7327191214581588248</stp>
        <tr r="K1486" s="2"/>
      </tp>
      <tp t="s">
        <v>#N/A Requesting Data...3932358520</v>
        <stp/>
        <stp>BDP|1544718236289518889</stp>
        <tr r="G1713" s="2"/>
      </tp>
      <tp t="s">
        <v>#N/A Requesting Data...4105849002</v>
        <stp/>
        <stp>BDP|7579418912505845327</stp>
        <tr r="H1546" s="2"/>
      </tp>
      <tp t="s">
        <v>#N/A Requesting Data...3921334829</v>
        <stp/>
        <stp>BDP|8406870138983092479</stp>
        <tr r="K895" s="2"/>
      </tp>
      <tp t="s">
        <v>#N/A Requesting Data...4180231441</v>
        <stp/>
        <stp>BDP|8869151676928413236</stp>
        <tr r="F464" s="2"/>
      </tp>
      <tp t="s">
        <v>#N/A Requesting Data...4071251067</v>
        <stp/>
        <stp>BDP|7360186950193306449</stp>
        <tr r="F387" s="2"/>
      </tp>
      <tp t="s">
        <v>#N/A Requesting Data...4011813707</v>
        <stp/>
        <stp>BDP|2754512857080563689</stp>
        <tr r="R855" s="2"/>
      </tp>
      <tp t="s">
        <v>#N/A Requesting Data...4141023373</v>
        <stp/>
        <stp>BDP|3628731598900954987</stp>
        <tr r="M1707" s="2"/>
      </tp>
      <tp t="s">
        <v>#N/A Requesting Data...4114405549</v>
        <stp/>
        <stp>BDP|9280383513239162644</stp>
        <tr r="D153" s="2"/>
      </tp>
      <tp t="s">
        <v>#N/A Requesting Data...4154149043</v>
        <stp/>
        <stp>BDP|9679799262508629472</stp>
        <tr r="J1839" s="2"/>
      </tp>
      <tp t="s">
        <v>#N/A Requesting Data...4227607921</v>
        <stp/>
        <stp>BDP|2140757405317829659</stp>
        <tr r="T2281" s="2"/>
      </tp>
      <tp t="s">
        <v>#N/A Requesting Data...4011897927</v>
        <stp/>
        <stp>BDP|9914469962436675970</stp>
        <tr r="G2181" s="2"/>
      </tp>
      <tp t="s">
        <v>#N/A Requesting Data...4068785952</v>
        <stp/>
        <stp>BDP|4993656678661854006</stp>
        <tr r="P1747" s="2"/>
      </tp>
      <tp t="s">
        <v>#N/A Requesting Data...3975465589</v>
        <stp/>
        <stp>BDP|2856452855562119559</stp>
        <tr r="D1991" s="2"/>
      </tp>
      <tp t="s">
        <v>#N/A Requesting Data...4074064031</v>
        <stp/>
        <stp>BDP|8915524356549640579</stp>
        <tr r="J293" s="2"/>
      </tp>
      <tp t="s">
        <v>#N/A Requesting Data...4233414033</v>
        <stp/>
        <stp>BDP|3106406456497394186</stp>
        <tr r="N372" s="2"/>
      </tp>
      <tp t="s">
        <v>#N/A Requesting Data...4224286193</v>
        <stp/>
        <stp>BDP|4706791505901016675</stp>
        <tr r="H892" s="2"/>
      </tp>
      <tp t="s">
        <v>#N/A Requesting Data...4227574814</v>
        <stp/>
        <stp>BDP|4131037617524052598</stp>
        <tr r="A2048" s="2"/>
      </tp>
      <tp t="s">
        <v>#N/A Requesting Data...4294713815</v>
        <stp/>
        <stp>BDP|7116248206816656798</stp>
        <tr r="K1287" s="2"/>
      </tp>
      <tp t="s">
        <v>#N/A Requesting Data...4242213538</v>
        <stp/>
        <stp>BDP|6799615369576651450</stp>
        <tr r="D630" s="2"/>
      </tp>
      <tp t="s">
        <v>#N/A Requesting Data...4103467943</v>
        <stp/>
        <stp>BDP|7307664380784180987</stp>
        <tr r="K979" s="2"/>
      </tp>
      <tp t="s">
        <v>#N/A Requesting Data...4270407444</v>
        <stp/>
        <stp>BDP|2633298852621683079</stp>
        <tr r="P1399" s="2"/>
      </tp>
      <tp t="s">
        <v>#N/A Requesting Data...4277632975</v>
        <stp/>
        <stp>BDP|5948005356560307408</stp>
        <tr r="N1025" s="2"/>
      </tp>
      <tp t="s">
        <v>#N/A Requesting Data...4043809057</v>
        <stp/>
        <stp>BDP|2995151312140636645</stp>
        <tr r="G1482" s="2"/>
      </tp>
      <tp t="s">
        <v>#N/A Requesting Data...4242365537</v>
        <stp/>
        <stp>BDP|4324023105704185491</stp>
        <tr r="M1439" s="2"/>
      </tp>
      <tp t="s">
        <v>#N/A Requesting Data...4090753155</v>
        <stp/>
        <stp>BDP|3275147223135186186</stp>
        <tr r="N2411" s="2"/>
      </tp>
      <tp t="s">
        <v>#N/A Requesting Data...4220458171</v>
        <stp/>
        <stp>BDP|6132545191907861906</stp>
        <tr r="F1328" s="2"/>
      </tp>
      <tp t="s">
        <v>#N/A Requesting Data...4274543654</v>
        <stp/>
        <stp>BDP|1897279527492328779</stp>
        <tr r="P540" s="2"/>
      </tp>
      <tp t="s">
        <v>#N/A Requesting Data...4198974218</v>
        <stp/>
        <stp>BDP|9527323134799803479</stp>
        <tr r="C247" s="2"/>
      </tp>
      <tp t="s">
        <v>#N/A Requesting Data...4075983084</v>
        <stp/>
        <stp>BDP|6404437875565993474</stp>
        <tr r="J2493" s="2"/>
      </tp>
      <tp t="s">
        <v>#N/A Requesting Data...4117934579</v>
        <stp/>
        <stp>BDP|5202148006385561592</stp>
        <tr r="C128" s="2"/>
      </tp>
      <tp t="s">
        <v>#N/A Requesting Data...4170895461</v>
        <stp/>
        <stp>BDP|6410487825983121743</stp>
        <tr r="R381" s="2"/>
      </tp>
      <tp t="s">
        <v>#N/A Requesting Data...4216190406</v>
        <stp/>
        <stp>BDP|3585854137529834534</stp>
        <tr r="R1252" s="2"/>
      </tp>
      <tp t="s">
        <v>#N/A Requesting Data...3991613089</v>
        <stp/>
        <stp>BDP|3991954995484162341</stp>
        <tr r="O706" s="2"/>
      </tp>
      <tp t="s">
        <v>#N/A Requesting Data...4082057738</v>
        <stp/>
        <stp>BDP|1932183825075061388</stp>
        <tr r="A51" s="2"/>
      </tp>
      <tp t="s">
        <v>#N/A Requesting Data...4274177293</v>
        <stp/>
        <stp>BDP|9353580518231803876</stp>
        <tr r="C2370" s="2"/>
      </tp>
      <tp t="s">
        <v>#N/A Requesting Data...3975816213</v>
        <stp/>
        <stp>BDP|9815681016168301290</stp>
        <tr r="K1154" s="2"/>
      </tp>
      <tp t="s">
        <v>#N/A Requesting Data...3992624331</v>
        <stp/>
        <stp>BDP|2182426886599036398</stp>
        <tr r="F205" s="2"/>
      </tp>
      <tp t="s">
        <v>#N/A Requesting Data...4294365568</v>
        <stp/>
        <stp>BDP|6343185676403973782</stp>
        <tr r="A464" s="2"/>
      </tp>
      <tp t="s">
        <v>#N/A Requesting Data...4246462135</v>
        <stp/>
        <stp>BDP|4988817191889101847</stp>
        <tr r="Q1293" s="2"/>
      </tp>
      <tp t="s">
        <v>#N/A Requesting Data...4111231599</v>
        <stp/>
        <stp>BDP|7326032261402544780</stp>
        <tr r="T772" s="2"/>
      </tp>
      <tp t="s">
        <v>#N/A Requesting Data...3997715654</v>
        <stp/>
        <stp>BDP|4512511272853214189</stp>
        <tr r="G773" s="2"/>
      </tp>
      <tp t="s">
        <v>#N/A Requesting Data...4051786837</v>
        <stp/>
        <stp>BDP|6399884692290584307</stp>
        <tr r="P1717" s="2"/>
      </tp>
      <tp t="s">
        <v>#N/A Requesting Data...4082362987</v>
        <stp/>
        <stp>BDP|6484774216633136789</stp>
        <tr r="H979" s="2"/>
      </tp>
      <tp t="s">
        <v>#N/A Requesting Data...4135826420</v>
        <stp/>
        <stp>BDP|7846340347553568727</stp>
        <tr r="E872" s="2"/>
      </tp>
      <tp t="s">
        <v>#N/A Requesting Data...4100128266</v>
        <stp/>
        <stp>BDP|9385637494615999710</stp>
        <tr r="S1541" s="2"/>
      </tp>
      <tp t="s">
        <v>#N/A Requesting Data...4244358524</v>
        <stp/>
        <stp>BDP|3562510427625920561</stp>
        <tr r="K1201" s="2"/>
      </tp>
      <tp t="s">
        <v>#N/A Requesting Data...4138562062</v>
        <stp/>
        <stp>BDP|6890489359337052455</stp>
        <tr r="K197" s="2"/>
      </tp>
      <tp t="s">
        <v>#N/A Requesting Data...4062481208</v>
        <stp/>
        <stp>BDP|4002596053900541038</stp>
        <tr r="S610" s="2"/>
      </tp>
      <tp t="s">
        <v>#N/A Requesting Data...4163492908</v>
        <stp/>
        <stp>BDP|4228334425199866802</stp>
        <tr r="K1717" s="2"/>
      </tp>
      <tp t="b">
        <v>0</v>
        <stp/>
        <stp>BDS|2239915628139731404</stp>
        <tr r="I2262" s="2"/>
      </tp>
      <tp t="s">
        <v>#N/A Requesting Data...4242427399</v>
        <stp/>
        <stp>BDP|3260230469252136155</stp>
        <tr r="N490" s="2"/>
      </tp>
      <tp t="s">
        <v>#N/A Requesting Data...4078133156</v>
        <stp/>
        <stp>BDP|5933540322645156322</stp>
        <tr r="S1750" s="2"/>
      </tp>
      <tp t="s">
        <v>#N/A Requesting Data...4038323956</v>
        <stp/>
        <stp>BDP|7340745717367522292</stp>
        <tr r="P1620" s="2"/>
      </tp>
      <tp t="s">
        <v>#N/A Requesting Data...4014705333</v>
        <stp/>
        <stp>BDP|4374542919791208500</stp>
        <tr r="A845" s="2"/>
      </tp>
      <tp t="s">
        <v>#N/A Requesting Data...4288766673</v>
        <stp/>
        <stp>BDP|2956628622247189545</stp>
        <tr r="C1614" s="2"/>
      </tp>
      <tp t="s">
        <v>#N/A Requesting Data...4030874962</v>
        <stp/>
        <stp>BDP|3755486399442304892</stp>
        <tr r="R41" s="2"/>
      </tp>
      <tp t="s">
        <v>#N/A Requesting Data...4100508319</v>
        <stp/>
        <stp>BDP|5143480506867686251</stp>
        <tr r="K2228" s="2"/>
      </tp>
      <tp t="s">
        <v>#N/A Requesting Data...4206798312</v>
        <stp/>
        <stp>BDP|4268193460387259056</stp>
        <tr r="N762" s="2"/>
      </tp>
      <tp t="s">
        <v>#N/A Requesting Data...4146636257</v>
        <stp/>
        <stp>BDP|2936793539250648233</stp>
        <tr r="H267" s="2"/>
      </tp>
      <tp t="s">
        <v>#N/A Requesting Data...4045002761</v>
        <stp/>
        <stp>BDP|5923597893004731983</stp>
        <tr r="C623" s="2"/>
      </tp>
      <tp t="b">
        <v>0</v>
        <stp/>
        <stp>BDS|8621051588890288454</stp>
        <tr r="I1882" s="2"/>
      </tp>
      <tp t="s">
        <v>#N/A Requesting Data...4273447379</v>
        <stp/>
        <stp>BDP|2872379549996249787</stp>
        <tr r="R850" s="2"/>
      </tp>
      <tp t="s">
        <v>#N/A Requesting Data...4084117268</v>
        <stp/>
        <stp>BDP|2847981683890806779</stp>
        <tr r="R1901" s="2"/>
      </tp>
      <tp t="b">
        <v>0</v>
        <stp/>
        <stp>BDS|1466485074485440304</stp>
        <tr r="I1557" s="2"/>
      </tp>
      <tp t="s">
        <v>#N/A Requesting Data...4145640463</v>
        <stp/>
        <stp>BDP|7327753729264279210</stp>
        <tr r="N757" s="2"/>
      </tp>
      <tp t="s">
        <v>#N/A Requesting Data...4248830202</v>
        <stp/>
        <stp>BDP|1346124274057049490</stp>
        <tr r="P1405" s="2"/>
      </tp>
      <tp t="s">
        <v>#N/A Requesting Data...4289407215</v>
        <stp/>
        <stp>BDP|4110500950840445099</stp>
        <tr r="J969" s="2"/>
      </tp>
      <tp t="s">
        <v>#N/A Requesting Data...4181811528</v>
        <stp/>
        <stp>BDP|4352278647872620490</stp>
        <tr r="N1056" s="2"/>
      </tp>
      <tp t="s">
        <v>#N/A Requesting Data...4292795779</v>
        <stp/>
        <stp>BDP|8919139127139398627</stp>
        <tr r="D2355" s="2"/>
      </tp>
      <tp t="s">
        <v>#N/A Requesting Data...4245011532</v>
        <stp/>
        <stp>BDP|5459266458715471324</stp>
        <tr r="D127" s="2"/>
      </tp>
      <tp t="s">
        <v>#N/A Requesting Data...4255401476</v>
        <stp/>
        <stp>BDP|4928919083365460439</stp>
        <tr r="A2103" s="2"/>
      </tp>
      <tp t="s">
        <v>#N/A Requesting Data...4113491335</v>
        <stp/>
        <stp>BDP|2332684015523165232</stp>
        <tr r="M1693" s="2"/>
      </tp>
      <tp t="s">
        <v>#N/A Requesting Data...4220030212</v>
        <stp/>
        <stp>BDP|3943661470234731242</stp>
        <tr r="O1747" s="2"/>
      </tp>
      <tp t="s">
        <v>#N/A Requesting Data...4212476586</v>
        <stp/>
        <stp>BDP|5468242337237949724</stp>
        <tr r="Q1728" s="2"/>
      </tp>
      <tp t="s">
        <v>#N/A Requesting Data...4124706246</v>
        <stp/>
        <stp>BDP|4075857705889570199</stp>
        <tr r="M1510" s="2"/>
      </tp>
      <tp t="s">
        <v>#N/A Requesting Data...4179584202</v>
        <stp/>
        <stp>BDP|7664929778324724967</stp>
        <tr r="K1375" s="2"/>
      </tp>
      <tp t="s">
        <v>#N/A Requesting Data...4183983203</v>
        <stp/>
        <stp>BDP|4987487289714673836</stp>
        <tr r="C2067" s="2"/>
      </tp>
      <tp t="s">
        <v>#N/A Requesting Data...4135766472</v>
        <stp/>
        <stp>BDP|5676927368718183606</stp>
        <tr r="D2046" s="2"/>
      </tp>
      <tp t="s">
        <v>#N/A Requesting Data...4081554487</v>
        <stp/>
        <stp>BDP|2841081478769592802</stp>
        <tr r="K834" s="2"/>
      </tp>
      <tp t="s">
        <v>#N/A Requesting Data...4200422061</v>
        <stp/>
        <stp>BDP|8397180336529247721</stp>
        <tr r="P520" s="2"/>
      </tp>
      <tp t="s">
        <v>#N/A Requesting Data...4139106791</v>
        <stp/>
        <stp>BDP|2097340281309137490</stp>
        <tr r="O2094" s="2"/>
      </tp>
      <tp t="s">
        <v>#N/A Requesting Data...4250158983</v>
        <stp/>
        <stp>BDP|7029304873555696283</stp>
        <tr r="K2227" s="2"/>
      </tp>
      <tp t="s">
        <v>#N/A Requesting Data...4203141438</v>
        <stp/>
        <stp>BDP|2151868996520595798</stp>
        <tr r="O1632" s="2"/>
      </tp>
      <tp t="s">
        <v>#N/A Requesting Data...4271555512</v>
        <stp/>
        <stp>BDP|5877368547296020046</stp>
        <tr r="R2057" s="2"/>
      </tp>
      <tp t="s">
        <v>#N/A Requesting Data...4158805882</v>
        <stp/>
        <stp>BDP|5705659369057057664</stp>
        <tr r="M2263" s="2"/>
      </tp>
      <tp t="s">
        <v>#N/A Requesting Data...4227941385</v>
        <stp/>
        <stp>BDP|4144699933010759510</stp>
        <tr r="S2346" s="2"/>
      </tp>
      <tp t="s">
        <v>#N/A Requesting Data...4221361897</v>
        <stp/>
        <stp>BDP|3593776465461947737</stp>
        <tr r="A1742" s="2"/>
      </tp>
      <tp t="s">
        <v>#N/A Requesting Data...4278487407</v>
        <stp/>
        <stp>BDP|6507318513846901638</stp>
        <tr r="J1265" s="2"/>
      </tp>
      <tp t="s">
        <v>#N/A Requesting Data...4238034822</v>
        <stp/>
        <stp>BDP|2512746303582791383</stp>
        <tr r="K2354" s="2"/>
      </tp>
      <tp t="s">
        <v>#N/A Requesting Data...4178014718</v>
        <stp/>
        <stp>BDP|5497318363017939329</stp>
        <tr r="K373" s="2"/>
      </tp>
      <tp t="s">
        <v>#N/A Requesting Data...4188148732</v>
        <stp/>
        <stp>BDP|5253338799799300261</stp>
        <tr r="C2487" s="2"/>
      </tp>
      <tp t="s">
        <v>#N/A Requesting Data...4198572905</v>
        <stp/>
        <stp>BDP|6403606031990005784</stp>
        <tr r="R1338" s="2"/>
      </tp>
      <tp t="s">
        <v>#N/A Requesting Data...4216187807</v>
        <stp/>
        <stp>BDP|7398122118665518616</stp>
        <tr r="A169" s="2"/>
      </tp>
      <tp t="s">
        <v>#N/A Requesting Data...4271386683</v>
        <stp/>
        <stp>BDP|3845138880426443826</stp>
        <tr r="R846" s="2"/>
      </tp>
      <tp t="s">
        <v>#N/A Requesting Data...4150221601</v>
        <stp/>
        <stp>BDP|7631598070345028420</stp>
        <tr r="C303" s="2"/>
      </tp>
      <tp t="s">
        <v>#N/A Requesting Data...4216264909</v>
        <stp/>
        <stp>BDP|1170627671887600392</stp>
        <tr r="T644" s="2"/>
      </tp>
      <tp t="s">
        <v>#N/A Requesting Data...4257754676</v>
        <stp/>
        <stp>BDP|9034361626938525484</stp>
        <tr r="A1028" s="2"/>
      </tp>
      <tp t="s">
        <v>#N/A Requesting Data...4253409208</v>
        <stp/>
        <stp>BDP|1456281212616793046</stp>
        <tr r="T1725" s="2"/>
      </tp>
      <tp t="s">
        <v>#N/A Requesting Data...4247561016</v>
        <stp/>
        <stp>BDP|8908166580003430668</stp>
        <tr r="A1058" s="2"/>
      </tp>
      <tp t="s">
        <v>#N/A Requesting Data...4294226445</v>
        <stp/>
        <stp>BDP|4748669479647706626</stp>
        <tr r="A432" s="2"/>
      </tp>
      <tp t="s">
        <v>#N/A Requesting Data...4140682603</v>
        <stp/>
        <stp>BDP|3688082947770539313</stp>
        <tr r="P2016" s="2"/>
      </tp>
      <tp t="s">
        <v>#N/A Requesting Data...4245262844</v>
        <stp/>
        <stp>BDP|1389449569551500669</stp>
        <tr r="M2018" s="2"/>
      </tp>
      <tp t="s">
        <v>#N/A Requesting Data...4178016606</v>
        <stp/>
        <stp>BDP|4923846438683875808</stp>
        <tr r="J369" s="2"/>
      </tp>
      <tp t="s">
        <v>#N/A Requesting Data...4167810046</v>
        <stp/>
        <stp>BDP|9719560368777097942</stp>
        <tr r="M1737" s="2"/>
      </tp>
      <tp t="s">
        <v>#N/A Requesting Data...4207798084</v>
        <stp/>
        <stp>BDP|9402508066606954867</stp>
        <tr r="N263" s="2"/>
      </tp>
      <tp t="b">
        <v>0</v>
        <stp/>
        <stp>BDS|4197755453016321491</stp>
        <tr r="I1196" s="2"/>
      </tp>
      <tp t="s">
        <v>#N/A Requesting Data...4283156044</v>
        <stp/>
        <stp>BDP|2023125729152687701</stp>
        <tr r="Q1907" s="2"/>
      </tp>
      <tp t="s">
        <v>#N/A Requesting Data...4162262440</v>
        <stp/>
        <stp>BDP|5373433848598192947</stp>
        <tr r="S2033" s="2"/>
      </tp>
      <tp t="s">
        <v>#N/A Requesting Data...4230612747</v>
        <stp/>
        <stp>BDP|5394079139164560658</stp>
        <tr r="F659" s="2"/>
      </tp>
      <tp t="s">
        <v>#N/A Requesting Data...4197114298</v>
        <stp/>
        <stp>BDP|5599926188621322114</stp>
        <tr r="S371" s="2"/>
      </tp>
      <tp t="s">
        <v>#N/A Requesting Data...4258205840</v>
        <stp/>
        <stp>BDP|4279631908936394078</stp>
        <tr r="P1152" s="2"/>
      </tp>
      <tp t="s">
        <v>#N/A Requesting Data...4169990797</v>
        <stp/>
        <stp>BDP|6344683127085519347</stp>
        <tr r="H1682" s="2"/>
      </tp>
      <tp t="s">
        <v>#N/A Requesting Data...4268445459</v>
        <stp/>
        <stp>BDP|2881335407392589747</stp>
        <tr r="O1299" s="2"/>
      </tp>
      <tp t="s">
        <v>#N/A Requesting Data...4240257192</v>
        <stp/>
        <stp>BDP|3695508528167371706</stp>
        <tr r="K2522" s="2"/>
      </tp>
      <tp t="b">
        <v>0</v>
        <stp/>
        <stp>BDS|7114232734416931426</stp>
        <tr r="I221" s="2"/>
      </tp>
      <tp t="s">
        <v>#N/A Requesting Data...4260892555</v>
        <stp/>
        <stp>BDP|1571076704305868035</stp>
        <tr r="P1497" s="2"/>
      </tp>
      <tp t="s">
        <v>#N/A Requesting Data...4257025086</v>
        <stp/>
        <stp>BDP|1171420817290848010</stp>
        <tr r="S205" s="2"/>
      </tp>
      <tp t="s">
        <v>#N/A Requesting Data...4217073970</v>
        <stp/>
        <stp>BDP|6913073868271905521</stp>
        <tr r="M9" s="2"/>
      </tp>
      <tp t="s">
        <v>#N/A Requesting Data...4206666082</v>
        <stp/>
        <stp>BDP|9857260024099447430</stp>
        <tr r="D217" s="2"/>
      </tp>
      <tp t="s">
        <v>#N/A Requesting Data...4260816432</v>
        <stp/>
        <stp>BDP|4965495196679937426</stp>
        <tr r="K897" s="2"/>
      </tp>
      <tp t="s">
        <v>#N/A Requesting Data...4242593493</v>
        <stp/>
        <stp>BDP|3964073305421320653</stp>
        <tr r="D1115" s="2"/>
      </tp>
      <tp t="s">
        <v>#N/A Requesting Data...4219402838</v>
        <stp/>
        <stp>BDP|2091310590364494883</stp>
        <tr r="D2444" s="2"/>
      </tp>
      <tp t="s">
        <v>#N/A Requesting Data...4203344765</v>
        <stp/>
        <stp>BDP|7208654889208346502</stp>
        <tr r="A306" s="2"/>
      </tp>
      <tp t="s">
        <v>#N/A Requesting Data...4269586739</v>
        <stp/>
        <stp>BDP|5437009405163435288</stp>
        <tr r="O2018" s="2"/>
      </tp>
      <tp t="s">
        <v>#N/A Requesting Data...4215847078</v>
        <stp/>
        <stp>BDP|7310188713853501001</stp>
        <tr r="E1373" s="2"/>
      </tp>
      <tp t="s">
        <v>#N/A Requesting Data...4211765820</v>
        <stp/>
        <stp>BDP|6353704675097890538</stp>
        <tr r="F324" s="2"/>
      </tp>
      <tp t="s">
        <v>#N/A Requesting Data...4273552291</v>
        <stp/>
        <stp>BDP|5417370739499474832</stp>
        <tr r="N2290" s="2"/>
      </tp>
      <tp t="s">
        <v>#N/A Requesting Data...4243141150</v>
        <stp/>
        <stp>BDP|8825457890285748473</stp>
        <tr r="C566" s="2"/>
      </tp>
      <tp t="s">
        <v>#N/A Requesting Data...4280726548</v>
        <stp/>
        <stp>BDP|6346256675797676082</stp>
        <tr r="K796" s="2"/>
      </tp>
      <tp t="s">
        <v>#N/A Requesting Data...4263989277</v>
        <stp/>
        <stp>BDP|3932132167079160914</stp>
        <tr r="R2445" s="2"/>
      </tp>
      <tp t="s">
        <v>#N/A Requesting Data...4229160733</v>
        <stp/>
        <stp>BDP|1165583201631411111</stp>
        <tr r="J268" s="2"/>
      </tp>
      <tp t="s">
        <v>#N/A Requesting Data...4234937486</v>
        <stp/>
        <stp>BDP|9698087334857168963</stp>
        <tr r="F1110" s="2"/>
      </tp>
      <tp t="s">
        <v>#N/A Requesting Data...4253132014</v>
        <stp/>
        <stp>BDP|6298239875241825613</stp>
        <tr r="F87" s="2"/>
      </tp>
      <tp t="s">
        <v>#N/A Requesting Data...4265379397</v>
        <stp/>
        <stp>BDP|5984263850533751558</stp>
        <tr r="F2363" s="2"/>
      </tp>
      <tp t="s">
        <v>#N/A Requesting Data...4256223561</v>
        <stp/>
        <stp>BDP|5486190485989423110</stp>
        <tr r="P1585" s="2"/>
      </tp>
      <tp t="s">
        <v>#N/A Requesting Data...4292492276</v>
        <stp/>
        <stp>BDP|3114601282291735892</stp>
        <tr r="G1597" s="2"/>
      </tp>
      <tp t="s">
        <v>#N/A Requesting Data...4276519824</v>
        <stp/>
        <stp>BDP|6144240061587947106</stp>
        <tr r="Q1392" s="2"/>
      </tp>
      <tp t="s">
        <v>#N/A Requesting Data...4286844465</v>
        <stp/>
        <stp>BDP|5365099183228273168</stp>
        <tr r="N929" s="2"/>
      </tp>
      <tp t="s">
        <v>#N/A Requesting Data...4279481760</v>
        <stp/>
        <stp>BDP|5173685471254440416</stp>
        <tr r="Q528" s="2"/>
      </tp>
      <tp t="s">
        <v>#N/A Requesting Data...4267505744</v>
        <stp/>
        <stp>BDP|7841453742467672446</stp>
        <tr r="F853" s="2"/>
      </tp>
      <tp t="s">
        <v>#N/A Requesting Data...4278298713</v>
        <stp/>
        <stp>BDP|8767341878499374156</stp>
        <tr r="G2376" s="2"/>
      </tp>
      <tp t="s">
        <v>#N/A Requesting Data...4284645419</v>
        <stp/>
        <stp>BDP|9550283166559529033</stp>
        <tr r="E1356" s="2"/>
      </tp>
      <tp t="s">
        <v>#N/A Requesting Data...4274238534</v>
        <stp/>
        <stp>BDP|7648973082172715095</stp>
        <tr r="C1099" s="2"/>
      </tp>
      <tp t="s">
        <v>#N/A Requesting Data...4253576565</v>
        <stp/>
        <stp>BDP|1982974341130789857</stp>
        <tr r="M1249" s="2"/>
      </tp>
      <tp t="s">
        <v>#N/A Requesting Data...4274714712</v>
        <stp/>
        <stp>BDP|9888976455531094070</stp>
        <tr r="P1604" s="2"/>
      </tp>
      <tp t="s">
        <v>#N/A Requesting Data...4292747131</v>
        <stp/>
        <stp>BDP|4939026514014748554</stp>
        <tr r="K2153" s="2"/>
      </tp>
      <tp t="s">
        <v>#N/A Requesting Data...4286515495</v>
        <stp/>
        <stp>BDP|6749351614083827332</stp>
        <tr r="G81" s="2"/>
      </tp>
      <tp t="s">
        <v>#N/A Requesting Data...4289393038</v>
        <stp/>
        <stp>BDP|6752126745412837551</stp>
        <tr r="E1020" s="2"/>
      </tp>
      <tp t="s">
        <v>#N/A Requesting Data...4291053273</v>
        <stp/>
        <stp>BDP|7709623508815761078</stp>
        <tr r="P1065" s="2"/>
      </tp>
      <tp t="s">
        <v>#N/A Requesting Data...4290033192</v>
        <stp/>
        <stp>BDP|9421185084410219477</stp>
        <tr r="E1925" s="2"/>
      </tp>
      <tp t="s">
        <v>#N/A Requesting Data...4275600314</v>
        <stp/>
        <stp>BDP|2832310008632917750</stp>
        <tr r="R1904" s="2"/>
      </tp>
      <tp t="s">
        <v>#N/A Requesting Data...4286616541</v>
        <stp/>
        <stp>BDP|3504190443304517676</stp>
        <tr r="G1646" s="2"/>
      </tp>
      <tp t="s">
        <v>#N/A Requesting Data...4290580088</v>
        <stp/>
        <stp>BDP|1338379928982964681</stp>
        <tr r="D1590" s="2"/>
      </tp>
      <tp t="s">
        <v>#N/A Requesting Data...4283292183</v>
        <stp/>
        <stp>BDP|9264094597193075710</stp>
        <tr r="J1277" s="2"/>
      </tp>
      <tp t="s">
        <v>#N/A Requesting Data...4285129799</v>
        <stp/>
        <stp>BDP|2854138222794170159</stp>
        <tr r="J957" s="2"/>
      </tp>
      <tp t="s">
        <v>#N/A Requesting Data...4286911020</v>
        <stp/>
        <stp>BDP|3138329736523132498</stp>
        <tr r="E958" s="2"/>
      </tp>
      <tp t="s">
        <v>#N/A Requesting Data...4290448482</v>
        <stp/>
        <stp>BDP|1810509961793539518</stp>
        <tr r="T1876" s="2"/>
      </tp>
      <tp t="s">
        <v>#N/A Requesting Data...4293147647</v>
        <stp/>
        <stp>BDP|2681745159427577339</stp>
        <tr r="M758" s="2"/>
      </tp>
      <tp t="s">
        <v>#N/A Requesting Data...4294894624</v>
        <stp/>
        <stp>BDP|9301860877997775589</stp>
        <tr r="C2015" s="2"/>
      </tp>
      <tp t="s">
        <v>#N/A Requesting Data...3559929651</v>
        <stp/>
        <stp>BDP|4460799339926866217</stp>
        <tr r="O1879" s="2"/>
      </tp>
      <tp t="s">
        <v>#N/A Requesting Data...2494853530</v>
        <stp/>
        <stp>BDP|5377093206710475153</stp>
        <tr r="C837" s="2"/>
      </tp>
      <tp t="b">
        <v>0</v>
        <stp/>
        <stp>BDS|5526688722476384312</stp>
        <tr r="I305" s="2"/>
      </tp>
      <tp t="s">
        <v>#N/A Requesting Data...2636110347</v>
        <stp/>
        <stp>BDP|6939422806664538253</stp>
        <tr r="A18" s="2"/>
      </tp>
      <tp t="s">
        <v>#N/A Requesting Data...1265682766</v>
        <stp/>
        <stp>BDP|5040849053374803828</stp>
        <tr r="H1356" s="2"/>
      </tp>
      <tp t="s">
        <v>#N/A Requesting Data...3602488573</v>
        <stp/>
        <stp>BDP|5356873998892292231</stp>
        <tr r="H1567" s="2"/>
      </tp>
      <tp t="s">
        <v>#N/A Requesting Data...443225937</v>
        <stp/>
        <stp>BDP|1287234310825470385</stp>
        <tr r="N1267" s="2"/>
      </tp>
      <tp t="b">
        <v>0</v>
        <stp/>
        <stp>BDS|7035756531155153284</stp>
        <tr r="I215" s="2"/>
      </tp>
      <tp t="s">
        <v>#N/A Requesting Data...1842575460</v>
        <stp/>
        <stp>BDP|4790677623717894366</stp>
        <tr r="G2343" s="2"/>
      </tp>
      <tp t="s">
        <v>#N/A Requesting Data...2150128726</v>
        <stp/>
        <stp>BDP|1636340849421391358</stp>
        <tr r="P331" s="2"/>
      </tp>
      <tp t="s">
        <v>#N/A Requesting Data...3700124597</v>
        <stp/>
        <stp>BDP|8476340930745915947</stp>
        <tr r="M1213" s="2"/>
      </tp>
      <tp t="s">
        <v>#N/A Requesting Data...3977054172</v>
        <stp/>
        <stp>BDP|5987303516330997348</stp>
        <tr r="S1645" s="2"/>
      </tp>
      <tp t="s">
        <v>#N/A Requesting Data...2757286022</v>
        <stp/>
        <stp>BDP|6279625353744199505</stp>
        <tr r="A2359" s="2"/>
      </tp>
      <tp t="s">
        <v>#N/A Requesting Data...1202280386</v>
        <stp/>
        <stp>BDP|6516905620150484934</stp>
        <tr r="S1102" s="2"/>
      </tp>
      <tp t="s">
        <v>#N/A Requesting Data...3693643904</v>
        <stp/>
        <stp>BDP|4511640975527096664</stp>
        <tr r="P2461" s="2"/>
      </tp>
      <tp t="s">
        <v>#N/A Requesting Data...3056491654</v>
        <stp/>
        <stp>BDP|6028650831551498627</stp>
        <tr r="C152" s="2"/>
      </tp>
      <tp t="s">
        <v>#N/A Requesting Data...3438894343</v>
        <stp/>
        <stp>BDP|6311277547376756268</stp>
        <tr r="O967" s="2"/>
      </tp>
      <tp t="s">
        <v>#N/A Requesting Data...338598989</v>
        <stp/>
        <stp>BDP|7439012034281397102</stp>
        <tr r="P1393" s="2"/>
      </tp>
      <tp t="s">
        <v>#N/A Requesting Data...1085058521</v>
        <stp/>
        <stp>BDP|3581033123076717302</stp>
        <tr r="A168" s="2"/>
      </tp>
      <tp t="s">
        <v>#N/A Requesting Data...2959079954</v>
        <stp/>
        <stp>BDP|4563323115307983596</stp>
        <tr r="K871" s="2"/>
      </tp>
      <tp t="s">
        <v>#N/A Requesting Data...683499399</v>
        <stp/>
        <stp>BDP|2513349815326015262</stp>
        <tr r="T2233" s="2"/>
      </tp>
      <tp t="s">
        <v>#N/A Requesting Data...2037063926</v>
        <stp/>
        <stp>BDP|4569003100105591525</stp>
        <tr r="P1605" s="2"/>
      </tp>
      <tp t="s">
        <v>#N/A Requesting Data...3720334739</v>
        <stp/>
        <stp>BDP|7102630870460046208</stp>
        <tr r="Q286" s="2"/>
      </tp>
      <tp t="s">
        <v>#N/A Requesting Data...2762404813</v>
        <stp/>
        <stp>BDP|1737960844909118160</stp>
        <tr r="J2455" s="2"/>
      </tp>
      <tp t="s">
        <v>#N/A Requesting Data...2561740968</v>
        <stp/>
        <stp>BDP|7494273222821183221</stp>
        <tr r="Q1266" s="2"/>
      </tp>
      <tp t="s">
        <v>#N/A Requesting Data...4287149153</v>
        <stp/>
        <stp>BDP|9519577861918917685</stp>
        <tr r="R2107" s="2"/>
      </tp>
      <tp t="s">
        <v>#N/A Requesting Data...2537378611</v>
        <stp/>
        <stp>BDP|2285025256344342771</stp>
        <tr r="S53" s="2"/>
      </tp>
      <tp t="s">
        <v>#N/A Requesting Data...4159365717</v>
        <stp/>
        <stp>BDP|4006910337088695222</stp>
        <tr r="H555" s="2"/>
      </tp>
      <tp t="s">
        <v>#N/A Requesting Data...2835447596</v>
        <stp/>
        <stp>BDP|9307929656580313166</stp>
        <tr r="S1768" s="2"/>
      </tp>
      <tp t="s">
        <v>#N/A Requesting Data...2109901391</v>
        <stp/>
        <stp>BDP|5390716832307141232</stp>
        <tr r="C1270" s="2"/>
      </tp>
      <tp t="b">
        <v>0</v>
        <stp/>
        <stp>BDS|6413376121341532259</stp>
        <tr r="I1734" s="2"/>
      </tp>
      <tp t="s">
        <v>#N/A Requesting Data...740220169</v>
        <stp/>
        <stp>BDP|9255212386046487132</stp>
        <tr r="M2013" s="2"/>
      </tp>
      <tp t="s">
        <v>#N/A Requesting Data...1698439576</v>
        <stp/>
        <stp>BDP|9928759788237539537</stp>
        <tr r="F510" s="2"/>
      </tp>
      <tp t="s">
        <v>#N/A Requesting Data...1252310880</v>
        <stp/>
        <stp>BDP|1334557361627493116</stp>
        <tr r="F623" s="2"/>
      </tp>
      <tp t="s">
        <v>#N/A Requesting Data...2528089707</v>
        <stp/>
        <stp>BDP|4003099598979440079</stp>
        <tr r="M2302" s="2"/>
      </tp>
      <tp t="s">
        <v>#N/A Requesting Data...1854644037</v>
        <stp/>
        <stp>BDP|5050282747940922741</stp>
        <tr r="P807" s="2"/>
      </tp>
      <tp t="b">
        <v>0</v>
        <stp/>
        <stp>BDS|9042758386447544542</stp>
        <tr r="I1146" s="2"/>
      </tp>
      <tp t="s">
        <v>#N/A Requesting Data...157173029</v>
        <stp/>
        <stp>BDP|7537845586242514108</stp>
        <tr r="E1891" s="2"/>
      </tp>
      <tp t="s">
        <v>#N/A Requesting Data...3816899923</v>
        <stp/>
        <stp>BDP|4840524845342590387</stp>
        <tr r="P879" s="2"/>
      </tp>
      <tp t="s">
        <v>#N/A Requesting Data...1302846504</v>
        <stp/>
        <stp>BDP|6787602144785798568</stp>
        <tr r="M1876" s="2"/>
      </tp>
      <tp t="s">
        <v>#N/A Requesting Data...3637951362</v>
        <stp/>
        <stp>BDP|3692663299728322083</stp>
        <tr r="D2449" s="2"/>
      </tp>
      <tp t="s">
        <v>#N/A Requesting Data...686107924</v>
        <stp/>
        <stp>BDP|4453262652541061628</stp>
        <tr r="K2312" s="2"/>
      </tp>
      <tp t="s">
        <v>#N/A Requesting Data...2735808083</v>
        <stp/>
        <stp>BDP|8599619998616990573</stp>
        <tr r="T2362" s="2"/>
      </tp>
      <tp t="s">
        <v>#N/A Requesting Data...3327735346</v>
        <stp/>
        <stp>BDP|5291242922203316254</stp>
        <tr r="M2312" s="2"/>
      </tp>
      <tp t="s">
        <v>#N/A Requesting Data...3421855887</v>
        <stp/>
        <stp>BDP|3598454456712367470</stp>
        <tr r="E1131" s="2"/>
      </tp>
      <tp t="s">
        <v>#N/A Requesting Data...1913739426</v>
        <stp/>
        <stp>BDP|5525842059739891521</stp>
        <tr r="E1635" s="2"/>
      </tp>
      <tp t="s">
        <v>#N/A Requesting Data...717274666</v>
        <stp/>
        <stp>BDP|1296659222008366949</stp>
        <tr r="R1687" s="2"/>
      </tp>
      <tp t="b">
        <v>0</v>
        <stp/>
        <stp>BDS|6153137962534395112</stp>
        <tr r="I2425" s="2"/>
      </tp>
      <tp t="s">
        <v>#N/A Requesting Data...2726346852</v>
        <stp/>
        <stp>BDP|1460981896942084789</stp>
        <tr r="Q645" s="2"/>
      </tp>
      <tp t="s">
        <v>#N/A Requesting Data...4021441781</v>
        <stp/>
        <stp>BDP|8087954369555965671</stp>
        <tr r="M1405" s="2"/>
      </tp>
      <tp t="s">
        <v>#N/A Requesting Data...3830566135</v>
        <stp/>
        <stp>BDP|7457701313912562705</stp>
        <tr r="E1675" s="2"/>
      </tp>
      <tp t="s">
        <v>#N/A Requesting Data...3207338934</v>
        <stp/>
        <stp>BDP|9397953928190930656</stp>
        <tr r="A646" s="2"/>
      </tp>
      <tp t="s">
        <v>#N/A Requesting Data...4110421065</v>
        <stp/>
        <stp>BDP|7488635549297414680</stp>
        <tr r="S963" s="2"/>
      </tp>
      <tp t="s">
        <v>#N/A Requesting Data...3392087131</v>
        <stp/>
        <stp>BDP|5555994295898317986</stp>
        <tr r="C1802" s="2"/>
      </tp>
      <tp t="b">
        <v>0</v>
        <stp/>
        <stp>BDS|7121438348510887305</stp>
        <tr r="I551" s="2"/>
      </tp>
      <tp t="s">
        <v>#N/A Requesting Data...4181178901</v>
        <stp/>
        <stp>BDP|1576536149187408391</stp>
        <tr r="A2420" s="2"/>
      </tp>
      <tp t="s">
        <v>#N/A Requesting Data...4000554668</v>
        <stp/>
        <stp>BDP|6172649977505738679</stp>
        <tr r="E1944" s="2"/>
      </tp>
      <tp t="s">
        <v>#N/A Requesting Data...430692660</v>
        <stp/>
        <stp>BDP|4703984069656079944</stp>
        <tr r="F783" s="2"/>
      </tp>
      <tp t="b">
        <v>0</v>
        <stp/>
        <stp>BDS|7560457916115403302</stp>
        <tr r="I2039" s="2"/>
      </tp>
      <tp t="b">
        <v>0</v>
        <stp/>
        <stp>BDS|5032910030459522266</stp>
        <tr r="I1685" s="2"/>
      </tp>
      <tp t="s">
        <v>#N/A Requesting Data...1099607562</v>
        <stp/>
        <stp>BDP|9410396387305042380</stp>
        <tr r="O1684" s="2"/>
      </tp>
      <tp t="s">
        <v>#N/A Requesting Data...3181101218</v>
        <stp/>
        <stp>BDP|4694659161710136014</stp>
        <tr r="N684" s="2"/>
      </tp>
      <tp t="s">
        <v>#N/A Requesting Data...2242777566</v>
        <stp/>
        <stp>BDP|7457662400611460447</stp>
        <tr r="G1067" s="2"/>
      </tp>
      <tp t="s">
        <v>#N/A Requesting Data...2797585857</v>
        <stp/>
        <stp>BDP|5458097579630270643</stp>
        <tr r="M1709" s="2"/>
      </tp>
      <tp t="s">
        <v>#N/A Requesting Data...3786420914</v>
        <stp/>
        <stp>BDP|1711661440180442775</stp>
        <tr r="H1576" s="2"/>
      </tp>
      <tp t="s">
        <v>#N/A Requesting Data...392561261</v>
        <stp/>
        <stp>BDP|6629475966998582806</stp>
        <tr r="Q183" s="2"/>
      </tp>
      <tp t="s">
        <v>#N/A Requesting Data...1327942046</v>
        <stp/>
        <stp>BDP|4096037316534602518</stp>
        <tr r="F40" s="2"/>
      </tp>
      <tp t="s">
        <v>#N/A Requesting Data...4139270238</v>
        <stp/>
        <stp>BDP|7576476544534325775</stp>
        <tr r="O1707" s="2"/>
      </tp>
      <tp t="s">
        <v>#N/A Requesting Data...3754593387</v>
        <stp/>
        <stp>BDP|2016092714462661592</stp>
        <tr r="K583" s="2"/>
      </tp>
      <tp t="s">
        <v>#N/A Requesting Data...3384686350</v>
        <stp/>
        <stp>BDP|1466342830820687547</stp>
        <tr r="M720" s="2"/>
      </tp>
      <tp t="s">
        <v>#N/A Requesting Data...1315200598</v>
        <stp/>
        <stp>BDP|2688493129979665927</stp>
        <tr r="D316" s="2"/>
      </tp>
      <tp t="s">
        <v>#N/A Requesting Data...2871893232</v>
        <stp/>
        <stp>BDP|7535585523721539591</stp>
        <tr r="H480" s="2"/>
      </tp>
      <tp t="s">
        <v>#N/A Requesting Data...3291630049</v>
        <stp/>
        <stp>BDP|5141616750160056224</stp>
        <tr r="D613" s="2"/>
      </tp>
      <tp t="s">
        <v>#N/A Requesting Data...911380715</v>
        <stp/>
        <stp>BDP|1419787892678856347</stp>
        <tr r="P1000" s="2"/>
      </tp>
      <tp t="s">
        <v>#N/A Requesting Data...2163715879</v>
        <stp/>
        <stp>BDP|4136226568076974200</stp>
        <tr r="G987" s="2"/>
      </tp>
      <tp t="s">
        <v>#N/A Requesting Data...1484738989</v>
        <stp/>
        <stp>BDP|9163834154723572310</stp>
        <tr r="P2073" s="2"/>
      </tp>
      <tp t="s">
        <v>#N/A Requesting Data...2780464834</v>
        <stp/>
        <stp>BDP|9648917826335660354</stp>
        <tr r="N1159" s="2"/>
      </tp>
      <tp t="s">
        <v>#N/A Requesting Data...2974824351</v>
        <stp/>
        <stp>BDP|7658161023516117602</stp>
        <tr r="T590" s="2"/>
      </tp>
      <tp t="s">
        <v>#N/A Requesting Data...2692777894</v>
        <stp/>
        <stp>BDP|9046569899792988340</stp>
        <tr r="T1101" s="2"/>
      </tp>
      <tp t="s">
        <v>#N/A Requesting Data...1331720672</v>
        <stp/>
        <stp>BDP|7898477249274584716</stp>
        <tr r="S2009" s="2"/>
      </tp>
      <tp t="s">
        <v>#N/A Requesting Data...3668860526</v>
        <stp/>
        <stp>BDP|8233025922868496645</stp>
        <tr r="C1418" s="2"/>
      </tp>
      <tp t="s">
        <v>#N/A Requesting Data...1080388425</v>
        <stp/>
        <stp>BDP|1230473854293552762</stp>
        <tr r="H908" s="2"/>
      </tp>
      <tp t="s">
        <v>#N/A Requesting Data...1427434054</v>
        <stp/>
        <stp>BDP|4025061747496277215</stp>
        <tr r="N1592" s="2"/>
      </tp>
      <tp t="b">
        <v>0</v>
        <stp/>
        <stp>BDS|2466692211886631789</stp>
        <tr r="I1186" s="2"/>
      </tp>
      <tp t="s">
        <v>#N/A Requesting Data...3148521429</v>
        <stp/>
        <stp>BDP|8162192837066417890</stp>
        <tr r="S2099" s="2"/>
      </tp>
      <tp t="s">
        <v>#N/A Requesting Data...791476812</v>
        <stp/>
        <stp>BDP|6035750149764937573</stp>
        <tr r="M245" s="2"/>
      </tp>
      <tp t="s">
        <v>#N/A Requesting Data...1258045517</v>
        <stp/>
        <stp>BDP|1036999684544992062</stp>
        <tr r="C158" s="2"/>
      </tp>
      <tp t="s">
        <v>#N/A Requesting Data...3841429244</v>
        <stp/>
        <stp>BDP|8347763732480268871</stp>
        <tr r="T2521" s="2"/>
      </tp>
      <tp t="s">
        <v>#N/A Requesting Data...3996814005</v>
        <stp/>
        <stp>BDP|7974510485518965663</stp>
        <tr r="R1752" s="2"/>
      </tp>
      <tp t="s">
        <v>#N/A Requesting Data...1982483431</v>
        <stp/>
        <stp>BDP|2930268679656195553</stp>
        <tr r="D1014" s="2"/>
      </tp>
      <tp t="b">
        <v>0</v>
        <stp/>
        <stp>BDS|5763484488025425814</stp>
        <tr r="I1024" s="2"/>
      </tp>
      <tp t="s">
        <v>#N/A Requesting Data...3929439880</v>
        <stp/>
        <stp>BDP|6816048828750217048</stp>
        <tr r="J564" s="2"/>
      </tp>
      <tp t="s">
        <v>#N/A Requesting Data...291600330</v>
        <stp/>
        <stp>BDP|9153566202390145863</stp>
        <tr r="G458" s="2"/>
      </tp>
      <tp t="s">
        <v>#N/A Requesting Data...2155063105</v>
        <stp/>
        <stp>BDP|9225100827198559621</stp>
        <tr r="K1076" s="2"/>
      </tp>
      <tp t="s">
        <v>#N/A Requesting Data...1908676133</v>
        <stp/>
        <stp>BDP|4059070112652724306</stp>
        <tr r="H500" s="2"/>
      </tp>
      <tp t="s">
        <v>#N/A Requesting Data...3210833882</v>
        <stp/>
        <stp>BDP|6955890895005070674</stp>
        <tr r="H1892" s="2"/>
      </tp>
      <tp t="s">
        <v>#N/A Requesting Data...3739558439</v>
        <stp/>
        <stp>BDP|1340017511240448453</stp>
        <tr r="A1156" s="2"/>
      </tp>
      <tp t="s">
        <v>#N/A Requesting Data...1034527595</v>
        <stp/>
        <stp>BDP|5040080146630925549</stp>
        <tr r="D285" s="2"/>
      </tp>
      <tp t="b">
        <v>0</v>
        <stp/>
        <stp>BDS|6372011376113287655</stp>
        <tr r="I1652" s="2"/>
      </tp>
      <tp t="s">
        <v>#N/A Requesting Data...1343955937</v>
        <stp/>
        <stp>BDP|2272919137239543521</stp>
        <tr r="S1008" s="2"/>
      </tp>
      <tp t="s">
        <v>#N/A Requesting Data...723598556</v>
        <stp/>
        <stp>BDP|3658615395839104101</stp>
        <tr r="T1149" s="2"/>
      </tp>
      <tp t="s">
        <v>#N/A Requesting Data...302124935</v>
        <stp/>
        <stp>BDP|1603498062782972571</stp>
        <tr r="F1684" s="2"/>
      </tp>
      <tp t="s">
        <v>#N/A Requesting Data...1137687660</v>
        <stp/>
        <stp>BDP|1268030541536185722</stp>
        <tr r="G814" s="2"/>
      </tp>
      <tp t="s">
        <v>#N/A Requesting Data...3039692800</v>
        <stp/>
        <stp>BDP|5866014752167893302</stp>
        <tr r="J1515" s="2"/>
      </tp>
      <tp t="s">
        <v>#N/A Requesting Data...3661908414</v>
        <stp/>
        <stp>BDP|1722443310101086100</stp>
        <tr r="S2412" s="2"/>
      </tp>
      <tp t="s">
        <v>#N/A Requesting Data...3291815511</v>
        <stp/>
        <stp>BDP|1990663527311246095</stp>
        <tr r="D1573" s="2"/>
      </tp>
      <tp t="s">
        <v>#N/A Requesting Data...1975333238</v>
        <stp/>
        <stp>BDP|5676024814136082632</stp>
        <tr r="F1705" s="2"/>
      </tp>
      <tp t="s">
        <v>#N/A Requesting Data...1683887745</v>
        <stp/>
        <stp>BDP|2490509602862250176</stp>
        <tr r="S1757" s="2"/>
      </tp>
      <tp t="b">
        <v>0</v>
        <stp/>
        <stp>BDS|5127018064850632719</stp>
        <tr r="I438" s="2"/>
      </tp>
      <tp t="s">
        <v>#N/A Requesting Data...1221535247</v>
        <stp/>
        <stp>BDP|1064292331932247692</stp>
        <tr r="S1349" s="2"/>
      </tp>
      <tp t="s">
        <v>#N/A Requesting Data...3198832500</v>
        <stp/>
        <stp>BDP|6216094186298745298</stp>
        <tr r="P2436" s="2"/>
      </tp>
      <tp t="s">
        <v>#N/A Requesting Data...3479100783</v>
        <stp/>
        <stp>BDP|1281757637767204612</stp>
        <tr r="E417" s="2"/>
      </tp>
      <tp t="s">
        <v>#N/A Requesting Data...4145308624</v>
        <stp/>
        <stp>BDP|7630264216470403019</stp>
        <tr r="P1766" s="2"/>
      </tp>
      <tp t="s">
        <v>#N/A Requesting Data...1525871778</v>
        <stp/>
        <stp>BDP|3220821293903155515</stp>
        <tr r="S2072" s="2"/>
      </tp>
      <tp t="s">
        <v>#N/A Requesting Data...1285838740</v>
        <stp/>
        <stp>BDP|3473681721442811169</stp>
        <tr r="R874" s="2"/>
      </tp>
      <tp t="s">
        <v>#N/A Requesting Data...2292590952</v>
        <stp/>
        <stp>BDP|9270421457269370579</stp>
        <tr r="E927" s="2"/>
      </tp>
      <tp t="s">
        <v>#N/A Requesting Data...324031931</v>
        <stp/>
        <stp>BDP|5312809718109126191</stp>
        <tr r="D1997" s="2"/>
      </tp>
      <tp t="s">
        <v>#N/A Requesting Data...3714313208</v>
        <stp/>
        <stp>BDP|5624149876146505120</stp>
        <tr r="G1551" s="2"/>
      </tp>
      <tp t="s">
        <v>#N/A Requesting Data...2177646750</v>
        <stp/>
        <stp>BDP|2997236937760840766</stp>
        <tr r="O1574" s="2"/>
      </tp>
      <tp t="s">
        <v>#N/A Requesting Data...2452659465</v>
        <stp/>
        <stp>BDP|7556407918944928274</stp>
        <tr r="C1272" s="2"/>
      </tp>
      <tp t="s">
        <v>#N/A Requesting Data...3301909090</v>
        <stp/>
        <stp>BDP|1115685941251884633</stp>
        <tr r="R1108" s="2"/>
      </tp>
      <tp t="s">
        <v>#N/A Requesting Data...3893164373</v>
        <stp/>
        <stp>BDP|7252357234680791370</stp>
        <tr r="J1216" s="2"/>
      </tp>
      <tp t="s">
        <v>#N/A Requesting Data...505507733</v>
        <stp/>
        <stp>BDP|6678865300709490371</stp>
        <tr r="F1286" s="2"/>
      </tp>
      <tp t="s">
        <v>#N/A Requesting Data...3423990226</v>
        <stp/>
        <stp>BDP|2327134313825831381</stp>
        <tr r="O164" s="2"/>
      </tp>
      <tp t="s">
        <v>#N/A Requesting Data...3176697516</v>
        <stp/>
        <stp>BDP|7101661367864053730</stp>
        <tr r="E1487" s="2"/>
      </tp>
      <tp t="s">
        <v>#N/A Requesting Data...1459726133</v>
        <stp/>
        <stp>BDP|7876729609302317630</stp>
        <tr r="K1910" s="2"/>
      </tp>
      <tp t="s">
        <v>#N/A Requesting Data...377042463</v>
        <stp/>
        <stp>BDP|6013718108534310191</stp>
        <tr r="H736" s="2"/>
      </tp>
      <tp t="s">
        <v>#N/A Requesting Data...3462132733</v>
        <stp/>
        <stp>BDP|6741426244695788750</stp>
        <tr r="Q294" s="2"/>
      </tp>
      <tp t="s">
        <v>#N/A Requesting Data...3284770235</v>
        <stp/>
        <stp>BDP|7512332878053483497</stp>
        <tr r="J247" s="2"/>
      </tp>
      <tp t="s">
        <v>#N/A Requesting Data...2270401262</v>
        <stp/>
        <stp>BDP|5213244735380094003</stp>
        <tr r="C1972" s="2"/>
      </tp>
      <tp t="s">
        <v>#N/A Requesting Data...4291642970</v>
        <stp/>
        <stp>BDP|4222279674475128031</stp>
        <tr r="R1459" s="2"/>
      </tp>
      <tp t="s">
        <v>#N/A Requesting Data...2859941949</v>
        <stp/>
        <stp>BDP|6515829287143055133</stp>
        <tr r="S1439" s="2"/>
      </tp>
      <tp t="s">
        <v>#N/A Requesting Data...3638471117</v>
        <stp/>
        <stp>BDP|8283646995687862481</stp>
        <tr r="H2275" s="2"/>
      </tp>
      <tp t="s">
        <v>#N/A Requesting Data...2380152171</v>
        <stp/>
        <stp>BDP|1643818414185105912</stp>
        <tr r="K1954" s="2"/>
      </tp>
      <tp t="s">
        <v>#N/A Requesting Data...3157649291</v>
        <stp/>
        <stp>BDP|3691874485220575726</stp>
        <tr r="K178" s="2"/>
      </tp>
      <tp t="s">
        <v>#N/A Requesting Data...2343835682</v>
        <stp/>
        <stp>BDP|3411718905136008636</stp>
        <tr r="R1806" s="2"/>
      </tp>
      <tp t="s">
        <v>#N/A Requesting Data...3070268596</v>
        <stp/>
        <stp>BDP|3318092232096876235</stp>
        <tr r="O1994" s="2"/>
      </tp>
      <tp t="s">
        <v>#N/A Requesting Data...3695167016</v>
        <stp/>
        <stp>BDP|4917409475437687495</stp>
        <tr r="Q2330" s="2"/>
      </tp>
      <tp t="s">
        <v>#N/A Requesting Data...2430056145</v>
        <stp/>
        <stp>BDP|8215268481552753418</stp>
        <tr r="N1163" s="2"/>
      </tp>
      <tp t="s">
        <v>#N/A Requesting Data...1034261808</v>
        <stp/>
        <stp>BDP|5596939001560600824</stp>
        <tr r="S2459" s="2"/>
      </tp>
      <tp t="b">
        <v>0</v>
        <stp/>
        <stp>BDS|8596793302152812958</stp>
        <tr r="I635" s="2"/>
      </tp>
      <tp t="s">
        <v>#N/A Requesting Data...1140462903</v>
        <stp/>
        <stp>BDP|9623184889916469208</stp>
        <tr r="N265" s="2"/>
      </tp>
      <tp t="s">
        <v>#N/A Requesting Data...1793510200</v>
        <stp/>
        <stp>BDP|7046192069125518167</stp>
        <tr r="T1584" s="2"/>
      </tp>
      <tp t="s">
        <v>#N/A Requesting Data...3240649748</v>
        <stp/>
        <stp>BDP|7168668576461092322</stp>
        <tr r="T523" s="2"/>
      </tp>
      <tp t="s">
        <v>#N/A Requesting Data...1560449289</v>
        <stp/>
        <stp>BDP|2335620042486666260</stp>
        <tr r="D1551" s="2"/>
      </tp>
      <tp t="s">
        <v>#N/A Requesting Data...1125464521</v>
        <stp/>
        <stp>BDP|5233164120052622015</stp>
        <tr r="P1434" s="2"/>
      </tp>
      <tp t="s">
        <v>#N/A Requesting Data...1266881877</v>
        <stp/>
        <stp>BDP|8332522755734723804</stp>
        <tr r="R2166" s="2"/>
      </tp>
      <tp t="s">
        <v>#N/A Requesting Data...4128186548</v>
        <stp/>
        <stp>BDP|9890356451989919267</stp>
        <tr r="K474" s="2"/>
      </tp>
      <tp t="s">
        <v>#N/A Requesting Data...2263195740</v>
        <stp/>
        <stp>BDP|7460420041401350277</stp>
        <tr r="Q1684" s="2"/>
      </tp>
      <tp t="s">
        <v>#N/A Requesting Data...2120482267</v>
        <stp/>
        <stp>BDP|5303125741651600553</stp>
        <tr r="F182" s="2"/>
      </tp>
      <tp t="s">
        <v>#N/A Requesting Data...1558637964</v>
        <stp/>
        <stp>BDP|4632631646267020502</stp>
        <tr r="T2409" s="2"/>
      </tp>
      <tp t="s">
        <v>#N/A Requesting Data...3198030518</v>
        <stp/>
        <stp>BDP|4493283607717899504</stp>
        <tr r="O995" s="2"/>
      </tp>
      <tp t="s">
        <v>#N/A Requesting Data...2013863076</v>
        <stp/>
        <stp>BDP|1763049852921466160</stp>
        <tr r="T635" s="2"/>
      </tp>
      <tp t="s">
        <v>#N/A Requesting Data...3623812422</v>
        <stp/>
        <stp>BDP|7326553324042798668</stp>
        <tr r="R914" s="2"/>
      </tp>
      <tp t="s">
        <v>#N/A Requesting Data...1817686053</v>
        <stp/>
        <stp>BDP|5124767162280538037</stp>
        <tr r="H675" s="2"/>
      </tp>
      <tp t="s">
        <v>#N/A Requesting Data...3915613843</v>
        <stp/>
        <stp>BDP|6972573376133937325</stp>
        <tr r="F2086" s="2"/>
      </tp>
      <tp t="s">
        <v>#N/A Requesting Data...2426082655</v>
        <stp/>
        <stp>BDP|1461671922192251300</stp>
        <tr r="N1022" s="2"/>
      </tp>
      <tp t="s">
        <v>#N/A Requesting Data...1018920340</v>
        <stp/>
        <stp>BDP|1226000019557922316</stp>
        <tr r="J1138" s="2"/>
      </tp>
      <tp t="s">
        <v>#N/A Requesting Data...724973785</v>
        <stp/>
        <stp>BDP|3007102430852787741</stp>
        <tr r="K2237" s="2"/>
      </tp>
      <tp t="s">
        <v>#N/A Requesting Data...1019720922</v>
        <stp/>
        <stp>BDP|1346612424084748521</stp>
        <tr r="G550" s="2"/>
      </tp>
      <tp t="b">
        <v>0</v>
        <stp/>
        <stp>BDS|3847333208005377130</stp>
        <tr r="I2034" s="2"/>
      </tp>
      <tp t="s">
        <v>#N/A Requesting Data...1968257753</v>
        <stp/>
        <stp>BDP|3526434190413599908</stp>
        <tr r="F1115" s="2"/>
      </tp>
      <tp t="s">
        <v>#N/A Requesting Data...2480086971</v>
        <stp/>
        <stp>BDP|5341382386749859367</stp>
        <tr r="D6" s="2"/>
      </tp>
      <tp t="b">
        <v>0</v>
        <stp/>
        <stp>BDS|8946928617827929366</stp>
        <tr r="I439" s="2"/>
      </tp>
      <tp t="s">
        <v>#N/A Requesting Data...4203687425</v>
        <stp/>
        <stp>BDP|1771959169213981916</stp>
        <tr r="O1703" s="2"/>
      </tp>
      <tp t="s">
        <v>#N/A Requesting Data...3990367212</v>
        <stp/>
        <stp>BDP|5932936525053902957</stp>
        <tr r="G1203" s="2"/>
      </tp>
      <tp t="s">
        <v>#N/A Requesting Data...2653761044</v>
        <stp/>
        <stp>BDP|6138179669984547195</stp>
        <tr r="Q865" s="2"/>
      </tp>
      <tp t="s">
        <v>#N/A Requesting Data...3716808557</v>
        <stp/>
        <stp>BDP|3373712805132446202</stp>
        <tr r="Q2326" s="2"/>
      </tp>
      <tp t="s">
        <v>#N/A Requesting Data...2967568809</v>
        <stp/>
        <stp>BDP|2620596654777168197</stp>
        <tr r="G2129" s="2"/>
      </tp>
      <tp t="s">
        <v>#N/A Requesting Data...3114860317</v>
        <stp/>
        <stp>BDP|7206336827610126240</stp>
        <tr r="N702" s="2"/>
      </tp>
      <tp t="s">
        <v>#N/A Requesting Data...3748581154</v>
        <stp/>
        <stp>BDP|3479637403076140766</stp>
        <tr r="J85" s="2"/>
      </tp>
      <tp t="s">
        <v>#N/A Requesting Data...4050787072</v>
        <stp/>
        <stp>BDP|8837566851708924452</stp>
        <tr r="F472" s="2"/>
      </tp>
      <tp t="s">
        <v>#N/A Requesting Data...475466187</v>
        <stp/>
        <stp>BDP|3334210063521552276</stp>
        <tr r="O416" s="2"/>
      </tp>
      <tp t="s">
        <v>#N/A Requesting Data...1419005411</v>
        <stp/>
        <stp>BDP|1240970514005393818</stp>
        <tr r="P1626" s="2"/>
      </tp>
      <tp t="b">
        <v>0</v>
        <stp/>
        <stp>BDS|9414631004548376334</stp>
        <tr r="I1988" s="2"/>
      </tp>
      <tp t="s">
        <v>#N/A Requesting Data...3013177402</v>
        <stp/>
        <stp>BDP|8406223847779208301</stp>
        <tr r="A835" s="2"/>
      </tp>
      <tp t="b">
        <v>0</v>
        <stp/>
        <stp>BDS|2069901843599569252</stp>
        <tr r="I114" s="2"/>
      </tp>
      <tp t="s">
        <v>#N/A Requesting Data...2126314268</v>
        <stp/>
        <stp>BDP|4005873154274921996</stp>
        <tr r="F1689" s="2"/>
      </tp>
      <tp t="s">
        <v>#N/A Requesting Data...1970975648</v>
        <stp/>
        <stp>BDP|9352853333325491329</stp>
        <tr r="C2404" s="2"/>
      </tp>
      <tp t="s">
        <v>#N/A Requesting Data...4117305664</v>
        <stp/>
        <stp>BDP|7283540074173387224</stp>
        <tr r="Q742" s="2"/>
      </tp>
      <tp t="s">
        <v>#N/A Requesting Data...3564604822</v>
        <stp/>
        <stp>BDP|4573393238926487631</stp>
        <tr r="A910" s="2"/>
      </tp>
      <tp t="s">
        <v>#N/A Requesting Data...3771085515</v>
        <stp/>
        <stp>BDP|2940643305741371183</stp>
        <tr r="A1275" s="2"/>
      </tp>
      <tp t="s">
        <v>#N/A Requesting Data...2020822314</v>
        <stp/>
        <stp>BDP|7372417661520085109</stp>
        <tr r="K691" s="2"/>
      </tp>
      <tp t="s">
        <v>#N/A Requesting Data...2760390065</v>
        <stp/>
        <stp>BDP|9448392073671813855</stp>
        <tr r="S2495" s="2"/>
      </tp>
      <tp t="s">
        <v>#N/A Requesting Data...3831771499</v>
        <stp/>
        <stp>BDP|1776792012116978567</stp>
        <tr r="P2341" s="2"/>
      </tp>
      <tp t="s">
        <v>#N/A Requesting Data...4163074909</v>
        <stp/>
        <stp>BDP|4145451404674619056</stp>
        <tr r="P911" s="2"/>
      </tp>
      <tp t="b">
        <v>0</v>
        <stp/>
        <stp>BDS|2440095825665306180</stp>
        <tr r="I1691" s="2"/>
      </tp>
      <tp t="s">
        <v>#N/A Requesting Data...1680292327</v>
        <stp/>
        <stp>BDP|6801224433280266384</stp>
        <tr r="A2127" s="2"/>
      </tp>
      <tp t="s">
        <v>#N/A Requesting Data...1159121986</v>
        <stp/>
        <stp>BDP|2496284661055730799</stp>
        <tr r="F2499" s="2"/>
      </tp>
      <tp t="s">
        <v>#N/A Requesting Data...1529647613</v>
        <stp/>
        <stp>BDP|8421455772547814884</stp>
        <tr r="M2178" s="2"/>
      </tp>
      <tp t="s">
        <v>#N/A Requesting Data...3794508126</v>
        <stp/>
        <stp>BDP|5436360017014620706</stp>
        <tr r="M576" s="2"/>
      </tp>
      <tp t="s">
        <v>#N/A Requesting Data...553919096</v>
        <stp/>
        <stp>BDP|9434696088671653201</stp>
        <tr r="D1110" s="2"/>
      </tp>
      <tp t="s">
        <v>#N/A Requesting Data...3353613410</v>
        <stp/>
        <stp>BDP|2123804201068555664</stp>
        <tr r="M1777" s="2"/>
      </tp>
      <tp t="s">
        <v>#N/A Requesting Data...965173766</v>
        <stp/>
        <stp>BDP|7042176008343414187</stp>
        <tr r="J1086" s="2"/>
      </tp>
      <tp t="s">
        <v>#N/A Requesting Data...3834944935</v>
        <stp/>
        <stp>BDP|1232372906760923693</stp>
        <tr r="S675" s="2"/>
      </tp>
      <tp t="s">
        <v>#N/A Requesting Data...4162367354</v>
        <stp/>
        <stp>BDP|2909972750298518286</stp>
        <tr r="P338" s="2"/>
      </tp>
      <tp t="s">
        <v>#N/A Requesting Data...3454613926</v>
        <stp/>
        <stp>BDP|8823990599878349489</stp>
        <tr r="K1945" s="2"/>
      </tp>
      <tp t="s">
        <v>#N/A Requesting Data...607593376</v>
        <stp/>
        <stp>BDP|4429673531343252630</stp>
        <tr r="S623" s="2"/>
      </tp>
      <tp t="s">
        <v>#N/A Requesting Data...1163269329</v>
        <stp/>
        <stp>BDP|2728957570268150005</stp>
        <tr r="D1187" s="2"/>
      </tp>
      <tp t="s">
        <v>#N/A Requesting Data...1634846646</v>
        <stp/>
        <stp>BDP|2955139479367393730</stp>
        <tr r="C1854" s="2"/>
      </tp>
      <tp t="s">
        <v>#N/A Requesting Data...4084494029</v>
        <stp/>
        <stp>BDP|5470603332207387368</stp>
        <tr r="S2179" s="2"/>
      </tp>
      <tp t="s">
        <v>#N/A Requesting Data...1109169089</v>
        <stp/>
        <stp>BDP|5042200367242070747</stp>
        <tr r="R557" s="2"/>
      </tp>
      <tp t="s">
        <v>#N/A Requesting Data...1468489554</v>
        <stp/>
        <stp>BDP|6614593732002831667</stp>
        <tr r="T2015" s="2"/>
      </tp>
      <tp t="s">
        <v>#N/A Requesting Data...3313088852</v>
        <stp/>
        <stp>BDP|1865998494394087163</stp>
        <tr r="H2233" s="2"/>
      </tp>
      <tp t="s">
        <v>#N/A Requesting Data...3546748454</v>
        <stp/>
        <stp>BDP|1338071357121571152</stp>
        <tr r="P1715" s="2"/>
      </tp>
      <tp t="s">
        <v>#N/A Requesting Data...3259733082</v>
        <stp/>
        <stp>BDP|2884231329844007228</stp>
        <tr r="C1227" s="2"/>
      </tp>
      <tp t="s">
        <v>#N/A Requesting Data...2936318388</v>
        <stp/>
        <stp>BDP|1852798124272553203</stp>
        <tr r="P454" s="2"/>
      </tp>
      <tp t="s">
        <v>#N/A Requesting Data...2944955614</v>
        <stp/>
        <stp>BDP|1106417053361250518</stp>
        <tr r="O1927" s="2"/>
      </tp>
      <tp t="s">
        <v>#N/A Requesting Data...893647883</v>
        <stp/>
        <stp>BDP|4197508966885744604</stp>
        <tr r="T554" s="2"/>
      </tp>
      <tp t="s">
        <v>#N/A Requesting Data...4117144335</v>
        <stp/>
        <stp>BDP|3807234607112883744</stp>
        <tr r="F261" s="2"/>
      </tp>
      <tp t="s">
        <v>#N/A Requesting Data...3661351244</v>
        <stp/>
        <stp>BDP|8596539696182996291</stp>
        <tr r="F2220" s="2"/>
      </tp>
      <tp t="s">
        <v>#N/A Requesting Data...3860341146</v>
        <stp/>
        <stp>BDP|8076162980925422027</stp>
        <tr r="D1094" s="2"/>
      </tp>
      <tp t="b">
        <v>0</v>
        <stp/>
        <stp>BDS|3480511693789457221</stp>
        <tr r="I634" s="2"/>
      </tp>
      <tp t="s">
        <v>#N/A Requesting Data...1282579852</v>
        <stp/>
        <stp>BDP|8783331845363826891</stp>
        <tr r="Q1514" s="2"/>
      </tp>
      <tp t="s">
        <v>#N/A Requesting Data...2689148921</v>
        <stp/>
        <stp>BDP|3435267362014859789</stp>
        <tr r="K2147" s="2"/>
      </tp>
      <tp t="s">
        <v>#N/A Requesting Data...2933264466</v>
        <stp/>
        <stp>BDP|2850058823285829165</stp>
        <tr r="M907" s="2"/>
      </tp>
      <tp t="s">
        <v>#N/A Requesting Data...3483239208</v>
        <stp/>
        <stp>BDP|4478418334561714663</stp>
        <tr r="T1742" s="2"/>
      </tp>
      <tp t="s">
        <v>#N/A Requesting Data...4011819358</v>
        <stp/>
        <stp>BDP|1296821399083167786</stp>
        <tr r="C1634" s="2"/>
      </tp>
      <tp t="s">
        <v>#N/A Requesting Data...1752904139</v>
        <stp/>
        <stp>BDP|2514140197937163975</stp>
        <tr r="P638" s="2"/>
      </tp>
      <tp t="s">
        <v>#N/A Requesting Data...1244146482</v>
        <stp/>
        <stp>BDP|9790264365630671927</stp>
        <tr r="D868" s="2"/>
      </tp>
      <tp t="s">
        <v>#N/A Requesting Data...1499400433</v>
        <stp/>
        <stp>BDP|4173754235822220632</stp>
        <tr r="N1452" s="2"/>
      </tp>
      <tp t="s">
        <v>#N/A Requesting Data...2033365804</v>
        <stp/>
        <stp>BDP|7574323126961730365</stp>
        <tr r="F541" s="2"/>
      </tp>
      <tp t="s">
        <v>#N/A Requesting Data...3272767430</v>
        <stp/>
        <stp>BDP|1702575612580382113</stp>
        <tr r="Q1675" s="2"/>
      </tp>
      <tp t="s">
        <v>#N/A Requesting Data...3534114454</v>
        <stp/>
        <stp>BDP|4873276564361988521</stp>
        <tr r="N626" s="2"/>
      </tp>
      <tp t="s">
        <v>#N/A Requesting Data...646803533</v>
        <stp/>
        <stp>BDP|5431634411136542038</stp>
        <tr r="G1703" s="2"/>
      </tp>
      <tp t="s">
        <v>#N/A Requesting Data...936899003</v>
        <stp/>
        <stp>BDP|7184449570570081056</stp>
        <tr r="A512" s="2"/>
      </tp>
      <tp t="s">
        <v>#N/A Requesting Data...4058692599</v>
        <stp/>
        <stp>BDP|5797186350734924160</stp>
        <tr r="M2228" s="2"/>
      </tp>
      <tp t="s">
        <v>#N/A Requesting Data...2961215471</v>
        <stp/>
        <stp>BDP|6757090243923844552</stp>
        <tr r="M2426" s="2"/>
      </tp>
      <tp t="s">
        <v>#N/A Requesting Data...2707773478</v>
        <stp/>
        <stp>BDP|2768619534524032723</stp>
        <tr r="A2284" s="2"/>
      </tp>
      <tp t="s">
        <v>#N/A Requesting Data...3905759595</v>
        <stp/>
        <stp>BDP|3379156126924365034</stp>
        <tr r="R2510" s="2"/>
      </tp>
      <tp t="s">
        <v>#N/A Requesting Data...2990457125</v>
        <stp/>
        <stp>BDP|6198136256450726633</stp>
        <tr r="M2336" s="2"/>
      </tp>
      <tp t="s">
        <v>#N/A Requesting Data...2222451680</v>
        <stp/>
        <stp>BDP|2265518755020136670</stp>
        <tr r="N2257" s="2"/>
      </tp>
      <tp t="s">
        <v>#N/A Requesting Data...2860527338</v>
        <stp/>
        <stp>BDP|2603634457255633048</stp>
        <tr r="P196" s="2"/>
      </tp>
      <tp t="s">
        <v>#N/A Requesting Data...774090037</v>
        <stp/>
        <stp>BDP|2788794585560308984</stp>
        <tr r="T1012" s="2"/>
      </tp>
      <tp t="s">
        <v>#N/A Requesting Data...3406909955</v>
        <stp/>
        <stp>BDP|5011257679675995155</stp>
        <tr r="N2450" s="2"/>
      </tp>
      <tp t="s">
        <v>#N/A Requesting Data...1350222444</v>
        <stp/>
        <stp>BDP|1638774749535971319</stp>
        <tr r="T1237" s="2"/>
      </tp>
      <tp t="s">
        <v>#N/A Requesting Data...3617913655</v>
        <stp/>
        <stp>BDP|6572539392807199953</stp>
        <tr r="N1985" s="2"/>
      </tp>
      <tp t="s">
        <v>#N/A Requesting Data...3734633326</v>
        <stp/>
        <stp>BDP|4649115764724785342</stp>
        <tr r="C149" s="2"/>
      </tp>
      <tp t="s">
        <v>#N/A Requesting Data...835971012</v>
        <stp/>
        <stp>BDP|7242882129628148128</stp>
        <tr r="N416" s="2"/>
      </tp>
      <tp t="s">
        <v>#N/A Requesting Data...2775371386</v>
        <stp/>
        <stp>BDP|4601979763519440667</stp>
        <tr r="T586" s="2"/>
      </tp>
      <tp t="s">
        <v>#N/A Requesting Data...4130891036</v>
        <stp/>
        <stp>BDP|4085364357310126602</stp>
        <tr r="T1706" s="2"/>
      </tp>
      <tp t="s">
        <v>#N/A Requesting Data...3671997291</v>
        <stp/>
        <stp>BDP|4376256066012694667</stp>
        <tr r="G1970" s="2"/>
      </tp>
      <tp t="s">
        <v>#N/A Requesting Data...3920586616</v>
        <stp/>
        <stp>BDP|6526024723451657128</stp>
        <tr r="R1743" s="2"/>
      </tp>
      <tp t="s">
        <v>#N/A Requesting Data...1127656454</v>
        <stp/>
        <stp>BDP|6639575314660291676</stp>
        <tr r="E555" s="2"/>
      </tp>
      <tp t="s">
        <v>#N/A Requesting Data...1673546387</v>
        <stp/>
        <stp>BDP|8403903364483193011</stp>
        <tr r="J2244" s="2"/>
      </tp>
      <tp t="s">
        <v>#N/A Requesting Data...3883232949</v>
        <stp/>
        <stp>BDP|6430216733476176578</stp>
        <tr r="D980" s="2"/>
      </tp>
      <tp t="s">
        <v>#N/A Requesting Data...4069215988</v>
        <stp/>
        <stp>BDP|5900024649644351119</stp>
        <tr r="C2210" s="2"/>
      </tp>
      <tp t="s">
        <v>#N/A Requesting Data...2768085367</v>
        <stp/>
        <stp>BDP|6184518038070190497</stp>
        <tr r="Q1306" s="2"/>
      </tp>
      <tp t="s">
        <v>#N/A Requesting Data...4118972050</v>
        <stp/>
        <stp>BDP|6892252905287060781</stp>
        <tr r="G92" s="2"/>
      </tp>
      <tp t="s">
        <v>#N/A Requesting Data...906384344</v>
        <stp/>
        <stp>BDP|7597877356337491905</stp>
        <tr r="Q699" s="2"/>
      </tp>
      <tp t="s">
        <v>#N/A Requesting Data...4273714317</v>
        <stp/>
        <stp>BDP|4387366022911431035</stp>
        <tr r="D907" s="2"/>
      </tp>
      <tp t="s">
        <v>#N/A Requesting Data...2916374698</v>
        <stp/>
        <stp>BDP|7924523905085817361</stp>
        <tr r="R1532" s="2"/>
      </tp>
      <tp t="s">
        <v>#N/A Requesting Data...3133185952</v>
        <stp/>
        <stp>BDP|2100174253470316260</stp>
        <tr r="G1791" s="2"/>
      </tp>
      <tp t="s">
        <v>#N/A Requesting Data...3513677436</v>
        <stp/>
        <stp>BDP|2807629777924561387</stp>
        <tr r="T2186" s="2"/>
      </tp>
      <tp t="s">
        <v>#N/A Requesting Data...1008733377</v>
        <stp/>
        <stp>BDP|3024036394176163862</stp>
        <tr r="C2425" s="2"/>
      </tp>
      <tp t="s">
        <v>#N/A Requesting Data...1508540739</v>
        <stp/>
        <stp>BDP|6555565434907682310</stp>
        <tr r="M2319" s="2"/>
      </tp>
      <tp t="s">
        <v>#N/A Requesting Data...4177239515</v>
        <stp/>
        <stp>BDP|9841075788055160066</stp>
        <tr r="Q759" s="2"/>
      </tp>
      <tp t="s">
        <v>#N/A Requesting Data...1117159399</v>
        <stp/>
        <stp>BDP|8729942391738142432</stp>
        <tr r="J791" s="2"/>
      </tp>
      <tp t="s">
        <v>#N/A Requesting Data...2415667145</v>
        <stp/>
        <stp>BDP|4047404968597132596</stp>
        <tr r="J2271" s="2"/>
      </tp>
      <tp t="s">
        <v>#N/A Requesting Data...3056392523</v>
        <stp/>
        <stp>BDP|4056946580205756434</stp>
        <tr r="G682" s="2"/>
      </tp>
      <tp t="s">
        <v>#N/A Requesting Data...988272702</v>
        <stp/>
        <stp>BDP|4149479740795782512</stp>
        <tr r="S1336" s="2"/>
      </tp>
      <tp t="s">
        <v>#N/A Requesting Data...2228922043</v>
        <stp/>
        <stp>BDP|9501807405153805686</stp>
        <tr r="E1364" s="2"/>
      </tp>
      <tp t="s">
        <v>#N/A Requesting Data...1428238643</v>
        <stp/>
        <stp>BDP|4790990087070181181</stp>
        <tr r="N1329" s="2"/>
      </tp>
      <tp t="s">
        <v>#N/A Requesting Data...3738619007</v>
        <stp/>
        <stp>BDP|2811083146932792012</stp>
        <tr r="T1115" s="2"/>
      </tp>
      <tp t="b">
        <v>0</v>
        <stp/>
        <stp>BDS|3607324433324070373</stp>
        <tr r="I773" s="2"/>
      </tp>
      <tp t="s">
        <v>#N/A Requesting Data...1289657342</v>
        <stp/>
        <stp>BDP|6649819587513793171</stp>
        <tr r="H1815" s="2"/>
      </tp>
      <tp t="s">
        <v>#N/A Requesting Data...4267387490</v>
        <stp/>
        <stp>BDP|6434224256566508352</stp>
        <tr r="D2139" s="2"/>
      </tp>
      <tp t="s">
        <v>#N/A Requesting Data...2264306493</v>
        <stp/>
        <stp>BDP|8313470593148356946</stp>
        <tr r="H1235" s="2"/>
      </tp>
      <tp t="s">
        <v>#N/A Requesting Data...4020271872</v>
        <stp/>
        <stp>BDP|5676702762017075741</stp>
        <tr r="T116" s="2"/>
      </tp>
      <tp t="s">
        <v>#N/A Requesting Data...2058210619</v>
        <stp/>
        <stp>BDP|8673911223617405003</stp>
        <tr r="G253" s="2"/>
      </tp>
      <tp t="s">
        <v>#N/A Requesting Data...1215440812</v>
        <stp/>
        <stp>BDP|9265811681494506970</stp>
        <tr r="F233" s="2"/>
      </tp>
      <tp t="s">
        <v>#N/A Requesting Data...2605658514</v>
        <stp/>
        <stp>BDP|8895606177085994865</stp>
        <tr r="N485" s="2"/>
      </tp>
      <tp t="s">
        <v>#N/A Requesting Data...2860110138</v>
        <stp/>
        <stp>BDP|8235717387160709336</stp>
        <tr r="J918" s="2"/>
      </tp>
      <tp t="s">
        <v>#N/A Requesting Data...2957644849</v>
        <stp/>
        <stp>BDP|2171565751653155573</stp>
        <tr r="E916" s="2"/>
      </tp>
      <tp t="s">
        <v>#N/A Requesting Data...1140749513</v>
        <stp/>
        <stp>BDP|6250300275150335645</stp>
        <tr r="F821" s="2"/>
      </tp>
      <tp t="s">
        <v>#N/A Requesting Data...1674765235</v>
        <stp/>
        <stp>BDP|9186772937058406158</stp>
        <tr r="C1217" s="2"/>
      </tp>
      <tp t="s">
        <v>#N/A Requesting Data...2034541289</v>
        <stp/>
        <stp>BDP|9599959904057239361</stp>
        <tr r="F2435" s="2"/>
      </tp>
      <tp t="s">
        <v>#N/A Requesting Data...3395817097</v>
        <stp/>
        <stp>BDP|4040545561682730126</stp>
        <tr r="R1605" s="2"/>
      </tp>
      <tp t="s">
        <v>#N/A Requesting Data...3383710451</v>
        <stp/>
        <stp>BDP|2525558464914088149</stp>
        <tr r="M65" s="2"/>
      </tp>
      <tp t="s">
        <v>#N/A Requesting Data...3125768403</v>
        <stp/>
        <stp>BDP|4534066714227728607</stp>
        <tr r="K1719" s="2"/>
      </tp>
      <tp t="s">
        <v>#N/A Requesting Data...2746255879</v>
        <stp/>
        <stp>BDP|7597134046964608266</stp>
        <tr r="R1648" s="2"/>
      </tp>
      <tp t="s">
        <v>#N/A Requesting Data...1919713215</v>
        <stp/>
        <stp>BDP|1943814103479920423</stp>
        <tr r="J963" s="2"/>
      </tp>
      <tp t="s">
        <v>#N/A Requesting Data...4117988420</v>
        <stp/>
        <stp>BDP|1757915083185439117</stp>
        <tr r="F1436" s="2"/>
      </tp>
      <tp t="s">
        <v>#N/A Requesting Data...1730689242</v>
        <stp/>
        <stp>BDP|8475520035319753344</stp>
        <tr r="F1059" s="2"/>
      </tp>
      <tp t="s">
        <v>#N/A Requesting Data...1204350112</v>
        <stp/>
        <stp>BDP|7967751630404950353</stp>
        <tr r="H1300" s="2"/>
      </tp>
      <tp t="s">
        <v>#N/A Requesting Data...1481988466</v>
        <stp/>
        <stp>BDP|7349007318191371380</stp>
        <tr r="J2181" s="2"/>
      </tp>
      <tp t="s">
        <v>#N/A Requesting Data...3255627968</v>
        <stp/>
        <stp>BDP|4147304946093534426</stp>
        <tr r="Q660" s="2"/>
      </tp>
      <tp t="s">
        <v>#N/A Requesting Data...3163937196</v>
        <stp/>
        <stp>BDP|5420111914066107706</stp>
        <tr r="K270" s="2"/>
      </tp>
      <tp t="s">
        <v>#N/A Requesting Data...3695454054</v>
        <stp/>
        <stp>BDP|5012164874540647741</stp>
        <tr r="Q181" s="2"/>
      </tp>
      <tp t="s">
        <v>#N/A Requesting Data...1509558552</v>
        <stp/>
        <stp>BDP|7425525682386112850</stp>
        <tr r="M1156" s="2"/>
      </tp>
      <tp t="s">
        <v>#N/A Requesting Data...3092290545</v>
        <stp/>
        <stp>BDP|5784822071086077848</stp>
        <tr r="A88" s="2"/>
      </tp>
      <tp t="s">
        <v>#N/A Requesting Data...2138339268</v>
        <stp/>
        <stp>BDP|1343313360111237101</stp>
        <tr r="J913" s="2"/>
      </tp>
      <tp t="s">
        <v>#N/A Requesting Data...3677371032</v>
        <stp/>
        <stp>BDP|7192787186059830579</stp>
        <tr r="Q396" s="2"/>
      </tp>
      <tp t="s">
        <v>#N/A Requesting Data...1295118739</v>
        <stp/>
        <stp>BDP|2767548776221415519</stp>
        <tr r="H1390" s="2"/>
      </tp>
      <tp t="s">
        <v>#N/A Requesting Data...3617732712</v>
        <stp/>
        <stp>BDP|8086404747879266556</stp>
        <tr r="T1852" s="2"/>
      </tp>
      <tp t="s">
        <v>#N/A Requesting Data...1735652211</v>
        <stp/>
        <stp>BDP|6441213853460706517</stp>
        <tr r="F1802" s="2"/>
      </tp>
      <tp t="s">
        <v>#N/A Requesting Data...2664224593</v>
        <stp/>
        <stp>BDP|1779508814022598362</stp>
        <tr r="R1833" s="2"/>
      </tp>
      <tp t="s">
        <v>#N/A Requesting Data...3327826767</v>
        <stp/>
        <stp>BDP|1539662411085021724</stp>
        <tr r="T1427" s="2"/>
      </tp>
      <tp t="s">
        <v>#N/A Requesting Data...1906522586</v>
        <stp/>
        <stp>BDP|4016962993337718726</stp>
        <tr r="P1536" s="2"/>
      </tp>
      <tp t="s">
        <v>#N/A Requesting Data...3915712839</v>
        <stp/>
        <stp>BDP|1513135332252652524</stp>
        <tr r="F2480" s="2"/>
      </tp>
      <tp t="s">
        <v>#N/A Requesting Data...3124097825</v>
        <stp/>
        <stp>BDP|3650221065156714563</stp>
        <tr r="G651" s="2"/>
      </tp>
      <tp t="s">
        <v>#N/A Requesting Data...2318290607</v>
        <stp/>
        <stp>BDP|3475965844268549233</stp>
        <tr r="E1292" s="2"/>
      </tp>
      <tp t="s">
        <v>#N/A Requesting Data...1257664900</v>
        <stp/>
        <stp>BDP|2283355023983038440</stp>
        <tr r="H699" s="2"/>
      </tp>
      <tp t="s">
        <v>#N/A Requesting Data...3334914771</v>
        <stp/>
        <stp>BDP|4280253549847662182</stp>
        <tr r="N1828" s="2"/>
      </tp>
      <tp t="s">
        <v>#N/A Requesting Data...1621190926</v>
        <stp/>
        <stp>BDP|2449519660040785522</stp>
        <tr r="N322" s="2"/>
      </tp>
      <tp t="s">
        <v>#N/A Requesting Data...1138575369</v>
        <stp/>
        <stp>BDP|4765663061391576156</stp>
        <tr r="M1233" s="2"/>
      </tp>
      <tp t="s">
        <v>#N/A Requesting Data...1771177955</v>
        <stp/>
        <stp>BDP|8671085687240079490</stp>
        <tr r="O1324" s="2"/>
      </tp>
      <tp t="s">
        <v>#N/A Requesting Data...2126870056</v>
        <stp/>
        <stp>BDP|6057069515902704143</stp>
        <tr r="J431" s="2"/>
      </tp>
      <tp t="s">
        <v>#N/A Requesting Data...1465326477</v>
        <stp/>
        <stp>BDP|3820176077138163995</stp>
        <tr r="T1661" s="2"/>
      </tp>
      <tp t="s">
        <v>#N/A Requesting Data...4239166729</v>
        <stp/>
        <stp>BDP|2168440001482331077</stp>
        <tr r="R1847" s="2"/>
      </tp>
      <tp t="b">
        <v>0</v>
        <stp/>
        <stp>BDS|6711618491104694914</stp>
        <tr r="I2268" s="2"/>
      </tp>
      <tp t="s">
        <v>#N/A Requesting Data...2575821190</v>
        <stp/>
        <stp>BDP|2186768804882195327</stp>
        <tr r="R2522" s="2"/>
      </tp>
      <tp t="s">
        <v>#N/A Requesting Data...3648269905</v>
        <stp/>
        <stp>BDP|3962351859476072752</stp>
        <tr r="A590" s="2"/>
      </tp>
      <tp t="s">
        <v>#N/A Requesting Data...3828609357</v>
        <stp/>
        <stp>BDP|1503609714882675070</stp>
        <tr r="J265" s="2"/>
      </tp>
      <tp t="b">
        <v>0</v>
        <stp/>
        <stp>BDS|1603208455651154331</stp>
        <tr r="I2253" s="2"/>
      </tp>
      <tp t="s">
        <v>#N/A Requesting Data...3127248290</v>
        <stp/>
        <stp>BDP|6167601107966662211</stp>
        <tr r="G887" s="2"/>
      </tp>
      <tp t="s">
        <v>#N/A Requesting Data...1503584992</v>
        <stp/>
        <stp>BDP|1707700121793794307</stp>
        <tr r="G498" s="2"/>
      </tp>
      <tp t="s">
        <v>#N/A Requesting Data...1269002706</v>
        <stp/>
        <stp>BDP|7590420515273069534</stp>
        <tr r="H2221" s="2"/>
      </tp>
      <tp t="s">
        <v>#N/A Requesting Data...4123423513</v>
        <stp/>
        <stp>BDP|4205662917925608243</stp>
        <tr r="M2440" s="2"/>
      </tp>
      <tp t="s">
        <v>#N/A Requesting Data...2737078325</v>
        <stp/>
        <stp>BDP|6632233336000406368</stp>
        <tr r="G2251" s="2"/>
      </tp>
      <tp t="s">
        <v>#N/A Requesting Data...4135629327</v>
        <stp/>
        <stp>BDP|2380837696656753104</stp>
        <tr r="G2212" s="2"/>
      </tp>
      <tp t="s">
        <v>#N/A Requesting Data...2726436009</v>
        <stp/>
        <stp>BDP|1272087118610783446</stp>
        <tr r="N2433" s="2"/>
      </tp>
      <tp t="s">
        <v>#N/A Requesting Data...4014731176</v>
        <stp/>
        <stp>BDP|7750631133813001564</stp>
        <tr r="O1499" s="2"/>
      </tp>
      <tp t="s">
        <v>#N/A Requesting Data...2727977306</v>
        <stp/>
        <stp>BDP|7467165203903661167</stp>
        <tr r="Q566" s="2"/>
      </tp>
      <tp t="s">
        <v>#N/A Requesting Data...3327293313</v>
        <stp/>
        <stp>BDP|5052837530948385218</stp>
        <tr r="J924" s="2"/>
      </tp>
      <tp t="s">
        <v>#N/A Requesting Data...1118942488</v>
        <stp/>
        <stp>BDP|9897627019403594978</stp>
        <tr r="Q71" s="2"/>
      </tp>
      <tp t="s">
        <v>#N/A Requesting Data...2260662416</v>
        <stp/>
        <stp>BDP|5280735221495474155</stp>
        <tr r="R2182" s="2"/>
      </tp>
      <tp t="s">
        <v>#N/A Requesting Data...1643048654</v>
        <stp/>
        <stp>BDP|9353522879946044991</stp>
        <tr r="F2441" s="2"/>
      </tp>
      <tp t="s">
        <v>#N/A Requesting Data...1977796167</v>
        <stp/>
        <stp>BDP|6288865883240520237</stp>
        <tr r="N2230" s="2"/>
      </tp>
      <tp t="s">
        <v>#N/A Requesting Data...2575364514</v>
        <stp/>
        <stp>BDP|9492910696144354917</stp>
        <tr r="M2194" s="2"/>
      </tp>
      <tp t="s">
        <v>#N/A Requesting Data...3758774412</v>
        <stp/>
        <stp>BDP|3817941788021044759</stp>
        <tr r="D1964" s="2"/>
      </tp>
      <tp t="s">
        <v>#N/A Requesting Data...941266809</v>
        <stp/>
        <stp>BDP|4170015100343353329</stp>
        <tr r="A2041" s="2"/>
      </tp>
      <tp t="s">
        <v>#N/A Requesting Data...1883354128</v>
        <stp/>
        <stp>BDP|6410939894586697449</stp>
        <tr r="N2115" s="2"/>
      </tp>
      <tp t="s">
        <v>#N/A Requesting Data...1217458959</v>
        <stp/>
        <stp>BDP|7219066830522792226</stp>
        <tr r="O750" s="2"/>
      </tp>
      <tp t="s">
        <v>#N/A Requesting Data...2058027404</v>
        <stp/>
        <stp>BDP|1612781146087896114</stp>
        <tr r="K202" s="2"/>
      </tp>
      <tp t="s">
        <v>#N/A Requesting Data...1981664644</v>
        <stp/>
        <stp>BDP|1118886359728982085</stp>
        <tr r="C1818" s="2"/>
      </tp>
      <tp t="s">
        <v>#N/A Requesting Data...3830694312</v>
        <stp/>
        <stp>BDP|4197371260861388445</stp>
        <tr r="T1241" s="2"/>
      </tp>
      <tp t="s">
        <v>#N/A Requesting Data...1819342358</v>
        <stp/>
        <stp>BDP|2817135635156683291</stp>
        <tr r="P593" s="2"/>
      </tp>
      <tp t="s">
        <v>#N/A Requesting Data...4090402923</v>
        <stp/>
        <stp>BDP|9327035960772458959</stp>
        <tr r="T1765" s="2"/>
      </tp>
      <tp t="s">
        <v>#N/A Requesting Data...1421832766</v>
        <stp/>
        <stp>BDP|9831575539559570228</stp>
        <tr r="E2140" s="2"/>
      </tp>
      <tp t="s">
        <v>#N/A Requesting Data...3685773165</v>
        <stp/>
        <stp>BDP|3513878814988650619</stp>
        <tr r="F1468" s="2"/>
      </tp>
      <tp t="s">
        <v>#N/A Requesting Data...1794616932</v>
        <stp/>
        <stp>BDP|3017160663851248161</stp>
        <tr r="E718" s="2"/>
      </tp>
      <tp t="s">
        <v>#N/A Requesting Data...4215352745</v>
        <stp/>
        <stp>BDP|1597140894648610522</stp>
        <tr r="O1491" s="2"/>
      </tp>
      <tp t="s">
        <v>#N/A Requesting Data...3185064334</v>
        <stp/>
        <stp>BDP|4045066236246796566</stp>
        <tr r="C428" s="2"/>
      </tp>
      <tp t="s">
        <v>#N/A Requesting Data...4278216074</v>
        <stp/>
        <stp>BDP|7037641403355471029</stp>
        <tr r="G1361" s="2"/>
      </tp>
      <tp t="s">
        <v>#N/A Requesting Data...3825653060</v>
        <stp/>
        <stp>BDP|2990311704257461293</stp>
        <tr r="G309" s="2"/>
      </tp>
      <tp t="s">
        <v>#N/A Requesting Data...2843045012</v>
        <stp/>
        <stp>BDP|9309665196662552079</stp>
        <tr r="S1761" s="2"/>
      </tp>
      <tp t="s">
        <v>#N/A Requesting Data...1475546318</v>
        <stp/>
        <stp>BDP|8112028668798852224</stp>
        <tr r="O1936" s="2"/>
      </tp>
      <tp t="s">
        <v>#N/A Requesting Data...1250953521</v>
        <stp/>
        <stp>BDP|1240333548963100190</stp>
        <tr r="R830" s="2"/>
      </tp>
      <tp t="s">
        <v>#N/A Requesting Data...1220972284</v>
        <stp/>
        <stp>BDP|2799508143541692633</stp>
        <tr r="K2469" s="2"/>
      </tp>
      <tp t="s">
        <v>#N/A Requesting Data...978923901</v>
        <stp/>
        <stp>BDP|8371953733976759036</stp>
        <tr r="M836" s="2"/>
      </tp>
      <tp t="s">
        <v>#N/A Requesting Data...3311905139</v>
        <stp/>
        <stp>BDP|4799436034751255633</stp>
        <tr r="C76" s="2"/>
      </tp>
      <tp t="s">
        <v>#N/A Requesting Data...3779109620</v>
        <stp/>
        <stp>BDP|3830544640054847252</stp>
        <tr r="H1022" s="2"/>
      </tp>
      <tp t="s">
        <v>#N/A Requesting Data...3948523337</v>
        <stp/>
        <stp>BDP|1476725726114545446</stp>
        <tr r="R445" s="2"/>
      </tp>
      <tp t="s">
        <v>#N/A Requesting Data...2757806254</v>
        <stp/>
        <stp>BDP|4092406687928163471</stp>
        <tr r="T622" s="2"/>
      </tp>
      <tp t="s">
        <v>#N/A Requesting Data...1559888432</v>
        <stp/>
        <stp>BDP|3945100749917745568</stp>
        <tr r="S380" s="2"/>
      </tp>
      <tp t="s">
        <v>#N/A Requesting Data...2500229857</v>
        <stp/>
        <stp>BDP|6128265887051332925</stp>
        <tr r="E588" s="2"/>
      </tp>
      <tp t="s">
        <v>#N/A Requesting Data...1874756635</v>
        <stp/>
        <stp>BDP|1107502116378132973</stp>
        <tr r="D1901" s="2"/>
      </tp>
      <tp t="s">
        <v>#N/A Requesting Data...1020266551</v>
        <stp/>
        <stp>BDP|5494336892598729339</stp>
        <tr r="Q1625" s="2"/>
      </tp>
      <tp t="s">
        <v>#N/A Requesting Data...1658699858</v>
        <stp/>
        <stp>BDP|5091551907902173627</stp>
        <tr r="F1153" s="2"/>
      </tp>
      <tp t="s">
        <v>#N/A Requesting Data...3255025077</v>
        <stp/>
        <stp>BDP|4305739104814500301</stp>
        <tr r="E1120" s="2"/>
      </tp>
      <tp t="s">
        <v>#N/A Requesting Data...1860513879</v>
        <stp/>
        <stp>BDP|2315052010405303247</stp>
        <tr r="H2447" s="2"/>
      </tp>
      <tp t="s">
        <v>#N/A Requesting Data...2056582916</v>
        <stp/>
        <stp>BDP|4279874885489758962</stp>
        <tr r="M1070" s="2"/>
      </tp>
      <tp t="b">
        <v>0</v>
        <stp/>
        <stp>BDS|1347651307062170111</stp>
        <tr r="I2166" s="2"/>
      </tp>
      <tp t="s">
        <v>#N/A Requesting Data...3834517301</v>
        <stp/>
        <stp>BDP|6729647126652133450</stp>
        <tr r="E1744" s="2"/>
      </tp>
      <tp t="s">
        <v>#N/A Requesting Data...1434737386</v>
        <stp/>
        <stp>BDP|8352781374295631985</stp>
        <tr r="T477" s="2"/>
      </tp>
      <tp t="s">
        <v>#N/A Requesting Data...3471429595</v>
        <stp/>
        <stp>BDP|8342318567908102156</stp>
        <tr r="H1702" s="2"/>
      </tp>
      <tp t="s">
        <v>#N/A Requesting Data...2144688428</v>
        <stp/>
        <stp>BDP|5087489187018650587</stp>
        <tr r="D1786" s="2"/>
      </tp>
      <tp t="s">
        <v>#N/A Requesting Data...2995384680</v>
        <stp/>
        <stp>BDP|4848519713984377080</stp>
        <tr r="J452" s="2"/>
      </tp>
      <tp t="s">
        <v>#N/A Requesting Data...2172843734</v>
        <stp/>
        <stp>BDP|5260763073495559437</stp>
        <tr r="R368" s="2"/>
      </tp>
      <tp t="s">
        <v>#N/A Requesting Data...1582433357</v>
        <stp/>
        <stp>BDP|7513649125864345367</stp>
        <tr r="S1762" s="2"/>
      </tp>
      <tp t="s">
        <v>#N/A Requesting Data...1488694013</v>
        <stp/>
        <stp>BDP|2282132625316297373</stp>
        <tr r="C37" s="2"/>
      </tp>
      <tp t="s">
        <v>#N/A Requesting Data...1546792574</v>
        <stp/>
        <stp>BDP|1636042926173174444</stp>
        <tr r="A162" s="2"/>
      </tp>
      <tp t="s">
        <v>#N/A Requesting Data...2736684320</v>
        <stp/>
        <stp>BDP|5055497400550918515</stp>
        <tr r="M981" s="2"/>
      </tp>
      <tp t="s">
        <v>#N/A Requesting Data...2311676606</v>
        <stp/>
        <stp>BDP|3749753452113643671</stp>
        <tr r="T886" s="2"/>
      </tp>
      <tp t="s">
        <v>#N/A Requesting Data...4094995399</v>
        <stp/>
        <stp>BDP|8505395941302428986</stp>
        <tr r="O1146" s="2"/>
      </tp>
      <tp t="s">
        <v>#N/A Requesting Data...2965461740</v>
        <stp/>
        <stp>BDP|8489651583980241216</stp>
        <tr r="D2201" s="2"/>
      </tp>
      <tp t="s">
        <v>#N/A Requesting Data...4232773125</v>
        <stp/>
        <stp>BDP|1580466216235466508</stp>
        <tr r="Q2332" s="2"/>
      </tp>
      <tp t="s">
        <v>#N/A Requesting Data...3818726757</v>
        <stp/>
        <stp>BDP|4589534511747798310</stp>
        <tr r="O430" s="2"/>
      </tp>
      <tp t="s">
        <v>#N/A Requesting Data...1407141022</v>
        <stp/>
        <stp>BDP|9019636487843548009</stp>
        <tr r="C1492" s="2"/>
      </tp>
      <tp t="s">
        <v>#N/A Requesting Data...2283458548</v>
        <stp/>
        <stp>BDP|3104994895285539297</stp>
        <tr r="S277" s="2"/>
      </tp>
      <tp t="s">
        <v>#N/A Requesting Data...2453215675</v>
        <stp/>
        <stp>BDP|3569614012639507926</stp>
        <tr r="K1245" s="2"/>
      </tp>
      <tp t="s">
        <v>#N/A Requesting Data...2098766490</v>
        <stp/>
        <stp>BDP|2315308130693287505</stp>
        <tr r="D2470" s="2"/>
      </tp>
      <tp t="s">
        <v>#N/A Requesting Data...3562770984</v>
        <stp/>
        <stp>BDP|9415511477956593965</stp>
        <tr r="P27" s="2"/>
      </tp>
      <tp t="s">
        <v>#N/A Requesting Data...1872734859</v>
        <stp/>
        <stp>BDP|3232520020747494758</stp>
        <tr r="H568" s="2"/>
      </tp>
      <tp t="s">
        <v>#N/A Requesting Data...2139359184</v>
        <stp/>
        <stp>BDP|1679141478673949021</stp>
        <tr r="O2169" s="2"/>
      </tp>
      <tp t="s">
        <v>#N/A Requesting Data...2879133915</v>
        <stp/>
        <stp>BDP|5489719333947390244</stp>
        <tr r="Q1470" s="2"/>
      </tp>
      <tp t="s">
        <v>#N/A Requesting Data...2422958599</v>
        <stp/>
        <stp>BDP|6277148523299602828</stp>
        <tr r="J1727" s="2"/>
      </tp>
      <tp t="s">
        <v>#N/A Requesting Data...2698450208</v>
        <stp/>
        <stp>BDP|5333872704430443955</stp>
        <tr r="K509" s="2"/>
      </tp>
      <tp t="b">
        <v>0</v>
        <stp/>
        <stp>BDS|5527303333186738704</stp>
        <tr r="I2189" s="2"/>
      </tp>
      <tp t="s">
        <v>#N/A Requesting Data...1176086119</v>
        <stp/>
        <stp>BDP|3769192506511178782</stp>
        <tr r="G1661" s="2"/>
      </tp>
      <tp t="s">
        <v>#N/A Requesting Data...3254144661</v>
        <stp/>
        <stp>BDP|7202985413308003382</stp>
        <tr r="M1616" s="2"/>
      </tp>
      <tp t="s">
        <v>#N/A Requesting Data...2761513804</v>
        <stp/>
        <stp>BDP|8501202433548307543</stp>
        <tr r="N2312" s="2"/>
      </tp>
      <tp t="s">
        <v>#N/A Requesting Data...3041627762</v>
        <stp/>
        <stp>BDP|3673813034348346417</stp>
        <tr r="H572" s="2"/>
      </tp>
      <tp t="s">
        <v>#N/A Requesting Data...3829194004</v>
        <stp/>
        <stp>BDP|6629821952788249754</stp>
        <tr r="R1024" s="2"/>
      </tp>
      <tp t="s">
        <v>#N/A Requesting Data...3063096537</v>
        <stp/>
        <stp>BDP|8301254497945480241</stp>
        <tr r="A631" s="2"/>
      </tp>
      <tp t="s">
        <v>#N/A Requesting Data...3545392513</v>
        <stp/>
        <stp>BDP|5799055647494454109</stp>
        <tr r="R2411" s="2"/>
      </tp>
      <tp t="s">
        <v>#N/A Requesting Data...1940344763</v>
        <stp/>
        <stp>BDP|5379520171035448657</stp>
        <tr r="E1538" s="2"/>
      </tp>
      <tp t="s">
        <v>#N/A Requesting Data...2942814413</v>
        <stp/>
        <stp>BDP|7456530483148325662</stp>
        <tr r="P1139" s="2"/>
      </tp>
      <tp t="b">
        <v>0</v>
        <stp/>
        <stp>BDS|7035086909123047007</stp>
        <tr r="I2255" s="2"/>
      </tp>
      <tp t="s">
        <v>#N/A Requesting Data...1350245222</v>
        <stp/>
        <stp>BDP|3956797104546503600</stp>
        <tr r="E2217" s="2"/>
      </tp>
      <tp t="s">
        <v>#N/A Requesting Data...1805571515</v>
        <stp/>
        <stp>BDP|2216037137812395740</stp>
        <tr r="C1092" s="2"/>
      </tp>
      <tp t="s">
        <v>#N/A Requesting Data...2566951747</v>
        <stp/>
        <stp>BDP|7348145264391010524</stp>
        <tr r="A991" s="2"/>
      </tp>
      <tp t="s">
        <v>#N/A Requesting Data...1641677031</v>
        <stp/>
        <stp>BDP|4249339441055927288</stp>
        <tr r="K855" s="2"/>
      </tp>
      <tp t="s">
        <v>#N/A Requesting Data...2023730739</v>
        <stp/>
        <stp>BDP|7641160425288766837</stp>
        <tr r="F878" s="2"/>
      </tp>
      <tp t="s">
        <v>#N/A Requesting Data...2541836504</v>
        <stp/>
        <stp>BDP|8128855794729646473</stp>
        <tr r="M934" s="2"/>
      </tp>
      <tp t="s">
        <v>#N/A Requesting Data...3348029362</v>
        <stp/>
        <stp>BDP|6783863302239170338</stp>
        <tr r="O426" s="2"/>
      </tp>
      <tp t="s">
        <v>#N/A Requesting Data...2387266887</v>
        <stp/>
        <stp>BDP|2835097516984324359</stp>
        <tr r="H1003" s="2"/>
      </tp>
      <tp t="s">
        <v>#N/A Requesting Data...4248336775</v>
        <stp/>
        <stp>BDP|2152211211494947192</stp>
        <tr r="O806" s="2"/>
      </tp>
      <tp t="s">
        <v>#N/A Requesting Data...2048046135</v>
        <stp/>
        <stp>BDP|9313354771139683075</stp>
        <tr r="H2429" s="2"/>
      </tp>
      <tp t="s">
        <v>#N/A Requesting Data...1603455970</v>
        <stp/>
        <stp>BDP|2235649341761871593</stp>
        <tr r="Q190" s="2"/>
      </tp>
      <tp t="s">
        <v>#N/A Requesting Data...2936252013</v>
        <stp/>
        <stp>BDP|4964687185826226802</stp>
        <tr r="H2315" s="2"/>
      </tp>
      <tp t="s">
        <v>#N/A Requesting Data...3656417513</v>
        <stp/>
        <stp>BDP|5141518175726103522</stp>
        <tr r="C1958" s="2"/>
      </tp>
      <tp t="s">
        <v>#N/A Requesting Data...2262868832</v>
        <stp/>
        <stp>BDP|6185275525667277575</stp>
        <tr r="T1934" s="2"/>
      </tp>
      <tp t="s">
        <v>#N/A Requesting Data...1399327210</v>
        <stp/>
        <stp>BDP|7280035447027255021</stp>
        <tr r="H315" s="2"/>
      </tp>
      <tp t="s">
        <v>#N/A Requesting Data...2024416150</v>
        <stp/>
        <stp>BDP|3912782837904427741</stp>
        <tr r="O2041" s="2"/>
      </tp>
      <tp t="s">
        <v>#N/A Requesting Data...3466598346</v>
        <stp/>
        <stp>BDP|5879221208763185050</stp>
        <tr r="S1732" s="2"/>
      </tp>
      <tp t="s">
        <v>#N/A Requesting Data...1887992877</v>
        <stp/>
        <stp>BDP|4151668605783525511</stp>
        <tr r="N236" s="2"/>
      </tp>
      <tp t="s">
        <v>#N/A Requesting Data...1526840663</v>
        <stp/>
        <stp>BDP|7101571671811241035</stp>
        <tr r="D970" s="2"/>
      </tp>
      <tp t="s">
        <v>#N/A Requesting Data...3613895418</v>
        <stp/>
        <stp>BDP|8333810710167782232</stp>
        <tr r="K2026" s="2"/>
      </tp>
      <tp t="s">
        <v>#N/A Requesting Data...2199928074</v>
        <stp/>
        <stp>BDP|3171456934979090969</stp>
        <tr r="R538" s="2"/>
      </tp>
      <tp t="s">
        <v>#N/A Requesting Data...2541434826</v>
        <stp/>
        <stp>BDP|1745467765916168134</stp>
        <tr r="E2130" s="2"/>
      </tp>
      <tp t="s">
        <v>#N/A Requesting Data...4030813973</v>
        <stp/>
        <stp>BDP|1251357975060410108</stp>
        <tr r="T692" s="2"/>
      </tp>
      <tp t="s">
        <v>#N/A Requesting Data...1831225526</v>
        <stp/>
        <stp>BDP|8263094839237520819</stp>
        <tr r="P505" s="2"/>
      </tp>
      <tp t="s">
        <v>#N/A Requesting Data...1375865017</v>
        <stp/>
        <stp>BDP|2729482838698951988</stp>
        <tr r="R978" s="2"/>
      </tp>
      <tp t="s">
        <v>#N/A Requesting Data...2749343192</v>
        <stp/>
        <stp>BDP|5099937914290442953</stp>
        <tr r="E2374" s="2"/>
      </tp>
      <tp t="s">
        <v>#N/A Requesting Data...1532945686</v>
        <stp/>
        <stp>BDP|7072401479434801478</stp>
        <tr r="N1040" s="2"/>
      </tp>
      <tp t="s">
        <v>#N/A Requesting Data...3121603476</v>
        <stp/>
        <stp>BDP|8712753348919534692</stp>
        <tr r="K1609" s="2"/>
      </tp>
      <tp t="s">
        <v>#N/A Requesting Data...3423325701</v>
        <stp/>
        <stp>BDP|3606119250215740665</stp>
        <tr r="C707" s="2"/>
      </tp>
      <tp t="s">
        <v>#N/A Requesting Data...2080547157</v>
        <stp/>
        <stp>BDP|1713210030714245028</stp>
        <tr r="A1806" s="2"/>
      </tp>
      <tp t="b">
        <v>0</v>
        <stp/>
        <stp>BDS|7877794053529684827</stp>
        <tr r="I1013" s="2"/>
      </tp>
      <tp t="s">
        <v>#N/A Requesting Data...1914490634</v>
        <stp/>
        <stp>BDP|7977177124735587595</stp>
        <tr r="P424" s="2"/>
      </tp>
      <tp t="s">
        <v>#N/A Requesting Data...4062695846</v>
        <stp/>
        <stp>BDP|3743649557515534171</stp>
        <tr r="G1426" s="2"/>
      </tp>
      <tp t="s">
        <v>#N/A Requesting Data...3510497725</v>
        <stp/>
        <stp>BDP|7285759703684256008</stp>
        <tr r="T1874" s="2"/>
      </tp>
      <tp t="s">
        <v>#N/A Requesting Data...4110819986</v>
        <stp/>
        <stp>BDP|2328158241276623570</stp>
        <tr r="K1360" s="2"/>
      </tp>
      <tp t="s">
        <v>#N/A Requesting Data...2178663287</v>
        <stp/>
        <stp>BDP|6119990083053825059</stp>
        <tr r="O1958" s="2"/>
      </tp>
      <tp t="s">
        <v>#N/A Requesting Data...3491621357</v>
        <stp/>
        <stp>BDP|8448640480416598434</stp>
        <tr r="P1862" s="2"/>
      </tp>
      <tp t="s">
        <v>#N/A Requesting Data...2949977427</v>
        <stp/>
        <stp>BDP|5715697175945961544</stp>
        <tr r="N1024" s="2"/>
      </tp>
      <tp t="s">
        <v>#N/A Requesting Data...2440159332</v>
        <stp/>
        <stp>BDP|4144519236352120411</stp>
        <tr r="Q2467" s="2"/>
      </tp>
      <tp t="s">
        <v>#N/A Requesting Data...2134491362</v>
        <stp/>
        <stp>BDP|9224918815087568251</stp>
        <tr r="H2209" s="2"/>
      </tp>
      <tp t="s">
        <v>#N/A Requesting Data...2419622546</v>
        <stp/>
        <stp>BDP|4607488834026552190</stp>
        <tr r="N957" s="2"/>
      </tp>
      <tp t="s">
        <v>#N/A Requesting Data...2758603093</v>
        <stp/>
        <stp>BDP|6496582857296858451</stp>
        <tr r="E1054" s="2"/>
      </tp>
      <tp t="s">
        <v>#N/A Requesting Data...2072058008</v>
        <stp/>
        <stp>BDP|4460599358915086532</stp>
        <tr r="R1766" s="2"/>
      </tp>
      <tp t="s">
        <v>#N/A Requesting Data...3960775406</v>
        <stp/>
        <stp>BDP|4625965412968533011</stp>
        <tr r="C2236" s="2"/>
      </tp>
      <tp t="s">
        <v>#N/A Requesting Data...1390330762</v>
        <stp/>
        <stp>BDP|4622421771500623358</stp>
        <tr r="E2414" s="2"/>
      </tp>
      <tp t="s">
        <v>#N/A Requesting Data...2828284586</v>
        <stp/>
        <stp>BDP|3490194452167130483</stp>
        <tr r="E793" s="2"/>
      </tp>
      <tp t="b">
        <v>0</v>
        <stp/>
        <stp>BDS|6935781534260464679</stp>
        <tr r="I2105" s="2"/>
      </tp>
      <tp t="s">
        <v>#N/A Requesting Data...3369982144</v>
        <stp/>
        <stp>BDP|4572075029656914449</stp>
        <tr r="M2294" s="2"/>
      </tp>
      <tp t="s">
        <v>#N/A Requesting Data...2001717253</v>
        <stp/>
        <stp>BDP|3074434118084487697</stp>
        <tr r="F844" s="2"/>
      </tp>
      <tp t="b">
        <v>0</v>
        <stp/>
        <stp>BDS|5646832636443390967</stp>
        <tr r="I1687" s="2"/>
      </tp>
      <tp t="s">
        <v>#N/A Requesting Data...1715384013</v>
        <stp/>
        <stp>BDP|2351307665991538257</stp>
        <tr r="R2094" s="2"/>
      </tp>
      <tp t="s">
        <v>#N/A Requesting Data...4050957507</v>
        <stp/>
        <stp>BDP|1433044553705781527</stp>
        <tr r="N1701" s="2"/>
      </tp>
      <tp t="s">
        <v>#N/A Requesting Data...3068327248</v>
        <stp/>
        <stp>BDP|2899973594151529786</stp>
        <tr r="D912" s="2"/>
      </tp>
      <tp t="s">
        <v>#N/A Requesting Data...4025916659</v>
        <stp/>
        <stp>BDP|3111397980674692886</stp>
        <tr r="A1711" s="2"/>
      </tp>
      <tp t="s">
        <v>#N/A Requesting Data...2085289828</v>
        <stp/>
        <stp>BDP|6522132042742483561</stp>
        <tr r="A1946" s="2"/>
      </tp>
      <tp t="s">
        <v>#N/A Requesting Data...2243632193</v>
        <stp/>
        <stp>BDP|8389117791413624737</stp>
        <tr r="Q22" s="2"/>
      </tp>
      <tp t="s">
        <v>#N/A Requesting Data...3263406509</v>
        <stp/>
        <stp>BDP|1267801195890179409</stp>
        <tr r="P1063" s="2"/>
      </tp>
      <tp t="s">
        <v>#N/A Requesting Data...3225720094</v>
        <stp/>
        <stp>BDP|2353978563959525047</stp>
        <tr r="K994" s="2"/>
      </tp>
      <tp t="s">
        <v>#N/A Requesting Data...3348371380</v>
        <stp/>
        <stp>BDP|7060676426560665712</stp>
        <tr r="J1585" s="2"/>
      </tp>
      <tp t="s">
        <v>#N/A Requesting Data...3657475281</v>
        <stp/>
        <stp>BDP|5389697037514237098</stp>
        <tr r="J1995" s="2"/>
      </tp>
      <tp t="s">
        <v>#N/A Requesting Data...2127842932</v>
        <stp/>
        <stp>BDP|1040203503566418112</stp>
        <tr r="Q1790" s="2"/>
      </tp>
      <tp t="s">
        <v>#N/A Requesting Data...2669645627</v>
        <stp/>
        <stp>BDP|3689775907563001308</stp>
        <tr r="C338" s="2"/>
      </tp>
      <tp t="s">
        <v>#N/A Requesting Data...3166541019</v>
        <stp/>
        <stp>BDP|3196576313153371009</stp>
        <tr r="C117" s="2"/>
      </tp>
      <tp t="s">
        <v>#N/A Requesting Data...3524931960</v>
        <stp/>
        <stp>BDP|6680626787514797822</stp>
        <tr r="T263" s="2"/>
      </tp>
      <tp t="s">
        <v>#N/A Requesting Data...3937558677</v>
        <stp/>
        <stp>BDP|2764224055203468226</stp>
        <tr r="T2258" s="2"/>
      </tp>
      <tp t="s">
        <v>#N/A Requesting Data...2269521254</v>
        <stp/>
        <stp>BDP|1662064919572941663</stp>
        <tr r="N2284" s="2"/>
      </tp>
      <tp t="s">
        <v>#N/A Requesting Data...3150959837</v>
        <stp/>
        <stp>BDP|1708357564450745077</stp>
        <tr r="K262" s="2"/>
      </tp>
      <tp t="s">
        <v>#N/A Requesting Data...2377072950</v>
        <stp/>
        <stp>BDP|5845165833766304586</stp>
        <tr r="H1278" s="2"/>
      </tp>
      <tp t="s">
        <v>#N/A Requesting Data...2205756557</v>
        <stp/>
        <stp>BDP|2876015749303658104</stp>
        <tr r="O560" s="2"/>
      </tp>
      <tp t="s">
        <v>#N/A Requesting Data...3002478743</v>
        <stp/>
        <stp>BDP|5236426900870091564</stp>
        <tr r="T1051" s="2"/>
      </tp>
      <tp t="s">
        <v>#N/A Requesting Data...2461831360</v>
        <stp/>
        <stp>BDP|6047542275392678211</stp>
        <tr r="A1748" s="2"/>
      </tp>
      <tp t="s">
        <v>#N/A Requesting Data...4027914758</v>
        <stp/>
        <stp>BDP|1862508136952123196</stp>
        <tr r="M83" s="2"/>
      </tp>
      <tp t="s">
        <v>#N/A Requesting Data...3442755759</v>
        <stp/>
        <stp>BDP|3924672090278136092</stp>
        <tr r="F2233" s="2"/>
      </tp>
      <tp t="s">
        <v>#N/A Requesting Data...3666914377</v>
        <stp/>
        <stp>BDP|9706861326043307422</stp>
        <tr r="T485" s="2"/>
      </tp>
      <tp t="s">
        <v>#N/A Requesting Data...4210778765</v>
        <stp/>
        <stp>BDP|1919665875633805741</stp>
        <tr r="H2328" s="2"/>
      </tp>
      <tp t="b">
        <v>0</v>
        <stp/>
        <stp>BDS|5072980487095818516</stp>
        <tr r="I1957" s="2"/>
      </tp>
      <tp t="s">
        <v>#N/A Requesting Data...3502638893</v>
        <stp/>
        <stp>BDP|4937297061621635512</stp>
        <tr r="D1799" s="2"/>
      </tp>
      <tp t="s">
        <v>#N/A Requesting Data...2919176372</v>
        <stp/>
        <stp>BDP|5007063212467443760</stp>
        <tr r="M2042" s="2"/>
      </tp>
      <tp t="s">
        <v>#N/A Requesting Data...2023838177</v>
        <stp/>
        <stp>BDP|4555477575721150203</stp>
        <tr r="P1273" s="2"/>
      </tp>
      <tp t="s">
        <v>#N/A Requesting Data...2050838462</v>
        <stp/>
        <stp>BDP|6896550738840408472</stp>
        <tr r="M244" s="2"/>
      </tp>
      <tp t="s">
        <v>#N/A Requesting Data...2852510538</v>
        <stp/>
        <stp>BDP|5780409875567325575</stp>
        <tr r="N707" s="2"/>
      </tp>
      <tp t="s">
        <v>#N/A Requesting Data...4096472990</v>
        <stp/>
        <stp>BDP|3366694750573432786</stp>
        <tr r="Q1234" s="2"/>
      </tp>
      <tp t="s">
        <v>#N/A Requesting Data...3822187363</v>
        <stp/>
        <stp>BDP|4437442072305391679</stp>
        <tr r="G2377" s="2"/>
      </tp>
      <tp t="s">
        <v>#N/A Requesting Data...1375751472</v>
        <stp/>
        <stp>BDP|5610141564051506752</stp>
        <tr r="E1075" s="2"/>
      </tp>
      <tp t="s">
        <v>#N/A Requesting Data...1819902168</v>
        <stp/>
        <stp>BDP|2237051797777344853</stp>
        <tr r="F145" s="2"/>
      </tp>
      <tp t="s">
        <v>#N/A Requesting Data...1567997240</v>
        <stp/>
        <stp>BDP|6311431485378601651</stp>
        <tr r="T2301" s="2"/>
      </tp>
      <tp t="s">
        <v>#N/A Requesting Data...1470754894</v>
        <stp/>
        <stp>BDP|5552727837704276140</stp>
        <tr r="K741" s="2"/>
      </tp>
      <tp t="s">
        <v>#N/A Requesting Data...3475069658</v>
        <stp/>
        <stp>BDP|1078251654260246252</stp>
        <tr r="K2307" s="2"/>
      </tp>
      <tp t="s">
        <v>#N/A Requesting Data...1889076163</v>
        <stp/>
        <stp>BDP|3161778046852633600</stp>
        <tr r="T57" s="2"/>
      </tp>
      <tp t="s">
        <v>#N/A Requesting Data...1656836251</v>
        <stp/>
        <stp>BDP|9863913358874185560</stp>
        <tr r="M1148" s="2"/>
      </tp>
      <tp t="s">
        <v>#N/A Requesting Data...1661262556</v>
        <stp/>
        <stp>BDP|8221625976325806881</stp>
        <tr r="Q1268" s="2"/>
      </tp>
      <tp t="s">
        <v>#N/A Requesting Data...1738401988</v>
        <stp/>
        <stp>BDP|1158076501554676174</stp>
        <tr r="O248" s="2"/>
      </tp>
      <tp t="s">
        <v>#N/A Requesting Data...3069557928</v>
        <stp/>
        <stp>BDP|6345343374740303664</stp>
        <tr r="T1035" s="2"/>
      </tp>
      <tp t="s">
        <v>#N/A Requesting Data...1417375677</v>
        <stp/>
        <stp>BDP|2246143821493965681</stp>
        <tr r="Q163" s="2"/>
      </tp>
      <tp t="s">
        <v>#N/A Requesting Data...1947537528</v>
        <stp/>
        <stp>BDP|8772976273782634031</stp>
        <tr r="C1437" s="2"/>
      </tp>
      <tp t="s">
        <v>#N/A Requesting Data...3425051299</v>
        <stp/>
        <stp>BDP|3066123854322051107</stp>
        <tr r="M569" s="2"/>
      </tp>
      <tp t="s">
        <v>#N/A Requesting Data...1685673644</v>
        <stp/>
        <stp>BDP|9333613802563625803</stp>
        <tr r="Q1127" s="2"/>
      </tp>
      <tp t="s">
        <v>#N/A Requesting Data...1394902644</v>
        <stp/>
        <stp>BDP|3329805826574637956</stp>
        <tr r="K1848" s="2"/>
      </tp>
      <tp t="s">
        <v>#N/A Requesting Data...2741158317</v>
        <stp/>
        <stp>BDP|5197787432795998047</stp>
        <tr r="J2333" s="2"/>
      </tp>
      <tp t="s">
        <v>#N/A Requesting Data...2766043897</v>
        <stp/>
        <stp>BDP|4136384520703820275</stp>
        <tr r="M2031" s="2"/>
      </tp>
      <tp t="s">
        <v>#N/A Requesting Data...1375764632</v>
        <stp/>
        <stp>BDP|7910126971431906454</stp>
        <tr r="T2330" s="2"/>
      </tp>
      <tp t="s">
        <v>#N/A Requesting Data...2387840943</v>
        <stp/>
        <stp>BDP|1329580968180066652</stp>
        <tr r="G2065" s="2"/>
      </tp>
      <tp t="s">
        <v>#N/A Requesting Data...3848256141</v>
        <stp/>
        <stp>BDP|1635485879021920783</stp>
        <tr r="N1598" s="2"/>
      </tp>
      <tp t="s">
        <v>#N/A Requesting Data...3460957062</v>
        <stp/>
        <stp>BDP|1733902298694847114</stp>
        <tr r="M1254" s="2"/>
      </tp>
      <tp t="s">
        <v>#N/A Requesting Data...2205475405</v>
        <stp/>
        <stp>BDP|9502470211140753822</stp>
        <tr r="F251" s="2"/>
      </tp>
      <tp t="s">
        <v>#N/A Requesting Data...2221701884</v>
        <stp/>
        <stp>BDP|9317813738065516395</stp>
        <tr r="G917" s="2"/>
      </tp>
      <tp t="b">
        <v>0</v>
        <stp/>
        <stp>BDS|7191265126373799003</stp>
        <tr r="I2407" s="2"/>
      </tp>
      <tp t="s">
        <v>#N/A Requesting Data...3515881671</v>
        <stp/>
        <stp>BDP|1808537077707360090</stp>
        <tr r="G920" s="2"/>
      </tp>
      <tp t="s">
        <v>#N/A Requesting Data...3772222362</v>
        <stp/>
        <stp>BDP|3414728761346911092</stp>
        <tr r="P840" s="2"/>
      </tp>
      <tp t="s">
        <v>#N/A Requesting Data...4030525110</v>
        <stp/>
        <stp>BDP|9990149548608092026</stp>
        <tr r="A1555" s="2"/>
      </tp>
      <tp t="s">
        <v>#N/A Requesting Data...3442403988</v>
        <stp/>
        <stp>BDP|9452988744003974363</stp>
        <tr r="D1820" s="2"/>
      </tp>
      <tp t="s">
        <v>#N/A Requesting Data...2264671769</v>
        <stp/>
        <stp>BDP|4080182772592462490</stp>
        <tr r="C424" s="2"/>
      </tp>
      <tp t="s">
        <v>#N/A Requesting Data...2908545328</v>
        <stp/>
        <stp>BDP|4681741865025224422</stp>
        <tr r="F1065" s="2"/>
      </tp>
      <tp t="s">
        <v>#N/A Requesting Data...2512983213</v>
        <stp/>
        <stp>BDP|7958483111850663611</stp>
        <tr r="M2157" s="2"/>
      </tp>
      <tp t="s">
        <v>#N/A Requesting Data...3121424389</v>
        <stp/>
        <stp>BDP|1587656972030144443</stp>
        <tr r="M1457" s="2"/>
      </tp>
      <tp t="s">
        <v>#N/A Requesting Data...1438084911</v>
        <stp/>
        <stp>BDP|2826414045912267491</stp>
        <tr r="Q1154" s="2"/>
      </tp>
      <tp t="s">
        <v>#N/A Requesting Data...1926779482</v>
        <stp/>
        <stp>BDP|7460004352995868395</stp>
        <tr r="O2122" s="2"/>
      </tp>
      <tp t="s">
        <v>#N/A Requesting Data...2142230312</v>
        <stp/>
        <stp>BDP|1119391173979503891</stp>
        <tr r="K1891" s="2"/>
      </tp>
      <tp t="s">
        <v>#N/A Requesting Data...3714763331</v>
        <stp/>
        <stp>BDP|2009446065733314758</stp>
        <tr r="C805" s="2"/>
      </tp>
      <tp t="s">
        <v>#N/A Requesting Data...2870462000</v>
        <stp/>
        <stp>BDP|3718484501830834316</stp>
        <tr r="G1824" s="2"/>
      </tp>
      <tp t="s">
        <v>#N/A Requesting Data...1653293035</v>
        <stp/>
        <stp>BDP|3068018289706811970</stp>
        <tr r="N1141" s="2"/>
      </tp>
      <tp t="s">
        <v>#N/A Requesting Data...1676099889</v>
        <stp/>
        <stp>BDP|6030097765802241693</stp>
        <tr r="P897" s="2"/>
      </tp>
      <tp t="s">
        <v>#N/A Requesting Data...4125564402</v>
        <stp/>
        <stp>BDP|2495107451720744256</stp>
        <tr r="J23" s="2"/>
      </tp>
      <tp t="s">
        <v>#N/A Requesting Data...2757727160</v>
        <stp/>
        <stp>BDP|4515017365214376258</stp>
        <tr r="A2101" s="2"/>
      </tp>
      <tp t="s">
        <v>#N/A Requesting Data...3668026742</v>
        <stp/>
        <stp>BDP|1091176558167970612</stp>
        <tr r="A1839" s="2"/>
      </tp>
      <tp t="s">
        <v>#N/A Requesting Data...3004951135</v>
        <stp/>
        <stp>BDP|6531041677427086215</stp>
        <tr r="F867" s="2"/>
      </tp>
      <tp t="s">
        <v>#N/A Requesting Data...3279665517</v>
        <stp/>
        <stp>BDP|8895484527398565253</stp>
        <tr r="F2331" s="2"/>
      </tp>
      <tp t="s">
        <v>#N/A Requesting Data...1807796349</v>
        <stp/>
        <stp>BDP|5595935044614629833</stp>
        <tr r="P2159" s="2"/>
      </tp>
      <tp t="s">
        <v>#N/A Requesting Data...2000823094</v>
        <stp/>
        <stp>BDP|4289363197543022947</stp>
        <tr r="F155" s="2"/>
      </tp>
      <tp t="s">
        <v>#N/A Requesting Data...3812029987</v>
        <stp/>
        <stp>BDP|8008619290612303154</stp>
        <tr r="C1387" s="2"/>
      </tp>
      <tp t="s">
        <v>#N/A Requesting Data...4188385100</v>
        <stp/>
        <stp>BDP|8688332393580175602</stp>
        <tr r="S2331" s="2"/>
      </tp>
      <tp t="s">
        <v>#N/A Requesting Data...3230070319</v>
        <stp/>
        <stp>BDP|2913086227812337626</stp>
        <tr r="J1665" s="2"/>
      </tp>
      <tp t="s">
        <v>#N/A Requesting Data...3725215355</v>
        <stp/>
        <stp>BDP|7048661733712489460</stp>
        <tr r="G1115" s="2"/>
      </tp>
      <tp t="s">
        <v>#N/A Requesting Data...3943902416</v>
        <stp/>
        <stp>BDP|5249569042757921782</stp>
        <tr r="Q1398" s="2"/>
      </tp>
      <tp t="s">
        <v>#N/A Requesting Data...3376480584</v>
        <stp/>
        <stp>BDP|6885508116771999704</stp>
        <tr r="T1074" s="2"/>
      </tp>
      <tp t="s">
        <v>#N/A Requesting Data...3850188920</v>
        <stp/>
        <stp>BDP|5897164989099672167</stp>
        <tr r="G1228" s="2"/>
      </tp>
      <tp t="s">
        <v>#N/A Requesting Data...2722117550</v>
        <stp/>
        <stp>BDP|9075100269918910272</stp>
        <tr r="H2308" s="2"/>
      </tp>
      <tp t="s">
        <v>#N/A Requesting Data...2558677460</v>
        <stp/>
        <stp>BDP|7145543564100320059</stp>
        <tr r="E495" s="2"/>
      </tp>
      <tp t="s">
        <v>#N/A Requesting Data...1866862616</v>
        <stp/>
        <stp>BDP|6932834432958831170</stp>
        <tr r="E2503" s="2"/>
      </tp>
      <tp t="s">
        <v>#N/A Requesting Data...3878069491</v>
        <stp/>
        <stp>BDP|9648511700419983194</stp>
        <tr r="T252" s="2"/>
      </tp>
      <tp t="s">
        <v>#N/A Requesting Data...1681202908</v>
        <stp/>
        <stp>BDP|1229248360001512046</stp>
        <tr r="F1654" s="2"/>
      </tp>
      <tp t="s">
        <v>#N/A Requesting Data...3039873491</v>
        <stp/>
        <stp>BDP|5467749087826120819</stp>
        <tr r="N1477" s="2"/>
      </tp>
      <tp t="s">
        <v>#N/A Requesting Data...1533422375</v>
        <stp/>
        <stp>BDP|4558661969367991742</stp>
        <tr r="T986" s="2"/>
      </tp>
      <tp t="s">
        <v>#N/A Requesting Data...3854891188</v>
        <stp/>
        <stp>BDP|9029115648811649987</stp>
        <tr r="H1839" s="2"/>
      </tp>
      <tp t="s">
        <v>#N/A Requesting Data...2911359623</v>
        <stp/>
        <stp>BDP|5885698037370862499</stp>
        <tr r="P207" s="2"/>
      </tp>
      <tp t="s">
        <v>#N/A Requesting Data...4129103354</v>
        <stp/>
        <stp>BDP|2942095962311088156</stp>
        <tr r="F2003" s="2"/>
      </tp>
      <tp t="s">
        <v>#N/A Requesting Data...2101383715</v>
        <stp/>
        <stp>BDP|1721507402810759054</stp>
        <tr r="J1073" s="2"/>
      </tp>
      <tp t="s">
        <v>#N/A Requesting Data...1964212400</v>
        <stp/>
        <stp>BDP|1808108639952782515</stp>
        <tr r="K113" s="2"/>
      </tp>
      <tp t="s">
        <v>#N/A Requesting Data...2157606931</v>
        <stp/>
        <stp>BDP|5662787667696719699</stp>
        <tr r="A2206" s="2"/>
      </tp>
      <tp t="s">
        <v>#N/A Requesting Data...3303517787</v>
        <stp/>
        <stp>BDP|5885142457631923451</stp>
        <tr r="N2154" s="2"/>
      </tp>
      <tp t="s">
        <v>#N/A Requesting Data...2236258361</v>
        <stp/>
        <stp>BDP|1762324735907246250</stp>
        <tr r="F1243" s="2"/>
      </tp>
      <tp t="s">
        <v>#N/A Requesting Data...3027010692</v>
        <stp/>
        <stp>BDP|6759548004140730770</stp>
        <tr r="G23" s="2"/>
      </tp>
      <tp t="s">
        <v>#N/A Requesting Data...3225845106</v>
        <stp/>
        <stp>BDP|5292356140053643565</stp>
        <tr r="E2366" s="2"/>
      </tp>
      <tp t="s">
        <v>#N/A Requesting Data...2816636741</v>
        <stp/>
        <stp>BDP|9690976766525502754</stp>
        <tr r="Q2150" s="2"/>
      </tp>
      <tp t="s">
        <v>#N/A Requesting Data...1702673712</v>
        <stp/>
        <stp>BDP|2232759580818246128</stp>
        <tr r="Q1080" s="2"/>
      </tp>
      <tp t="s">
        <v>#N/A Requesting Data...2278698081</v>
        <stp/>
        <stp>BDP|6639904168174083990</stp>
        <tr r="J1804" s="2"/>
      </tp>
      <tp t="s">
        <v>#N/A Requesting Data...1569341897</v>
        <stp/>
        <stp>BDP|8778939806181683439</stp>
        <tr r="C2230" s="2"/>
      </tp>
      <tp t="s">
        <v>#N/A Requesting Data...4127183643</v>
        <stp/>
        <stp>BDP|2021392684704363990</stp>
        <tr r="N315" s="2"/>
      </tp>
      <tp t="s">
        <v>#N/A Requesting Data...3689816724</v>
        <stp/>
        <stp>BDP|5564237853203568574</stp>
        <tr r="S264" s="2"/>
      </tp>
      <tp t="s">
        <v>#N/A Requesting Data...2698286778</v>
        <stp/>
        <stp>BDP|2529172443021209241</stp>
        <tr r="K1384" s="2"/>
      </tp>
      <tp t="s">
        <v>#N/A Requesting Data...2719927282</v>
        <stp/>
        <stp>BDP|3068366763502429066</stp>
        <tr r="P678" s="2"/>
      </tp>
      <tp t="s">
        <v>#N/A Requesting Data...2393714360</v>
        <stp/>
        <stp>BDP|7723114434266267773</stp>
        <tr r="R1115" s="2"/>
      </tp>
      <tp t="s">
        <v>#N/A Requesting Data...2458031307</v>
        <stp/>
        <stp>BDP|9832682806143189809</stp>
        <tr r="K480" s="2"/>
      </tp>
      <tp t="s">
        <v>#N/A Requesting Data...2999926498</v>
        <stp/>
        <stp>BDP|5663212024609503813</stp>
        <tr r="Q1124" s="2"/>
      </tp>
      <tp t="s">
        <v>#N/A Requesting Data...2343786563</v>
        <stp/>
        <stp>BDP|1762432192299359122</stp>
        <tr r="C1006" s="2"/>
      </tp>
      <tp t="s">
        <v>#N/A Requesting Data...1755281022</v>
        <stp/>
        <stp>BDP|5910273322926322788</stp>
        <tr r="T36" s="2"/>
      </tp>
      <tp t="s">
        <v>#N/A Requesting Data...3353488711</v>
        <stp/>
        <stp>BDP|3724239817763486705</stp>
        <tr r="O566" s="2"/>
      </tp>
      <tp t="s">
        <v>#N/A Requesting Data...2682902533</v>
        <stp/>
        <stp>BDP|2485737302670119139</stp>
        <tr r="R2322" s="2"/>
      </tp>
      <tp t="s">
        <v>#N/A Requesting Data...3778485654</v>
        <stp/>
        <stp>BDP|4548033334477229471</stp>
        <tr r="K2111" s="2"/>
      </tp>
      <tp t="s">
        <v>#N/A Requesting Data...2883059649</v>
        <stp/>
        <stp>BDP|5132015000615004470</stp>
        <tr r="O1392" s="2"/>
      </tp>
      <tp t="s">
        <v>#N/A Requesting Data...2984123281</v>
        <stp/>
        <stp>BDP|9492385785316694086</stp>
        <tr r="P2317" s="2"/>
      </tp>
      <tp t="s">
        <v>#N/A Requesting Data...3740610496</v>
        <stp/>
        <stp>BDP|7628014651231070713</stp>
        <tr r="F16" s="2"/>
      </tp>
      <tp t="s">
        <v>#N/A Requesting Data...3620097044</v>
        <stp/>
        <stp>BDP|2437817069091340980</stp>
        <tr r="F557" s="2"/>
      </tp>
      <tp t="s">
        <v>#N/A Requesting Data...3077095793</v>
        <stp/>
        <stp>BDP|2101450904672337045</stp>
        <tr r="C2211" s="2"/>
      </tp>
      <tp t="s">
        <v>#N/A Requesting Data...3644231127</v>
        <stp/>
        <stp>BDP|6019280231392913170</stp>
        <tr r="G603" s="2"/>
      </tp>
      <tp t="s">
        <v>#N/A Requesting Data...3399947823</v>
        <stp/>
        <stp>BDP|4606771157700245231</stp>
        <tr r="F1898" s="2"/>
      </tp>
      <tp t="s">
        <v>#N/A Requesting Data...2661260883</v>
        <stp/>
        <stp>BDP|9989482884322630349</stp>
        <tr r="T859" s="2"/>
      </tp>
      <tp t="s">
        <v>#N/A Requesting Data...3151078745</v>
        <stp/>
        <stp>BDP|4877970989067355621</stp>
        <tr r="Q1930" s="2"/>
      </tp>
      <tp t="s">
        <v>#N/A Requesting Data...2728702401</v>
        <stp/>
        <stp>BDP|7743377515339528871</stp>
        <tr r="Q1366" s="2"/>
      </tp>
      <tp t="s">
        <v>#N/A Requesting Data...1644202778</v>
        <stp/>
        <stp>BDP|3761665717875618579</stp>
        <tr r="N1015" s="2"/>
      </tp>
      <tp t="s">
        <v>#N/A Requesting Data...2095920291</v>
        <stp/>
        <stp>BDP|2593652959522943779</stp>
        <tr r="G1277" s="2"/>
      </tp>
      <tp t="s">
        <v>#N/A Requesting Data...3996115710</v>
        <stp/>
        <stp>BDP|1109232831710424405</stp>
        <tr r="F1777" s="2"/>
      </tp>
      <tp t="s">
        <v>#N/A Requesting Data...3622184075</v>
        <stp/>
        <stp>BDP|3690383419375484043</stp>
        <tr r="E124" s="2"/>
      </tp>
      <tp t="s">
        <v>#N/A Requesting Data...3560303383</v>
        <stp/>
        <stp>BDP|8121162475139656336</stp>
        <tr r="R587" s="2"/>
      </tp>
      <tp t="b">
        <v>0</v>
        <stp/>
        <stp>BDS|1686709921579039906</stp>
        <tr r="I1960" s="2"/>
      </tp>
      <tp t="s">
        <v>#N/A Requesting Data...3486057483</v>
        <stp/>
        <stp>BDP|3396221667195895692</stp>
        <tr r="H888" s="2"/>
      </tp>
      <tp t="s">
        <v>#N/A Requesting Data...1894350775</v>
        <stp/>
        <stp>BDP|7673803506433308842</stp>
        <tr r="D346" s="2"/>
      </tp>
      <tp t="b">
        <v>0</v>
        <stp/>
        <stp>BDS|3748657395001904992</stp>
        <tr r="I721" s="2"/>
      </tp>
      <tp t="s">
        <v>#N/A Requesting Data...1961147972</v>
        <stp/>
        <stp>BDP|8169151982214639174</stp>
        <tr r="F335" s="2"/>
      </tp>
      <tp t="s">
        <v>#N/A Requesting Data...2892649786</v>
        <stp/>
        <stp>BDP|1713452555336253220</stp>
        <tr r="R315" s="2"/>
      </tp>
      <tp t="s">
        <v>#N/A Requesting Data...3158306856</v>
        <stp/>
        <stp>BDP|2402292015655981069</stp>
        <tr r="H929" s="2"/>
      </tp>
      <tp t="s">
        <v>#N/A Requesting Data...2227798075</v>
        <stp/>
        <stp>BDP|5716270421790006163</stp>
        <tr r="S1777" s="2"/>
      </tp>
      <tp t="s">
        <v>#N/A Requesting Data...3114397704</v>
        <stp/>
        <stp>BDP|4724121756491051547</stp>
        <tr r="T1731" s="2"/>
      </tp>
      <tp t="s">
        <v>#N/A Requesting Data...2931668976</v>
        <stp/>
        <stp>BDP|5504248669800709585</stp>
        <tr r="Q1694" s="2"/>
      </tp>
      <tp t="s">
        <v>#N/A Requesting Data...1643792797</v>
        <stp/>
        <stp>BDP|1374664100576037521</stp>
        <tr r="P1138" s="2"/>
      </tp>
      <tp t="b">
        <v>0</v>
        <stp/>
        <stp>BDS|1222108014224967189</stp>
        <tr r="I2387" s="2"/>
      </tp>
      <tp t="b">
        <v>0</v>
        <stp/>
        <stp>BDS|6517030771982569759</stp>
        <tr r="I2488" s="2"/>
      </tp>
      <tp t="s">
        <v>#N/A Requesting Data...2471053144</v>
        <stp/>
        <stp>BDP|1936507568641005766</stp>
        <tr r="J921" s="2"/>
      </tp>
      <tp t="s">
        <v>#N/A Requesting Data...2151347280</v>
        <stp/>
        <stp>BDP|2828103642065516684</stp>
        <tr r="N823" s="2"/>
      </tp>
      <tp t="s">
        <v>#N/A Requesting Data...2703893222</v>
        <stp/>
        <stp>BDP|3158259286138516508</stp>
        <tr r="M2149" s="2"/>
      </tp>
      <tp t="b">
        <v>0</v>
        <stp/>
        <stp>BDS|9325924950532340350</stp>
        <tr r="I2035" s="2"/>
      </tp>
      <tp t="b">
        <v>0</v>
        <stp/>
        <stp>BDS|5729330452617046017</stp>
        <tr r="I1178" s="2"/>
      </tp>
      <tp t="s">
        <v>#N/A Requesting Data...3162271945</v>
        <stp/>
        <stp>BDP|2185715179261889763</stp>
        <tr r="O335" s="2"/>
      </tp>
      <tp t="s">
        <v>#N/A Requesting Data...2989983932</v>
        <stp/>
        <stp>BDP|6249342374346545005</stp>
        <tr r="R2277" s="2"/>
      </tp>
      <tp t="s">
        <v>#N/A Requesting Data...2048642663</v>
        <stp/>
        <stp>BDP|7378771329387867124</stp>
        <tr r="G2125" s="2"/>
      </tp>
      <tp t="s">
        <v>#N/A Requesting Data...2710146711</v>
        <stp/>
        <stp>BDP|1467307493807485846</stp>
        <tr r="P608" s="2"/>
      </tp>
      <tp t="s">
        <v>#N/A Requesting Data...1814643367</v>
        <stp/>
        <stp>BDP|3969994903916693825</stp>
        <tr r="N986" s="2"/>
      </tp>
      <tp t="s">
        <v>#N/A Requesting Data...2142179903</v>
        <stp/>
        <stp>BDP|7099607490294636818</stp>
        <tr r="G149" s="2"/>
      </tp>
      <tp t="s">
        <v>#N/A Requesting Data...2011887948</v>
        <stp/>
        <stp>BDP|9333000029088944740</stp>
        <tr r="H1015" s="2"/>
      </tp>
      <tp t="s">
        <v>#N/A Requesting Data...1866308660</v>
        <stp/>
        <stp>BDP|3188139102290676612</stp>
        <tr r="M2374" s="2"/>
      </tp>
      <tp t="b">
        <v>0</v>
        <stp/>
        <stp>BDS|6463986311328813227</stp>
        <tr r="I1979" s="2"/>
      </tp>
      <tp t="s">
        <v>#N/A Requesting Data...1809123168</v>
        <stp/>
        <stp>BDP|5115438415824161011</stp>
        <tr r="T149" s="2"/>
      </tp>
      <tp t="s">
        <v>#N/A Requesting Data...4221167819</v>
        <stp/>
        <stp>BDP|4330781827197942221</stp>
        <tr r="M3" s="2"/>
      </tp>
      <tp t="s">
        <v>#N/A Requesting Data...3157303909</v>
        <stp/>
        <stp>BDP|2740626413913658278</stp>
        <tr r="S1875" s="2"/>
      </tp>
      <tp t="b">
        <v>0</v>
        <stp/>
        <stp>BDS|6238425267360732073</stp>
        <tr r="I828" s="2"/>
      </tp>
      <tp t="s">
        <v>#N/A Requesting Data...4192808022</v>
        <stp/>
        <stp>BDP|8854888447466612651</stp>
        <tr r="J18" s="2"/>
      </tp>
      <tp t="s">
        <v>#N/A Requesting Data...2653170359</v>
        <stp/>
        <stp>BDP|7413820162664771979</stp>
        <tr r="Q1558" s="2"/>
      </tp>
      <tp t="s">
        <v>#N/A Requesting Data...2965321191</v>
        <stp/>
        <stp>BDP|7287563001766563043</stp>
        <tr r="M2412" s="2"/>
      </tp>
      <tp t="s">
        <v>#N/A Requesting Data...3788172109</v>
        <stp/>
        <stp>BDP|8411544071919023757</stp>
        <tr r="G649" s="2"/>
      </tp>
      <tp t="s">
        <v>#N/A Requesting Data...2231312862</v>
        <stp/>
        <stp>BDP|7048005586303394812</stp>
        <tr r="F237" s="2"/>
      </tp>
      <tp t="s">
        <v>#N/A Requesting Data...2449076518</v>
        <stp/>
        <stp>BDP|7722844761694797910</stp>
        <tr r="T942" s="2"/>
      </tp>
      <tp t="s">
        <v>#N/A Requesting Data...3804644224</v>
        <stp/>
        <stp>BDP|1223776057546493120</stp>
        <tr r="H1370" s="2"/>
      </tp>
      <tp t="b">
        <v>0</v>
        <stp/>
        <stp>BDS|1554468292830680836</stp>
        <tr r="I212" s="2"/>
      </tp>
      <tp t="s">
        <v>#N/A Requesting Data...3043612990</v>
        <stp/>
        <stp>BDP|3607598608377631550</stp>
        <tr r="C1239" s="2"/>
      </tp>
      <tp t="s">
        <v>#N/A Requesting Data...2618009195</v>
        <stp/>
        <stp>BDP|6323470316704793314</stp>
        <tr r="C482" s="2"/>
      </tp>
      <tp t="s">
        <v>#N/A Requesting Data...2338550175</v>
        <stp/>
        <stp>BDP|3642075404917018011</stp>
        <tr r="P1232" s="2"/>
      </tp>
      <tp t="s">
        <v>#N/A Requesting Data...2065581318</v>
        <stp/>
        <stp>BDP|7172566451380586372</stp>
        <tr r="N1180" s="2"/>
      </tp>
      <tp t="s">
        <v>#N/A Requesting Data...2743934757</v>
        <stp/>
        <stp>BDP|3927347175262494185</stp>
        <tr r="S1906" s="2"/>
      </tp>
      <tp t="s">
        <v>#N/A Requesting Data...2049180279</v>
        <stp/>
        <stp>BDP|7427220924997123472</stp>
        <tr r="O417" s="2"/>
      </tp>
      <tp t="s">
        <v>#N/A Requesting Data...3777904425</v>
        <stp/>
        <stp>BDP|2036527241135492237</stp>
        <tr r="Q2284" s="2"/>
      </tp>
      <tp t="s">
        <v>#N/A Requesting Data...3375447567</v>
        <stp/>
        <stp>BDP|6591105521155124414</stp>
        <tr r="K833" s="2"/>
      </tp>
      <tp t="s">
        <v>#N/A Requesting Data...3149105328</v>
        <stp/>
        <stp>BDP|4815330187572061989</stp>
        <tr r="G1420" s="2"/>
      </tp>
      <tp t="s">
        <v>#N/A Requesting Data...4186548881</v>
        <stp/>
        <stp>BDP|5627904968836840821</stp>
        <tr r="A734" s="2"/>
      </tp>
      <tp t="s">
        <v>#N/A Requesting Data...2593642942</v>
        <stp/>
        <stp>BDP|6272103414263255109</stp>
        <tr r="T17" s="2"/>
      </tp>
      <tp t="s">
        <v>#N/A Requesting Data...4172682691</v>
        <stp/>
        <stp>BDP|7841054209105886683</stp>
        <tr r="R1577" s="2"/>
      </tp>
      <tp t="s">
        <v>#N/A Requesting Data...3628453350</v>
        <stp/>
        <stp>BDP|4001248804691543310</stp>
        <tr r="F1348" s="2"/>
      </tp>
      <tp t="s">
        <v>#N/A Requesting Data...2654506499</v>
        <stp/>
        <stp>BDP|5025051783621293806</stp>
        <tr r="N1238" s="2"/>
      </tp>
      <tp t="s">
        <v>#N/A Requesting Data...2609862395</v>
        <stp/>
        <stp>BDP|5223503051617781605</stp>
        <tr r="R1400" s="2"/>
      </tp>
      <tp t="s">
        <v>#N/A Requesting Data...2281368958</v>
        <stp/>
        <stp>BDP|3839131120025606198</stp>
        <tr r="M398" s="2"/>
      </tp>
      <tp t="s">
        <v>#N/A Requesting Data...3321826589</v>
        <stp/>
        <stp>BDP|6859899403519372354</stp>
        <tr r="Q1932" s="2"/>
      </tp>
      <tp t="s">
        <v>#N/A Requesting Data...4040434185</v>
        <stp/>
        <stp>BDP|3712531520647849788</stp>
        <tr r="S2177" s="2"/>
      </tp>
      <tp t="s">
        <v>#N/A Requesting Data...2626854541</v>
        <stp/>
        <stp>BDP|1523119337311076672</stp>
        <tr r="P2147" s="2"/>
      </tp>
      <tp t="s">
        <v>#N/A Requesting Data...3560197722</v>
        <stp/>
        <stp>BDP|5194936058319744495</stp>
        <tr r="N2373" s="2"/>
      </tp>
      <tp t="s">
        <v>#N/A Requesting Data...2351600577</v>
        <stp/>
        <stp>BDP|5264171903291405168</stp>
        <tr r="T1644" s="2"/>
      </tp>
      <tp t="s">
        <v>#N/A Requesting Data...3896789416</v>
        <stp/>
        <stp>BDP|2892334124857984020</stp>
        <tr r="K2148" s="2"/>
      </tp>
      <tp t="s">
        <v>#N/A Requesting Data...1800472397</v>
        <stp/>
        <stp>BDP|1403310374017384664</stp>
        <tr r="H1433" s="2"/>
      </tp>
      <tp t="s">
        <v>#N/A Requesting Data...2475649256</v>
        <stp/>
        <stp>BDP|2374288901084666085</stp>
        <tr r="P736" s="2"/>
      </tp>
      <tp t="s">
        <v>#N/A Requesting Data...3595924661</v>
        <stp/>
        <stp>BDP|2593065814453636457</stp>
        <tr r="T640" s="2"/>
      </tp>
      <tp t="s">
        <v>#N/A Requesting Data...3069644145</v>
        <stp/>
        <stp>BDP|4445035532180580344</stp>
        <tr r="S288" s="2"/>
      </tp>
      <tp t="s">
        <v>#N/A Requesting Data...3061814167</v>
        <stp/>
        <stp>BDP|4779402121872796458</stp>
        <tr r="D828" s="2"/>
      </tp>
      <tp t="s">
        <v>#N/A Requesting Data...2099080655</v>
        <stp/>
        <stp>BDP|9886865643301864017</stp>
        <tr r="N286" s="2"/>
      </tp>
      <tp t="s">
        <v>#N/A Requesting Data...1867623460</v>
        <stp/>
        <stp>BDP|8027566608308203188</stp>
        <tr r="K2042" s="2"/>
      </tp>
      <tp t="s">
        <v>#N/A Requesting Data...2210794714</v>
        <stp/>
        <stp>BDP|3756568465130925490</stp>
        <tr r="T1021" s="2"/>
      </tp>
      <tp t="s">
        <v>#N/A Requesting Data...1885150421</v>
        <stp/>
        <stp>BDP|7599518139984864110</stp>
        <tr r="R1822" s="2"/>
      </tp>
      <tp t="s">
        <v>#N/A Requesting Data...1918859040</v>
        <stp/>
        <stp>BDP|4170873509430883836</stp>
        <tr r="N2248" s="2"/>
      </tp>
      <tp t="s">
        <v>#N/A Requesting Data...3772879347</v>
        <stp/>
        <stp>BDP|6585738360122771158</stp>
        <tr r="J160" s="2"/>
      </tp>
      <tp t="s">
        <v>#N/A Requesting Data...3885349156</v>
        <stp/>
        <stp>BDP|1673204202066050108</stp>
        <tr r="M1288" s="2"/>
      </tp>
      <tp t="s">
        <v>#N/A Requesting Data...4292106259</v>
        <stp/>
        <stp>BDP|2413878641758151275</stp>
        <tr r="O1868" s="2"/>
      </tp>
      <tp t="b">
        <v>0</v>
        <stp/>
        <stp>BDS|3007917273840240946</stp>
        <tr r="I391" s="2"/>
      </tp>
      <tp t="s">
        <v>#N/A Requesting Data...2355832390</v>
        <stp/>
        <stp>BDP|1937770327694827459</stp>
        <tr r="A519" s="2"/>
      </tp>
      <tp t="s">
        <v>#N/A Requesting Data...3785096905</v>
        <stp/>
        <stp>BDP|6863455923767927338</stp>
        <tr r="G1471" s="2"/>
      </tp>
      <tp t="s">
        <v>#N/A Requesting Data...2937722109</v>
        <stp/>
        <stp>BDP|2208532853723536537</stp>
        <tr r="P2312" s="2"/>
      </tp>
      <tp t="s">
        <v>#N/A Requesting Data...2634919423</v>
        <stp/>
        <stp>BDP|6223336120556043554</stp>
        <tr r="E356" s="2"/>
      </tp>
      <tp t="s">
        <v>#N/A Requesting Data...2369459610</v>
        <stp/>
        <stp>BDP|3176870592202134417</stp>
        <tr r="H1231" s="2"/>
      </tp>
      <tp t="s">
        <v>#N/A Requesting Data...1945598658</v>
        <stp/>
        <stp>BDP|3836646459363453752</stp>
        <tr r="P1927" s="2"/>
      </tp>
      <tp t="s">
        <v>#N/A Requesting Data...4083082843</v>
        <stp/>
        <stp>BDP|7579398808661207128</stp>
        <tr r="N2184" s="2"/>
      </tp>
      <tp t="s">
        <v>#N/A Requesting Data...2118606370</v>
        <stp/>
        <stp>BDP|7162324777025876284</stp>
        <tr r="O2079" s="2"/>
      </tp>
      <tp t="s">
        <v>#N/A Requesting Data...1823426082</v>
        <stp/>
        <stp>BDP|4734059471482460539</stp>
        <tr r="K1428" s="2"/>
      </tp>
      <tp t="s">
        <v>#N/A Requesting Data...2868092527</v>
        <stp/>
        <stp>BDP|9961010811674946845</stp>
        <tr r="E248" s="2"/>
      </tp>
      <tp t="s">
        <v>#N/A Requesting Data...1965632607</v>
        <stp/>
        <stp>BDP|2474265550039709813</stp>
        <tr r="T1005" s="2"/>
      </tp>
      <tp t="s">
        <v>#N/A Requesting Data...2795327088</v>
        <stp/>
        <stp>BDP|9430287660361900817</stp>
        <tr r="N1632" s="2"/>
      </tp>
      <tp t="s">
        <v>#N/A Requesting Data...4191581424</v>
        <stp/>
        <stp>BDP|9100827612231267573</stp>
        <tr r="S2481" s="2"/>
      </tp>
      <tp t="s">
        <v>#N/A Requesting Data...2540137002</v>
        <stp/>
        <stp>BDP|2001544121380776160</stp>
        <tr r="O1721" s="2"/>
      </tp>
      <tp t="s">
        <v>#N/A Requesting Data...3117528578</v>
        <stp/>
        <stp>BDP|6495178130023088379</stp>
        <tr r="S2122" s="2"/>
      </tp>
      <tp t="s">
        <v>#N/A Requesting Data...3441377835</v>
        <stp/>
        <stp>BDP|5675857792683535305</stp>
        <tr r="D2435" s="2"/>
      </tp>
      <tp t="s">
        <v>#N/A Requesting Data...2730454463</v>
        <stp/>
        <stp>BDP|7648960577225166820</stp>
        <tr r="R1345" s="2"/>
      </tp>
      <tp t="s">
        <v>#N/A Requesting Data...2372377370</v>
        <stp/>
        <stp>BDP|6411751435176736071</stp>
        <tr r="K992" s="2"/>
      </tp>
      <tp t="s">
        <v>#N/A Requesting Data...1916477481</v>
        <stp/>
        <stp>BDP|5771366008235505780</stp>
        <tr r="M2123" s="2"/>
      </tp>
      <tp t="s">
        <v>#N/A Requesting Data...3455394293</v>
        <stp/>
        <stp>BDP|2526463733253625222</stp>
        <tr r="M1513" s="2"/>
      </tp>
      <tp t="s">
        <v>#N/A Requesting Data...4266970220</v>
        <stp/>
        <stp>BDP|3577802421065537855</stp>
        <tr r="R378" s="2"/>
      </tp>
      <tp t="s">
        <v>#N/A Requesting Data...2500489078</v>
        <stp/>
        <stp>BDP|2100412665483160703</stp>
        <tr r="N1798" s="2"/>
      </tp>
      <tp t="s">
        <v>#N/A Requesting Data...2929400026</v>
        <stp/>
        <stp>BDP|2322918180932199579</stp>
        <tr r="O953" s="2"/>
      </tp>
      <tp t="s">
        <v>#N/A Requesting Data...3558229188</v>
        <stp/>
        <stp>BDP|4669443266007960590</stp>
        <tr r="R1510" s="2"/>
      </tp>
      <tp t="s">
        <v>#N/A Requesting Data...2159475443</v>
        <stp/>
        <stp>BDP|7496640495149226538</stp>
        <tr r="Q1044" s="2"/>
      </tp>
      <tp t="s">
        <v>#N/A Requesting Data...3448685164</v>
        <stp/>
        <stp>BDP|9171524475518635747</stp>
        <tr r="J1500" s="2"/>
      </tp>
      <tp t="s">
        <v>#N/A Requesting Data...3196790154</v>
        <stp/>
        <stp>BDP|4491280408812138010</stp>
        <tr r="T824" s="2"/>
      </tp>
      <tp t="s">
        <v>#N/A Requesting Data...2507828799</v>
        <stp/>
        <stp>BDP|2350700314791395109</stp>
        <tr r="S1705" s="2"/>
      </tp>
      <tp t="s">
        <v>#N/A Requesting Data...3150590278</v>
        <stp/>
        <stp>BDP|6454407078018113996</stp>
        <tr r="S2287" s="2"/>
      </tp>
      <tp t="s">
        <v>#N/A Requesting Data...2937000197</v>
        <stp/>
        <stp>BDP|7968851808679041200</stp>
        <tr r="O2295" s="2"/>
      </tp>
      <tp t="s">
        <v>#N/A Requesting Data...2217071003</v>
        <stp/>
        <stp>BDP|6109392294580158897</stp>
        <tr r="R1778" s="2"/>
      </tp>
      <tp t="s">
        <v>#N/A Requesting Data...2539403070</v>
        <stp/>
        <stp>BDP|5344955397366365760</stp>
        <tr r="K2203" s="2"/>
      </tp>
      <tp t="s">
        <v>#N/A Requesting Data...2421749502</v>
        <stp/>
        <stp>BDP|5407437940031119022</stp>
        <tr r="D2497" s="2"/>
      </tp>
      <tp t="s">
        <v>#N/A Requesting Data...1963861516</v>
        <stp/>
        <stp>BDP|6712212134402607103</stp>
        <tr r="H1723" s="2"/>
      </tp>
      <tp t="s">
        <v>#N/A Requesting Data...3370777872</v>
        <stp/>
        <stp>BDP|4574342292288078274</stp>
        <tr r="P324" s="2"/>
      </tp>
      <tp t="s">
        <v>#N/A Requesting Data...3342748639</v>
        <stp/>
        <stp>BDP|7919688592125591925</stp>
        <tr r="C524" s="2"/>
      </tp>
      <tp t="s">
        <v>#N/A Requesting Data...4182664083</v>
        <stp/>
        <stp>BDP|3978366326526973047</stp>
        <tr r="O1711" s="2"/>
      </tp>
      <tp t="b">
        <v>0</v>
        <stp/>
        <stp>BDS|1119497626516964532</stp>
        <tr r="I1325" s="2"/>
      </tp>
      <tp t="s">
        <v>#N/A Requesting Data...2705100959</v>
        <stp/>
        <stp>BDP|2494720548594988133</stp>
        <tr r="K1192" s="2"/>
      </tp>
      <tp t="s">
        <v>#N/A Requesting Data...2920131693</v>
        <stp/>
        <stp>BDP|3509109988029990707</stp>
        <tr r="M1307" s="2"/>
      </tp>
      <tp t="s">
        <v>#N/A Requesting Data...3497890334</v>
        <stp/>
        <stp>BDP|9663104862983740978</stp>
        <tr r="G2384" s="2"/>
      </tp>
      <tp t="s">
        <v>#N/A Requesting Data...3493968696</v>
        <stp/>
        <stp>BDP|3230567375525229074</stp>
        <tr r="C1393" s="2"/>
      </tp>
      <tp t="s">
        <v>#N/A Requesting Data...3127758525</v>
        <stp/>
        <stp>BDP|5692059911784479427</stp>
        <tr r="J429" s="2"/>
      </tp>
      <tp t="s">
        <v>#N/A Requesting Data...3655052412</v>
        <stp/>
        <stp>BDP|7744636802195141031</stp>
        <tr r="O1521" s="2"/>
      </tp>
      <tp t="s">
        <v>#N/A Requesting Data...2417788426</v>
        <stp/>
        <stp>BDP|3795814075979227150</stp>
        <tr r="N765" s="2"/>
      </tp>
      <tp t="s">
        <v>#N/A Requesting Data...2193372916</v>
        <stp/>
        <stp>BDP|9292409795749736942</stp>
        <tr r="F765" s="2"/>
      </tp>
      <tp t="s">
        <v>#N/A Requesting Data...2457180028</v>
        <stp/>
        <stp>BDP|6179278808348397893</stp>
        <tr r="F392" s="2"/>
      </tp>
      <tp t="s">
        <v>#N/A Requesting Data...4276746375</v>
        <stp/>
        <stp>BDP|7324615603416061353</stp>
        <tr r="S1054" s="2"/>
      </tp>
      <tp t="s">
        <v>#N/A Requesting Data...2410754961</v>
        <stp/>
        <stp>BDP|5934993354225956891</stp>
        <tr r="K350" s="2"/>
      </tp>
      <tp t="s">
        <v>#N/A Requesting Data...3441075067</v>
        <stp/>
        <stp>BDP|8750916977566643434</stp>
        <tr r="D847" s="2"/>
      </tp>
      <tp t="s">
        <v>#N/A Requesting Data...1981353104</v>
        <stp/>
        <stp>BDP|7671076974612467657</stp>
        <tr r="F1180" s="2"/>
      </tp>
      <tp t="s">
        <v>#N/A Requesting Data...2039182676</v>
        <stp/>
        <stp>BDP|2264200868322821061</stp>
        <tr r="G1097" s="2"/>
      </tp>
      <tp t="s">
        <v>#N/A Requesting Data...2527027185</v>
        <stp/>
        <stp>BDP|8644855340169068970</stp>
        <tr r="G1428" s="2"/>
      </tp>
      <tp t="s">
        <v>#N/A Requesting Data...4048336423</v>
        <stp/>
        <stp>BDP|7498240364565708265</stp>
        <tr r="H1062" s="2"/>
      </tp>
      <tp t="s">
        <v>#N/A Requesting Data...2753054574</v>
        <stp/>
        <stp>BDP|5715419224821505629</stp>
        <tr r="E714" s="2"/>
      </tp>
      <tp t="s">
        <v>#N/A Requesting Data...3916273252</v>
        <stp/>
        <stp>BDP|1635799378807134238</stp>
        <tr r="O1180" s="2"/>
      </tp>
      <tp t="s">
        <v>#N/A Requesting Data...3752165581</v>
        <stp/>
        <stp>BDP|7008587909327391174</stp>
        <tr r="J693" s="2"/>
      </tp>
      <tp t="s">
        <v>#N/A Requesting Data...2134465279</v>
        <stp/>
        <stp>BDP|6501639945080753015</stp>
        <tr r="S2001" s="2"/>
      </tp>
      <tp t="b">
        <v>0</v>
        <stp/>
        <stp>BDS|9833495900471008849</stp>
        <tr r="I19" s="2"/>
      </tp>
      <tp t="s">
        <v>#N/A Requesting Data...3982989325</v>
        <stp/>
        <stp>BDP|8385974224002361562</stp>
        <tr r="E1336" s="2"/>
      </tp>
      <tp t="s">
        <v>#N/A Requesting Data...3981053483</v>
        <stp/>
        <stp>BDP|3117076562761314029</stp>
        <tr r="J511" s="2"/>
      </tp>
      <tp t="s">
        <v>#N/A Requesting Data...2850238295</v>
        <stp/>
        <stp>BDP|2188305583549218451</stp>
        <tr r="K51" s="2"/>
      </tp>
      <tp t="s">
        <v>#N/A Requesting Data...4214076668</v>
        <stp/>
        <stp>BDP|6281173907505567620</stp>
        <tr r="Q1829" s="2"/>
      </tp>
      <tp t="s">
        <v>#N/A Requesting Data...3449229657</v>
        <stp/>
        <stp>BDP|8288607595440440367</stp>
        <tr r="N176" s="2"/>
      </tp>
      <tp t="s">
        <v>#N/A Requesting Data...2832548040</v>
        <stp/>
        <stp>BDP|8520393180937099099</stp>
        <tr r="P2314" s="2"/>
      </tp>
      <tp t="s">
        <v>#N/A Requesting Data...3244635362</v>
        <stp/>
        <stp>BDP|9524469946375821882</stp>
        <tr r="D766" s="2"/>
      </tp>
      <tp t="s">
        <v>#N/A Requesting Data...3488346845</v>
        <stp/>
        <stp>BDP|1899281257594604646</stp>
        <tr r="C2003" s="2"/>
      </tp>
      <tp t="s">
        <v>#N/A Requesting Data...3852448846</v>
        <stp/>
        <stp>BDP|3499430852715871382</stp>
        <tr r="N1649" s="2"/>
      </tp>
      <tp t="s">
        <v>#N/A Requesting Data...3725888244</v>
        <stp/>
        <stp>BDP|6822572207102991543</stp>
        <tr r="G481" s="2"/>
      </tp>
      <tp t="s">
        <v>#N/A Requesting Data...2477100550</v>
        <stp/>
        <stp>BDP|5566066978554767298</stp>
        <tr r="A1260" s="2"/>
      </tp>
      <tp t="s">
        <v>#N/A Requesting Data...3928252765</v>
        <stp/>
        <stp>BDP|9035354702538510679</stp>
        <tr r="K1783" s="2"/>
      </tp>
      <tp t="s">
        <v>#N/A Requesting Data...2418627725</v>
        <stp/>
        <stp>BDP|5339905131723798802</stp>
        <tr r="K1587" s="2"/>
      </tp>
      <tp t="s">
        <v>#N/A Requesting Data...2677075895</v>
        <stp/>
        <stp>BDP|2922413661001588593</stp>
        <tr r="C2079" s="2"/>
      </tp>
      <tp t="s">
        <v>#N/A Requesting Data...3989102641</v>
        <stp/>
        <stp>BDP|2018202577221792252</stp>
        <tr r="Q1415" s="2"/>
      </tp>
      <tp t="b">
        <v>0</v>
        <stp/>
        <stp>BDS|9032388629639671524</stp>
        <tr r="I1443" s="2"/>
      </tp>
      <tp t="s">
        <v>#N/A Requesting Data...2938154950</v>
        <stp/>
        <stp>BDP|8566119361003442846</stp>
        <tr r="R668" s="2"/>
      </tp>
      <tp t="s">
        <v>#N/A Requesting Data...2157191621</v>
        <stp/>
        <stp>BDP|1685780409722503072</stp>
        <tr r="C1094" s="2"/>
      </tp>
      <tp t="s">
        <v>#N/A Requesting Data...4289155571</v>
        <stp/>
        <stp>BDP|6466310652971147536</stp>
        <tr r="M2314" s="2"/>
      </tp>
      <tp t="s">
        <v>#N/A Requesting Data...3530658606</v>
        <stp/>
        <stp>BDP|7527073502805530607</stp>
        <tr r="S1418" s="2"/>
      </tp>
      <tp t="s">
        <v>#N/A Requesting Data...3973571321</v>
        <stp/>
        <stp>BDP|2497409824081754128</stp>
        <tr r="M1833" s="2"/>
      </tp>
      <tp t="s">
        <v>#N/A Requesting Data...2627417315</v>
        <stp/>
        <stp>BDP|8089250202186050821</stp>
        <tr r="C1360" s="2"/>
      </tp>
      <tp t="s">
        <v>#N/A Requesting Data...2655364211</v>
        <stp/>
        <stp>BDP|2820196657411648359</stp>
        <tr r="O31" s="2"/>
      </tp>
      <tp t="s">
        <v>#N/A Requesting Data...4104206530</v>
        <stp/>
        <stp>BDP|8885610663835859978</stp>
        <tr r="S1417" s="2"/>
      </tp>
      <tp t="s">
        <v>#N/A Requesting Data...4133676146</v>
        <stp/>
        <stp>BDP|7355534932930455530</stp>
        <tr r="O2465" s="2"/>
      </tp>
      <tp t="s">
        <v>#N/A Requesting Data...2468677831</v>
        <stp/>
        <stp>BDP|1674629424842121348</stp>
        <tr r="C2468" s="2"/>
      </tp>
      <tp t="s">
        <v>#N/A Requesting Data...3554745039</v>
        <stp/>
        <stp>BDP|4647432051538571948</stp>
        <tr r="D1533" s="2"/>
      </tp>
      <tp t="s">
        <v>#N/A Requesting Data...4057554937</v>
        <stp/>
        <stp>BDP|3697513065067032375</stp>
        <tr r="N1097" s="2"/>
      </tp>
      <tp t="s">
        <v>#N/A Requesting Data...3659727364</v>
        <stp/>
        <stp>BDP|6674339267531118666</stp>
        <tr r="C1988" s="2"/>
      </tp>
      <tp t="s">
        <v>#N/A Requesting Data...2672857423</v>
        <stp/>
        <stp>BDP|9749785585954841670</stp>
        <tr r="T860" s="2"/>
      </tp>
      <tp t="b">
        <v>0</v>
        <stp/>
        <stp>BDS|4706370714830600274</stp>
        <tr r="I1854" s="2"/>
      </tp>
      <tp t="s">
        <v>#N/A Requesting Data...2668462359</v>
        <stp/>
        <stp>BDP|3905387015172611778</stp>
        <tr r="F571" s="2"/>
      </tp>
      <tp t="s">
        <v>#N/A Requesting Data...4014745023</v>
        <stp/>
        <stp>BDP|5587560208401909573</stp>
        <tr r="J2088" s="2"/>
      </tp>
      <tp t="s">
        <v>#N/A Requesting Data...2585150902</v>
        <stp/>
        <stp>BDP|7856253478597485144</stp>
        <tr r="A1967" s="2"/>
      </tp>
      <tp t="s">
        <v>#N/A Requesting Data...2227933199</v>
        <stp/>
        <stp>BDP|1458209923440040522</stp>
        <tr r="D1699" s="2"/>
      </tp>
      <tp t="s">
        <v>#N/A Requesting Data...3275498355</v>
        <stp/>
        <stp>BDP|4503034964492066478</stp>
        <tr r="A2293" s="2"/>
      </tp>
      <tp t="s">
        <v>#N/A Requesting Data...3874580576</v>
        <stp/>
        <stp>BDP|3104848011779432752</stp>
        <tr r="J1693" s="2"/>
      </tp>
      <tp t="s">
        <v>#N/A Requesting Data...2318607911</v>
        <stp/>
        <stp>BDP|9631474483908776907</stp>
        <tr r="N2261" s="2"/>
      </tp>
      <tp t="s">
        <v>#N/A Requesting Data...2320435417</v>
        <stp/>
        <stp>BDP|2739768015358242832</stp>
        <tr r="R235" s="2"/>
      </tp>
      <tp t="b">
        <v>0</v>
        <stp/>
        <stp>BDS|7158476324775412038</stp>
        <tr r="I317" s="2"/>
      </tp>
      <tp t="s">
        <v>#N/A Requesting Data...3761066918</v>
        <stp/>
        <stp>BDP|2965329008486565333</stp>
        <tr r="T941" s="2"/>
      </tp>
      <tp t="s">
        <v>#N/A Requesting Data...3226856314</v>
        <stp/>
        <stp>BDP|7744244845916755342</stp>
        <tr r="T261" s="2"/>
      </tp>
      <tp t="s">
        <v>#N/A Requesting Data...3232436713</v>
        <stp/>
        <stp>BDP|5281337554620213729</stp>
        <tr r="A1743" s="2"/>
      </tp>
      <tp t="s">
        <v>#N/A Requesting Data...3045496513</v>
        <stp/>
        <stp>BDP|8664952440533054265</stp>
        <tr r="S1944" s="2"/>
      </tp>
      <tp t="s">
        <v>#N/A Requesting Data...2652983600</v>
        <stp/>
        <stp>BDP|7001139372827463206</stp>
        <tr r="H460" s="2"/>
      </tp>
      <tp t="s">
        <v>#N/A Requesting Data...2197517120</v>
        <stp/>
        <stp>BDP|2444184944647935444</stp>
        <tr r="T1321" s="2"/>
      </tp>
      <tp t="s">
        <v>#N/A Requesting Data...3395519199</v>
        <stp/>
        <stp>BDP|6494670435842660557</stp>
        <tr r="A1833" s="2"/>
      </tp>
      <tp t="s">
        <v>#N/A Requesting Data...2321342281</v>
        <stp/>
        <stp>BDP|8720350022259343464</stp>
        <tr r="F749" s="2"/>
      </tp>
      <tp t="b">
        <v>0</v>
        <stp/>
        <stp>BDS|8886877539972722547</stp>
        <tr r="I953" s="2"/>
      </tp>
      <tp t="s">
        <v>#N/A Requesting Data...3712462466</v>
        <stp/>
        <stp>BDP|5043475251740622054</stp>
        <tr r="E656" s="2"/>
      </tp>
      <tp t="s">
        <v>#N/A Requesting Data...3750368132</v>
        <stp/>
        <stp>BDP|7439609983959747457</stp>
        <tr r="E1483" s="2"/>
      </tp>
      <tp t="s">
        <v>#N/A Requesting Data...2569085360</v>
        <stp/>
        <stp>BDP|1362287040891996270</stp>
        <tr r="O2262" s="2"/>
      </tp>
      <tp t="s">
        <v>#N/A Requesting Data...3919269765</v>
        <stp/>
        <stp>BDP|1514576188599912163</stp>
        <tr r="F2513" s="2"/>
      </tp>
      <tp t="s">
        <v>#N/A Requesting Data...2870785060</v>
        <stp/>
        <stp>BDP|2289738142194618100</stp>
        <tr r="G239" s="2"/>
      </tp>
      <tp t="s">
        <v>#N/A Requesting Data...2214711073</v>
        <stp/>
        <stp>BDP|8764146153268308062</stp>
        <tr r="J882" s="2"/>
      </tp>
      <tp t="b">
        <v>0</v>
        <stp/>
        <stp>BDS|5643031417490769007</stp>
        <tr r="I820" s="2"/>
      </tp>
      <tp t="s">
        <v>#N/A Requesting Data...3026874276</v>
        <stp/>
        <stp>BDP|7789323640876679267</stp>
        <tr r="T818" s="2"/>
      </tp>
      <tp t="s">
        <v>#N/A Requesting Data...3971979383</v>
        <stp/>
        <stp>BDP|3558302618544944115</stp>
        <tr r="E1271" s="2"/>
      </tp>
      <tp t="s">
        <v>#N/A Requesting Data...2983703913</v>
        <stp/>
        <stp>BDP|7744443972349041943</stp>
        <tr r="R1059" s="2"/>
      </tp>
      <tp t="s">
        <v>#N/A Requesting Data...3183736267</v>
        <stp/>
        <stp>BDP|1537011498609828515</stp>
        <tr r="F1851" s="2"/>
      </tp>
      <tp t="s">
        <v>#N/A Requesting Data...3600274171</v>
        <stp/>
        <stp>BDP|6014909714143533948</stp>
        <tr r="D2391" s="2"/>
      </tp>
      <tp t="s">
        <v>#N/A Requesting Data...3350108643</v>
        <stp/>
        <stp>BDP|8372320203138206754</stp>
        <tr r="F2371" s="2"/>
      </tp>
      <tp t="s">
        <v>#N/A Requesting Data...2210323432</v>
        <stp/>
        <stp>BDP|4007672404620411627</stp>
        <tr r="S940" s="2"/>
      </tp>
      <tp t="s">
        <v>#N/A Requesting Data...2222705437</v>
        <stp/>
        <stp>BDP|5789786940633232189</stp>
        <tr r="G532" s="2"/>
      </tp>
      <tp t="s">
        <v>#N/A Requesting Data...2972047913</v>
        <stp/>
        <stp>BDP|9686077005368882596</stp>
        <tr r="T981" s="2"/>
      </tp>
      <tp t="s">
        <v>#N/A Requesting Data...2770907344</v>
        <stp/>
        <stp>BDP|8631139376859324352</stp>
        <tr r="M259" s="2"/>
      </tp>
      <tp t="s">
        <v>#N/A Requesting Data...2264883253</v>
        <stp/>
        <stp>BDP|2763363344897587657</stp>
        <tr r="M1323" s="2"/>
      </tp>
      <tp t="s">
        <v>#N/A Requesting Data...4155035563</v>
        <stp/>
        <stp>BDP|2479661158184868173</stp>
        <tr r="E501" s="2"/>
      </tp>
      <tp t="s">
        <v>#N/A Requesting Data...3151263936</v>
        <stp/>
        <stp>BDP|5197885674949010781</stp>
        <tr r="E45" s="2"/>
      </tp>
      <tp t="s">
        <v>#N/A Requesting Data...3744767801</v>
        <stp/>
        <stp>BDP|2337238468067872559</stp>
        <tr r="R847" s="2"/>
      </tp>
      <tp t="s">
        <v>#N/A Requesting Data...2801238380</v>
        <stp/>
        <stp>BDP|9495705550608463759</stp>
        <tr r="M325" s="2"/>
      </tp>
      <tp t="s">
        <v>#N/A Requesting Data...2618010782</v>
        <stp/>
        <stp>BDP|7212538206695184332</stp>
        <tr r="N1873" s="2"/>
      </tp>
      <tp t="s">
        <v>#N/A Requesting Data...2924601034</v>
        <stp/>
        <stp>BDP|9348564791277931684</stp>
        <tr r="M285" s="2"/>
      </tp>
      <tp t="s">
        <v>#N/A Requesting Data...3787253920</v>
        <stp/>
        <stp>BDP|6372814194665355604</stp>
        <tr r="C2420" s="2"/>
      </tp>
      <tp t="s">
        <v>#N/A Requesting Data...3143015627</v>
        <stp/>
        <stp>BDP|4164333139753902376</stp>
        <tr r="Q134" s="2"/>
      </tp>
      <tp t="s">
        <v>#N/A Requesting Data...3353256952</v>
        <stp/>
        <stp>BDP|5151484472366920474</stp>
        <tr r="M26" s="2"/>
      </tp>
      <tp t="s">
        <v>#N/A Requesting Data...2292630588</v>
        <stp/>
        <stp>BDP|1402655271571738527</stp>
        <tr r="T2514" s="2"/>
      </tp>
      <tp t="s">
        <v>#N/A Requesting Data...3422561339</v>
        <stp/>
        <stp>BDP|1488149455522774377</stp>
        <tr r="E448" s="2"/>
      </tp>
      <tp t="s">
        <v>#N/A Requesting Data...2287341674</v>
        <stp/>
        <stp>BDP|5259273350276506050</stp>
        <tr r="D2168" s="2"/>
      </tp>
      <tp t="s">
        <v>#N/A Requesting Data...3568871114</v>
        <stp/>
        <stp>BDP|2692772653740295452</stp>
        <tr r="J30" s="2"/>
      </tp>
      <tp t="s">
        <v>#N/A Requesting Data...4060929811</v>
        <stp/>
        <stp>BDP|5607981753694146994</stp>
        <tr r="N696" s="2"/>
      </tp>
      <tp t="s">
        <v>#N/A Requesting Data...4291654254</v>
        <stp/>
        <stp>BDP|6409640074123322024</stp>
        <tr r="A1034" s="2"/>
      </tp>
      <tp t="s">
        <v>#N/A Requesting Data...4282089494</v>
        <stp/>
        <stp>BDP|6072092608257677526</stp>
        <tr r="R46" s="2"/>
      </tp>
      <tp t="s">
        <v>#N/A Requesting Data...3077637060</v>
        <stp/>
        <stp>BDP|5565093988088923181</stp>
        <tr r="M472" s="2"/>
      </tp>
      <tp t="s">
        <v>#N/A Requesting Data...2716704608</v>
        <stp/>
        <stp>BDP|4015036377007047015</stp>
        <tr r="O2098" s="2"/>
      </tp>
      <tp t="s">
        <v>#N/A Requesting Data...3550617333</v>
        <stp/>
        <stp>BDP|1851881505118307533</stp>
        <tr r="K168" s="2"/>
      </tp>
      <tp t="s">
        <v>#N/A Requesting Data...2927438355</v>
        <stp/>
        <stp>BDP|4581923580032095324</stp>
        <tr r="T2364" s="2"/>
      </tp>
      <tp t="s">
        <v>#N/A Requesting Data...4206067118</v>
        <stp/>
        <stp>BDP|2103229343793204378</stp>
        <tr r="G2512" s="2"/>
      </tp>
      <tp t="s">
        <v>#N/A Requesting Data...3812971827</v>
        <stp/>
        <stp>BDP|2779927721074374921</stp>
        <tr r="P1829" s="2"/>
      </tp>
      <tp t="s">
        <v>#N/A Requesting Data...3849151237</v>
        <stp/>
        <stp>BDP|2586821163301189904</stp>
        <tr r="O339" s="2"/>
      </tp>
      <tp t="s">
        <v>#N/A Requesting Data...3406055797</v>
        <stp/>
        <stp>BDP|9651908870956065534</stp>
        <tr r="J340" s="2"/>
      </tp>
      <tp t="s">
        <v>#N/A Requesting Data...2994081413</v>
        <stp/>
        <stp>BDP|8781156220117177991</stp>
        <tr r="A1604" s="2"/>
      </tp>
      <tp t="s">
        <v>#N/A Requesting Data...2435505535</v>
        <stp/>
        <stp>BDP|3388509039568649869</stp>
        <tr r="F1242" s="2"/>
      </tp>
      <tp t="s">
        <v>#N/A Requesting Data...2289090289</v>
        <stp/>
        <stp>BDP|1504289680666276851</stp>
        <tr r="O1403" s="2"/>
      </tp>
      <tp t="s">
        <v>#N/A Requesting Data...3420563962</v>
        <stp/>
        <stp>BDP|1338749384192001992</stp>
        <tr r="R511" s="2"/>
      </tp>
      <tp t="s">
        <v>#N/A Requesting Data...3627243625</v>
        <stp/>
        <stp>BDP|8695404168146173952</stp>
        <tr r="J2188" s="2"/>
      </tp>
      <tp t="s">
        <v>#N/A Requesting Data...2801339935</v>
        <stp/>
        <stp>BDP|2095024524441932452</stp>
        <tr r="P714" s="2"/>
      </tp>
      <tp t="s">
        <v>#N/A Requesting Data...2302155507</v>
        <stp/>
        <stp>BDP|4162789724172764600</stp>
        <tr r="F1762" s="2"/>
      </tp>
      <tp t="s">
        <v>#N/A Requesting Data...2447908342</v>
        <stp/>
        <stp>BDP|9156189001319660441</stp>
        <tr r="R2250" s="2"/>
      </tp>
      <tp t="s">
        <v>#N/A Requesting Data...3734329319</v>
        <stp/>
        <stp>BDP|9355933928031488666</stp>
        <tr r="M2220" s="2"/>
      </tp>
      <tp t="b">
        <v>0</v>
        <stp/>
        <stp>BDS|8162248919078706615</stp>
        <tr r="I1190" s="2"/>
      </tp>
      <tp t="b">
        <v>0</v>
        <stp/>
        <stp>BDS|3464625568965473305</stp>
        <tr r="I336" s="2"/>
      </tp>
      <tp t="s">
        <v>#N/A Requesting Data...3969948817</v>
        <stp/>
        <stp>BDP|9798805828570312663</stp>
        <tr r="R1269" s="2"/>
      </tp>
      <tp t="s">
        <v>#N/A Requesting Data...2361861894</v>
        <stp/>
        <stp>BDP|3365318509753513643</stp>
        <tr r="F1925" s="2"/>
      </tp>
      <tp t="s">
        <v>#N/A Requesting Data...2390709760</v>
        <stp/>
        <stp>BDP|9561418025379214397</stp>
        <tr r="F1416" s="2"/>
      </tp>
      <tp t="s">
        <v>#N/A Requesting Data...3209194256</v>
        <stp/>
        <stp>BDP|4147629071249900914</stp>
        <tr r="A1369" s="2"/>
      </tp>
      <tp t="b">
        <v>0</v>
        <stp/>
        <stp>BDS|2838163308281890743</stp>
        <tr r="I868" s="2"/>
      </tp>
      <tp t="s">
        <v>#N/A Requesting Data...3710824868</v>
        <stp/>
        <stp>BDP|8210050988132594702</stp>
        <tr r="N1771" s="2"/>
      </tp>
      <tp t="s">
        <v>#N/A Requesting Data...3393430398</v>
        <stp/>
        <stp>BDP|6883847594691260304</stp>
        <tr r="F1987" s="2"/>
      </tp>
      <tp t="s">
        <v>#N/A Requesting Data...3995507698</v>
        <stp/>
        <stp>BDP|7336189028380865114</stp>
        <tr r="E1048" s="2"/>
      </tp>
      <tp t="s">
        <v>#N/A Requesting Data...3114466620</v>
        <stp/>
        <stp>BDP|8820535934478788321</stp>
        <tr r="A671" s="2"/>
      </tp>
      <tp t="s">
        <v>#N/A Requesting Data...3850732775</v>
        <stp/>
        <stp>BDP|5079652778972768300</stp>
        <tr r="D856" s="2"/>
      </tp>
      <tp t="s">
        <v>#N/A Requesting Data...3565117955</v>
        <stp/>
        <stp>BDP|8005896551663497363</stp>
        <tr r="C2084" s="2"/>
      </tp>
      <tp t="s">
        <v>#N/A Requesting Data...2902589837</v>
        <stp/>
        <stp>BDP|2971639831614556647</stp>
        <tr r="C1115" s="2"/>
      </tp>
      <tp t="s">
        <v>#N/A Requesting Data...4028441642</v>
        <stp/>
        <stp>BDP|7402032822893743383</stp>
        <tr r="H1648" s="2"/>
      </tp>
      <tp t="s">
        <v>#N/A Requesting Data...4221613460</v>
        <stp/>
        <stp>BDP|8174871925633940409</stp>
        <tr r="Q1322" s="2"/>
      </tp>
      <tp t="s">
        <v>#N/A Requesting Data...4061091838</v>
        <stp/>
        <stp>BDP|3819439231936587754</stp>
        <tr r="K801" s="2"/>
      </tp>
      <tp t="s">
        <v>#N/A Requesting Data...3434661773</v>
        <stp/>
        <stp>BDP|3280638891061394894</stp>
        <tr r="D318" s="2"/>
      </tp>
      <tp t="s">
        <v>#N/A Requesting Data...3640181508</v>
        <stp/>
        <stp>BDP|4038906918888093129</stp>
        <tr r="P1214" s="2"/>
      </tp>
      <tp t="b">
        <v>0</v>
        <stp/>
        <stp>BDS|3281074119900694703</stp>
        <tr r="I1149" s="2"/>
      </tp>
      <tp t="s">
        <v>#N/A Requesting Data...3331861139</v>
        <stp/>
        <stp>BDP|9099202275788846174</stp>
        <tr r="E1795" s="2"/>
      </tp>
      <tp t="s">
        <v>#N/A Requesting Data...3807262495</v>
        <stp/>
        <stp>BDP|5505130179970063653</stp>
        <tr r="J926" s="2"/>
      </tp>
      <tp t="s">
        <v>#N/A Requesting Data...3864612605</v>
        <stp/>
        <stp>BDP|7520485947006028409</stp>
        <tr r="A1771" s="2"/>
      </tp>
      <tp t="s">
        <v>#N/A Requesting Data...3526604481</v>
        <stp/>
        <stp>BDP|3681083853797159465</stp>
        <tr r="F2021" s="2"/>
      </tp>
      <tp t="s">
        <v>#N/A Requesting Data...2613270703</v>
        <stp/>
        <stp>BDP|7282691356905758409</stp>
        <tr r="R567" s="2"/>
      </tp>
      <tp t="s">
        <v>#N/A Requesting Data...2361535121</v>
        <stp/>
        <stp>BDP|1877324342685616648</stp>
        <tr r="P2032" s="2"/>
      </tp>
      <tp t="s">
        <v>#N/A Requesting Data...2949306549</v>
        <stp/>
        <stp>BDP|3984062045801784375</stp>
        <tr r="P750" s="2"/>
      </tp>
      <tp t="s">
        <v>#N/A Requesting Data...2746729444</v>
        <stp/>
        <stp>BDP|7541274578406628169</stp>
        <tr r="O1105" s="2"/>
      </tp>
      <tp t="s">
        <v>#N/A Requesting Data...3510875424</v>
        <stp/>
        <stp>BDP|9609904600932825740</stp>
        <tr r="D1188" s="2"/>
      </tp>
      <tp t="s">
        <v>#N/A Requesting Data...3025364329</v>
        <stp/>
        <stp>BDP|3130367529571679629</stp>
        <tr r="S187" s="2"/>
      </tp>
      <tp t="s">
        <v>#N/A Requesting Data...3879846977</v>
        <stp/>
        <stp>BDP|7063087624678086861</stp>
        <tr r="T872" s="2"/>
      </tp>
      <tp t="s">
        <v>#N/A Requesting Data...4269485715</v>
        <stp/>
        <stp>BDP|2905023117235161379</stp>
        <tr r="F1058" s="2"/>
      </tp>
      <tp t="s">
        <v>#N/A Requesting Data...4192881546</v>
        <stp/>
        <stp>BDP|5500546700054293191</stp>
        <tr r="O2393" s="2"/>
      </tp>
      <tp t="s">
        <v>#N/A Requesting Data...2986524820</v>
        <stp/>
        <stp>BDP|2727888940423523802</stp>
        <tr r="F2238" s="2"/>
      </tp>
      <tp t="s">
        <v>#N/A Requesting Data...3583861610</v>
        <stp/>
        <stp>BDP|9321593535339500303</stp>
        <tr r="N861" s="2"/>
      </tp>
      <tp t="s">
        <v>#N/A Requesting Data...4072040246</v>
        <stp/>
        <stp>BDP|9706163688175640057</stp>
        <tr r="P882" s="2"/>
      </tp>
      <tp t="s">
        <v>#N/A Requesting Data...3868556198</v>
        <stp/>
        <stp>BDP|5825211771660774553</stp>
        <tr r="D870" s="2"/>
      </tp>
      <tp t="s">
        <v>#N/A Requesting Data...2543734340</v>
        <stp/>
        <stp>BDP|9063102394682944677</stp>
        <tr r="M1999" s="2"/>
      </tp>
      <tp t="s">
        <v>#N/A Requesting Data...2582012112</v>
        <stp/>
        <stp>BDP|3921474936674724553</stp>
        <tr r="Q264" s="2"/>
      </tp>
      <tp t="s">
        <v>#N/A Requesting Data...2840953924</v>
        <stp/>
        <stp>BDP|5964976273598268653</stp>
        <tr r="Q887" s="2"/>
      </tp>
      <tp t="s">
        <v>#N/A Requesting Data...3708658648</v>
        <stp/>
        <stp>BDP|4635001519149515902</stp>
        <tr r="A383" s="2"/>
      </tp>
      <tp t="s">
        <v>#N/A Requesting Data...2935981933</v>
        <stp/>
        <stp>BDP|2402697112713131343</stp>
        <tr r="C632" s="2"/>
      </tp>
      <tp t="s">
        <v>#N/A Requesting Data...4092786561</v>
        <stp/>
        <stp>BDP|7105020837264744596</stp>
        <tr r="D2443" s="2"/>
      </tp>
      <tp t="s">
        <v>#N/A Requesting Data...3543906822</v>
        <stp/>
        <stp>BDP|2881595493638003388</stp>
        <tr r="S1162" s="2"/>
      </tp>
      <tp t="s">
        <v>#N/A Requesting Data...3251689362</v>
        <stp/>
        <stp>BDP|4714530546530913016</stp>
        <tr r="S1369" s="2"/>
      </tp>
      <tp t="s">
        <v>#N/A Requesting Data...2743766420</v>
        <stp/>
        <stp>BDP|4906713072079542854</stp>
        <tr r="P1231" s="2"/>
      </tp>
      <tp t="b">
        <v>0</v>
        <stp/>
        <stp>BDS|5183584197309761539</stp>
        <tr r="I57" s="2"/>
      </tp>
      <tp t="s">
        <v>#N/A Requesting Data...2440921639</v>
        <stp/>
        <stp>BDP|9977656352919189653</stp>
        <tr r="H847" s="2"/>
      </tp>
      <tp t="b">
        <v>0</v>
        <stp/>
        <stp>BDS|6644295884190079917</stp>
        <tr r="I1609" s="2"/>
      </tp>
      <tp t="s">
        <v>#N/A Requesting Data...2854653652</v>
        <stp/>
        <stp>BDP|4630008326793974038</stp>
        <tr r="G2182" s="2"/>
      </tp>
      <tp t="s">
        <v>#N/A Requesting Data...2854889906</v>
        <stp/>
        <stp>BDP|5998592947396530788</stp>
        <tr r="T1044" s="2"/>
      </tp>
      <tp t="b">
        <v>0</v>
        <stp/>
        <stp>BDS|5549993366507222820</stp>
        <tr r="I1573" s="2"/>
      </tp>
      <tp t="s">
        <v>#N/A Requesting Data...4232323966</v>
        <stp/>
        <stp>BDP|9197201152942029990</stp>
        <tr r="K961" s="2"/>
      </tp>
      <tp t="s">
        <v>#N/A Requesting Data...2843276697</v>
        <stp/>
        <stp>BDP|8728068701589883425</stp>
        <tr r="P1918" s="2"/>
      </tp>
      <tp t="s">
        <v>#N/A Requesting Data...2624836172</v>
        <stp/>
        <stp>BDP|7827151197729612367</stp>
        <tr r="Q1935" s="2"/>
      </tp>
      <tp t="s">
        <v>#N/A Requesting Data...3252725015</v>
        <stp/>
        <stp>BDP|7374726977781522396</stp>
        <tr r="M330" s="2"/>
      </tp>
      <tp t="s">
        <v>#N/A Requesting Data...3544182324</v>
        <stp/>
        <stp>BDP|5631537606405109082</stp>
        <tr r="E2" s="2"/>
      </tp>
      <tp t="s">
        <v>#N/A Requesting Data...2691925353</v>
        <stp/>
        <stp>BDP|9209980748199849807</stp>
        <tr r="O1072" s="2"/>
      </tp>
      <tp t="s">
        <v>#N/A Requesting Data...2754388463</v>
        <stp/>
        <stp>BDP|4867325233788259914</stp>
        <tr r="N2058" s="2"/>
      </tp>
      <tp t="s">
        <v>#N/A Requesting Data...3896615078</v>
        <stp/>
        <stp>BDP|4011529372634824729</stp>
        <tr r="T2228" s="2"/>
      </tp>
      <tp t="s">
        <v>#N/A Requesting Data...4274306118</v>
        <stp/>
        <stp>BDP|4902751700024116275</stp>
        <tr r="K1140" s="2"/>
      </tp>
      <tp t="s">
        <v>#N/A Requesting Data...3650761340</v>
        <stp/>
        <stp>BDP|2726392431147725026</stp>
        <tr r="H889" s="2"/>
      </tp>
      <tp t="s">
        <v>#N/A Requesting Data...2650898328</v>
        <stp/>
        <stp>BDP|7124144261455850062</stp>
        <tr r="O1204" s="2"/>
      </tp>
      <tp t="s">
        <v>#N/A Requesting Data...3177846405</v>
        <stp/>
        <stp>BDP|8397001539038042609</stp>
        <tr r="E1616" s="2"/>
      </tp>
      <tp t="s">
        <v>#N/A Requesting Data...3570481883</v>
        <stp/>
        <stp>BDP|6889461449514891750</stp>
        <tr r="G614" s="2"/>
      </tp>
      <tp t="s">
        <v>#N/A Requesting Data...2473563060</v>
        <stp/>
        <stp>BDP|3112966689241448604</stp>
        <tr r="S1428" s="2"/>
      </tp>
      <tp t="s">
        <v>#N/A Requesting Data...4231870126</v>
        <stp/>
        <stp>BDP|8958086768798662356</stp>
        <tr r="O2102" s="2"/>
      </tp>
      <tp t="s">
        <v>#N/A Requesting Data...4077559453</v>
        <stp/>
        <stp>BDP|3999510472195584154</stp>
        <tr r="F1392" s="2"/>
      </tp>
      <tp t="s">
        <v>#N/A Requesting Data...3091001290</v>
        <stp/>
        <stp>BDP|5087119038402154024</stp>
        <tr r="R2065" s="2"/>
      </tp>
      <tp t="s">
        <v>#N/A Requesting Data...2671813857</v>
        <stp/>
        <stp>BDP|8852097296890475499</stp>
        <tr r="G470" s="2"/>
      </tp>
      <tp t="s">
        <v>#N/A Requesting Data...3729562417</v>
        <stp/>
        <stp>BDP|3256865218716778914</stp>
        <tr r="T791" s="2"/>
      </tp>
      <tp t="s">
        <v>#N/A Requesting Data...4216166190</v>
        <stp/>
        <stp>BDP|8266186946200665800</stp>
        <tr r="C982" s="2"/>
      </tp>
      <tp t="s">
        <v>#N/A Requesting Data...3567849561</v>
        <stp/>
        <stp>BDP|7272254970811991646</stp>
        <tr r="C1997" s="2"/>
      </tp>
      <tp t="s">
        <v>#N/A Requesting Data...3136022785</v>
        <stp/>
        <stp>BDP|8028426482237259684</stp>
        <tr r="H161" s="2"/>
      </tp>
      <tp t="s">
        <v>#N/A Requesting Data...3806100610</v>
        <stp/>
        <stp>BDP|6790695240979549816</stp>
        <tr r="S1175" s="2"/>
      </tp>
      <tp t="s">
        <v>#N/A Requesting Data...2736198488</v>
        <stp/>
        <stp>BDP|1712245900140054697</stp>
        <tr r="G1024" s="2"/>
      </tp>
      <tp t="s">
        <v>#N/A Requesting Data...3747557101</v>
        <stp/>
        <stp>BDP|2317856646099253285</stp>
        <tr r="P1382" s="2"/>
      </tp>
      <tp t="s">
        <v>#N/A Requesting Data...4107135153</v>
        <stp/>
        <stp>BDP|6887018520769251814</stp>
        <tr r="M704" s="2"/>
      </tp>
      <tp t="s">
        <v>#N/A Requesting Data...3949359177</v>
        <stp/>
        <stp>BDP|1080172239777025149</stp>
        <tr r="P1772" s="2"/>
      </tp>
      <tp t="s">
        <v>#N/A Requesting Data...3951055804</v>
        <stp/>
        <stp>BDP|6048237479752475445</stp>
        <tr r="S1155" s="2"/>
      </tp>
      <tp t="s">
        <v>#N/A Requesting Data...4053118023</v>
        <stp/>
        <stp>BDP|9721878800254262088</stp>
        <tr r="K591" s="2"/>
      </tp>
      <tp t="s">
        <v>#N/A Requesting Data...2888781115</v>
        <stp/>
        <stp>BDP|1349729767225408096</stp>
        <tr r="J2215" s="2"/>
      </tp>
      <tp t="s">
        <v>#N/A Requesting Data...4236097404</v>
        <stp/>
        <stp>BDP|4397116739964762779</stp>
        <tr r="A135" s="2"/>
      </tp>
      <tp t="s">
        <v>#N/A Requesting Data...4204182424</v>
        <stp/>
        <stp>BDP|4433793024316694243</stp>
        <tr r="J551" s="2"/>
      </tp>
      <tp t="s">
        <v>#N/A Requesting Data...3573490409</v>
        <stp/>
        <stp>BDP|9881653851996736908</stp>
        <tr r="P599" s="2"/>
      </tp>
      <tp t="s">
        <v>#N/A Requesting Data...3203939303</v>
        <stp/>
        <stp>BDP|7741269795800796985</stp>
        <tr r="N1376" s="2"/>
      </tp>
      <tp t="b">
        <v>0</v>
        <stp/>
        <stp>BDS|5000747309265375258</stp>
        <tr r="I1342" s="2"/>
      </tp>
      <tp t="s">
        <v>#N/A Requesting Data...2852300599</v>
        <stp/>
        <stp>BDP|1972715220862755346</stp>
        <tr r="F2229" s="2"/>
      </tp>
      <tp t="s">
        <v>#N/A Requesting Data...3650021102</v>
        <stp/>
        <stp>BDP|6099291753154447054</stp>
        <tr r="Q2237" s="2"/>
      </tp>
      <tp t="s">
        <v>#N/A Requesting Data...4251468231</v>
        <stp/>
        <stp>BDP|6858513636841235464</stp>
        <tr r="R1767" s="2"/>
      </tp>
      <tp t="s">
        <v>#N/A Requesting Data...3629405460</v>
        <stp/>
        <stp>BDP|2278143404865102385</stp>
        <tr r="A633" s="2"/>
      </tp>
      <tp t="s">
        <v>#N/A Requesting Data...3599322392</v>
        <stp/>
        <stp>BDP|2927286509285483077</stp>
        <tr r="S1288" s="2"/>
      </tp>
      <tp t="s">
        <v>#N/A Requesting Data...2823990450</v>
        <stp/>
        <stp>BDP|6672649878772419050</stp>
        <tr r="Q2004" s="2"/>
      </tp>
      <tp t="s">
        <v>#N/A Requesting Data...4104342279</v>
        <stp/>
        <stp>BDP|9955584387608590986</stp>
        <tr r="T2077" s="2"/>
      </tp>
      <tp t="s">
        <v>#N/A Requesting Data...3158727335</v>
        <stp/>
        <stp>BDP|7124798308525364081</stp>
        <tr r="K1757" s="2"/>
      </tp>
      <tp t="s">
        <v>#N/A Requesting Data...3604565141</v>
        <stp/>
        <stp>BDP|5380794908531927603</stp>
        <tr r="T305" s="2"/>
      </tp>
      <tp t="s">
        <v>#N/A Requesting Data...2904797339</v>
        <stp/>
        <stp>BDP|8491609320898993169</stp>
        <tr r="Q2086" s="2"/>
      </tp>
      <tp t="s">
        <v>#N/A Requesting Data...3199944941</v>
        <stp/>
        <stp>BDP|1912307602897659060</stp>
        <tr r="S2327" s="2"/>
      </tp>
      <tp t="s">
        <v>#N/A Requesting Data...2619608170</v>
        <stp/>
        <stp>BDP|9578065011095195880</stp>
        <tr r="P1533" s="2"/>
      </tp>
      <tp t="s">
        <v>#N/A Requesting Data...3411415713</v>
        <stp/>
        <stp>BDP|9968408413711778865</stp>
        <tr r="O1208" s="2"/>
      </tp>
      <tp t="s">
        <v>#N/A Requesting Data...2960816936</v>
        <stp/>
        <stp>BDP|6759854760889971405</stp>
        <tr r="Q725" s="2"/>
      </tp>
      <tp t="s">
        <v>#N/A Requesting Data...3293427278</v>
        <stp/>
        <stp>BDP|7576998781733523031</stp>
        <tr r="R2356" s="2"/>
      </tp>
      <tp t="s">
        <v>#N/A Requesting Data...3400919497</v>
        <stp/>
        <stp>BDP|8720054299917151311</stp>
        <tr r="C2431" s="2"/>
      </tp>
      <tp t="s">
        <v>#N/A Requesting Data...3623469604</v>
        <stp/>
        <stp>BDP|3163233448603809398</stp>
        <tr r="K1955" s="2"/>
      </tp>
      <tp t="s">
        <v>#N/A Requesting Data...2756194725</v>
        <stp/>
        <stp>BDP|8525168978079884289</stp>
        <tr r="H1666" s="2"/>
      </tp>
      <tp t="s">
        <v>#N/A Requesting Data...2528213786</v>
        <stp/>
        <stp>BDP|9142184024897722811</stp>
        <tr r="D1845" s="2"/>
      </tp>
      <tp t="s">
        <v>#N/A Requesting Data...3686131785</v>
        <stp/>
        <stp>BDP|1857159555017576761</stp>
        <tr r="E1794" s="2"/>
      </tp>
      <tp t="s">
        <v>#N/A Requesting Data...2879109688</v>
        <stp/>
        <stp>BDP|3529187042461221269</stp>
        <tr r="S1790" s="2"/>
      </tp>
      <tp t="s">
        <v>#N/A Requesting Data...3678104123</v>
        <stp/>
        <stp>BDP|8415928612695875072</stp>
        <tr r="K99" s="2"/>
      </tp>
      <tp t="s">
        <v>#N/A Requesting Data...2745206109</v>
        <stp/>
        <stp>BDP|2130199257222609122</stp>
        <tr r="C155" s="2"/>
      </tp>
      <tp t="s">
        <v>#N/A Requesting Data...2525182985</v>
        <stp/>
        <stp>BDP|5285599871064192602</stp>
        <tr r="D2212" s="2"/>
      </tp>
      <tp t="s">
        <v>#N/A Requesting Data...3981114605</v>
        <stp/>
        <stp>BDP|7323201661964814216</stp>
        <tr r="N565" s="2"/>
      </tp>
      <tp t="s">
        <v>#N/A Requesting Data...2812847687</v>
        <stp/>
        <stp>BDP|1672128248391209051</stp>
        <tr r="R1380" s="2"/>
      </tp>
      <tp t="s">
        <v>#N/A Requesting Data...3114862092</v>
        <stp/>
        <stp>BDP|5449879248408579453</stp>
        <tr r="C2097" s="2"/>
      </tp>
      <tp t="s">
        <v>#N/A Requesting Data...4018028835</v>
        <stp/>
        <stp>BDP|2955898354739740382</stp>
        <tr r="S662" s="2"/>
      </tp>
      <tp t="s">
        <v>#N/A Requesting Data...4027662443</v>
        <stp/>
        <stp>BDP|1626365251901202382</stp>
        <tr r="S1588" s="2"/>
      </tp>
      <tp t="b">
        <v>0</v>
        <stp/>
        <stp>BDS|5045128511768175893</stp>
        <tr r="I1264" s="2"/>
      </tp>
      <tp t="b">
        <v>0</v>
        <stp/>
        <stp>BDS|2646141934555966049</stp>
        <tr r="I97" s="2"/>
      </tp>
      <tp t="s">
        <v>#N/A Requesting Data...4070745058</v>
        <stp/>
        <stp>BDP|8818803533746804089</stp>
        <tr r="K2478" s="2"/>
      </tp>
      <tp t="s">
        <v>#N/A Requesting Data...3874925154</v>
        <stp/>
        <stp>BDP|7351467434450387591</stp>
        <tr r="R392" s="2"/>
      </tp>
      <tp t="s">
        <v>#N/A Requesting Data...3817425185</v>
        <stp/>
        <stp>BDP|5375743218512067448</stp>
        <tr r="F459" s="2"/>
      </tp>
      <tp t="s">
        <v>#N/A Requesting Data...3199321981</v>
        <stp/>
        <stp>BDP|5537608479001612015</stp>
        <tr r="T1678" s="2"/>
      </tp>
      <tp t="s">
        <v>#N/A Requesting Data...3263080105</v>
        <stp/>
        <stp>BDP|2396182178193153290</stp>
        <tr r="C2181" s="2"/>
      </tp>
      <tp t="s">
        <v>#N/A Requesting Data...2920273110</v>
        <stp/>
        <stp>BDP|5154748242494911757</stp>
        <tr r="P1665" s="2"/>
      </tp>
      <tp t="s">
        <v>#N/A Requesting Data...3643337619</v>
        <stp/>
        <stp>BDP|7307594654477588507</stp>
        <tr r="H1378" s="2"/>
      </tp>
      <tp t="s">
        <v>#N/A Requesting Data...3693697992</v>
        <stp/>
        <stp>BDP|9800108092375628176</stp>
        <tr r="N813" s="2"/>
      </tp>
      <tp t="s">
        <v>#N/A Requesting Data...3031592848</v>
        <stp/>
        <stp>BDP|1615853239477098810</stp>
        <tr r="J53" s="2"/>
      </tp>
      <tp t="s">
        <v>#N/A Requesting Data...3860814924</v>
        <stp/>
        <stp>BDP|4896630385386234976</stp>
        <tr r="E2242" s="2"/>
      </tp>
      <tp t="s">
        <v>#N/A Requesting Data...3111674916</v>
        <stp/>
        <stp>BDP|7957312863811685668</stp>
        <tr r="G1470" s="2"/>
      </tp>
      <tp t="s">
        <v>#N/A Requesting Data...4069453700</v>
        <stp/>
        <stp>BDP|3180243077107934407</stp>
        <tr r="P511" s="2"/>
      </tp>
      <tp t="s">
        <v>#N/A Requesting Data...3293602675</v>
        <stp/>
        <stp>BDP|3517005733734847159</stp>
        <tr r="C377" s="2"/>
      </tp>
      <tp t="s">
        <v>#N/A Requesting Data...3282741009</v>
        <stp/>
        <stp>BDP|7757172216075496790</stp>
        <tr r="N2243" s="2"/>
      </tp>
      <tp t="s">
        <v>#N/A Requesting Data...3193573902</v>
        <stp/>
        <stp>BDP|8156843579982668017</stp>
        <tr r="J1415" s="2"/>
      </tp>
      <tp t="s">
        <v>#N/A Requesting Data...3253399927</v>
        <stp/>
        <stp>BDP|9549830524963166585</stp>
        <tr r="H2176" s="2"/>
      </tp>
      <tp t="s">
        <v>#N/A Requesting Data...3795125676</v>
        <stp/>
        <stp>BDP|2244542745745862306</stp>
        <tr r="K1175" s="2"/>
      </tp>
      <tp t="s">
        <v>#N/A Requesting Data...4082098505</v>
        <stp/>
        <stp>BDP|9119986643719189809</stp>
        <tr r="E1556" s="2"/>
      </tp>
      <tp t="s">
        <v>#N/A Requesting Data...2919912694</v>
        <stp/>
        <stp>BDP|8494616084135865629</stp>
        <tr r="C703" s="2"/>
      </tp>
      <tp t="s">
        <v>#N/A Requesting Data...3700627964</v>
        <stp/>
        <stp>BDP|4788388724821782171</stp>
        <tr r="P2428" s="2"/>
      </tp>
      <tp t="s">
        <v>#N/A Requesting Data...3371742402</v>
        <stp/>
        <stp>BDP|7525164700494163795</stp>
        <tr r="K1063" s="2"/>
      </tp>
      <tp t="s">
        <v>#N/A Requesting Data...3812539254</v>
        <stp/>
        <stp>BDP|7576706176277137590</stp>
        <tr r="S2401" s="2"/>
      </tp>
      <tp t="s">
        <v>#N/A Requesting Data...3470390629</v>
        <stp/>
        <stp>BDP|1955153601764365157</stp>
        <tr r="C492" s="2"/>
      </tp>
      <tp t="s">
        <v>#N/A Requesting Data...3356126168</v>
        <stp/>
        <stp>BDP|4496492573810010252</stp>
        <tr r="O1581" s="2"/>
      </tp>
      <tp t="s">
        <v>#N/A Requesting Data...3673066085</v>
        <stp/>
        <stp>BDP|7319262228171752317</stp>
        <tr r="T289" s="2"/>
      </tp>
      <tp t="s">
        <v>#N/A Requesting Data...3743562524</v>
        <stp/>
        <stp>BDP|7677088204934213634</stp>
        <tr r="P2437" s="2"/>
      </tp>
      <tp t="s">
        <v>#N/A Requesting Data...2657227731</v>
        <stp/>
        <stp>BDP|5083612328971761556</stp>
        <tr r="O134" s="2"/>
      </tp>
      <tp t="s">
        <v>#N/A Requesting Data...3348600778</v>
        <stp/>
        <stp>BDP|8820028220949631673</stp>
        <tr r="N2090" s="2"/>
      </tp>
      <tp t="s">
        <v>#N/A Requesting Data...3813717610</v>
        <stp/>
        <stp>BDP|7224202229177940596</stp>
        <tr r="J78" s="2"/>
      </tp>
      <tp t="s">
        <v>#N/A Requesting Data...2850222677</v>
        <stp/>
        <stp>BDP|1936634873353365611</stp>
        <tr r="N1838" s="2"/>
      </tp>
      <tp t="s">
        <v>#N/A Requesting Data...3704874465</v>
        <stp/>
        <stp>BDP|4517213601592806164</stp>
        <tr r="D11" s="2"/>
      </tp>
      <tp t="b">
        <v>0</v>
        <stp/>
        <stp>BDS|4174858451598997473</stp>
        <tr r="I1051" s="2"/>
      </tp>
      <tp t="s">
        <v>#N/A Requesting Data...3108578193</v>
        <stp/>
        <stp>BDP|9388182722417386815</stp>
        <tr r="M1631" s="2"/>
      </tp>
      <tp t="s">
        <v>#N/A Requesting Data...3210648257</v>
        <stp/>
        <stp>BDP|9618794336631671947</stp>
        <tr r="C2217" s="2"/>
      </tp>
      <tp t="s">
        <v>#N/A Requesting Data...3098430979</v>
        <stp/>
        <stp>BDP|6726404377572359285</stp>
        <tr r="E70" s="2"/>
      </tp>
      <tp t="s">
        <v>#N/A Requesting Data...2883514701</v>
        <stp/>
        <stp>BDP|1407305712743840554</stp>
        <tr r="F1097" s="2"/>
      </tp>
      <tp t="s">
        <v>#N/A Requesting Data...3459459468</v>
        <stp/>
        <stp>BDP|3508354021645259285</stp>
        <tr r="C2077" s="2"/>
      </tp>
      <tp t="s">
        <v>#N/A Requesting Data...2648246027</v>
        <stp/>
        <stp>BDP|8332317687326850060</stp>
        <tr r="P1646" s="2"/>
      </tp>
      <tp t="s">
        <v>#N/A Requesting Data...3399979615</v>
        <stp/>
        <stp>BDP|9343960739314462233</stp>
        <tr r="K564" s="2"/>
      </tp>
      <tp t="s">
        <v>#N/A Requesting Data...3902513221</v>
        <stp/>
        <stp>BDP|9372600739750953987</stp>
        <tr r="K2367" s="2"/>
      </tp>
      <tp t="s">
        <v>#N/A Requesting Data...3818808103</v>
        <stp/>
        <stp>BDP|3890293036552899544</stp>
        <tr r="C539" s="2"/>
      </tp>
      <tp t="s">
        <v>#N/A Requesting Data...2729875276</v>
        <stp/>
        <stp>BDP|3284793001799696877</stp>
        <tr r="K1302" s="2"/>
      </tp>
      <tp t="s">
        <v>#N/A Requesting Data...3320964633</v>
        <stp/>
        <stp>BDP|2840737415522351366</stp>
        <tr r="S1093" s="2"/>
      </tp>
      <tp t="s">
        <v>#N/A Requesting Data...3776802941</v>
        <stp/>
        <stp>BDP|3869629390021438859</stp>
        <tr r="H1684" s="2"/>
      </tp>
      <tp t="s">
        <v>#N/A Requesting Data...3663601071</v>
        <stp/>
        <stp>BDP|3811278252540205149</stp>
        <tr r="K766" s="2"/>
      </tp>
      <tp t="s">
        <v>#N/A Requesting Data...3436228712</v>
        <stp/>
        <stp>BDP|3443217634646332193</stp>
        <tr r="K759" s="2"/>
      </tp>
      <tp t="s">
        <v>#N/A Requesting Data...3382028849</v>
        <stp/>
        <stp>BDP|1973350345250532372</stp>
        <tr r="A184" s="2"/>
      </tp>
      <tp t="s">
        <v>#N/A Requesting Data...4102393767</v>
        <stp/>
        <stp>BDP|3499687154363089631</stp>
        <tr r="T1371" s="2"/>
      </tp>
      <tp t="s">
        <v>#N/A Requesting Data...3964096939</v>
        <stp/>
        <stp>BDP|4564143416718936955</stp>
        <tr r="T2470" s="2"/>
      </tp>
      <tp t="s">
        <v>#N/A Requesting Data...3501093237</v>
        <stp/>
        <stp>BDP|5771189260750187755</stp>
        <tr r="P147" s="2"/>
      </tp>
      <tp t="s">
        <v>#N/A Requesting Data...3999404913</v>
        <stp/>
        <stp>BDP|6416280200316247752</stp>
        <tr r="G282" s="2"/>
      </tp>
      <tp t="s">
        <v>#N/A Requesting Data...4036902549</v>
        <stp/>
        <stp>BDP|8127950047260933017</stp>
        <tr r="F1094" s="2"/>
      </tp>
      <tp t="s">
        <v>#N/A Requesting Data...3092584410</v>
        <stp/>
        <stp>BDP|4968270400160726321</stp>
        <tr r="R154" s="2"/>
      </tp>
      <tp t="s">
        <v>#N/A Requesting Data...3883095238</v>
        <stp/>
        <stp>BDP|4763699767944708552</stp>
        <tr r="K1109" s="2"/>
      </tp>
      <tp t="b">
        <v>0</v>
        <stp/>
        <stp>BDS|4130342635354879532</stp>
        <tr r="I648" s="2"/>
      </tp>
      <tp t="s">
        <v>#N/A Requesting Data...2916763379</v>
        <stp/>
        <stp>BDP|9741695630769571006</stp>
        <tr r="Q839" s="2"/>
      </tp>
      <tp t="s">
        <v>#N/A Requesting Data...4148734638</v>
        <stp/>
        <stp>BDP|2090193935750691513</stp>
        <tr r="F2415" s="2"/>
      </tp>
      <tp t="s">
        <v>#N/A Requesting Data...4144278988</v>
        <stp/>
        <stp>BDP|2246222108526708344</stp>
        <tr r="N121" s="2"/>
      </tp>
      <tp t="s">
        <v>#N/A Requesting Data...3469474653</v>
        <stp/>
        <stp>BDP|1664517128033629024</stp>
        <tr r="G1334" s="2"/>
      </tp>
      <tp t="s">
        <v>#N/A Requesting Data...2850535458</v>
        <stp/>
        <stp>BDP|3658584167261540470</stp>
        <tr r="J1923" s="2"/>
      </tp>
      <tp t="s">
        <v>#N/A Requesting Data...4206331121</v>
        <stp/>
        <stp>BDP|2095109595656981978</stp>
        <tr r="H1504" s="2"/>
      </tp>
      <tp t="s">
        <v>#N/A Requesting Data...2889142878</v>
        <stp/>
        <stp>BDP|8821651627408476156</stp>
        <tr r="N1559" s="2"/>
      </tp>
      <tp t="s">
        <v>#N/A Requesting Data...3698881878</v>
        <stp/>
        <stp>BDP|1199381620114283107</stp>
        <tr r="K881" s="2"/>
      </tp>
      <tp t="s">
        <v>#N/A Requesting Data...3354927469</v>
        <stp/>
        <stp>BDP|1747846288884364005</stp>
        <tr r="M585" s="2"/>
      </tp>
      <tp t="s">
        <v>#N/A Requesting Data...2875673123</v>
        <stp/>
        <stp>BDP|9834162786813287629</stp>
        <tr r="N1908" s="2"/>
      </tp>
      <tp t="s">
        <v>#N/A Requesting Data...4169687805</v>
        <stp/>
        <stp>BDP|4149569012481807451</stp>
        <tr r="A1721" s="2"/>
      </tp>
      <tp t="s">
        <v>#N/A Requesting Data...3868941804</v>
        <stp/>
        <stp>BDP|1314228387377960974</stp>
        <tr r="G836" s="2"/>
      </tp>
      <tp t="s">
        <v>#N/A Requesting Data...3798474565</v>
        <stp/>
        <stp>BDP|2191598964604779038</stp>
        <tr r="N42" s="2"/>
      </tp>
      <tp t="s">
        <v>#N/A Requesting Data...2983756387</v>
        <stp/>
        <stp>BDP|4229340305306289491</stp>
        <tr r="M217" s="2"/>
      </tp>
      <tp t="s">
        <v>#N/A Requesting Data...3157490223</v>
        <stp/>
        <stp>BDP|5005888360589232726</stp>
        <tr r="H2053" s="2"/>
      </tp>
      <tp t="s">
        <v>#N/A Requesting Data...4161071001</v>
        <stp/>
        <stp>BDP|9984974965121667253</stp>
        <tr r="S2135" s="2"/>
      </tp>
      <tp t="s">
        <v>#N/A Requesting Data...3934162411</v>
        <stp/>
        <stp>BDP|7299864783560701280</stp>
        <tr r="K405" s="2"/>
      </tp>
      <tp t="s">
        <v>#N/A Requesting Data...3154636154</v>
        <stp/>
        <stp>BDP|4207443651947770786</stp>
        <tr r="Q867" s="2"/>
      </tp>
      <tp t="s">
        <v>#N/A Requesting Data...2894183227</v>
        <stp/>
        <stp>BDP|4542384172066583323</stp>
        <tr r="C1553" s="2"/>
      </tp>
      <tp t="s">
        <v>#N/A Requesting Data...3764179552</v>
        <stp/>
        <stp>BDP|9855838767266634427</stp>
        <tr r="D2097" s="2"/>
      </tp>
      <tp t="s">
        <v>#N/A Requesting Data...3831604022</v>
        <stp/>
        <stp>BDP|6126328489579077123</stp>
        <tr r="K651" s="2"/>
      </tp>
      <tp t="s">
        <v>#N/A Requesting Data...3362915250</v>
        <stp/>
        <stp>BDP|7002464818503422428</stp>
        <tr r="P2365" s="2"/>
      </tp>
      <tp t="s">
        <v>#N/A Requesting Data...4205109040</v>
        <stp/>
        <stp>BDP|2268594646196080051</stp>
        <tr r="D1688" s="2"/>
      </tp>
      <tp t="s">
        <v>#N/A Requesting Data...2936041670</v>
        <stp/>
        <stp>BDP|5414050737977865464</stp>
        <tr r="F1220" s="2"/>
      </tp>
      <tp t="s">
        <v>#N/A Requesting Data...3548247815</v>
        <stp/>
        <stp>BDP|4736586936914067310</stp>
        <tr r="E3" s="2"/>
      </tp>
      <tp t="s">
        <v>#N/A Requesting Data...3777867640</v>
        <stp/>
        <stp>BDP|7490314479086136054</stp>
        <tr r="G29" s="2"/>
      </tp>
      <tp t="s">
        <v>#N/A Requesting Data...4135444703</v>
        <stp/>
        <stp>BDP|8833895422015393282</stp>
        <tr r="P2512" s="2"/>
      </tp>
      <tp t="s">
        <v>#N/A Requesting Data...3218285926</v>
        <stp/>
        <stp>BDP|2749401262831868456</stp>
        <tr r="Q606" s="2"/>
      </tp>
      <tp t="s">
        <v>#N/A Requesting Data...2819557040</v>
        <stp/>
        <stp>BDP|3613060062998338896</stp>
        <tr r="M1217" s="2"/>
      </tp>
      <tp t="s">
        <v>#N/A Requesting Data...4233614734</v>
        <stp/>
        <stp>BDP|4925058703788256955</stp>
        <tr r="P2167" s="2"/>
      </tp>
      <tp t="s">
        <v>#N/A Requesting Data...3667724426</v>
        <stp/>
        <stp>BDP|9990824245275734510</stp>
        <tr r="J2431" s="2"/>
      </tp>
      <tp t="s">
        <v>#N/A Requesting Data...3871893787</v>
        <stp/>
        <stp>BDP|9003632372878845512</stp>
        <tr r="M70" s="2"/>
      </tp>
      <tp t="s">
        <v>#N/A Requesting Data...3855821379</v>
        <stp/>
        <stp>BDP|7570874217199595287</stp>
        <tr r="G423" s="2"/>
      </tp>
      <tp t="s">
        <v>#N/A Requesting Data...3483414104</v>
        <stp/>
        <stp>BDP|1943314869244060598</stp>
        <tr r="R1770" s="2"/>
      </tp>
      <tp t="s">
        <v>#N/A Requesting Data...2836431238</v>
        <stp/>
        <stp>BDP|6329024271227910319</stp>
        <tr r="E735" s="2"/>
      </tp>
      <tp t="s">
        <v>#N/A Requesting Data...3058415326</v>
        <stp/>
        <stp>BDP|2329910014179965679</stp>
        <tr r="K1317" s="2"/>
      </tp>
      <tp t="s">
        <v>#N/A Requesting Data...4115798595</v>
        <stp/>
        <stp>BDP|1395434579061543646</stp>
        <tr r="G1071" s="2"/>
      </tp>
      <tp t="s">
        <v>#N/A Requesting Data...3125187002</v>
        <stp/>
        <stp>BDP|5284345055613232597</stp>
        <tr r="C1446" s="2"/>
      </tp>
      <tp t="s">
        <v>#N/A Requesting Data...4240533246</v>
        <stp/>
        <stp>BDP|3493782467994542369</stp>
        <tr r="J2127" s="2"/>
      </tp>
      <tp t="s">
        <v>#N/A Requesting Data...4278349475</v>
        <stp/>
        <stp>BDP|9218418144229747580</stp>
        <tr r="F1878" s="2"/>
      </tp>
      <tp t="s">
        <v>#N/A Requesting Data...4191625050</v>
        <stp/>
        <stp>BDP|5585458039434299332</stp>
        <tr r="C41" s="2"/>
      </tp>
      <tp t="s">
        <v>#N/A Requesting Data...4154622801</v>
        <stp/>
        <stp>BDP|2388119856104478788</stp>
        <tr r="E1394" s="2"/>
      </tp>
      <tp t="s">
        <v>#N/A Requesting Data...3696406801</v>
        <stp/>
        <stp>BDP|1994408127852706017</stp>
        <tr r="R1685" s="2"/>
      </tp>
      <tp t="s">
        <v>#N/A Requesting Data...3939598495</v>
        <stp/>
        <stp>BDP|8519841236934856272</stp>
        <tr r="T2161" s="2"/>
      </tp>
      <tp t="s">
        <v>#N/A Requesting Data...4072419829</v>
        <stp/>
        <stp>BDP|9749181569533887866</stp>
        <tr r="D1622" s="2"/>
      </tp>
      <tp t="s">
        <v>#N/A Requesting Data...3510838602</v>
        <stp/>
        <stp>BDP|6058419067144665585</stp>
        <tr r="E954" s="2"/>
      </tp>
      <tp t="s">
        <v>#N/A Requesting Data...2923507414</v>
        <stp/>
        <stp>BDP|4576311328395127559</stp>
        <tr r="C1793" s="2"/>
      </tp>
      <tp t="s">
        <v>#N/A Requesting Data...3331425899</v>
        <stp/>
        <stp>BDP|1927048777854307713</stp>
        <tr r="P2158" s="2"/>
      </tp>
      <tp t="s">
        <v>#N/A Requesting Data...3024922331</v>
        <stp/>
        <stp>BDP|7402388078371827748</stp>
        <tr r="T1267" s="2"/>
      </tp>
      <tp t="s">
        <v>#N/A Requesting Data...3733125318</v>
        <stp/>
        <stp>BDP|3479162408351100637</stp>
        <tr r="F2461" s="2"/>
      </tp>
      <tp t="s">
        <v>#N/A Requesting Data...3363766096</v>
        <stp/>
        <stp>BDP|4313513075674721786</stp>
        <tr r="M475" s="2"/>
      </tp>
      <tp t="s">
        <v>#N/A Requesting Data...2902536928</v>
        <stp/>
        <stp>BDP|9257014480866882231</stp>
        <tr r="M1072" s="2"/>
      </tp>
      <tp t="s">
        <v>#N/A Requesting Data...4110281078</v>
        <stp/>
        <stp>BDP|7642756578153512162</stp>
        <tr r="S1252" s="2"/>
      </tp>
      <tp t="s">
        <v>#N/A Requesting Data...3203868854</v>
        <stp/>
        <stp>BDP|1364269831146869348</stp>
        <tr r="G1011" s="2"/>
      </tp>
      <tp t="b">
        <v>0</v>
        <stp/>
        <stp>BDS|3579127724525360080</stp>
        <tr r="I2322" s="2"/>
      </tp>
      <tp t="s">
        <v>#N/A Requesting Data...3172383327</v>
        <stp/>
        <stp>BDP|7515651893174927923</stp>
        <tr r="A1675" s="2"/>
      </tp>
      <tp t="s">
        <v>#N/A Requesting Data...3060882093</v>
        <stp/>
        <stp>BDP|4945992880922976218</stp>
        <tr r="F197" s="2"/>
      </tp>
      <tp t="b">
        <v>0</v>
        <stp/>
        <stp>BDS|9170497393122638351</stp>
        <tr r="I174" s="2"/>
      </tp>
      <tp t="s">
        <v>#N/A Requesting Data...3059170571</v>
        <stp/>
        <stp>BDP|8886664792657681521</stp>
        <tr r="Q223" s="2"/>
      </tp>
      <tp t="s">
        <v>#N/A Requesting Data...4074390716</v>
        <stp/>
        <stp>BDP|9648071948928694076</stp>
        <tr r="P2487" s="2"/>
      </tp>
      <tp t="b">
        <v>0</v>
        <stp/>
        <stp>BDS|3136094547603532122</stp>
        <tr r="I991" s="2"/>
      </tp>
      <tp t="b">
        <v>0</v>
        <stp/>
        <stp>BDS|5630657583667032981</stp>
        <tr r="I2180" s="2"/>
      </tp>
      <tp t="s">
        <v>#N/A Requesting Data...3694167673</v>
        <stp/>
        <stp>BDP|3364901743709851206</stp>
        <tr r="K1975" s="2"/>
      </tp>
      <tp t="s">
        <v>#N/A Requesting Data...3718536339</v>
        <stp/>
        <stp>BDP|2040354148583025354</stp>
        <tr r="J2348" s="2"/>
      </tp>
      <tp t="s">
        <v>#N/A Requesting Data...3887349537</v>
        <stp/>
        <stp>BDP|1483123303161598480</stp>
        <tr r="T223" s="2"/>
      </tp>
      <tp t="s">
        <v>#N/A Requesting Data...4202682634</v>
        <stp/>
        <stp>BDP|4414833183625478480</stp>
        <tr r="D1298" s="2"/>
      </tp>
      <tp t="s">
        <v>#N/A Requesting Data...3892045949</v>
        <stp/>
        <stp>BDP|6544946084693966141</stp>
        <tr r="P18" s="2"/>
      </tp>
      <tp t="s">
        <v>#N/A Requesting Data...4273583288</v>
        <stp/>
        <stp>BDP|3738797917468251837</stp>
        <tr r="A278" s="2"/>
      </tp>
      <tp t="s">
        <v>#N/A Requesting Data...2971281361</v>
        <stp/>
        <stp>BDP|9359075852851692883</stp>
        <tr r="J1710" s="2"/>
      </tp>
      <tp t="b">
        <v>0</v>
        <stp/>
        <stp>BDS|9404217125028116497</stp>
        <tr r="I1560" s="2"/>
      </tp>
      <tp t="s">
        <v>#N/A Requesting Data...3621971960</v>
        <stp/>
        <stp>BDP|9451294251943539819</stp>
        <tr r="K1227" s="2"/>
      </tp>
      <tp t="s">
        <v>#N/A Requesting Data...3557293623</v>
        <stp/>
        <stp>BDP|1383068159090501112</stp>
        <tr r="S506" s="2"/>
      </tp>
      <tp t="s">
        <v>#N/A Requesting Data...3179016691</v>
        <stp/>
        <stp>BDP|7357935585770812353</stp>
        <tr r="Q1272" s="2"/>
      </tp>
      <tp t="b">
        <v>0</v>
        <stp/>
        <stp>BDS|4507803582018634996</stp>
        <tr r="I895" s="2"/>
      </tp>
      <tp t="s">
        <v>#N/A Requesting Data...3765410258</v>
        <stp/>
        <stp>BDP|4406838388640382143</stp>
        <tr r="D560" s="2"/>
      </tp>
      <tp t="s">
        <v>#N/A Requesting Data...3698884992</v>
        <stp/>
        <stp>BDP|3990307047958378955</stp>
        <tr r="D187" s="2"/>
      </tp>
      <tp t="s">
        <v>#N/A Requesting Data...3340810081</v>
        <stp/>
        <stp>BDP|5527015458490042542</stp>
        <tr r="H1149" s="2"/>
      </tp>
      <tp t="s">
        <v>#N/A Requesting Data...3991303000</v>
        <stp/>
        <stp>BDP|6041987787396016474</stp>
        <tr r="N1235" s="2"/>
      </tp>
      <tp t="s">
        <v>#N/A Requesting Data...3601811721</v>
        <stp/>
        <stp>BDP|3815435039493266283</stp>
        <tr r="E1849" s="2"/>
      </tp>
      <tp t="s">
        <v>#N/A Requesting Data...3808817027</v>
        <stp/>
        <stp>BDP|7779782438051913761</stp>
        <tr r="C1009" s="2"/>
      </tp>
      <tp t="s">
        <v>#N/A Requesting Data...4003872206</v>
        <stp/>
        <stp>BDP|6834189598803825884</stp>
        <tr r="K1181" s="2"/>
      </tp>
      <tp t="s">
        <v>#N/A Requesting Data...3087051611</v>
        <stp/>
        <stp>BDP|1424467999850118928</stp>
        <tr r="J1486" s="2"/>
      </tp>
      <tp t="s">
        <v>#N/A Requesting Data...3602601299</v>
        <stp/>
        <stp>BDP|4966452019005994149</stp>
        <tr r="G420" s="2"/>
      </tp>
      <tp t="s">
        <v>#N/A Requesting Data...3491618377</v>
        <stp/>
        <stp>BDP|2274741238956730518</stp>
        <tr r="S1878" s="2"/>
      </tp>
      <tp t="s">
        <v>#N/A Requesting Data...3600182743</v>
        <stp/>
        <stp>BDP|2231016811457311194</stp>
        <tr r="G1318" s="2"/>
      </tp>
      <tp t="s">
        <v>#N/A Requesting Data...4183911135</v>
        <stp/>
        <stp>BDP|4040515389295500957</stp>
        <tr r="D591" s="2"/>
      </tp>
      <tp t="s">
        <v>#N/A Requesting Data...4170501740</v>
        <stp/>
        <stp>BDP|7133079929354255458</stp>
        <tr r="D2078" s="2"/>
      </tp>
      <tp t="s">
        <v>#N/A Requesting Data...3384648080</v>
        <stp/>
        <stp>BDP|1704904670712848873</stp>
        <tr r="M803" s="2"/>
      </tp>
      <tp t="s">
        <v>#N/A Requesting Data...3086642306</v>
        <stp/>
        <stp>BDP|2205155100087828170</stp>
        <tr r="G229" s="2"/>
      </tp>
      <tp t="s">
        <v>#N/A Requesting Data...3567803194</v>
        <stp/>
        <stp>BDP|1875443564225880389</stp>
        <tr r="J678" s="2"/>
      </tp>
      <tp t="s">
        <v>#N/A Requesting Data...3032455607</v>
        <stp/>
        <stp>BDP|8085988086969390557</stp>
        <tr r="R1754" s="2"/>
      </tp>
      <tp t="s">
        <v>#N/A Requesting Data...3612805049</v>
        <stp/>
        <stp>BDP|9025106999166749266</stp>
        <tr r="O2264" s="2"/>
      </tp>
      <tp t="s">
        <v>#N/A Requesting Data...3225982170</v>
        <stp/>
        <stp>BDP|6310621238096066011</stp>
        <tr r="J1179" s="2"/>
      </tp>
      <tp t="s">
        <v>#N/A Requesting Data...3205439455</v>
        <stp/>
        <stp>BDP|1289723673825926126</stp>
        <tr r="H530" s="2"/>
      </tp>
      <tp t="s">
        <v>#N/A Requesting Data...4062354737</v>
        <stp/>
        <stp>BDP|5622596246657541640</stp>
        <tr r="Q1459" s="2"/>
      </tp>
      <tp t="s">
        <v>#N/A Requesting Data...3231496303</v>
        <stp/>
        <stp>BDP|8411488208609517098</stp>
        <tr r="A755" s="2"/>
      </tp>
      <tp t="s">
        <v>#N/A Requesting Data...3319293738</v>
        <stp/>
        <stp>BDP|7942080301303817100</stp>
        <tr r="S163" s="2"/>
      </tp>
      <tp t="s">
        <v>#N/A Requesting Data...4253823522</v>
        <stp/>
        <stp>BDP|2153598303912211013</stp>
        <tr r="K1927" s="2"/>
      </tp>
      <tp t="s">
        <v>#N/A Requesting Data...3715119582</v>
        <stp/>
        <stp>BDP|6527904580665465790</stp>
        <tr r="N1392" s="2"/>
      </tp>
      <tp t="s">
        <v>#N/A Requesting Data...3776709685</v>
        <stp/>
        <stp>BDP|2304439018385896785</stp>
        <tr r="N2192" s="2"/>
      </tp>
      <tp t="s">
        <v>#N/A Requesting Data...3233080868</v>
        <stp/>
        <stp>BDP|5230184892669725175</stp>
        <tr r="K1854" s="2"/>
      </tp>
      <tp t="s">
        <v>#N/A Requesting Data...3689523007</v>
        <stp/>
        <stp>BDP|7436059224666829658</stp>
        <tr r="D407" s="2"/>
      </tp>
      <tp t="s">
        <v>#N/A Requesting Data...4214409531</v>
        <stp/>
        <stp>BDP|1828663706680671279</stp>
        <tr r="R1937" s="2"/>
      </tp>
      <tp t="s">
        <v>#N/A Requesting Data...3839550244</v>
        <stp/>
        <stp>BDP|6210260520833955045</stp>
        <tr r="J1593" s="2"/>
      </tp>
      <tp t="s">
        <v>#N/A Requesting Data...4066528681</v>
        <stp/>
        <stp>BDP|2585185174663709272</stp>
        <tr r="M1660" s="2"/>
      </tp>
      <tp t="s">
        <v>#N/A Requesting Data...3252859858</v>
        <stp/>
        <stp>BDP|3177719619467203722</stp>
        <tr r="O1259" s="2"/>
      </tp>
      <tp t="s">
        <v>#N/A Requesting Data...4151873635</v>
        <stp/>
        <stp>BDP|3877849180666666036</stp>
        <tr r="K683" s="2"/>
      </tp>
      <tp t="s">
        <v>#N/A Requesting Data...4247876111</v>
        <stp/>
        <stp>BDP|7468191247883204417</stp>
        <tr r="J46" s="2"/>
      </tp>
      <tp t="s">
        <v>#N/A Requesting Data...3889881722</v>
        <stp/>
        <stp>BDP|4570699246716192528</stp>
        <tr r="H1406" s="2"/>
      </tp>
      <tp t="s">
        <v>#N/A Requesting Data...3815499025</v>
        <stp/>
        <stp>BDP|2575891321845211867</stp>
        <tr r="E804" s="2"/>
      </tp>
      <tp t="s">
        <v>#N/A Requesting Data...4033201453</v>
        <stp/>
        <stp>BDP|3056911328899643460</stp>
        <tr r="Q117" s="2"/>
      </tp>
      <tp t="s">
        <v>#N/A Requesting Data...3656962753</v>
        <stp/>
        <stp>BDP|5750070609107849788</stp>
        <tr r="A2446" s="2"/>
      </tp>
      <tp t="s">
        <v>#N/A Requesting Data...3111243008</v>
        <stp/>
        <stp>BDP|9118711215968983259</stp>
        <tr r="A1800" s="2"/>
      </tp>
      <tp t="s">
        <v>#N/A Requesting Data...3516045614</v>
        <stp/>
        <stp>BDP|8141144788071718539</stp>
        <tr r="T2326" s="2"/>
      </tp>
      <tp t="s">
        <v>#N/A Requesting Data...3339995261</v>
        <stp/>
        <stp>BDP|1384066072063608086</stp>
        <tr r="C723" s="2"/>
      </tp>
      <tp t="s">
        <v>#N/A Requesting Data...3325110067</v>
        <stp/>
        <stp>BDP|8852552543648185462</stp>
        <tr r="Q614" s="2"/>
      </tp>
      <tp t="s">
        <v>#N/A Requesting Data...3909906322</v>
        <stp/>
        <stp>BDP|7820851775964636972</stp>
        <tr r="Q1350" s="2"/>
      </tp>
      <tp t="s">
        <v>#N/A Requesting Data...4148921138</v>
        <stp/>
        <stp>BDP|5819800689414872409</stp>
        <tr r="H2110" s="2"/>
      </tp>
      <tp t="s">
        <v>#N/A Requesting Data...3535518904</v>
        <stp/>
        <stp>BDP|8309478132952733889</stp>
        <tr r="N122" s="2"/>
      </tp>
      <tp t="s">
        <v>#N/A Requesting Data...3726456191</v>
        <stp/>
        <stp>BDP|3156278534630919721</stp>
        <tr r="J1627" s="2"/>
      </tp>
      <tp t="s">
        <v>#N/A Requesting Data...3617692023</v>
        <stp/>
        <stp>BDP|4431149320663051193</stp>
        <tr r="D2005" s="2"/>
      </tp>
      <tp t="s">
        <v>#N/A Requesting Data...3927434509</v>
        <stp/>
        <stp>BDP|2288659088681353858</stp>
        <tr r="C419" s="2"/>
      </tp>
      <tp t="s">
        <v>#N/A Requesting Data...3869297282</v>
        <stp/>
        <stp>BDP|7587780974203783178</stp>
        <tr r="S749" s="2"/>
      </tp>
      <tp t="s">
        <v>#N/A Requesting Data...3515580469</v>
        <stp/>
        <stp>BDP|5316292496838626334</stp>
        <tr r="K950" s="2"/>
      </tp>
      <tp t="s">
        <v>#N/A Requesting Data...4162367991</v>
        <stp/>
        <stp>BDP|2692162709337745171</stp>
        <tr r="O1240" s="2"/>
      </tp>
      <tp t="s">
        <v>#N/A Requesting Data...3529422350</v>
        <stp/>
        <stp>BDP|4993673700772520522</stp>
        <tr r="P1123" s="2"/>
      </tp>
      <tp t="s">
        <v>#N/A Requesting Data...3743930456</v>
        <stp/>
        <stp>BDP|2440274846154582594</stp>
        <tr r="K646" s="2"/>
      </tp>
      <tp t="s">
        <v>#N/A Requesting Data...3488731472</v>
        <stp/>
        <stp>BDP|3467390852590166079</stp>
        <tr r="A2394" s="2"/>
      </tp>
      <tp t="s">
        <v>#N/A Requesting Data...3497185058</v>
        <stp/>
        <stp>BDP|6226636279964143605</stp>
        <tr r="K1053" s="2"/>
      </tp>
      <tp t="s">
        <v>#N/A Requesting Data...3727056958</v>
        <stp/>
        <stp>BDP|6502196531627144658</stp>
        <tr r="Q131" s="2"/>
      </tp>
      <tp t="s">
        <v>#N/A Requesting Data...4270575643</v>
        <stp/>
        <stp>BDP|1261583817997492709</stp>
        <tr r="R389" s="2"/>
      </tp>
      <tp t="s">
        <v>#N/A Requesting Data...3902913453</v>
        <stp/>
        <stp>BDP|2630991784922419466</stp>
        <tr r="J1845" s="2"/>
      </tp>
      <tp t="s">
        <v>#N/A Requesting Data...3227145503</v>
        <stp/>
        <stp>BDP|2887309190438388521</stp>
        <tr r="D1213" s="2"/>
      </tp>
      <tp t="s">
        <v>#N/A Requesting Data...4186609087</v>
        <stp/>
        <stp>BDP|8282538588180540059</stp>
        <tr r="E12" s="2"/>
      </tp>
      <tp t="s">
        <v>#N/A Requesting Data...3813739084</v>
        <stp/>
        <stp>BDP|6871454903895775203</stp>
        <tr r="D1453" s="2"/>
      </tp>
      <tp t="s">
        <v>#N/A Requesting Data...3232400739</v>
        <stp/>
        <stp>BDP|2427310205405097190</stp>
        <tr r="G141" s="2"/>
      </tp>
      <tp t="s">
        <v>#N/A Requesting Data...4160330365</v>
        <stp/>
        <stp>BDP|8675187501514592833</stp>
        <tr r="G1679" s="2"/>
      </tp>
      <tp t="s">
        <v>#N/A Requesting Data...3213298511</v>
        <stp/>
        <stp>BDP|5516231711490885363</stp>
        <tr r="M2074" s="2"/>
      </tp>
      <tp t="s">
        <v>#N/A Requesting Data...4042825688</v>
        <stp/>
        <stp>BDP|6374730630796181187</stp>
        <tr r="P1845" s="2"/>
      </tp>
      <tp t="s">
        <v>#N/A Requesting Data...3799841100</v>
        <stp/>
        <stp>BDP|7039736645830746186</stp>
        <tr r="Q2504" s="2"/>
      </tp>
      <tp t="s">
        <v>#N/A Requesting Data...3178547270</v>
        <stp/>
        <stp>BDP|4727213409946127574</stp>
        <tr r="P88" s="2"/>
      </tp>
      <tp t="s">
        <v>#N/A Requesting Data...3139292673</v>
        <stp/>
        <stp>BDP|2783279774163963148</stp>
        <tr r="J1456" s="2"/>
      </tp>
      <tp t="s">
        <v>#N/A Requesting Data...3996330983</v>
        <stp/>
        <stp>BDP|6051192013746013530</stp>
        <tr r="A1810" s="2"/>
      </tp>
      <tp t="s">
        <v>#N/A Requesting Data...4185055428</v>
        <stp/>
        <stp>BDP|7468498462763599331</stp>
        <tr r="F972" s="2"/>
      </tp>
      <tp t="s">
        <v>#N/A Requesting Data...3601879919</v>
        <stp/>
        <stp>BDP|7012460734394960125</stp>
        <tr r="G243" s="2"/>
      </tp>
      <tp t="s">
        <v>#N/A Requesting Data...3396400028</v>
        <stp/>
        <stp>BDP|7608785537420654665</stp>
        <tr r="E1703" s="2"/>
      </tp>
      <tp t="s">
        <v>#N/A Requesting Data...3488419680</v>
        <stp/>
        <stp>BDP|8173089918988157492</stp>
        <tr r="P2025" s="2"/>
      </tp>
      <tp t="s">
        <v>#N/A Requesting Data...3588162506</v>
        <stp/>
        <stp>BDP|6462628361751914278</stp>
        <tr r="S1925" s="2"/>
      </tp>
      <tp t="s">
        <v>#N/A Requesting Data...3496537256</v>
        <stp/>
        <stp>BDP|1242499129450397280</stp>
        <tr r="S2258" s="2"/>
      </tp>
      <tp t="s">
        <v>#N/A Requesting Data...3963854076</v>
        <stp/>
        <stp>BDP|8487777079809416476</stp>
        <tr r="M715" s="2"/>
      </tp>
      <tp t="s">
        <v>#N/A Requesting Data...3679606952</v>
        <stp/>
        <stp>BDP|7860225367523002546</stp>
        <tr r="H1346" s="2"/>
      </tp>
      <tp t="s">
        <v>#N/A Requesting Data...3464870605</v>
        <stp/>
        <stp>BDP|4071898791791681170</stp>
        <tr r="E2480" s="2"/>
      </tp>
      <tp t="s">
        <v>#N/A Requesting Data...4020767466</v>
        <stp/>
        <stp>BDP|6482955976955820866</stp>
        <tr r="H1901" s="2"/>
      </tp>
      <tp t="s">
        <v>#N/A Requesting Data...3357105397</v>
        <stp/>
        <stp>BDP|6649205553074544095</stp>
        <tr r="N1512" s="2"/>
      </tp>
      <tp t="s">
        <v>#N/A Requesting Data...3723563557</v>
        <stp/>
        <stp>BDP|9010824928722721440</stp>
        <tr r="O722" s="2"/>
      </tp>
      <tp t="s">
        <v>#N/A Requesting Data...3395918133</v>
        <stp/>
        <stp>BDP|9076507297372636283</stp>
        <tr r="D2399" s="2"/>
      </tp>
      <tp t="s">
        <v>#N/A Requesting Data...4041001474</v>
        <stp/>
        <stp>BDP|1254113630402374496</stp>
        <tr r="C473" s="2"/>
      </tp>
      <tp t="s">
        <v>#N/A Requesting Data...3853437894</v>
        <stp/>
        <stp>BDP|3968348474880108215</stp>
        <tr r="M1044" s="2"/>
      </tp>
      <tp t="s">
        <v>#N/A Requesting Data...3856388049</v>
        <stp/>
        <stp>BDP|3708593337259757977</stp>
        <tr r="A922" s="2"/>
      </tp>
      <tp t="s">
        <v>#N/A Requesting Data...4128108515</v>
        <stp/>
        <stp>BDP|3768990681100577733</stp>
        <tr r="A822" s="2"/>
      </tp>
      <tp t="s">
        <v>#N/A Requesting Data...4195550090</v>
        <stp/>
        <stp>BDP|9305651785415338795</stp>
        <tr r="M366" s="2"/>
      </tp>
      <tp t="s">
        <v>#N/A Requesting Data...3430277875</v>
        <stp/>
        <stp>BDP|6037179179144604119</stp>
        <tr r="H7" s="2"/>
      </tp>
      <tp t="b">
        <v>0</v>
        <stp/>
        <stp>BDS|4785796224977231315</stp>
        <tr r="I187" s="2"/>
      </tp>
      <tp t="s">
        <v>#N/A Requesting Data...4110545357</v>
        <stp/>
        <stp>BDP|8173361269419602110</stp>
        <tr r="F2105" s="2"/>
      </tp>
      <tp t="s">
        <v>#N/A Requesting Data...3293162059</v>
        <stp/>
        <stp>BDP|1746563307457703681</stp>
        <tr r="K1885" s="2"/>
      </tp>
      <tp t="s">
        <v>#N/A Requesting Data...4012656869</v>
        <stp/>
        <stp>BDP|4955743431501362467</stp>
        <tr r="O2021" s="2"/>
      </tp>
      <tp t="s">
        <v>#N/A Requesting Data...3740889490</v>
        <stp/>
        <stp>BDP|6930660064671658242</stp>
        <tr r="T643" s="2"/>
      </tp>
      <tp t="s">
        <v>#N/A Requesting Data...3223391765</v>
        <stp/>
        <stp>BDP|2570633279426069064</stp>
        <tr r="G918" s="2"/>
      </tp>
      <tp t="s">
        <v>#N/A Requesting Data...3732105258</v>
        <stp/>
        <stp>BDP|4867704104663504501</stp>
        <tr r="G1868" s="2"/>
      </tp>
      <tp t="s">
        <v>#N/A Requesting Data...3286104769</v>
        <stp/>
        <stp>BDP|8824966302811412518</stp>
        <tr r="C963" s="2"/>
      </tp>
      <tp t="s">
        <v>#N/A Requesting Data...3292932621</v>
        <stp/>
        <stp>BDP|9020484080643704365</stp>
        <tr r="N661" s="2"/>
      </tp>
      <tp t="s">
        <v>#N/A Requesting Data...3262525416</v>
        <stp/>
        <stp>BDP|5009934999348605852</stp>
        <tr r="E450" s="2"/>
      </tp>
      <tp t="s">
        <v>#N/A Requesting Data...3235000365</v>
        <stp/>
        <stp>BDP|4458985525729167314</stp>
        <tr r="T1193" s="2"/>
      </tp>
      <tp t="s">
        <v>#N/A Requesting Data...3772728794</v>
        <stp/>
        <stp>BDP|5967325238786927633</stp>
        <tr r="F2389" s="2"/>
      </tp>
      <tp t="s">
        <v>#N/A Requesting Data...3917678974</v>
        <stp/>
        <stp>BDP|1620235463122872275</stp>
        <tr r="C52" s="2"/>
      </tp>
      <tp t="s">
        <v>#N/A Requesting Data...3908619567</v>
        <stp/>
        <stp>BDP|4725453618350123424</stp>
        <tr r="J1308" s="2"/>
      </tp>
      <tp t="s">
        <v>#N/A Requesting Data...4215667197</v>
        <stp/>
        <stp>BDP|5645467709875570158</stp>
        <tr r="S652" s="2"/>
      </tp>
      <tp t="s">
        <v>#N/A Requesting Data...3518565801</v>
        <stp/>
        <stp>BDP|6493406250552462098</stp>
        <tr r="F1462" s="2"/>
      </tp>
      <tp t="s">
        <v>#N/A Requesting Data...3654845437</v>
        <stp/>
        <stp>BDP|8572620780514612787</stp>
        <tr r="H1447" s="2"/>
      </tp>
      <tp t="s">
        <v>#N/A Requesting Data...3996253799</v>
        <stp/>
        <stp>BDP|7612257330013853027</stp>
        <tr r="F1967" s="2"/>
      </tp>
      <tp t="s">
        <v>#N/A Requesting Data...3408495775</v>
        <stp/>
        <stp>BDP|5188384337856396649</stp>
        <tr r="R2184" s="2"/>
      </tp>
      <tp t="s">
        <v>#N/A Requesting Data...4243834556</v>
        <stp/>
        <stp>BDP|6208698755909754900</stp>
        <tr r="K1061" s="2"/>
      </tp>
      <tp t="s">
        <v>#N/A Requesting Data...4162784619</v>
        <stp/>
        <stp>BDP|7761188222838764937</stp>
        <tr r="N1769" s="2"/>
      </tp>
      <tp t="s">
        <v>#N/A Requesting Data...3451315909</v>
        <stp/>
        <stp>BDP|6477252108736201724</stp>
        <tr r="A72" s="2"/>
      </tp>
      <tp t="s">
        <v>#N/A Requesting Data...3859168852</v>
        <stp/>
        <stp>BDP|3118374520094713382</stp>
        <tr r="F831" s="2"/>
      </tp>
      <tp t="s">
        <v>#N/A Requesting Data...3610491584</v>
        <stp/>
        <stp>BDP|2260961292455657290</stp>
        <tr r="A1521" s="2"/>
      </tp>
      <tp t="s">
        <v>#N/A Requesting Data...3865362847</v>
        <stp/>
        <stp>BDP|7401222838106229557</stp>
        <tr r="A610" s="2"/>
      </tp>
      <tp t="s">
        <v>#N/A Requesting Data...3282091238</v>
        <stp/>
        <stp>BDP|2774534704360867210</stp>
        <tr r="D1493" s="2"/>
      </tp>
      <tp t="s">
        <v>#N/A Requesting Data...3323110125</v>
        <stp/>
        <stp>BDP|4584186957424183124</stp>
        <tr r="E1590" s="2"/>
      </tp>
      <tp t="s">
        <v>#N/A Requesting Data...3279503855</v>
        <stp/>
        <stp>BDP|5315832564448598688</stp>
        <tr r="T1901" s="2"/>
      </tp>
      <tp t="s">
        <v>#N/A Requesting Data...4146120149</v>
        <stp/>
        <stp>BDP|7866180158912599440</stp>
        <tr r="Q247" s="2"/>
      </tp>
      <tp t="s">
        <v>#N/A Requesting Data...3882364155</v>
        <stp/>
        <stp>BDP|9788838431207954051</stp>
        <tr r="H620" s="2"/>
      </tp>
      <tp t="s">
        <v>#N/A Requesting Data...3357330302</v>
        <stp/>
        <stp>BDP|4057825587801806031</stp>
        <tr r="M1760" s="2"/>
      </tp>
      <tp t="s">
        <v>#N/A Requesting Data...3433161974</v>
        <stp/>
        <stp>BDP|2567295336052620428</stp>
        <tr r="K1034" s="2"/>
      </tp>
      <tp t="s">
        <v>#N/A Requesting Data...3597035328</v>
        <stp/>
        <stp>BDP|2634299776426043473</stp>
        <tr r="E1317" s="2"/>
      </tp>
      <tp t="s">
        <v>#N/A Requesting Data...3680872425</v>
        <stp/>
        <stp>BDP|1810751460327635259</stp>
        <tr r="K1551" s="2"/>
      </tp>
      <tp t="s">
        <v>#N/A Requesting Data...3878233054</v>
        <stp/>
        <stp>BDP|1635202420881104590</stp>
        <tr r="M1973" s="2"/>
      </tp>
      <tp t="s">
        <v>#N/A Requesting Data...3692826974</v>
        <stp/>
        <stp>BDP|8612685960824446941</stp>
        <tr r="O2259" s="2"/>
      </tp>
      <tp t="s">
        <v>#N/A Requesting Data...3852185000</v>
        <stp/>
        <stp>BDP|2044641744506707398</stp>
        <tr r="T127" s="2"/>
      </tp>
      <tp t="s">
        <v>#N/A Requesting Data...4038056923</v>
        <stp/>
        <stp>BDP|9103432251728554588</stp>
        <tr r="J7" s="2"/>
      </tp>
      <tp t="s">
        <v>#N/A Requesting Data...3615992485</v>
        <stp/>
        <stp>BDP|1701440445545941119</stp>
        <tr r="M718" s="2"/>
      </tp>
      <tp t="s">
        <v>#N/A Requesting Data...3829188379</v>
        <stp/>
        <stp>BDP|5774252637977365682</stp>
        <tr r="P168" s="2"/>
      </tp>
      <tp t="s">
        <v>#N/A Requesting Data...3513918443</v>
        <stp/>
        <stp>BDP|8913711707812745864</stp>
        <tr r="H330" s="2"/>
      </tp>
      <tp t="s">
        <v>#N/A Requesting Data...3533892356</v>
        <stp/>
        <stp>BDP|2574989485047736115</stp>
        <tr r="R2" s="2"/>
      </tp>
      <tp t="s">
        <v>#N/A Requesting Data...3963017985</v>
        <stp/>
        <stp>BDP|4870179069023020584</stp>
        <tr r="C1887" s="2"/>
      </tp>
      <tp t="s">
        <v>#N/A Requesting Data...3474773177</v>
        <stp/>
        <stp>BDP|6769806389860961396</stp>
        <tr r="M1099" s="2"/>
      </tp>
      <tp t="s">
        <v>#N/A Requesting Data...3660062836</v>
        <stp/>
        <stp>BDP|5641299865570664426</stp>
        <tr r="O2266" s="2"/>
      </tp>
      <tp t="s">
        <v>#N/A Requesting Data...3473119226</v>
        <stp/>
        <stp>BDP|6413988273255961886</stp>
        <tr r="N1200" s="2"/>
      </tp>
      <tp t="s">
        <v>#N/A Requesting Data...3604528730</v>
        <stp/>
        <stp>BDP|6011713179950373357</stp>
        <tr r="C2350" s="2"/>
      </tp>
      <tp t="s">
        <v>#N/A Requesting Data...4230094956</v>
        <stp/>
        <stp>BDP|4328377832185989417</stp>
        <tr r="R148" s="2"/>
      </tp>
      <tp t="s">
        <v>#N/A Requesting Data...4118100452</v>
        <stp/>
        <stp>BDP|7817286200869627987</stp>
        <tr r="S2138" s="2"/>
      </tp>
      <tp t="b">
        <v>0</v>
        <stp/>
        <stp>BDS|3946571347266264158</stp>
        <tr r="I496" s="2"/>
      </tp>
      <tp t="s">
        <v>#N/A Requesting Data...4109665232</v>
        <stp/>
        <stp>BDP|7426193627203291260</stp>
        <tr r="O865" s="2"/>
      </tp>
      <tp t="s">
        <v>#N/A Requesting Data...3407079757</v>
        <stp/>
        <stp>BDP|8426614236968923047</stp>
        <tr r="J1714" s="2"/>
      </tp>
      <tp t="s">
        <v>#N/A Requesting Data...3826776225</v>
        <stp/>
        <stp>BDP|3382743326400709385</stp>
        <tr r="N1511" s="2"/>
      </tp>
      <tp t="s">
        <v>#N/A Requesting Data...3524919077</v>
        <stp/>
        <stp>BDP|7308287010815173442</stp>
        <tr r="H526" s="2"/>
      </tp>
      <tp t="s">
        <v>#N/A Requesting Data...3839169274</v>
        <stp/>
        <stp>BDP|3857959713077643965</stp>
        <tr r="J27" s="2"/>
      </tp>
      <tp t="b">
        <v>0</v>
        <stp/>
        <stp>BDS|1224565054046707299</stp>
        <tr r="I178" s="2"/>
      </tp>
      <tp t="s">
        <v>#N/A Requesting Data...4049852106</v>
        <stp/>
        <stp>BDP|2031890594462430479</stp>
        <tr r="P1022" s="2"/>
      </tp>
      <tp t="s">
        <v>#N/A Requesting Data...3636777410</v>
        <stp/>
        <stp>BDP|8779785850577390822</stp>
        <tr r="H536" s="2"/>
      </tp>
      <tp t="s">
        <v>#N/A Requesting Data...4146155593</v>
        <stp/>
        <stp>BDP|9944250220469080524</stp>
        <tr r="C743" s="2"/>
      </tp>
      <tp t="s">
        <v>#N/A Requesting Data...4066943276</v>
        <stp/>
        <stp>BDP|4759260058731694717</stp>
        <tr r="D738" s="2"/>
      </tp>
      <tp t="s">
        <v>#N/A Requesting Data...3373944634</v>
        <stp/>
        <stp>BDP|3510505611882996039</stp>
        <tr r="M193" s="2"/>
      </tp>
      <tp t="s">
        <v>#N/A Requesting Data...3689737775</v>
        <stp/>
        <stp>BDP|4162379368936928298</stp>
        <tr r="E2260" s="2"/>
      </tp>
      <tp t="s">
        <v>#N/A Requesting Data...4281503306</v>
        <stp/>
        <stp>BDP|1789931225087776881</stp>
        <tr r="J569" s="2"/>
      </tp>
      <tp t="s">
        <v>#N/A Requesting Data...3672875609</v>
        <stp/>
        <stp>BDP|5885205936580133114</stp>
        <tr r="S1591" s="2"/>
      </tp>
      <tp t="s">
        <v>#N/A Requesting Data...3978250185</v>
        <stp/>
        <stp>BDP|5516529109337315235</stp>
        <tr r="K468" s="2"/>
      </tp>
      <tp t="s">
        <v>#N/A Requesting Data...3977080805</v>
        <stp/>
        <stp>BDP|9044192378563740988</stp>
        <tr r="T802" s="2"/>
      </tp>
      <tp t="s">
        <v>#N/A Requesting Data...3871785675</v>
        <stp/>
        <stp>BDP|9454583327828576306</stp>
        <tr r="N1806" s="2"/>
      </tp>
      <tp t="s">
        <v>#N/A Requesting Data...4069474600</v>
        <stp/>
        <stp>BDP|3390377129140289718</stp>
        <tr r="J490" s="2"/>
      </tp>
      <tp t="s">
        <v>#N/A Requesting Data...3397631040</v>
        <stp/>
        <stp>BDP|9684581096989661909</stp>
        <tr r="C2482" s="2"/>
      </tp>
      <tp t="s">
        <v>#N/A Requesting Data...3939642204</v>
        <stp/>
        <stp>BDP|4183434818766734237</stp>
        <tr r="C764" s="2"/>
      </tp>
      <tp t="s">
        <v>#N/A Requesting Data...3704818350</v>
        <stp/>
        <stp>BDP|6353197551883633437</stp>
        <tr r="N2385" s="2"/>
      </tp>
      <tp t="s">
        <v>#N/A Requesting Data...3879735516</v>
        <stp/>
        <stp>BDP|7403928931211806914</stp>
        <tr r="E1756" s="2"/>
      </tp>
      <tp t="s">
        <v>#N/A Requesting Data...3996569974</v>
        <stp/>
        <stp>BDP|7956388765336888128</stp>
        <tr r="S1718" s="2"/>
      </tp>
      <tp t="s">
        <v>#N/A Requesting Data...4277718397</v>
        <stp/>
        <stp>BDP|8644889646651327058</stp>
        <tr r="O1424" s="2"/>
      </tp>
      <tp t="s">
        <v>#N/A Requesting Data...3604721547</v>
        <stp/>
        <stp>BDP|6596719667630931244</stp>
        <tr r="M2324" s="2"/>
      </tp>
      <tp t="s">
        <v>#N/A Requesting Data...4161460824</v>
        <stp/>
        <stp>BDP|7156498737372964789</stp>
        <tr r="R1751" s="2"/>
      </tp>
      <tp t="s">
        <v>#N/A Requesting Data...4173143029</v>
        <stp/>
        <stp>BDP|5920051051744179122</stp>
        <tr r="P935" s="2"/>
      </tp>
      <tp t="s">
        <v>#N/A Requesting Data...3434196847</v>
        <stp/>
        <stp>BDP|1623855237799296688</stp>
        <tr r="S434" s="2"/>
      </tp>
      <tp t="s">
        <v>#N/A Requesting Data...3431384621</v>
        <stp/>
        <stp>BDP|4459642332633587798</stp>
        <tr r="D243" s="2"/>
      </tp>
      <tp t="s">
        <v>#N/A Requesting Data...4240319810</v>
        <stp/>
        <stp>BDP|9776618417678681391</stp>
        <tr r="C194" s="2"/>
      </tp>
      <tp t="s">
        <v>#N/A Requesting Data...3867392113</v>
        <stp/>
        <stp>BDP|4176938683343742388</stp>
        <tr r="R2026" s="2"/>
      </tp>
      <tp t="s">
        <v>#N/A Requesting Data...4041407066</v>
        <stp/>
        <stp>BDP|1158437726261329392</stp>
        <tr r="D2378" s="2"/>
      </tp>
      <tp t="s">
        <v>#N/A Requesting Data...3512881586</v>
        <stp/>
        <stp>BDP|9196886262603684131</stp>
        <tr r="M2141" s="2"/>
      </tp>
      <tp t="b">
        <v>0</v>
        <stp/>
        <stp>BDS|7226851562189309581</stp>
        <tr r="I2043" s="2"/>
      </tp>
      <tp t="s">
        <v>#N/A Requesting Data...3604719498</v>
        <stp/>
        <stp>BDP|1828764064624014141</stp>
        <tr r="E907" s="2"/>
      </tp>
      <tp t="s">
        <v>#N/A Requesting Data...4018349552</v>
        <stp/>
        <stp>BDP|6579226319268112812</stp>
        <tr r="D1956" s="2"/>
      </tp>
      <tp t="s">
        <v>#N/A Requesting Data...4204279565</v>
        <stp/>
        <stp>BDP|2714226104724818171</stp>
        <tr r="R394" s="2"/>
      </tp>
      <tp t="s">
        <v>#N/A Requesting Data...3510840230</v>
        <stp/>
        <stp>BDP|1335985985996940398</stp>
        <tr r="N1230" s="2"/>
      </tp>
      <tp t="s">
        <v>#N/A Requesting Data...4172983660</v>
        <stp/>
        <stp>BDP|2803279612786298214</stp>
        <tr r="R338" s="2"/>
      </tp>
      <tp t="s">
        <v>#N/A Requesting Data...3868042766</v>
        <stp/>
        <stp>BDP|2725797257193318646</stp>
        <tr r="E250" s="2"/>
      </tp>
      <tp t="s">
        <v>#N/A Requesting Data...4100019398</v>
        <stp/>
        <stp>BDP|3827463940483901596</stp>
        <tr r="E1671" s="2"/>
      </tp>
      <tp t="s">
        <v>#N/A Requesting Data...4034274827</v>
        <stp/>
        <stp>BDP|6016127402127752591</stp>
        <tr r="G765" s="2"/>
      </tp>
      <tp t="s">
        <v>#N/A Requesting Data...3713282258</v>
        <stp/>
        <stp>BDP|6158714548311320153</stp>
        <tr r="T1813" s="2"/>
      </tp>
      <tp t="s">
        <v>#N/A Requesting Data...3853173121</v>
        <stp/>
        <stp>BDP|6347706081568571492</stp>
        <tr r="C2240" s="2"/>
      </tp>
      <tp t="s">
        <v>#N/A Requesting Data...3605288686</v>
        <stp/>
        <stp>BDP|2771842696363240590</stp>
        <tr r="K1457" s="2"/>
      </tp>
      <tp t="s">
        <v>#N/A Requesting Data...3463833796</v>
        <stp/>
        <stp>BDP|5422693244330592229</stp>
        <tr r="R1693" s="2"/>
      </tp>
      <tp t="s">
        <v>#N/A Requesting Data...3712532341</v>
        <stp/>
        <stp>BDP|3240646438277279425</stp>
        <tr r="E2234" s="2"/>
      </tp>
      <tp t="s">
        <v>#N/A Requesting Data...3695039502</v>
        <stp/>
        <stp>BDP|3465578409395683627</stp>
        <tr r="O496" s="2"/>
      </tp>
      <tp t="s">
        <v>#N/A Requesting Data...3768434625</v>
        <stp/>
        <stp>BDP|7019830996010955321</stp>
        <tr r="R2371" s="2"/>
      </tp>
      <tp t="s">
        <v>#N/A Requesting Data...3847638381</v>
        <stp/>
        <stp>BDP|3608015667683800366</stp>
        <tr r="T1450" s="2"/>
      </tp>
      <tp t="s">
        <v>#N/A Requesting Data...3740684678</v>
        <stp/>
        <stp>BDP|4213689034882548651</stp>
        <tr r="M1290" s="2"/>
      </tp>
      <tp t="s">
        <v>#N/A Requesting Data...3899797206</v>
        <stp/>
        <stp>BDP|1545450789388126060</stp>
        <tr r="S1038" s="2"/>
      </tp>
      <tp t="s">
        <v>#N/A Requesting Data...3842293411</v>
        <stp/>
        <stp>BDP|4951933892057201643</stp>
        <tr r="C2522" s="2"/>
      </tp>
      <tp t="s">
        <v>#N/A Requesting Data...4171146228</v>
        <stp/>
        <stp>BDP|5628332658503783548</stp>
        <tr r="S1607" s="2"/>
      </tp>
      <tp t="s">
        <v>#N/A Requesting Data...3501308429</v>
        <stp/>
        <stp>BDP|2102576708092375034</stp>
        <tr r="G2003" s="2"/>
      </tp>
      <tp t="s">
        <v>#N/A Requesting Data...4216857575</v>
        <stp/>
        <stp>BDP|8326876784384753997</stp>
        <tr r="H1980" s="2"/>
      </tp>
      <tp t="b">
        <v>0</v>
        <stp/>
        <stp>BDS|1496912056518992040</stp>
        <tr r="I867" s="2"/>
      </tp>
      <tp t="s">
        <v>#N/A Requesting Data...3766123374</v>
        <stp/>
        <stp>BDP|5948476363301639356</stp>
        <tr r="R2212" s="2"/>
      </tp>
      <tp t="s">
        <v>#N/A Requesting Data...3724051407</v>
        <stp/>
        <stp>BDP|7824259941082176638</stp>
        <tr r="E33" s="2"/>
      </tp>
      <tp t="s">
        <v>#N/A Requesting Data...4128571448</v>
        <stp/>
        <stp>BDP|7638817454458815755</stp>
        <tr r="M870" s="2"/>
      </tp>
      <tp t="s">
        <v>#N/A Requesting Data...3643678062</v>
        <stp/>
        <stp>BDP|2975930989902822458</stp>
        <tr r="P1637" s="2"/>
      </tp>
      <tp t="s">
        <v>#N/A Requesting Data...4113569993</v>
        <stp/>
        <stp>BDP|8856847352887867788</stp>
        <tr r="K470" s="2"/>
      </tp>
      <tp t="s">
        <v>#N/A Requesting Data...4042913622</v>
        <stp/>
        <stp>BDP|3991207257398701979</stp>
        <tr r="M199" s="2"/>
      </tp>
      <tp t="s">
        <v>#N/A Requesting Data...4038955699</v>
        <stp/>
        <stp>BDP|7252355869323213426</stp>
        <tr r="A969" s="2"/>
      </tp>
      <tp t="s">
        <v>#N/A Requesting Data...3648810326</v>
        <stp/>
        <stp>BDP|1626122034050904677</stp>
        <tr r="F2058" s="2"/>
      </tp>
      <tp t="s">
        <v>#N/A Requesting Data...3869202915</v>
        <stp/>
        <stp>BDP|1909264830376381328</stp>
        <tr r="R834" s="2"/>
      </tp>
      <tp t="s">
        <v>#N/A Requesting Data...4185402731</v>
        <stp/>
        <stp>BDP|8017674945396847945</stp>
        <tr r="E876" s="2"/>
      </tp>
      <tp t="s">
        <v>#N/A Requesting Data...3784170537</v>
        <stp/>
        <stp>BDP|5663092620424914686</stp>
        <tr r="K867" s="2"/>
      </tp>
      <tp t="s">
        <v>#N/A Requesting Data...4174146760</v>
        <stp/>
        <stp>BDP|7939364437903211148</stp>
        <tr r="A1002" s="2"/>
      </tp>
      <tp t="s">
        <v>#N/A Requesting Data...4243738900</v>
        <stp/>
        <stp>BDP|3851836990323311466</stp>
        <tr r="H1101" s="2"/>
      </tp>
      <tp t="s">
        <v>#N/A Requesting Data...4009057084</v>
        <stp/>
        <stp>BDP|8627903115512400792</stp>
        <tr r="F2062" s="2"/>
      </tp>
      <tp t="s">
        <v>#N/A Requesting Data...3890172779</v>
        <stp/>
        <stp>BDP|1797268420564745086</stp>
        <tr r="A1245" s="2"/>
      </tp>
      <tp t="s">
        <v>#N/A Requesting Data...3697784667</v>
        <stp/>
        <stp>BDP|7037792716657214330</stp>
        <tr r="G2183" s="2"/>
      </tp>
      <tp t="s">
        <v>#N/A Requesting Data...3898402548</v>
        <stp/>
        <stp>BDP|1417251041615764796</stp>
        <tr r="P2130" s="2"/>
      </tp>
      <tp t="s">
        <v>#N/A Requesting Data...3635258516</v>
        <stp/>
        <stp>BDP|3107586831038190879</stp>
        <tr r="O1923" s="2"/>
      </tp>
      <tp t="s">
        <v>#N/A Requesting Data...4185102401</v>
        <stp/>
        <stp>BDP|1480731516167615580</stp>
        <tr r="D476" s="2"/>
      </tp>
      <tp t="s">
        <v>#N/A Requesting Data...3781985196</v>
        <stp/>
        <stp>BDP|6599374348752412612</stp>
        <tr r="M308" s="2"/>
      </tp>
      <tp t="s">
        <v>#N/A Requesting Data...3585687118</v>
        <stp/>
        <stp>BDP|2170270520391057698</stp>
        <tr r="P1188" s="2"/>
      </tp>
      <tp t="s">
        <v>#N/A Requesting Data...3826841827</v>
        <stp/>
        <stp>BDP|6848009556590783668</stp>
        <tr r="C865" s="2"/>
      </tp>
      <tp t="s">
        <v>#N/A Requesting Data...3598785781</v>
        <stp/>
        <stp>BDP|1194821093391600493</stp>
        <tr r="O484" s="2"/>
      </tp>
      <tp t="s">
        <v>#N/A Requesting Data...3738273891</v>
        <stp/>
        <stp>BDP|3547494807966557414</stp>
        <tr r="J1737" s="2"/>
      </tp>
      <tp t="s">
        <v>#N/A Requesting Data...4211967278</v>
        <stp/>
        <stp>BDP|7588715461523344094</stp>
        <tr r="A1197" s="2"/>
      </tp>
      <tp t="s">
        <v>#N/A Requesting Data...3983791687</v>
        <stp/>
        <stp>BDP|4293189721412485007</stp>
        <tr r="H1728" s="2"/>
      </tp>
      <tp t="s">
        <v>#N/A Requesting Data...3703098604</v>
        <stp/>
        <stp>BDP|9660966030761856779</stp>
        <tr r="P2516" s="2"/>
      </tp>
      <tp t="s">
        <v>#N/A Requesting Data...3959089965</v>
        <stp/>
        <stp>BDP|8798913688118711461</stp>
        <tr r="D1503" s="2"/>
      </tp>
      <tp t="s">
        <v>#N/A Requesting Data...4003238951</v>
        <stp/>
        <stp>BDP|9943738669598946556</stp>
        <tr r="J1243" s="2"/>
      </tp>
      <tp t="s">
        <v>#N/A Requesting Data...4053991171</v>
        <stp/>
        <stp>BDP|7360009548971352779</stp>
        <tr r="H364" s="2"/>
      </tp>
      <tp t="s">
        <v>#N/A Requesting Data...3959934888</v>
        <stp/>
        <stp>BDP|9752869208562226641</stp>
        <tr r="C951" s="2"/>
      </tp>
      <tp t="s">
        <v>#N/A Requesting Data...3677917213</v>
        <stp/>
        <stp>BDP|5061113454836347293</stp>
        <tr r="G880" s="2"/>
      </tp>
      <tp t="s">
        <v>#N/A Requesting Data...3912661796</v>
        <stp/>
        <stp>BDP|4717258801196465584</stp>
        <tr r="H1767" s="2"/>
      </tp>
      <tp t="s">
        <v>#N/A Requesting Data...3726488605</v>
        <stp/>
        <stp>BDP|4800138414117046607</stp>
        <tr r="H2058" s="2"/>
      </tp>
      <tp t="s">
        <v>#N/A Requesting Data...3566203771</v>
        <stp/>
        <stp>BDP|7727237359990143532</stp>
        <tr r="S2336" s="2"/>
      </tp>
      <tp t="s">
        <v>#N/A Requesting Data...3906749718</v>
        <stp/>
        <stp>BDP|2638078062538561992</stp>
        <tr r="F2512" s="2"/>
      </tp>
      <tp t="s">
        <v>#N/A Requesting Data...3943706403</v>
        <stp/>
        <stp>BDP|1488715261473976624</stp>
        <tr r="G1968" s="2"/>
      </tp>
      <tp t="s">
        <v>#N/A Requesting Data...3704098569</v>
        <stp/>
        <stp>BDP|2128286276984405640</stp>
        <tr r="F1931" s="2"/>
      </tp>
      <tp t="s">
        <v>#N/A Requesting Data...4261333225</v>
        <stp/>
        <stp>BDP|7092388836026298435</stp>
        <tr r="G1297" s="2"/>
      </tp>
      <tp t="s">
        <v>#N/A Requesting Data...4035937204</v>
        <stp/>
        <stp>BDP|5760639059514729755</stp>
        <tr r="O272" s="2"/>
      </tp>
      <tp t="s">
        <v>#N/A Requesting Data...3817584787</v>
        <stp/>
        <stp>BDP|9846532830503160959</stp>
        <tr r="R1925" s="2"/>
      </tp>
      <tp t="s">
        <v>#N/A Requesting Data...3671067288</v>
        <stp/>
        <stp>BDP|6859616856509412948</stp>
        <tr r="E2405" s="2"/>
      </tp>
      <tp t="s">
        <v>#N/A Requesting Data...4015250190</v>
        <stp/>
        <stp>BDP|6368299424475874693</stp>
        <tr r="R2328" s="2"/>
      </tp>
      <tp t="s">
        <v>#N/A Requesting Data...4143185684</v>
        <stp/>
        <stp>BDP|7182184826658418945</stp>
        <tr r="N932" s="2"/>
      </tp>
      <tp t="s">
        <v>#N/A Requesting Data...3768633940</v>
        <stp/>
        <stp>BDP|4743999778169012693</stp>
        <tr r="J910" s="2"/>
      </tp>
      <tp t="s">
        <v>#N/A Requesting Data...3677378546</v>
        <stp/>
        <stp>BDP|5933760045331660238</stp>
        <tr r="Q78" s="2"/>
      </tp>
      <tp t="s">
        <v>#N/A Requesting Data...3596889993</v>
        <stp/>
        <stp>BDP|3175270721946074087</stp>
        <tr r="M1230" s="2"/>
      </tp>
      <tp t="s">
        <v>#N/A Requesting Data...4113824450</v>
        <stp/>
        <stp>BDP|4700034053692855609</stp>
        <tr r="G1740" s="2"/>
      </tp>
      <tp t="s">
        <v>#N/A Requesting Data...4159372254</v>
        <stp/>
        <stp>BDP|5985547104326759317</stp>
        <tr r="J419" s="2"/>
      </tp>
      <tp t="s">
        <v>#N/A Requesting Data...4192915969</v>
        <stp/>
        <stp>BDP|7018545529830025520</stp>
        <tr r="M2009" s="2"/>
      </tp>
      <tp t="s">
        <v>#N/A Requesting Data...4015989487</v>
        <stp/>
        <stp>BDP|6936776716237609216</stp>
        <tr r="P693" s="2"/>
      </tp>
      <tp t="s">
        <v>#N/A Requesting Data...3663045997</v>
        <stp/>
        <stp>BDP|3977175467503226245</stp>
        <tr r="T1951" s="2"/>
      </tp>
      <tp t="s">
        <v>#N/A Requesting Data...4161457056</v>
        <stp/>
        <stp>BDP|3521711208556474771</stp>
        <tr r="H225" s="2"/>
      </tp>
      <tp t="s">
        <v>#N/A Requesting Data...4101402428</v>
        <stp/>
        <stp>BDP|5433928474228917648</stp>
        <tr r="E1746" s="2"/>
      </tp>
      <tp t="s">
        <v>#N/A Requesting Data...3959269923</v>
        <stp/>
        <stp>BDP|9445826429551666761</stp>
        <tr r="D552" s="2"/>
      </tp>
      <tp t="s">
        <v>#N/A Requesting Data...3867250323</v>
        <stp/>
        <stp>BDP|3938582030078983879</stp>
        <tr r="S1788" s="2"/>
      </tp>
      <tp t="s">
        <v>#N/A Requesting Data...4186243792</v>
        <stp/>
        <stp>BDP|2790349893745902867</stp>
        <tr r="D216" s="2"/>
      </tp>
      <tp t="s">
        <v>#N/A Requesting Data...3758660362</v>
        <stp/>
        <stp>BDP|1676904115315849944</stp>
        <tr r="A28" s="2"/>
      </tp>
      <tp t="s">
        <v>#N/A Requesting Data...3933031353</v>
        <stp/>
        <stp>BDP|7293577361337858638</stp>
        <tr r="E1845" s="2"/>
      </tp>
      <tp t="s">
        <v>#N/A Requesting Data...4250469733</v>
        <stp/>
        <stp>BDP|2686058212355644384</stp>
        <tr r="M744" s="2"/>
      </tp>
      <tp t="s">
        <v>#N/A Requesting Data...3788190600</v>
        <stp/>
        <stp>BDP|7624226445067941373</stp>
        <tr r="G732" s="2"/>
      </tp>
      <tp t="s">
        <v>#N/A Requesting Data...4064586329</v>
        <stp/>
        <stp>BDP|2523239937244934279</stp>
        <tr r="O775" s="2"/>
      </tp>
      <tp t="s">
        <v>#N/A Requesting Data...4279485366</v>
        <stp/>
        <stp>BDP|7189012957973030482</stp>
        <tr r="F1003" s="2"/>
      </tp>
      <tp t="b">
        <v>0</v>
        <stp/>
        <stp>BDS|7940378004967711625</stp>
        <tr r="I248" s="2"/>
      </tp>
      <tp t="s">
        <v>#N/A Requesting Data...4207539103</v>
        <stp/>
        <stp>BDP|8772216149008111312</stp>
        <tr r="Q1445" s="2"/>
      </tp>
      <tp t="s">
        <v>#N/A Requesting Data...4068677203</v>
        <stp/>
        <stp>BDP|2733157909553353576</stp>
        <tr r="M1519" s="2"/>
      </tp>
      <tp t="s">
        <v>#N/A Requesting Data...4245069696</v>
        <stp/>
        <stp>BDP|8848399638408491522</stp>
        <tr r="G602" s="2"/>
      </tp>
      <tp t="s">
        <v>#N/A Requesting Data...4287039469</v>
        <stp/>
        <stp>BDP|3732472873123973655</stp>
        <tr r="M375" s="2"/>
      </tp>
      <tp t="s">
        <v>#N/A Requesting Data...4203159301</v>
        <stp/>
        <stp>BDP|9944349033378358429</stp>
        <tr r="S23" s="2"/>
      </tp>
      <tp t="s">
        <v>#N/A Requesting Data...4059653850</v>
        <stp/>
        <stp>BDP|5956353635205586539</stp>
        <tr r="G1924" s="2"/>
      </tp>
      <tp t="s">
        <v>#N/A Requesting Data...4050075395</v>
        <stp/>
        <stp>BDP|1792314362841972027</stp>
        <tr r="S2400" s="2"/>
      </tp>
      <tp t="s">
        <v>#N/A Requesting Data...3822224140</v>
        <stp/>
        <stp>BDP|7515247024275955734</stp>
        <tr r="T1085" s="2"/>
      </tp>
      <tp t="s">
        <v>#N/A Requesting Data...4252022399</v>
        <stp/>
        <stp>BDP|7006601755226963730</stp>
        <tr r="R1841" s="2"/>
      </tp>
      <tp t="s">
        <v>#N/A Requesting Data...3739376664</v>
        <stp/>
        <stp>BDP|4022710478170103176</stp>
        <tr r="M975" s="2"/>
      </tp>
      <tp t="s">
        <v>#N/A Requesting Data...3701515055</v>
        <stp/>
        <stp>BDP|9061947193508923413</stp>
        <tr r="P1966" s="2"/>
      </tp>
      <tp t="b">
        <v>0</v>
        <stp/>
        <stp>BDS|4786504083869263594</stp>
        <tr r="I1499" s="2"/>
      </tp>
      <tp t="s">
        <v>#N/A Requesting Data...4184418285</v>
        <stp/>
        <stp>BDP|4569192059251862425</stp>
        <tr r="A1941" s="2"/>
      </tp>
      <tp t="s">
        <v>#N/A Requesting Data...4162298633</v>
        <stp/>
        <stp>BDP|7412094297499730227</stp>
        <tr r="S1933" s="2"/>
      </tp>
      <tp t="s">
        <v>#N/A Requesting Data...4275188529</v>
        <stp/>
        <stp>BDP|7006054668223656747</stp>
        <tr r="T877" s="2"/>
      </tp>
      <tp t="s">
        <v>#N/A Requesting Data...3761246712</v>
        <stp/>
        <stp>BDP|4048427039166154053</stp>
        <tr r="C1588" s="2"/>
      </tp>
      <tp t="s">
        <v>#N/A Requesting Data...4059102899</v>
        <stp/>
        <stp>BDP|1423508008502388303</stp>
        <tr r="D1532" s="2"/>
      </tp>
      <tp t="s">
        <v>#N/A Requesting Data...3700953375</v>
        <stp/>
        <stp>BDP|9810944632166130000</stp>
        <tr r="Q1037" s="2"/>
      </tp>
      <tp t="s">
        <v>#N/A Requesting Data...3836984524</v>
        <stp/>
        <stp>BDP|2769426632404863405</stp>
        <tr r="A303" s="2"/>
      </tp>
      <tp t="s">
        <v>#N/A Requesting Data...4065705650</v>
        <stp/>
        <stp>BDP|1830513156801699566</stp>
        <tr r="F18" s="2"/>
      </tp>
      <tp t="s">
        <v>#N/A Requesting Data...4236130379</v>
        <stp/>
        <stp>BDP|3162082680496467821</stp>
        <tr r="Q601" s="2"/>
      </tp>
      <tp t="s">
        <v>#N/A Requesting Data...4218404708</v>
        <stp/>
        <stp>BDP|7850620679573566090</stp>
        <tr r="Q498" s="2"/>
      </tp>
      <tp t="s">
        <v>#N/A Requesting Data...4091331586</v>
        <stp/>
        <stp>BDP|8988005136986776875</stp>
        <tr r="K699" s="2"/>
      </tp>
      <tp t="s">
        <v>#N/A Requesting Data...3858593291</v>
        <stp/>
        <stp>BDP|7286996151748161649</stp>
        <tr r="F1040" s="2"/>
      </tp>
      <tp t="s">
        <v>#N/A Requesting Data...4127031421</v>
        <stp/>
        <stp>BDP|3724733404480757186</stp>
        <tr r="S2098" s="2"/>
      </tp>
      <tp t="s">
        <v>#N/A Requesting Data...3788723033</v>
        <stp/>
        <stp>BDP|5938675076732472330</stp>
        <tr r="K1172" s="2"/>
      </tp>
      <tp t="s">
        <v>#N/A Requesting Data...4006702885</v>
        <stp/>
        <stp>BDP|2186990543173350945</stp>
        <tr r="F79" s="2"/>
      </tp>
      <tp t="s">
        <v>#N/A Requesting Data...4102186294</v>
        <stp/>
        <stp>BDP|6575487040730593347</stp>
        <tr r="S1571" s="2"/>
      </tp>
      <tp t="s">
        <v>#N/A Requesting Data...4054285111</v>
        <stp/>
        <stp>BDP|9784755797477121582</stp>
        <tr r="J1288" s="2"/>
      </tp>
      <tp t="s">
        <v>#N/A Requesting Data...3934168952</v>
        <stp/>
        <stp>BDP|9219951414637988367</stp>
        <tr r="O286" s="2"/>
      </tp>
      <tp t="s">
        <v>#N/A Requesting Data...4142886966</v>
        <stp/>
        <stp>BDP|1370934026249914639</stp>
        <tr r="D1985" s="2"/>
      </tp>
      <tp t="s">
        <v>#N/A Requesting Data...4178813909</v>
        <stp/>
        <stp>BDP|6115784084868147401</stp>
        <tr r="S166" s="2"/>
      </tp>
      <tp t="s">
        <v>#N/A Requesting Data...3867713018</v>
        <stp/>
        <stp>BDP|6374117791049909268</stp>
        <tr r="E716" s="2"/>
      </tp>
      <tp t="s">
        <v>#N/A Requesting Data...3881176707</v>
        <stp/>
        <stp>BDP|4812018947575273003</stp>
        <tr r="D1928" s="2"/>
      </tp>
      <tp t="s">
        <v>#N/A Requesting Data...3913204705</v>
        <stp/>
        <stp>BDP|8426493253815330911</stp>
        <tr r="N632" s="2"/>
      </tp>
      <tp t="s">
        <v>#N/A Requesting Data...3871702307</v>
        <stp/>
        <stp>BDP|3842450097909224244</stp>
        <tr r="H1922" s="2"/>
      </tp>
      <tp t="s">
        <v>#N/A Requesting Data...3836692568</v>
        <stp/>
        <stp>BDP|1150103770982578083</stp>
        <tr r="C1903" s="2"/>
      </tp>
      <tp t="s">
        <v>#N/A Requesting Data...3758029040</v>
        <stp/>
        <stp>BDP|6545701538313553448</stp>
        <tr r="A1997" s="2"/>
      </tp>
      <tp t="s">
        <v>#N/A Requesting Data...4077884142</v>
        <stp/>
        <stp>BDP|2246121005467023198</stp>
        <tr r="N351" s="2"/>
      </tp>
      <tp t="s">
        <v>#N/A Requesting Data...4049526968</v>
        <stp/>
        <stp>BDP|8850171936138169748</stp>
        <tr r="D367" s="2"/>
      </tp>
      <tp t="s">
        <v>#N/A Requesting Data...4191482587</v>
        <stp/>
        <stp>BDP|1773027028305583341</stp>
        <tr r="H353" s="2"/>
      </tp>
      <tp t="s">
        <v>#N/A Requesting Data...3942773189</v>
        <stp/>
        <stp>BDP|7434906615599989342</stp>
        <tr r="E179" s="2"/>
      </tp>
      <tp t="s">
        <v>#N/A Requesting Data...3970297562</v>
        <stp/>
        <stp>BDP|5409168209602147360</stp>
        <tr r="C2213" s="2"/>
      </tp>
      <tp t="s">
        <v>#N/A Requesting Data...3900229032</v>
        <stp/>
        <stp>BDP|7445097244994132243</stp>
        <tr r="E1465" s="2"/>
      </tp>
      <tp t="s">
        <v>#N/A Requesting Data...3965348940</v>
        <stp/>
        <stp>BDP|2785655240821968479</stp>
        <tr r="T2179" s="2"/>
      </tp>
      <tp t="s">
        <v>#N/A Requesting Data...3799310184</v>
        <stp/>
        <stp>BDP|2980700971227346074</stp>
        <tr r="N599" s="2"/>
      </tp>
      <tp t="s">
        <v>#N/A Requesting Data...4157909477</v>
        <stp/>
        <stp>BDP|4205225540291944659</stp>
        <tr r="O458" s="2"/>
      </tp>
      <tp t="s">
        <v>#N/A Requesting Data...4036312548</v>
        <stp/>
        <stp>BDP|3500340648619789824</stp>
        <tr r="J244" s="2"/>
      </tp>
      <tp t="s">
        <v>#N/A Requesting Data...4012529120</v>
        <stp/>
        <stp>BDP|1886317220096717324</stp>
        <tr r="J1115" s="2"/>
      </tp>
      <tp t="s">
        <v>#N/A Requesting Data...3806314817</v>
        <stp/>
        <stp>BDP|6273269399349620172</stp>
        <tr r="D2377" s="2"/>
      </tp>
      <tp t="s">
        <v>#N/A Requesting Data...4128560155</v>
        <stp/>
        <stp>BDP|7702302108104067538</stp>
        <tr r="E1380" s="2"/>
      </tp>
      <tp t="s">
        <v>#N/A Requesting Data...3853965723</v>
        <stp/>
        <stp>BDP|1926628251926480126</stp>
        <tr r="M19" s="2"/>
      </tp>
      <tp t="s">
        <v>#N/A Requesting Data...3794179469</v>
        <stp/>
        <stp>BDP|5653198126100118340</stp>
        <tr r="H387" s="2"/>
      </tp>
      <tp t="s">
        <v>#N/A Requesting Data...4141992100</v>
        <stp/>
        <stp>BDP|9557552709189533008</stp>
        <tr r="D363" s="2"/>
      </tp>
      <tp t="s">
        <v>#N/A Requesting Data...4105264434</v>
        <stp/>
        <stp>BDP|8004268191231834735</stp>
        <tr r="M1159" s="2"/>
      </tp>
      <tp t="s">
        <v>#N/A Requesting Data...4179828084</v>
        <stp/>
        <stp>BDP|1454459918192638332</stp>
        <tr r="G801" s="2"/>
      </tp>
      <tp t="s">
        <v>#N/A Requesting Data...4215905213</v>
        <stp/>
        <stp>BDP|6195023026499030891</stp>
        <tr r="N3" s="2"/>
      </tp>
      <tp t="s">
        <v>#N/A Requesting Data...4005148703</v>
        <stp/>
        <stp>BDP|3092325711881610599</stp>
        <tr r="A421" s="2"/>
      </tp>
      <tp t="s">
        <v>#N/A Requesting Data...4014412047</v>
        <stp/>
        <stp>BDP|3478382700011484441</stp>
        <tr r="S1958" s="2"/>
      </tp>
      <tp t="s">
        <v>#N/A Requesting Data...3927923589</v>
        <stp/>
        <stp>BDP|1940322163058395970</stp>
        <tr r="R631" s="2"/>
      </tp>
      <tp t="s">
        <v>#N/A Requesting Data...3969032895</v>
        <stp/>
        <stp>BDP|6693808401862373981</stp>
        <tr r="E2509" s="2"/>
      </tp>
      <tp t="s">
        <v>#N/A Requesting Data...3857682185</v>
        <stp/>
        <stp>BDP|2181418771401588583</stp>
        <tr r="M941" s="2"/>
      </tp>
      <tp t="s">
        <v>#N/A Requesting Data...3928787269</v>
        <stp/>
        <stp>BDP|4293285935701664152</stp>
        <tr r="C50" s="2"/>
      </tp>
      <tp t="s">
        <v>#N/A Requesting Data...3995931567</v>
        <stp/>
        <stp>BDP|2780122898099439656</stp>
        <tr r="K2146" s="2"/>
      </tp>
      <tp t="s">
        <v>#N/A Requesting Data...4082591058</v>
        <stp/>
        <stp>BDP|4930125473427054049</stp>
        <tr r="T2229" s="2"/>
      </tp>
      <tp t="s">
        <v>#N/A Requesting Data...4046726499</v>
        <stp/>
        <stp>BDP|5838725401396201154</stp>
        <tr r="F2456" s="2"/>
      </tp>
      <tp t="s">
        <v>#N/A Requesting Data...4078459558</v>
        <stp/>
        <stp>BDP|8604486282254274522</stp>
        <tr r="J519" s="2"/>
      </tp>
      <tp t="s">
        <v>#N/A Requesting Data...3985520986</v>
        <stp/>
        <stp>BDP|3804873704799333746</stp>
        <tr r="Q1777" s="2"/>
      </tp>
      <tp t="s">
        <v>#N/A Requesting Data...4006150385</v>
        <stp/>
        <stp>BDP|2113742787469856162</stp>
        <tr r="R1026" s="2"/>
      </tp>
      <tp t="s">
        <v>#N/A Requesting Data...4176562707</v>
        <stp/>
        <stp>BDP|8064387764408867083</stp>
        <tr r="O2394" s="2"/>
      </tp>
      <tp t="s">
        <v>#N/A Requesting Data...4006858157</v>
        <stp/>
        <stp>BDP|1026714752704936262</stp>
        <tr r="A561" s="2"/>
      </tp>
      <tp t="s">
        <v>#N/A Requesting Data...4254052543</v>
        <stp/>
        <stp>BDP|6309315364011943731</stp>
        <tr r="H211" s="2"/>
      </tp>
      <tp t="s">
        <v>#N/A Requesting Data...4075799940</v>
        <stp/>
        <stp>BDP|8920179575063199862</stp>
        <tr r="T1618" s="2"/>
      </tp>
      <tp t="s">
        <v>#N/A Requesting Data...4089615314</v>
        <stp/>
        <stp>BDP|2950628501162691306</stp>
        <tr r="N20" s="2"/>
      </tp>
      <tp t="s">
        <v>#N/A Requesting Data...4044866582</v>
        <stp/>
        <stp>BDP|4117295052244170272</stp>
        <tr r="Q1795" s="2"/>
      </tp>
      <tp t="s">
        <v>#N/A Requesting Data...4083894933</v>
        <stp/>
        <stp>BDP|9057086987640369400</stp>
        <tr r="S329" s="2"/>
      </tp>
      <tp t="s">
        <v>#N/A Requesting Data...4191001231</v>
        <stp/>
        <stp>BDP|4287217453945538396</stp>
        <tr r="Q1540" s="2"/>
      </tp>
      <tp t="s">
        <v>#N/A Requesting Data...4072078367</v>
        <stp/>
        <stp>BDP|3903048206427067178</stp>
        <tr r="S441" s="2"/>
      </tp>
      <tp t="s">
        <v>#N/A Requesting Data...3921805677</v>
        <stp/>
        <stp>BDP|4449598766132099071</stp>
        <tr r="P1935" s="2"/>
      </tp>
      <tp t="s">
        <v>#N/A Requesting Data...3892056099</v>
        <stp/>
        <stp>BDP|4742021730044164686</stp>
        <tr r="A908" s="2"/>
      </tp>
      <tp t="s">
        <v>#N/A Requesting Data...4150200660</v>
        <stp/>
        <stp>BDP|6805711424265536345</stp>
        <tr r="Q323" s="2"/>
      </tp>
      <tp t="s">
        <v>#N/A Requesting Data...4276181877</v>
        <stp/>
        <stp>BDP|1640388203255929289</stp>
        <tr r="P1294" s="2"/>
      </tp>
      <tp t="s">
        <v>#N/A Requesting Data...4023277450</v>
        <stp/>
        <stp>BDP|1968042656609370840</stp>
        <tr r="E162" s="2"/>
      </tp>
      <tp t="s">
        <v>#N/A Requesting Data...4233544554</v>
        <stp/>
        <stp>BDP|3163799116854038421</stp>
        <tr r="T1081" s="2"/>
      </tp>
      <tp t="s">
        <v>#N/A Requesting Data...3903563303</v>
        <stp/>
        <stp>BDP|7061491326344119020</stp>
        <tr r="S1110" s="2"/>
      </tp>
      <tp t="s">
        <v>#N/A Requesting Data...3873783203</v>
        <stp/>
        <stp>BDP|2678957299130271743</stp>
        <tr r="K458" s="2"/>
      </tp>
      <tp t="s">
        <v>#N/A Requesting Data...4029152169</v>
        <stp/>
        <stp>BDP|4916842942754403971</stp>
        <tr r="T716" s="2"/>
      </tp>
      <tp t="s">
        <v>#N/A Requesting Data...3913065613</v>
        <stp/>
        <stp>BDP|6946479106164208369</stp>
        <tr r="A898" s="2"/>
      </tp>
      <tp t="s">
        <v>#N/A Requesting Data...4085051956</v>
        <stp/>
        <stp>BDP|9677154234229822737</stp>
        <tr r="F52" s="2"/>
      </tp>
      <tp t="s">
        <v>#N/A Requesting Data...4159529719</v>
        <stp/>
        <stp>BDP|1260578580571994806</stp>
        <tr r="O1678" s="2"/>
      </tp>
      <tp t="s">
        <v>#N/A Requesting Data...4148539601</v>
        <stp/>
        <stp>BDP|2457708219503343228</stp>
        <tr r="S714" s="2"/>
      </tp>
      <tp t="s">
        <v>#N/A Requesting Data...4240560121</v>
        <stp/>
        <stp>BDP|8942917751468744927</stp>
        <tr r="P49" s="2"/>
      </tp>
      <tp t="s">
        <v>#N/A Requesting Data...4229377846</v>
        <stp/>
        <stp>BDP|9212110046591079897</stp>
        <tr r="P896" s="2"/>
      </tp>
      <tp t="s">
        <v>#N/A Requesting Data...4172209319</v>
        <stp/>
        <stp>BDP|9244990463056349574</stp>
        <tr r="H1833" s="2"/>
      </tp>
      <tp t="s">
        <v>#N/A Requesting Data...4279273674</v>
        <stp/>
        <stp>BDP|6093004168922379777</stp>
        <tr r="C1234" s="2"/>
      </tp>
      <tp t="s">
        <v>#N/A Requesting Data...4267921896</v>
        <stp/>
        <stp>BDP|8037291605239126615</stp>
        <tr r="E1505" s="2"/>
      </tp>
      <tp t="s">
        <v>#N/A Requesting Data...4008145781</v>
        <stp/>
        <stp>BDP|9077963143571165080</stp>
        <tr r="M420" s="2"/>
      </tp>
      <tp t="s">
        <v>#N/A Requesting Data...4042028084</v>
        <stp/>
        <stp>BDP|3755195989408370784</stp>
        <tr r="H904" s="2"/>
      </tp>
      <tp t="s">
        <v>#N/A Requesting Data...3974869742</v>
        <stp/>
        <stp>BDP|6278194391012417925</stp>
        <tr r="O336" s="2"/>
      </tp>
      <tp t="s">
        <v>#N/A Requesting Data...4074153667</v>
        <stp/>
        <stp>BDP|7807060466282571612</stp>
        <tr r="H2346" s="2"/>
      </tp>
      <tp t="s">
        <v>#N/A Requesting Data...3977449122</v>
        <stp/>
        <stp>BDP|8127403049018633524</stp>
        <tr r="T1128" s="2"/>
      </tp>
      <tp t="s">
        <v>#N/A Requesting Data...4046561135</v>
        <stp/>
        <stp>BDP|7715021698458627370</stp>
        <tr r="H493" s="2"/>
      </tp>
      <tp t="s">
        <v>#N/A Requesting Data...3960697893</v>
        <stp/>
        <stp>BDP|1449276708446384048</stp>
        <tr r="G1521" s="2"/>
      </tp>
      <tp t="s">
        <v>#N/A Requesting Data...4164572159</v>
        <stp/>
        <stp>BDP|2014375868144146627</stp>
        <tr r="E646" s="2"/>
      </tp>
      <tp t="s">
        <v>#N/A Requesting Data...4199400026</v>
        <stp/>
        <stp>BDP|8272602905723277893</stp>
        <tr r="A357" s="2"/>
      </tp>
      <tp t="s">
        <v>#N/A Requesting Data...4278070400</v>
        <stp/>
        <stp>BDP|2872374639782923530</stp>
        <tr r="D699" s="2"/>
      </tp>
      <tp t="s">
        <v>#N/A Requesting Data...3986339251</v>
        <stp/>
        <stp>BDP|4370879161837887807</stp>
        <tr r="D1279" s="2"/>
      </tp>
      <tp t="s">
        <v>#N/A Requesting Data...4236261281</v>
        <stp/>
        <stp>BDP|7776884534868202142</stp>
        <tr r="C168" s="2"/>
      </tp>
      <tp t="s">
        <v>#N/A Requesting Data...4131923127</v>
        <stp/>
        <stp>BDP|5633287036668488913</stp>
        <tr r="P2403" s="2"/>
      </tp>
      <tp t="s">
        <v>#N/A Requesting Data...4147551800</v>
        <stp/>
        <stp>BDP|3999400546527130136</stp>
        <tr r="R1212" s="2"/>
      </tp>
      <tp t="s">
        <v>#N/A Requesting Data...3981285617</v>
        <stp/>
        <stp>BDP|9505794208103899815</stp>
        <tr r="H32" s="2"/>
      </tp>
      <tp t="s">
        <v>#N/A Requesting Data...4228191770</v>
        <stp/>
        <stp>BDP|3747835438148288531</stp>
        <tr r="G2317" s="2"/>
      </tp>
      <tp t="s">
        <v>#N/A Requesting Data...4226552747</v>
        <stp/>
        <stp>BDP|5302799110393360545</stp>
        <tr r="P62" s="2"/>
      </tp>
      <tp t="s">
        <v>#N/A Requesting Data...4186115020</v>
        <stp/>
        <stp>BDP|6424936547466982840</stp>
        <tr r="M5" s="2"/>
      </tp>
      <tp t="s">
        <v>#N/A Requesting Data...4158990046</v>
        <stp/>
        <stp>BDP|6490678622701963658</stp>
        <tr r="H2248" s="2"/>
      </tp>
      <tp t="s">
        <v>#N/A Requesting Data...4255899079</v>
        <stp/>
        <stp>BDP|9327272697457641088</stp>
        <tr r="T2311" s="2"/>
      </tp>
      <tp t="s">
        <v>#N/A Requesting Data...4162833278</v>
        <stp/>
        <stp>BDP|4267532962283670189</stp>
        <tr r="S1005" s="2"/>
      </tp>
      <tp t="s">
        <v>#N/A Requesting Data...4018477472</v>
        <stp/>
        <stp>BDP|5788183935335041774</stp>
        <tr r="G1722" s="2"/>
      </tp>
      <tp t="s">
        <v>#N/A Requesting Data...4000975426</v>
        <stp/>
        <stp>BDP|5285249840263386583</stp>
        <tr r="G1144" s="2"/>
      </tp>
      <tp t="s">
        <v>#N/A Requesting Data...4123169634</v>
        <stp/>
        <stp>BDP|7316711067583993014</stp>
        <tr r="A124" s="2"/>
      </tp>
      <tp t="b">
        <v>0</v>
        <stp/>
        <stp>BDS|6308681957491085116</stp>
        <tr r="I1509" s="2"/>
      </tp>
      <tp t="s">
        <v>#N/A Requesting Data...4096701512</v>
        <stp/>
        <stp>BDP|1810041961550345239</stp>
        <tr r="C1112" s="2"/>
      </tp>
      <tp t="s">
        <v>#N/A Requesting Data...4269898949</v>
        <stp/>
        <stp>BDP|6920068203907784460</stp>
        <tr r="C902" s="2"/>
      </tp>
      <tp t="s">
        <v>#N/A Requesting Data...4151056112</v>
        <stp/>
        <stp>BDP|2920244927960248750</stp>
        <tr r="D795" s="2"/>
      </tp>
      <tp t="s">
        <v>#N/A Requesting Data...4139678264</v>
        <stp/>
        <stp>BDP|4223067458391689575</stp>
        <tr r="N136" s="2"/>
      </tp>
      <tp t="s">
        <v>#N/A Requesting Data...4120381415</v>
        <stp/>
        <stp>BDP|9623532560047830808</stp>
        <tr r="F2035" s="2"/>
      </tp>
      <tp t="s">
        <v>#N/A Requesting Data...4175297199</v>
        <stp/>
        <stp>BDP|8586234589283258400</stp>
        <tr r="E1700" s="2"/>
      </tp>
      <tp t="s">
        <v>#N/A Requesting Data...4208191019</v>
        <stp/>
        <stp>BDP|7123082846003695542</stp>
        <tr r="F2222" s="2"/>
      </tp>
      <tp t="s">
        <v>#N/A Requesting Data...4253938625</v>
        <stp/>
        <stp>BDP|7490982894413516105</stp>
        <tr r="Q4" s="2"/>
      </tp>
      <tp t="s">
        <v>#N/A Requesting Data...4200013660</v>
        <stp/>
        <stp>BDP|4171623206911109696</stp>
        <tr r="C1956" s="2"/>
      </tp>
      <tp t="s">
        <v>#N/A Requesting Data...4049326976</v>
        <stp/>
        <stp>BDP|4574009353522980629</stp>
        <tr r="R2165" s="2"/>
      </tp>
      <tp t="s">
        <v>#N/A Requesting Data...4136808609</v>
        <stp/>
        <stp>BDP|5231168628115760666</stp>
        <tr r="P573" s="2"/>
      </tp>
      <tp t="b">
        <v>0</v>
        <stp/>
        <stp>BDS|7835524783959650625</stp>
        <tr r="I1754" s="2"/>
      </tp>
      <tp t="s">
        <v>#N/A Requesting Data...4155010679</v>
        <stp/>
        <stp>BDP|6060286313618181873</stp>
        <tr r="G2008" s="2"/>
      </tp>
      <tp t="s">
        <v>#N/A Requesting Data...4127632454</v>
        <stp/>
        <stp>BDP|5870730769609883875</stp>
        <tr r="F1066" s="2"/>
      </tp>
      <tp t="s">
        <v>#N/A Requesting Data...4095287348</v>
        <stp/>
        <stp>BDP|8198030988700749506</stp>
        <tr r="K660" s="2"/>
      </tp>
      <tp t="s">
        <v>#N/A Requesting Data...4252713064</v>
        <stp/>
        <stp>BDP|4745869787832284392</stp>
        <tr r="J721" s="2"/>
      </tp>
      <tp t="s">
        <v>#N/A Requesting Data...4178925636</v>
        <stp/>
        <stp>BDP|6252712247230026098</stp>
        <tr r="D1170" s="2"/>
      </tp>
      <tp t="s">
        <v>#N/A Requesting Data...4194622882</v>
        <stp/>
        <stp>BDP|3555032818887452075</stp>
        <tr r="O172" s="2"/>
      </tp>
      <tp t="s">
        <v>#N/A Requesting Data...4242031191</v>
        <stp/>
        <stp>BDP|4410810178947574950</stp>
        <tr r="P191" s="2"/>
      </tp>
      <tp t="s">
        <v>#N/A Requesting Data...4173959446</v>
        <stp/>
        <stp>BDP|1725537659842865684</stp>
        <tr r="A1928" s="2"/>
      </tp>
      <tp t="s">
        <v>#N/A Requesting Data...4181140002</v>
        <stp/>
        <stp>BDP|3057969269231064827</stp>
        <tr r="C2148" s="2"/>
      </tp>
      <tp t="b">
        <v>0</v>
        <stp/>
        <stp>BDS|3206531843646898172</stp>
        <tr r="I1175" s="2"/>
      </tp>
      <tp t="s">
        <v>#N/A Requesting Data...4188157832</v>
        <stp/>
        <stp>BDP|5095044742883237799</stp>
        <tr r="D190" s="2"/>
      </tp>
      <tp t="s">
        <v>#N/A Requesting Data...4278035755</v>
        <stp/>
        <stp>BDP|8502605874834500892</stp>
        <tr r="A1857" s="2"/>
      </tp>
      <tp t="s">
        <v>#N/A Requesting Data...4139074202</v>
        <stp/>
        <stp>BDP|3684712730117948530</stp>
        <tr r="R1371" s="2"/>
      </tp>
      <tp t="s">
        <v>#N/A Requesting Data...4127000295</v>
        <stp/>
        <stp>BDP|6147472227871877447</stp>
        <tr r="D2214" s="2"/>
      </tp>
      <tp t="s">
        <v>#N/A Requesting Data...4175541639</v>
        <stp/>
        <stp>BDP|4793665528450475501</stp>
        <tr r="S1034" s="2"/>
      </tp>
      <tp t="s">
        <v>#N/A Requesting Data...4079897212</v>
        <stp/>
        <stp>BDP|4027698332213205746</stp>
        <tr r="J2369" s="2"/>
      </tp>
      <tp t="s">
        <v>#N/A Requesting Data...4166096906</v>
        <stp/>
        <stp>BDP|6196185770456364370</stp>
        <tr r="P1919" s="2"/>
      </tp>
      <tp t="s">
        <v>#N/A Requesting Data...4258089061</v>
        <stp/>
        <stp>BDP|1460662619815225640</stp>
        <tr r="Q2490" s="2"/>
      </tp>
      <tp t="s">
        <v>#N/A Requesting Data...4269562167</v>
        <stp/>
        <stp>BDP|3885363216962224671</stp>
        <tr r="T2119" s="2"/>
      </tp>
      <tp t="s">
        <v>#N/A Requesting Data...4272294401</v>
        <stp/>
        <stp>BDP|7737689093274797960</stp>
        <tr r="R1224" s="2"/>
      </tp>
      <tp t="b">
        <v>0</v>
        <stp/>
        <stp>BDS|6821160774006661316</stp>
        <tr r="I545" s="2"/>
      </tp>
      <tp t="s">
        <v>#N/A Requesting Data...4071832708</v>
        <stp/>
        <stp>BDP|4660006805592769392</stp>
        <tr r="F1034" s="2"/>
      </tp>
      <tp t="s">
        <v>#N/A Requesting Data...4129453059</v>
        <stp/>
        <stp>BDP|5833140021534060700</stp>
        <tr r="F1018" s="2"/>
      </tp>
      <tp t="s">
        <v>#N/A Requesting Data...4127571374</v>
        <stp/>
        <stp>BDP|1135684637376367702</stp>
        <tr r="F2427" s="2"/>
      </tp>
      <tp t="s">
        <v>#N/A Requesting Data...4122292761</v>
        <stp/>
        <stp>BDP|1640931253451934922</stp>
        <tr r="J305" s="2"/>
      </tp>
      <tp t="s">
        <v>#N/A Requesting Data...4213902881</v>
        <stp/>
        <stp>BDP|7625897220051321917</stp>
        <tr r="D513" s="2"/>
      </tp>
      <tp t="s">
        <v>#N/A Requesting Data...4285223993</v>
        <stp/>
        <stp>BDP|7449709124712925548</stp>
        <tr r="G715" s="2"/>
      </tp>
      <tp t="s">
        <v>#N/A Requesting Data...4283696148</v>
        <stp/>
        <stp>BDP|6914390721057979556</stp>
        <tr r="R337" s="2"/>
      </tp>
      <tp t="s">
        <v>#N/A Requesting Data...4194749096</v>
        <stp/>
        <stp>BDP|1565152502681970465</stp>
        <tr r="O1920" s="2"/>
      </tp>
      <tp t="s">
        <v>#N/A Requesting Data...4251286058</v>
        <stp/>
        <stp>BDP|5607484473021039207</stp>
        <tr r="K123" s="2"/>
      </tp>
      <tp t="s">
        <v>#N/A Requesting Data...4195241920</v>
        <stp/>
        <stp>BDP|4376042304358676982</stp>
        <tr r="J2112" s="2"/>
      </tp>
      <tp t="b">
        <v>0</v>
        <stp/>
        <stp>BDS|3646407741204990238</stp>
        <tr r="I179" s="2"/>
      </tp>
      <tp t="s">
        <v>#N/A Requesting Data...4105845303</v>
        <stp/>
        <stp>BDP|2141394594119306422</stp>
        <tr r="R1789" s="2"/>
      </tp>
      <tp t="s">
        <v>#N/A Requesting Data...4197523658</v>
        <stp/>
        <stp>BDP|9177410828842180844</stp>
        <tr r="Q1721" s="2"/>
      </tp>
      <tp t="s">
        <v>#N/A Requesting Data...4221467499</v>
        <stp/>
        <stp>BDP|4044155957286723383</stp>
        <tr r="D2514" s="2"/>
      </tp>
      <tp t="s">
        <v>#N/A Requesting Data...4124915998</v>
        <stp/>
        <stp>BDP|6749876488476467512</stp>
        <tr r="O1268" s="2"/>
      </tp>
      <tp t="s">
        <v>#N/A Requesting Data...4177456528</v>
        <stp/>
        <stp>BDP|3313051171856345799</stp>
        <tr r="Q1608" s="2"/>
      </tp>
      <tp t="s">
        <v>#N/A Requesting Data...4154347880</v>
        <stp/>
        <stp>BDP|5181679462564801411</stp>
        <tr r="D1440" s="2"/>
      </tp>
      <tp t="s">
        <v>#N/A Requesting Data...4211875792</v>
        <stp/>
        <stp>BDP|7851558173776685657</stp>
        <tr r="S1822" s="2"/>
      </tp>
      <tp t="b">
        <v>0</v>
        <stp/>
        <stp>BDS|7222327217440857022</stp>
        <tr r="I1669" s="2"/>
      </tp>
      <tp t="s">
        <v>#N/A Requesting Data...4121987355</v>
        <stp/>
        <stp>BDP|7699493925472439638</stp>
        <tr r="T1300" s="2"/>
      </tp>
      <tp t="s">
        <v>#N/A Requesting Data...4197575073</v>
        <stp/>
        <stp>BDP|8914834610082262656</stp>
        <tr r="T741" s="2"/>
      </tp>
      <tp t="s">
        <v>#N/A Requesting Data...4233981348</v>
        <stp/>
        <stp>BDP|5609696921091060535</stp>
        <tr r="Q1399" s="2"/>
      </tp>
      <tp t="s">
        <v>#N/A Requesting Data...4232049940</v>
        <stp/>
        <stp>BDP|6779914156779934642</stp>
        <tr r="O1471" s="2"/>
      </tp>
      <tp t="s">
        <v>#N/A Requesting Data...4253599809</v>
        <stp/>
        <stp>BDP|4685950642008957459</stp>
        <tr r="S75" s="2"/>
      </tp>
      <tp t="s">
        <v>#N/A Requesting Data...4202957706</v>
        <stp/>
        <stp>BDP|2675103320721812536</stp>
        <tr r="A2478" s="2"/>
      </tp>
      <tp t="s">
        <v>#N/A Requesting Data...4233318426</v>
        <stp/>
        <stp>BDP|4432587464243055157</stp>
        <tr r="R247" s="2"/>
      </tp>
      <tp t="s">
        <v>#N/A Requesting Data...4211233786</v>
        <stp/>
        <stp>BDP|6533271868897593027</stp>
        <tr r="S2425" s="2"/>
      </tp>
      <tp t="s">
        <v>#N/A Requesting Data...4288493896</v>
        <stp/>
        <stp>BDP|6060681405972390733</stp>
        <tr r="D774" s="2"/>
      </tp>
      <tp t="s">
        <v>#N/A Requesting Data...4213236738</v>
        <stp/>
        <stp>BDP|8375900410527750293</stp>
        <tr r="H153" s="2"/>
      </tp>
      <tp t="s">
        <v>#N/A Requesting Data...4204747704</v>
        <stp/>
        <stp>BDP|2116351108037078313</stp>
        <tr r="N68" s="2"/>
      </tp>
      <tp t="s">
        <v>#N/A Requesting Data...4214896661</v>
        <stp/>
        <stp>BDP|1911766800636474562</stp>
        <tr r="K722" s="2"/>
      </tp>
      <tp t="s">
        <v>#N/A Requesting Data...4176101778</v>
        <stp/>
        <stp>BDP|9440740320531928847</stp>
        <tr r="K859" s="2"/>
      </tp>
      <tp t="s">
        <v>#N/A Requesting Data...4147367898</v>
        <stp/>
        <stp>BDP|6905875664619157461</stp>
        <tr r="E227" s="2"/>
      </tp>
      <tp t="s">
        <v>#N/A Requesting Data...4196256088</v>
        <stp/>
        <stp>BDP|4644014635753640194</stp>
        <tr r="E244" s="2"/>
      </tp>
      <tp t="s">
        <v>#N/A Requesting Data...4274297928</v>
        <stp/>
        <stp>BDP|4191510145985909517</stp>
        <tr r="K866" s="2"/>
      </tp>
      <tp t="s">
        <v>#N/A Requesting Data...4254570094</v>
        <stp/>
        <stp>BDP|8624662388051123245</stp>
        <tr r="H876" s="2"/>
      </tp>
      <tp t="s">
        <v>#N/A Requesting Data...4168493370</v>
        <stp/>
        <stp>BDP|4065556013683900621</stp>
        <tr r="S1060" s="2"/>
      </tp>
      <tp t="s">
        <v>#N/A Requesting Data...4191957855</v>
        <stp/>
        <stp>BDP|7159997064349650473</stp>
        <tr r="F817" s="2"/>
      </tp>
      <tp t="s">
        <v>#N/A Requesting Data...4167354050</v>
        <stp/>
        <stp>BDP|9240056102495197998</stp>
        <tr r="O1231" s="2"/>
      </tp>
      <tp t="s">
        <v>#N/A Requesting Data...4260959270</v>
        <stp/>
        <stp>BDP|8598834707150989552</stp>
        <tr r="H751" s="2"/>
      </tp>
      <tp t="s">
        <v>#N/A Requesting Data...4203791285</v>
        <stp/>
        <stp>BDP|9907054511159154416</stp>
        <tr r="G2026" s="2"/>
      </tp>
      <tp t="s">
        <v>#N/A Requesting Data...4194332409</v>
        <stp/>
        <stp>BDP|8552424977737425992</stp>
        <tr r="A870" s="2"/>
      </tp>
      <tp t="s">
        <v>#N/A Requesting Data...4289870817</v>
        <stp/>
        <stp>BDP|2159499996882156827</stp>
        <tr r="T2254" s="2"/>
      </tp>
      <tp t="s">
        <v>#N/A Requesting Data...4188516071</v>
        <stp/>
        <stp>BDP|6741966696307828425</stp>
        <tr r="O75" s="2"/>
      </tp>
      <tp t="s">
        <v>#N/A Requesting Data...4231311451</v>
        <stp/>
        <stp>BDP|2511224436326292016</stp>
        <tr r="C342" s="2"/>
      </tp>
      <tp t="s">
        <v>#N/A Requesting Data...4222889663</v>
        <stp/>
        <stp>BDP|9263117022488189724</stp>
        <tr r="F791" s="2"/>
      </tp>
      <tp t="s">
        <v>#N/A Requesting Data...4216893621</v>
        <stp/>
        <stp>BDP|8734067833157585954</stp>
        <tr r="H1807" s="2"/>
      </tp>
      <tp t="s">
        <v>#N/A Requesting Data...4283100926</v>
        <stp/>
        <stp>BDP|2943121367434786491</stp>
        <tr r="T444" s="2"/>
      </tp>
      <tp t="s">
        <v>#N/A Requesting Data...4278638003</v>
        <stp/>
        <stp>BDP|2588961147218356256</stp>
        <tr r="D2489" s="2"/>
      </tp>
      <tp t="s">
        <v>#N/A Requesting Data...4215397470</v>
        <stp/>
        <stp>BDP|7569298023992979048</stp>
        <tr r="C1617" s="2"/>
      </tp>
      <tp t="s">
        <v>#N/A Requesting Data...4256274742</v>
        <stp/>
        <stp>BDP|2526560654821356664</stp>
        <tr r="D2211" s="2"/>
      </tp>
      <tp t="s">
        <v>#N/A Requesting Data...4212982127</v>
        <stp/>
        <stp>BDP|3394292451718054992</stp>
        <tr r="O1996" s="2"/>
      </tp>
      <tp t="s">
        <v>#N/A Requesting Data...4233010140</v>
        <stp/>
        <stp>BDP|1201833366329020359</stp>
        <tr r="T1827" s="2"/>
      </tp>
      <tp t="s">
        <v>#N/A Requesting Data...4206322225</v>
        <stp/>
        <stp>BDP|6837122472121831428</stp>
        <tr r="C346" s="2"/>
      </tp>
      <tp t="s">
        <v>#N/A Requesting Data...4243813738</v>
        <stp/>
        <stp>BDP|6453229103398769902</stp>
        <tr r="T709" s="2"/>
      </tp>
      <tp t="s">
        <v>#N/A Requesting Data...4287543541</v>
        <stp/>
        <stp>BDP|3604232236854980389</stp>
        <tr r="J384" s="2"/>
      </tp>
      <tp t="s">
        <v>#N/A Requesting Data...4222658616</v>
        <stp/>
        <stp>BDP|8387789854959819652</stp>
        <tr r="P50" s="2"/>
      </tp>
      <tp t="s">
        <v>#N/A Requesting Data...4268863337</v>
        <stp/>
        <stp>BDP|9162698006923459989</stp>
        <tr r="K1090" s="2"/>
      </tp>
      <tp t="s">
        <v>#N/A Requesting Data...4250465931</v>
        <stp/>
        <stp>BDP|8945103769298271209</stp>
        <tr r="K1247" s="2"/>
      </tp>
      <tp t="s">
        <v>#N/A Requesting Data...4222150059</v>
        <stp/>
        <stp>BDP|1548701193862374871</stp>
        <tr r="Q1430" s="2"/>
      </tp>
      <tp t="s">
        <v>#N/A Requesting Data...4233666774</v>
        <stp/>
        <stp>BDP|5603009233027147467</stp>
        <tr r="F2314" s="2"/>
      </tp>
      <tp t="s">
        <v>#N/A Requesting Data...4220821064</v>
        <stp/>
        <stp>BDP|8785625280055027675</stp>
        <tr r="F2201" s="2"/>
      </tp>
      <tp t="s">
        <v>#N/A Requesting Data...4268916865</v>
        <stp/>
        <stp>BDP|3705345600587839299</stp>
        <tr r="G2167" s="2"/>
      </tp>
      <tp t="b">
        <v>0</v>
        <stp/>
        <stp>BDS|3026206358213367299</stp>
        <tr r="I598" s="2"/>
      </tp>
      <tp t="s">
        <v>#N/A Requesting Data...4291810454</v>
        <stp/>
        <stp>BDP|3086606920103673142</stp>
        <tr r="O763" s="2"/>
      </tp>
      <tp t="s">
        <v>#N/A Requesting Data...4246776675</v>
        <stp/>
        <stp>BDP|5479283738763004269</stp>
        <tr r="Q1578" s="2"/>
      </tp>
      <tp t="s">
        <v>#N/A Requesting Data...4279035579</v>
        <stp/>
        <stp>BDP|4646272416855009754</stp>
        <tr r="J1974" s="2"/>
      </tp>
      <tp t="s">
        <v>#N/A Requesting Data...4270565095</v>
        <stp/>
        <stp>BDP|1480323565305772462</stp>
        <tr r="O1454" s="2"/>
      </tp>
      <tp t="s">
        <v>#N/A Requesting Data...4278649971</v>
        <stp/>
        <stp>BDP|9727058190295578052</stp>
        <tr r="T42" s="2"/>
      </tp>
      <tp t="s">
        <v>#N/A Requesting Data...4257363323</v>
        <stp/>
        <stp>BDP|6445293779235281340</stp>
        <tr r="F156" s="2"/>
      </tp>
      <tp t="s">
        <v>#N/A Requesting Data...4262412279</v>
        <stp/>
        <stp>BDP|2120744295691153838</stp>
        <tr r="N1432" s="2"/>
      </tp>
      <tp t="s">
        <v>#N/A Requesting Data...4263564682</v>
        <stp/>
        <stp>BDP|3218892388753816598</stp>
        <tr r="Q359" s="2"/>
      </tp>
      <tp t="s">
        <v>#N/A Requesting Data...4249088335</v>
        <stp/>
        <stp>BDP|8736792258048759739</stp>
        <tr r="O1098" s="2"/>
      </tp>
      <tp t="s">
        <v>#N/A Requesting Data...4255035553</v>
        <stp/>
        <stp>BDP|5265889789048600873</stp>
        <tr r="O823" s="2"/>
      </tp>
      <tp t="s">
        <v>#N/A Requesting Data...4281352000</v>
        <stp/>
        <stp>BDP|3604469065607743307</stp>
        <tr r="M572" s="2"/>
      </tp>
      <tp t="s">
        <v>#N/A Requesting Data...4256119710</v>
        <stp/>
        <stp>BDP|7697260336864755738</stp>
        <tr r="A1679" s="2"/>
      </tp>
      <tp t="s">
        <v>#N/A Requesting Data...4262264629</v>
        <stp/>
        <stp>BDP|7996976816048878224</stp>
        <tr r="P1414" s="2"/>
      </tp>
      <tp t="s">
        <v>#N/A Requesting Data...4292005868</v>
        <stp/>
        <stp>BDP|2576532957697669059</stp>
        <tr r="F419" s="2"/>
      </tp>
      <tp t="s">
        <v>#N/A Requesting Data...4285344862</v>
        <stp/>
        <stp>BDP|8096513228099312387</stp>
        <tr r="O182" s="2"/>
      </tp>
      <tp t="s">
        <v>#N/A Requesting Data...4288811041</v>
        <stp/>
        <stp>BDP|3222778377613628562</stp>
        <tr r="N229" s="2"/>
      </tp>
      <tp t="s">
        <v>#N/A Requesting Data...4289063227</v>
        <stp/>
        <stp>BDP|7376456014432382532</stp>
        <tr r="E936" s="2"/>
      </tp>
      <tp t="s">
        <v>#N/A Requesting Data...4279385204</v>
        <stp/>
        <stp>BDP|4021063320754097740</stp>
        <tr r="E794" s="2"/>
      </tp>
      <tp t="s">
        <v>#N/A Requesting Data...4276106510</v>
        <stp/>
        <stp>BDP|2582972415456031952</stp>
        <tr r="T2162" s="2"/>
      </tp>
      <tp t="s">
        <v>#N/A Requesting Data...4285187843</v>
        <stp/>
        <stp>BDP|7018368456794296008</stp>
        <tr r="K886" s="2"/>
      </tp>
      <tp t="s">
        <v>#N/A Requesting Data...4293770204</v>
        <stp/>
        <stp>BDP|1883499457513723638</stp>
        <tr r="J334" s="2"/>
      </tp>
      <tp t="s">
        <v>#N/A Requesting Data...4280492592</v>
        <stp/>
        <stp>BDP|3393273275645230611</stp>
        <tr r="F1390" s="2"/>
      </tp>
      <tp t="s">
        <v>#N/A Requesting Data...4284007861</v>
        <stp/>
        <stp>BDP|5109058705226009634</stp>
        <tr r="H1017" s="2"/>
      </tp>
      <tp t="s">
        <v>#N/A Requesting Data...4285899721</v>
        <stp/>
        <stp>BDP|6720006226112386303</stp>
        <tr r="A491" s="2"/>
      </tp>
      <tp t="s">
        <v>#N/A Requesting Data...4288903212</v>
        <stp/>
        <stp>BDP|9947083423856771876</stp>
        <tr r="A1909" s="2"/>
      </tp>
      <tp t="s">
        <v>#N/A Requesting Data...4289554024</v>
        <stp/>
        <stp>BDP|1014066942498545839</stp>
        <tr r="A182" s="2"/>
      </tp>
      <tp t="s">
        <v>#N/A Requesting Data...4293364064</v>
        <stp/>
        <stp>BDP|9216879740874564428</stp>
        <tr r="H1710" s="2"/>
      </tp>
      <tp t="s">
        <v>#N/A Requesting Data...2969567760</v>
        <stp/>
        <stp>BDP|7722204383961619900</stp>
        <tr r="M790" s="2"/>
      </tp>
      <tp t="s">
        <v>#N/A Requesting Data...2755961082</v>
        <stp/>
        <stp>BDP|6247360756174614165</stp>
        <tr r="F1578" s="2"/>
      </tp>
      <tp t="s">
        <v>#N/A Requesting Data...1968797427</v>
        <stp/>
        <stp>BDP|1948982792174627074</stp>
        <tr r="H793" s="2"/>
      </tp>
      <tp t="s">
        <v>#N/A Requesting Data...512279730</v>
        <stp/>
        <stp>BDP|1746456596639448021</stp>
        <tr r="R2015" s="2"/>
      </tp>
      <tp t="s">
        <v>#N/A Requesting Data...1694080646</v>
        <stp/>
        <stp>BDP|2293870787896714171</stp>
        <tr r="N1877" s="2"/>
      </tp>
      <tp t="s">
        <v>#N/A Requesting Data...2061019103</v>
        <stp/>
        <stp>BDP|1365673555647751046</stp>
        <tr r="G1640" s="2"/>
      </tp>
      <tp t="s">
        <v>#N/A Requesting Data...2201527296</v>
        <stp/>
        <stp>BDP|1641863880853679748</stp>
        <tr r="T1165" s="2"/>
      </tp>
      <tp t="s">
        <v>#N/A Requesting Data...4161714889</v>
        <stp/>
        <stp>BDP|3060370811694397079</stp>
        <tr r="Q358" s="2"/>
      </tp>
      <tp t="s">
        <v>#N/A Requesting Data...2402912138</v>
        <stp/>
        <stp>BDP|1414841632866803988</stp>
        <tr r="O1938" s="2"/>
      </tp>
      <tp t="s">
        <v>#N/A Requesting Data...527276403</v>
        <stp/>
        <stp>BDP|4361847057455713954</stp>
        <tr r="R2000" s="2"/>
      </tp>
      <tp t="s">
        <v>#N/A Requesting Data...3778368073</v>
        <stp/>
        <stp>BDP|5283560510286489222</stp>
        <tr r="N756" s="2"/>
      </tp>
      <tp t="s">
        <v>#N/A Requesting Data...923321598</v>
        <stp/>
        <stp>BDP|1474873784950056458</stp>
        <tr r="P741" s="2"/>
      </tp>
      <tp t="s">
        <v>#N/A Requesting Data...3238453088</v>
        <stp/>
        <stp>BDP|3301414368554005081</stp>
        <tr r="K650" s="2"/>
      </tp>
      <tp t="s">
        <v>#N/A Requesting Data...4126376503</v>
        <stp/>
        <stp>BDP|4382551343156116669</stp>
        <tr r="C2340" s="2"/>
      </tp>
      <tp t="s">
        <v>#N/A Requesting Data...4090207946</v>
        <stp/>
        <stp>BDP|4751570492269111416</stp>
        <tr r="D2055" s="2"/>
      </tp>
      <tp t="s">
        <v>#N/A Requesting Data...2512824791</v>
        <stp/>
        <stp>BDP|6769439916836550052</stp>
        <tr r="R1394" s="2"/>
      </tp>
      <tp t="s">
        <v>#N/A Requesting Data...878007953</v>
        <stp/>
        <stp>BDP|3067942790047018165</stp>
        <tr r="R253" s="2"/>
      </tp>
      <tp t="s">
        <v>#N/A Requesting Data...3201939491</v>
        <stp/>
        <stp>BDP|4581010117144699470</stp>
        <tr r="S1935" s="2"/>
      </tp>
      <tp t="s">
        <v>#N/A Requesting Data...2827534680</v>
        <stp/>
        <stp>BDP|2877138048086060419</stp>
        <tr r="G93" s="2"/>
      </tp>
      <tp t="s">
        <v>#N/A Requesting Data...1494718628</v>
        <stp/>
        <stp>BDP|9073103182591933492</stp>
        <tr r="E1877" s="2"/>
      </tp>
      <tp t="s">
        <v>#N/A Requesting Data...2816455084</v>
        <stp/>
        <stp>BDP|6792464897008293664</stp>
        <tr r="A1965" s="2"/>
      </tp>
      <tp t="s">
        <v>#N/A Requesting Data...1316966062</v>
        <stp/>
        <stp>BDP|1116527357391669500</stp>
        <tr r="S669" s="2"/>
      </tp>
      <tp t="s">
        <v>#N/A Requesting Data...3311218246</v>
        <stp/>
        <stp>BDP|2554571479162163780</stp>
        <tr r="S2461" s="2"/>
      </tp>
      <tp t="s">
        <v>#N/A Requesting Data...3046783961</v>
        <stp/>
        <stp>BDP|2700459053977460175</stp>
        <tr r="O203" s="2"/>
      </tp>
      <tp t="s">
        <v>#N/A Requesting Data...610693097</v>
        <stp/>
        <stp>BDP|2763629876452909488</stp>
        <tr r="E1500" s="2"/>
      </tp>
      <tp t="s">
        <v>#N/A Requesting Data...3363482768</v>
        <stp/>
        <stp>BDP|1301216610067631066</stp>
        <tr r="F377" s="2"/>
      </tp>
      <tp t="s">
        <v>#N/A Requesting Data...2428054059</v>
        <stp/>
        <stp>BDP|3134525466444794108</stp>
        <tr r="S787" s="2"/>
      </tp>
      <tp t="s">
        <v>#N/A Requesting Data...2214536787</v>
        <stp/>
        <stp>BDP|5704624562340404014</stp>
        <tr r="N920" s="2"/>
      </tp>
      <tp t="s">
        <v>#N/A Requesting Data...1419426140</v>
        <stp/>
        <stp>BDP|4444247959833202598</stp>
        <tr r="C1367" s="2"/>
      </tp>
      <tp t="s">
        <v>#N/A Requesting Data...2585015040</v>
        <stp/>
        <stp>BDP|8274029629569308688</stp>
        <tr r="T1501" s="2"/>
      </tp>
      <tp t="s">
        <v>#N/A Requesting Data...2388986306</v>
        <stp/>
        <stp>BDP|5288558276474407677</stp>
        <tr r="G1433" s="2"/>
      </tp>
      <tp t="s">
        <v>#N/A Requesting Data...2560573677</v>
        <stp/>
        <stp>BDP|4332720844630072271</stp>
        <tr r="M2035" s="2"/>
      </tp>
      <tp t="s">
        <v>#N/A Requesting Data...1260247461</v>
        <stp/>
        <stp>BDP|1145961297805183137</stp>
        <tr r="S1388" s="2"/>
      </tp>
      <tp t="s">
        <v>#N/A Requesting Data...3053941539</v>
        <stp/>
        <stp>BDP|2681534059205793295</stp>
        <tr r="R824" s="2"/>
      </tp>
      <tp t="s">
        <v>#N/A Requesting Data...2644431073</v>
        <stp/>
        <stp>BDP|4141252802562047145</stp>
        <tr r="P2248" s="2"/>
      </tp>
      <tp t="s">
        <v>#N/A Requesting Data...139381088</v>
        <stp/>
        <stp>BDP|7768122466850681576</stp>
        <tr r="P1718" s="2"/>
      </tp>
      <tp t="s">
        <v>#N/A Requesting Data...2257554981</v>
        <stp/>
        <stp>BDP|6361556964978495842</stp>
        <tr r="K1016" s="2"/>
      </tp>
      <tp t="b">
        <v>0</v>
        <stp/>
        <stp>BDS|3488119012672204476</stp>
        <tr r="I378" s="2"/>
      </tp>
      <tp t="s">
        <v>#N/A Requesting Data...3268309936</v>
        <stp/>
        <stp>BDP|4784715546934674646</stp>
        <tr r="C1082" s="2"/>
      </tp>
      <tp t="s">
        <v>#N/A Requesting Data...1437837505</v>
        <stp/>
        <stp>BDP|8214561603319415117</stp>
        <tr r="A1995" s="2"/>
      </tp>
      <tp t="s">
        <v>#N/A Requesting Data...960924159</v>
        <stp/>
        <stp>BDP|3006259052957454610</stp>
        <tr r="M194" s="2"/>
      </tp>
      <tp t="s">
        <v>#N/A Requesting Data...1243063848</v>
        <stp/>
        <stp>BDP|6001085829482040330</stp>
        <tr r="T808" s="2"/>
      </tp>
      <tp t="s">
        <v>#N/A Requesting Data...2994426286</v>
        <stp/>
        <stp>BDP|2329083258013736167</stp>
        <tr r="M203" s="2"/>
      </tp>
      <tp t="s">
        <v>#N/A Requesting Data...2216484997</v>
        <stp/>
        <stp>BDP|9067914218702998629</stp>
        <tr r="J1501" s="2"/>
      </tp>
      <tp t="b">
        <v>0</v>
        <stp/>
        <stp>BDS|5705673033344255132</stp>
        <tr r="I1187" s="2"/>
      </tp>
      <tp t="b">
        <v>0</v>
        <stp/>
        <stp>BDS|6588337852942400721</stp>
        <tr r="I1484" s="2"/>
      </tp>
      <tp t="s">
        <v>#N/A Requesting Data...1919664903</v>
        <stp/>
        <stp>BDP|5921461069107216567</stp>
        <tr r="K1826" s="2"/>
      </tp>
      <tp t="s">
        <v>#N/A Requesting Data...3467729739</v>
        <stp/>
        <stp>BDP|5499131489680536999</stp>
        <tr r="P2458" s="2"/>
      </tp>
      <tp t="s">
        <v>#N/A Requesting Data...2867789329</v>
        <stp/>
        <stp>BDP|3719097809545018356</stp>
        <tr r="M1911" s="2"/>
      </tp>
      <tp t="s">
        <v>#N/A Requesting Data...1796850691</v>
        <stp/>
        <stp>BDP|6629146207146315440</stp>
        <tr r="A2024" s="2"/>
      </tp>
      <tp t="s">
        <v>#N/A Requesting Data...4145809168</v>
        <stp/>
        <stp>BDP|5611277261375710153</stp>
        <tr r="S2385" s="2"/>
      </tp>
      <tp t="s">
        <v>#N/A Requesting Data...3129250338</v>
        <stp/>
        <stp>BDP|7989093662291863588</stp>
        <tr r="Q418" s="2"/>
      </tp>
      <tp t="s">
        <v>#N/A Requesting Data...2982608120</v>
        <stp/>
        <stp>BDP|5635270038709833830</stp>
        <tr r="R1279" s="2"/>
      </tp>
      <tp t="s">
        <v>#N/A Requesting Data...1015837876</v>
        <stp/>
        <stp>BDP|7031916275379144575</stp>
        <tr r="O1573" s="2"/>
      </tp>
      <tp t="s">
        <v>#N/A Requesting Data...4006272751</v>
        <stp/>
        <stp>BDP|6383458247272247111</stp>
        <tr r="P990" s="2"/>
      </tp>
      <tp t="s">
        <v>#N/A Requesting Data...3661814743</v>
        <stp/>
        <stp>BDP|2745914357522347906</stp>
        <tr r="M724" s="2"/>
      </tp>
      <tp t="s">
        <v>#N/A Requesting Data...4065940109</v>
        <stp/>
        <stp>BDP|6860085404165311654</stp>
        <tr r="F1280" s="2"/>
      </tp>
      <tp t="s">
        <v>#N/A Requesting Data...497412918</v>
        <stp/>
        <stp>BDP|6913292305661335041</stp>
        <tr r="M2148" s="2"/>
      </tp>
      <tp t="s">
        <v>#N/A Requesting Data...1010505378</v>
        <stp/>
        <stp>BDP|3082844794955170234</stp>
        <tr r="O413" s="2"/>
      </tp>
      <tp t="s">
        <v>#N/A Requesting Data...2281246544</v>
        <stp/>
        <stp>BDP|7840265623042841073</stp>
        <tr r="F1989" s="2"/>
      </tp>
      <tp t="s">
        <v>#N/A Requesting Data...3515094296</v>
        <stp/>
        <stp>BDP|1006593408282464371</stp>
        <tr r="A1200" s="2"/>
      </tp>
      <tp t="s">
        <v>#N/A Requesting Data...4083790789</v>
        <stp/>
        <stp>BDP|3368687379440554756</stp>
        <tr r="C392" s="2"/>
      </tp>
      <tp t="s">
        <v>#N/A Requesting Data...2949220253</v>
        <stp/>
        <stp>BDP|8348368936768913593</stp>
        <tr r="C405" s="2"/>
      </tp>
      <tp t="s">
        <v>#N/A Requesting Data...3850967006</v>
        <stp/>
        <stp>BDP|4394050447185049025</stp>
        <tr r="Q1228" s="2"/>
      </tp>
      <tp t="s">
        <v>#N/A Requesting Data...1679190316</v>
        <stp/>
        <stp>BDP|5633813085741396127</stp>
        <tr r="A701" s="2"/>
      </tp>
      <tp t="s">
        <v>#N/A Requesting Data...2321201591</v>
        <stp/>
        <stp>BDP|6152155725069792950</stp>
        <tr r="M1266" s="2"/>
      </tp>
      <tp t="s">
        <v>#N/A Requesting Data...1874892597</v>
        <stp/>
        <stp>BDP|2603262253532371239</stp>
        <tr r="K822" s="2"/>
      </tp>
      <tp t="s">
        <v>#N/A Requesting Data...4176648557</v>
        <stp/>
        <stp>BDP|3593132472436769600</stp>
        <tr r="O392" s="2"/>
      </tp>
      <tp t="s">
        <v>#N/A Requesting Data...1681149394</v>
        <stp/>
        <stp>BDP|7740499722337769381</stp>
        <tr r="Q2094" s="2"/>
      </tp>
      <tp t="s">
        <v>#N/A Requesting Data...1401972262</v>
        <stp/>
        <stp>BDP|1026796998303273908</stp>
        <tr r="F1904" s="2"/>
      </tp>
      <tp t="s">
        <v>#N/A Requesting Data...2990735246</v>
        <stp/>
        <stp>BDP|5438234121973646332</stp>
        <tr r="F1927" s="2"/>
      </tp>
      <tp t="b">
        <v>0</v>
        <stp/>
        <stp>BDS|8449465571736555858</stp>
        <tr r="I2498" s="2"/>
      </tp>
      <tp t="s">
        <v>#N/A Requesting Data...3530499496</v>
        <stp/>
        <stp>BDP|4307544506924215007</stp>
        <tr r="N891" s="2"/>
      </tp>
      <tp t="s">
        <v>#N/A Requesting Data...2833327690</v>
        <stp/>
        <stp>BDP|2342972523959564512</stp>
        <tr r="Q30" s="2"/>
      </tp>
      <tp t="s">
        <v>#N/A Requesting Data...382150288</v>
        <stp/>
        <stp>BDP|2651205531716444008</stp>
        <tr r="O42" s="2"/>
      </tp>
      <tp t="s">
        <v>#N/A Requesting Data...2059902311</v>
        <stp/>
        <stp>BDP|6345379316186706767</stp>
        <tr r="E1435" s="2"/>
      </tp>
      <tp t="s">
        <v>#N/A Requesting Data...2128324104</v>
        <stp/>
        <stp>BDP|1065561232730320248</stp>
        <tr r="R177" s="2"/>
      </tp>
      <tp t="s">
        <v>#N/A Requesting Data...2539271925</v>
        <stp/>
        <stp>BDP|9429151605994682918</stp>
        <tr r="P1983" s="2"/>
      </tp>
      <tp t="s">
        <v>#N/A Requesting Data...3670871324</v>
        <stp/>
        <stp>BDP|8073026571999918393</stp>
        <tr r="P2202" s="2"/>
      </tp>
      <tp t="s">
        <v>#N/A Requesting Data...2511907625</v>
        <stp/>
        <stp>BDP|1142988371669397389</stp>
        <tr r="R2003" s="2"/>
      </tp>
      <tp t="s">
        <v>#N/A Requesting Data...893992981</v>
        <stp/>
        <stp>BDP|2173785263853884518</stp>
        <tr r="E1602" s="2"/>
      </tp>
      <tp t="s">
        <v>#N/A Requesting Data...1740489436</v>
        <stp/>
        <stp>BDP|4326950726289533369</stp>
        <tr r="Q271" s="2"/>
      </tp>
      <tp t="s">
        <v>#N/A Requesting Data...2627947532</v>
        <stp/>
        <stp>BDP|6815590317813213475</stp>
        <tr r="K65" s="2"/>
      </tp>
      <tp t="s">
        <v>#N/A Requesting Data...3591397902</v>
        <stp/>
        <stp>BDP|8091823090725127902</stp>
        <tr r="M1389" s="2"/>
      </tp>
      <tp t="s">
        <v>#N/A Requesting Data...3935762882</v>
        <stp/>
        <stp>BDP|8391747813699714204</stp>
        <tr r="D1145" s="2"/>
      </tp>
      <tp t="s">
        <v>#N/A Requesting Data...4282570255</v>
        <stp/>
        <stp>BDP|9850633086041683383</stp>
        <tr r="F1707" s="2"/>
      </tp>
      <tp t="s">
        <v>#N/A Requesting Data...2452648073</v>
        <stp/>
        <stp>BDP|4917364639444445518</stp>
        <tr r="H125" s="2"/>
      </tp>
      <tp t="s">
        <v>#N/A Requesting Data...3139055295</v>
        <stp/>
        <stp>BDP|7379391861205981211</stp>
        <tr r="D725" s="2"/>
      </tp>
      <tp t="s">
        <v>#N/A Requesting Data...1083268184</v>
        <stp/>
        <stp>BDP|1338678823521113152</stp>
        <tr r="E2014" s="2"/>
      </tp>
      <tp t="s">
        <v>#N/A Requesting Data...1608070893</v>
        <stp/>
        <stp>BDP|9632943047827322657</stp>
        <tr r="R2314" s="2"/>
      </tp>
      <tp t="s">
        <v>#N/A Requesting Data...1795828671</v>
        <stp/>
        <stp>BDP|9688425688822700288</stp>
        <tr r="K1188" s="2"/>
      </tp>
      <tp t="s">
        <v>#N/A Requesting Data...2019390205</v>
        <stp/>
        <stp>BDP|3485028497766639949</stp>
        <tr r="Q2217" s="2"/>
      </tp>
      <tp t="s">
        <v>#N/A Requesting Data...1171758847</v>
        <stp/>
        <stp>BDP|8624819915436677275</stp>
        <tr r="D744" s="2"/>
      </tp>
      <tp t="s">
        <v>#N/A Requesting Data...3044015780</v>
        <stp/>
        <stp>BDP|6299828971834307815</stp>
        <tr r="H2413" s="2"/>
      </tp>
      <tp t="s">
        <v>#N/A Requesting Data...3799893201</v>
        <stp/>
        <stp>BDP|9211052785021172508</stp>
        <tr r="R507" s="2"/>
      </tp>
      <tp t="s">
        <v>#N/A Requesting Data...4150397692</v>
        <stp/>
        <stp>BDP|6639338023481250376</stp>
        <tr r="T138" s="2"/>
      </tp>
      <tp t="s">
        <v>#N/A Requesting Data...1737825889</v>
        <stp/>
        <stp>BDP|2456281570917661597</stp>
        <tr r="A855" s="2"/>
      </tp>
      <tp t="s">
        <v>#N/A Requesting Data...2888684984</v>
        <stp/>
        <stp>BDP|5726563396965150951</stp>
        <tr r="R59" s="2"/>
      </tp>
      <tp t="s">
        <v>#N/A Requesting Data...3490917853</v>
        <stp/>
        <stp>BDP|9022614958108395792</stp>
        <tr r="R2177" s="2"/>
      </tp>
      <tp t="s">
        <v>#N/A Requesting Data...2344665416</v>
        <stp/>
        <stp>BDP|6614305033922069167</stp>
        <tr r="K1258" s="2"/>
      </tp>
      <tp t="s">
        <v>#N/A Requesting Data...4129010195</v>
        <stp/>
        <stp>BDP|3700358117015249140</stp>
        <tr r="T1184" s="2"/>
      </tp>
      <tp t="s">
        <v>#N/A Requesting Data...403062268</v>
        <stp/>
        <stp>BDP|7508128665143260633</stp>
        <tr r="O624" s="2"/>
      </tp>
      <tp t="s">
        <v>#N/A Requesting Data...3379771177</v>
        <stp/>
        <stp>BDP|3191288509185288117</stp>
        <tr r="G991" s="2"/>
      </tp>
      <tp t="s">
        <v>#N/A Requesting Data...3371427468</v>
        <stp/>
        <stp>BDP|5160204277566792321</stp>
        <tr r="T1258" s="2"/>
      </tp>
      <tp t="s">
        <v>#N/A Requesting Data...2280476941</v>
        <stp/>
        <stp>BDP|1197514101396362717</stp>
        <tr r="F53" s="2"/>
      </tp>
      <tp t="s">
        <v>#N/A Requesting Data...1106242372</v>
        <stp/>
        <stp>BDP|6749652606905231053</stp>
        <tr r="M436" s="2"/>
      </tp>
      <tp t="s">
        <v>#N/A Requesting Data...3038113569</v>
        <stp/>
        <stp>BDP|5436100651497600308</stp>
        <tr r="D1504" s="2"/>
      </tp>
      <tp t="s">
        <v>#N/A Requesting Data...4090662986</v>
        <stp/>
        <stp>BDP|7050157596073158918</stp>
        <tr r="O578" s="2"/>
      </tp>
      <tp t="s">
        <v>#N/A Requesting Data...3051463143</v>
        <stp/>
        <stp>BDP|9313002942361666949</stp>
        <tr r="R2409" s="2"/>
      </tp>
      <tp t="s">
        <v>#N/A Requesting Data...4246974769</v>
        <stp/>
        <stp>BDP|6009523711014699364</stp>
        <tr r="N160" s="2"/>
      </tp>
      <tp t="s">
        <v>#N/A Requesting Data...2583527042</v>
        <stp/>
        <stp>BDP|8560846364854367750</stp>
        <tr r="R1257" s="2"/>
      </tp>
      <tp t="s">
        <v>#N/A Requesting Data...3792680516</v>
        <stp/>
        <stp>BDP|8848798153199001613</stp>
        <tr r="D1253" s="2"/>
      </tp>
      <tp t="s">
        <v>#N/A Requesting Data...1974385597</v>
        <stp/>
        <stp>BDP|6579475847997471422</stp>
        <tr r="G2411" s="2"/>
      </tp>
      <tp t="s">
        <v>#N/A Requesting Data...4035328686</v>
        <stp/>
        <stp>BDP|2785226973343343167</stp>
        <tr r="D2273" s="2"/>
      </tp>
      <tp t="s">
        <v>#N/A Requesting Data...2060950151</v>
        <stp/>
        <stp>BDP|4053300759435812221</stp>
        <tr r="J2227" s="2"/>
      </tp>
      <tp t="s">
        <v>#N/A Requesting Data...1724373002</v>
        <stp/>
        <stp>BDP|9442027096004542166</stp>
        <tr r="P1019" s="2"/>
      </tp>
      <tp t="s">
        <v>#N/A Requesting Data...365086785</v>
        <stp/>
        <stp>BDP|2906863398233554515</stp>
        <tr r="D899" s="2"/>
      </tp>
      <tp t="s">
        <v>#N/A Requesting Data...1985721408</v>
        <stp/>
        <stp>BDP|4713737317540416743</stp>
        <tr r="O1237" s="2"/>
      </tp>
      <tp t="b">
        <v>0</v>
        <stp/>
        <stp>BDS|3713637226261059313</stp>
        <tr r="I1649" s="2"/>
      </tp>
      <tp t="s">
        <v>#N/A Requesting Data...3172531600</v>
        <stp/>
        <stp>BDP|5554405866053371136</stp>
        <tr r="H2166" s="2"/>
      </tp>
      <tp t="s">
        <v>#N/A Requesting Data...1008057736</v>
        <stp/>
        <stp>BDP|2766342613480062537</stp>
        <tr r="O1135" s="2"/>
      </tp>
      <tp t="s">
        <v>#N/A Requesting Data...2547668083</v>
        <stp/>
        <stp>BDP|3556535104756176500</stp>
        <tr r="F1529" s="2"/>
      </tp>
      <tp t="s">
        <v>#N/A Requesting Data...929319691</v>
        <stp/>
        <stp>BDP|4094029361616243122</stp>
        <tr r="T1717" s="2"/>
      </tp>
      <tp t="s">
        <v>#N/A Requesting Data...2780876885</v>
        <stp/>
        <stp>BDP|4174429647613416239</stp>
        <tr r="S2520" s="2"/>
      </tp>
      <tp t="s">
        <v>#N/A Requesting Data...2991807984</v>
        <stp/>
        <stp>BDP|8517221016036502870</stp>
        <tr r="N1231" s="2"/>
      </tp>
      <tp t="s">
        <v>#N/A Requesting Data...964367457</v>
        <stp/>
        <stp>BDP|2024275682524520930</stp>
        <tr r="P891" s="2"/>
      </tp>
      <tp t="s">
        <v>#N/A Requesting Data...1446188030</v>
        <stp/>
        <stp>BDP|9848856309294670017</stp>
        <tr r="E2149" s="2"/>
      </tp>
      <tp t="s">
        <v>#N/A Requesting Data...3806822432</v>
        <stp/>
        <stp>BDP|3567336427712741553</stp>
        <tr r="D973" s="2"/>
      </tp>
      <tp t="s">
        <v>#N/A Requesting Data...1571291197</v>
        <stp/>
        <stp>BDP|8597103134816044926</stp>
        <tr r="P2276" s="2"/>
      </tp>
      <tp t="s">
        <v>#N/A Requesting Data...4171333363</v>
        <stp/>
        <stp>BDP|9083443948819667595</stp>
        <tr r="M341" s="2"/>
      </tp>
      <tp t="s">
        <v>#N/A Requesting Data...1065903165</v>
        <stp/>
        <stp>BDP|7395667386185490946</stp>
        <tr r="Q1073" s="2"/>
      </tp>
      <tp t="s">
        <v>#N/A Requesting Data...3657363242</v>
        <stp/>
        <stp>BDP|1527562308720179190</stp>
        <tr r="R716" s="2"/>
      </tp>
      <tp t="b">
        <v>0</v>
        <stp/>
        <stp>BDS|1126627926372007265</stp>
        <tr r="I872" s="2"/>
      </tp>
      <tp t="s">
        <v>#N/A Requesting Data...3338577161</v>
        <stp/>
        <stp>BDP|5862482451137162630</stp>
        <tr r="M1262" s="2"/>
      </tp>
      <tp t="s">
        <v>#N/A Requesting Data...634872950</v>
        <stp/>
        <stp>BDP|4230365529694662485</stp>
        <tr r="A107" s="2"/>
      </tp>
      <tp t="s">
        <v>#N/A Requesting Data...2607341511</v>
        <stp/>
        <stp>BDP|6206395517649968866</stp>
        <tr r="A2524" s="2"/>
      </tp>
      <tp t="s">
        <v>#N/A Requesting Data...4002114146</v>
        <stp/>
        <stp>BDP|1598654213986668561</stp>
        <tr r="C507" s="2"/>
      </tp>
      <tp t="s">
        <v>#N/A Requesting Data...4225505285</v>
        <stp/>
        <stp>BDP|8012807998364346882</stp>
        <tr r="A1844" s="2"/>
      </tp>
      <tp t="s">
        <v>#N/A Requesting Data...3790828658</v>
        <stp/>
        <stp>BDP|2046890664701674886</stp>
        <tr r="T2405" s="2"/>
      </tp>
      <tp t="s">
        <v>#N/A Requesting Data...3147776057</v>
        <stp/>
        <stp>BDP|1730736224068241913</stp>
        <tr r="Q738" s="2"/>
      </tp>
      <tp t="s">
        <v>#N/A Requesting Data...3127620373</v>
        <stp/>
        <stp>BDP|1134211767545211564</stp>
        <tr r="D759" s="2"/>
      </tp>
      <tp t="s">
        <v>#N/A Requesting Data...2342933640</v>
        <stp/>
        <stp>BDP|1577091356038871913</stp>
        <tr r="A2246" s="2"/>
      </tp>
      <tp t="s">
        <v>#N/A Requesting Data...3925740012</v>
        <stp/>
        <stp>BDP|7432211743784462011</stp>
        <tr r="H1547" s="2"/>
      </tp>
      <tp t="s">
        <v>#N/A Requesting Data...599054888</v>
        <stp/>
        <stp>BDP|1936002251018302984</stp>
        <tr r="N2097" s="2"/>
      </tp>
      <tp t="s">
        <v>#N/A Requesting Data...1740928821</v>
        <stp/>
        <stp>BDP|4114360665021027516</stp>
        <tr r="N660" s="2"/>
      </tp>
      <tp t="s">
        <v>#N/A Requesting Data...2091834297</v>
        <stp/>
        <stp>BDP|1021740442645611230</stp>
        <tr r="G352" s="2"/>
      </tp>
      <tp t="s">
        <v>#N/A Requesting Data...3399961625</v>
        <stp/>
        <stp>BDP|7846742293528416487</stp>
        <tr r="K1549" s="2"/>
      </tp>
      <tp t="s">
        <v>#N/A Requesting Data...1343765814</v>
        <stp/>
        <stp>BDP|9980085341690188826</stp>
        <tr r="S807" s="2"/>
      </tp>
      <tp t="s">
        <v>#N/A Requesting Data...2955591159</v>
        <stp/>
        <stp>BDP|2791979398597985028</stp>
        <tr r="M2391" s="2"/>
      </tp>
      <tp t="s">
        <v>#N/A Requesting Data...478582242</v>
        <stp/>
        <stp>BDP|1753482001443912346</stp>
        <tr r="P1365" s="2"/>
      </tp>
      <tp t="s">
        <v>#N/A Requesting Data...563689371</v>
        <stp/>
        <stp>BDP|9457692059079765605</stp>
        <tr r="T2515" s="2"/>
      </tp>
      <tp t="s">
        <v>#N/A Requesting Data...2718627235</v>
        <stp/>
        <stp>BDP|4629322252042609534</stp>
        <tr r="T2103" s="2"/>
      </tp>
      <tp t="s">
        <v>#N/A Requesting Data...1954602242</v>
        <stp/>
        <stp>BDP|5792179083668462144</stp>
        <tr r="O1335" s="2"/>
      </tp>
      <tp t="s">
        <v>#N/A Requesting Data...3490537397</v>
        <stp/>
        <stp>BDP|4573711115442556573</stp>
        <tr r="R2235" s="2"/>
      </tp>
      <tp t="s">
        <v>#N/A Requesting Data...3045362101</v>
        <stp/>
        <stp>BDP|4551765370544187519</stp>
        <tr r="A2097" s="2"/>
      </tp>
      <tp t="s">
        <v>#N/A Requesting Data...844645077</v>
        <stp/>
        <stp>BDP|6387663372561591313</stp>
        <tr r="N1699" s="2"/>
      </tp>
      <tp t="s">
        <v>#N/A Requesting Data...3091516675</v>
        <stp/>
        <stp>BDP|1158265037167212214</stp>
        <tr r="R413" s="2"/>
      </tp>
      <tp t="s">
        <v>#N/A Requesting Data...1537777865</v>
        <stp/>
        <stp>BDP|3625032450195714614</stp>
        <tr r="N1067" s="2"/>
      </tp>
      <tp t="s">
        <v>#N/A Requesting Data...465800518</v>
        <stp/>
        <stp>BDP|4390073133644189650</stp>
        <tr r="D763" s="2"/>
      </tp>
      <tp t="s">
        <v>#N/A Requesting Data...683192914</v>
        <stp/>
        <stp>BDP|5970346801060636396</stp>
        <tr r="S1545" s="2"/>
      </tp>
      <tp t="s">
        <v>#N/A Requesting Data...1582583487</v>
        <stp/>
        <stp>BDP|3337436760370252414</stp>
        <tr r="T787" s="2"/>
      </tp>
      <tp t="s">
        <v>#N/A Requesting Data...3314531949</v>
        <stp/>
        <stp>BDP|8435341895395363250</stp>
        <tr r="S2516" s="2"/>
      </tp>
      <tp t="s">
        <v>#N/A Requesting Data...4229460758</v>
        <stp/>
        <stp>BDP|9270281197001641685</stp>
        <tr r="A2358" s="2"/>
      </tp>
      <tp t="s">
        <v>#N/A Requesting Data...3788800222</v>
        <stp/>
        <stp>BDP|5875725368022525347</stp>
        <tr r="D478" s="2"/>
      </tp>
      <tp t="s">
        <v>#N/A Requesting Data...1496268788</v>
        <stp/>
        <stp>BDP|9929846912180866544</stp>
        <tr r="Q560" s="2"/>
      </tp>
      <tp t="s">
        <v>#N/A Requesting Data...800757587</v>
        <stp/>
        <stp>BDP|1736017331056478104</stp>
        <tr r="C575" s="2"/>
      </tp>
      <tp t="s">
        <v>#N/A Requesting Data...1309681294</v>
        <stp/>
        <stp>BDP|5561593907026132391</stp>
        <tr r="T455" s="2"/>
      </tp>
      <tp t="s">
        <v>#N/A Requesting Data...4096325210</v>
        <stp/>
        <stp>BDP|7301438378437938628</stp>
        <tr r="O123" s="2"/>
      </tp>
      <tp t="s">
        <v>#N/A Requesting Data...4058417275</v>
        <stp/>
        <stp>BDP|6838687565720005364</stp>
        <tr r="O2170" s="2"/>
      </tp>
      <tp t="s">
        <v>#N/A Requesting Data...3897541576</v>
        <stp/>
        <stp>BDP|2766349212944065126</stp>
        <tr r="H2305" s="2"/>
      </tp>
      <tp t="b">
        <v>0</v>
        <stp/>
        <stp>BDS|5635551710051622565</stp>
        <tr r="I550" s="2"/>
      </tp>
      <tp t="s">
        <v>#N/A Requesting Data...4170246301</v>
        <stp/>
        <stp>BDP|4813680717660164657</stp>
        <tr r="P1134" s="2"/>
      </tp>
      <tp t="s">
        <v>#N/A Requesting Data...648707908</v>
        <stp/>
        <stp>BDP|6779234117196527656</stp>
        <tr r="S1066" s="2"/>
      </tp>
      <tp t="s">
        <v>#N/A Requesting Data...4081193545</v>
        <stp/>
        <stp>BDP|8560060016738134474</stp>
        <tr r="G14" s="2"/>
      </tp>
      <tp t="s">
        <v>#N/A Requesting Data...3222749753</v>
        <stp/>
        <stp>BDP|5510079146925250152</stp>
        <tr r="A1894" s="2"/>
      </tp>
      <tp t="s">
        <v>#N/A Requesting Data...3084184376</v>
        <stp/>
        <stp>BDP|7794994392586671499</stp>
        <tr r="S825" s="2"/>
      </tp>
      <tp t="s">
        <v>#N/A Requesting Data...2075589858</v>
        <stp/>
        <stp>BDP|1077605517631278265</stp>
        <tr r="C1330" s="2"/>
      </tp>
      <tp t="s">
        <v>#N/A Requesting Data...882315372</v>
        <stp/>
        <stp>BDP|5592476364250430227</stp>
        <tr r="K2403" s="2"/>
      </tp>
      <tp t="s">
        <v>#N/A Requesting Data...2602025819</v>
        <stp/>
        <stp>BDP|5466603067813721346</stp>
        <tr r="M1722" s="2"/>
      </tp>
      <tp t="s">
        <v>#N/A Requesting Data...2608335746</v>
        <stp/>
        <stp>BDP|5672133545604637168</stp>
        <tr r="S661" s="2"/>
      </tp>
      <tp t="s">
        <v>#N/A Requesting Data...3058646715</v>
        <stp/>
        <stp>BDP|7290626450203916295</stp>
        <tr r="M876" s="2"/>
      </tp>
      <tp t="s">
        <v>#N/A Requesting Data...2564287218</v>
        <stp/>
        <stp>BDP|6094099907700771399</stp>
        <tr r="A2303" s="2"/>
      </tp>
      <tp t="s">
        <v>#N/A Requesting Data...1862863753</v>
        <stp/>
        <stp>BDP|6513679742136908790</stp>
        <tr r="H689" s="2"/>
      </tp>
      <tp t="s">
        <v>#N/A Requesting Data...2515901716</v>
        <stp/>
        <stp>BDP|2612571119881843205</stp>
        <tr r="M2099" s="2"/>
      </tp>
      <tp t="s">
        <v>#N/A Requesting Data...553749071</v>
        <stp/>
        <stp>BDP|3102425570375375009</stp>
        <tr r="H1964" s="2"/>
      </tp>
      <tp t="b">
        <v>0</v>
        <stp/>
        <stp>BDS|8617260174919210162</stp>
        <tr r="I367" s="2"/>
      </tp>
      <tp t="s">
        <v>#N/A Requesting Data...2389667084</v>
        <stp/>
        <stp>BDP|1715052611696196324</stp>
        <tr r="H194" s="2"/>
      </tp>
      <tp t="b">
        <v>0</v>
        <stp/>
        <stp>BDS|3251968161278528106</stp>
        <tr r="I1912" s="2"/>
      </tp>
      <tp t="s">
        <v>#N/A Requesting Data...3515764223</v>
        <stp/>
        <stp>BDP|2582311445336374626</stp>
        <tr r="A654" s="2"/>
      </tp>
      <tp t="s">
        <v>#N/A Requesting Data...3616901484</v>
        <stp/>
        <stp>BDP|2183906977638234140</stp>
        <tr r="S905" s="2"/>
      </tp>
      <tp t="s">
        <v>#N/A Requesting Data...3363575339</v>
        <stp/>
        <stp>BDP|9897487324512358875</stp>
        <tr r="T1201" s="2"/>
      </tp>
      <tp t="s">
        <v>#N/A Requesting Data...1920800391</v>
        <stp/>
        <stp>BDP|1069181021564890310</stp>
        <tr r="N391" s="2"/>
      </tp>
      <tp t="s">
        <v>#N/A Requesting Data...1383357981</v>
        <stp/>
        <stp>BDP|4497438755573568379</stp>
        <tr r="G1310" s="2"/>
      </tp>
      <tp t="s">
        <v>#N/A Requesting Data...564695599</v>
        <stp/>
        <stp>BDP|7608158468703344680</stp>
        <tr r="J2250" s="2"/>
      </tp>
      <tp t="s">
        <v>#N/A Requesting Data...2751262565</v>
        <stp/>
        <stp>BDP|3076149918871982755</stp>
        <tr r="R764" s="2"/>
      </tp>
      <tp t="s">
        <v>#N/A Requesting Data...3316853658</v>
        <stp/>
        <stp>BDP|7119545453002197076</stp>
        <tr r="E303" s="2"/>
      </tp>
      <tp t="s">
        <v>#N/A Requesting Data...3545204300</v>
        <stp/>
        <stp>BDP|6012214153816459263</stp>
        <tr r="F1555" s="2"/>
      </tp>
      <tp t="s">
        <v>#N/A Requesting Data...3000263845</v>
        <stp/>
        <stp>BDP|4127556140946467601</stp>
        <tr r="N894" s="2"/>
      </tp>
      <tp t="s">
        <v>#N/A Requesting Data...4069450075</v>
        <stp/>
        <stp>BDP|1090602313350121320</stp>
        <tr r="M1712" s="2"/>
      </tp>
      <tp t="s">
        <v>#N/A Requesting Data...1635431986</v>
        <stp/>
        <stp>BDP|8303920756273293251</stp>
        <tr r="O699" s="2"/>
      </tp>
      <tp t="s">
        <v>#N/A Requesting Data...1893584100</v>
        <stp/>
        <stp>BDP|1646511176635085311</stp>
        <tr r="O1593" s="2"/>
      </tp>
      <tp t="s">
        <v>#N/A Requesting Data...1145751510</v>
        <stp/>
        <stp>BDP|2794044237182010647</stp>
        <tr r="R726" s="2"/>
      </tp>
      <tp t="s">
        <v>#N/A Requesting Data...835762164</v>
        <stp/>
        <stp>BDP|1789172712246632241</stp>
        <tr r="A1114" s="2"/>
      </tp>
      <tp t="s">
        <v>#N/A Requesting Data...3655036166</v>
        <stp/>
        <stp>BDP|2949062679947022767</stp>
        <tr r="A468" s="2"/>
      </tp>
      <tp t="s">
        <v>#N/A Requesting Data...4254421606</v>
        <stp/>
        <stp>BDP|5783424577081344212</stp>
        <tr r="T244" s="2"/>
      </tp>
      <tp t="s">
        <v>#N/A Requesting Data...3650596989</v>
        <stp/>
        <stp>BDP|8990375691684825372</stp>
        <tr r="C1733" s="2"/>
      </tp>
      <tp t="s">
        <v>#N/A Requesting Data...3472044874</v>
        <stp/>
        <stp>BDP|3547392274054826609</stp>
        <tr r="F1339" s="2"/>
      </tp>
      <tp t="s">
        <v>#N/A Requesting Data...4293488870</v>
        <stp/>
        <stp>BDP|1180707229300125193</stp>
        <tr r="A2338" s="2"/>
      </tp>
      <tp t="s">
        <v>#N/A Requesting Data...3919381696</v>
        <stp/>
        <stp>BDP|5705888496684974504</stp>
        <tr r="N7" s="2"/>
      </tp>
      <tp t="s">
        <v>#N/A Requesting Data...2174245198</v>
        <stp/>
        <stp>BDP|4087483879577911582</stp>
        <tr r="H412" s="2"/>
      </tp>
      <tp t="s">
        <v>#N/A Requesting Data...1230311226</v>
        <stp/>
        <stp>BDP|2586232476505417742</stp>
        <tr r="A426" s="2"/>
      </tp>
      <tp t="s">
        <v>#N/A Requesting Data...2108418058</v>
        <stp/>
        <stp>BDP|8494070723637737870</stp>
        <tr r="O96" s="2"/>
      </tp>
      <tp t="s">
        <v>#N/A Requesting Data...3358989534</v>
        <stp/>
        <stp>BDP|3948681226415549729</stp>
        <tr r="S1282" s="2"/>
      </tp>
      <tp t="s">
        <v>#N/A Requesting Data...1359289829</v>
        <stp/>
        <stp>BDP|8466539784751457171</stp>
        <tr r="M1340" s="2"/>
      </tp>
      <tp t="s">
        <v>#N/A Requesting Data...2369417906</v>
        <stp/>
        <stp>BDP|9280194836087876954</stp>
        <tr r="E465" s="2"/>
      </tp>
      <tp t="s">
        <v>#N/A Requesting Data...741233638</v>
        <stp/>
        <stp>BDP|2236222017565392142</stp>
        <tr r="K1993" s="2"/>
      </tp>
      <tp t="s">
        <v>#N/A Requesting Data...3965341557</v>
        <stp/>
        <stp>BDP|7620553115485324358</stp>
        <tr r="E75" s="2"/>
      </tp>
      <tp t="s">
        <v>#N/A Requesting Data...1956372257</v>
        <stp/>
        <stp>BDP|1357753262292792732</stp>
        <tr r="Q2059" s="2"/>
      </tp>
      <tp t="s">
        <v>#N/A Requesting Data...3853204625</v>
        <stp/>
        <stp>BDP|7817196961864752175</stp>
        <tr r="N2509" s="2"/>
      </tp>
      <tp t="s">
        <v>#N/A Requesting Data...3895685048</v>
        <stp/>
        <stp>BDP|2777373176947246447</stp>
        <tr r="H2471" s="2"/>
      </tp>
      <tp t="s">
        <v>#N/A Requesting Data...1196214597</v>
        <stp/>
        <stp>BDP|2913001218456681072</stp>
        <tr r="N585" s="2"/>
      </tp>
      <tp t="s">
        <v>#N/A Requesting Data...1124288559</v>
        <stp/>
        <stp>BDP|4111260361156781316</stp>
        <tr r="N1172" s="2"/>
      </tp>
      <tp t="s">
        <v>#N/A Requesting Data...4042330812</v>
        <stp/>
        <stp>BDP|6970060104543383084</stp>
        <tr r="G1173" s="2"/>
      </tp>
      <tp t="s">
        <v>#N/A Requesting Data...1004861839</v>
        <stp/>
        <stp>BDP|3018448851006651132</stp>
        <tr r="N2314" s="2"/>
      </tp>
      <tp t="s">
        <v>#N/A Requesting Data...2881142774</v>
        <stp/>
        <stp>BDP|3313623550016146308</stp>
        <tr r="Q377" s="2"/>
      </tp>
      <tp t="s">
        <v>#N/A Requesting Data...2944670944</v>
        <stp/>
        <stp>BDP|2660074325994607125</stp>
        <tr r="K1932" s="2"/>
      </tp>
      <tp t="s">
        <v>#N/A Requesting Data...835828592</v>
        <stp/>
        <stp>BDP|6227106491312746942</stp>
        <tr r="Q32" s="2"/>
      </tp>
      <tp t="s">
        <v>#N/A Requesting Data...3930702906</v>
        <stp/>
        <stp>BDP|1186621764075403138</stp>
        <tr r="D1614" s="2"/>
      </tp>
      <tp t="s">
        <v>#N/A Requesting Data...3900861203</v>
        <stp/>
        <stp>BDP|3342970554172237827</stp>
        <tr r="R1908" s="2"/>
      </tp>
      <tp t="s">
        <v>#N/A Requesting Data...3687992704</v>
        <stp/>
        <stp>BDP|3186455709551514388</stp>
        <tr r="C2196" s="2"/>
      </tp>
      <tp t="s">
        <v>#N/A Requesting Data...680535148</v>
        <stp/>
        <stp>BDP|8512273715236266857</stp>
        <tr r="E2044" s="2"/>
      </tp>
      <tp t="s">
        <v>#N/A Requesting Data...1854442427</v>
        <stp/>
        <stp>BDP|4822813894947506789</stp>
        <tr r="A2175" s="2"/>
      </tp>
      <tp t="s">
        <v>#N/A Requesting Data...2562620009</v>
        <stp/>
        <stp>BDP|6273661915356525246</stp>
        <tr r="E1763" s="2"/>
      </tp>
      <tp t="s">
        <v>#N/A Requesting Data...3040558592</v>
        <stp/>
        <stp>BDP|7519324413471351175</stp>
        <tr r="N1636" s="2"/>
      </tp>
      <tp t="s">
        <v>#N/A Requesting Data...2421211088</v>
        <stp/>
        <stp>BDP|9506202693632268543</stp>
        <tr r="J1550" s="2"/>
      </tp>
      <tp t="s">
        <v>#N/A Requesting Data...2551260550</v>
        <stp/>
        <stp>BDP|2849631214288957862</stp>
        <tr r="R1813" s="2"/>
      </tp>
      <tp t="s">
        <v>#N/A Requesting Data...2455305409</v>
        <stp/>
        <stp>BDP|7639426649994452699</stp>
        <tr r="D722" s="2"/>
      </tp>
      <tp t="s">
        <v>#N/A Requesting Data...3815305309</v>
        <stp/>
        <stp>BDP|9084095430237965809</stp>
        <tr r="D366" s="2"/>
      </tp>
      <tp t="s">
        <v>#N/A Requesting Data...1540777708</v>
        <stp/>
        <stp>BDP|9700251099232371584</stp>
        <tr r="Q2356" s="2"/>
      </tp>
      <tp t="s">
        <v>#N/A Requesting Data...1591435030</v>
        <stp/>
        <stp>BDP|2087063704241617648</stp>
        <tr r="C2475" s="2"/>
      </tp>
      <tp t="s">
        <v>#N/A Requesting Data...867439647</v>
        <stp/>
        <stp>BDP|3456419908571880351</stp>
        <tr r="N954" s="2"/>
      </tp>
      <tp t="s">
        <v>#N/A Requesting Data...887720184</v>
        <stp/>
        <stp>BDP|6009238774704064279</stp>
        <tr r="M1688" s="2"/>
      </tp>
      <tp t="s">
        <v>#N/A Requesting Data...3966411731</v>
        <stp/>
        <stp>BDP|6722233675504630274</stp>
        <tr r="D830" s="2"/>
      </tp>
      <tp t="s">
        <v>#N/A Requesting Data...981473186</v>
        <stp/>
        <stp>BDP|9236071395155606060</stp>
        <tr r="G626" s="2"/>
      </tp>
      <tp t="s">
        <v>#N/A Requesting Data...1858314065</v>
        <stp/>
        <stp>BDP|9652656533748515156</stp>
        <tr r="T1440" s="2"/>
      </tp>
      <tp t="s">
        <v>#N/A Requesting Data...879430090</v>
        <stp/>
        <stp>BDP|2362553155610613751</stp>
        <tr r="H1038" s="2"/>
      </tp>
      <tp t="s">
        <v>#N/A Requesting Data...1421049215</v>
        <stp/>
        <stp>BDP|4050705590447263821</stp>
        <tr r="F1337" s="2"/>
      </tp>
      <tp t="s">
        <v>#N/A Requesting Data...3562937549</v>
        <stp/>
        <stp>BDP|1636811360549202354</stp>
        <tr r="C2262" s="2"/>
      </tp>
      <tp t="s">
        <v>#N/A Requesting Data...3573013618</v>
        <stp/>
        <stp>BDP|1291825787761189560</stp>
        <tr r="E420" s="2"/>
      </tp>
      <tp t="s">
        <v>#N/A Requesting Data...2389737256</v>
        <stp/>
        <stp>BDP|1704166876704106662</stp>
        <tr r="K2015" s="2"/>
      </tp>
      <tp t="s">
        <v>#N/A Requesting Data...3676792211</v>
        <stp/>
        <stp>BDP|8422807451207273772</stp>
        <tr r="D317" s="2"/>
      </tp>
      <tp t="s">
        <v>#N/A Requesting Data...2445759327</v>
        <stp/>
        <stp>BDP|9809154762018608396</stp>
        <tr r="D963" s="2"/>
      </tp>
      <tp t="s">
        <v>#N/A Requesting Data...1810838031</v>
        <stp/>
        <stp>BDP|8194069721059607602</stp>
        <tr r="K409" s="2"/>
      </tp>
      <tp t="s">
        <v>#N/A Requesting Data...2990937576</v>
        <stp/>
        <stp>BDP|4659166320443120117</stp>
        <tr r="Q412" s="2"/>
      </tp>
      <tp t="s">
        <v>#N/A Requesting Data...1895085133</v>
        <stp/>
        <stp>BDP|9975193813378344401</stp>
        <tr r="F782" s="2"/>
      </tp>
      <tp t="s">
        <v>#N/A Requesting Data...2409088482</v>
        <stp/>
        <stp>BDP|2584764027456398473</stp>
        <tr r="M2177" s="2"/>
      </tp>
      <tp t="s">
        <v>#N/A Requesting Data...3344284190</v>
        <stp/>
        <stp>BDP|2195103810524855398</stp>
        <tr r="Q705" s="2"/>
      </tp>
      <tp t="s">
        <v>#N/A Requesting Data...3343521730</v>
        <stp/>
        <stp>BDP|6835995549136837801</stp>
        <tr r="N2486" s="2"/>
      </tp>
      <tp t="s">
        <v>#N/A Requesting Data...1516657509</v>
        <stp/>
        <stp>BDP|4705060866713409432</stp>
        <tr r="F1884" s="2"/>
      </tp>
      <tp t="s">
        <v>#N/A Requesting Data...2344592744</v>
        <stp/>
        <stp>BDP|5954101210142904200</stp>
        <tr r="O512" s="2"/>
      </tp>
      <tp t="s">
        <v>#N/A Requesting Data...1050119017</v>
        <stp/>
        <stp>BDP|2591355026133415529</stp>
        <tr r="E1799" s="2"/>
      </tp>
      <tp t="s">
        <v>#N/A Requesting Data...4103531903</v>
        <stp/>
        <stp>BDP|4530647178575061592</stp>
        <tr r="R282" s="2"/>
      </tp>
      <tp t="s">
        <v>#N/A Requesting Data...1963534625</v>
        <stp/>
        <stp>BDP|7677543432282539650</stp>
        <tr r="S155" s="2"/>
      </tp>
      <tp t="s">
        <v>#N/A Requesting Data...2145869259</v>
        <stp/>
        <stp>BDP|2028506005292629031</stp>
        <tr r="D2083" s="2"/>
      </tp>
      <tp t="s">
        <v>#N/A Requesting Data...1582280360</v>
        <stp/>
        <stp>BDP|4083913810659716069</stp>
        <tr r="J1499" s="2"/>
      </tp>
      <tp t="s">
        <v>#N/A Requesting Data...3033761019</v>
        <stp/>
        <stp>BDP|6886838049399275601</stp>
        <tr r="J1531" s="2"/>
      </tp>
      <tp t="s">
        <v>#N/A Requesting Data...1682732007</v>
        <stp/>
        <stp>BDP|2391699848842448768</stp>
        <tr r="T1724" s="2"/>
      </tp>
      <tp t="s">
        <v>#N/A Requesting Data...4180383609</v>
        <stp/>
        <stp>BDP|6343545695726451967</stp>
        <tr r="E851" s="2"/>
      </tp>
      <tp t="s">
        <v>#N/A Requesting Data...3258452383</v>
        <stp/>
        <stp>BDP|6862827484576717591</stp>
        <tr r="P2286" s="2"/>
      </tp>
      <tp t="s">
        <v>#N/A Requesting Data...2558799590</v>
        <stp/>
        <stp>BDP|9170021809098257487</stp>
        <tr r="D483" s="2"/>
      </tp>
      <tp t="s">
        <v>#N/A Requesting Data...1429647895</v>
        <stp/>
        <stp>BDP|5166144759607866346</stp>
        <tr r="R958" s="2"/>
      </tp>
      <tp t="s">
        <v>#N/A Requesting Data...856779857</v>
        <stp/>
        <stp>BDP|2606512910973478038</stp>
        <tr r="O2395" s="2"/>
      </tp>
      <tp t="s">
        <v>#N/A Requesting Data...840882776</v>
        <stp/>
        <stp>BDP|4399154917900321122</stp>
        <tr r="Q1132" s="2"/>
      </tp>
      <tp t="s">
        <v>#N/A Requesting Data...4284618350</v>
        <stp/>
        <stp>BDP|3500713515379810995</stp>
        <tr r="D2053" s="2"/>
      </tp>
      <tp t="s">
        <v>#N/A Requesting Data...2195247921</v>
        <stp/>
        <stp>BDP|4099773521766207249</stp>
        <tr r="F1049" s="2"/>
      </tp>
      <tp t="s">
        <v>#N/A Requesting Data...3863494346</v>
        <stp/>
        <stp>BDP|9199361280917547021</stp>
        <tr r="P786" s="2"/>
      </tp>
      <tp t="s">
        <v>#N/A Requesting Data...1796266051</v>
        <stp/>
        <stp>BDP|5307801566396203876</stp>
        <tr r="E1654" s="2"/>
      </tp>
      <tp t="s">
        <v>#N/A Requesting Data...2917749353</v>
        <stp/>
        <stp>BDP|8163394556678939373</stp>
        <tr r="M2498" s="2"/>
      </tp>
      <tp t="s">
        <v>#N/A Requesting Data...3855115495</v>
        <stp/>
        <stp>BDP|1157257597317668853</stp>
        <tr r="E1587" s="2"/>
      </tp>
      <tp t="s">
        <v>#N/A Requesting Data...2389557331</v>
        <stp/>
        <stp>BDP|1261034625850169658</stp>
        <tr r="M1090" s="2"/>
      </tp>
      <tp t="s">
        <v>#N/A Requesting Data...1112502539</v>
        <stp/>
        <stp>BDP|9236044283056186248</stp>
        <tr r="T1697" s="2"/>
      </tp>
      <tp t="s">
        <v>#N/A Requesting Data...3051347842</v>
        <stp/>
        <stp>BDP|1258864394686152315</stp>
        <tr r="P1999" s="2"/>
      </tp>
      <tp t="s">
        <v>#N/A Requesting Data...1873761550</v>
        <stp/>
        <stp>BDP|3323161840174330766</stp>
        <tr r="P1992" s="2"/>
      </tp>
      <tp t="s">
        <v>#N/A Requesting Data...3622507262</v>
        <stp/>
        <stp>BDP|3351610914766310754</stp>
        <tr r="A1714" s="2"/>
      </tp>
      <tp t="s">
        <v>#N/A Requesting Data...3445330537</v>
        <stp/>
        <stp>BDP|7097288969607354125</stp>
        <tr r="T185" s="2"/>
      </tp>
      <tp t="s">
        <v>#N/A Requesting Data...3102965570</v>
        <stp/>
        <stp>BDP|7489002412505286640</stp>
        <tr r="D605" s="2"/>
      </tp>
      <tp t="s">
        <v>#N/A Requesting Data...2824733582</v>
        <stp/>
        <stp>BDP|4207458377332791074</stp>
        <tr r="P1324" s="2"/>
      </tp>
      <tp t="s">
        <v>#N/A Requesting Data...2780706372</v>
        <stp/>
        <stp>BDP|7539670861433445175</stp>
        <tr r="S1145" s="2"/>
      </tp>
      <tp t="s">
        <v>#N/A Requesting Data...812666422</v>
        <stp/>
        <stp>BDP|3036035434125662017</stp>
        <tr r="C43" s="2"/>
      </tp>
      <tp t="s">
        <v>#N/A Requesting Data...3482341757</v>
        <stp/>
        <stp>BDP|3950074158391512235</stp>
        <tr r="E679" s="2"/>
      </tp>
      <tp t="s">
        <v>#N/A Requesting Data...4189278811</v>
        <stp/>
        <stp>BDP|4839297362670577563</stp>
        <tr r="D396" s="2"/>
      </tp>
      <tp t="s">
        <v>#N/A Requesting Data...2363524198</v>
        <stp/>
        <stp>BDP|9573838734290318705</stp>
        <tr r="H1650" s="2"/>
      </tp>
      <tp t="s">
        <v>#N/A Requesting Data...863240600</v>
        <stp/>
        <stp>BDP|9453849163750540276</stp>
        <tr r="H741" s="2"/>
      </tp>
      <tp t="s">
        <v>#N/A Requesting Data...3644494518</v>
        <stp/>
        <stp>BDP|4709571282718569469</stp>
        <tr r="F2332" s="2"/>
      </tp>
      <tp t="s">
        <v>#N/A Requesting Data...3204206563</v>
        <stp/>
        <stp>BDP|9794099587582954619</stp>
        <tr r="C938" s="2"/>
      </tp>
      <tp t="s">
        <v>#N/A Requesting Data...3836604737</v>
        <stp/>
        <stp>BDP|9663306577780967898</stp>
        <tr r="E441" s="2"/>
      </tp>
      <tp t="s">
        <v>#N/A Requesting Data...4283441423</v>
        <stp/>
        <stp>BDP|1074333366043756239</stp>
        <tr r="O1442" s="2"/>
      </tp>
      <tp t="s">
        <v>#N/A Requesting Data...1096016832</v>
        <stp/>
        <stp>BDP|2611870793193099531</stp>
        <tr r="F1953" s="2"/>
      </tp>
      <tp t="b">
        <v>0</v>
        <stp/>
        <stp>BDS|7051179086469871284</stp>
        <tr r="I2152" s="2"/>
      </tp>
      <tp t="s">
        <v>#N/A Requesting Data...2014263147</v>
        <stp/>
        <stp>BDP|5091074357267975280</stp>
        <tr r="J382" s="2"/>
      </tp>
      <tp t="b">
        <v>0</v>
        <stp/>
        <stp>BDS|5376532762956535564</stp>
        <tr r="I342" s="2"/>
      </tp>
      <tp t="s">
        <v>#N/A Requesting Data...3318878789</v>
        <stp/>
        <stp>BDP|1149380919505402359</stp>
        <tr r="A48" s="2"/>
      </tp>
      <tp t="s">
        <v>#N/A Requesting Data...3792449667</v>
        <stp/>
        <stp>BDP|9903765986372091187</stp>
        <tr r="J1793" s="2"/>
      </tp>
      <tp t="s">
        <v>#N/A Requesting Data...3202594479</v>
        <stp/>
        <stp>BDP|6989296047545115072</stp>
        <tr r="P2395" s="2"/>
      </tp>
      <tp t="s">
        <v>#N/A Requesting Data...2623266094</v>
        <stp/>
        <stp>BDP|1697332646992331119</stp>
        <tr r="R167" s="2"/>
      </tp>
      <tp t="s">
        <v>#N/A Requesting Data...2018310886</v>
        <stp/>
        <stp>BDP|2970231605485697083</stp>
        <tr r="P1791" s="2"/>
      </tp>
      <tp t="s">
        <v>#N/A Requesting Data...1064016278</v>
        <stp/>
        <stp>BDP|8139628180324343714</stp>
        <tr r="P1768" s="2"/>
      </tp>
      <tp t="s">
        <v>#N/A Requesting Data...1208734274</v>
        <stp/>
        <stp>BDP|2190923698447837026</stp>
        <tr r="N1367" s="2"/>
      </tp>
      <tp t="s">
        <v>#N/A Requesting Data...3935192763</v>
        <stp/>
        <stp>BDP|2141609557104374040</stp>
        <tr r="G1086" s="2"/>
      </tp>
      <tp t="s">
        <v>#N/A Requesting Data...2510529912</v>
        <stp/>
        <stp>BDP|1672434713660490137</stp>
        <tr r="P1195" s="2"/>
      </tp>
      <tp t="s">
        <v>#N/A Requesting Data...3217951400</v>
        <stp/>
        <stp>BDP|1476257950155026608</stp>
        <tr r="J497" s="2"/>
      </tp>
      <tp t="s">
        <v>#N/A Requesting Data...3707318528</v>
        <stp/>
        <stp>BDP|9596876940461285118</stp>
        <tr r="N2108" s="2"/>
      </tp>
      <tp t="s">
        <v>#N/A Requesting Data...1425750604</v>
        <stp/>
        <stp>BDP|7058335790228415068</stp>
        <tr r="F643" s="2"/>
      </tp>
      <tp t="s">
        <v>#N/A Requesting Data...2306475491</v>
        <stp/>
        <stp>BDP|5449724643407294466</stp>
        <tr r="G1896" s="2"/>
      </tp>
      <tp t="s">
        <v>#N/A Requesting Data...1016323434</v>
        <stp/>
        <stp>BDP|1676528524036037516</stp>
        <tr r="K2122" s="2"/>
      </tp>
      <tp t="s">
        <v>#N/A Requesting Data...3078367191</v>
        <stp/>
        <stp>BDP|3367298518030546560</stp>
        <tr r="K2399" s="2"/>
      </tp>
      <tp t="s">
        <v>#N/A Requesting Data...3196540345</v>
        <stp/>
        <stp>BDP|5533499824647978101</stp>
        <tr r="O2119" s="2"/>
      </tp>
      <tp t="s">
        <v>#N/A Requesting Data...946344217</v>
        <stp/>
        <stp>BDP|8390980157047462695</stp>
        <tr r="G2489" s="2"/>
      </tp>
      <tp t="s">
        <v>#N/A Requesting Data...1827411982</v>
        <stp/>
        <stp>BDP|4240866004941497858</stp>
        <tr r="A1678" s="2"/>
      </tp>
      <tp t="b">
        <v>0</v>
        <stp/>
        <stp>BDS|2456122407103861589</stp>
        <tr r="I794" s="2"/>
      </tp>
      <tp t="s">
        <v>#N/A Requesting Data...2654267128</v>
        <stp/>
        <stp>BDP|9803371038985436921</stp>
        <tr r="A2038" s="2"/>
      </tp>
      <tp t="s">
        <v>#N/A Requesting Data...1749991632</v>
        <stp/>
        <stp>BDP|1573108921265433214</stp>
        <tr r="K1137" s="2"/>
      </tp>
      <tp t="s">
        <v>#N/A Requesting Data...3737461859</v>
        <stp/>
        <stp>BDP|7323056414895056633</stp>
        <tr r="R1012" s="2"/>
      </tp>
      <tp t="s">
        <v>#N/A Requesting Data...2393584365</v>
        <stp/>
        <stp>BDP|3399379840308718928</stp>
        <tr r="K862" s="2"/>
      </tp>
      <tp t="s">
        <v>#N/A Requesting Data...1547433628</v>
        <stp/>
        <stp>BDP|4218535074891748232</stp>
        <tr r="E1814" s="2"/>
      </tp>
      <tp t="s">
        <v>#N/A Requesting Data...2268243837</v>
        <stp/>
        <stp>BDP|8156578853628426503</stp>
        <tr r="P1441" s="2"/>
      </tp>
      <tp t="s">
        <v>#N/A Requesting Data...1908118810</v>
        <stp/>
        <stp>BDP|2065460640866350146</stp>
        <tr r="R2035" s="2"/>
      </tp>
      <tp t="s">
        <v>#N/A Requesting Data...2623416227</v>
        <stp/>
        <stp>BDP|8184983294934560999</stp>
        <tr r="C1748" s="2"/>
      </tp>
      <tp t="s">
        <v>#N/A Requesting Data...1805177138</v>
        <stp/>
        <stp>BDP|2923702496659994072</stp>
        <tr r="P1569" s="2"/>
      </tp>
      <tp t="s">
        <v>#N/A Requesting Data...3622140059</v>
        <stp/>
        <stp>BDP|4927610343106872529</stp>
        <tr r="K887" s="2"/>
      </tp>
      <tp t="s">
        <v>#N/A Requesting Data...2981997269</v>
        <stp/>
        <stp>BDP|5117000762886144030</stp>
        <tr r="R2140" s="2"/>
      </tp>
      <tp t="s">
        <v>#N/A Requesting Data...1447816239</v>
        <stp/>
        <stp>BDP|1035075532977348076</stp>
        <tr r="R667" s="2"/>
      </tp>
      <tp t="s">
        <v>#N/A Requesting Data...3351417755</v>
        <stp/>
        <stp>BDP|2801729329474673646</stp>
        <tr r="R2332" s="2"/>
      </tp>
      <tp t="s">
        <v>#N/A Requesting Data...3436053062</v>
        <stp/>
        <stp>BDP|7350444323870665433</stp>
        <tr r="Q1363" s="2"/>
      </tp>
      <tp t="s">
        <v>#N/A Requesting Data...2841911359</v>
        <stp/>
        <stp>BDP|4334304004230085261</stp>
        <tr r="O489" s="2"/>
      </tp>
      <tp t="s">
        <v>#N/A Requesting Data...2128655373</v>
        <stp/>
        <stp>BDP|8940799061145567956</stp>
        <tr r="Q605" s="2"/>
      </tp>
      <tp t="s">
        <v>#N/A Requesting Data...3449501146</v>
        <stp/>
        <stp>BDP|4669731686066237808</stp>
        <tr r="Q1860" s="2"/>
      </tp>
      <tp t="s">
        <v>#N/A Requesting Data...1267793702</v>
        <stp/>
        <stp>BDP|3194331055497157775</stp>
        <tr r="P96" s="2"/>
      </tp>
      <tp t="s">
        <v>#N/A Requesting Data...1917864460</v>
        <stp/>
        <stp>BDP|4787748433215793064</stp>
        <tr r="G954" s="2"/>
      </tp>
      <tp t="s">
        <v>#N/A Requesting Data...1810548034</v>
        <stp/>
        <stp>BDP|8538519226163741940</stp>
        <tr r="G228" s="2"/>
      </tp>
      <tp t="s">
        <v>#N/A Requesting Data...3845100592</v>
        <stp/>
        <stp>BDP|4236570375020649378</stp>
        <tr r="E866" s="2"/>
      </tp>
      <tp t="s">
        <v>#N/A Requesting Data...3429092259</v>
        <stp/>
        <stp>BDP|7590855583656068423</stp>
        <tr r="F2208" s="2"/>
      </tp>
      <tp t="s">
        <v>#N/A Requesting Data...1177418421</v>
        <stp/>
        <stp>BDP|9395917658830219098</stp>
        <tr r="P2166" s="2"/>
      </tp>
      <tp t="s">
        <v>#N/A Requesting Data...1699389828</v>
        <stp/>
        <stp>BDP|3138651306848145821</stp>
        <tr r="N751" s="2"/>
      </tp>
      <tp t="s">
        <v>#N/A Requesting Data...2382252387</v>
        <stp/>
        <stp>BDP|9028942112877605317</stp>
        <tr r="A1191" s="2"/>
      </tp>
      <tp t="s">
        <v>#N/A Requesting Data...2055125166</v>
        <stp/>
        <stp>BDP|5151718663700243100</stp>
        <tr r="O278" s="2"/>
      </tp>
      <tp t="s">
        <v>#N/A Requesting Data...2617058667</v>
        <stp/>
        <stp>BDP|1316113757128755838</stp>
        <tr r="J15" s="2"/>
      </tp>
      <tp t="s">
        <v>#N/A Requesting Data...4052721522</v>
        <stp/>
        <stp>BDP|2890135980266386898</stp>
        <tr r="O478" s="2"/>
      </tp>
      <tp t="s">
        <v>#N/A Requesting Data...3083300283</v>
        <stp/>
        <stp>BDP|4390530844758164846</stp>
        <tr r="G2269" s="2"/>
      </tp>
      <tp t="s">
        <v>#N/A Requesting Data...1942627690</v>
        <stp/>
        <stp>BDP|6760509437365168004</stp>
        <tr r="R594" s="2"/>
      </tp>
      <tp t="s">
        <v>#N/A Requesting Data...4181915622</v>
        <stp/>
        <stp>BDP|7776676420507337126</stp>
        <tr r="P1355" s="2"/>
      </tp>
      <tp t="s">
        <v>#N/A Requesting Data...3558915987</v>
        <stp/>
        <stp>BDP|2778224902225304050</stp>
        <tr r="J2264" s="2"/>
      </tp>
      <tp t="s">
        <v>#N/A Requesting Data...3885816197</v>
        <stp/>
        <stp>BDP|5149454933016551134</stp>
        <tr r="R2292" s="2"/>
      </tp>
      <tp t="s">
        <v>#N/A Requesting Data...1783201649</v>
        <stp/>
        <stp>BDP|8483436395886764641</stp>
        <tr r="S152" s="2"/>
      </tp>
      <tp t="s">
        <v>#N/A Requesting Data...2894026799</v>
        <stp/>
        <stp>BDP|4744234220545627437</stp>
        <tr r="C1018" s="2"/>
      </tp>
      <tp t="s">
        <v>#N/A Requesting Data...1923340562</v>
        <stp/>
        <stp>BDP|1430289468835160544</stp>
        <tr r="S1642" s="2"/>
      </tp>
      <tp t="s">
        <v>#N/A Requesting Data...1485443661</v>
        <stp/>
        <stp>BDP|5636652736810687521</stp>
        <tr r="Q9" s="2"/>
      </tp>
      <tp t="s">
        <v>#N/A Requesting Data...2803365736</v>
        <stp/>
        <stp>BDP|9810921451336907633</stp>
        <tr r="S1602" s="2"/>
      </tp>
      <tp t="s">
        <v>#N/A Requesting Data...3532440075</v>
        <stp/>
        <stp>BDP|1690604170701698413</stp>
        <tr r="C1768" s="2"/>
      </tp>
      <tp t="s">
        <v>#N/A Requesting Data...3289926826</v>
        <stp/>
        <stp>BDP|8231855050580612002</stp>
        <tr r="M129" s="2"/>
      </tp>
      <tp t="s">
        <v>#N/A Requesting Data...3777030030</v>
        <stp/>
        <stp>BDP|6114704011186208337</stp>
        <tr r="T1147" s="2"/>
      </tp>
      <tp t="s">
        <v>#N/A Requesting Data...2612142498</v>
        <stp/>
        <stp>BDP|2166734920720778241</stp>
        <tr r="K369" s="2"/>
      </tp>
      <tp t="b">
        <v>0</v>
        <stp/>
        <stp>BDS|5453293637069361880</stp>
        <tr r="I1483" s="2"/>
      </tp>
      <tp t="s">
        <v>#N/A Requesting Data...1594685932</v>
        <stp/>
        <stp>BDP|1980098545854683423</stp>
        <tr r="C1104" s="2"/>
      </tp>
      <tp t="s">
        <v>#N/A Requesting Data...1769857262</v>
        <stp/>
        <stp>BDP|6987762935277885033</stp>
        <tr r="O1283" s="2"/>
      </tp>
      <tp t="s">
        <v>#N/A Requesting Data...3726121012</v>
        <stp/>
        <stp>BDP|9052946652981612118</stp>
        <tr r="P225" s="2"/>
      </tp>
      <tp t="s">
        <v>#N/A Requesting Data...4208275735</v>
        <stp/>
        <stp>BDP|6814673148932119379</stp>
        <tr r="M1728" s="2"/>
      </tp>
      <tp t="s">
        <v>#N/A Requesting Data...1291929915</v>
        <stp/>
        <stp>BDP|2906209348985017402</stp>
        <tr r="G245" s="2"/>
      </tp>
      <tp t="s">
        <v>#N/A Requesting Data...3890160573</v>
        <stp/>
        <stp>BDP|6205134866614346055</stp>
        <tr r="H547" s="2"/>
      </tp>
      <tp t="s">
        <v>#N/A Requesting Data...3762869979</v>
        <stp/>
        <stp>BDP|2736704311175079472</stp>
        <tr r="Q54" s="2"/>
      </tp>
      <tp t="b">
        <v>0</v>
        <stp/>
        <stp>BDS|9500383281915987243</stp>
        <tr r="I1353" s="2"/>
      </tp>
      <tp t="s">
        <v>#N/A Requesting Data...2645975943</v>
        <stp/>
        <stp>BDP|5240303444492218550</stp>
        <tr r="R697" s="2"/>
      </tp>
      <tp t="s">
        <v>#N/A Requesting Data...1412922106</v>
        <stp/>
        <stp>BDP|1955245766429956933</stp>
        <tr r="J461" s="2"/>
      </tp>
      <tp t="s">
        <v>#N/A Requesting Data...4055749412</v>
        <stp/>
        <stp>BDP|1377775704960416358</stp>
        <tr r="P605" s="2"/>
      </tp>
      <tp t="s">
        <v>#N/A Requesting Data...4066822566</v>
        <stp/>
        <stp>BDP|7052837214128153374</stp>
        <tr r="A642" s="2"/>
      </tp>
      <tp t="s">
        <v>#N/A Requesting Data...3734475658</v>
        <stp/>
        <stp>BDP|3910349157711343189</stp>
        <tr r="P924" s="2"/>
      </tp>
      <tp t="s">
        <v>#N/A Requesting Data...1462668681</v>
        <stp/>
        <stp>BDP|3890100429982960794</stp>
        <tr r="S408" s="2"/>
      </tp>
      <tp t="s">
        <v>#N/A Requesting Data...1043705949</v>
        <stp/>
        <stp>BDP|6936103834575416486</stp>
        <tr r="R728" s="2"/>
      </tp>
      <tp t="s">
        <v>#N/A Requesting Data...2019452819</v>
        <stp/>
        <stp>BDP|3112610161210948695</stp>
        <tr r="O852" s="2"/>
      </tp>
      <tp t="s">
        <v>#N/A Requesting Data...2784848839</v>
        <stp/>
        <stp>BDP|3610149510934620256</stp>
        <tr r="F1791" s="2"/>
      </tp>
      <tp t="s">
        <v>#N/A Requesting Data...3624690347</v>
        <stp/>
        <stp>BDP|8250303552332901980</stp>
        <tr r="K2126" s="2"/>
      </tp>
      <tp t="s">
        <v>#N/A Requesting Data...3817333492</v>
        <stp/>
        <stp>BDP|6437346522613142122</stp>
        <tr r="O1473" s="2"/>
      </tp>
      <tp t="s">
        <v>#N/A Requesting Data...1357149753</v>
        <stp/>
        <stp>BDP|4100360342497787139</stp>
        <tr r="G336" s="2"/>
      </tp>
      <tp t="s">
        <v>#N/A Requesting Data...2422694428</v>
        <stp/>
        <stp>BDP|8379482113568166083</stp>
        <tr r="S1587" s="2"/>
      </tp>
      <tp t="s">
        <v>#N/A Requesting Data...4147905176</v>
        <stp/>
        <stp>BDP|1857882581375625162</stp>
        <tr r="M1679" s="2"/>
      </tp>
      <tp t="s">
        <v>#N/A Requesting Data...2590150845</v>
        <stp/>
        <stp>BDP|3643641608550311085</stp>
        <tr r="O1359" s="2"/>
      </tp>
      <tp t="s">
        <v>#N/A Requesting Data...3431314189</v>
        <stp/>
        <stp>BDP|2225016607473470410</stp>
        <tr r="E382" s="2"/>
      </tp>
      <tp t="s">
        <v>#N/A Requesting Data...1510461108</v>
        <stp/>
        <stp>BDP|6959553440457539586</stp>
        <tr r="H1199" s="2"/>
      </tp>
      <tp t="s">
        <v>#N/A Requesting Data...4061748712</v>
        <stp/>
        <stp>BDP|2043337943156605675</stp>
        <tr r="K2079" s="2"/>
      </tp>
      <tp t="s">
        <v>#N/A Requesting Data...3881192646</v>
        <stp/>
        <stp>BDP|4999703979032887394</stp>
        <tr r="A381" s="2"/>
      </tp>
      <tp t="s">
        <v>#N/A Requesting Data...3563507966</v>
        <stp/>
        <stp>BDP|6702647160103093029</stp>
        <tr r="K2394" s="2"/>
      </tp>
      <tp t="s">
        <v>#N/A Requesting Data...2200102131</v>
        <stp/>
        <stp>BDP|7101177276612623675</stp>
        <tr r="E123" s="2"/>
      </tp>
      <tp t="s">
        <v>#N/A Requesting Data...2963427879</v>
        <stp/>
        <stp>BDP|3051279344346794650</stp>
        <tr r="S786" s="2"/>
      </tp>
      <tp t="s">
        <v>#N/A Requesting Data...2146528981</v>
        <stp/>
        <stp>BDP|1141149223106874182</stp>
        <tr r="G2062" s="2"/>
      </tp>
      <tp t="s">
        <v>#N/A Requesting Data...2625979518</v>
        <stp/>
        <stp>BDP|5692419523892519470</stp>
        <tr r="H1397" s="2"/>
      </tp>
      <tp t="s">
        <v>#N/A Requesting Data...2967845856</v>
        <stp/>
        <stp>BDP|8355041147071648809</stp>
        <tr r="A1523" s="2"/>
      </tp>
      <tp t="s">
        <v>#N/A Requesting Data...2860619249</v>
        <stp/>
        <stp>BDP|4177475147502363349</stp>
        <tr r="D2242" s="2"/>
      </tp>
      <tp t="s">
        <v>#N/A Requesting Data...2548951567</v>
        <stp/>
        <stp>BDP|2079602592161086944</stp>
        <tr r="O1934" s="2"/>
      </tp>
      <tp t="s">
        <v>#N/A Requesting Data...2834976986</v>
        <stp/>
        <stp>BDP|3141194021677699297</stp>
        <tr r="Q1661" s="2"/>
      </tp>
      <tp t="s">
        <v>#N/A Requesting Data...3477573376</v>
        <stp/>
        <stp>BDP|4317957095850249172</stp>
        <tr r="S2" s="2"/>
      </tp>
      <tp t="s">
        <v>#N/A Requesting Data...2342287748</v>
        <stp/>
        <stp>BDP|2060204443401456018</stp>
        <tr r="O954" s="2"/>
      </tp>
      <tp t="s">
        <v>#N/A Requesting Data...1760781293</v>
        <stp/>
        <stp>BDP|9528158928576725996</stp>
        <tr r="G1022" s="2"/>
      </tp>
      <tp t="s">
        <v>#N/A Requesting Data...3241234003</v>
        <stp/>
        <stp>BDP|2950671028984875781</stp>
        <tr r="G2299" s="2"/>
      </tp>
      <tp t="s">
        <v>#N/A Requesting Data...2286193705</v>
        <stp/>
        <stp>BDP|3001697559896413325</stp>
        <tr r="T1350" s="2"/>
      </tp>
      <tp t="s">
        <v>#N/A Requesting Data...2368877886</v>
        <stp/>
        <stp>BDP|4909029739676753431</stp>
        <tr r="S665" s="2"/>
      </tp>
      <tp t="s">
        <v>#N/A Requesting Data...2252413340</v>
        <stp/>
        <stp>BDP|6179940314282264959</stp>
        <tr r="D259" s="2"/>
      </tp>
      <tp t="s">
        <v>#N/A Requesting Data...3485511875</v>
        <stp/>
        <stp>BDP|2684136364735434530</stp>
        <tr r="K271" s="2"/>
      </tp>
      <tp t="s">
        <v>#N/A Requesting Data...2131899685</v>
        <stp/>
        <stp>BDP|3853769421681803210</stp>
        <tr r="H1270" s="2"/>
      </tp>
      <tp t="b">
        <v>0</v>
        <stp/>
        <stp>BDS|2373504956453782446</stp>
        <tr r="I1836" s="2"/>
      </tp>
      <tp t="b">
        <v>0</v>
        <stp/>
        <stp>BDS|8850931568781495313</stp>
        <tr r="I1378" s="2"/>
      </tp>
      <tp t="s">
        <v>#N/A Requesting Data...2925790843</v>
        <stp/>
        <stp>BDP|3093556054377452134</stp>
        <tr r="D1185" s="2"/>
      </tp>
      <tp t="s">
        <v>#N/A Requesting Data...1889881177</v>
        <stp/>
        <stp>BDP|4990433223200964763</stp>
        <tr r="A418" s="2"/>
      </tp>
      <tp t="s">
        <v>#N/A Requesting Data...1387733863</v>
        <stp/>
        <stp>BDP|6445706040130466068</stp>
        <tr r="S2368" s="2"/>
      </tp>
      <tp t="s">
        <v>#N/A Requesting Data...1346558606</v>
        <stp/>
        <stp>BDP|8592146297614443140</stp>
        <tr r="Q669" s="2"/>
      </tp>
      <tp t="s">
        <v>#N/A Requesting Data...2447997896</v>
        <stp/>
        <stp>BDP|3296466605662629016</stp>
        <tr r="O925" s="2"/>
      </tp>
      <tp t="s">
        <v>#N/A Requesting Data...1972402239</v>
        <stp/>
        <stp>BDP|6223278998798228092</stp>
        <tr r="N1702" s="2"/>
      </tp>
      <tp t="s">
        <v>#N/A Requesting Data...3922307919</v>
        <stp/>
        <stp>BDP|6550143465870328411</stp>
        <tr r="G1920" s="2"/>
      </tp>
      <tp t="s">
        <v>#N/A Requesting Data...1241792377</v>
        <stp/>
        <stp>BDP|5174221010810027350</stp>
        <tr r="K527" s="2"/>
      </tp>
      <tp t="s">
        <v>#N/A Requesting Data...2740045386</v>
        <stp/>
        <stp>BDP|1883187640393165276</stp>
        <tr r="S1464" s="2"/>
      </tp>
      <tp t="s">
        <v>#N/A Requesting Data...3243400360</v>
        <stp/>
        <stp>BDP|8890847275235838773</stp>
        <tr r="M1901" s="2"/>
      </tp>
      <tp t="s">
        <v>#N/A Requesting Data...3908086653</v>
        <stp/>
        <stp>BDP|6274730884469690556</stp>
        <tr r="N1670" s="2"/>
      </tp>
      <tp t="s">
        <v>#N/A Requesting Data...3607385957</v>
        <stp/>
        <stp>BDP|8395921537685623260</stp>
        <tr r="A993" s="2"/>
      </tp>
      <tp t="s">
        <v>#N/A Requesting Data...3518165149</v>
        <stp/>
        <stp>BDP|1985713558340311656</stp>
        <tr r="N1317" s="2"/>
      </tp>
      <tp t="s">
        <v>#N/A Requesting Data...2256820611</v>
        <stp/>
        <stp>BDP|8885057465333744897</stp>
        <tr r="R75" s="2"/>
      </tp>
      <tp t="s">
        <v>#N/A Requesting Data...1335021743</v>
        <stp/>
        <stp>BDP|4294539554013193226</stp>
        <tr r="F1947" s="2"/>
      </tp>
      <tp t="s">
        <v>#N/A Requesting Data...4148765943</v>
        <stp/>
        <stp>BDP|2947380835633653448</stp>
        <tr r="R845" s="2"/>
      </tp>
      <tp t="s">
        <v>#N/A Requesting Data...1365182510</v>
        <stp/>
        <stp>BDP|8355215461181581806</stp>
        <tr r="F1139" s="2"/>
      </tp>
      <tp t="s">
        <v>#N/A Requesting Data...1671951140</v>
        <stp/>
        <stp>BDP|2568642811853301352</stp>
        <tr r="H512" s="2"/>
      </tp>
      <tp t="s">
        <v>#N/A Requesting Data...3497696332</v>
        <stp/>
        <stp>BDP|9199801627184912296</stp>
        <tr r="S621" s="2"/>
      </tp>
      <tp t="s">
        <v>#N/A Requesting Data...3986442835</v>
        <stp/>
        <stp>BDP|2055801822788442509</stp>
        <tr r="M709" s="2"/>
      </tp>
      <tp t="s">
        <v>#N/A Requesting Data...1575270760</v>
        <stp/>
        <stp>BDP|2034458659495968337</stp>
        <tr r="R1489" s="2"/>
      </tp>
      <tp t="b">
        <v>0</v>
        <stp/>
        <stp>BDS|1698367773535251573</stp>
        <tr r="I1529" s="2"/>
      </tp>
      <tp t="s">
        <v>#N/A Requesting Data...1237241900</v>
        <stp/>
        <stp>BDP|4216164804372012269</stp>
        <tr r="T1378" s="2"/>
      </tp>
      <tp t="s">
        <v>#N/A Requesting Data...2187900789</v>
        <stp/>
        <stp>BDP|7853711115670210482</stp>
        <tr r="O931" s="2"/>
      </tp>
      <tp t="s">
        <v>#N/A Requesting Data...2483252956</v>
        <stp/>
        <stp>BDP|3988169322597971222</stp>
        <tr r="Q519" s="2"/>
      </tp>
      <tp t="s">
        <v>#N/A Requesting Data...2523051434</v>
        <stp/>
        <stp>BDP|6536760507434563070</stp>
        <tr r="E2081" s="2"/>
      </tp>
      <tp t="s">
        <v>#N/A Requesting Data...2191751528</v>
        <stp/>
        <stp>BDP|7701924429731905832</stp>
        <tr r="F69" s="2"/>
      </tp>
      <tp t="s">
        <v>#N/A Requesting Data...1876587607</v>
        <stp/>
        <stp>BDP|5939434118367422207</stp>
        <tr r="F44" s="2"/>
      </tp>
      <tp t="s">
        <v>#N/A Requesting Data...3284767587</v>
        <stp/>
        <stp>BDP|6049368389809126187</stp>
        <tr r="N209" s="2"/>
      </tp>
      <tp t="s">
        <v>#N/A Requesting Data...1733885266</v>
        <stp/>
        <stp>BDP|8428933904781131544</stp>
        <tr r="M535" s="2"/>
      </tp>
      <tp t="s">
        <v>#N/A Requesting Data...2864385068</v>
        <stp/>
        <stp>BDP|3862271100700147484</stp>
        <tr r="S2052" s="2"/>
      </tp>
      <tp t="s">
        <v>#N/A Requesting Data...2607465364</v>
        <stp/>
        <stp>BDP|6333955277318760503</stp>
        <tr r="S1923" s="2"/>
      </tp>
      <tp t="s">
        <v>#N/A Requesting Data...2724856562</v>
        <stp/>
        <stp>BDP|2628176886729721761</stp>
        <tr r="H2406" s="2"/>
      </tp>
      <tp t="s">
        <v>#N/A Requesting Data...2080168167</v>
        <stp/>
        <stp>BDP|7953751949315718446</stp>
        <tr r="E2198" s="2"/>
      </tp>
      <tp t="s">
        <v>#N/A Requesting Data...2411297826</v>
        <stp/>
        <stp>BDP|1656732723597065604</stp>
        <tr r="A1512" s="2"/>
      </tp>
      <tp t="s">
        <v>#N/A Requesting Data...2242614594</v>
        <stp/>
        <stp>BDP|1757234937086739322</stp>
        <tr r="D903" s="2"/>
      </tp>
      <tp t="s">
        <v>#N/A Requesting Data...1575712680</v>
        <stp/>
        <stp>BDP|4770360727019119916</stp>
        <tr r="J202" s="2"/>
      </tp>
      <tp t="s">
        <v>#N/A Requesting Data...1940515562</v>
        <stp/>
        <stp>BDP|6275272840835447079</stp>
        <tr r="N392" s="2"/>
      </tp>
      <tp t="s">
        <v>#N/A Requesting Data...2096450774</v>
        <stp/>
        <stp>BDP|2297571271962677745</stp>
        <tr r="K1787" s="2"/>
      </tp>
      <tp t="s">
        <v>#N/A Requesting Data...2495764434</v>
        <stp/>
        <stp>BDP|7765276417659671872</stp>
        <tr r="C1856" s="2"/>
      </tp>
      <tp t="s">
        <v>#N/A Requesting Data...4196188645</v>
        <stp/>
        <stp>BDP|6031046514355467723</stp>
        <tr r="M729" s="2"/>
      </tp>
      <tp t="s">
        <v>#N/A Requesting Data...2596520054</v>
        <stp/>
        <stp>BDP|5495476140419795921</stp>
        <tr r="P756" s="2"/>
      </tp>
      <tp t="s">
        <v>#N/A Requesting Data...1538588510</v>
        <stp/>
        <stp>BDP|5702583157511863163</stp>
        <tr r="S616" s="2"/>
      </tp>
      <tp t="s">
        <v>#N/A Requesting Data...3390344393</v>
        <stp/>
        <stp>BDP|7199622162085182760</stp>
        <tr r="N1104" s="2"/>
      </tp>
      <tp t="s">
        <v>#N/A Requesting Data...1922669919</v>
        <stp/>
        <stp>BDP|2612280601050132581</stp>
        <tr r="J586" s="2"/>
      </tp>
      <tp t="s">
        <v>#N/A Requesting Data...1281723355</v>
        <stp/>
        <stp>BDP|1855011841054654482</stp>
        <tr r="N462" s="2"/>
      </tp>
      <tp t="s">
        <v>#N/A Requesting Data...3209607960</v>
        <stp/>
        <stp>BDP|4933580165051630342</stp>
        <tr r="M1620" s="2"/>
      </tp>
      <tp t="s">
        <v>#N/A Requesting Data...2106068526</v>
        <stp/>
        <stp>BDP|9467327482235557274</stp>
        <tr r="O1722" s="2"/>
      </tp>
      <tp t="s">
        <v>#N/A Requesting Data...1386983436</v>
        <stp/>
        <stp>BDP|1812703521508917964</stp>
        <tr r="M951" s="2"/>
      </tp>
      <tp t="s">
        <v>#N/A Requesting Data...1770734962</v>
        <stp/>
        <stp>BDP|7945071542934882226</stp>
        <tr r="R1353" s="2"/>
      </tp>
      <tp t="s">
        <v>#N/A Requesting Data...3186762062</v>
        <stp/>
        <stp>BDP|6009777550094327527</stp>
        <tr r="J454" s="2"/>
      </tp>
      <tp t="s">
        <v>#N/A Requesting Data...4269305762</v>
        <stp/>
        <stp>BDP|2934197912224553311</stp>
        <tr r="Q870" s="2"/>
      </tp>
      <tp t="s">
        <v>#N/A Requesting Data...1406270698</v>
        <stp/>
        <stp>BDP|6530880214399867374</stp>
        <tr r="J1866" s="2"/>
      </tp>
      <tp t="s">
        <v>#N/A Requesting Data...4009192017</v>
        <stp/>
        <stp>BDP|1983048456699953841</stp>
        <tr r="F133" s="2"/>
      </tp>
      <tp t="s">
        <v>#N/A Requesting Data...1293383718</v>
        <stp/>
        <stp>BDP|7737624823176036007</stp>
        <tr r="R776" s="2"/>
      </tp>
      <tp t="s">
        <v>#N/A Requesting Data...1326073242</v>
        <stp/>
        <stp>BDP|1900683432235408413</stp>
        <tr r="F209" s="2"/>
      </tp>
      <tp t="s">
        <v>#N/A Requesting Data...3535249728</v>
        <stp/>
        <stp>BDP|8033983956300005181</stp>
        <tr r="T476" s="2"/>
      </tp>
      <tp t="s">
        <v>#N/A Requesting Data...2477490617</v>
        <stp/>
        <stp>BDP|7265064783139307326</stp>
        <tr r="Q2283" s="2"/>
      </tp>
      <tp t="s">
        <v>#N/A Requesting Data...2472390491</v>
        <stp/>
        <stp>BDP|4241322004524711657</stp>
        <tr r="Q1949" s="2"/>
      </tp>
      <tp t="s">
        <v>#N/A Requesting Data...1555530141</v>
        <stp/>
        <stp>BDP|2604701051640953587</stp>
        <tr r="F2178" s="2"/>
      </tp>
      <tp t="s">
        <v>#N/A Requesting Data...2148385362</v>
        <stp/>
        <stp>BDP|2652316670961361229</stp>
        <tr r="R108" s="2"/>
      </tp>
      <tp t="s">
        <v>#N/A Requesting Data...4143710070</v>
        <stp/>
        <stp>BDP|1413404537293311063</stp>
        <tr r="N2489" s="2"/>
      </tp>
      <tp t="b">
        <v>0</v>
        <stp/>
        <stp>BDS|7332318447645499072</stp>
        <tr r="I1336" s="2"/>
      </tp>
      <tp t="b">
        <v>0</v>
        <stp/>
        <stp>BDS|8664503163258016631</stp>
        <tr r="I987" s="2"/>
      </tp>
      <tp t="s">
        <v>#N/A Requesting Data...2872121129</v>
        <stp/>
        <stp>BDP|5103524196489759541</stp>
        <tr r="Q673" s="2"/>
      </tp>
      <tp t="s">
        <v>#N/A Requesting Data...3778525514</v>
        <stp/>
        <stp>BDP|4796496972793388194</stp>
        <tr r="D2244" s="2"/>
      </tp>
      <tp t="s">
        <v>#N/A Requesting Data...4015543628</v>
        <stp/>
        <stp>BDP|1847812592312965744</stp>
        <tr r="F366" s="2"/>
      </tp>
      <tp t="s">
        <v>#N/A Requesting Data...3232559385</v>
        <stp/>
        <stp>BDP|4263400715531217535</stp>
        <tr r="R143" s="2"/>
      </tp>
      <tp t="s">
        <v>#N/A Requesting Data...2217035669</v>
        <stp/>
        <stp>BDP|9832624321798478090</stp>
        <tr r="S2274" s="2"/>
      </tp>
      <tp t="s">
        <v>#N/A Requesting Data...1511218167</v>
        <stp/>
        <stp>BDP|3683202237895115264</stp>
        <tr r="A1654" s="2"/>
      </tp>
      <tp t="s">
        <v>#N/A Requesting Data...1521168728</v>
        <stp/>
        <stp>BDP|3015377954830181041</stp>
        <tr r="T2234" s="2"/>
      </tp>
      <tp t="s">
        <v>#N/A Requesting Data...1639448520</v>
        <stp/>
        <stp>BDP|5118434754773936296</stp>
        <tr r="S2335" s="2"/>
      </tp>
      <tp t="s">
        <v>#N/A Requesting Data...2511992788</v>
        <stp/>
        <stp>BDP|1380862993332262728</stp>
        <tr r="A730" s="2"/>
      </tp>
      <tp t="s">
        <v>#N/A Requesting Data...4233301201</v>
        <stp/>
        <stp>BDP|1825364808020727773</stp>
        <tr r="T1196" s="2"/>
      </tp>
      <tp t="s">
        <v>#N/A Requesting Data...1486681810</v>
        <stp/>
        <stp>BDP|3261741831874517649</stp>
        <tr r="R325" s="2"/>
      </tp>
      <tp t="s">
        <v>#N/A Requesting Data...2897237294</v>
        <stp/>
        <stp>BDP|6630810627849749018</stp>
        <tr r="S1770" s="2"/>
      </tp>
      <tp t="s">
        <v>#N/A Requesting Data...2710397667</v>
        <stp/>
        <stp>BDP|7236052645043621525</stp>
        <tr r="J527" s="2"/>
      </tp>
      <tp t="s">
        <v>#N/A Requesting Data...1904379718</v>
        <stp/>
        <stp>BDP|2966195160672400223</stp>
        <tr r="H2442" s="2"/>
      </tp>
      <tp t="s">
        <v>#N/A Requesting Data...3583546205</v>
        <stp/>
        <stp>BDP|8102705767574970891</stp>
        <tr r="S195" s="2"/>
      </tp>
      <tp t="s">
        <v>#N/A Requesting Data...1758247556</v>
        <stp/>
        <stp>BDP|2724332310681003420</stp>
        <tr r="R1166" s="2"/>
      </tp>
      <tp t="s">
        <v>#N/A Requesting Data...3404773344</v>
        <stp/>
        <stp>BDP|4431778870170642138</stp>
        <tr r="G1599" s="2"/>
      </tp>
      <tp t="s">
        <v>#N/A Requesting Data...2602638941</v>
        <stp/>
        <stp>BDP|4657546855065747461</stp>
        <tr r="S666" s="2"/>
      </tp>
      <tp t="s">
        <v>#N/A Requesting Data...2366633198</v>
        <stp/>
        <stp>BDP|5371015924427764576</stp>
        <tr r="O1679" s="2"/>
      </tp>
      <tp t="s">
        <v>#N/A Requesting Data...1594174940</v>
        <stp/>
        <stp>BDP|7101184061071858467</stp>
        <tr r="Q1444" s="2"/>
      </tp>
      <tp t="s">
        <v>#N/A Requesting Data...4231334038</v>
        <stp/>
        <stp>BDP|1572778540241339678</stp>
        <tr r="O363" s="2"/>
      </tp>
      <tp t="s">
        <v>#N/A Requesting Data...3880392041</v>
        <stp/>
        <stp>BDP|5146267619861013293</stp>
        <tr r="E527" s="2"/>
      </tp>
      <tp t="b">
        <v>0</v>
        <stp/>
        <stp>BDS|5503749485179756647</stp>
        <tr r="I310" s="2"/>
      </tp>
      <tp t="s">
        <v>#N/A Requesting Data...2117427548</v>
        <stp/>
        <stp>BDP|6506839590066972487</stp>
        <tr r="O364" s="2"/>
      </tp>
      <tp t="s">
        <v>#N/A Requesting Data...2239589503</v>
        <stp/>
        <stp>BDP|2315152107806758017</stp>
        <tr r="D1059" s="2"/>
      </tp>
      <tp t="s">
        <v>#N/A Requesting Data...1827861918</v>
        <stp/>
        <stp>BDP|1681245174156108705</stp>
        <tr r="S2525" s="2"/>
      </tp>
      <tp t="s">
        <v>#N/A Requesting Data...1720292138</v>
        <stp/>
        <stp>BDP|5186405524187172132</stp>
        <tr r="H528" s="2"/>
      </tp>
      <tp t="s">
        <v>#N/A Requesting Data...2454128731</v>
        <stp/>
        <stp>BDP|8874185448140720889</stp>
        <tr r="D2346" s="2"/>
      </tp>
      <tp t="s">
        <v>#N/A Requesting Data...1742611698</v>
        <stp/>
        <stp>BDP|5644663271417024669</stp>
        <tr r="K1079" s="2"/>
      </tp>
      <tp t="s">
        <v>#N/A Requesting Data...3598778495</v>
        <stp/>
        <stp>BDP|9080016444538624041</stp>
        <tr r="M1226" s="2"/>
      </tp>
      <tp t="s">
        <v>#N/A Requesting Data...2083027727</v>
        <stp/>
        <stp>BDP|9661046692407094275</stp>
        <tr r="H2242" s="2"/>
      </tp>
      <tp t="s">
        <v>#N/A Requesting Data...2366664308</v>
        <stp/>
        <stp>BDP|4459015224366391552</stp>
        <tr r="O2387" s="2"/>
      </tp>
      <tp t="s">
        <v>#N/A Requesting Data...3608785733</v>
        <stp/>
        <stp>BDP|4198803053579241573</stp>
        <tr r="J796" s="2"/>
      </tp>
      <tp t="s">
        <v>#N/A Requesting Data...3147476964</v>
        <stp/>
        <stp>BDP|4687193359466857390</stp>
        <tr r="C1591" s="2"/>
      </tp>
      <tp t="s">
        <v>#N/A Requesting Data...4179644714</v>
        <stp/>
        <stp>BDP|1693033854599772812</stp>
        <tr r="J1098" s="2"/>
      </tp>
      <tp t="s">
        <v>#N/A Requesting Data...3630305044</v>
        <stp/>
        <stp>BDP|8721529187068504801</stp>
        <tr r="F861" s="2"/>
      </tp>
      <tp t="s">
        <v>#N/A Requesting Data...1411848305</v>
        <stp/>
        <stp>BDP|4109817547174457949</stp>
        <tr r="E2212" s="2"/>
      </tp>
      <tp t="s">
        <v>#N/A Requesting Data...3610035745</v>
        <stp/>
        <stp>BDP|5886971991474164481</stp>
        <tr r="H1958" s="2"/>
      </tp>
      <tp t="s">
        <v>#N/A Requesting Data...2581843805</v>
        <stp/>
        <stp>BDP|9294969293274489840</stp>
        <tr r="Q1056" s="2"/>
      </tp>
      <tp t="s">
        <v>#N/A Requesting Data...2234175408</v>
        <stp/>
        <stp>BDP|6398357778562953504</stp>
        <tr r="A393" s="2"/>
      </tp>
      <tp t="s">
        <v>#N/A Requesting Data...3550126809</v>
        <stp/>
        <stp>BDP|3298178623422988780</stp>
        <tr r="T1040" s="2"/>
      </tp>
      <tp t="s">
        <v>#N/A Requesting Data...2345180892</v>
        <stp/>
        <stp>BDP|3456069613521166672</stp>
        <tr r="P43" s="2"/>
      </tp>
      <tp t="s">
        <v>#N/A Requesting Data...3675602449</v>
        <stp/>
        <stp>BDP|7932022269175390164</stp>
        <tr r="N1958" s="2"/>
      </tp>
      <tp t="s">
        <v>#N/A Requesting Data...4039703366</v>
        <stp/>
        <stp>BDP|2925436401920443384</stp>
        <tr r="A2207" s="2"/>
      </tp>
      <tp t="s">
        <v>#N/A Requesting Data...2902315340</v>
        <stp/>
        <stp>BDP|4660759897187673854</stp>
        <tr r="S2053" s="2"/>
      </tp>
      <tp t="b">
        <v>0</v>
        <stp/>
        <stp>BDS|5580889808541724958</stp>
        <tr r="I1043" s="2"/>
      </tp>
      <tp t="s">
        <v>#N/A Requesting Data...1565360867</v>
        <stp/>
        <stp>BDP|9711405285594048459</stp>
        <tr r="R973" s="2"/>
      </tp>
      <tp t="s">
        <v>#N/A Requesting Data...3884279491</v>
        <stp/>
        <stp>BDP|4422956011700581927</stp>
        <tr r="N1567" s="2"/>
      </tp>
      <tp t="b">
        <v>0</v>
        <stp/>
        <stp>BDS|7936492716797290030</stp>
        <tr r="I1978" s="2"/>
      </tp>
      <tp t="b">
        <v>0</v>
        <stp/>
        <stp>BDS|7351022395818068336</stp>
        <tr r="I1768" s="2"/>
      </tp>
      <tp t="s">
        <v>#N/A Requesting Data...4096307489</v>
        <stp/>
        <stp>BDP|4696700865333769333</stp>
        <tr r="O861" s="2"/>
      </tp>
      <tp t="s">
        <v>#N/A Requesting Data...1842231439</v>
        <stp/>
        <stp>BDP|6240642570530752269</stp>
        <tr r="F1205" s="2"/>
      </tp>
      <tp t="s">
        <v>#N/A Requesting Data...1633097532</v>
        <stp/>
        <stp>BDP|3905185776269401948</stp>
        <tr r="K1438" s="2"/>
      </tp>
      <tp t="s">
        <v>#N/A Requesting Data...1766469501</v>
        <stp/>
        <stp>BDP|4119008334487064524</stp>
        <tr r="Q1239" s="2"/>
      </tp>
      <tp t="s">
        <v>#N/A Requesting Data...3420498716</v>
        <stp/>
        <stp>BDP|7936415714124913329</stp>
        <tr r="R1882" s="2"/>
      </tp>
      <tp t="s">
        <v>#N/A Requesting Data...2118007245</v>
        <stp/>
        <stp>BDP|3926563159120074618</stp>
        <tr r="J1108" s="2"/>
      </tp>
      <tp t="s">
        <v>#N/A Requesting Data...4180050978</v>
        <stp/>
        <stp>BDP|6620670646805575452</stp>
        <tr r="S2057" s="2"/>
      </tp>
      <tp t="s">
        <v>#N/A Requesting Data...2306121693</v>
        <stp/>
        <stp>BDP|1370669934656440723</stp>
        <tr r="G1048" s="2"/>
      </tp>
      <tp t="s">
        <v>#N/A Requesting Data...2945722253</v>
        <stp/>
        <stp>BDP|6549379954394914180</stp>
        <tr r="A412" s="2"/>
      </tp>
      <tp t="s">
        <v>#N/A Requesting Data...2117023749</v>
        <stp/>
        <stp>BDP|2985315712080874555</stp>
        <tr r="G277" s="2"/>
      </tp>
      <tp t="s">
        <v>#N/A Requesting Data...1819195989</v>
        <stp/>
        <stp>BDP|9825852072750118399</stp>
        <tr r="P273" s="2"/>
      </tp>
      <tp t="s">
        <v>#N/A Requesting Data...3994396247</v>
        <stp/>
        <stp>BDP|9307336602528485715</stp>
        <tr r="P2115" s="2"/>
      </tp>
      <tp t="s">
        <v>#N/A Requesting Data...3357920746</v>
        <stp/>
        <stp>BDP|7781725700763213605</stp>
        <tr r="R627" s="2"/>
      </tp>
      <tp t="s">
        <v>#N/A Requesting Data...2664282028</v>
        <stp/>
        <stp>BDP|2784632514291604116</stp>
        <tr r="T2448" s="2"/>
      </tp>
      <tp t="s">
        <v>#N/A Requesting Data...2203178960</v>
        <stp/>
        <stp>BDP|6267869952418062613</stp>
        <tr r="P1385" s="2"/>
      </tp>
      <tp t="s">
        <v>#N/A Requesting Data...2702013979</v>
        <stp/>
        <stp>BDP|2855469605497415487</stp>
        <tr r="C2294" s="2"/>
      </tp>
      <tp t="s">
        <v>#N/A Requesting Data...2578128546</v>
        <stp/>
        <stp>BDP|6403268654725858194</stp>
        <tr r="A1970" s="2"/>
      </tp>
      <tp t="s">
        <v>#N/A Requesting Data...4086383145</v>
        <stp/>
        <stp>BDP|8158857001152618743</stp>
        <tr r="N2498" s="2"/>
      </tp>
      <tp t="s">
        <v>#N/A Requesting Data...2116947162</v>
        <stp/>
        <stp>BDP|5223012935950018319</stp>
        <tr r="F524" s="2"/>
      </tp>
      <tp t="s">
        <v>#N/A Requesting Data...2204960486</v>
        <stp/>
        <stp>BDP|8606247406377732846</stp>
        <tr r="O2426" s="2"/>
      </tp>
      <tp t="s">
        <v>#N/A Requesting Data...3063084647</v>
        <stp/>
        <stp>BDP|9712803406403136774</stp>
        <tr r="D1093" s="2"/>
      </tp>
      <tp t="s">
        <v>#N/A Requesting Data...3749185799</v>
        <stp/>
        <stp>BDP|6054058426396560719</stp>
        <tr r="O1771" s="2"/>
      </tp>
      <tp t="s">
        <v>#N/A Requesting Data...2083046496</v>
        <stp/>
        <stp>BDP|7153161950350206626</stp>
        <tr r="K2069" s="2"/>
      </tp>
      <tp t="s">
        <v>#N/A Requesting Data...3187881934</v>
        <stp/>
        <stp>BDP|7180538134447142300</stp>
        <tr r="E36" s="2"/>
      </tp>
      <tp t="s">
        <v>#N/A Requesting Data...3399470297</v>
        <stp/>
        <stp>BDP|9919933219381130552</stp>
        <tr r="Q103" s="2"/>
      </tp>
      <tp t="s">
        <v>#N/A Requesting Data...1501234889</v>
        <stp/>
        <stp>BDP|1882974201195886815</stp>
        <tr r="M1088" s="2"/>
      </tp>
      <tp t="s">
        <v>#N/A Requesting Data...2009178733</v>
        <stp/>
        <stp>BDP|7047460165673638321</stp>
        <tr r="F1091" s="2"/>
      </tp>
      <tp t="s">
        <v>#N/A Requesting Data...2741834574</v>
        <stp/>
        <stp>BDP|1125875695475610021</stp>
        <tr r="A1296" s="2"/>
      </tp>
      <tp t="s">
        <v>#N/A Requesting Data...4000987050</v>
        <stp/>
        <stp>BDP|1111762417767226555</stp>
        <tr r="O997" s="2"/>
      </tp>
      <tp t="s">
        <v>#N/A Requesting Data...1808287691</v>
        <stp/>
        <stp>BDP|2904124967686325683</stp>
        <tr r="C717" s="2"/>
      </tp>
      <tp t="s">
        <v>#N/A Requesting Data...3643314165</v>
        <stp/>
        <stp>BDP|7482519905490723704</stp>
        <tr r="P2179" s="2"/>
      </tp>
      <tp t="s">
        <v>#N/A Requesting Data...2843987202</v>
        <stp/>
        <stp>BDP|8317959460460667279</stp>
        <tr r="T2076" s="2"/>
      </tp>
      <tp t="s">
        <v>#N/A Requesting Data...3284662523</v>
        <stp/>
        <stp>BDP|9631327195215219344</stp>
        <tr r="D1404" s="2"/>
      </tp>
      <tp t="s">
        <v>#N/A Requesting Data...2804346774</v>
        <stp/>
        <stp>BDP|5936346279746394209</stp>
        <tr r="P179" s="2"/>
      </tp>
      <tp t="b">
        <v>0</v>
        <stp/>
        <stp>BDS|5557019880988213015</stp>
        <tr r="I1127" s="2"/>
      </tp>
      <tp t="s">
        <v>#N/A Requesting Data...2389474227</v>
        <stp/>
        <stp>BDP|9053357098607362190</stp>
        <tr r="P2103" s="2"/>
      </tp>
      <tp t="s">
        <v>#N/A Requesting Data...2305084490</v>
        <stp/>
        <stp>BDP|9332699058278238779</stp>
        <tr r="G1326" s="2"/>
      </tp>
      <tp t="s">
        <v>#N/A Requesting Data...3330990593</v>
        <stp/>
        <stp>BDP|4233631623824599101</stp>
        <tr r="R915" s="2"/>
      </tp>
      <tp t="s">
        <v>#N/A Requesting Data...2852941762</v>
        <stp/>
        <stp>BDP|8721356625184577850</stp>
        <tr r="F575" s="2"/>
      </tp>
      <tp t="s">
        <v>#N/A Requesting Data...2130989130</v>
        <stp/>
        <stp>BDP|1699572670165683300</stp>
        <tr r="G1842" s="2"/>
      </tp>
      <tp t="s">
        <v>#N/A Requesting Data...2996337411</v>
        <stp/>
        <stp>BDP|8636901104147149345</stp>
        <tr r="M1670" s="2"/>
      </tp>
      <tp t="s">
        <v>#N/A Requesting Data...2018830698</v>
        <stp/>
        <stp>BDP|5349767565157072677</stp>
        <tr r="J2137" s="2"/>
      </tp>
      <tp t="s">
        <v>#N/A Requesting Data...3583014003</v>
        <stp/>
        <stp>BDP|2052434216941056328</stp>
        <tr r="F1394" s="2"/>
      </tp>
      <tp t="s">
        <v>#N/A Requesting Data...4150751120</v>
        <stp/>
        <stp>BDP|5936889108911735995</stp>
        <tr r="J1745" s="2"/>
      </tp>
      <tp t="s">
        <v>#N/A Requesting Data...3854347217</v>
        <stp/>
        <stp>BDP|6747503069529069991</stp>
        <tr r="R998" s="2"/>
      </tp>
      <tp t="s">
        <v>#N/A Requesting Data...1799341776</v>
        <stp/>
        <stp>BDP|1633650715796854594</stp>
        <tr r="Q2323" s="2"/>
      </tp>
      <tp t="b">
        <v>0</v>
        <stp/>
        <stp>BDS|9662655018512855944</stp>
        <tr r="I731" s="2"/>
      </tp>
      <tp t="s">
        <v>#N/A Requesting Data...2809361530</v>
        <stp/>
        <stp>BDP|3214353537244462232</stp>
        <tr r="C572" s="2"/>
      </tp>
      <tp t="s">
        <v>#N/A Requesting Data...2846766164</v>
        <stp/>
        <stp>BDP|8462123380440615474</stp>
        <tr r="G1673" s="2"/>
      </tp>
      <tp t="s">
        <v>#N/A Requesting Data...3256590947</v>
        <stp/>
        <stp>BDP|7521624442340550074</stp>
        <tr r="F519" s="2"/>
      </tp>
      <tp t="s">
        <v>#N/A Requesting Data...2552226455</v>
        <stp/>
        <stp>BDP|3251153710335716370</stp>
        <tr r="N1281" s="2"/>
      </tp>
      <tp t="s">
        <v>#N/A Requesting Data...2909736631</v>
        <stp/>
        <stp>BDP|7107952680144769741</stp>
        <tr r="P832" s="2"/>
      </tp>
      <tp t="s">
        <v>#N/A Requesting Data...3295329050</v>
        <stp/>
        <stp>BDP|3005993994944263288</stp>
        <tr r="N470" s="2"/>
      </tp>
      <tp t="s">
        <v>#N/A Requesting Data...3743065352</v>
        <stp/>
        <stp>BDP|6133773402232012634</stp>
        <tr r="R1961" s="2"/>
      </tp>
      <tp t="b">
        <v>0</v>
        <stp/>
        <stp>BDS|5543669653650796306</stp>
        <tr r="I826" s="2"/>
      </tp>
      <tp t="s">
        <v>#N/A Requesting Data...4123217481</v>
        <stp/>
        <stp>BDP|8395628045036165920</stp>
        <tr r="A442" s="2"/>
      </tp>
      <tp t="s">
        <v>#N/A Requesting Data...3363090008</v>
        <stp/>
        <stp>BDP|2032559721419608959</stp>
        <tr r="Q450" s="2"/>
      </tp>
      <tp t="s">
        <v>#N/A Requesting Data...3342693965</v>
        <stp/>
        <stp>BDP|2722708272282684547</stp>
        <tr r="T362" s="2"/>
      </tp>
      <tp t="s">
        <v>#N/A Requesting Data...1648747098</v>
        <stp/>
        <stp>BDP|1645135070306118434</stp>
        <tr r="K704" s="2"/>
      </tp>
      <tp t="s">
        <v>#N/A Requesting Data...2905958311</v>
        <stp/>
        <stp>BDP|1697148053086460620</stp>
        <tr r="P2361" s="2"/>
      </tp>
      <tp t="s">
        <v>#N/A Requesting Data...2329145004</v>
        <stp/>
        <stp>BDP|3036447850163512463</stp>
        <tr r="P2171" s="2"/>
      </tp>
      <tp t="s">
        <v>#N/A Requesting Data...1816160092</v>
        <stp/>
        <stp>BDP|6976006110250759291</stp>
        <tr r="Q1317" s="2"/>
      </tp>
      <tp t="s">
        <v>#N/A Requesting Data...2191938127</v>
        <stp/>
        <stp>BDP|1018061194799097458</stp>
        <tr r="S1115" s="2"/>
      </tp>
      <tp t="s">
        <v>#N/A Requesting Data...2954986152</v>
        <stp/>
        <stp>BDP|9540439894262789321</stp>
        <tr r="G1013" s="2"/>
      </tp>
      <tp t="s">
        <v>#N/A Requesting Data...3803458330</v>
        <stp/>
        <stp>BDP|3813565840416958103</stp>
        <tr r="F163" s="2"/>
      </tp>
      <tp t="s">
        <v>#N/A Requesting Data...2719334266</v>
        <stp/>
        <stp>BDP|3584651472496396162</stp>
        <tr r="R2402" s="2"/>
      </tp>
      <tp t="s">
        <v>#N/A Requesting Data...2339884877</v>
        <stp/>
        <stp>BDP|2053628845214692160</stp>
        <tr r="N1422" s="2"/>
      </tp>
      <tp t="s">
        <v>#N/A Requesting Data...2749269820</v>
        <stp/>
        <stp>BDP|9508631691225924697</stp>
        <tr r="C2098" s="2"/>
      </tp>
      <tp t="s">
        <v>#N/A Requesting Data...2573971667</v>
        <stp/>
        <stp>BDP|7021552653977664546</stp>
        <tr r="G865" s="2"/>
      </tp>
      <tp t="b">
        <v>0</v>
        <stp/>
        <stp>BDS|5782506652259504946</stp>
        <tr r="I2261" s="2"/>
      </tp>
      <tp t="s">
        <v>#N/A Requesting Data...3271792954</v>
        <stp/>
        <stp>BDP|7224613155145710458</stp>
        <tr r="N2457" s="2"/>
      </tp>
      <tp t="s">
        <v>#N/A Requesting Data...2666053736</v>
        <stp/>
        <stp>BDP|3915315517551887530</stp>
        <tr r="A2311" s="2"/>
      </tp>
      <tp t="s">
        <v>#N/A Requesting Data...2294105098</v>
        <stp/>
        <stp>BDP|7599024328693879335</stp>
        <tr r="J1241" s="2"/>
      </tp>
      <tp t="s">
        <v>#N/A Requesting Data...3807067466</v>
        <stp/>
        <stp>BDP|2273652066997351060</stp>
        <tr r="M1608" s="2"/>
      </tp>
      <tp t="s">
        <v>#N/A Requesting Data...3757820216</v>
        <stp/>
        <stp>BDP|3347631509864421497</stp>
        <tr r="Q139" s="2"/>
      </tp>
      <tp t="s">
        <v>#N/A Requesting Data...3496106966</v>
        <stp/>
        <stp>BDP|6257695402151581481</stp>
        <tr r="T1815" s="2"/>
      </tp>
      <tp t="s">
        <v>#N/A Requesting Data...4026646654</v>
        <stp/>
        <stp>BDP|2763412584052783914</stp>
        <tr r="H534" s="2"/>
      </tp>
      <tp t="s">
        <v>#N/A Requesting Data...4198091637</v>
        <stp/>
        <stp>BDP|2156787122803726180</stp>
        <tr r="K1416" s="2"/>
      </tp>
      <tp t="s">
        <v>#N/A Requesting Data...4132822081</v>
        <stp/>
        <stp>BDP|4390158376851544615</stp>
        <tr r="D2287" s="2"/>
      </tp>
      <tp t="s">
        <v>#N/A Requesting Data...3306629545</v>
        <stp/>
        <stp>BDP|9596177291327659310</stp>
        <tr r="E1847" s="2"/>
      </tp>
      <tp t="s">
        <v>#N/A Requesting Data...3857819826</v>
        <stp/>
        <stp>BDP|6403221479954915222</stp>
        <tr r="T1310" s="2"/>
      </tp>
      <tp t="s">
        <v>#N/A Requesting Data...3330047070</v>
        <stp/>
        <stp>BDP|5247384929496666719</stp>
        <tr r="C1743" s="2"/>
      </tp>
      <tp t="s">
        <v>#N/A Requesting Data...4117699824</v>
        <stp/>
        <stp>BDP|1431478978217617093</stp>
        <tr r="S87" s="2"/>
      </tp>
      <tp t="s">
        <v>#N/A Requesting Data...2293683437</v>
        <stp/>
        <stp>BDP|6518332372221228629</stp>
        <tr r="T2502" s="2"/>
      </tp>
      <tp t="s">
        <v>#N/A Requesting Data...2020751562</v>
        <stp/>
        <stp>BDP|1046070047131097146</stp>
        <tr r="S95" s="2"/>
      </tp>
      <tp t="s">
        <v>#N/A Requesting Data...2099085223</v>
        <stp/>
        <stp>BDP|5697373820026339764</stp>
        <tr r="C2064" s="2"/>
      </tp>
      <tp t="s">
        <v>#N/A Requesting Data...4099038557</v>
        <stp/>
        <stp>BDP|5957356673862215697</stp>
        <tr r="F1060" s="2"/>
      </tp>
      <tp t="b">
        <v>0</v>
        <stp/>
        <stp>BDS|4199873279876344888</stp>
        <tr r="I1429" s="2"/>
      </tp>
      <tp t="s">
        <v>#N/A Requesting Data...1981412815</v>
        <stp/>
        <stp>BDP|2955622328850708302</stp>
        <tr r="D1376" s="2"/>
      </tp>
      <tp t="s">
        <v>#N/A Requesting Data...3438659359</v>
        <stp/>
        <stp>BDP|4282568906860668402</stp>
        <tr r="E139" s="2"/>
      </tp>
      <tp t="s">
        <v>#N/A Requesting Data...3545994658</v>
        <stp/>
        <stp>BDP|7183575179363273395</stp>
        <tr r="T344" s="2"/>
      </tp>
      <tp t="s">
        <v>#N/A Requesting Data...1971609771</v>
        <stp/>
        <stp>BDP|3078148028491101497</stp>
        <tr r="S1480" s="2"/>
      </tp>
      <tp t="s">
        <v>#N/A Requesting Data...4136930989</v>
        <stp/>
        <stp>BDP|9029814242989374947</stp>
        <tr r="G1639" s="2"/>
      </tp>
      <tp t="s">
        <v>#N/A Requesting Data...4292152553</v>
        <stp/>
        <stp>BDP|7618420971848508946</stp>
        <tr r="T2251" s="2"/>
      </tp>
      <tp t="s">
        <v>#N/A Requesting Data...2917097522</v>
        <stp/>
        <stp>BDP|7575960022899622032</stp>
        <tr r="T1909" s="2"/>
      </tp>
      <tp t="s">
        <v>#N/A Requesting Data...2383949942</v>
        <stp/>
        <stp>BDP|3932889082143726507</stp>
        <tr r="R2086" s="2"/>
      </tp>
      <tp t="s">
        <v>#N/A Requesting Data...3874848219</v>
        <stp/>
        <stp>BDP|4322461319823832706</stp>
        <tr r="G123" s="2"/>
      </tp>
      <tp t="s">
        <v>#N/A Requesting Data...4257957137</v>
        <stp/>
        <stp>BDP|3717044045313695141</stp>
        <tr r="A673" s="2"/>
      </tp>
      <tp t="s">
        <v>#N/A Requesting Data...3842924183</v>
        <stp/>
        <stp>BDP|5449264074447720258</stp>
        <tr r="O2128" s="2"/>
      </tp>
      <tp t="s">
        <v>#N/A Requesting Data...2698306909</v>
        <stp/>
        <stp>BDP|5057791352944728681</stp>
        <tr r="S1239" s="2"/>
      </tp>
      <tp t="s">
        <v>#N/A Requesting Data...2623549871</v>
        <stp/>
        <stp>BDP|5262440505375155161</stp>
        <tr r="P977" s="2"/>
      </tp>
      <tp t="s">
        <v>#N/A Requesting Data...2550302574</v>
        <stp/>
        <stp>BDP|5312328565975270026</stp>
        <tr r="D1914" s="2"/>
      </tp>
      <tp t="s">
        <v>#N/A Requesting Data...2702980567</v>
        <stp/>
        <stp>BDP|6577439043545393623</stp>
        <tr r="R322" s="2"/>
      </tp>
      <tp t="s">
        <v>#N/A Requesting Data...2521028724</v>
        <stp/>
        <stp>BDP|2354656466241316671</stp>
        <tr r="J2286" s="2"/>
      </tp>
      <tp t="s">
        <v>#N/A Requesting Data...3603919932</v>
        <stp/>
        <stp>BDP|3992963304997725880</stp>
        <tr r="Q1669" s="2"/>
      </tp>
      <tp t="s">
        <v>#N/A Requesting Data...2195394742</v>
        <stp/>
        <stp>BDP|8712133109235055995</stp>
        <tr r="S1631" s="2"/>
      </tp>
      <tp t="s">
        <v>#N/A Requesting Data...3945813745</v>
        <stp/>
        <stp>BDP|7935431305763917524</stp>
        <tr r="O1931" s="2"/>
      </tp>
      <tp t="s">
        <v>#N/A Requesting Data...1946475597</v>
        <stp/>
        <stp>BDP|1844390676802253219</stp>
        <tr r="C637" s="2"/>
      </tp>
      <tp t="s">
        <v>#N/A Requesting Data...2743975919</v>
        <stp/>
        <stp>BDP|7010853182416621454</stp>
        <tr r="F19" s="2"/>
      </tp>
      <tp t="s">
        <v>#N/A Requesting Data...3826934446</v>
        <stp/>
        <stp>BDP|1682917109598839529</stp>
        <tr r="M487" s="2"/>
      </tp>
      <tp t="s">
        <v>#N/A Requesting Data...4294073907</v>
        <stp/>
        <stp>BDP|4655777820283068756</stp>
        <tr r="C2199" s="2"/>
      </tp>
      <tp t="s">
        <v>#N/A Requesting Data...2567797873</v>
        <stp/>
        <stp>BDP|1394868451211009803</stp>
        <tr r="G1370" s="2"/>
      </tp>
      <tp t="s">
        <v>#N/A Requesting Data...2189140885</v>
        <stp/>
        <stp>BDP|8650233980097726067</stp>
        <tr r="F9" s="2"/>
      </tp>
      <tp t="s">
        <v>#N/A Requesting Data...3087352155</v>
        <stp/>
        <stp>BDP|6474431560200301107</stp>
        <tr r="D2065" s="2"/>
      </tp>
      <tp t="s">
        <v>#N/A Requesting Data...3338456946</v>
        <stp/>
        <stp>BDP|8569602582156408576</stp>
        <tr r="C2371" s="2"/>
      </tp>
      <tp t="s">
        <v>#N/A Requesting Data...4256644687</v>
        <stp/>
        <stp>BDP|8214524714730252924</stp>
        <tr r="R471" s="2"/>
      </tp>
      <tp t="s">
        <v>#N/A Requesting Data...2539938679</v>
        <stp/>
        <stp>BDP|2047295929247129052</stp>
        <tr r="K1388" s="2"/>
      </tp>
      <tp t="s">
        <v>#N/A Requesting Data...2904426480</v>
        <stp/>
        <stp>BDP|9319925686438351506</stp>
        <tr r="M196" s="2"/>
      </tp>
      <tp t="s">
        <v>#N/A Requesting Data...2274934138</v>
        <stp/>
        <stp>BDP|2961196954417656462</stp>
        <tr r="Q735" s="2"/>
      </tp>
      <tp t="s">
        <v>#N/A Requesting Data...3824514276</v>
        <stp/>
        <stp>BDP|5261606634062155737</stp>
        <tr r="E2469" s="2"/>
      </tp>
      <tp t="s">
        <v>#N/A Requesting Data...3003983050</v>
        <stp/>
        <stp>BDP|9580841571513370079</stp>
        <tr r="C1053" s="2"/>
      </tp>
      <tp t="s">
        <v>#N/A Requesting Data...2690613481</v>
        <stp/>
        <stp>BDP|5916959399437761768</stp>
        <tr r="J504" s="2"/>
      </tp>
      <tp t="s">
        <v>#N/A Requesting Data...3616372948</v>
        <stp/>
        <stp>BDP|6464272077404203222</stp>
        <tr r="T1205" s="2"/>
      </tp>
      <tp t="s">
        <v>#N/A Requesting Data...4184870394</v>
        <stp/>
        <stp>BDP|5647956063849093641</stp>
        <tr r="Q2178" s="2"/>
      </tp>
      <tp t="s">
        <v>#N/A Requesting Data...3960624624</v>
        <stp/>
        <stp>BDP|1736690661797818337</stp>
        <tr r="J839" s="2"/>
      </tp>
      <tp t="s">
        <v>#N/A Requesting Data...2607954191</v>
        <stp/>
        <stp>BDP|1510521250586027235</stp>
        <tr r="Q2443" s="2"/>
      </tp>
      <tp t="s">
        <v>#N/A Requesting Data...2992710608</v>
        <stp/>
        <stp>BDP|1724314015093653511</stp>
        <tr r="K2132" s="2"/>
      </tp>
      <tp t="s">
        <v>#N/A Requesting Data...2207310805</v>
        <stp/>
        <stp>BDP|7609151192333335963</stp>
        <tr r="H1058" s="2"/>
      </tp>
      <tp t="s">
        <v>#N/A Requesting Data...3559712428</v>
        <stp/>
        <stp>BDP|8048563485164613415</stp>
        <tr r="H164" s="2"/>
      </tp>
      <tp t="s">
        <v>#N/A Requesting Data...3506887931</v>
        <stp/>
        <stp>BDP|1291092304293830738</stp>
        <tr r="O2017" s="2"/>
      </tp>
      <tp t="s">
        <v>#N/A Requesting Data...2180546407</v>
        <stp/>
        <stp>BDP|5842729468972534332</stp>
        <tr r="O292" s="2"/>
      </tp>
      <tp t="s">
        <v>#N/A Requesting Data...3980109677</v>
        <stp/>
        <stp>BDP|8609861576525038722</stp>
        <tr r="G1710" s="2"/>
      </tp>
      <tp t="s">
        <v>#N/A Requesting Data...3497268042</v>
        <stp/>
        <stp>BDP|1783173735720294630</stp>
        <tr r="A2429" s="2"/>
      </tp>
      <tp t="s">
        <v>#N/A Requesting Data...3081845008</v>
        <stp/>
        <stp>BDP|7080556160652397324</stp>
        <tr r="K205" s="2"/>
      </tp>
      <tp t="s">
        <v>#N/A Requesting Data...2925548244</v>
        <stp/>
        <stp>BDP|7578133703417970482</stp>
        <tr r="S1462" s="2"/>
      </tp>
      <tp t="s">
        <v>#N/A Requesting Data...2995141817</v>
        <stp/>
        <stp>BDP|8562244496396607054</stp>
        <tr r="E939" s="2"/>
      </tp>
      <tp t="s">
        <v>#N/A Requesting Data...4121868764</v>
        <stp/>
        <stp>BDP|1120530831256664413</stp>
        <tr r="N371" s="2"/>
      </tp>
      <tp t="s">
        <v>#N/A Requesting Data...3733835207</v>
        <stp/>
        <stp>BDP|4161324744996486076</stp>
        <tr r="A2377" s="2"/>
      </tp>
      <tp t="s">
        <v>#N/A Requesting Data...2075680365</v>
        <stp/>
        <stp>BDP|6793182464331750589</stp>
        <tr r="D677" s="2"/>
      </tp>
      <tp t="s">
        <v>#N/A Requesting Data...3586740423</v>
        <stp/>
        <stp>BDP|8725783174405700881</stp>
        <tr r="J2452" s="2"/>
      </tp>
      <tp t="s">
        <v>#N/A Requesting Data...3708409952</v>
        <stp/>
        <stp>BDP|8911407799436271661</stp>
        <tr r="N2447" s="2"/>
      </tp>
      <tp t="s">
        <v>#N/A Requesting Data...4226175138</v>
        <stp/>
        <stp>BDP|2837667027397968445</stp>
        <tr r="T2495" s="2"/>
      </tp>
      <tp t="s">
        <v>#N/A Requesting Data...3643567603</v>
        <stp/>
        <stp>BDP|5224162184558692128</stp>
        <tr r="N1154" s="2"/>
      </tp>
      <tp t="s">
        <v>#N/A Requesting Data...2912137899</v>
        <stp/>
        <stp>BDP|9992977491234398881</stp>
        <tr r="E2486" s="2"/>
      </tp>
      <tp t="s">
        <v>#N/A Requesting Data...2016677655</v>
        <stp/>
        <stp>BDP|4587425442938869996</stp>
        <tr r="G935" s="2"/>
      </tp>
      <tp t="s">
        <v>#N/A Requesting Data...2571944419</v>
        <stp/>
        <stp>BDP|4690165813051797001</stp>
        <tr r="K2434" s="2"/>
      </tp>
      <tp t="b">
        <v>0</v>
        <stp/>
        <stp>BDS|2187142165533721339</stp>
        <tr r="I592" s="2"/>
      </tp>
      <tp t="s">
        <v>#N/A Requesting Data...3501621726</v>
        <stp/>
        <stp>BDP|1660498868954638253</stp>
        <tr r="T1322" s="2"/>
      </tp>
      <tp t="s">
        <v>#N/A Requesting Data...2087718996</v>
        <stp/>
        <stp>BDP|2632616255631254541</stp>
        <tr r="J120" s="2"/>
      </tp>
      <tp t="s">
        <v>#N/A Requesting Data...2530512808</v>
        <stp/>
        <stp>BDP|3830487641091752726</stp>
        <tr r="P2096" s="2"/>
      </tp>
      <tp t="s">
        <v>#N/A Requesting Data...3984393742</v>
        <stp/>
        <stp>BDP|1058355732811660559</stp>
        <tr r="H713" s="2"/>
      </tp>
      <tp t="s">
        <v>#N/A Requesting Data...2749918671</v>
        <stp/>
        <stp>BDP|9382705457979648767</stp>
        <tr r="M932" s="2"/>
      </tp>
      <tp t="s">
        <v>#N/A Requesting Data...2759263287</v>
        <stp/>
        <stp>BDP|2084551246245686315</stp>
        <tr r="K75" s="2"/>
      </tp>
      <tp t="s">
        <v>#N/A Requesting Data...2948725448</v>
        <stp/>
        <stp>BDP|5315115616649842980</stp>
        <tr r="F2083" s="2"/>
      </tp>
      <tp t="s">
        <v>#N/A Requesting Data...1930934242</v>
        <stp/>
        <stp>BDP|8401715880090256236</stp>
        <tr r="J890" s="2"/>
      </tp>
      <tp t="s">
        <v>#N/A Requesting Data...2792754073</v>
        <stp/>
        <stp>BDP|7627516436511052552</stp>
        <tr r="K2363" s="2"/>
      </tp>
      <tp t="b">
        <v>0</v>
        <stp/>
        <stp>BDS|5180646181106080802</stp>
        <tr r="I302" s="2"/>
      </tp>
      <tp t="s">
        <v>#N/A Requesting Data...3515472522</v>
        <stp/>
        <stp>BDP|4416583512690254587</stp>
        <tr r="J90" s="2"/>
      </tp>
      <tp t="s">
        <v>#N/A Requesting Data...2940266552</v>
        <stp/>
        <stp>BDP|5930243955095818247</stp>
        <tr r="P2472" s="2"/>
      </tp>
      <tp t="s">
        <v>#N/A Requesting Data...3568178468</v>
        <stp/>
        <stp>BDP|1353455596781254864</stp>
        <tr r="C2219" s="2"/>
      </tp>
      <tp t="b">
        <v>0</v>
        <stp/>
        <stp>BDS|9477225741123193930</stp>
        <tr r="I1548" s="2"/>
      </tp>
      <tp t="b">
        <v>0</v>
        <stp/>
        <stp>BDS|6389573975633411206</stp>
        <tr r="I406" s="2"/>
      </tp>
      <tp t="s">
        <v>#N/A Requesting Data...2515614808</v>
        <stp/>
        <stp>BDP|4950437134844229291</stp>
        <tr r="Q303" s="2"/>
      </tp>
      <tp t="s">
        <v>#N/A Requesting Data...3631258178</v>
        <stp/>
        <stp>BDP|4137053823914253705</stp>
        <tr r="E2199" s="2"/>
      </tp>
      <tp t="s">
        <v>#N/A Requesting Data...3834638910</v>
        <stp/>
        <stp>BDP|5121448244080053046</stp>
        <tr r="H1835" s="2"/>
      </tp>
      <tp t="s">
        <v>#N/A Requesting Data...2678533043</v>
        <stp/>
        <stp>BDP|7735764055852755262</stp>
        <tr r="D1461" s="2"/>
      </tp>
      <tp t="s">
        <v>#N/A Requesting Data...3543345849</v>
        <stp/>
        <stp>BDP|3464559735603175306</stp>
        <tr r="S611" s="2"/>
      </tp>
      <tp t="s">
        <v>#N/A Requesting Data...2114338150</v>
        <stp/>
        <stp>BDP|2401366391005461828</stp>
        <tr r="G2276" s="2"/>
      </tp>
      <tp t="s">
        <v>#N/A Requesting Data...3430660279</v>
        <stp/>
        <stp>BDP|2560117560994185408</stp>
        <tr r="M1101" s="2"/>
      </tp>
      <tp t="s">
        <v>#N/A Requesting Data...3285964955</v>
        <stp/>
        <stp>BDP|7107269343140940487</stp>
        <tr r="K1623" s="2"/>
      </tp>
      <tp t="s">
        <v>#N/A Requesting Data...4210317736</v>
        <stp/>
        <stp>BDP|5515634674109690816</stp>
        <tr r="D1750" s="2"/>
      </tp>
      <tp t="s">
        <v>#N/A Requesting Data...4026815380</v>
        <stp/>
        <stp>BDP|6450262780119595024</stp>
        <tr r="N1328" s="2"/>
      </tp>
      <tp t="s">
        <v>#N/A Requesting Data...1975011646</v>
        <stp/>
        <stp>BDP|3078358976582101071</stp>
        <tr r="C2167" s="2"/>
      </tp>
      <tp t="s">
        <v>#N/A Requesting Data...2205472333</v>
        <stp/>
        <stp>BDP|5608642218847745085</stp>
        <tr r="M469" s="2"/>
      </tp>
      <tp t="s">
        <v>#N/A Requesting Data...2238632574</v>
        <stp/>
        <stp>BDP|3395423612466501534</stp>
        <tr r="E661" s="2"/>
      </tp>
      <tp t="s">
        <v>#N/A Requesting Data...3283099385</v>
        <stp/>
        <stp>BDP|7935629112966815348</stp>
        <tr r="K593" s="2"/>
      </tp>
      <tp t="b">
        <v>0</v>
        <stp/>
        <stp>BDS|7392921647856306909</stp>
        <tr r="I1670" s="2"/>
      </tp>
      <tp t="s">
        <v>#N/A Requesting Data...3545823228</v>
        <stp/>
        <stp>BDP|7766109067011274472</stp>
        <tr r="S110" s="2"/>
      </tp>
      <tp t="s">
        <v>#N/A Requesting Data...2692669784</v>
        <stp/>
        <stp>BDP|1269182576853805116</stp>
        <tr r="N2521" s="2"/>
      </tp>
      <tp t="s">
        <v>#N/A Requesting Data...2830028592</v>
        <stp/>
        <stp>BDP|2281075056665588739</stp>
        <tr r="J1564" s="2"/>
      </tp>
      <tp t="s">
        <v>#N/A Requesting Data...1916938911</v>
        <stp/>
        <stp>BDP|5895555393604829832</stp>
        <tr r="N2493" s="2"/>
      </tp>
      <tp t="s">
        <v>#N/A Requesting Data...3310785123</v>
        <stp/>
        <stp>BDP|3617519955851090773</stp>
        <tr r="O1585" s="2"/>
      </tp>
      <tp t="s">
        <v>#N/A Requesting Data...3174439424</v>
        <stp/>
        <stp>BDP|4585261976085950191</stp>
        <tr r="T904" s="2"/>
      </tp>
      <tp t="s">
        <v>#N/A Requesting Data...3754736092</v>
        <stp/>
        <stp>BDP|1808451319043899295</stp>
        <tr r="J2489" s="2"/>
      </tp>
      <tp t="s">
        <v>#N/A Requesting Data...3772449563</v>
        <stp/>
        <stp>BDP|1976379705055677284</stp>
        <tr r="M2521" s="2"/>
      </tp>
      <tp t="s">
        <v>#N/A Requesting Data...2492624728</v>
        <stp/>
        <stp>BDP|6541632716861623531</stp>
        <tr r="K1167" s="2"/>
      </tp>
      <tp t="s">
        <v>#N/A Requesting Data...3937504716</v>
        <stp/>
        <stp>BDP|9205113478779705399</stp>
        <tr r="S1026" s="2"/>
      </tp>
      <tp t="s">
        <v>#N/A Requesting Data...4267985043</v>
        <stp/>
        <stp>BDP|1174548931267936583</stp>
        <tr r="K1631" s="2"/>
      </tp>
      <tp t="s">
        <v>#N/A Requesting Data...2996053666</v>
        <stp/>
        <stp>BDP|1216440972860077713</stp>
        <tr r="G1520" s="2"/>
      </tp>
      <tp t="s">
        <v>#N/A Requesting Data...2799646699</v>
        <stp/>
        <stp>BDP|8222592289286591626</stp>
        <tr r="A1240" s="2"/>
      </tp>
      <tp t="s">
        <v>#N/A Requesting Data...3262502789</v>
        <stp/>
        <stp>BDP|5393010260122618414</stp>
        <tr r="N1122" s="2"/>
      </tp>
      <tp t="s">
        <v>#N/A Requesting Data...4179433361</v>
        <stp/>
        <stp>BDP|5480569430427582121</stp>
        <tr r="H434" s="2"/>
      </tp>
      <tp t="s">
        <v>#N/A Requesting Data...4088045158</v>
        <stp/>
        <stp>BDP|9548818082749428575</stp>
        <tr r="O1125" s="2"/>
      </tp>
      <tp t="s">
        <v>#N/A Requesting Data...3045741115</v>
        <stp/>
        <stp>BDP|4020010040933642623</stp>
        <tr r="J64" s="2"/>
      </tp>
      <tp t="s">
        <v>#N/A Requesting Data...3308860862</v>
        <stp/>
        <stp>BDP|4031449430701637772</stp>
        <tr r="T1078" s="2"/>
      </tp>
      <tp t="s">
        <v>#N/A Requesting Data...2054724359</v>
        <stp/>
        <stp>BDP|1509028365177251550</stp>
        <tr r="R1614" s="2"/>
      </tp>
      <tp t="b">
        <v>0</v>
        <stp/>
        <stp>BDS|1178783718626452408</stp>
        <tr r="I361" s="2"/>
      </tp>
      <tp t="s">
        <v>#N/A Requesting Data...3128008523</v>
        <stp/>
        <stp>BDP|8482743671779314472</stp>
        <tr r="D1560" s="2"/>
      </tp>
      <tp t="s">
        <v>#N/A Requesting Data...2788382116</v>
        <stp/>
        <stp>BDP|8385984567126052497</stp>
        <tr r="R2189" s="2"/>
      </tp>
      <tp t="s">
        <v>#N/A Requesting Data...2665438588</v>
        <stp/>
        <stp>BDP|8802376470569250089</stp>
        <tr r="G388" s="2"/>
      </tp>
      <tp t="s">
        <v>#N/A Requesting Data...2214575631</v>
        <stp/>
        <stp>BDP|4733057282578399167</stp>
        <tr r="G1819" s="2"/>
      </tp>
      <tp t="s">
        <v>#N/A Requesting Data...3866640261</v>
        <stp/>
        <stp>BDP|6203867594813472116</stp>
        <tr r="G1204" s="2"/>
      </tp>
      <tp t="s">
        <v>#N/A Requesting Data...2469537282</v>
        <stp/>
        <stp>BDP|7980512561901592094</stp>
        <tr r="S1067" s="2"/>
      </tp>
      <tp t="s">
        <v>#N/A Requesting Data...3648923573</v>
        <stp/>
        <stp>BDP|3147472030245037436</stp>
        <tr r="S1755" s="2"/>
      </tp>
      <tp t="s">
        <v>#N/A Requesting Data...2516870659</v>
        <stp/>
        <stp>BDP|5134567760042022127</stp>
        <tr r="P1960" s="2"/>
      </tp>
      <tp t="s">
        <v>#N/A Requesting Data...2077777014</v>
        <stp/>
        <stp>BDP|1756237530877825299</stp>
        <tr r="S290" s="2"/>
      </tp>
      <tp t="s">
        <v>#N/A Requesting Data...3203534657</v>
        <stp/>
        <stp>BDP|9268574535698428217</stp>
        <tr r="A1856" s="2"/>
      </tp>
      <tp t="s">
        <v>#N/A Requesting Data...3007004907</v>
        <stp/>
        <stp>BDP|2614544714530668357</stp>
        <tr r="P1241" s="2"/>
      </tp>
      <tp t="s">
        <v>#N/A Requesting Data...2487999045</v>
        <stp/>
        <stp>BDP|8877304803616957871</stp>
        <tr r="C976" s="2"/>
      </tp>
      <tp t="s">
        <v>#N/A Requesting Data...2016356918</v>
        <stp/>
        <stp>BDP|7493559805447964083</stp>
        <tr r="R782" s="2"/>
      </tp>
      <tp t="s">
        <v>#N/A Requesting Data...3506637171</v>
        <stp/>
        <stp>BDP|2668400755081370751</stp>
        <tr r="K1341" s="2"/>
      </tp>
      <tp t="s">
        <v>#N/A Requesting Data...2851209193</v>
        <stp/>
        <stp>BDP|4860631967784976507</stp>
        <tr r="H643" s="2"/>
      </tp>
      <tp t="s">
        <v>#N/A Requesting Data...2348239575</v>
        <stp/>
        <stp>BDP|6110001530554371472</stp>
        <tr r="M732" s="2"/>
      </tp>
      <tp t="s">
        <v>#N/A Requesting Data...2914165626</v>
        <stp/>
        <stp>BDP|6761317196841186841</stp>
        <tr r="A1400" s="2"/>
      </tp>
      <tp t="s">
        <v>#N/A Requesting Data...3364675439</v>
        <stp/>
        <stp>BDP|6146066840287258005</stp>
        <tr r="G730" s="2"/>
      </tp>
      <tp t="s">
        <v>#N/A Requesting Data...4060044498</v>
        <stp/>
        <stp>BDP|1376305346352018100</stp>
        <tr r="T340" s="2"/>
      </tp>
      <tp t="s">
        <v>#N/A Requesting Data...3516149987</v>
        <stp/>
        <stp>BDP|1368357727121124452</stp>
        <tr r="D1747" s="2"/>
      </tp>
      <tp t="s">
        <v>#N/A Requesting Data...4279048045</v>
        <stp/>
        <stp>BDP|8273841325654530330</stp>
        <tr r="Q2035" s="2"/>
      </tp>
      <tp t="s">
        <v>#N/A Requesting Data...3956248556</v>
        <stp/>
        <stp>BDP|7603934893383063132</stp>
        <tr r="P235" s="2"/>
      </tp>
      <tp t="s">
        <v>#N/A Requesting Data...4029901115</v>
        <stp/>
        <stp>BDP|2005656405849159848</stp>
        <tr r="D2253" s="2"/>
      </tp>
      <tp t="s">
        <v>#N/A Requesting Data...4270976501</v>
        <stp/>
        <stp>BDP|5760942153685755924</stp>
        <tr r="Q2016" s="2"/>
      </tp>
      <tp t="s">
        <v>#N/A Requesting Data...2782283535</v>
        <stp/>
        <stp>BDP|3481733150170108439</stp>
        <tr r="C1425" s="2"/>
      </tp>
      <tp t="s">
        <v>#N/A Requesting Data...3935858614</v>
        <stp/>
        <stp>BDP|5289779795969681733</stp>
        <tr r="E1091" s="2"/>
      </tp>
      <tp t="s">
        <v>#N/A Requesting Data...3534560513</v>
        <stp/>
        <stp>BDP|3815171729614324106</stp>
        <tr r="O1434" s="2"/>
      </tp>
      <tp t="s">
        <v>#N/A Requesting Data...2156949984</v>
        <stp/>
        <stp>BDP|1235964685131423406</stp>
        <tr r="M1106" s="2"/>
      </tp>
      <tp t="s">
        <v>#N/A Requesting Data...3463346961</v>
        <stp/>
        <stp>BDP|1099716093863042971</stp>
        <tr r="T2263" s="2"/>
      </tp>
      <tp t="s">
        <v>#N/A Requesting Data...2802799541</v>
        <stp/>
        <stp>BDP|9637703343747308835</stp>
        <tr r="K2520" s="2"/>
      </tp>
      <tp t="s">
        <v>#N/A Requesting Data...3750330004</v>
        <stp/>
        <stp>BDP|5225555133120212632</stp>
        <tr r="K1424" s="2"/>
      </tp>
      <tp t="s">
        <v>#N/A Requesting Data...2361760397</v>
        <stp/>
        <stp>BDP|6165187076470213581</stp>
        <tr r="P410" s="2"/>
      </tp>
      <tp t="s">
        <v>#N/A Requesting Data...4280516919</v>
        <stp/>
        <stp>BDP|6386208119037835776</stp>
        <tr r="S2442" s="2"/>
      </tp>
      <tp t="s">
        <v>#N/A Requesting Data...2659066252</v>
        <stp/>
        <stp>BDP|1306210334550392509</stp>
        <tr r="A674" s="2"/>
      </tp>
      <tp t="s">
        <v>#N/A Requesting Data...2384237473</v>
        <stp/>
        <stp>BDP|3262813546673222924</stp>
        <tr r="N1775" s="2"/>
      </tp>
      <tp t="s">
        <v>#N/A Requesting Data...2339281695</v>
        <stp/>
        <stp>BDP|8585936216344510109</stp>
        <tr r="M1409" s="2"/>
      </tp>
      <tp t="s">
        <v>#N/A Requesting Data...4062200511</v>
        <stp/>
        <stp>BDP|4446023234347399548</stp>
        <tr r="S1450" s="2"/>
      </tp>
      <tp t="s">
        <v>#N/A Requesting Data...3766636960</v>
        <stp/>
        <stp>BDP|7436972183992154148</stp>
        <tr r="N219" s="2"/>
      </tp>
      <tp t="s">
        <v>#N/A Requesting Data...3172732541</v>
        <stp/>
        <stp>BDP|5143793909247105050</stp>
        <tr r="C1278" s="2"/>
      </tp>
      <tp t="b">
        <v>0</v>
        <stp/>
        <stp>BDS|6715799155374994575</stp>
        <tr r="I488" s="2"/>
      </tp>
      <tp t="s">
        <v>#N/A Requesting Data...4028659551</v>
        <stp/>
        <stp>BDP|4438904983227340715</stp>
        <tr r="H429" s="2"/>
      </tp>
      <tp t="s">
        <v>#N/A Requesting Data...2156347782</v>
        <stp/>
        <stp>BDP|7591808922069772152</stp>
        <tr r="P2097" s="2"/>
      </tp>
      <tp t="s">
        <v>#N/A Requesting Data...3220719335</v>
        <stp/>
        <stp>BDP|9177387521974849959</stp>
        <tr r="E2048" s="2"/>
      </tp>
      <tp t="s">
        <v>#N/A Requesting Data...3192562113</v>
        <stp/>
        <stp>BDP|7340676216684257155</stp>
        <tr r="R83" s="2"/>
      </tp>
      <tp t="s">
        <v>#N/A Requesting Data...3432783150</v>
        <stp/>
        <stp>BDP|1776543623090061356</stp>
        <tr r="N2420" s="2"/>
      </tp>
      <tp t="s">
        <v>#N/A Requesting Data...2855931635</v>
        <stp/>
        <stp>BDP|8363702992720520315</stp>
        <tr r="M555" s="2"/>
      </tp>
      <tp t="s">
        <v>#N/A Requesting Data...4056232318</v>
        <stp/>
        <stp>BDP|9040527904228503165</stp>
        <tr r="D467" s="2"/>
      </tp>
      <tp t="b">
        <v>0</v>
        <stp/>
        <stp>BDS|1066655092923191837</stp>
        <tr r="I2417" s="2"/>
      </tp>
      <tp t="s">
        <v>#N/A Requesting Data...2497963323</v>
        <stp/>
        <stp>BDP|6426739548859246980</stp>
        <tr r="F1698" s="2"/>
      </tp>
      <tp t="s">
        <v>#N/A Requesting Data...3568271408</v>
        <stp/>
        <stp>BDP|8357013609289845467</stp>
        <tr r="O30" s="2"/>
      </tp>
      <tp t="s">
        <v>#N/A Requesting Data...2549080977</v>
        <stp/>
        <stp>BDP|3419246754468333927</stp>
        <tr r="O759" s="2"/>
      </tp>
      <tp t="s">
        <v>#N/A Requesting Data...4279155602</v>
        <stp/>
        <stp>BDP|1620226245634255661</stp>
        <tr r="E1208" s="2"/>
      </tp>
      <tp t="b">
        <v>0</v>
        <stp/>
        <stp>BDS|5567775050333362143</stp>
        <tr r="I1400" s="2"/>
      </tp>
      <tp t="s">
        <v>#N/A Requesting Data...3124148381</v>
        <stp/>
        <stp>BDP|9494537098917372796</stp>
        <tr r="R981" s="2"/>
      </tp>
      <tp t="s">
        <v>#N/A Requesting Data...4029394227</v>
        <stp/>
        <stp>BDP|8479951025527545141</stp>
        <tr r="R1945" s="2"/>
      </tp>
      <tp t="s">
        <v>#N/A Requesting Data...2594701368</v>
        <stp/>
        <stp>BDP|9387167953610580867</stp>
        <tr r="S1540" s="2"/>
      </tp>
      <tp t="s">
        <v>#N/A Requesting Data...3922849325</v>
        <stp/>
        <stp>BDP|2009272560163350010</stp>
        <tr r="G66" s="2"/>
      </tp>
      <tp t="s">
        <v>#N/A Requesting Data...2559188960</v>
        <stp/>
        <stp>BDP|1495505985898342289</stp>
        <tr r="P987" s="2"/>
      </tp>
      <tp t="s">
        <v>#N/A Requesting Data...3525313995</v>
        <stp/>
        <stp>BDP|1693905776068845121</stp>
        <tr r="C313" s="2"/>
      </tp>
      <tp t="s">
        <v>#N/A Requesting Data...2275891692</v>
        <stp/>
        <stp>BDP|8895073681545530315</stp>
        <tr r="R1213" s="2"/>
      </tp>
      <tp t="s">
        <v>#N/A Requesting Data...3450930399</v>
        <stp/>
        <stp>BDP|5938687974231662399</stp>
        <tr r="S420" s="2"/>
      </tp>
      <tp t="s">
        <v>#N/A Requesting Data...2161885269</v>
        <stp/>
        <stp>BDP|1772098207325418274</stp>
        <tr r="Q228" s="2"/>
      </tp>
      <tp t="s">
        <v>#N/A Requesting Data...3902430157</v>
        <stp/>
        <stp>BDP|8185147899356122077</stp>
        <tr r="H1281" s="2"/>
      </tp>
      <tp t="s">
        <v>#N/A Requesting Data...2849540006</v>
        <stp/>
        <stp>BDP|1076627942181301499</stp>
        <tr r="O410" s="2"/>
      </tp>
      <tp t="s">
        <v>#N/A Requesting Data...3811232193</v>
        <stp/>
        <stp>BDP|7977334278554073189</stp>
        <tr r="T1922" s="2"/>
      </tp>
      <tp t="s">
        <v>#N/A Requesting Data...4176110867</v>
        <stp/>
        <stp>BDP|2391765941587655087</stp>
        <tr r="N2066" s="2"/>
      </tp>
      <tp t="b">
        <v>0</v>
        <stp/>
        <stp>BDS|5820828103672213915</stp>
        <tr r="I2366" s="2"/>
      </tp>
      <tp t="s">
        <v>#N/A Requesting Data...3746948713</v>
        <stp/>
        <stp>BDP|5149181652805527244</stp>
        <tr r="S1003" s="2"/>
      </tp>
      <tp t="s">
        <v>#N/A Requesting Data...4229400432</v>
        <stp/>
        <stp>BDP|5918622074101700329</stp>
        <tr r="M1105" s="2"/>
      </tp>
      <tp t="s">
        <v>#N/A Requesting Data...4109158184</v>
        <stp/>
        <stp>BDP|4902190320947855626</stp>
        <tr r="E925" s="2"/>
      </tp>
      <tp t="s">
        <v>#N/A Requesting Data...2720944932</v>
        <stp/>
        <stp>BDP|1597949499502681547</stp>
        <tr r="D1212" s="2"/>
      </tp>
      <tp t="s">
        <v>#N/A Requesting Data...4050335932</v>
        <stp/>
        <stp>BDP|5713613808892471707</stp>
        <tr r="R264" s="2"/>
      </tp>
      <tp t="s">
        <v>#N/A Requesting Data...2966675820</v>
        <stp/>
        <stp>BDP|1660970099886364112</stp>
        <tr r="M1412" s="2"/>
      </tp>
      <tp t="s">
        <v>#N/A Requesting Data...4062757688</v>
        <stp/>
        <stp>BDP|9739238931987906968</stp>
        <tr r="F1736" s="2"/>
      </tp>
      <tp t="s">
        <v>#N/A Requesting Data...2200740002</v>
        <stp/>
        <stp>BDP|6129124909909901892</stp>
        <tr r="F1814" s="2"/>
      </tp>
      <tp t="s">
        <v>#N/A Requesting Data...3162247524</v>
        <stp/>
        <stp>BDP|8870757080103692215</stp>
        <tr r="F1256" s="2"/>
      </tp>
      <tp t="s">
        <v>#N/A Requesting Data...4067753052</v>
        <stp/>
        <stp>BDP|4039462443965745781</stp>
        <tr r="T2129" s="2"/>
      </tp>
      <tp t="s">
        <v>#N/A Requesting Data...4091809340</v>
        <stp/>
        <stp>BDP|7042739509485704374</stp>
        <tr r="J319" s="2"/>
      </tp>
      <tp t="s">
        <v>#N/A Requesting Data...2635108388</v>
        <stp/>
        <stp>BDP|2015646632070990152</stp>
        <tr r="N1379" s="2"/>
      </tp>
      <tp t="s">
        <v>#N/A Requesting Data...2283021319</v>
        <stp/>
        <stp>BDP|5634789032612197579</stp>
        <tr r="R1490" s="2"/>
      </tp>
      <tp t="b">
        <v>0</v>
        <stp/>
        <stp>BDS|2220036511825305093</stp>
        <tr r="I2295" s="2"/>
      </tp>
      <tp t="s">
        <v>#N/A Requesting Data...3362100765</v>
        <stp/>
        <stp>BDP|8249624588931142131</stp>
        <tr r="T1929" s="2"/>
      </tp>
      <tp t="s">
        <v>#N/A Requesting Data...3656889467</v>
        <stp/>
        <stp>BDP|6739150281760013999</stp>
        <tr r="K1083" s="2"/>
      </tp>
      <tp t="s">
        <v>#N/A Requesting Data...3433232879</v>
        <stp/>
        <stp>BDP|2499987797071840596</stp>
        <tr r="K686" s="2"/>
      </tp>
      <tp t="s">
        <v>#N/A Requesting Data...2293961774</v>
        <stp/>
        <stp>BDP|8953087882794036299</stp>
        <tr r="F74" s="2"/>
      </tp>
      <tp t="b">
        <v>0</v>
        <stp/>
        <stp>BDS|7123392300773697142</stp>
        <tr r="I389" s="2"/>
      </tp>
      <tp t="s">
        <v>#N/A Requesting Data...3739221899</v>
        <stp/>
        <stp>BDP|1101283276877346560</stp>
        <tr r="A603" s="2"/>
      </tp>
      <tp t="s">
        <v>#N/A Requesting Data...4032859751</v>
        <stp/>
        <stp>BDP|5649240718588874889</stp>
        <tr r="E947" s="2"/>
      </tp>
      <tp t="s">
        <v>#N/A Requesting Data...3347314111</v>
        <stp/>
        <stp>BDP|7157530618687383234</stp>
        <tr r="S1197" s="2"/>
      </tp>
      <tp t="s">
        <v>#N/A Requesting Data...2585397415</v>
        <stp/>
        <stp>BDP|9586813905716978125</stp>
        <tr r="Q1412" s="2"/>
      </tp>
      <tp t="s">
        <v>#N/A Requesting Data...3858520805</v>
        <stp/>
        <stp>BDP|3814419768136302187</stp>
        <tr r="D841" s="2"/>
      </tp>
      <tp t="s">
        <v>#N/A Requesting Data...2670002626</v>
        <stp/>
        <stp>BDP|1572894525115063835</stp>
        <tr r="T451" s="2"/>
      </tp>
      <tp t="s">
        <v>#N/A Requesting Data...3034804594</v>
        <stp/>
        <stp>BDP|2842997790757855330</stp>
        <tr r="T774" s="2"/>
      </tp>
      <tp t="s">
        <v>#N/A Requesting Data...3239838132</v>
        <stp/>
        <stp>BDP|5745854615113404990</stp>
        <tr r="R23" s="2"/>
      </tp>
      <tp t="s">
        <v>#N/A Requesting Data...3466837682</v>
        <stp/>
        <stp>BDP|8246561751519766787</stp>
        <tr r="P2177" s="2"/>
      </tp>
      <tp t="s">
        <v>#N/A Requesting Data...3472937180</v>
        <stp/>
        <stp>BDP|6109694774791765014</stp>
        <tr r="S263" s="2"/>
      </tp>
      <tp t="s">
        <v>#N/A Requesting Data...2704274935</v>
        <stp/>
        <stp>BDP|2698852147660891865</stp>
        <tr r="R1932" s="2"/>
      </tp>
      <tp t="s">
        <v>#N/A Requesting Data...3176861039</v>
        <stp/>
        <stp>BDP|5417385815163247210</stp>
        <tr r="N207" s="2"/>
      </tp>
      <tp t="s">
        <v>#N/A Requesting Data...2653153836</v>
        <stp/>
        <stp>BDP|7742113823220962262</stp>
        <tr r="M1588" s="2"/>
      </tp>
      <tp t="s">
        <v>#N/A Requesting Data...4139259994</v>
        <stp/>
        <stp>BDP|8477739893969872961</stp>
        <tr r="M209" s="2"/>
      </tp>
      <tp t="s">
        <v>#N/A Requesting Data...3954323625</v>
        <stp/>
        <stp>BDP|2727222227893088780</stp>
        <tr r="O1548" s="2"/>
      </tp>
      <tp t="s">
        <v>#N/A Requesting Data...2262025707</v>
        <stp/>
        <stp>BDP|8141916789606422976</stp>
        <tr r="T2344" s="2"/>
      </tp>
      <tp t="s">
        <v>#N/A Requesting Data...2567728675</v>
        <stp/>
        <stp>BDP|4346173337603883319</stp>
        <tr r="A624" s="2"/>
      </tp>
      <tp t="s">
        <v>#N/A Requesting Data...3972242950</v>
        <stp/>
        <stp>BDP|6374792227013705605</stp>
        <tr r="G869" s="2"/>
      </tp>
      <tp t="s">
        <v>#N/A Requesting Data...2282594112</v>
        <stp/>
        <stp>BDP|2127467711624511592</stp>
        <tr r="H1862" s="2"/>
      </tp>
      <tp t="s">
        <v>#N/A Requesting Data...2633176753</v>
        <stp/>
        <stp>BDP|9177312011374339985</stp>
        <tr r="J1928" s="2"/>
      </tp>
      <tp t="s">
        <v>#N/A Requesting Data...4217247011</v>
        <stp/>
        <stp>BDP|4412092157315069206</stp>
        <tr r="R410" s="2"/>
      </tp>
      <tp t="s">
        <v>#N/A Requesting Data...3000542530</v>
        <stp/>
        <stp>BDP|7438687817436701063</stp>
        <tr r="P1312" s="2"/>
      </tp>
      <tp t="s">
        <v>#N/A Requesting Data...3813524805</v>
        <stp/>
        <stp>BDP|2420584807332433355</stp>
        <tr r="T231" s="2"/>
      </tp>
      <tp t="s">
        <v>#N/A Requesting Data...3185367171</v>
        <stp/>
        <stp>BDP|2334261119152539533</stp>
        <tr r="S620" s="2"/>
      </tp>
      <tp t="s">
        <v>#N/A Requesting Data...2953501959</v>
        <stp/>
        <stp>BDP|1906701460242686459</stp>
        <tr r="C1716" s="2"/>
      </tp>
      <tp t="s">
        <v>#N/A Requesting Data...3772568954</v>
        <stp/>
        <stp>BDP|4851653760536416430</stp>
        <tr r="M1259" s="2"/>
      </tp>
      <tp t="s">
        <v>#N/A Requesting Data...2622749893</v>
        <stp/>
        <stp>BDP|6399370374161981532</stp>
        <tr r="O475" s="2"/>
      </tp>
      <tp t="s">
        <v>#N/A Requesting Data...2784989397</v>
        <stp/>
        <stp>BDP|1089308419607479274</stp>
        <tr r="A2235" s="2"/>
      </tp>
      <tp t="s">
        <v>#N/A Requesting Data...3287027000</v>
        <stp/>
        <stp>BDP|5722241249340227527</stp>
        <tr r="Q2478" s="2"/>
      </tp>
      <tp t="s">
        <v>#N/A Requesting Data...3854286865</v>
        <stp/>
        <stp>BDP|1300597369656928206</stp>
        <tr r="J1936" s="2"/>
      </tp>
      <tp t="s">
        <v>#N/A Requesting Data...3519493534</v>
        <stp/>
        <stp>BDP|4036645980925788993</stp>
        <tr r="N777" s="2"/>
      </tp>
      <tp t="s">
        <v>#N/A Requesting Data...2497290246</v>
        <stp/>
        <stp>BDP|6348448672424859779</stp>
        <tr r="R1565" s="2"/>
      </tp>
      <tp t="s">
        <v>#N/A Requesting Data...2811590195</v>
        <stp/>
        <stp>BDP|3649052858459032915</stp>
        <tr r="D289" s="2"/>
      </tp>
      <tp t="s">
        <v>#N/A Requesting Data...3925853675</v>
        <stp/>
        <stp>BDP|8132103773849143198</stp>
        <tr r="T1509" s="2"/>
      </tp>
      <tp t="s">
        <v>#N/A Requesting Data...3089275047</v>
        <stp/>
        <stp>BDP|1004066164959983813</stp>
        <tr r="K1075" s="2"/>
      </tp>
      <tp t="s">
        <v>#N/A Requesting Data...2687062221</v>
        <stp/>
        <stp>BDP|6119294504270341257</stp>
        <tr r="J2436" s="2"/>
      </tp>
      <tp t="s">
        <v>#N/A Requesting Data...2583078619</v>
        <stp/>
        <stp>BDP|2941234451244677772</stp>
        <tr r="J1558" s="2"/>
      </tp>
      <tp t="s">
        <v>#N/A Requesting Data...3326224008</v>
        <stp/>
        <stp>BDP|3614742409446333423</stp>
        <tr r="G486" s="2"/>
      </tp>
      <tp t="s">
        <v>#N/A Requesting Data...4109952069</v>
        <stp/>
        <stp>BDP|2133547388228122163</stp>
        <tr r="C795" s="2"/>
      </tp>
      <tp t="s">
        <v>#N/A Requesting Data...2431576549</v>
        <stp/>
        <stp>BDP|4274491918942109588</stp>
        <tr r="F2185" s="2"/>
      </tp>
      <tp t="s">
        <v>#N/A Requesting Data...3283319904</v>
        <stp/>
        <stp>BDP|6033172804204928506</stp>
        <tr r="F1513" s="2"/>
      </tp>
      <tp t="b">
        <v>0</v>
        <stp/>
        <stp>BDS|2829454041662063662</stp>
        <tr r="I304" s="2"/>
      </tp>
      <tp t="s">
        <v>#N/A Requesting Data...3289936592</v>
        <stp/>
        <stp>BDP|1141750170393764496</stp>
        <tr r="A698" s="2"/>
      </tp>
      <tp t="s">
        <v>#N/A Requesting Data...3087908958</v>
        <stp/>
        <stp>BDP|4998913584452701119</stp>
        <tr r="M1829" s="2"/>
      </tp>
      <tp t="b">
        <v>0</v>
        <stp/>
        <stp>BDS|9638584713493332845</stp>
        <tr r="I1986" s="2"/>
      </tp>
      <tp t="s">
        <v>#N/A Requesting Data...3510283042</v>
        <stp/>
        <stp>BDP|7724257433048252896</stp>
        <tr r="M1020" s="2"/>
      </tp>
      <tp t="s">
        <v>#N/A Requesting Data...3888001521</v>
        <stp/>
        <stp>BDP|5488490775991217106</stp>
        <tr r="T187" s="2"/>
      </tp>
      <tp t="s">
        <v>#N/A Requesting Data...3783977764</v>
        <stp/>
        <stp>BDP|4839605545967188761</stp>
        <tr r="C320" s="2"/>
      </tp>
      <tp t="s">
        <v>#N/A Requesting Data...3511770123</v>
        <stp/>
        <stp>BDP|7432172082718951025</stp>
        <tr r="E1466" s="2"/>
      </tp>
      <tp t="s">
        <v>#N/A Requesting Data...2958841647</v>
        <stp/>
        <stp>BDP|1666220618087497329</stp>
        <tr r="D1672" s="2"/>
      </tp>
      <tp t="s">
        <v>#N/A Requesting Data...3519814552</v>
        <stp/>
        <stp>BDP|9785106191382924559</stp>
        <tr r="G2253" s="2"/>
      </tp>
      <tp t="s">
        <v>#N/A Requesting Data...2987248719</v>
        <stp/>
        <stp>BDP|7126906848734128838</stp>
        <tr r="A2301" s="2"/>
      </tp>
      <tp t="s">
        <v>#N/A Requesting Data...3073541116</v>
        <stp/>
        <stp>BDP|5477059063403825611</stp>
        <tr r="F1600" s="2"/>
      </tp>
      <tp t="s">
        <v>#N/A Requesting Data...2625287279</v>
        <stp/>
        <stp>BDP|1468662972846328087</stp>
        <tr r="O1347" s="2"/>
      </tp>
      <tp t="s">
        <v>#N/A Requesting Data...2923181494</v>
        <stp/>
        <stp>BDP|1984631640452028716</stp>
        <tr r="H2028" s="2"/>
      </tp>
      <tp t="s">
        <v>#N/A Requesting Data...2942365345</v>
        <stp/>
        <stp>BDP|4358667064730394295</stp>
        <tr r="D2406" s="2"/>
      </tp>
      <tp t="s">
        <v>#N/A Requesting Data...3791397081</v>
        <stp/>
        <stp>BDP|2707367079990516066</stp>
        <tr r="Q2333" s="2"/>
      </tp>
      <tp t="s">
        <v>#N/A Requesting Data...3693119488</v>
        <stp/>
        <stp>BDP|7112965619891017854</stp>
        <tr r="C807" s="2"/>
      </tp>
      <tp t="s">
        <v>#N/A Requesting Data...3829458452</v>
        <stp/>
        <stp>BDP|7610275052103187595</stp>
        <tr r="C541" s="2"/>
      </tp>
      <tp t="s">
        <v>#N/A Requesting Data...3618105770</v>
        <stp/>
        <stp>BDP|8071585325849116073</stp>
        <tr r="H1151" s="2"/>
      </tp>
      <tp t="s">
        <v>#N/A Requesting Data...3364343971</v>
        <stp/>
        <stp>BDP|6691797156620498269</stp>
        <tr r="O1736" s="2"/>
      </tp>
      <tp t="s">
        <v>#N/A Requesting Data...3259762448</v>
        <stp/>
        <stp>BDP|5717999881731507317</stp>
        <tr r="S1243" s="2"/>
      </tp>
      <tp t="s">
        <v>#N/A Requesting Data...2811722472</v>
        <stp/>
        <stp>BDP|3844836895101109548</stp>
        <tr r="Q931" s="2"/>
      </tp>
      <tp t="s">
        <v>#N/A Requesting Data...3974671303</v>
        <stp/>
        <stp>BDP|9982433223570432966</stp>
        <tr r="S377" s="2"/>
      </tp>
      <tp t="s">
        <v>#N/A Requesting Data...3307161295</v>
        <stp/>
        <stp>BDP|5896557274057606645</stp>
        <tr r="T511" s="2"/>
      </tp>
      <tp t="s">
        <v>#N/A Requesting Data...2407945689</v>
        <stp/>
        <stp>BDP|3468267881397988811</stp>
        <tr r="H2074" s="2"/>
      </tp>
      <tp t="s">
        <v>#N/A Requesting Data...2546501213</v>
        <stp/>
        <stp>BDP|3718581616480574178</stp>
        <tr r="D1967" s="2"/>
      </tp>
      <tp t="s">
        <v>#N/A Requesting Data...4105920098</v>
        <stp/>
        <stp>BDP|4484562822670372580</stp>
        <tr r="G121" s="2"/>
      </tp>
      <tp t="s">
        <v>#N/A Requesting Data...2545411996</v>
        <stp/>
        <stp>BDP|7295587307373357752</stp>
        <tr r="J1053" s="2"/>
      </tp>
      <tp t="s">
        <v>#N/A Requesting Data...3279470813</v>
        <stp/>
        <stp>BDP|7920024174736432008</stp>
        <tr r="S635" s="2"/>
      </tp>
      <tp t="s">
        <v>#N/A Requesting Data...2501607836</v>
        <stp/>
        <stp>BDP|3691938129878726601</stp>
        <tr r="S1281" s="2"/>
      </tp>
      <tp t="s">
        <v>#N/A Requesting Data...3962414008</v>
        <stp/>
        <stp>BDP|6627853668298499640</stp>
        <tr r="C1458" s="2"/>
      </tp>
      <tp t="s">
        <v>#N/A Requesting Data...3805726833</v>
        <stp/>
        <stp>BDP|2081010714261852465</stp>
        <tr r="K1933" s="2"/>
      </tp>
      <tp t="s">
        <v>#N/A Requesting Data...4291244422</v>
        <stp/>
        <stp>BDP|8413948217855998352</stp>
        <tr r="T61" s="2"/>
      </tp>
      <tp t="s">
        <v>#N/A Requesting Data...3927263734</v>
        <stp/>
        <stp>BDP|6952365131592362269</stp>
        <tr r="R1129" s="2"/>
      </tp>
      <tp t="s">
        <v>#N/A Requesting Data...2576638185</v>
        <stp/>
        <stp>BDP|2899111723760671772</stp>
        <tr r="O337" s="2"/>
      </tp>
      <tp t="s">
        <v>#N/A Requesting Data...2703854448</v>
        <stp/>
        <stp>BDP|5679748428664271234</stp>
        <tr r="G7" s="2"/>
      </tp>
      <tp t="s">
        <v>#N/A Requesting Data...3236626835</v>
        <stp/>
        <stp>BDP|4249792331984747266</stp>
        <tr r="G2387" s="2"/>
      </tp>
      <tp t="b">
        <v>0</v>
        <stp/>
        <stp>BDS|7054419861513958022</stp>
        <tr r="I942" s="2"/>
      </tp>
      <tp t="s">
        <v>#N/A Requesting Data...2796261879</v>
        <stp/>
        <stp>BDP|6321524496979962554</stp>
        <tr r="D2354" s="2"/>
      </tp>
      <tp t="s">
        <v>#N/A Requesting Data...4034041624</v>
        <stp/>
        <stp>BDP|7902581011723281693</stp>
        <tr r="P1786" s="2"/>
      </tp>
      <tp t="b">
        <v>0</v>
        <stp/>
        <stp>BDS|3240688507037335451</stp>
        <tr r="I1728" s="2"/>
      </tp>
      <tp t="s">
        <v>#N/A Requesting Data...4243432387</v>
        <stp/>
        <stp>BDP|4942740340394127578</stp>
        <tr r="C1151" s="2"/>
      </tp>
      <tp t="s">
        <v>#N/A Requesting Data...3708128605</v>
        <stp/>
        <stp>BDP|3087079874861840300</stp>
        <tr r="G1610" s="2"/>
      </tp>
      <tp t="s">
        <v>#N/A Requesting Data...3141710207</v>
        <stp/>
        <stp>BDP|7805384038251129029</stp>
        <tr r="N2020" s="2"/>
      </tp>
      <tp t="s">
        <v>#N/A Requesting Data...2647435154</v>
        <stp/>
        <stp>BDP|8903661657975438876</stp>
        <tr r="M2138" s="2"/>
      </tp>
      <tp t="s">
        <v>#N/A Requesting Data...3105592079</v>
        <stp/>
        <stp>BDP|9878666620342670938</stp>
        <tr r="O892" s="2"/>
      </tp>
      <tp t="s">
        <v>#N/A Requesting Data...3877674198</v>
        <stp/>
        <stp>BDP|5661807049859114654</stp>
        <tr r="G325" s="2"/>
      </tp>
      <tp t="s">
        <v>#N/A Requesting Data...3396133007</v>
        <stp/>
        <stp>BDP|3946983000929956537</stp>
        <tr r="A1415" s="2"/>
      </tp>
      <tp t="s">
        <v>#N/A Requesting Data...2750872147</v>
        <stp/>
        <stp>BDP|5416607867593985017</stp>
        <tr r="C872" s="2"/>
      </tp>
      <tp t="s">
        <v>#N/A Requesting Data...3988029640</v>
        <stp/>
        <stp>BDP|1562608029474776701</stp>
        <tr r="Q496" s="2"/>
      </tp>
      <tp t="s">
        <v>#N/A Requesting Data...3842432480</v>
        <stp/>
        <stp>BDP|3894858467868678372</stp>
        <tr r="H1130" s="2"/>
      </tp>
      <tp t="s">
        <v>#N/A Requesting Data...2482894545</v>
        <stp/>
        <stp>BDP|8041917151967979521</stp>
        <tr r="K1488" s="2"/>
      </tp>
      <tp t="s">
        <v>#N/A Requesting Data...3394912834</v>
        <stp/>
        <stp>BDP|6104481221775589362</stp>
        <tr r="J1140" s="2"/>
      </tp>
      <tp t="s">
        <v>#N/A Requesting Data...3494796259</v>
        <stp/>
        <stp>BDP|2902537636386795401</stp>
        <tr r="M1992" s="2"/>
      </tp>
      <tp t="s">
        <v>#N/A Requesting Data...2694944969</v>
        <stp/>
        <stp>BDP|5905175882703194967</stp>
        <tr r="M1770" s="2"/>
      </tp>
      <tp t="s">
        <v>#N/A Requesting Data...3216211637</v>
        <stp/>
        <stp>BDP|9985904226266526213</stp>
        <tr r="R150" s="2"/>
      </tp>
      <tp t="s">
        <v>#N/A Requesting Data...2605803793</v>
        <stp/>
        <stp>BDP|1806162643777127578</stp>
        <tr r="D2271" s="2"/>
      </tp>
      <tp t="s">
        <v>#N/A Requesting Data...3489329370</v>
        <stp/>
        <stp>BDP|4643785371872527014</stp>
        <tr r="A1053" s="2"/>
      </tp>
      <tp t="s">
        <v>#N/A Requesting Data...2732744485</v>
        <stp/>
        <stp>BDP|5224910842957829926</stp>
        <tr r="O119" s="2"/>
      </tp>
      <tp t="s">
        <v>#N/A Requesting Data...4258351895</v>
        <stp/>
        <stp>BDP|1824555261916344245</stp>
        <tr r="A2025" s="2"/>
      </tp>
      <tp t="s">
        <v>#N/A Requesting Data...3648608216</v>
        <stp/>
        <stp>BDP|4400154012427071588</stp>
        <tr r="M1354" s="2"/>
      </tp>
      <tp t="s">
        <v>#N/A Requesting Data...4084163646</v>
        <stp/>
        <stp>BDP|4729727304455273089</stp>
        <tr r="M178" s="2"/>
      </tp>
      <tp t="s">
        <v>#N/A Requesting Data...2814314761</v>
        <stp/>
        <stp>BDP|5198501949602657055</stp>
        <tr r="Q23" s="2"/>
      </tp>
      <tp t="s">
        <v>#N/A Requesting Data...3177406842</v>
        <stp/>
        <stp>BDP|5505106522860821042</stp>
        <tr r="S1250" s="2"/>
      </tp>
      <tp t="s">
        <v>#N/A Requesting Data...3174511978</v>
        <stp/>
        <stp>BDP|9398247122179809661</stp>
        <tr r="P2444" s="2"/>
      </tp>
      <tp t="s">
        <v>#N/A Requesting Data...3930641585</v>
        <stp/>
        <stp>BDP|8463552201429972229</stp>
        <tr r="G1749" s="2"/>
      </tp>
      <tp t="s">
        <v>#N/A Requesting Data...4172460169</v>
        <stp/>
        <stp>BDP|5466102729637440728</stp>
        <tr r="R721" s="2"/>
      </tp>
      <tp t="s">
        <v>#N/A Requesting Data...3873719840</v>
        <stp/>
        <stp>BDP|1158247379733423136</stp>
        <tr r="C2158" s="2"/>
      </tp>
      <tp t="s">
        <v>#N/A Requesting Data...4018407028</v>
        <stp/>
        <stp>BDP|9115210116114922842</stp>
        <tr r="C1839" s="2"/>
      </tp>
      <tp t="s">
        <v>#N/A Requesting Data...3119614524</v>
        <stp/>
        <stp>BDP|1806247545028161931</stp>
        <tr r="R26" s="2"/>
      </tp>
      <tp t="s">
        <v>#N/A Requesting Data...3377112606</v>
        <stp/>
        <stp>BDP|5853850763698043557</stp>
        <tr r="R1768" s="2"/>
      </tp>
      <tp t="s">
        <v>#N/A Requesting Data...3206549411</v>
        <stp/>
        <stp>BDP|5139221128721965293</stp>
        <tr r="H281" s="2"/>
      </tp>
      <tp t="s">
        <v>#N/A Requesting Data...2783228475</v>
        <stp/>
        <stp>BDP|5206793510144928190</stp>
        <tr r="Q1490" s="2"/>
      </tp>
      <tp t="s">
        <v>#N/A Requesting Data...3032507773</v>
        <stp/>
        <stp>BDP|2747099076113372008</stp>
        <tr r="N230" s="2"/>
      </tp>
      <tp t="s">
        <v>#N/A Requesting Data...3994346845</v>
        <stp/>
        <stp>BDP|2875242533153560611</stp>
        <tr r="M18" s="2"/>
      </tp>
      <tp t="s">
        <v>#N/A Requesting Data...4095644200</v>
        <stp/>
        <stp>BDP|8308464921248678092</stp>
        <tr r="O790" s="2"/>
      </tp>
      <tp t="s">
        <v>#N/A Requesting Data...3443413772</v>
        <stp/>
        <stp>BDP|3199497959690921439</stp>
        <tr r="T377" s="2"/>
      </tp>
      <tp t="s">
        <v>#N/A Requesting Data...3017279161</v>
        <stp/>
        <stp>BDP|2572884574182025923</stp>
        <tr r="R1102" s="2"/>
      </tp>
      <tp t="s">
        <v>#N/A Requesting Data...3378032905</v>
        <stp/>
        <stp>BDP|6950078241104196057</stp>
        <tr r="T1517" s="2"/>
      </tp>
      <tp t="s">
        <v>#N/A Requesting Data...2872977971</v>
        <stp/>
        <stp>BDP|9430551709233460974</stp>
        <tr r="G740" s="2"/>
      </tp>
      <tp t="s">
        <v>#N/A Requesting Data...3586083299</v>
        <stp/>
        <stp>BDP|4220137119214447671</stp>
        <tr r="T2517" s="2"/>
      </tp>
      <tp t="s">
        <v>#N/A Requesting Data...3492722863</v>
        <stp/>
        <stp>BDP|9860318587462402618</stp>
        <tr r="D1331" s="2"/>
      </tp>
      <tp t="s">
        <v>#N/A Requesting Data...3093737812</v>
        <stp/>
        <stp>BDP|8871583185793907071</stp>
        <tr r="Q784" s="2"/>
      </tp>
      <tp t="s">
        <v>#N/A Requesting Data...3433700890</v>
        <stp/>
        <stp>BDP|1324599832178084930</stp>
        <tr r="N458" s="2"/>
      </tp>
      <tp t="s">
        <v>#N/A Requesting Data...3984058291</v>
        <stp/>
        <stp>BDP|4829861368784572886</stp>
        <tr r="O748" s="2"/>
      </tp>
      <tp t="s">
        <v>#N/A Requesting Data...3804449743</v>
        <stp/>
        <stp>BDP|6662290716702436167</stp>
        <tr r="H384" s="2"/>
      </tp>
      <tp t="s">
        <v>#N/A Requesting Data...2852489155</v>
        <stp/>
        <stp>BDP|2641520800307675695</stp>
        <tr r="T1092" s="2"/>
      </tp>
      <tp t="s">
        <v>#N/A Requesting Data...3646971771</v>
        <stp/>
        <stp>BDP|4856986499523554177</stp>
        <tr r="T1221" s="2"/>
      </tp>
      <tp t="s">
        <v>#N/A Requesting Data...2652198559</v>
        <stp/>
        <stp>BDP|9090351759429412039</stp>
        <tr r="R2325" s="2"/>
      </tp>
      <tp t="s">
        <v>#N/A Requesting Data...3913230744</v>
        <stp/>
        <stp>BDP|3141865057040238896</stp>
        <tr r="O438" s="2"/>
      </tp>
      <tp t="s">
        <v>#N/A Requesting Data...2803483102</v>
        <stp/>
        <stp>BDP|2867001184814138868</stp>
        <tr r="K2239" s="2"/>
      </tp>
      <tp t="s">
        <v>#N/A Requesting Data...3275195072</v>
        <stp/>
        <stp>BDP|5258072270574975071</stp>
        <tr r="Q2066" s="2"/>
      </tp>
      <tp t="s">
        <v>#N/A Requesting Data...2599172177</v>
        <stp/>
        <stp>BDP|6990153188298682194</stp>
        <tr r="R2108" s="2"/>
      </tp>
      <tp t="s">
        <v>#N/A Requesting Data...3056245985</v>
        <stp/>
        <stp>BDP|2092428280021917907</stp>
        <tr r="S1672" s="2"/>
      </tp>
      <tp t="s">
        <v>#N/A Requesting Data...3223203031</v>
        <stp/>
        <stp>BDP|1800773321887495515</stp>
        <tr r="T11" s="2"/>
      </tp>
      <tp t="b">
        <v>0</v>
        <stp/>
        <stp>BDS|2040187621240474763</stp>
        <tr r="I1070" s="2"/>
      </tp>
      <tp t="s">
        <v>#N/A Requesting Data...3584677105</v>
        <stp/>
        <stp>BDP|1841035360475032400</stp>
        <tr r="T2468" s="2"/>
      </tp>
      <tp t="s">
        <v>#N/A Requesting Data...2703489408</v>
        <stp/>
        <stp>BDP|9866230691391369525</stp>
        <tr r="O1843" s="2"/>
      </tp>
      <tp t="s">
        <v>#N/A Requesting Data...3484731630</v>
        <stp/>
        <stp>BDP|5029379549514111049</stp>
        <tr r="Q52" s="2"/>
      </tp>
      <tp t="s">
        <v>#N/A Requesting Data...4128217943</v>
        <stp/>
        <stp>BDP|2970907791641776578</stp>
        <tr r="C792" s="2"/>
      </tp>
      <tp t="s">
        <v>#N/A Requesting Data...3834977505</v>
        <stp/>
        <stp>BDP|6124739122323071686</stp>
        <tr r="P1217" s="2"/>
      </tp>
      <tp t="s">
        <v>#N/A Requesting Data...3953773156</v>
        <stp/>
        <stp>BDP|4716693704856254206</stp>
        <tr r="A1853" s="2"/>
      </tp>
      <tp t="s">
        <v>#N/A Requesting Data...4271535381</v>
        <stp/>
        <stp>BDP|8342098433755873895</stp>
        <tr r="K479" s="2"/>
      </tp>
      <tp t="s">
        <v>#N/A Requesting Data...3310822041</v>
        <stp/>
        <stp>BDP|8734982564967527663</stp>
        <tr r="A2193" s="2"/>
      </tp>
      <tp t="b">
        <v>0</v>
        <stp/>
        <stp>BDS|8959111867650594921</stp>
        <tr r="I2313" s="2"/>
      </tp>
      <tp t="s">
        <v>#N/A Requesting Data...3190228066</v>
        <stp/>
        <stp>BDP|6289477526695938323</stp>
        <tr r="E2418" s="2"/>
      </tp>
      <tp t="s">
        <v>#N/A Requesting Data...3736071139</v>
        <stp/>
        <stp>BDP|1397883198313329582</stp>
        <tr r="O238" s="2"/>
      </tp>
      <tp t="s">
        <v>#N/A Requesting Data...3422809172</v>
        <stp/>
        <stp>BDP|7905773166386886681</stp>
        <tr r="A1338" s="2"/>
      </tp>
      <tp t="s">
        <v>#N/A Requesting Data...4152024416</v>
        <stp/>
        <stp>BDP|2031481704083396373</stp>
        <tr r="K2151" s="2"/>
      </tp>
      <tp t="s">
        <v>#N/A Requesting Data...3325302209</v>
        <stp/>
        <stp>BDP|2409098168521471392</stp>
        <tr r="M1339" s="2"/>
      </tp>
      <tp t="s">
        <v>#N/A Requesting Data...2816753358</v>
        <stp/>
        <stp>BDP|1319639336565859763</stp>
        <tr r="R373" s="2"/>
      </tp>
      <tp t="s">
        <v>#N/A Requesting Data...3468467825</v>
        <stp/>
        <stp>BDP|3358199621331368702</stp>
        <tr r="E1335" s="2"/>
      </tp>
      <tp t="s">
        <v>#N/A Requesting Data...3196736972</v>
        <stp/>
        <stp>BDP|8762296458708750199</stp>
        <tr r="F611" s="2"/>
      </tp>
      <tp t="s">
        <v>#N/A Requesting Data...3542151857</v>
        <stp/>
        <stp>BDP|3702394716901624664</stp>
        <tr r="O570" s="2"/>
      </tp>
      <tp t="s">
        <v>#N/A Requesting Data...2725887301</v>
        <stp/>
        <stp>BDP|7785619946584176798</stp>
        <tr r="P2281" s="2"/>
      </tp>
      <tp t="s">
        <v>#N/A Requesting Data...3185102033</v>
        <stp/>
        <stp>BDP|3870348854274923794</stp>
        <tr r="C1779" s="2"/>
      </tp>
      <tp t="s">
        <v>#N/A Requesting Data...4078713310</v>
        <stp/>
        <stp>BDP|5773040563486196391</stp>
        <tr r="C1499" s="2"/>
      </tp>
      <tp t="s">
        <v>#N/A Requesting Data...3062422175</v>
        <stp/>
        <stp>BDP|6130784063989670842</stp>
        <tr r="M2491" s="2"/>
      </tp>
      <tp t="s">
        <v>#N/A Requesting Data...3919133956</v>
        <stp/>
        <stp>BDP|8164104297525844369</stp>
        <tr r="H2455" s="2"/>
      </tp>
      <tp t="s">
        <v>#N/A Requesting Data...3063873365</v>
        <stp/>
        <stp>BDP|4618569047082642196</stp>
        <tr r="C1698" s="2"/>
      </tp>
      <tp t="s">
        <v>#N/A Requesting Data...3462253208</v>
        <stp/>
        <stp>BDP|8093588686472090166</stp>
        <tr r="J2385" s="2"/>
      </tp>
      <tp t="s">
        <v>#N/A Requesting Data...3289677370</v>
        <stp/>
        <stp>BDP|9654830673824802467</stp>
        <tr r="P1274" s="2"/>
      </tp>
      <tp t="s">
        <v>#N/A Requesting Data...4115225609</v>
        <stp/>
        <stp>BDP|3098266496847187995</stp>
        <tr r="S566" s="2"/>
      </tp>
      <tp t="s">
        <v>#N/A Requesting Data...3547879907</v>
        <stp/>
        <stp>BDP|6806317104884130746</stp>
        <tr r="S347" s="2"/>
      </tp>
      <tp t="s">
        <v>#N/A Requesting Data...3100364103</v>
        <stp/>
        <stp>BDP|4802207873664734348</stp>
        <tr r="P1934" s="2"/>
      </tp>
      <tp t="s">
        <v>#N/A Requesting Data...3820961670</v>
        <stp/>
        <stp>BDP|6824149178795926354</stp>
        <tr r="S2383" s="2"/>
      </tp>
      <tp t="s">
        <v>#N/A Requesting Data...3050029117</v>
        <stp/>
        <stp>BDP|7202586715360189567</stp>
        <tr r="Q1066" s="2"/>
      </tp>
      <tp t="s">
        <v>#N/A Requesting Data...3083864835</v>
        <stp/>
        <stp>BDP|4165984910982521844</stp>
        <tr r="T512" s="2"/>
      </tp>
      <tp t="s">
        <v>#N/A Requesting Data...3865918058</v>
        <stp/>
        <stp>BDP|2123167373710996256</stp>
        <tr r="Q2184" s="2"/>
      </tp>
      <tp t="s">
        <v>#N/A Requesting Data...3609316828</v>
        <stp/>
        <stp>BDP|5884003172654501070</stp>
        <tr r="R2513" s="2"/>
      </tp>
      <tp t="b">
        <v>0</v>
        <stp/>
        <stp>BDS|9756267296873911765</stp>
        <tr r="I1383" s="2"/>
      </tp>
      <tp t="s">
        <v>#N/A Requesting Data...3501886095</v>
        <stp/>
        <stp>BDP|9054994929877809304</stp>
        <tr r="S1524" s="2"/>
      </tp>
      <tp t="s">
        <v>#N/A Requesting Data...3600537655</v>
        <stp/>
        <stp>BDP|5520582010681225679</stp>
        <tr r="G58" s="2"/>
      </tp>
      <tp t="s">
        <v>#N/A Requesting Data...3073703462</v>
        <stp/>
        <stp>BDP|5959649119705447182</stp>
        <tr r="C873" s="2"/>
      </tp>
      <tp t="s">
        <v>#N/A Requesting Data...3273028092</v>
        <stp/>
        <stp>BDP|8309877655524095796</stp>
        <tr r="N1480" s="2"/>
      </tp>
      <tp t="s">
        <v>#N/A Requesting Data...3438724062</v>
        <stp/>
        <stp>BDP|3362531608553074309</stp>
        <tr r="N432" s="2"/>
      </tp>
      <tp t="s">
        <v>#N/A Requesting Data...4123195226</v>
        <stp/>
        <stp>BDP|5230668287139260490</stp>
        <tr r="S981" s="2"/>
      </tp>
      <tp t="s">
        <v>#N/A Requesting Data...3017129260</v>
        <stp/>
        <stp>BDP|9697907802212436483</stp>
        <tr r="J326" s="2"/>
      </tp>
      <tp t="s">
        <v>#N/A Requesting Data...2760408684</v>
        <stp/>
        <stp>BDP|8379571146486889926</stp>
        <tr r="D7" s="2"/>
      </tp>
      <tp t="s">
        <v>#N/A Requesting Data...3576154566</v>
        <stp/>
        <stp>BDP|8677808802940881642</stp>
        <tr r="P949" s="2"/>
      </tp>
      <tp t="s">
        <v>#N/A Requesting Data...4117720819</v>
        <stp/>
        <stp>BDP|6673537878296446419</stp>
        <tr r="J1837" s="2"/>
      </tp>
      <tp t="s">
        <v>#N/A Requesting Data...3739027905</v>
        <stp/>
        <stp>BDP|5814204164850010743</stp>
        <tr r="R96" s="2"/>
      </tp>
      <tp t="s">
        <v>#N/A Requesting Data...2913747213</v>
        <stp/>
        <stp>BDP|2244246277997853611</stp>
        <tr r="T2040" s="2"/>
      </tp>
      <tp t="s">
        <v>#N/A Requesting Data...3621535880</v>
        <stp/>
        <stp>BDP|6470179072645869311</stp>
        <tr r="H868" s="2"/>
      </tp>
      <tp t="s">
        <v>#N/A Requesting Data...3818677997</v>
        <stp/>
        <stp>BDP|8665988981278343747</stp>
        <tr r="D785" s="2"/>
      </tp>
      <tp t="b">
        <v>0</v>
        <stp/>
        <stp>BDS|1281372010287431297</stp>
        <tr r="I1454" s="2"/>
      </tp>
      <tp t="s">
        <v>#N/A Requesting Data...2738203012</v>
        <stp/>
        <stp>BDP|4655599477633226326</stp>
        <tr r="O1535" s="2"/>
      </tp>
      <tp t="s">
        <v>#N/A Requesting Data...3326794377</v>
        <stp/>
        <stp>BDP|9971369259319670084</stp>
        <tr r="P2263" s="2"/>
      </tp>
      <tp t="s">
        <v>#N/A Requesting Data...3389174262</v>
        <stp/>
        <stp>BDP|4824855834790186906</stp>
        <tr r="O2247" s="2"/>
      </tp>
      <tp t="s">
        <v>#N/A Requesting Data...3474323827</v>
        <stp/>
        <stp>BDP|4639269008040741070</stp>
        <tr r="O398" s="2"/>
      </tp>
      <tp t="s">
        <v>#N/A Requesting Data...3572651468</v>
        <stp/>
        <stp>BDP|1412644334681991354</stp>
        <tr r="M51" s="2"/>
      </tp>
      <tp t="s">
        <v>#N/A Requesting Data...3250275463</v>
        <stp/>
        <stp>BDP|1000062447127922400</stp>
        <tr r="K1673" s="2"/>
      </tp>
      <tp t="s">
        <v>#N/A Requesting Data...4072901138</v>
        <stp/>
        <stp>BDP|7475274319514513676</stp>
        <tr r="P2408" s="2"/>
      </tp>
      <tp t="s">
        <v>#N/A Requesting Data...3804176051</v>
        <stp/>
        <stp>BDP|9120942243612672080</stp>
        <tr r="M1333" s="2"/>
      </tp>
      <tp t="s">
        <v>#N/A Requesting Data...3516343863</v>
        <stp/>
        <stp>BDP|1147039125955641091</stp>
        <tr r="K359" s="2"/>
      </tp>
      <tp t="s">
        <v>#N/A Requesting Data...3543321799</v>
        <stp/>
        <stp>BDP|2780793739628846878</stp>
        <tr r="E1270" s="2"/>
      </tp>
      <tp t="b">
        <v>0</v>
        <stp/>
        <stp>BDS|1725691247373473655</stp>
        <tr r="I44" s="2"/>
      </tp>
      <tp t="s">
        <v>#N/A Requesting Data...3947043553</v>
        <stp/>
        <stp>BDP|1131880803057650847</stp>
        <tr r="P943" s="2"/>
      </tp>
      <tp t="s">
        <v>#N/A Requesting Data...3888592147</v>
        <stp/>
        <stp>BDP|1514498488198584391</stp>
        <tr r="M1654" s="2"/>
      </tp>
      <tp t="s">
        <v>#N/A Requesting Data...2819248680</v>
        <stp/>
        <stp>BDP|8975328962429531249</stp>
        <tr r="N2249" s="2"/>
      </tp>
      <tp t="s">
        <v>#N/A Requesting Data...3770835132</v>
        <stp/>
        <stp>BDP|7093512699904146916</stp>
        <tr r="O2276" s="2"/>
      </tp>
      <tp t="s">
        <v>#N/A Requesting Data...3992587797</v>
        <stp/>
        <stp>BDP|5076580971121450053</stp>
        <tr r="D2178" s="2"/>
      </tp>
      <tp t="s">
        <v>#N/A Requesting Data...3483789394</v>
        <stp/>
        <stp>BDP|5995993888852365034</stp>
        <tr r="C657" s="2"/>
      </tp>
      <tp t="s">
        <v>#N/A Requesting Data...4030486021</v>
        <stp/>
        <stp>BDP|7119341843292966474</stp>
        <tr r="G541" s="2"/>
      </tp>
      <tp t="s">
        <v>#N/A Requesting Data...3106987248</v>
        <stp/>
        <stp>BDP|5438376630447975426</stp>
        <tr r="S1940" s="2"/>
      </tp>
      <tp t="s">
        <v>#N/A Requesting Data...3897334694</v>
        <stp/>
        <stp>BDP|8808541361235120841</stp>
        <tr r="J1511" s="2"/>
      </tp>
      <tp t="s">
        <v>#N/A Requesting Data...3176097151</v>
        <stp/>
        <stp>BDP|7407153872122304582</stp>
        <tr r="E1080" s="2"/>
      </tp>
      <tp t="s">
        <v>#N/A Requesting Data...3048142308</v>
        <stp/>
        <stp>BDP|3156111188494555855</stp>
        <tr r="D2512" s="2"/>
      </tp>
      <tp t="s">
        <v>#N/A Requesting Data...3376384410</v>
        <stp/>
        <stp>BDP|9298220836269916779</stp>
        <tr r="R713" s="2"/>
      </tp>
      <tp t="s">
        <v>#N/A Requesting Data...3833370753</v>
        <stp/>
        <stp>BDP|2457195592678429437</stp>
        <tr r="H347" s="2"/>
      </tp>
      <tp t="s">
        <v>#N/A Requesting Data...3732583260</v>
        <stp/>
        <stp>BDP|8052794113798123036</stp>
        <tr r="R1456" s="2"/>
      </tp>
      <tp t="b">
        <v>0</v>
        <stp/>
        <stp>BDS|5803948199887583489</stp>
        <tr r="I482" s="2"/>
      </tp>
      <tp t="s">
        <v>#N/A Requesting Data...4009810768</v>
        <stp/>
        <stp>BDP|6603438920787998144</stp>
        <tr r="Q2165" s="2"/>
      </tp>
      <tp t="s">
        <v>#N/A Requesting Data...3013291918</v>
        <stp/>
        <stp>BDP|3144381268162080299</stp>
        <tr r="O1085" s="2"/>
      </tp>
      <tp t="s">
        <v>#N/A Requesting Data...3963070240</v>
        <stp/>
        <stp>BDP|5525545730345834012</stp>
        <tr r="D1972" s="2"/>
      </tp>
      <tp t="s">
        <v>#N/A Requesting Data...3809225834</v>
        <stp/>
        <stp>BDP|3892738270156726347</stp>
        <tr r="M897" s="2"/>
      </tp>
      <tp t="s">
        <v>#N/A Requesting Data...4214887461</v>
        <stp/>
        <stp>BDP|1344946867849183197</stp>
        <tr r="N2295" s="2"/>
      </tp>
      <tp t="s">
        <v>#N/A Requesting Data...3949944350</v>
        <stp/>
        <stp>BDP|5115052319551437311</stp>
        <tr r="F348" s="2"/>
      </tp>
      <tp t="s">
        <v>#N/A Requesting Data...3824332528</v>
        <stp/>
        <stp>BDP|5191273367855103286</stp>
        <tr r="S2139" s="2"/>
      </tp>
      <tp t="s">
        <v>#N/A Requesting Data...4034935662</v>
        <stp/>
        <stp>BDP|4436858511758986310</stp>
        <tr r="J1330" s="2"/>
      </tp>
      <tp t="s">
        <v>#N/A Requesting Data...4119012641</v>
        <stp/>
        <stp>BDP|5366786376484540704</stp>
        <tr r="F2110" s="2"/>
      </tp>
      <tp t="s">
        <v>#N/A Requesting Data...2903308582</v>
        <stp/>
        <stp>BDP|8905469855767694843</stp>
        <tr r="N600" s="2"/>
      </tp>
      <tp t="s">
        <v>#N/A Requesting Data...2962918752</v>
        <stp/>
        <stp>BDP|7155172649490650412</stp>
        <tr r="R1144" s="2"/>
      </tp>
      <tp t="s">
        <v>#N/A Requesting Data...3133772372</v>
        <stp/>
        <stp>BDP|7602721412292935574</stp>
        <tr r="F735" s="2"/>
      </tp>
      <tp t="s">
        <v>#N/A Requesting Data...3030035641</v>
        <stp/>
        <stp>BDP|3306523308241077111</stp>
        <tr r="R1406" s="2"/>
      </tp>
      <tp t="s">
        <v>#N/A Requesting Data...3894512797</v>
        <stp/>
        <stp>BDP|2043699664712786625</stp>
        <tr r="R927" s="2"/>
      </tp>
      <tp t="s">
        <v>#N/A Requesting Data...4059818223</v>
        <stp/>
        <stp>BDP|6547754626653808661</stp>
        <tr r="D76" s="2"/>
      </tp>
      <tp t="s">
        <v>#N/A Requesting Data...3887667054</v>
        <stp/>
        <stp>BDP|9799511755016887937</stp>
        <tr r="R308" s="2"/>
      </tp>
      <tp t="s">
        <v>#N/A Requesting Data...3551245668</v>
        <stp/>
        <stp>BDP|9627399886606396223</stp>
        <tr r="Q132" s="2"/>
      </tp>
      <tp t="s">
        <v>#N/A Requesting Data...4102320945</v>
        <stp/>
        <stp>BDP|1809362627324846292</stp>
        <tr r="E642" s="2"/>
      </tp>
      <tp t="s">
        <v>#N/A Requesting Data...4146576821</v>
        <stp/>
        <stp>BDP|3568707459740413700</stp>
        <tr r="F1012" s="2"/>
      </tp>
      <tp t="s">
        <v>#N/A Requesting Data...3519436261</v>
        <stp/>
        <stp>BDP|9449043997061787789</stp>
        <tr r="K519" s="2"/>
      </tp>
      <tp t="s">
        <v>#N/A Requesting Data...3365255714</v>
        <stp/>
        <stp>BDP|3424016245232199399</stp>
        <tr r="F305" s="2"/>
      </tp>
      <tp t="s">
        <v>#N/A Requesting Data...3303109656</v>
        <stp/>
        <stp>BDP|7523435157800137095</stp>
        <tr r="K1093" s="2"/>
      </tp>
      <tp t="b">
        <v>0</v>
        <stp/>
        <stp>BDS|1459399138193437484</stp>
        <tr r="I420" s="2"/>
      </tp>
      <tp t="s">
        <v>#N/A Requesting Data...3950529668</v>
        <stp/>
        <stp>BDP|3368041395848828434</stp>
        <tr r="E1969" s="2"/>
      </tp>
      <tp t="s">
        <v>#N/A Requesting Data...4147188801</v>
        <stp/>
        <stp>BDP|5086883490414543642</stp>
        <tr r="F1104" s="2"/>
      </tp>
      <tp t="s">
        <v>#N/A Requesting Data...4068870433</v>
        <stp/>
        <stp>BDP|2763606151715882276</stp>
        <tr r="S1619" s="2"/>
      </tp>
      <tp t="b">
        <v>0</v>
        <stp/>
        <stp>BDS|5000594382857004926</stp>
        <tr r="I1713" s="2"/>
      </tp>
      <tp t="s">
        <v>#N/A Requesting Data...3444075787</v>
        <stp/>
        <stp>BDP|4682247208003553363</stp>
        <tr r="N933" s="2"/>
      </tp>
      <tp t="s">
        <v>#N/A Requesting Data...3853269237</v>
        <stp/>
        <stp>BDP|9488492984296724573</stp>
        <tr r="P2350" s="2"/>
      </tp>
      <tp t="b">
        <v>0</v>
        <stp/>
        <stp>BDS|4737281963751186747</stp>
        <tr r="I1950" s="2"/>
      </tp>
      <tp t="s">
        <v>#N/A Requesting Data...4134419508</v>
        <stp/>
        <stp>BDP|6227695053437697472</stp>
        <tr r="C1277" s="2"/>
      </tp>
      <tp t="s">
        <v>#N/A Requesting Data...4175846118</v>
        <stp/>
        <stp>BDP|9460578674188873560</stp>
        <tr r="R625" s="2"/>
      </tp>
      <tp t="s">
        <v>#N/A Requesting Data...2993762160</v>
        <stp/>
        <stp>BDP|2194311378943437359</stp>
        <tr r="J1103" s="2"/>
      </tp>
      <tp t="s">
        <v>#N/A Requesting Data...3743527361</v>
        <stp/>
        <stp>BDP|3686335199249557601</stp>
        <tr r="O130" s="2"/>
      </tp>
      <tp t="s">
        <v>#N/A Requesting Data...3275253413</v>
        <stp/>
        <stp>BDP|3917398247185978774</stp>
        <tr r="Q2353" s="2"/>
      </tp>
      <tp t="s">
        <v>#N/A Requesting Data...3677908955</v>
        <stp/>
        <stp>BDP|4535794300813330667</stp>
        <tr r="Q1064" s="2"/>
      </tp>
      <tp t="s">
        <v>#N/A Requesting Data...3672713722</v>
        <stp/>
        <stp>BDP|2426362970995977525</stp>
        <tr r="N548" s="2"/>
      </tp>
      <tp t="s">
        <v>#N/A Requesting Data...3346237760</v>
        <stp/>
        <stp>BDP|3834140364996580449</stp>
        <tr r="H1105" s="2"/>
      </tp>
      <tp t="s">
        <v>#N/A Requesting Data...3525446124</v>
        <stp/>
        <stp>BDP|3465442247846826364</stp>
        <tr r="G1502" s="2"/>
      </tp>
      <tp t="s">
        <v>#N/A Requesting Data...3911896947</v>
        <stp/>
        <stp>BDP|7115680160223190210</stp>
        <tr r="O1050" s="2"/>
      </tp>
      <tp t="s">
        <v>#N/A Requesting Data...3834399544</v>
        <stp/>
        <stp>BDP|3046117053676266799</stp>
        <tr r="P1603" s="2"/>
      </tp>
      <tp t="s">
        <v>#N/A Requesting Data...3966043609</v>
        <stp/>
        <stp>BDP|9335587329238994025</stp>
        <tr r="S1490" s="2"/>
      </tp>
      <tp t="s">
        <v>#N/A Requesting Data...4023166727</v>
        <stp/>
        <stp>BDP|8267898010367262001</stp>
        <tr r="Q2110" s="2"/>
      </tp>
      <tp t="s">
        <v>#N/A Requesting Data...3753708237</v>
        <stp/>
        <stp>BDP|2614385753900367276</stp>
        <tr r="A1334" s="2"/>
      </tp>
      <tp t="s">
        <v>#N/A Requesting Data...4192881161</v>
        <stp/>
        <stp>BDP|9577681251148286472</stp>
        <tr r="M2253" s="2"/>
      </tp>
      <tp t="s">
        <v>#N/A Requesting Data...3490589668</v>
        <stp/>
        <stp>BDP|2444249775727530694</stp>
        <tr r="K2275" s="2"/>
      </tp>
      <tp t="s">
        <v>#N/A Requesting Data...3986521917</v>
        <stp/>
        <stp>BDP|1519307358656292764</stp>
        <tr r="N1537" s="2"/>
      </tp>
      <tp t="s">
        <v>#N/A Requesting Data...3946823586</v>
        <stp/>
        <stp>BDP|2657065861607081583</stp>
        <tr r="J886" s="2"/>
      </tp>
      <tp t="s">
        <v>#N/A Requesting Data...4136401012</v>
        <stp/>
        <stp>BDP|9384280584673409623</stp>
        <tr r="T721" s="2"/>
      </tp>
      <tp t="s">
        <v>#N/A Requesting Data...3839084344</v>
        <stp/>
        <stp>BDP|6849612013330281710</stp>
        <tr r="O801" s="2"/>
      </tp>
      <tp t="s">
        <v>#N/A Requesting Data...3840870465</v>
        <stp/>
        <stp>BDP|4265723795839405581</stp>
        <tr r="F1032" s="2"/>
      </tp>
      <tp t="s">
        <v>#N/A Requesting Data...3377204486</v>
        <stp/>
        <stp>BDP|7082691621666675374</stp>
        <tr r="S227" s="2"/>
      </tp>
      <tp t="s">
        <v>#N/A Requesting Data...3389616231</v>
        <stp/>
        <stp>BDP|7796456272656976402</stp>
        <tr r="O2467" s="2"/>
      </tp>
      <tp t="s">
        <v>#N/A Requesting Data...3842893071</v>
        <stp/>
        <stp>BDP|3704953752801942803</stp>
        <tr r="E11" s="2"/>
      </tp>
      <tp t="s">
        <v>#N/A Requesting Data...3164688616</v>
        <stp/>
        <stp>BDP|2947829706628501417</stp>
        <tr r="F742" s="2"/>
      </tp>
      <tp t="s">
        <v>#N/A Requesting Data...3774729054</v>
        <stp/>
        <stp>BDP|1087786005697760732</stp>
        <tr r="C316" s="2"/>
      </tp>
      <tp t="s">
        <v>#N/A Requesting Data...3785731885</v>
        <stp/>
        <stp>BDP|2735296580976373844</stp>
        <tr r="R1828" s="2"/>
      </tp>
      <tp t="s">
        <v>#N/A Requesting Data...3264872671</v>
        <stp/>
        <stp>BDP|4772181113011704329</stp>
        <tr r="E1786" s="2"/>
      </tp>
      <tp t="s">
        <v>#N/A Requesting Data...3895689433</v>
        <stp/>
        <stp>BDP|6278586990104287817</stp>
        <tr r="Q2439" s="2"/>
      </tp>
      <tp t="s">
        <v>#N/A Requesting Data...2981423694</v>
        <stp/>
        <stp>BDP|6964610174011483011</stp>
        <tr r="O1965" s="2"/>
      </tp>
      <tp t="s">
        <v>#N/A Requesting Data...3885757617</v>
        <stp/>
        <stp>BDP|8246493557469094655</stp>
        <tr r="N2262" s="2"/>
      </tp>
      <tp t="s">
        <v>#N/A Requesting Data...3974486256</v>
        <stp/>
        <stp>BDP|7290012094468684088</stp>
        <tr r="H2338" s="2"/>
      </tp>
      <tp t="s">
        <v>#N/A Requesting Data...3238327102</v>
        <stp/>
        <stp>BDP|4437693692475428829</stp>
        <tr r="E2402" s="2"/>
      </tp>
      <tp t="s">
        <v>#N/A Requesting Data...3996797423</v>
        <stp/>
        <stp>BDP|7493592774427562457</stp>
        <tr r="R1392" s="2"/>
      </tp>
      <tp t="s">
        <v>#N/A Requesting Data...3140334232</v>
        <stp/>
        <stp>BDP|8288464459869488602</stp>
        <tr r="T625" s="2"/>
      </tp>
      <tp t="s">
        <v>#N/A Requesting Data...3950119843</v>
        <stp/>
        <stp>BDP|5399836359278911692</stp>
        <tr r="S629" s="2"/>
      </tp>
      <tp t="s">
        <v>#N/A Requesting Data...4196155091</v>
        <stp/>
        <stp>BDP|8058723359678391417</stp>
        <tr r="H2065" s="2"/>
      </tp>
      <tp t="s">
        <v>#N/A Requesting Data...3272298446</v>
        <stp/>
        <stp>BDP|4189130774655890179</stp>
        <tr r="G581" s="2"/>
      </tp>
      <tp t="s">
        <v>#N/A Requesting Data...3736770070</v>
        <stp/>
        <stp>BDP|4900166533663426313</stp>
        <tr r="N480" s="2"/>
      </tp>
      <tp t="s">
        <v>#N/A Requesting Data...4283100336</v>
        <stp/>
        <stp>BDP|6629916179867359948</stp>
        <tr r="M266" s="2"/>
      </tp>
      <tp t="b">
        <v>0</v>
        <stp/>
        <stp>BDS|2825708058200137689</stp>
        <tr r="I2454" s="2"/>
      </tp>
      <tp t="s">
        <v>#N/A Requesting Data...4199961102</v>
        <stp/>
        <stp>BDP|4590193751980132651</stp>
        <tr r="F1745" s="2"/>
      </tp>
      <tp t="s">
        <v>#N/A Requesting Data...4130836129</v>
        <stp/>
        <stp>BDP|8933719849009081483</stp>
        <tr r="J1595" s="2"/>
      </tp>
      <tp t="s">
        <v>#N/A Requesting Data...3745030215</v>
        <stp/>
        <stp>BDP|4821036131923186225</stp>
        <tr r="H1828" s="2"/>
      </tp>
      <tp t="s">
        <v>#N/A Requesting Data...4129160459</v>
        <stp/>
        <stp>BDP|2632228611933560494</stp>
        <tr r="P1407" s="2"/>
      </tp>
      <tp t="s">
        <v>#N/A Requesting Data...3976214055</v>
        <stp/>
        <stp>BDP|4580223459961025470</stp>
        <tr r="F702" s="2"/>
      </tp>
      <tp t="s">
        <v>#N/A Requesting Data...3404401366</v>
        <stp/>
        <stp>BDP|7706863861367016891</stp>
        <tr r="T830" s="2"/>
      </tp>
      <tp t="s">
        <v>#N/A Requesting Data...3627299442</v>
        <stp/>
        <stp>BDP|7998407201473383622</stp>
        <tr r="P2085" s="2"/>
      </tp>
      <tp t="s">
        <v>#N/A Requesting Data...4264850466</v>
        <stp/>
        <stp>BDP|3738047456720476084</stp>
        <tr r="G1062" s="2"/>
      </tp>
      <tp t="s">
        <v>#N/A Requesting Data...3870599912</v>
        <stp/>
        <stp>BDP|5751411221581602481</stp>
        <tr r="S2150" s="2"/>
      </tp>
      <tp t="s">
        <v>#N/A Requesting Data...4033193695</v>
        <stp/>
        <stp>BDP|2834118812987660347</stp>
        <tr r="N1017" s="2"/>
      </tp>
      <tp t="s">
        <v>#N/A Requesting Data...3051407294</v>
        <stp/>
        <stp>BDP|6211090943345758164</stp>
        <tr r="D1435" s="2"/>
      </tp>
      <tp t="s">
        <v>#N/A Requesting Data...3379688805</v>
        <stp/>
        <stp>BDP|8393528698491359333</stp>
        <tr r="T2387" s="2"/>
      </tp>
      <tp t="s">
        <v>#N/A Requesting Data...3759818322</v>
        <stp/>
        <stp>BDP|2297389243870383333</stp>
        <tr r="M1947" s="2"/>
      </tp>
      <tp t="s">
        <v>#N/A Requesting Data...3994388592</v>
        <stp/>
        <stp>BDP|5840218405190760128</stp>
        <tr r="H1903" s="2"/>
      </tp>
      <tp t="s">
        <v>#N/A Requesting Data...3136200645</v>
        <stp/>
        <stp>BDP|3957101200793897789</stp>
        <tr r="Q2078" s="2"/>
      </tp>
      <tp t="s">
        <v>#N/A Requesting Data...4271195109</v>
        <stp/>
        <stp>BDP|4992482889969728762</stp>
        <tr r="P1360" s="2"/>
      </tp>
      <tp t="s">
        <v>#N/A Requesting Data...3175144143</v>
        <stp/>
        <stp>BDP|5170954471619961451</stp>
        <tr r="E1715" s="2"/>
      </tp>
      <tp t="s">
        <v>#N/A Requesting Data...3115823638</v>
        <stp/>
        <stp>BDP|8277995727131505401</stp>
        <tr r="A968" s="2"/>
      </tp>
      <tp t="s">
        <v>#N/A Requesting Data...3893078554</v>
        <stp/>
        <stp>BDP|4546077419116551575</stp>
        <tr r="M837" s="2"/>
      </tp>
      <tp t="s">
        <v>#N/A Requesting Data...3285273058</v>
        <stp/>
        <stp>BDP|2276898554411791810</stp>
        <tr r="A138" s="2"/>
      </tp>
      <tp t="s">
        <v>#N/A Requesting Data...3482375531</v>
        <stp/>
        <stp>BDP|1840042677617679745</stp>
        <tr r="K2379" s="2"/>
      </tp>
      <tp t="s">
        <v>#N/A Requesting Data...4095667651</v>
        <stp/>
        <stp>BDP|4950086601011179386</stp>
        <tr r="P2068" s="2"/>
      </tp>
      <tp t="s">
        <v>#N/A Requesting Data...3723301114</v>
        <stp/>
        <stp>BDP|8563109861721890853</stp>
        <tr r="A1975" s="2"/>
      </tp>
      <tp t="s">
        <v>#N/A Requesting Data...3474778872</v>
        <stp/>
        <stp>BDP|6673565249387362635</stp>
        <tr r="P2531" s="2"/>
      </tp>
      <tp t="s">
        <v>#N/A Requesting Data...3320494203</v>
        <stp/>
        <stp>BDP|2414587410267553704</stp>
        <tr r="K1888" s="2"/>
      </tp>
      <tp t="s">
        <v>#N/A Requesting Data...3840313420</v>
        <stp/>
        <stp>BDP|3647489013954322473</stp>
        <tr r="O1440" s="2"/>
      </tp>
      <tp t="s">
        <v>#N/A Requesting Data...3965194262</v>
        <stp/>
        <stp>BDP|8226428556157874879</stp>
        <tr r="T1470" s="2"/>
      </tp>
      <tp t="s">
        <v>#N/A Requesting Data...3724117137</v>
        <stp/>
        <stp>BDP|3441764603607004583</stp>
        <tr r="C830" s="2"/>
      </tp>
      <tp t="s">
        <v>#N/A Requesting Data...3677486033</v>
        <stp/>
        <stp>BDP|1761725488710593819</stp>
        <tr r="K2247" s="2"/>
      </tp>
      <tp t="s">
        <v>#N/A Requesting Data...3445852603</v>
        <stp/>
        <stp>BDP|6008117674806490082</stp>
        <tr r="J2507" s="2"/>
      </tp>
      <tp t="s">
        <v>#N/A Requesting Data...3529172983</v>
        <stp/>
        <stp>BDP|4347997841608084729</stp>
        <tr r="S1285" s="2"/>
      </tp>
      <tp t="s">
        <v>#N/A Requesting Data...4265308728</v>
        <stp/>
        <stp>BDP|8666322522209878675</stp>
        <tr r="A132" s="2"/>
      </tp>
      <tp t="s">
        <v>#N/A Requesting Data...3923435502</v>
        <stp/>
        <stp>BDP|2826536052532120614</stp>
        <tr r="F252" s="2"/>
      </tp>
      <tp t="s">
        <v>#N/A Requesting Data...3864161325</v>
        <stp/>
        <stp>BDP|9233532308062510857</stp>
        <tr r="G1087" s="2"/>
      </tp>
      <tp t="s">
        <v>#N/A Requesting Data...4185509516</v>
        <stp/>
        <stp>BDP|9566858019146985090</stp>
        <tr r="K2452" s="2"/>
      </tp>
      <tp t="s">
        <v>#N/A Requesting Data...3835098190</v>
        <stp/>
        <stp>BDP|5022354376911382690</stp>
        <tr r="C1231" s="2"/>
      </tp>
      <tp t="s">
        <v>#N/A Requesting Data...3566927283</v>
        <stp/>
        <stp>BDP|5877426965678033963</stp>
        <tr r="G1330" s="2"/>
      </tp>
      <tp t="s">
        <v>#N/A Requesting Data...3319030233</v>
        <stp/>
        <stp>BDP|6702533818180666432</stp>
        <tr r="G1623" s="2"/>
      </tp>
      <tp t="s">
        <v>#N/A Requesting Data...3981868408</v>
        <stp/>
        <stp>BDP|1303210764183639094</stp>
        <tr r="P2190" s="2"/>
      </tp>
      <tp t="s">
        <v>#N/A Requesting Data...3444452917</v>
        <stp/>
        <stp>BDP|9966187718146023904</stp>
        <tr r="G1352" s="2"/>
      </tp>
      <tp t="s">
        <v>#N/A Requesting Data...3672584562</v>
        <stp/>
        <stp>BDP|4461163532366942604</stp>
        <tr r="P1724" s="2"/>
      </tp>
      <tp t="s">
        <v>#N/A Requesting Data...4254964875</v>
        <stp/>
        <stp>BDP|9550593112808591321</stp>
        <tr r="C867" s="2"/>
      </tp>
      <tp t="s">
        <v>#N/A Requesting Data...3558722557</v>
        <stp/>
        <stp>BDP|3472030715100287498</stp>
        <tr r="S925" s="2"/>
      </tp>
      <tp t="s">
        <v>#N/A Requesting Data...3401334292</v>
        <stp/>
        <stp>BDP|9387394865513672908</stp>
        <tr r="M175" s="2"/>
      </tp>
      <tp t="s">
        <v>#N/A Requesting Data...3542503587</v>
        <stp/>
        <stp>BDP|9362093134404169861</stp>
        <tr r="O767" s="2"/>
      </tp>
      <tp t="s">
        <v>#N/A Requesting Data...3813340824</v>
        <stp/>
        <stp>BDP|8005996436870566441</stp>
        <tr r="F430" s="2"/>
      </tp>
      <tp t="s">
        <v>#N/A Requesting Data...3498208420</v>
        <stp/>
        <stp>BDP|1883385075504240795</stp>
        <tr r="T2304" s="2"/>
      </tp>
      <tp t="s">
        <v>#N/A Requesting Data...3733238046</v>
        <stp/>
        <stp>BDP|1193338879916027553</stp>
        <tr r="A1426" s="2"/>
      </tp>
      <tp t="s">
        <v>#N/A Requesting Data...3577815537</v>
        <stp/>
        <stp>BDP|6307535165593895030</stp>
        <tr r="H763" s="2"/>
      </tp>
      <tp t="s">
        <v>#N/A Requesting Data...3704432271</v>
        <stp/>
        <stp>BDP|6269325604563298087</stp>
        <tr r="O473" s="2"/>
      </tp>
      <tp t="s">
        <v>#N/A Requesting Data...3661776649</v>
        <stp/>
        <stp>BDP|8606174097943821507</stp>
        <tr r="N2338" s="2"/>
      </tp>
      <tp t="s">
        <v>#N/A Requesting Data...3860791291</v>
        <stp/>
        <stp>BDP|7309749816765679291</stp>
        <tr r="O2463" s="2"/>
      </tp>
      <tp t="s">
        <v>#N/A Requesting Data...3809779366</v>
        <stp/>
        <stp>BDP|7895627181518064756</stp>
        <tr r="S1712" s="2"/>
      </tp>
      <tp t="s">
        <v>#N/A Requesting Data...3249559562</v>
        <stp/>
        <stp>BDP|3697288016931766715</stp>
        <tr r="D930" s="2"/>
      </tp>
      <tp t="s">
        <v>#N/A Requesting Data...3430240899</v>
        <stp/>
        <stp>BDP|4078187843123421418</stp>
        <tr r="A1725" s="2"/>
      </tp>
      <tp t="s">
        <v>#N/A Requesting Data...3845289524</v>
        <stp/>
        <stp>BDP|2762634076705898047</stp>
        <tr r="R439" s="2"/>
      </tp>
      <tp t="s">
        <v>#N/A Requesting Data...4040249970</v>
        <stp/>
        <stp>BDP|3800176171140581355</stp>
        <tr r="F1895" s="2"/>
      </tp>
      <tp t="b">
        <v>0</v>
        <stp/>
        <stp>BDS|7412797002561890793</stp>
        <tr r="I1332" s="2"/>
      </tp>
      <tp t="b">
        <v>0</v>
        <stp/>
        <stp>BDS|8049513323099967058</stp>
        <tr r="I458" s="2"/>
      </tp>
      <tp t="s">
        <v>#N/A Requesting Data...3745609679</v>
        <stp/>
        <stp>BDP|6317663461342921239</stp>
        <tr r="G2115" s="2"/>
      </tp>
      <tp t="s">
        <v>#N/A Requesting Data...3686176820</v>
        <stp/>
        <stp>BDP|3512492575976510021</stp>
        <tr r="G2460" s="2"/>
      </tp>
      <tp t="s">
        <v>#N/A Requesting Data...4202456950</v>
        <stp/>
        <stp>BDP|5910077324930764134</stp>
        <tr r="C2435" s="2"/>
      </tp>
      <tp t="s">
        <v>#N/A Requesting Data...3879930543</v>
        <stp/>
        <stp>BDP|5086283556623223722</stp>
        <tr r="J1420" s="2"/>
      </tp>
      <tp t="s">
        <v>#N/A Requesting Data...3400362612</v>
        <stp/>
        <stp>BDP|3782642726386821736</stp>
        <tr r="A332" s="2"/>
      </tp>
      <tp t="s">
        <v>#N/A Requesting Data...4258683878</v>
        <stp/>
        <stp>BDP|5933474421994516142</stp>
        <tr r="A2093" s="2"/>
      </tp>
      <tp t="s">
        <v>#N/A Requesting Data...3954772982</v>
        <stp/>
        <stp>BDP|1882504525613462370</stp>
        <tr r="A1145" s="2"/>
      </tp>
      <tp t="b">
        <v>0</v>
        <stp/>
        <stp>BDS|7252542318277427248</stp>
        <tr r="I1546" s="2"/>
      </tp>
      <tp t="b">
        <v>0</v>
        <stp/>
        <stp>BDS|6483998881024067529</stp>
        <tr r="I1164" s="2"/>
      </tp>
      <tp t="s">
        <v>#N/A Requesting Data...3795695653</v>
        <stp/>
        <stp>BDP|1577881458748377289</stp>
        <tr r="C476" s="2"/>
      </tp>
      <tp t="s">
        <v>#N/A Requesting Data...4219431601</v>
        <stp/>
        <stp>BDP|2859708977171835590</stp>
        <tr r="G2074" s="2"/>
      </tp>
      <tp t="s">
        <v>#N/A Requesting Data...3506277565</v>
        <stp/>
        <stp>BDP|2596557931796608496</stp>
        <tr r="T28" s="2"/>
      </tp>
      <tp t="s">
        <v>#N/A Requesting Data...3680972779</v>
        <stp/>
        <stp>BDP|5635459738551119541</stp>
        <tr r="E1927" s="2"/>
      </tp>
      <tp t="s">
        <v>#N/A Requesting Data...3997335931</v>
        <stp/>
        <stp>BDP|3258053171796199497</stp>
        <tr r="O975" s="2"/>
      </tp>
      <tp t="s">
        <v>#N/A Requesting Data...3264331558</v>
        <stp/>
        <stp>BDP|9630905879846529742</stp>
        <tr r="T812" s="2"/>
      </tp>
      <tp t="s">
        <v>#N/A Requesting Data...3728948571</v>
        <stp/>
        <stp>BDP|2084654009232600040</stp>
        <tr r="S567" s="2"/>
      </tp>
      <tp t="s">
        <v>#N/A Requesting Data...3657976156</v>
        <stp/>
        <stp>BDP|2982607316241842297</stp>
        <tr r="G1070" s="2"/>
      </tp>
      <tp t="s">
        <v>#N/A Requesting Data...4128345972</v>
        <stp/>
        <stp>BDP|8139909579035718515</stp>
        <tr r="H1337" s="2"/>
      </tp>
      <tp t="b">
        <v>0</v>
        <stp/>
        <stp>BDS|2809118317161941590</stp>
        <tr r="I1243" s="2"/>
      </tp>
      <tp t="s">
        <v>#N/A Requesting Data...4027066984</v>
        <stp/>
        <stp>BDP|6936292834639804829</stp>
        <tr r="J399" s="2"/>
      </tp>
      <tp t="s">
        <v>#N/A Requesting Data...3375386710</v>
        <stp/>
        <stp>BDP|9314930802970541692</stp>
        <tr r="A1268" s="2"/>
      </tp>
      <tp t="s">
        <v>#N/A Requesting Data...3410882550</v>
        <stp/>
        <stp>BDP|2490679135548831907</stp>
        <tr r="E2455" s="2"/>
      </tp>
      <tp t="s">
        <v>#N/A Requesting Data...4110144335</v>
        <stp/>
        <stp>BDP|6930579117516090277</stp>
        <tr r="Q225" s="2"/>
      </tp>
      <tp t="b">
        <v>0</v>
        <stp/>
        <stp>BDS|6833964101831682875</stp>
        <tr r="I1931" s="2"/>
      </tp>
      <tp t="s">
        <v>#N/A Requesting Data...3887262443</v>
        <stp/>
        <stp>BDP|4161239638020268368</stp>
        <tr r="A2256" s="2"/>
      </tp>
      <tp t="s">
        <v>#N/A Requesting Data...3946537784</v>
        <stp/>
        <stp>BDP|1658885548763953813</stp>
        <tr r="O384" s="2"/>
      </tp>
      <tp t="s">
        <v>#N/A Requesting Data...3953001324</v>
        <stp/>
        <stp>BDP|3889476038323993105</stp>
        <tr r="D2238" s="2"/>
      </tp>
      <tp t="s">
        <v>#N/A Requesting Data...3893017311</v>
        <stp/>
        <stp>BDP|6957937887697531667</stp>
        <tr r="G2220" s="2"/>
      </tp>
      <tp t="s">
        <v>#N/A Requesting Data...4241848861</v>
        <stp/>
        <stp>BDP|4832284569695121363</stp>
        <tr r="D1843" s="2"/>
      </tp>
      <tp t="s">
        <v>#N/A Requesting Data...3538639018</v>
        <stp/>
        <stp>BDP|6744056366071886729</stp>
        <tr r="J2056" s="2"/>
      </tp>
      <tp t="s">
        <v>#N/A Requesting Data...3771810254</v>
        <stp/>
        <stp>BDP|7928299122477852649</stp>
        <tr r="D2453" s="2"/>
      </tp>
      <tp t="s">
        <v>#N/A Requesting Data...4279721349</v>
        <stp/>
        <stp>BDP|6644681477712228353</stp>
        <tr r="K1759" s="2"/>
      </tp>
      <tp t="s">
        <v>#N/A Requesting Data...4006951052</v>
        <stp/>
        <stp>BDP|4840478753860374311</stp>
        <tr r="K1920" s="2"/>
      </tp>
      <tp t="s">
        <v>#N/A Requesting Data...3666101624</v>
        <stp/>
        <stp>BDP|6428486020001658743</stp>
        <tr r="A766" s="2"/>
      </tp>
      <tp t="s">
        <v>#N/A Requesting Data...3522736041</v>
        <stp/>
        <stp>BDP|6049734678076217673</stp>
        <tr r="R2123" s="2"/>
      </tp>
      <tp t="s">
        <v>#N/A Requesting Data...3507630714</v>
        <stp/>
        <stp>BDP|1913248752639222938</stp>
        <tr r="F1458" s="2"/>
      </tp>
      <tp t="s">
        <v>#N/A Requesting Data...4112332997</v>
        <stp/>
        <stp>BDP|5450611825187865066</stp>
        <tr r="D628" s="2"/>
      </tp>
      <tp t="s">
        <v>#N/A Requesting Data...3788594809</v>
        <stp/>
        <stp>BDP|2422508261927852033</stp>
        <tr r="Q1983" s="2"/>
      </tp>
      <tp t="s">
        <v>#N/A Requesting Data...3854313682</v>
        <stp/>
        <stp>BDP|1901491098722210842</stp>
        <tr r="N30" s="2"/>
      </tp>
      <tp t="s">
        <v>#N/A Requesting Data...3852748577</v>
        <stp/>
        <stp>BDP|6568904704640866977</stp>
        <tr r="C454" s="2"/>
      </tp>
      <tp t="s">
        <v>#N/A Requesting Data...3974838505</v>
        <stp/>
        <stp>BDP|1950375947831295154</stp>
        <tr r="T1049" s="2"/>
      </tp>
      <tp t="s">
        <v>#N/A Requesting Data...3661270805</v>
        <stp/>
        <stp>BDP|1048153116631411695</stp>
        <tr r="Q49" s="2"/>
      </tp>
      <tp t="s">
        <v>#N/A Requesting Data...3630939126</v>
        <stp/>
        <stp>BDP|4209296305743765372</stp>
        <tr r="A1434" s="2"/>
      </tp>
      <tp t="s">
        <v>#N/A Requesting Data...4220773850</v>
        <stp/>
        <stp>BDP|3891522654836453342</stp>
        <tr r="C66" s="2"/>
      </tp>
      <tp t="s">
        <v>#N/A Requesting Data...3696821412</v>
        <stp/>
        <stp>BDP|4345483167042760255</stp>
        <tr r="H1450" s="2"/>
      </tp>
      <tp t="s">
        <v>#N/A Requesting Data...3682349357</v>
        <stp/>
        <stp>BDP|3545997160108076221</stp>
        <tr r="T2293" s="2"/>
      </tp>
      <tp t="s">
        <v>#N/A Requesting Data...4126355522</v>
        <stp/>
        <stp>BDP|1954277040620188118</stp>
        <tr r="N1362" s="2"/>
      </tp>
      <tp t="b">
        <v>0</v>
        <stp/>
        <stp>BDS|4915246851362475764</stp>
        <tr r="I1106" s="2"/>
      </tp>
      <tp t="s">
        <v>#N/A Requesting Data...3529410682</v>
        <stp/>
        <stp>BDP|4647282979443043492</stp>
        <tr r="T440" s="2"/>
      </tp>
      <tp t="s">
        <v>#N/A Requesting Data...3532000804</v>
        <stp/>
        <stp>BDP|7244736451482672185</stp>
        <tr r="N2400" s="2"/>
      </tp>
      <tp t="s">
        <v>#N/A Requesting Data...4224539877</v>
        <stp/>
        <stp>BDP|2952318748994618782</stp>
        <tr r="T1662" s="2"/>
      </tp>
      <tp t="s">
        <v>#N/A Requesting Data...3540597392</v>
        <stp/>
        <stp>BDP|4153353715380928060</stp>
        <tr r="K2037" s="2"/>
      </tp>
      <tp t="s">
        <v>#N/A Requesting Data...3842645237</v>
        <stp/>
        <stp>BDP|3413764188923335978</stp>
        <tr r="Q436" s="2"/>
      </tp>
      <tp t="s">
        <v>#N/A Requesting Data...3879428825</v>
        <stp/>
        <stp>BDP|3160447065476829160</stp>
        <tr r="R2437" s="2"/>
      </tp>
      <tp t="b">
        <v>0</v>
        <stp/>
        <stp>BDS|1779405469774804181</stp>
        <tr r="I1395" s="2"/>
      </tp>
      <tp t="s">
        <v>#N/A Requesting Data...3391765618</v>
        <stp/>
        <stp>BDP|9403095990187668155</stp>
        <tr r="M1958" s="2"/>
      </tp>
      <tp t="b">
        <v>0</v>
        <stp/>
        <stp>BDS|7408522651177952602</stp>
        <tr r="I1008" s="2"/>
      </tp>
      <tp t="s">
        <v>#N/A Requesting Data...3870955106</v>
        <stp/>
        <stp>BDP|5175939751949511680</stp>
        <tr r="T215" s="2"/>
      </tp>
      <tp t="s">
        <v>#N/A Requesting Data...3704433552</v>
        <stp/>
        <stp>BDP|3443219186067924849</stp>
        <tr r="D2161" s="2"/>
      </tp>
      <tp t="s">
        <v>#N/A Requesting Data...3571462389</v>
        <stp/>
        <stp>BDP|7015314053722469582</stp>
        <tr r="T2277" s="2"/>
      </tp>
      <tp t="s">
        <v>#N/A Requesting Data...3678270758</v>
        <stp/>
        <stp>BDP|4006354153793046781</stp>
        <tr r="E643" s="2"/>
      </tp>
      <tp t="s">
        <v>#N/A Requesting Data...4111423220</v>
        <stp/>
        <stp>BDP|8602848172573620296</stp>
        <tr r="E473" s="2"/>
      </tp>
      <tp t="s">
        <v>#N/A Requesting Data...3591999678</v>
        <stp/>
        <stp>BDP|4596950587880985310</stp>
        <tr r="N643" s="2"/>
      </tp>
      <tp t="s">
        <v>#N/A Requesting Data...3365914533</v>
        <stp/>
        <stp>BDP|5827915950826003966</stp>
        <tr r="F1481" s="2"/>
      </tp>
      <tp t="s">
        <v>#N/A Requesting Data...3894386108</v>
        <stp/>
        <stp>BDP|2904914111544108878</stp>
        <tr r="F2452" s="2"/>
      </tp>
      <tp t="s">
        <v>#N/A Requesting Data...3616418237</v>
        <stp/>
        <stp>BDP|4827185739033167379</stp>
        <tr r="H1175" s="2"/>
      </tp>
      <tp t="s">
        <v>#N/A Requesting Data...3635239429</v>
        <stp/>
        <stp>BDP|5220505149915606726</stp>
        <tr r="S1635" s="2"/>
      </tp>
      <tp t="s">
        <v>#N/A Requesting Data...4238236308</v>
        <stp/>
        <stp>BDP|4708160913814440694</stp>
        <tr r="C1935" s="2"/>
      </tp>
      <tp t="s">
        <v>#N/A Requesting Data...4050083339</v>
        <stp/>
        <stp>BDP|3348457779897335130</stp>
        <tr r="O1801" s="2"/>
      </tp>
      <tp t="s">
        <v>#N/A Requesting Data...3698469439</v>
        <stp/>
        <stp>BDP|1898681676455856311</stp>
        <tr r="P793" s="2"/>
      </tp>
      <tp t="s">
        <v>#N/A Requesting Data...4004615712</v>
        <stp/>
        <stp>BDP|3209238819942798400</stp>
        <tr r="P1735" s="2"/>
      </tp>
      <tp t="s">
        <v>#N/A Requesting Data...3698532454</v>
        <stp/>
        <stp>BDP|4879905757629368739</stp>
        <tr r="F1535" s="2"/>
      </tp>
      <tp t="s">
        <v>#N/A Requesting Data...3847837226</v>
        <stp/>
        <stp>BDP|9747933419973647441</stp>
        <tr r="C1912" s="2"/>
      </tp>
      <tp t="s">
        <v>#N/A Requesting Data...4103455327</v>
        <stp/>
        <stp>BDP|1542077469892691329</stp>
        <tr r="N1247" s="2"/>
      </tp>
      <tp t="s">
        <v>#N/A Requesting Data...3927079063</v>
        <stp/>
        <stp>BDP|1830777942295588175</stp>
        <tr r="S1208" s="2"/>
      </tp>
      <tp t="s">
        <v>#N/A Requesting Data...3909957858</v>
        <stp/>
        <stp>BDP|3099608468870710503</stp>
        <tr r="A538" s="2"/>
      </tp>
      <tp t="s">
        <v>#N/A Requesting Data...4057946865</v>
        <stp/>
        <stp>BDP|1631697237814074671</stp>
        <tr r="J1406" s="2"/>
      </tp>
      <tp t="s">
        <v>#N/A Requesting Data...3423911879</v>
        <stp/>
        <stp>BDP|9155618479208300655</stp>
        <tr r="M1037" s="2"/>
      </tp>
      <tp t="s">
        <v>#N/A Requesting Data...4228671694</v>
        <stp/>
        <stp>BDP|9853368673733387818</stp>
        <tr r="S2377" s="2"/>
      </tp>
      <tp t="s">
        <v>#N/A Requesting Data...3634210984</v>
        <stp/>
        <stp>BDP|6281067828930749248</stp>
        <tr r="F1147" s="2"/>
      </tp>
      <tp t="b">
        <v>0</v>
        <stp/>
        <stp>BDS|1598934079430786978</stp>
        <tr r="I1833" s="2"/>
      </tp>
      <tp t="s">
        <v>#N/A Requesting Data...3476021801</v>
        <stp/>
        <stp>BDP|4960019241044262244</stp>
        <tr r="N1779" s="2"/>
      </tp>
      <tp t="s">
        <v>#N/A Requesting Data...3675542205</v>
        <stp/>
        <stp>BDP|7030996075007480870</stp>
        <tr r="H2374" s="2"/>
      </tp>
      <tp t="s">
        <v>#N/A Requesting Data...3983874802</v>
        <stp/>
        <stp>BDP|3838611427560098113</stp>
        <tr r="K715" s="2"/>
      </tp>
      <tp t="s">
        <v>#N/A Requesting Data...4014435297</v>
        <stp/>
        <stp>BDP|2858738220745553412</stp>
        <tr r="N699" s="2"/>
      </tp>
      <tp t="s">
        <v>#N/A Requesting Data...3739550080</v>
        <stp/>
        <stp>BDP|5889971578038001585</stp>
        <tr r="M2183" s="2"/>
      </tp>
      <tp t="s">
        <v>#N/A Requesting Data...3688771596</v>
        <stp/>
        <stp>BDP|2068199247944631579</stp>
        <tr r="F790" s="2"/>
      </tp>
      <tp t="s">
        <v>#N/A Requesting Data...3813673312</v>
        <stp/>
        <stp>BDP|9856679089164808511</stp>
        <tr r="F86" s="2"/>
      </tp>
      <tp t="s">
        <v>#N/A Requesting Data...4015788627</v>
        <stp/>
        <stp>BDP|5591190473147938297</stp>
        <tr r="Q479" s="2"/>
      </tp>
      <tp t="s">
        <v>#N/A Requesting Data...3844002665</v>
        <stp/>
        <stp>BDP|6132069105174811455</stp>
        <tr r="G2223" s="2"/>
      </tp>
      <tp t="s">
        <v>#N/A Requesting Data...4179443701</v>
        <stp/>
        <stp>BDP|2070444974192750588</stp>
        <tr r="K224" s="2"/>
      </tp>
      <tp t="s">
        <v>#N/A Requesting Data...3953235014</v>
        <stp/>
        <stp>BDP|9142249170293289988</stp>
        <tr r="H2211" s="2"/>
      </tp>
      <tp t="s">
        <v>#N/A Requesting Data...3441229794</v>
        <stp/>
        <stp>BDP|7244689430041542507</stp>
        <tr r="D627" s="2"/>
      </tp>
      <tp t="s">
        <v>#N/A Requesting Data...3666047787</v>
        <stp/>
        <stp>BDP|3643198810141348437</stp>
        <tr r="D1723" s="2"/>
      </tp>
      <tp t="s">
        <v>#N/A Requesting Data...3943187255</v>
        <stp/>
        <stp>BDP|5388785556845189433</stp>
        <tr r="D776" s="2"/>
      </tp>
      <tp t="s">
        <v>#N/A Requesting Data...4206299006</v>
        <stp/>
        <stp>BDP|2601251018641296660</stp>
        <tr r="N175" s="2"/>
      </tp>
      <tp t="s">
        <v>#N/A Requesting Data...3462845117</v>
        <stp/>
        <stp>BDP|7027992203928314066</stp>
        <tr r="F1584" s="2"/>
      </tp>
      <tp t="s">
        <v>#N/A Requesting Data...3707583811</v>
        <stp/>
        <stp>BDP|3959038655565652563</stp>
        <tr r="M2348" s="2"/>
      </tp>
      <tp t="s">
        <v>#N/A Requesting Data...3810953950</v>
        <stp/>
        <stp>BDP|9611354334459012681</stp>
        <tr r="R1362" s="2"/>
      </tp>
      <tp t="s">
        <v>#N/A Requesting Data...3828077664</v>
        <stp/>
        <stp>BDP|1451301959555296409</stp>
        <tr r="T1025" s="2"/>
      </tp>
      <tp t="s">
        <v>#N/A Requesting Data...4206148830</v>
        <stp/>
        <stp>BDP|5625780525722439407</stp>
        <tr r="R967" s="2"/>
      </tp>
      <tp t="s">
        <v>#N/A Requesting Data...3623225079</v>
        <stp/>
        <stp>BDP|7519055923331878241</stp>
        <tr r="F938" s="2"/>
      </tp>
      <tp t="s">
        <v>#N/A Requesting Data...3612842079</v>
        <stp/>
        <stp>BDP|8343382758429523190</stp>
        <tr r="S2060" s="2"/>
      </tp>
      <tp t="b">
        <v>0</v>
        <stp/>
        <stp>BDS|9591184243819354323</stp>
        <tr r="I1900" s="2"/>
      </tp>
      <tp t="s">
        <v>#N/A Requesting Data...3511102668</v>
        <stp/>
        <stp>BDP|8936214299416646387</stp>
        <tr r="N577" s="2"/>
      </tp>
      <tp t="s">
        <v>#N/A Requesting Data...4243391462</v>
        <stp/>
        <stp>BDP|1398179129460436467</stp>
        <tr r="M1435" s="2"/>
      </tp>
      <tp t="b">
        <v>0</v>
        <stp/>
        <stp>BDS|1607347811803596695</stp>
        <tr r="I845" s="2"/>
      </tp>
      <tp t="s">
        <v>#N/A Requesting Data...4004799704</v>
        <stp/>
        <stp>BDP|7309464220287866023</stp>
        <tr r="H1556" s="2"/>
      </tp>
      <tp t="s">
        <v>#N/A Requesting Data...4120200409</v>
        <stp/>
        <stp>BDP|8303398472449475338</stp>
        <tr r="P1519" s="2"/>
      </tp>
      <tp t="s">
        <v>#N/A Requesting Data...4040288687</v>
        <stp/>
        <stp>BDP|9595458408603217855</stp>
        <tr r="C164" s="2"/>
      </tp>
      <tp t="s">
        <v>#N/A Requesting Data...4049323073</v>
        <stp/>
        <stp>BDP|7473582944722589229</stp>
        <tr r="C180" s="2"/>
      </tp>
      <tp t="s">
        <v>#N/A Requesting Data...4108475755</v>
        <stp/>
        <stp>BDP|2161401058243736615</stp>
        <tr r="H1735" s="2"/>
      </tp>
      <tp t="s">
        <v>#N/A Requesting Data...3635877449</v>
        <stp/>
        <stp>BDP|3617696174082534617</stp>
        <tr r="A1763" s="2"/>
      </tp>
      <tp t="s">
        <v>#N/A Requesting Data...3631286364</v>
        <stp/>
        <stp>BDP|9050506394610926325</stp>
        <tr r="N506" s="2"/>
      </tp>
      <tp t="s">
        <v>#N/A Requesting Data...3892294621</v>
        <stp/>
        <stp>BDP|2605920278222463876</stp>
        <tr r="E843" s="2"/>
      </tp>
      <tp t="s">
        <v>#N/A Requesting Data...3794569169</v>
        <stp/>
        <stp>BDP|9422432844236437983</stp>
        <tr r="R2491" s="2"/>
      </tp>
      <tp t="s">
        <v>#N/A Requesting Data...3598075270</v>
        <stp/>
        <stp>BDP|2186771069326986397</stp>
        <tr r="A923" s="2"/>
      </tp>
      <tp t="s">
        <v>#N/A Requesting Data...3591358839</v>
        <stp/>
        <stp>BDP|9211533018522420920</stp>
        <tr r="N2421" s="2"/>
      </tp>
      <tp t="s">
        <v>#N/A Requesting Data...4253385062</v>
        <stp/>
        <stp>BDP|8516987910116701052</stp>
        <tr r="P1850" s="2"/>
      </tp>
      <tp t="s">
        <v>#N/A Requesting Data...3684186469</v>
        <stp/>
        <stp>BDP|9092789325603439960</stp>
        <tr r="K2094" s="2"/>
      </tp>
      <tp t="s">
        <v>#N/A Requesting Data...4205885510</v>
        <stp/>
        <stp>BDP|6177094495990560979</stp>
        <tr r="N1707" s="2"/>
      </tp>
      <tp t="s">
        <v>#N/A Requesting Data...3513479382</v>
        <stp/>
        <stp>BDP|3797950879872673923</stp>
        <tr r="K1553" s="2"/>
      </tp>
      <tp t="s">
        <v>#N/A Requesting Data...3826444522</v>
        <stp/>
        <stp>BDP|3825243632533221732</stp>
        <tr r="T385" s="2"/>
      </tp>
      <tp t="s">
        <v>#N/A Requesting Data...3909814119</v>
        <stp/>
        <stp>BDP|8896779797027321746</stp>
        <tr r="M205" s="2"/>
      </tp>
      <tp t="s">
        <v>#N/A Requesting Data...4048674000</v>
        <stp/>
        <stp>BDP|9038669356785910968</stp>
        <tr r="R1336" s="2"/>
      </tp>
      <tp t="s">
        <v>#N/A Requesting Data...3983835346</v>
        <stp/>
        <stp>BDP|7451597221394526267</stp>
        <tr r="O1284" s="2"/>
      </tp>
      <tp t="s">
        <v>#N/A Requesting Data...3708424790</v>
        <stp/>
        <stp>BDP|6895630456692332118</stp>
        <tr r="M174" s="2"/>
      </tp>
      <tp t="s">
        <v>#N/A Requesting Data...3708026727</v>
        <stp/>
        <stp>BDP|3892621891828743230</stp>
        <tr r="C1485" s="2"/>
      </tp>
      <tp t="s">
        <v>#N/A Requesting Data...3709699544</v>
        <stp/>
        <stp>BDP|6212442182438975427</stp>
        <tr r="T1469" s="2"/>
      </tp>
      <tp t="s">
        <v>#N/A Requesting Data...3692735076</v>
        <stp/>
        <stp>BDP|1496198901342205415</stp>
        <tr r="C488" s="2"/>
      </tp>
      <tp t="s">
        <v>#N/A Requesting Data...3547316205</v>
        <stp/>
        <stp>BDP|1455927791330179791</stp>
        <tr r="M1220" s="2"/>
      </tp>
      <tp t="s">
        <v>#N/A Requesting Data...3605869996</v>
        <stp/>
        <stp>BDP|9978288439858660616</stp>
        <tr r="Q2131" s="2"/>
      </tp>
      <tp t="s">
        <v>#N/A Requesting Data...4231766739</v>
        <stp/>
        <stp>BDP|2832739513865004774</stp>
        <tr r="P1083" s="2"/>
      </tp>
      <tp t="s">
        <v>#N/A Requesting Data...4251418450</v>
        <stp/>
        <stp>BDP|5069655745199642890</stp>
        <tr r="P921" s="2"/>
      </tp>
      <tp t="s">
        <v>#N/A Requesting Data...3584636661</v>
        <stp/>
        <stp>BDP|5433864999356258458</stp>
        <tr r="F800" s="2"/>
      </tp>
      <tp t="b">
        <v>0</v>
        <stp/>
        <stp>BDS|5065125403402853058</stp>
        <tr r="I204" s="2"/>
      </tp>
      <tp t="s">
        <v>#N/A Requesting Data...4072760674</v>
        <stp/>
        <stp>BDP|2586809655929476087</stp>
        <tr r="H1671" s="2"/>
      </tp>
      <tp t="s">
        <v>#N/A Requesting Data...3676096149</v>
        <stp/>
        <stp>BDP|5212480335804414070</stp>
        <tr r="J2238" s="2"/>
      </tp>
      <tp t="s">
        <v>#N/A Requesting Data...3770239261</v>
        <stp/>
        <stp>BDP|1317765585118455088</stp>
        <tr r="A2516" s="2"/>
      </tp>
      <tp t="s">
        <v>#N/A Requesting Data...3808357579</v>
        <stp/>
        <stp>BDP|1680476711316810444</stp>
        <tr r="O1807" s="2"/>
      </tp>
      <tp t="s">
        <v>#N/A Requesting Data...3853783725</v>
        <stp/>
        <stp>BDP|6908814386520781051</stp>
        <tr r="T21" s="2"/>
      </tp>
      <tp t="s">
        <v>#N/A Requesting Data...4061897864</v>
        <stp/>
        <stp>BDP|8665890920861261510</stp>
        <tr r="S1158" s="2"/>
      </tp>
      <tp t="s">
        <v>#N/A Requesting Data...4125292429</v>
        <stp/>
        <stp>BDP|5581257538996058448</stp>
        <tr r="G2098" s="2"/>
      </tp>
      <tp t="s">
        <v>#N/A Requesting Data...4273170808</v>
        <stp/>
        <stp>BDP|2327899891570009575</stp>
        <tr r="S603" s="2"/>
      </tp>
      <tp t="s">
        <v>#N/A Requesting Data...4173269513</v>
        <stp/>
        <stp>BDP|8886851928511163581</stp>
        <tr r="N1705" s="2"/>
      </tp>
      <tp t="s">
        <v>#N/A Requesting Data...3570281070</v>
        <stp/>
        <stp>BDP|2508283321111415548</stp>
        <tr r="R2056" s="2"/>
      </tp>
      <tp t="s">
        <v>#N/A Requesting Data...3894008660</v>
        <stp/>
        <stp>BDP|9012238698041636510</stp>
        <tr r="N2299" s="2"/>
      </tp>
      <tp t="s">
        <v>#N/A Requesting Data...4131055224</v>
        <stp/>
        <stp>BDP|7969188106834949428</stp>
        <tr r="O1244" s="2"/>
      </tp>
      <tp t="s">
        <v>#N/A Requesting Data...4123361682</v>
        <stp/>
        <stp>BDP|7499007814256853644</stp>
        <tr r="Q965" s="2"/>
      </tp>
      <tp t="s">
        <v>#N/A Requesting Data...3687793946</v>
        <stp/>
        <stp>BDP|9506350170752891943</stp>
        <tr r="T1236" s="2"/>
      </tp>
      <tp t="s">
        <v>#N/A Requesting Data...3636305487</v>
        <stp/>
        <stp>BDP|1714499943636962185</stp>
        <tr r="Q94" s="2"/>
      </tp>
      <tp t="s">
        <v>#N/A Requesting Data...3720977154</v>
        <stp/>
        <stp>BDP|3278703613747594487</stp>
        <tr r="M1772" s="2"/>
      </tp>
      <tp t="s">
        <v>#N/A Requesting Data...4196726955</v>
        <stp/>
        <stp>BDP|1213516780708742288</stp>
        <tr r="J929" s="2"/>
      </tp>
      <tp t="s">
        <v>#N/A Requesting Data...4111029705</v>
        <stp/>
        <stp>BDP|4132397561043484410</stp>
        <tr r="F2196" s="2"/>
      </tp>
      <tp t="s">
        <v>#N/A Requesting Data...3812481058</v>
        <stp/>
        <stp>BDP|7694767792516963971</stp>
        <tr r="H1874" s="2"/>
      </tp>
      <tp t="b">
        <v>0</v>
        <stp/>
        <stp>BDS|7038044828803458045</stp>
        <tr r="I711" s="2"/>
      </tp>
      <tp t="s">
        <v>#N/A Requesting Data...3656805121</v>
        <stp/>
        <stp>BDP|7275401368696568539</stp>
        <tr r="S340" s="2"/>
      </tp>
      <tp t="s">
        <v>#N/A Requesting Data...3979347529</v>
        <stp/>
        <stp>BDP|3123894548110517999</stp>
        <tr r="H775" s="2"/>
      </tp>
      <tp t="s">
        <v>#N/A Requesting Data...4133006583</v>
        <stp/>
        <stp>BDP|3314171002112995637</stp>
        <tr r="C1281" s="2"/>
      </tp>
      <tp t="s">
        <v>#N/A Requesting Data...3989534634</v>
        <stp/>
        <stp>BDP|1849027761883107264</stp>
        <tr r="G1902" s="2"/>
      </tp>
      <tp t="s">
        <v>#N/A Requesting Data...4027176306</v>
        <stp/>
        <stp>BDP|7551061319218611808</stp>
        <tr r="C2125" s="2"/>
      </tp>
      <tp t="s">
        <v>#N/A Requesting Data...4210761454</v>
        <stp/>
        <stp>BDP|1475121608715581376</stp>
        <tr r="H465" s="2"/>
      </tp>
      <tp t="s">
        <v>#N/A Requesting Data...3937735799</v>
        <stp/>
        <stp>BDP|3580264561737839667</stp>
        <tr r="N1363" s="2"/>
      </tp>
      <tp t="b">
        <v>0</v>
        <stp/>
        <stp>BDS|3948073875176593422</stp>
        <tr r="I25" s="2"/>
      </tp>
      <tp t="s">
        <v>#N/A Requesting Data...3930867894</v>
        <stp/>
        <stp>BDP|8135492734960801986</stp>
        <tr r="C2185" s="2"/>
      </tp>
      <tp t="s">
        <v>#N/A Requesting Data...4160115554</v>
        <stp/>
        <stp>BDP|2390415052276926352</stp>
        <tr r="J1300" s="2"/>
      </tp>
      <tp t="s">
        <v>#N/A Requesting Data...3868405646</v>
        <stp/>
        <stp>BDP|4175617173831776281</stp>
        <tr r="D576" s="2"/>
      </tp>
      <tp t="s">
        <v>#N/A Requesting Data...3947339272</v>
        <stp/>
        <stp>BDP|6081091714741673077</stp>
        <tr r="E2493" s="2"/>
      </tp>
      <tp t="s">
        <v>#N/A Requesting Data...3685753254</v>
        <stp/>
        <stp>BDP|4864382106897952637</stp>
        <tr r="G1870" s="2"/>
      </tp>
      <tp t="s">
        <v>#N/A Requesting Data...4262003628</v>
        <stp/>
        <stp>BDP|3073387305995571340</stp>
        <tr r="O168" s="2"/>
      </tp>
      <tp t="s">
        <v>#N/A Requesting Data...4120900900</v>
        <stp/>
        <stp>BDP|8915438709899882377</stp>
        <tr r="F1664" s="2"/>
      </tp>
      <tp t="s">
        <v>#N/A Requesting Data...4097483234</v>
        <stp/>
        <stp>BDP|7019759707112844463</stp>
        <tr r="J1603" s="2"/>
      </tp>
      <tp t="s">
        <v>#N/A Requesting Data...3973167608</v>
        <stp/>
        <stp>BDP|2843368477967415715</stp>
        <tr r="R147" s="2"/>
      </tp>
      <tp t="s">
        <v>#N/A Requesting Data...4135267992</v>
        <stp/>
        <stp>BDP|6957604064353827391</stp>
        <tr r="G1357" s="2"/>
      </tp>
      <tp t="s">
        <v>#N/A Requesting Data...4096522257</v>
        <stp/>
        <stp>BDP|8975338421867340842</stp>
        <tr r="N1630" s="2"/>
      </tp>
      <tp t="s">
        <v>#N/A Requesting Data...4037154767</v>
        <stp/>
        <stp>BDP|6105943450024812813</stp>
        <tr r="G2378" s="2"/>
      </tp>
      <tp t="s">
        <v>#N/A Requesting Data...4163296864</v>
        <stp/>
        <stp>BDP|9386371115878952545</stp>
        <tr r="C2128" s="2"/>
      </tp>
      <tp t="s">
        <v>#N/A Requesting Data...3926854197</v>
        <stp/>
        <stp>BDP|4486679724586235096</stp>
        <tr r="A1484" s="2"/>
      </tp>
      <tp t="s">
        <v>#N/A Requesting Data...3880750207</v>
        <stp/>
        <stp>BDP|1052683999259450190</stp>
        <tr r="Q284" s="2"/>
      </tp>
      <tp t="s">
        <v>#N/A Requesting Data...4213176978</v>
        <stp/>
        <stp>BDP|6822846993600024131</stp>
        <tr r="F892" s="2"/>
      </tp>
      <tp t="s">
        <v>#N/A Requesting Data...3945557277</v>
        <stp/>
        <stp>BDP|6482146798951578911</stp>
        <tr r="G1733" s="2"/>
      </tp>
      <tp t="s">
        <v>#N/A Requesting Data...3815226711</v>
        <stp/>
        <stp>BDP|6859249922555317518</stp>
        <tr r="E1930" s="2"/>
      </tp>
      <tp t="b">
        <v>0</v>
        <stp/>
        <stp>BDS|7802118964180420658</stp>
        <tr r="I1722" s="2"/>
      </tp>
      <tp t="s">
        <v>#N/A Requesting Data...3749109618</v>
        <stp/>
        <stp>BDP|7109465530451955724</stp>
        <tr r="T1168" s="2"/>
      </tp>
      <tp t="s">
        <v>#N/A Requesting Data...4072190959</v>
        <stp/>
        <stp>BDP|6355376698089942397</stp>
        <tr r="T312" s="2"/>
      </tp>
      <tp t="s">
        <v>#N/A Requesting Data...4147238145</v>
        <stp/>
        <stp>BDP|9552371822556579895</stp>
        <tr r="O845" s="2"/>
      </tp>
      <tp t="s">
        <v>#N/A Requesting Data...3987763684</v>
        <stp/>
        <stp>BDP|9372137248918782232</stp>
        <tr r="G1283" s="2"/>
      </tp>
      <tp t="s">
        <v>#N/A Requesting Data...3768074691</v>
        <stp/>
        <stp>BDP|2248136715675904117</stp>
        <tr r="M2039" s="2"/>
      </tp>
      <tp t="s">
        <v>#N/A Requesting Data...4087838231</v>
        <stp/>
        <stp>BDP|3179059263115387684</stp>
        <tr r="T1348" s="2"/>
      </tp>
      <tp t="s">
        <v>#N/A Requesting Data...4050264560</v>
        <stp/>
        <stp>BDP|7584990467397194961</stp>
        <tr r="Q258" s="2"/>
      </tp>
      <tp t="s">
        <v>#N/A Requesting Data...3970919197</v>
        <stp/>
        <stp>BDP|6650187098180347894</stp>
        <tr r="M2494" s="2"/>
      </tp>
      <tp t="s">
        <v>#N/A Requesting Data...3842089248</v>
        <stp/>
        <stp>BDP|8067355583525879022</stp>
        <tr r="N388" s="2"/>
      </tp>
      <tp t="s">
        <v>#N/A Requesting Data...3932502140</v>
        <stp/>
        <stp>BDP|6158094206042218202</stp>
        <tr r="F103" s="2"/>
      </tp>
      <tp t="s">
        <v>#N/A Requesting Data...3722347046</v>
        <stp/>
        <stp>BDP|8623641519378321140</stp>
        <tr r="E1542" s="2"/>
      </tp>
      <tp t="s">
        <v>#N/A Requesting Data...4001129995</v>
        <stp/>
        <stp>BDP|5897444425283351668</stp>
        <tr r="E2055" s="2"/>
      </tp>
      <tp t="s">
        <v>#N/A Requesting Data...3716912249</v>
        <stp/>
        <stp>BDP|3558783220315665576</stp>
        <tr r="S765" s="2"/>
      </tp>
      <tp t="s">
        <v>#N/A Requesting Data...4012301943</v>
        <stp/>
        <stp>BDP|6123169457487425388</stp>
        <tr r="F560" s="2"/>
      </tp>
      <tp t="s">
        <v>#N/A Requesting Data...4280853887</v>
        <stp/>
        <stp>BDP|9904463803869771279</stp>
        <tr r="S1173" s="2"/>
      </tp>
      <tp t="s">
        <v>#N/A Requesting Data...3834600344</v>
        <stp/>
        <stp>BDP|6705923547128655583</stp>
        <tr r="A1398" s="2"/>
      </tp>
      <tp t="s">
        <v>#N/A Requesting Data...3895864321</v>
        <stp/>
        <stp>BDP|4304795914794357013</stp>
        <tr r="H1581" s="2"/>
      </tp>
      <tp t="s">
        <v>#N/A Requesting Data...4238584025</v>
        <stp/>
        <stp>BDP|6569323637050819040</stp>
        <tr r="O1865" s="2"/>
      </tp>
      <tp t="s">
        <v>#N/A Requesting Data...4264581887</v>
        <stp/>
        <stp>BDP|6278271121030913013</stp>
        <tr r="D863" s="2"/>
      </tp>
      <tp t="s">
        <v>#N/A Requesting Data...3728957411</v>
        <stp/>
        <stp>BDP|9009382971122658932</stp>
        <tr r="M2122" s="2"/>
      </tp>
      <tp t="s">
        <v>#N/A Requesting Data...3825521278</v>
        <stp/>
        <stp>BDP|3121081096724647857</stp>
        <tr r="P1003" s="2"/>
      </tp>
      <tp t="s">
        <v>#N/A Requesting Data...4191169686</v>
        <stp/>
        <stp>BDP|6272228865234939009</stp>
        <tr r="E1189" s="2"/>
      </tp>
      <tp t="s">
        <v>#N/A Requesting Data...4061105678</v>
        <stp/>
        <stp>BDP|6588118205788852955</stp>
        <tr r="J888" s="2"/>
      </tp>
      <tp t="s">
        <v>#N/A Requesting Data...3835130484</v>
        <stp/>
        <stp>BDP|8902250431217976882</stp>
        <tr r="D593" s="2"/>
      </tp>
      <tp t="s">
        <v>#N/A Requesting Data...4216521069</v>
        <stp/>
        <stp>BDP|8616139236984864870</stp>
        <tr r="S431" s="2"/>
      </tp>
      <tp t="s">
        <v>#N/A Requesting Data...3763008728</v>
        <stp/>
        <stp>BDP|5746181387182474804</stp>
        <tr r="K1389" s="2"/>
      </tp>
      <tp t="s">
        <v>#N/A Requesting Data...3895151483</v>
        <stp/>
        <stp>BDP|6966996892367969773</stp>
        <tr r="C1309" s="2"/>
      </tp>
      <tp t="s">
        <v>#N/A Requesting Data...3891160765</v>
        <stp/>
        <stp>BDP|7232367931123158286</stp>
        <tr r="A2369" s="2"/>
      </tp>
      <tp t="b">
        <v>0</v>
        <stp/>
        <stp>BDS|1614407824746649780</stp>
        <tr r="I1263" s="2"/>
      </tp>
      <tp t="s">
        <v>#N/A Requesting Data...4230078261</v>
        <stp/>
        <stp>BDP|1365067055917877549</stp>
        <tr r="A2012" s="2"/>
      </tp>
      <tp t="s">
        <v>#N/A Requesting Data...3895562929</v>
        <stp/>
        <stp>BDP|7118009382430884972</stp>
        <tr r="S540" s="2"/>
      </tp>
      <tp t="s">
        <v>#N/A Requesting Data...4228173427</v>
        <stp/>
        <stp>BDP|9656977065498855805</stp>
        <tr r="M855" s="2"/>
      </tp>
      <tp t="s">
        <v>#N/A Requesting Data...4029161967</v>
        <stp/>
        <stp>BDP|8633301437436893846</stp>
        <tr r="O394" s="2"/>
      </tp>
      <tp t="s">
        <v>#N/A Requesting Data...4108375820</v>
        <stp/>
        <stp>BDP|6602338413037377586</stp>
        <tr r="M1544" s="2"/>
      </tp>
      <tp t="b">
        <v>0</v>
        <stp/>
        <stp>BDS|6436559597594929827</stp>
        <tr r="I1732" s="2"/>
      </tp>
      <tp t="s">
        <v>#N/A Requesting Data...3820542495</v>
        <stp/>
        <stp>BDP|5261080721836019766</stp>
        <tr r="R4" s="2"/>
      </tp>
      <tp t="s">
        <v>#N/A Requesting Data...3880608945</v>
        <stp/>
        <stp>BDP|8962182889727485012</stp>
        <tr r="R382" s="2"/>
      </tp>
      <tp t="s">
        <v>#N/A Requesting Data...4174656934</v>
        <stp/>
        <stp>BDP|5993296933573933170</stp>
        <tr r="D1441" s="2"/>
      </tp>
      <tp t="s">
        <v>#N/A Requesting Data...3786339045</v>
        <stp/>
        <stp>BDP|4445491055297493417</stp>
        <tr r="S151" s="2"/>
      </tp>
      <tp t="b">
        <v>0</v>
        <stp/>
        <stp>BDS|3014684336723393300</stp>
        <tr r="I2249" s="2"/>
      </tp>
      <tp t="s">
        <v>#N/A Requesting Data...4238337469</v>
        <stp/>
        <stp>BDP|9481902524187501383</stp>
        <tr r="O553" s="2"/>
      </tp>
      <tp t="s">
        <v>#N/A Requesting Data...3864248096</v>
        <stp/>
        <stp>BDP|4072452131237095295</stp>
        <tr r="S1558" s="2"/>
      </tp>
      <tp t="s">
        <v>#N/A Requesting Data...4070302137</v>
        <stp/>
        <stp>BDP|9411909269355933593</stp>
        <tr r="M2049" s="2"/>
      </tp>
      <tp t="s">
        <v>#N/A Requesting Data...4017973895</v>
        <stp/>
        <stp>BDP|2395783462052434702</stp>
        <tr r="O1687" s="2"/>
      </tp>
      <tp t="s">
        <v>#N/A Requesting Data...4129760266</v>
        <stp/>
        <stp>BDP|1303210961061983273</stp>
        <tr r="G627" s="2"/>
      </tp>
      <tp t="s">
        <v>#N/A Requesting Data...4282335135</v>
        <stp/>
        <stp>BDP|1731387783854029815</stp>
        <tr r="D494" s="2"/>
      </tp>
      <tp t="s">
        <v>#N/A Requesting Data...4070735602</v>
        <stp/>
        <stp>BDP|7340932950668528588</stp>
        <tr r="H1866" s="2"/>
      </tp>
      <tp t="s">
        <v>#N/A Requesting Data...4141585307</v>
        <stp/>
        <stp>BDP|4033741261472996115</stp>
        <tr r="K2425" s="2"/>
      </tp>
      <tp t="s">
        <v>#N/A Requesting Data...4055288353</v>
        <stp/>
        <stp>BDP|6197069795821659897</stp>
        <tr r="E1626" s="2"/>
      </tp>
      <tp t="s">
        <v>#N/A Requesting Data...3908319909</v>
        <stp/>
        <stp>BDP|6106458423075922337</stp>
        <tr r="H1224" s="2"/>
      </tp>
      <tp t="s">
        <v>#N/A Requesting Data...3969416720</v>
        <stp/>
        <stp>BDP|1945089354276970415</stp>
        <tr r="O2144" s="2"/>
      </tp>
      <tp t="s">
        <v>#N/A Requesting Data...4259006210</v>
        <stp/>
        <stp>BDP|2850556837934367641</stp>
        <tr r="E347" s="2"/>
      </tp>
      <tp t="s">
        <v>#N/A Requesting Data...4097749110</v>
        <stp/>
        <stp>BDP|2887265890968607759</stp>
        <tr r="G1049" s="2"/>
      </tp>
      <tp t="s">
        <v>#N/A Requesting Data...4027764293</v>
        <stp/>
        <stp>BDP|2957822182162589613</stp>
        <tr r="J1390" s="2"/>
      </tp>
      <tp t="s">
        <v>#N/A Requesting Data...3919824379</v>
        <stp/>
        <stp>BDP|8867823474958443974</stp>
        <tr r="G1458" s="2"/>
      </tp>
      <tp t="s">
        <v>#N/A Requesting Data...3837867205</v>
        <stp/>
        <stp>BDP|3354561758943076606</stp>
        <tr r="N1766" s="2"/>
      </tp>
      <tp t="s">
        <v>#N/A Requesting Data...3931042747</v>
        <stp/>
        <stp>BDP|7937107281469492115</stp>
        <tr r="A1095" s="2"/>
      </tp>
      <tp t="s">
        <v>#N/A Requesting Data...4141443533</v>
        <stp/>
        <stp>BDP|3302160843318874838</stp>
        <tr r="G1517" s="2"/>
      </tp>
      <tp t="s">
        <v>#N/A Requesting Data...4015944186</v>
        <stp/>
        <stp>BDP|3063748609616236424</stp>
        <tr r="H1473" s="2"/>
      </tp>
      <tp t="s">
        <v>#N/A Requesting Data...4186138495</v>
        <stp/>
        <stp>BDP|2495126477407502594</stp>
        <tr r="C440" s="2"/>
      </tp>
      <tp t="b">
        <v>0</v>
        <stp/>
        <stp>BDS|1613339196019910475</stp>
        <tr r="I1798" s="2"/>
      </tp>
      <tp t="s">
        <v>#N/A Requesting Data...3960911736</v>
        <stp/>
        <stp>BDP|7998125444763106734</stp>
        <tr r="E778" s="2"/>
      </tp>
      <tp t="s">
        <v>#N/A Requesting Data...4246487464</v>
        <stp/>
        <stp>BDP|4823801161104684824</stp>
        <tr r="K1730" s="2"/>
      </tp>
      <tp t="s">
        <v>#N/A Requesting Data...4024901438</v>
        <stp/>
        <stp>BDP|5343828268119070444</stp>
        <tr r="C1313" s="2"/>
      </tp>
      <tp t="s">
        <v>#N/A Requesting Data...4078103960</v>
        <stp/>
        <stp>BDP|7092157439974693770</stp>
        <tr r="J2130" s="2"/>
      </tp>
      <tp t="s">
        <v>#N/A Requesting Data...4101020212</v>
        <stp/>
        <stp>BDP|9798692723903453849</stp>
        <tr r="G2096" s="2"/>
      </tp>
      <tp t="s">
        <v>#N/A Requesting Data...3956310907</v>
        <stp/>
        <stp>BDP|9923832677669534954</stp>
        <tr r="T2007" s="2"/>
      </tp>
      <tp t="s">
        <v>#N/A Requesting Data...3864499636</v>
        <stp/>
        <stp>BDP|9839627155508714451</stp>
        <tr r="F1325" s="2"/>
      </tp>
      <tp t="s">
        <v>#N/A Requesting Data...4164098460</v>
        <stp/>
        <stp>BDP|3584103629734849299</stp>
        <tr r="H2202" s="2"/>
      </tp>
      <tp t="s">
        <v>#N/A Requesting Data...4177109722</v>
        <stp/>
        <stp>BDP|4215896682424509612</stp>
        <tr r="T1036" s="2"/>
      </tp>
      <tp t="s">
        <v>#N/A Requesting Data...4246309065</v>
        <stp/>
        <stp>BDP|6393640865965686599</stp>
        <tr r="F767" s="2"/>
      </tp>
      <tp t="s">
        <v>#N/A Requesting Data...3949516818</v>
        <stp/>
        <stp>BDP|8256932857582846036</stp>
        <tr r="C1892" s="2"/>
      </tp>
      <tp t="s">
        <v>#N/A Requesting Data...4060498526</v>
        <stp/>
        <stp>BDP|6025127908687625611</stp>
        <tr r="J1037" s="2"/>
      </tp>
      <tp t="s">
        <v>#N/A Requesting Data...3875707987</v>
        <stp/>
        <stp>BDP|4137139878253088770</stp>
        <tr r="A2283" s="2"/>
      </tp>
      <tp t="s">
        <v>#N/A Requesting Data...4202977462</v>
        <stp/>
        <stp>BDP|6804383304420057392</stp>
        <tr r="Q1965" s="2"/>
      </tp>
      <tp t="s">
        <v>#N/A Requesting Data...4273663796</v>
        <stp/>
        <stp>BDP|5341213809568775915</stp>
        <tr r="Q2154" s="2"/>
      </tp>
      <tp t="s">
        <v>#N/A Requesting Data...4228564998</v>
        <stp/>
        <stp>BDP|4507477179143560233</stp>
        <tr r="J995" s="2"/>
      </tp>
      <tp t="s">
        <v>#N/A Requesting Data...4114348611</v>
        <stp/>
        <stp>BDP|6479280621447129712</stp>
        <tr r="Q1637" s="2"/>
      </tp>
      <tp t="s">
        <v>#N/A Requesting Data...4132002973</v>
        <stp/>
        <stp>BDP|7641087327486458501</stp>
        <tr r="Q259" s="2"/>
      </tp>
      <tp t="s">
        <v>#N/A Requesting Data...4054470104</v>
        <stp/>
        <stp>BDP|3975457879790968612</stp>
        <tr r="K949" s="2"/>
      </tp>
      <tp t="s">
        <v>#N/A Requesting Data...4198973686</v>
        <stp/>
        <stp>BDP|7426884995227360771</stp>
        <tr r="E1353" s="2"/>
      </tp>
      <tp t="s">
        <v>#N/A Requesting Data...4188442693</v>
        <stp/>
        <stp>BDP|1536095481827098804</stp>
        <tr r="J1109" s="2"/>
      </tp>
      <tp t="s">
        <v>#N/A Requesting Data...3988685488</v>
        <stp/>
        <stp>BDP|5040417964983909219</stp>
        <tr r="J1600" s="2"/>
      </tp>
      <tp t="s">
        <v>#N/A Requesting Data...4055274303</v>
        <stp/>
        <stp>BDP|3985162007173089750</stp>
        <tr r="C532" s="2"/>
      </tp>
      <tp t="s">
        <v>#N/A Requesting Data...4282353317</v>
        <stp/>
        <stp>BDP|5275062068010003517</stp>
        <tr r="K976" s="2"/>
      </tp>
      <tp t="s">
        <v>#N/A Requesting Data...3981405468</v>
        <stp/>
        <stp>BDP|9576403598653904190</stp>
        <tr r="K1611" s="2"/>
      </tp>
      <tp t="s">
        <v>#N/A Requesting Data...4117215356</v>
        <stp/>
        <stp>BDP|9600243479172080868</stp>
        <tr r="T2348" s="2"/>
      </tp>
      <tp t="s">
        <v>#N/A Requesting Data...4124941617</v>
        <stp/>
        <stp>BDP|2033343205730836741</stp>
        <tr r="G555" s="2"/>
      </tp>
      <tp t="s">
        <v>#N/A Requesting Data...4068501117</v>
        <stp/>
        <stp>BDP|9957001515558728666</stp>
        <tr r="E2046" s="2"/>
      </tp>
      <tp t="s">
        <v>#N/A Requesting Data...3937016416</v>
        <stp/>
        <stp>BDP|6725067022343979174</stp>
        <tr r="C86" s="2"/>
      </tp>
      <tp t="s">
        <v>#N/A Requesting Data...4068324516</v>
        <stp/>
        <stp>BDP|3923845714124052847</stp>
        <tr r="S1964" s="2"/>
      </tp>
      <tp t="s">
        <v>#N/A Requesting Data...4018650088</v>
        <stp/>
        <stp>BDP|3156899088130482591</stp>
        <tr r="O2350" s="2"/>
      </tp>
      <tp t="s">
        <v>#N/A Requesting Data...3936841890</v>
        <stp/>
        <stp>BDP|1137187425337972384</stp>
        <tr r="M1363" s="2"/>
      </tp>
      <tp t="s">
        <v>#N/A Requesting Data...3944288312</v>
        <stp/>
        <stp>BDP|4864703104397071215</stp>
        <tr r="G281" s="2"/>
      </tp>
      <tp t="s">
        <v>#N/A Requesting Data...4046712677</v>
        <stp/>
        <stp>BDP|3632626009891285221</stp>
        <tr r="T867" s="2"/>
      </tp>
      <tp t="s">
        <v>#N/A Requesting Data...4223454380</v>
        <stp/>
        <stp>BDP|3238393763677750727</stp>
        <tr r="A272" s="2"/>
      </tp>
      <tp t="s">
        <v>#N/A Requesting Data...4024258276</v>
        <stp/>
        <stp>BDP|4354156565600814563</stp>
        <tr r="N171" s="2"/>
      </tp>
      <tp t="s">
        <v>#N/A Requesting Data...3985243540</v>
        <stp/>
        <stp>BDP|7366912328658140261</stp>
        <tr r="C1675" s="2"/>
      </tp>
      <tp t="s">
        <v>#N/A Requesting Data...4273079807</v>
        <stp/>
        <stp>BDP|3616297611752459473</stp>
        <tr r="E739" s="2"/>
      </tp>
      <tp t="s">
        <v>#N/A Requesting Data...4203130565</v>
        <stp/>
        <stp>BDP|4848755161282069112</stp>
        <tr r="A1550" s="2"/>
      </tp>
      <tp t="s">
        <v>#N/A Requesting Data...4195337147</v>
        <stp/>
        <stp>BDP|6364173467241690688</stp>
        <tr r="A2312" s="2"/>
      </tp>
      <tp t="s">
        <v>#N/A Requesting Data...4281510107</v>
        <stp/>
        <stp>BDP|3475290269054992508</stp>
        <tr r="Q1344" s="2"/>
      </tp>
      <tp t="s">
        <v>#N/A Requesting Data...4147403410</v>
        <stp/>
        <stp>BDP|6051629452690992345</stp>
        <tr r="D1494" s="2"/>
      </tp>
      <tp t="s">
        <v>#N/A Requesting Data...4239826521</v>
        <stp/>
        <stp>BDP|1236356619497156222</stp>
        <tr r="O1221" s="2"/>
      </tp>
      <tp t="s">
        <v>#N/A Requesting Data...4233610240</v>
        <stp/>
        <stp>BDP|1440370273647439497</stp>
        <tr r="S2374" s="2"/>
      </tp>
      <tp t="s">
        <v>#N/A Requesting Data...4267780602</v>
        <stp/>
        <stp>BDP|5794454582858781754</stp>
        <tr r="F2120" s="2"/>
      </tp>
      <tp t="s">
        <v>#N/A Requesting Data...4123267775</v>
        <stp/>
        <stp>BDP|6064909757008364460</stp>
        <tr r="N101" s="2"/>
      </tp>
      <tp t="s">
        <v>#N/A Requesting Data...4043412735</v>
        <stp/>
        <stp>BDP|5227731142222598241</stp>
        <tr r="C841" s="2"/>
      </tp>
      <tp t="s">
        <v>#N/A Requesting Data...4161692726</v>
        <stp/>
        <stp>BDP|3845215080837378887</stp>
        <tr r="J422" s="2"/>
      </tp>
      <tp t="s">
        <v>#N/A Requesting Data...4211343406</v>
        <stp/>
        <stp>BDP|8390733495288657814</stp>
        <tr r="A1913" s="2"/>
      </tp>
      <tp t="s">
        <v>#N/A Requesting Data...4189036304</v>
        <stp/>
        <stp>BDP|6544879657275721805</stp>
        <tr r="N983" s="2"/>
      </tp>
      <tp t="s">
        <v>#N/A Requesting Data...4016550013</v>
        <stp/>
        <stp>BDP|2431079614274246174</stp>
        <tr r="Q1866" s="2"/>
      </tp>
      <tp t="s">
        <v>#N/A Requesting Data...4171575307</v>
        <stp/>
        <stp>BDP|1417497100061962268</stp>
        <tr r="Q722" s="2"/>
      </tp>
      <tp t="s">
        <v>#N/A Requesting Data...4195793454</v>
        <stp/>
        <stp>BDP|1717645646930721507</stp>
        <tr r="D1631" s="2"/>
      </tp>
      <tp t="s">
        <v>#N/A Requesting Data...4223238650</v>
        <stp/>
        <stp>BDP|2046226051495681676</stp>
        <tr r="T2342" s="2"/>
      </tp>
      <tp t="s">
        <v>#N/A Requesting Data...4160907405</v>
        <stp/>
        <stp>BDP|6566400352832409316</stp>
        <tr r="E2353" s="2"/>
      </tp>
      <tp t="s">
        <v>#N/A Requesting Data...4118677669</v>
        <stp/>
        <stp>BDP|3081444610918161878</stp>
        <tr r="D2080" s="2"/>
      </tp>
      <tp t="s">
        <v>#N/A Requesting Data...4200157510</v>
        <stp/>
        <stp>BDP|5230404164324060549</stp>
        <tr r="G2037" s="2"/>
      </tp>
      <tp t="s">
        <v>#N/A Requesting Data...4288171404</v>
        <stp/>
        <stp>BDP|5232406093087076939</stp>
        <tr r="C915" s="2"/>
      </tp>
      <tp t="s">
        <v>#N/A Requesting Data...4169009409</v>
        <stp/>
        <stp>BDP|8995850959060356347</stp>
        <tr r="K2215" s="2"/>
      </tp>
      <tp t="s">
        <v>#N/A Requesting Data...4135946379</v>
        <stp/>
        <stp>BDP|8836633788978318823</stp>
        <tr r="H1730" s="2"/>
      </tp>
      <tp t="s">
        <v>#N/A Requesting Data...4102669911</v>
        <stp/>
        <stp>BDP|9569500456459706669</stp>
        <tr r="R1414" s="2"/>
      </tp>
      <tp t="s">
        <v>#N/A Requesting Data...4015731586</v>
        <stp/>
        <stp>BDP|2475672095552028949</stp>
        <tr r="D1937" s="2"/>
      </tp>
      <tp t="s">
        <v>#N/A Requesting Data...4060260895</v>
        <stp/>
        <stp>BDP|2066454913535456409</stp>
        <tr r="T1703" s="2"/>
      </tp>
      <tp t="s">
        <v>#N/A Requesting Data...4020856938</v>
        <stp/>
        <stp>BDP|2348356874863856385</stp>
        <tr r="K2101" s="2"/>
      </tp>
      <tp t="s">
        <v>#N/A Requesting Data...4231919614</v>
        <stp/>
        <stp>BDP|6050618656811766229</stp>
        <tr r="N855" s="2"/>
      </tp>
      <tp t="s">
        <v>#N/A Requesting Data...4040509154</v>
        <stp/>
        <stp>BDP|1093119515352791510</stp>
        <tr r="A2148" s="2"/>
      </tp>
      <tp t="s">
        <v>#N/A Requesting Data...4121586710</v>
        <stp/>
        <stp>BDP|5376009369576191398</stp>
        <tr r="K2327" s="2"/>
      </tp>
      <tp t="s">
        <v>#N/A Requesting Data...4150861559</v>
        <stp/>
        <stp>BDP|5889722623414872233</stp>
        <tr r="O951" s="2"/>
      </tp>
      <tp t="s">
        <v>#N/A Requesting Data...4180764065</v>
        <stp/>
        <stp>BDP|4388430279101370084</stp>
        <tr r="T1361" s="2"/>
      </tp>
      <tp t="s">
        <v>#N/A Requesting Data...4192377309</v>
        <stp/>
        <stp>BDP|4302126888818860332</stp>
        <tr r="J1661" s="2"/>
      </tp>
      <tp t="s">
        <v>#N/A Requesting Data...4179732497</v>
        <stp/>
        <stp>BDP|7281612635190505411</stp>
        <tr r="R1310" s="2"/>
      </tp>
      <tp t="s">
        <v>#N/A Requesting Data...4115664084</v>
        <stp/>
        <stp>BDP|1538529512207638417</stp>
        <tr r="D1725" s="2"/>
      </tp>
      <tp t="s">
        <v>#N/A Requesting Data...4233158837</v>
        <stp/>
        <stp>BDP|2242640548115413388</stp>
        <tr r="K535" s="2"/>
      </tp>
      <tp t="s">
        <v>#N/A Requesting Data...4166020145</v>
        <stp/>
        <stp>BDP|5524440865959109877</stp>
        <tr r="D312" s="2"/>
      </tp>
      <tp t="s">
        <v>#N/A Requesting Data...4122807103</v>
        <stp/>
        <stp>BDP|7688771736391256473</stp>
        <tr r="C815" s="2"/>
      </tp>
      <tp t="s">
        <v>#N/A Requesting Data...4134873771</v>
        <stp/>
        <stp>BDP|2236326150942192039</stp>
        <tr r="E675" s="2"/>
      </tp>
      <tp t="s">
        <v>#N/A Requesting Data...4283461224</v>
        <stp/>
        <stp>BDP|6508445263701375339</stp>
        <tr r="D1008" s="2"/>
      </tp>
      <tp t="b">
        <v>0</v>
        <stp/>
        <stp>BDS|5724212313768289850</stp>
        <tr r="I2306" s="2"/>
      </tp>
      <tp t="s">
        <v>#N/A Requesting Data...4194647999</v>
        <stp/>
        <stp>BDP|3439467663237308009</stp>
        <tr r="P571" s="2"/>
      </tp>
      <tp t="s">
        <v>#N/A Requesting Data...4102206596</v>
        <stp/>
        <stp>BDP|6357503553636765659</stp>
        <tr r="Q1249" s="2"/>
      </tp>
      <tp t="s">
        <v>#N/A Requesting Data...4279998800</v>
        <stp/>
        <stp>BDP|5837942921080986866</stp>
        <tr r="J925" s="2"/>
      </tp>
      <tp t="s">
        <v>#N/A Requesting Data...4070364289</v>
        <stp/>
        <stp>BDP|5957366568953265573</stp>
        <tr r="O1340" s="2"/>
      </tp>
      <tp t="s">
        <v>#N/A Requesting Data...4096197417</v>
        <stp/>
        <stp>BDP|3117439876357245140</stp>
        <tr r="C968" s="2"/>
      </tp>
      <tp t="s">
        <v>#N/A Requesting Data...4232185327</v>
        <stp/>
        <stp>BDP|7223722973481498052</stp>
        <tr r="M2340" s="2"/>
      </tp>
      <tp t="s">
        <v>#N/A Requesting Data...4238310163</v>
        <stp/>
        <stp>BDP|8502835443826051476</stp>
        <tr r="J973" s="2"/>
      </tp>
      <tp t="s">
        <v>#N/A Requesting Data...4265054215</v>
        <stp/>
        <stp>BDP|6383015639301945204</stp>
        <tr r="Q260" s="2"/>
      </tp>
      <tp t="s">
        <v>#N/A Requesting Data...4266597284</v>
        <stp/>
        <stp>BDP|4284325956793326776</stp>
        <tr r="G808" s="2"/>
      </tp>
      <tp t="s">
        <v>#N/A Requesting Data...4216034168</v>
        <stp/>
        <stp>BDP|7716920103301789934</stp>
        <tr r="A560" s="2"/>
      </tp>
      <tp t="s">
        <v>#N/A Requesting Data...4163616047</v>
        <stp/>
        <stp>BDP|4972591450110542272</stp>
        <tr r="S2231" s="2"/>
      </tp>
      <tp t="s">
        <v>#N/A Requesting Data...4255405073</v>
        <stp/>
        <stp>BDP|9542022364418767165</stp>
        <tr r="J458" s="2"/>
      </tp>
      <tp t="s">
        <v>#N/A Requesting Data...4179849282</v>
        <stp/>
        <stp>BDP|2015777305203576052</stp>
        <tr r="F2382" s="2"/>
      </tp>
      <tp t="s">
        <v>#N/A Requesting Data...4110797866</v>
        <stp/>
        <stp>BDP|1072323244502501210</stp>
        <tr r="Q2505" s="2"/>
      </tp>
      <tp t="s">
        <v>#N/A Requesting Data...4289524658</v>
        <stp/>
        <stp>BDP|1452674400078112901</stp>
        <tr r="S1663" s="2"/>
      </tp>
      <tp t="s">
        <v>#N/A Requesting Data...4234222380</v>
        <stp/>
        <stp>BDP|5197328676062684518</stp>
        <tr r="R2053" s="2"/>
      </tp>
      <tp t="s">
        <v>#N/A Requesting Data...4183992532</v>
        <stp/>
        <stp>BDP|2758477267247043155</stp>
        <tr r="P31" s="2"/>
      </tp>
      <tp t="s">
        <v>#N/A Requesting Data...4132178336</v>
        <stp/>
        <stp>BDP|8113004587905549319</stp>
        <tr r="O422" s="2"/>
      </tp>
      <tp t="s">
        <v>#N/A Requesting Data...4260383132</v>
        <stp/>
        <stp>BDP|4430436922117461333</stp>
        <tr r="N497" s="2"/>
      </tp>
      <tp t="s">
        <v>#N/A Requesting Data...4215365231</v>
        <stp/>
        <stp>BDP|5397877193167589506</stp>
        <tr r="R2039" s="2"/>
      </tp>
      <tp t="s">
        <v>#N/A Requesting Data...4214286205</v>
        <stp/>
        <stp>BDP|1964732219058549941</stp>
        <tr r="C136" s="2"/>
      </tp>
      <tp t="s">
        <v>#N/A Requesting Data...4257825182</v>
        <stp/>
        <stp>BDP|2664922538159805765</stp>
        <tr r="M917" s="2"/>
      </tp>
      <tp t="s">
        <v>#N/A Requesting Data...4289979987</v>
        <stp/>
        <stp>BDP|3512815133048614635</stp>
        <tr r="H187" s="2"/>
      </tp>
      <tp t="s">
        <v>#N/A Requesting Data...4176772689</v>
        <stp/>
        <stp>BDP|2209404511368846993</stp>
        <tr r="J1758" s="2"/>
      </tp>
      <tp t="s">
        <v>#N/A Requesting Data...4237091388</v>
        <stp/>
        <stp>BDP|9318111487652116467</stp>
        <tr r="C763" s="2"/>
      </tp>
      <tp t="s">
        <v>#N/A Requesting Data...4282982569</v>
        <stp/>
        <stp>BDP|9861052623524533991</stp>
        <tr r="T1483" s="2"/>
      </tp>
      <tp t="s">
        <v>#N/A Requesting Data...4165906787</v>
        <stp/>
        <stp>BDP|4561237641305690138</stp>
        <tr r="F1107" s="2"/>
      </tp>
      <tp t="s">
        <v>#N/A Requesting Data...4208992077</v>
        <stp/>
        <stp>BDP|1714473224206276744</stp>
        <tr r="J546" s="2"/>
      </tp>
      <tp t="s">
        <v>#N/A Requesting Data...4172926496</v>
        <stp/>
        <stp>BDP|5318766311180660503</stp>
        <tr r="N208" s="2"/>
      </tp>
      <tp t="s">
        <v>#N/A Requesting Data...4152191551</v>
        <stp/>
        <stp>BDP|1019255256207111704</stp>
        <tr r="N1691" s="2"/>
      </tp>
      <tp t="s">
        <v>#N/A Requesting Data...4209456103</v>
        <stp/>
        <stp>BDP|4750537775139520963</stp>
        <tr r="D1389" s="2"/>
      </tp>
      <tp t="s">
        <v>#N/A Requesting Data...4197580198</v>
        <stp/>
        <stp>BDP|7574052553004835094</stp>
        <tr r="C811" s="2"/>
      </tp>
      <tp t="s">
        <v>#N/A Requesting Data...4266881291</v>
        <stp/>
        <stp>BDP|2356215175352343365</stp>
        <tr r="R281" s="2"/>
      </tp>
      <tp t="s">
        <v>#N/A Requesting Data...4245968829</v>
        <stp/>
        <stp>BDP|6102683858795271611</stp>
        <tr r="D1428" s="2"/>
      </tp>
      <tp t="s">
        <v>#N/A Requesting Data...4224073919</v>
        <stp/>
        <stp>BDP|1472505962004748034</stp>
        <tr r="A2414" s="2"/>
      </tp>
      <tp t="s">
        <v>#N/A Requesting Data...4252505145</v>
        <stp/>
        <stp>BDP|8934765030092859856</stp>
        <tr r="D81" s="2"/>
      </tp>
      <tp t="s">
        <v>#N/A Requesting Data...4180723060</v>
        <stp/>
        <stp>BDP|3936808584117874278</stp>
        <tr r="E1843" s="2"/>
      </tp>
      <tp t="s">
        <v>#N/A Requesting Data...4249994364</v>
        <stp/>
        <stp>BDP|3074051773350566216</stp>
        <tr r="K1387" s="2"/>
      </tp>
      <tp t="s">
        <v>#N/A Requesting Data...4250653431</v>
        <stp/>
        <stp>BDP|3250416403615626442</stp>
        <tr r="Q516" s="2"/>
      </tp>
      <tp t="s">
        <v>#N/A Requesting Data...4235154896</v>
        <stp/>
        <stp>BDP|2343651001155119740</stp>
        <tr r="S336" s="2"/>
      </tp>
      <tp t="s">
        <v>#N/A Requesting Data...4198932292</v>
        <stp/>
        <stp>BDP|8547957790238127637</stp>
        <tr r="T2397" s="2"/>
      </tp>
      <tp t="s">
        <v>#N/A Requesting Data...4286686189</v>
        <stp/>
        <stp>BDP|6545918491658361848</stp>
        <tr r="J1181" s="2"/>
      </tp>
      <tp t="b">
        <v>0</v>
        <stp/>
        <stp>BDS|2073634593542732952</stp>
        <tr r="I1101" s="2"/>
      </tp>
      <tp t="s">
        <v>#N/A Requesting Data...4214817143</v>
        <stp/>
        <stp>BDP|2572973398124062087</stp>
        <tr r="S1073" s="2"/>
      </tp>
      <tp t="s">
        <v>#N/A Requesting Data...4182803727</v>
        <stp/>
        <stp>BDP|8069286554460686988</stp>
        <tr r="R1450" s="2"/>
      </tp>
      <tp t="b">
        <v>0</v>
        <stp/>
        <stp>BDS|3623531915317227605</stp>
        <tr r="I938" s="2"/>
      </tp>
      <tp t="s">
        <v>#N/A Requesting Data...4243115842</v>
        <stp/>
        <stp>BDP|4659222670041125671</stp>
        <tr r="R1449" s="2"/>
      </tp>
      <tp t="s">
        <v>#N/A Requesting Data...4284244298</v>
        <stp/>
        <stp>BDP|4642316862006210157</stp>
        <tr r="N802" s="2"/>
      </tp>
      <tp t="s">
        <v>#N/A Requesting Data...4288778990</v>
        <stp/>
        <stp>BDP|1068266094589967594</stp>
        <tr r="Q2120" s="2"/>
      </tp>
      <tp t="s">
        <v>#N/A Requesting Data...4197550022</v>
        <stp/>
        <stp>BDP|2707394265364831513</stp>
        <tr r="M1775" s="2"/>
      </tp>
      <tp t="s">
        <v>#N/A Requesting Data...4288433781</v>
        <stp/>
        <stp>BDP|1116907581660139634</stp>
        <tr r="M2022" s="2"/>
      </tp>
      <tp t="s">
        <v>#N/A Requesting Data...4247373540</v>
        <stp/>
        <stp>BDP|1633973635695220843</stp>
        <tr r="F2030" s="2"/>
      </tp>
      <tp t="s">
        <v>#N/A Requesting Data...4287012822</v>
        <stp/>
        <stp>BDP|2120262153700049364</stp>
        <tr r="E2524" s="2"/>
      </tp>
      <tp t="s">
        <v>#N/A Requesting Data...4292483384</v>
        <stp/>
        <stp>BDP|4889737169892709170</stp>
        <tr r="R514" s="2"/>
      </tp>
      <tp t="s">
        <v>#N/A Requesting Data...4243978831</v>
        <stp/>
        <stp>BDP|7274531333365159217</stp>
        <tr r="N57" s="2"/>
      </tp>
      <tp t="s">
        <v>#N/A Requesting Data...4237959059</v>
        <stp/>
        <stp>BDP|7401143910518743955</stp>
        <tr r="G2166" s="2"/>
      </tp>
      <tp t="s">
        <v>#N/A Requesting Data...4214541054</v>
        <stp/>
        <stp>BDP|8920625284491961142</stp>
        <tr r="Q426" s="2"/>
      </tp>
      <tp t="s">
        <v>#N/A Requesting Data...4275190746</v>
        <stp/>
        <stp>BDP|2696038814087532264</stp>
        <tr r="R976" s="2"/>
      </tp>
      <tp t="s">
        <v>#N/A Requesting Data...4229854683</v>
        <stp/>
        <stp>BDP|8825771756579891539</stp>
        <tr r="E193" s="2"/>
      </tp>
      <tp t="s">
        <v>#N/A Requesting Data...4252063162</v>
        <stp/>
        <stp>BDP|7333428274443190160</stp>
        <tr r="T12" s="2"/>
      </tp>
      <tp t="s">
        <v>#N/A Requesting Data...4227886801</v>
        <stp/>
        <stp>BDP|9314512502519456365</stp>
        <tr r="O1111" s="2"/>
      </tp>
      <tp t="s">
        <v>#N/A Requesting Data...4250237209</v>
        <stp/>
        <stp>BDP|9429730442094322846</stp>
        <tr r="E2010" s="2"/>
      </tp>
      <tp t="s">
        <v>#N/A Requesting Data...4233902989</v>
        <stp/>
        <stp>BDP|5814115332149064895</stp>
        <tr r="K1204" s="2"/>
      </tp>
      <tp t="s">
        <v>#N/A Requesting Data...4267020123</v>
        <stp/>
        <stp>BDP|1665261012721457543</stp>
        <tr r="C2147" s="2"/>
      </tp>
      <tp t="s">
        <v>#N/A Requesting Data...4275354522</v>
        <stp/>
        <stp>BDP|3802716634659919867</stp>
        <tr r="H2415" s="2"/>
      </tp>
      <tp t="s">
        <v>#N/A Requesting Data...4253438923</v>
        <stp/>
        <stp>BDP|6391214422136572662</stp>
        <tr r="O1391" s="2"/>
      </tp>
      <tp t="s">
        <v>#N/A Requesting Data...4243006507</v>
        <stp/>
        <stp>BDP|1621250805141798423</stp>
        <tr r="G913" s="2"/>
      </tp>
      <tp t="s">
        <v>#N/A Requesting Data...4259243149</v>
        <stp/>
        <stp>BDP|9790039287215096202</stp>
        <tr r="O1449" s="2"/>
      </tp>
      <tp t="s">
        <v>#N/A Requesting Data...4273542125</v>
        <stp/>
        <stp>BDP|7227408648768915905</stp>
        <tr r="E2150" s="2"/>
      </tp>
      <tp t="s">
        <v>#N/A Requesting Data...4273136902</v>
        <stp/>
        <stp>BDP|9121167321648335469</stp>
        <tr r="F2445" s="2"/>
      </tp>
      <tp t="s">
        <v>#N/A Requesting Data...4273900159</v>
        <stp/>
        <stp>BDP|6458979412528373017</stp>
        <tr r="F1376" s="2"/>
      </tp>
      <tp t="s">
        <v>#N/A Requesting Data...4274324422</v>
        <stp/>
        <stp>BDP|9400928873510544130</stp>
        <tr r="O2422" s="2"/>
      </tp>
      <tp t="s">
        <v>#N/A Requesting Data...4273723815</v>
        <stp/>
        <stp>BDP|2484275946425355755</stp>
        <tr r="F2231" s="2"/>
      </tp>
      <tp t="s">
        <v>#N/A Requesting Data...4280827706</v>
        <stp/>
        <stp>BDP|1776219719337475382</stp>
        <tr r="H177" s="2"/>
      </tp>
      <tp t="s">
        <v>#N/A Requesting Data...4279903374</v>
        <stp/>
        <stp>BDP|3357468110548272847</stp>
        <tr r="E658" s="2"/>
      </tp>
      <tp t="s">
        <v>#N/A Requesting Data...4290111621</v>
        <stp/>
        <stp>BDP|8047708274217614917</stp>
        <tr r="D667" s="2"/>
      </tp>
      <tp t="s">
        <v>#N/A Requesting Data...4282783143</v>
        <stp/>
        <stp>BDP|7777305075605046018</stp>
        <tr r="J107" s="2"/>
      </tp>
      <tp t="s">
        <v>#N/A Requesting Data...4292660938</v>
        <stp/>
        <stp>BDP|2611134718071952578</stp>
        <tr r="R1625" s="2"/>
      </tp>
      <tp t="s">
        <v>#N/A Requesting Data...4282209957</v>
        <stp/>
        <stp>BDP|3711348515684740323</stp>
        <tr r="R1575" s="2"/>
      </tp>
      <tp t="s">
        <v>#N/A Requesting Data...4288938900</v>
        <stp/>
        <stp>BDP|5695763156650719125</stp>
        <tr r="O1255" s="2"/>
      </tp>
      <tp t="s">
        <v>#N/A Requesting Data...4285651386</v>
        <stp/>
        <stp>BDP|7253747740872024053</stp>
        <tr r="G1072" s="2"/>
      </tp>
      <tp t="s">
        <v>#N/A Requesting Data...4289916448</v>
        <stp/>
        <stp>BDP|2145144551392184260</stp>
        <tr r="K2339" s="2"/>
      </tp>
      <tp t="s">
        <v>#N/A Requesting Data...4286757995</v>
        <stp/>
        <stp>BDP|2123679988068588289</stp>
        <tr r="J241" s="2"/>
      </tp>
      <tp t="s">
        <v>#N/A Requesting Data...4290086111</v>
        <stp/>
        <stp>BDP|8623570704273094863</stp>
        <tr r="O1618" s="2"/>
      </tp>
      <tp t="s">
        <v>#N/A Requesting Data...4294533814</v>
        <stp/>
        <stp>BDP|3598270717400437624</stp>
        <tr r="M347" s="2"/>
      </tp>
      <tp t="s">
        <v>#N/A Requesting Data...2536271907</v>
        <stp/>
        <stp>BDP|2243926090487790345</stp>
        <tr r="R482" s="2"/>
      </tp>
      <tp t="s">
        <v>#N/A Requesting Data...3369215343</v>
        <stp/>
        <stp>BDP|6660327676284468058</stp>
        <tr r="S2037" s="2"/>
      </tp>
      <tp t="s">
        <v>#N/A Requesting Data...131638788</v>
        <stp/>
        <stp>BDP|5542195648806153061</stp>
        <tr r="N2455" s="2"/>
      </tp>
      <tp t="s">
        <v>#N/A Requesting Data...1722622935</v>
        <stp/>
        <stp>BDP|3624163775382287147</stp>
        <tr r="D18" s="2"/>
      </tp>
      <tp t="s">
        <v>#N/A Requesting Data...4076077904</v>
        <stp/>
        <stp>BDP|6533699289458531631</stp>
        <tr r="R1585" s="2"/>
      </tp>
      <tp t="s">
        <v>#N/A Requesting Data...2549868445</v>
        <stp/>
        <stp>BDP|1380009505073354468</stp>
        <tr r="H310" s="2"/>
      </tp>
      <tp t="s">
        <v>#N/A Requesting Data...4022784211</v>
        <stp/>
        <stp>BDP|2173554265885036224</stp>
        <tr r="T1476" s="2"/>
      </tp>
      <tp t="s">
        <v>#N/A Requesting Data...609578770</v>
        <stp/>
        <stp>BDP|2109486412849843806</stp>
        <tr r="H2354" s="2"/>
      </tp>
      <tp t="s">
        <v>#N/A Requesting Data...1943785842</v>
        <stp/>
        <stp>BDP|6562635534682988782</stp>
        <tr r="D1047" s="2"/>
      </tp>
      <tp t="s">
        <v>#N/A Requesting Data...1601869376</v>
        <stp/>
        <stp>BDP|7939671112085853378</stp>
        <tr r="O432" s="2"/>
      </tp>
      <tp t="s">
        <v>#N/A Requesting Data...2481302873</v>
        <stp/>
        <stp>BDP|6517756574581257158</stp>
        <tr r="K841" s="2"/>
      </tp>
      <tp t="s">
        <v>#N/A Requesting Data...476936403</v>
        <stp/>
        <stp>BDP|7547790802242914448</stp>
        <tr r="K754" s="2"/>
      </tp>
      <tp t="s">
        <v>#N/A Requesting Data...2564279358</v>
        <stp/>
        <stp>BDP|4802521579745398530</stp>
        <tr r="F1248" s="2"/>
      </tp>
      <tp t="s">
        <v>#N/A Requesting Data...447874644</v>
        <stp/>
        <stp>BDP|3011425072366382001</stp>
        <tr r="E766" s="2"/>
      </tp>
      <tp t="s">
        <v>#N/A Requesting Data...2385969700</v>
        <stp/>
        <stp>BDP|4043003504951705300</stp>
        <tr r="T256" s="2"/>
      </tp>
      <tp t="s">
        <v>#N/A Requesting Data...3261830680</v>
        <stp/>
        <stp>BDP|7796285022044775595</stp>
        <tr r="T1393" s="2"/>
      </tp>
      <tp t="s">
        <v>#N/A Requesting Data...195206388</v>
        <stp/>
        <stp>BDP|6280696579018474957</stp>
        <tr r="E1559" s="2"/>
      </tp>
      <tp t="s">
        <v>#N/A Requesting Data...1478812648</v>
        <stp/>
        <stp>BDP|9436509006903756968</stp>
        <tr r="Q1522" s="2"/>
      </tp>
      <tp t="s">
        <v>#N/A Requesting Data...383445858</v>
        <stp/>
        <stp>BDP|7249340956431055634</stp>
        <tr r="H350" s="2"/>
      </tp>
      <tp t="s">
        <v>#N/A Requesting Data...4118911263</v>
        <stp/>
        <stp>BDP|7766523014112421767</stp>
        <tr r="F1011" s="2"/>
      </tp>
      <tp t="b">
        <v>0</v>
        <stp/>
        <stp>BDS|4895495366144185457</stp>
        <tr r="I884" s="2"/>
      </tp>
      <tp t="s">
        <v>#N/A Requesting Data...2864742716</v>
        <stp/>
        <stp>BDP|6184020125803604131</stp>
        <tr r="S2188" s="2"/>
      </tp>
      <tp t="s">
        <v>#N/A Requesting Data...3981004484</v>
        <stp/>
        <stp>BDP|2822635923511229191</stp>
        <tr r="R544" s="2"/>
      </tp>
      <tp t="s">
        <v>#N/A Requesting Data...2325397120</v>
        <stp/>
        <stp>BDP|7362693078277579741</stp>
        <tr r="K818" s="2"/>
      </tp>
      <tp t="s">
        <v>#N/A Requesting Data...2619578950</v>
        <stp/>
        <stp>BDP|1714322457556578740</stp>
        <tr r="R496" s="2"/>
      </tp>
      <tp t="s">
        <v>#N/A Requesting Data...2539057867</v>
        <stp/>
        <stp>BDP|7648223587478037301</stp>
        <tr r="H924" s="2"/>
      </tp>
      <tp t="s">
        <v>#N/A Requesting Data...2865001665</v>
        <stp/>
        <stp>BDP|9928175145568956216</stp>
        <tr r="P58" s="2"/>
      </tp>
      <tp t="s">
        <v>#N/A Requesting Data...3725667171</v>
        <stp/>
        <stp>BDP|9555542593456831590</stp>
        <tr r="T674" s="2"/>
      </tp>
      <tp t="s">
        <v>#N/A Requesting Data...980358810</v>
        <stp/>
        <stp>BDP|1347614071126760077</stp>
        <tr r="C1876" s="2"/>
      </tp>
      <tp t="s">
        <v>#N/A Requesting Data...1262747914</v>
        <stp/>
        <stp>BDP|3495501929924798698</stp>
        <tr r="P2230" s="2"/>
      </tp>
      <tp t="s">
        <v>#N/A Requesting Data...669766514</v>
        <stp/>
        <stp>BDP|8037298413079093492</stp>
        <tr r="F1148" s="2"/>
      </tp>
      <tp t="s">
        <v>#N/A Requesting Data...776296648</v>
        <stp/>
        <stp>BDP|1224787316324715587</stp>
        <tr r="T153" s="2"/>
      </tp>
      <tp t="s">
        <v>#N/A Requesting Data...2060659420</v>
        <stp/>
        <stp>BDP|6290171761941273656</stp>
        <tr r="A1024" s="2"/>
      </tp>
      <tp t="s">
        <v>#N/A Requesting Data...3252552706</v>
        <stp/>
        <stp>BDP|7683652722172233708</stp>
        <tr r="R2403" s="2"/>
      </tp>
      <tp t="s">
        <v>#N/A Requesting Data...2409157936</v>
        <stp/>
        <stp>BDP|9749873170108448872</stp>
        <tr r="T2231" s="2"/>
      </tp>
      <tp t="b">
        <v>0</v>
        <stp/>
        <stp>BDS|5834544239430184578</stp>
        <tr r="I1287" s="2"/>
      </tp>
      <tp t="s">
        <v>#N/A Requesting Data...1701589457</v>
        <stp/>
        <stp>BDP|7812135243042376683</stp>
        <tr r="P2359" s="2"/>
      </tp>
      <tp t="s">
        <v>#N/A Requesting Data...1154474448</v>
        <stp/>
        <stp>BDP|4732645341153217336</stp>
        <tr r="T1381" s="2"/>
      </tp>
      <tp t="s">
        <v>#N/A Requesting Data...403622710</v>
        <stp/>
        <stp>BDP|2405521352486723207</stp>
        <tr r="Q1646" s="2"/>
      </tp>
      <tp t="s">
        <v>#N/A Requesting Data...3896252404</v>
        <stp/>
        <stp>BDP|2660670920650292009</stp>
        <tr r="P1082" s="2"/>
      </tp>
      <tp t="s">
        <v>#N/A Requesting Data...3228988744</v>
        <stp/>
        <stp>BDP|1210502830737521646</stp>
        <tr r="A1135" s="2"/>
      </tp>
      <tp t="s">
        <v>#N/A Requesting Data...1996617633</v>
        <stp/>
        <stp>BDP|7611628085809714653</stp>
        <tr r="D20" s="2"/>
      </tp>
      <tp t="b">
        <v>0</v>
        <stp/>
        <stp>BDS|5875085721172473364</stp>
        <tr r="I1955" s="2"/>
      </tp>
      <tp t="s">
        <v>#N/A Requesting Data...3824633789</v>
        <stp/>
        <stp>BDP|9975101709239520765</stp>
        <tr r="F2509" s="2"/>
      </tp>
      <tp t="s">
        <v>#N/A Requesting Data...2806384895</v>
        <stp/>
        <stp>BDP|7562773455071273261</stp>
        <tr r="S1474" s="2"/>
      </tp>
      <tp t="b">
        <v>0</v>
        <stp/>
        <stp>BDS|3840386233215871087</stp>
        <tr r="I236" s="2"/>
      </tp>
      <tp t="s">
        <v>#N/A Requesting Data...176271778</v>
        <stp/>
        <stp>BDP|4086948326121804892</stp>
        <tr r="P2176" s="2"/>
      </tp>
      <tp t="s">
        <v>#N/A Requesting Data...1043653714</v>
        <stp/>
        <stp>BDP|6453621637700376517</stp>
        <tr r="G1813" s="2"/>
      </tp>
      <tp t="s">
        <v>#N/A Requesting Data...4247670773</v>
        <stp/>
        <stp>BDP|9360490889546832583</stp>
        <tr r="T65" s="2"/>
      </tp>
      <tp t="s">
        <v>#N/A Requesting Data...2072874807</v>
        <stp/>
        <stp>BDP|4233806167065765911</stp>
        <tr r="F2036" s="2"/>
      </tp>
      <tp t="s">
        <v>#N/A Requesting Data...3389742940</v>
        <stp/>
        <stp>BDP|8790524590317685504</stp>
        <tr r="T569" s="2"/>
      </tp>
      <tp t="s">
        <v>#N/A Requesting Data...464242755</v>
        <stp/>
        <stp>BDP|9016223463093689848</stp>
        <tr r="G2208" s="2"/>
      </tp>
      <tp t="s">
        <v>#N/A Requesting Data...3092724406</v>
        <stp/>
        <stp>BDP|2788010832844567324</stp>
        <tr r="F1077" s="2"/>
      </tp>
      <tp t="s">
        <v>#N/A Requesting Data...3550782575</v>
        <stp/>
        <stp>BDP|3088634428465029488</stp>
        <tr r="C1213" s="2"/>
      </tp>
      <tp t="s">
        <v>#N/A Requesting Data...1511393930</v>
        <stp/>
        <stp>BDP|5476337402517610706</stp>
        <tr r="A1603" s="2"/>
      </tp>
      <tp t="b">
        <v>0</v>
        <stp/>
        <stp>BDS|7272924452499741462</stp>
        <tr r="I35" s="2"/>
      </tp>
      <tp t="s">
        <v>#N/A Requesting Data...775707142</v>
        <stp/>
        <stp>BDP|9306901261153849396</stp>
        <tr r="R781" s="2"/>
      </tp>
      <tp t="s">
        <v>#N/A Requesting Data...3228028741</v>
        <stp/>
        <stp>BDP|2950481524697117571</stp>
        <tr r="E1343" s="2"/>
      </tp>
      <tp t="s">
        <v>#N/A Requesting Data...2398817235</v>
        <stp/>
        <stp>BDP|7399090871186992013</stp>
        <tr r="E1974" s="2"/>
      </tp>
      <tp t="s">
        <v>#N/A Requesting Data...2713462244</v>
        <stp/>
        <stp>BDP|8463957995009151766</stp>
        <tr r="G1163" s="2"/>
      </tp>
      <tp t="s">
        <v>#N/A Requesting Data...2036665554</v>
        <stp/>
        <stp>BDP|9193026841882038916</stp>
        <tr r="K1139" s="2"/>
      </tp>
      <tp t="s">
        <v>#N/A Requesting Data...3350738716</v>
        <stp/>
        <stp>BDP|2289884009898865487</stp>
        <tr r="F2274" s="2"/>
      </tp>
      <tp t="s">
        <v>#N/A Requesting Data...1422143288</v>
        <stp/>
        <stp>BDP|6077141676105521340</stp>
        <tr r="S1080" s="2"/>
      </tp>
      <tp t="s">
        <v>#N/A Requesting Data...3070558894</v>
        <stp/>
        <stp>BDP|2525735112715304745</stp>
        <tr r="P177" s="2"/>
      </tp>
      <tp t="s">
        <v>#N/A Requesting Data...3911879428</v>
        <stp/>
        <stp>BDP|7501124390411511814</stp>
        <tr r="H49" s="2"/>
      </tp>
      <tp t="s">
        <v>#N/A Requesting Data...3806833077</v>
        <stp/>
        <stp>BDP|6327485504456944252</stp>
        <tr r="P445" s="2"/>
      </tp>
      <tp t="s">
        <v>#N/A Requesting Data...1858425354</v>
        <stp/>
        <stp>BDP|2261665938042911367</stp>
        <tr r="G1126" s="2"/>
      </tp>
      <tp t="b">
        <v>0</v>
        <stp/>
        <stp>BDS|1123778370151398664</stp>
        <tr r="I645" s="2"/>
      </tp>
      <tp t="s">
        <v>#N/A Requesting Data...4269770312</v>
        <stp/>
        <stp>BDP|5548746376443671024</stp>
        <tr r="E1857" s="2"/>
      </tp>
      <tp t="s">
        <v>#N/A Requesting Data...3418926177</v>
        <stp/>
        <stp>BDP|3335329611343288414</stp>
        <tr r="D1961" s="2"/>
      </tp>
      <tp t="s">
        <v>#N/A Requesting Data...1557250739</v>
        <stp/>
        <stp>BDP|5660714978046424585</stp>
        <tr r="D258" s="2"/>
      </tp>
      <tp t="s">
        <v>#N/A Requesting Data...868810248</v>
        <stp/>
        <stp>BDP|9601577726959338178</stp>
        <tr r="A1263" s="2"/>
      </tp>
      <tp t="s">
        <v>#N/A Requesting Data...4166463607</v>
        <stp/>
        <stp>BDP|5023646766365056616</stp>
        <tr r="O818" s="2"/>
      </tp>
      <tp t="s">
        <v>#N/A Requesting Data...1217962818</v>
        <stp/>
        <stp>BDP|7350121111151290018</stp>
        <tr r="H1204" s="2"/>
      </tp>
      <tp t="s">
        <v>#N/A Requesting Data...2701771619</v>
        <stp/>
        <stp>BDP|3614684179025502111</stp>
        <tr r="R1848" s="2"/>
      </tp>
      <tp t="s">
        <v>#N/A Requesting Data...789952078</v>
        <stp/>
        <stp>BDP|2371157045936040709</stp>
        <tr r="E659" s="2"/>
      </tp>
      <tp t="s">
        <v>#N/A Requesting Data...823950467</v>
        <stp/>
        <stp>BDP|5163063864447753270</stp>
        <tr r="P2371" s="2"/>
      </tp>
      <tp t="s">
        <v>#N/A Requesting Data...3198681877</v>
        <stp/>
        <stp>BDP|7638512005315957183</stp>
        <tr r="D2332" s="2"/>
      </tp>
      <tp t="s">
        <v>#N/A Requesting Data...1185501030</v>
        <stp/>
        <stp>BDP|2219335337783516705</stp>
        <tr r="T1484" s="2"/>
      </tp>
      <tp t="s">
        <v>#N/A Requesting Data...3311201852</v>
        <stp/>
        <stp>BDP|3912894532507043913</stp>
        <tr r="G1801" s="2"/>
      </tp>
      <tp t="s">
        <v>#N/A Requesting Data...762678231</v>
        <stp/>
        <stp>BDP|6382726482976191919</stp>
        <tr r="G525" s="2"/>
      </tp>
      <tp t="s">
        <v>#N/A Requesting Data...4110967595</v>
        <stp/>
        <stp>BDP|6297716669879015891</stp>
        <tr r="E1470" s="2"/>
      </tp>
      <tp t="b">
        <v>0</v>
        <stp/>
        <stp>BDS|6575026183090710804</stp>
        <tr r="I1620" s="2"/>
      </tp>
      <tp t="s">
        <v>#N/A Requesting Data...1374244254</v>
        <stp/>
        <stp>BDP|2230043876833495076</stp>
        <tr r="C493" s="2"/>
      </tp>
      <tp t="s">
        <v>#N/A Requesting Data...579892722</v>
        <stp/>
        <stp>BDP|9169407101313352800</stp>
        <tr r="R2466" s="2"/>
      </tp>
      <tp t="s">
        <v>#N/A Requesting Data...1316470547</v>
        <stp/>
        <stp>BDP|1495548730517767644</stp>
        <tr r="H203" s="2"/>
      </tp>
      <tp t="s">
        <v>#N/A Requesting Data...2958485855</v>
        <stp/>
        <stp>BDP|6926130238326532444</stp>
        <tr r="H1765" s="2"/>
      </tp>
      <tp t="b">
        <v>0</v>
        <stp/>
        <stp>BDS|1006361040452453215</stp>
        <tr r="I1947" s="2"/>
      </tp>
      <tp t="s">
        <v>#N/A Requesting Data...4194303371</v>
        <stp/>
        <stp>BDP|6202224408946293492</stp>
        <tr r="O18" s="2"/>
      </tp>
      <tp t="s">
        <v>#N/A Requesting Data...1397514186</v>
        <stp/>
        <stp>BDP|3890058106261124497</stp>
        <tr r="P1179" s="2"/>
      </tp>
      <tp t="s">
        <v>#N/A Requesting Data...2351355199</v>
        <stp/>
        <stp>BDP|6094494491769858439</stp>
        <tr r="N1534" s="2"/>
      </tp>
      <tp t="s">
        <v>#N/A Requesting Data...3115134642</v>
        <stp/>
        <stp>BDP|2540243774935028455</stp>
        <tr r="Q2069" s="2"/>
      </tp>
      <tp t="s">
        <v>#N/A Requesting Data...384687766</v>
        <stp/>
        <stp>BDP|3796751848154256285</stp>
        <tr r="T1171" s="2"/>
      </tp>
      <tp t="s">
        <v>#N/A Requesting Data...953720454</v>
        <stp/>
        <stp>BDP|8146159797483182528</stp>
        <tr r="Q1842" s="2"/>
      </tp>
      <tp t="s">
        <v>#N/A Requesting Data...2312768681</v>
        <stp/>
        <stp>BDP|9012761892486157759</stp>
        <tr r="M2311" s="2"/>
      </tp>
      <tp t="s">
        <v>#N/A Requesting Data...3019675982</v>
        <stp/>
        <stp>BDP|9900315579228367329</stp>
        <tr r="G2035" s="2"/>
      </tp>
      <tp t="s">
        <v>#N/A Requesting Data...2295654716</v>
        <stp/>
        <stp>BDP|3879839871418241286</stp>
        <tr r="P1197" s="2"/>
      </tp>
      <tp t="s">
        <v>#N/A Requesting Data...1685162271</v>
        <stp/>
        <stp>BDP|9068273286316385326</stp>
        <tr r="C1736" s="2"/>
      </tp>
      <tp t="s">
        <v>#N/A Requesting Data...2707846794</v>
        <stp/>
        <stp>BDP|3702821964313382822</stp>
        <tr r="Q1814" s="2"/>
      </tp>
      <tp t="s">
        <v>#N/A Requesting Data...381462251</v>
        <stp/>
        <stp>BDP|5945281342562418779</stp>
        <tr r="G1508" s="2"/>
      </tp>
      <tp t="s">
        <v>#N/A Requesting Data...978116789</v>
        <stp/>
        <stp>BDP|1618819766489002017</stp>
        <tr r="Q1811" s="2"/>
      </tp>
      <tp t="s">
        <v>#N/A Requesting Data...2155018809</v>
        <stp/>
        <stp>BDP|4587452010835284221</stp>
        <tr r="R107" s="2"/>
      </tp>
      <tp t="s">
        <v>#N/A Requesting Data...1199865983</v>
        <stp/>
        <stp>BDP|3752600394062576869</stp>
        <tr r="M2462" s="2"/>
      </tp>
      <tp t="b">
        <v>0</v>
        <stp/>
        <stp>BDS|2042601926697193772</stp>
        <tr r="I1586" s="2"/>
      </tp>
      <tp t="s">
        <v>#N/A Requesting Data...3065206271</v>
        <stp/>
        <stp>BDP|7980281493349162337</stp>
        <tr r="S101" s="2"/>
      </tp>
      <tp t="s">
        <v>#N/A Requesting Data...1191404786</v>
        <stp/>
        <stp>BDP|5020911688906165487</stp>
        <tr r="J1985" s="2"/>
      </tp>
      <tp t="s">
        <v>#N/A Requesting Data...3366677986</v>
        <stp/>
        <stp>BDP|8185666507589686168</stp>
        <tr r="D1400" s="2"/>
      </tp>
      <tp t="s">
        <v>#N/A Requesting Data...741145849</v>
        <stp/>
        <stp>BDP|7852612968345164409</stp>
        <tr r="T835" s="2"/>
      </tp>
      <tp t="b">
        <v>0</v>
        <stp/>
        <stp>BDS|7457115164780568648</stp>
        <tr r="I1032" s="2"/>
      </tp>
      <tp t="s">
        <v>#N/A Requesting Data...4179698873</v>
        <stp/>
        <stp>BDP|2343196317530521488</stp>
        <tr r="K2407" s="2"/>
      </tp>
      <tp t="s">
        <v>#N/A Requesting Data...3071135712</v>
        <stp/>
        <stp>BDP|6759713050224786611</stp>
        <tr r="T2392" s="2"/>
      </tp>
      <tp t="s">
        <v>#N/A Requesting Data...1011919419</v>
        <stp/>
        <stp>BDP|6479112812670569028</stp>
        <tr r="G899" s="2"/>
      </tp>
      <tp t="s">
        <v>#N/A Requesting Data...1525324983</v>
        <stp/>
        <stp>BDP|1359314163754097612</stp>
        <tr r="R1640" s="2"/>
      </tp>
      <tp t="s">
        <v>#N/A Requesting Data...3424112752</v>
        <stp/>
        <stp>BDP|5468144478305056089</stp>
        <tr r="T195" s="2"/>
      </tp>
      <tp t="s">
        <v>#N/A Requesting Data...568512476</v>
        <stp/>
        <stp>BDP|9431753320862541840</stp>
        <tr r="K774" s="2"/>
      </tp>
      <tp t="s">
        <v>#N/A Requesting Data...789866857</v>
        <stp/>
        <stp>BDP|8508052123995541963</stp>
        <tr r="T1525" s="2"/>
      </tp>
      <tp t="b">
        <v>0</v>
        <stp/>
        <stp>BDS|5068689016783643783</stp>
        <tr r="I1690" s="2"/>
      </tp>
      <tp t="s">
        <v>#N/A Requesting Data...4152724034</v>
        <stp/>
        <stp>BDP|8061164763258463119</stp>
        <tr r="P1939" s="2"/>
      </tp>
      <tp t="s">
        <v>#N/A Requesting Data...1874899516</v>
        <stp/>
        <stp>BDP|5950596513730087733</stp>
        <tr r="K1586" s="2"/>
      </tp>
      <tp t="s">
        <v>#N/A Requesting Data...1080505320</v>
        <stp/>
        <stp>BDP|6066058933366431521</stp>
        <tr r="J829" s="2"/>
      </tp>
      <tp t="s">
        <v>#N/A Requesting Data...1246710933</v>
        <stp/>
        <stp>BDP|7081114937253775016</stp>
        <tr r="A271" s="2"/>
      </tp>
      <tp t="s">
        <v>#N/A Requesting Data...2359229328</v>
        <stp/>
        <stp>BDP|5430448236355622104</stp>
        <tr r="M1302" s="2"/>
      </tp>
      <tp t="s">
        <v>#N/A Requesting Data...3448735347</v>
        <stp/>
        <stp>BDP|7702438014073500756</stp>
        <tr r="M1393" s="2"/>
      </tp>
      <tp t="s">
        <v>#N/A Requesting Data...2105200954</v>
        <stp/>
        <stp>BDP|4540319012242168277</stp>
        <tr r="E1664" s="2"/>
      </tp>
      <tp t="s">
        <v>#N/A Requesting Data...2892450833</v>
        <stp/>
        <stp>BDP|6312750840317647408</stp>
        <tr r="S2129" s="2"/>
      </tp>
      <tp t="s">
        <v>#N/A Requesting Data...3820137722</v>
        <stp/>
        <stp>BDP|2669445563816843091</stp>
        <tr r="D2258" s="2"/>
      </tp>
      <tp t="s">
        <v>#N/A Requesting Data...692124221</v>
        <stp/>
        <stp>BDP|1281107876764266560</stp>
        <tr r="Q1968" s="2"/>
      </tp>
      <tp t="s">
        <v>#N/A Requesting Data...2911327462</v>
        <stp/>
        <stp>BDP|8517385955711955918</stp>
        <tr r="K1788" s="2"/>
      </tp>
      <tp t="s">
        <v>#N/A Requesting Data...1027336914</v>
        <stp/>
        <stp>BDP|7722056522086324538</stp>
        <tr r="C166" s="2"/>
      </tp>
      <tp t="s">
        <v>#N/A Requesting Data...1074969103</v>
        <stp/>
        <stp>BDP|4956883262524642856</stp>
        <tr r="F827" s="2"/>
      </tp>
      <tp t="b">
        <v>0</v>
        <stp/>
        <stp>BDS|5614905471045610817</stp>
        <tr r="I2507" s="2"/>
      </tp>
      <tp t="s">
        <v>#N/A Requesting Data...3337415384</v>
        <stp/>
        <stp>BDP|5903452309100755727</stp>
        <tr r="K1018" s="2"/>
      </tp>
      <tp t="s">
        <v>#N/A Requesting Data...2604974771</v>
        <stp/>
        <stp>BDP|7960219968960059502</stp>
        <tr r="G2398" s="2"/>
      </tp>
      <tp t="s">
        <v>#N/A Requesting Data...2781034377</v>
        <stp/>
        <stp>BDP|8336907570682536260</stp>
        <tr r="S2271" s="2"/>
      </tp>
      <tp t="s">
        <v>#N/A Requesting Data...1463004172</v>
        <stp/>
        <stp>BDP|7635003324181271207</stp>
        <tr r="H1979" s="2"/>
      </tp>
      <tp t="s">
        <v>#N/A Requesting Data...1062872218</v>
        <stp/>
        <stp>BDP|1229789238394299700</stp>
        <tr r="P2462" s="2"/>
      </tp>
      <tp t="s">
        <v>#N/A Requesting Data...1885832964</v>
        <stp/>
        <stp>BDP|1683418431615032565</stp>
        <tr r="Q1035" s="2"/>
      </tp>
      <tp t="s">
        <v>#N/A Requesting Data...2156145337</v>
        <stp/>
        <stp>BDP|9691508687040687279</stp>
        <tr r="K2511" s="2"/>
      </tp>
      <tp t="s">
        <v>#N/A Requesting Data...970208922</v>
        <stp/>
        <stp>BDP|6536201430219336863</stp>
        <tr r="S935" s="2"/>
      </tp>
      <tp t="s">
        <v>#N/A Requesting Data...3737285054</v>
        <stp/>
        <stp>BDP|2579039347806174601</stp>
        <tr r="M825" s="2"/>
      </tp>
      <tp t="s">
        <v>#N/A Requesting Data...1136301728</v>
        <stp/>
        <stp>BDP|5709753405901135569</stp>
        <tr r="A587" s="2"/>
      </tp>
      <tp t="s">
        <v>#N/A Requesting Data...1608128152</v>
        <stp/>
        <stp>BDP|5188424258190874239</stp>
        <tr r="A5" s="2"/>
      </tp>
      <tp t="b">
        <v>0</v>
        <stp/>
        <stp>BDS|3601791617031984219</stp>
        <tr r="I792" s="2"/>
      </tp>
      <tp t="s">
        <v>#N/A Requesting Data...2722739307</v>
        <stp/>
        <stp>BDP|3787881573832439881</stp>
        <tr r="F388" s="2"/>
      </tp>
      <tp t="s">
        <v>#N/A Requesting Data...4148373233</v>
        <stp/>
        <stp>BDP|2265438501238785876</stp>
        <tr r="A2437" s="2"/>
      </tp>
      <tp t="s">
        <v>#N/A Requesting Data...2293821823</v>
        <stp/>
        <stp>BDP|3656652579736806222</stp>
        <tr r="D1558" s="2"/>
      </tp>
      <tp t="s">
        <v>#N/A Requesting Data...3326386325</v>
        <stp/>
        <stp>BDP|1466275867375004642</stp>
        <tr r="S2211" s="2"/>
      </tp>
      <tp t="s">
        <v>#N/A Requesting Data...3457875630</v>
        <stp/>
        <stp>BDP|1778712031672192168</stp>
        <tr r="D2458" s="2"/>
      </tp>
      <tp t="s">
        <v>#N/A Requesting Data...1779999916</v>
        <stp/>
        <stp>BDP|6118004132143245012</stp>
        <tr r="M2283" s="2"/>
      </tp>
      <tp t="s">
        <v>#N/A Requesting Data...2835105693</v>
        <stp/>
        <stp>BDP|1764465378052137685</stp>
        <tr r="M1743" s="2"/>
      </tp>
      <tp t="s">
        <v>#N/A Requesting Data...3661566257</v>
        <stp/>
        <stp>BDP|1604157502833984582</stp>
        <tr r="H1458" s="2"/>
      </tp>
      <tp t="s">
        <v>#N/A Requesting Data...1079015768</v>
        <stp/>
        <stp>BDP|4064332382020593948</stp>
        <tr r="P103" s="2"/>
      </tp>
      <tp t="s">
        <v>#N/A Requesting Data...1364816720</v>
        <stp/>
        <stp>BDP|5650221735417060513</stp>
        <tr r="Q1553" s="2"/>
      </tp>
      <tp t="s">
        <v>#N/A Requesting Data...3222387597</v>
        <stp/>
        <stp>BDP|8135422145356737814</stp>
        <tr r="E1468" s="2"/>
      </tp>
      <tp t="s">
        <v>#N/A Requesting Data...1119772027</v>
        <stp/>
        <stp>BDP|7130575958897737698</stp>
        <tr r="J2453" s="2"/>
      </tp>
      <tp t="s">
        <v>#N/A Requesting Data...1323147767</v>
        <stp/>
        <stp>BDP|1865543609801783320</stp>
        <tr r="A1376" s="2"/>
      </tp>
      <tp t="s">
        <v>#N/A Requesting Data...1794724652</v>
        <stp/>
        <stp>BDP|9422035183582168551</stp>
        <tr r="C2172" s="2"/>
      </tp>
      <tp t="b">
        <v>0</v>
        <stp/>
        <stp>BDS|8041586982051910235</stp>
        <tr r="I2435" s="2"/>
      </tp>
      <tp t="s">
        <v>#N/A Requesting Data...2981991497</v>
        <stp/>
        <stp>BDP|7316497319542167621</stp>
        <tr r="C1644" s="2"/>
      </tp>
      <tp t="s">
        <v>#N/A Requesting Data...973911368</v>
        <stp/>
        <stp>BDP|3524482331774451686</stp>
        <tr r="A1038" s="2"/>
      </tp>
      <tp t="s">
        <v>#N/A Requesting Data...3060640090</v>
        <stp/>
        <stp>BDP|5439095148097612033</stp>
        <tr r="J323" s="2"/>
      </tp>
      <tp t="s">
        <v>#N/A Requesting Data...957994611</v>
        <stp/>
        <stp>BDP|2326445325690723257</stp>
        <tr r="G2513" s="2"/>
      </tp>
      <tp t="s">
        <v>#N/A Requesting Data...3329485831</v>
        <stp/>
        <stp>BDP|4202324261716659172</stp>
        <tr r="E2507" s="2"/>
      </tp>
      <tp t="s">
        <v>#N/A Requesting Data...4089001740</v>
        <stp/>
        <stp>BDP|4379670326545656343</stp>
        <tr r="N441" s="2"/>
      </tp>
      <tp t="s">
        <v>#N/A Requesting Data...4266425643</v>
        <stp/>
        <stp>BDP|9272056137199812585</stp>
        <tr r="R725" s="2"/>
      </tp>
      <tp t="s">
        <v>#N/A Requesting Data...969873974</v>
        <stp/>
        <stp>BDP|2848077721137956173</stp>
        <tr r="H666" s="2"/>
      </tp>
      <tp t="s">
        <v>#N/A Requesting Data...1232415613</v>
        <stp/>
        <stp>BDP|6294889693663042295</stp>
        <tr r="A1447" s="2"/>
      </tp>
      <tp t="s">
        <v>#N/A Requesting Data...2704334892</v>
        <stp/>
        <stp>BDP|1663269843731466079</stp>
        <tr r="J1619" s="2"/>
      </tp>
      <tp t="s">
        <v>#N/A Requesting Data...972881515</v>
        <stp/>
        <stp>BDP|2216285940284989639</stp>
        <tr r="F1386" s="2"/>
      </tp>
      <tp t="s">
        <v>#N/A Requesting Data...2446734927</v>
        <stp/>
        <stp>BDP|3837087804147343276</stp>
        <tr r="D2310" s="2"/>
      </tp>
      <tp t="s">
        <v>#N/A Requesting Data...2921035015</v>
        <stp/>
        <stp>BDP|2789174453336385600</stp>
        <tr r="O810" s="2"/>
      </tp>
      <tp t="s">
        <v>#N/A Requesting Data...2000471560</v>
        <stp/>
        <stp>BDP|1342700477732410504</stp>
        <tr r="D2505" s="2"/>
      </tp>
      <tp t="s">
        <v>#N/A Requesting Data...1190585832</v>
        <stp/>
        <stp>BDP|3676021001177604231</stp>
        <tr r="J2221" s="2"/>
      </tp>
      <tp t="s">
        <v>#N/A Requesting Data...2919869752</v>
        <stp/>
        <stp>BDP|6062464848482804260</stp>
        <tr r="A1790" s="2"/>
      </tp>
      <tp t="b">
        <v>0</v>
        <stp/>
        <stp>BDS|4543156497779756305</stp>
        <tr r="I2059" s="2"/>
      </tp>
      <tp t="b">
        <v>0</v>
        <stp/>
        <stp>BDS|3184692774510882442</stp>
        <tr r="I1575" s="2"/>
      </tp>
      <tp t="s">
        <v>#N/A Requesting Data...3502006296</v>
        <stp/>
        <stp>BDP|5163022228253245294</stp>
        <tr r="K669" s="2"/>
      </tp>
      <tp t="s">
        <v>#N/A Requesting Data...2144359646</v>
        <stp/>
        <stp>BDP|6219304837210251074</stp>
        <tr r="C2054" s="2"/>
      </tp>
      <tp t="s">
        <v>#N/A Requesting Data...3248816448</v>
        <stp/>
        <stp>BDP|2924089574655437618</stp>
        <tr r="A404" s="2"/>
      </tp>
      <tp t="s">
        <v>#N/A Requesting Data...1383199479</v>
        <stp/>
        <stp>BDP|9484807208266523199</stp>
        <tr r="H263" s="2"/>
      </tp>
      <tp t="s">
        <v>#N/A Requesting Data...3234515361</v>
        <stp/>
        <stp>BDP|4396298939873066039</stp>
        <tr r="R1238" s="2"/>
      </tp>
      <tp t="s">
        <v>#N/A Requesting Data...977848119</v>
        <stp/>
        <stp>BDP|3902123977133427086</stp>
        <tr r="G219" s="2"/>
      </tp>
      <tp t="s">
        <v>#N/A Requesting Data...2155373740</v>
        <stp/>
        <stp>BDP|7539611438400885448</stp>
        <tr r="R2401" s="2"/>
      </tp>
      <tp t="s">
        <v>#N/A Requesting Data...3205742105</v>
        <stp/>
        <stp>BDP|3153163273970653333</stp>
        <tr r="H677" s="2"/>
      </tp>
      <tp t="s">
        <v>#N/A Requesting Data...4235860208</v>
        <stp/>
        <stp>BDP|1344651491811470923</stp>
        <tr r="S2031" s="2"/>
      </tp>
      <tp t="s">
        <v>#N/A Requesting Data...2546068336</v>
        <stp/>
        <stp>BDP|2278512769891325686</stp>
        <tr r="N1665" s="2"/>
      </tp>
      <tp t="s">
        <v>#N/A Requesting Data...1027476034</v>
        <stp/>
        <stp>BDP|5991664245581366087</stp>
        <tr r="A284" s="2"/>
      </tp>
      <tp t="s">
        <v>#N/A Requesting Data...1318481603</v>
        <stp/>
        <stp>BDP|7489860330908587260</stp>
        <tr r="E2045" s="2"/>
      </tp>
      <tp t="s">
        <v>#N/A Requesting Data...1188388980</v>
        <stp/>
        <stp>BDP|3799636590133131944</stp>
        <tr r="A408" s="2"/>
      </tp>
      <tp t="s">
        <v>#N/A Requesting Data...3474262449</v>
        <stp/>
        <stp>BDP|3368769369120911446</stp>
        <tr r="G2" s="2"/>
      </tp>
      <tp t="s">
        <v>#N/A Requesting Data...3988219369</v>
        <stp/>
        <stp>BDP|6335528323484234315</stp>
        <tr r="G1829" s="2"/>
      </tp>
      <tp t="s">
        <v>#N/A Requesting Data...1262520958</v>
        <stp/>
        <stp>BDP|9458806385319406648</stp>
        <tr r="K1443" s="2"/>
      </tp>
      <tp t="b">
        <v>0</v>
        <stp/>
        <stp>BDS|5463893078699196551</stp>
        <tr r="I837" s="2"/>
      </tp>
      <tp t="s">
        <v>#N/A Requesting Data...2225494589</v>
        <stp/>
        <stp>BDP|9670835567974559566</stp>
        <tr r="J2310" s="2"/>
      </tp>
      <tp t="s">
        <v>#N/A Requesting Data...3855406785</v>
        <stp/>
        <stp>BDP|1864555239836741724</stp>
        <tr r="M79" s="2"/>
      </tp>
      <tp t="s">
        <v>#N/A Requesting Data...3709377478</v>
        <stp/>
        <stp>BDP|7492201036349252915</stp>
        <tr r="F1183" s="2"/>
      </tp>
      <tp t="s">
        <v>#N/A Requesting Data...2684069398</v>
        <stp/>
        <stp>BDP|1233488589042545974</stp>
        <tr r="J1935" s="2"/>
      </tp>
      <tp t="s">
        <v>#N/A Requesting Data...2152606513</v>
        <stp/>
        <stp>BDP|1929387632871428664</stp>
        <tr r="A1448" s="2"/>
      </tp>
      <tp t="s">
        <v>#N/A Requesting Data...3592234013</v>
        <stp/>
        <stp>BDP|2690684028776096678</stp>
        <tr r="G1704" s="2"/>
      </tp>
      <tp t="s">
        <v>#N/A Requesting Data...1259767412</v>
        <stp/>
        <stp>BDP|9507319947750428867</stp>
        <tr r="G1105" s="2"/>
      </tp>
      <tp t="s">
        <v>#N/A Requesting Data...4195286510</v>
        <stp/>
        <stp>BDP|3557378827151026545</stp>
        <tr r="M1937" s="2"/>
      </tp>
      <tp t="s">
        <v>#N/A Requesting Data...2946341749</v>
        <stp/>
        <stp>BDP|3946567068895591339</stp>
        <tr r="J595" s="2"/>
      </tp>
      <tp t="s">
        <v>#N/A Requesting Data...2182386762</v>
        <stp/>
        <stp>BDP|3717719624631722146</stp>
        <tr r="Q357" s="2"/>
      </tp>
      <tp t="s">
        <v>#N/A Requesting Data...2257255634</v>
        <stp/>
        <stp>BDP|9029849131276537210</stp>
        <tr r="K1467" s="2"/>
      </tp>
      <tp t="s">
        <v>#N/A Requesting Data...4085754194</v>
        <stp/>
        <stp>BDP|4356343736044420649</stp>
        <tr r="O2000" s="2"/>
      </tp>
      <tp t="b">
        <v>0</v>
        <stp/>
        <stp>BDS|5023518351443733063</stp>
        <tr r="I595" s="2"/>
      </tp>
      <tp t="s">
        <v>#N/A Requesting Data...2174929716</v>
        <stp/>
        <stp>BDP|6371949247425702867</stp>
        <tr r="K26" s="2"/>
      </tp>
      <tp t="s">
        <v>#N/A Requesting Data...2309343350</v>
        <stp/>
        <stp>BDP|2453159564437541410</stp>
        <tr r="R459" s="2"/>
      </tp>
      <tp t="s">
        <v>#N/A Requesting Data...970340758</v>
        <stp/>
        <stp>BDP|5975731268216792441</stp>
        <tr r="E359" s="2"/>
      </tp>
      <tp t="s">
        <v>#N/A Requesting Data...3680158462</v>
        <stp/>
        <stp>BDP|8692542342436826991</stp>
        <tr r="T2469" s="2"/>
      </tp>
      <tp t="s">
        <v>#N/A Requesting Data...3088372976</v>
        <stp/>
        <stp>BDP|1218300139280264789</stp>
        <tr r="R1056" s="2"/>
      </tp>
      <tp t="s">
        <v>#N/A Requesting Data...1926559803</v>
        <stp/>
        <stp>BDP|8152133470711342909</stp>
        <tr r="A1390" s="2"/>
      </tp>
      <tp t="s">
        <v>#N/A Requesting Data...809209205</v>
        <stp/>
        <stp>BDP|4736876553569653649</stp>
        <tr r="N2419" s="2"/>
      </tp>
      <tp t="s">
        <v>#N/A Requesting Data...2993657685</v>
        <stp/>
        <stp>BDP|5396517017616726136</stp>
        <tr r="C1740" s="2"/>
      </tp>
      <tp t="s">
        <v>#N/A Requesting Data...3306657573</v>
        <stp/>
        <stp>BDP|6316956392843050356</stp>
        <tr r="T1825" s="2"/>
      </tp>
      <tp t="s">
        <v>#N/A Requesting Data...3197541255</v>
        <stp/>
        <stp>BDP|7809481956021140169</stp>
        <tr r="J1696" s="2"/>
      </tp>
      <tp t="s">
        <v>#N/A Requesting Data...1160379681</v>
        <stp/>
        <stp>BDP|9352958111193157475</stp>
        <tr r="G1944" s="2"/>
      </tp>
      <tp t="s">
        <v>#N/A Requesting Data...2582122146</v>
        <stp/>
        <stp>BDP|7144959262087766907</stp>
        <tr r="P1831" s="2"/>
      </tp>
      <tp t="s">
        <v>#N/A Requesting Data...1860928028</v>
        <stp/>
        <stp>BDP|8514921157070258239</stp>
        <tr r="C859" s="2"/>
      </tp>
      <tp t="s">
        <v>#N/A Requesting Data...968112559</v>
        <stp/>
        <stp>BDP|2999552702505775485</stp>
        <tr r="T1589" s="2"/>
      </tp>
      <tp t="s">
        <v>#N/A Requesting Data...1204263455</v>
        <stp/>
        <stp>BDP|4030479237040140501</stp>
        <tr r="T192" s="2"/>
      </tp>
      <tp t="s">
        <v>#N/A Requesting Data...2463786986</v>
        <stp/>
        <stp>BDP|8435240174552713928</stp>
        <tr r="K1496" s="2"/>
      </tp>
      <tp t="s">
        <v>#N/A Requesting Data...1605197630</v>
        <stp/>
        <stp>BDP|1808526645093794590</stp>
        <tr r="G1566" s="2"/>
      </tp>
      <tp t="s">
        <v>#N/A Requesting Data...2860328821</v>
        <stp/>
        <stp>BDP|3945392378990021192</stp>
        <tr r="M1595" s="2"/>
      </tp>
      <tp t="s">
        <v>#N/A Requesting Data...2066612643</v>
        <stp/>
        <stp>BDP|2594945808328074587</stp>
        <tr r="H1645" s="2"/>
      </tp>
      <tp t="s">
        <v>#N/A Requesting Data...742525333</v>
        <stp/>
        <stp>BDP|6772740131286591263</stp>
        <tr r="T373" s="2"/>
      </tp>
      <tp t="s">
        <v>#N/A Requesting Data...3502752350</v>
        <stp/>
        <stp>BDP|5654921804399801399</stp>
        <tr r="G2053" s="2"/>
      </tp>
      <tp t="s">
        <v>#N/A Requesting Data...1138701489</v>
        <stp/>
        <stp>BDP|8076761681007116679</stp>
        <tr r="Q744" s="2"/>
      </tp>
      <tp t="s">
        <v>#N/A Requesting Data...3701207968</v>
        <stp/>
        <stp>BDP|6372661048160908259</stp>
        <tr r="T751" s="2"/>
      </tp>
      <tp t="s">
        <v>#N/A Requesting Data...3885546534</v>
        <stp/>
        <stp>BDP|9749144476030783936</stp>
        <tr r="A1470" s="2"/>
      </tp>
      <tp t="s">
        <v>#N/A Requesting Data...761627766</v>
        <stp/>
        <stp>BDP|2400687498753679839</stp>
        <tr r="E544" s="2"/>
      </tp>
      <tp t="s">
        <v>#N/A Requesting Data...2456259188</v>
        <stp/>
        <stp>BDP|9235329349190956810</stp>
        <tr r="M292" s="2"/>
      </tp>
      <tp t="s">
        <v>#N/A Requesting Data...3037169528</v>
        <stp/>
        <stp>BDP|1583537017540894382</stp>
        <tr r="M2420" s="2"/>
      </tp>
      <tp t="s">
        <v>#N/A Requesting Data...4245781336</v>
        <stp/>
        <stp>BDP|2775014081305228943</stp>
        <tr r="K1930" s="2"/>
      </tp>
      <tp t="s">
        <v>#N/A Requesting Data...1896695699</v>
        <stp/>
        <stp>BDP|1577130575334029527</stp>
        <tr r="S827" s="2"/>
      </tp>
      <tp t="s">
        <v>#N/A Requesting Data...2965038652</v>
        <stp/>
        <stp>BDP|2458504842370466534</stp>
        <tr r="P1969" s="2"/>
      </tp>
      <tp t="s">
        <v>#N/A Requesting Data...1258897914</v>
        <stp/>
        <stp>BDP|2710761300333952096</stp>
        <tr r="Q2053" s="2"/>
      </tp>
      <tp t="s">
        <v>#N/A Requesting Data...1278600839</v>
        <stp/>
        <stp>BDP|4712623651708656930</stp>
        <tr r="J808" s="2"/>
      </tp>
      <tp t="b">
        <v>0</v>
        <stp/>
        <stp>BDS|1684037807662389502</stp>
        <tr r="I353" s="2"/>
      </tp>
      <tp t="s">
        <v>#N/A Requesting Data...2555668511</v>
        <stp/>
        <stp>BDP|5964722319035708044</stp>
        <tr r="R1357" s="2"/>
      </tp>
      <tp t="s">
        <v>#N/A Requesting Data...3176845013</v>
        <stp/>
        <stp>BDP|1621625332584405632</stp>
        <tr r="N1634" s="2"/>
      </tp>
      <tp t="s">
        <v>#N/A Requesting Data...2018131576</v>
        <stp/>
        <stp>BDP|6137890780707929706</stp>
        <tr r="H1799" s="2"/>
      </tp>
      <tp t="s">
        <v>#N/A Requesting Data...4201587421</v>
        <stp/>
        <stp>BDP|1613598349991653715</stp>
        <tr r="S966" s="2"/>
      </tp>
      <tp t="s">
        <v>#N/A Requesting Data...906929893</v>
        <stp/>
        <stp>BDP|7088385353513288483</stp>
        <tr r="K1600" s="2"/>
      </tp>
      <tp t="s">
        <v>#N/A Requesting Data...2285097279</v>
        <stp/>
        <stp>BDP|6395155504610212118</stp>
        <tr r="N1002" s="2"/>
      </tp>
      <tp t="b">
        <v>0</v>
        <stp/>
        <stp>BDS|1175792238114059711</stp>
        <tr r="I2119" s="2"/>
      </tp>
      <tp t="s">
        <v>#N/A Requesting Data...4218728232</v>
        <stp/>
        <stp>BDP|6731740108523869423</stp>
        <tr r="H841" s="2"/>
      </tp>
      <tp t="s">
        <v>#N/A Requesting Data...1382378113</v>
        <stp/>
        <stp>BDP|2124156474172973080</stp>
        <tr r="P1619" s="2"/>
      </tp>
      <tp t="s">
        <v>#N/A Requesting Data...3751685936</v>
        <stp/>
        <stp>BDP|7664415924223549477</stp>
        <tr r="T176" s="2"/>
      </tp>
      <tp t="s">
        <v>#N/A Requesting Data...2944401142</v>
        <stp/>
        <stp>BDP|2114375342661201270</stp>
        <tr r="E1631" s="2"/>
      </tp>
      <tp t="s">
        <v>#N/A Requesting Data...1470391064</v>
        <stp/>
        <stp>BDP|6105516613404213001</stp>
        <tr r="E212" s="2"/>
      </tp>
      <tp t="s">
        <v>#N/A Requesting Data...989841574</v>
        <stp/>
        <stp>BDP|8440261121486758856</stp>
        <tr r="J1738" s="2"/>
      </tp>
      <tp t="s">
        <v>#N/A Requesting Data...1069152696</v>
        <stp/>
        <stp>BDP|9920211666252922961</stp>
        <tr r="D2011" s="2"/>
      </tp>
      <tp t="s">
        <v>#N/A Requesting Data...3461468205</v>
        <stp/>
        <stp>BDP|7443919650894440903</stp>
        <tr r="G150" s="2"/>
      </tp>
      <tp t="s">
        <v>#N/A Requesting Data...3690291056</v>
        <stp/>
        <stp>BDP|6390794528503128628</stp>
        <tr r="F113" s="2"/>
      </tp>
      <tp t="s">
        <v>#N/A Requesting Data...3833284565</v>
        <stp/>
        <stp>BDP|7972620259305018737</stp>
        <tr r="H1932" s="2"/>
      </tp>
      <tp t="s">
        <v>#N/A Requesting Data...3279281485</v>
        <stp/>
        <stp>BDP|9065027637679450507</stp>
        <tr r="N1012" s="2"/>
      </tp>
      <tp t="s">
        <v>#N/A Requesting Data...1701888359</v>
        <stp/>
        <stp>BDP|1968473454436218095</stp>
        <tr r="G616" s="2"/>
      </tp>
      <tp t="b">
        <v>0</v>
        <stp/>
        <stp>BDS|6253134704214602525</stp>
        <tr r="I1237" s="2"/>
      </tp>
      <tp t="s">
        <v>#N/A Requesting Data...3861827186</v>
        <stp/>
        <stp>BDP|1222308503740400448</stp>
        <tr r="M2056" s="2"/>
      </tp>
      <tp t="s">
        <v>#N/A Requesting Data...944742661</v>
        <stp/>
        <stp>BDP|7167950599383944254</stp>
        <tr r="C788" s="2"/>
      </tp>
      <tp t="s">
        <v>#N/A Requesting Data...3604665482</v>
        <stp/>
        <stp>BDP|3486533223782093050</stp>
        <tr r="D611" s="2"/>
      </tp>
      <tp t="s">
        <v>#N/A Requesting Data...2478700701</v>
        <stp/>
        <stp>BDP|9537146247693175961</stp>
        <tr r="S990" s="2"/>
      </tp>
      <tp t="b">
        <v>0</v>
        <stp/>
        <stp>BDS|3360644573701461514</stp>
        <tr r="I890" s="2"/>
      </tp>
      <tp t="s">
        <v>#N/A Requesting Data...2194870446</v>
        <stp/>
        <stp>BDP|3594295713226720098</stp>
        <tr r="Q477" s="2"/>
      </tp>
      <tp t="s">
        <v>#N/A Requesting Data...856894562</v>
        <stp/>
        <stp>BDP|5442101024793776361</stp>
        <tr r="S466" s="2"/>
      </tp>
      <tp t="s">
        <v>#N/A Requesting Data...2672270501</v>
        <stp/>
        <stp>BDP|3441847980252163703</stp>
        <tr r="G2084" s="2"/>
      </tp>
      <tp t="s">
        <v>#N/A Requesting Data...3793128858</v>
        <stp/>
        <stp>BDP|4111289902722333298</stp>
        <tr r="A2479" s="2"/>
      </tp>
      <tp t="s">
        <v>#N/A Requesting Data...1171610280</v>
        <stp/>
        <stp>BDP|1091713402968355811</stp>
        <tr r="H1512" s="2"/>
      </tp>
      <tp t="s">
        <v>#N/A Requesting Data...1603196376</v>
        <stp/>
        <stp>BDP|1761874064108336167</stp>
        <tr r="Q2418" s="2"/>
      </tp>
      <tp t="s">
        <v>#N/A Requesting Data...1291219876</v>
        <stp/>
        <stp>BDP|8150184285473805452</stp>
        <tr r="T1657" s="2"/>
      </tp>
      <tp t="s">
        <v>#N/A Requesting Data...3037871739</v>
        <stp/>
        <stp>BDP|2805132251653340387</stp>
        <tr r="F1474" s="2"/>
      </tp>
      <tp t="b">
        <v>0</v>
        <stp/>
        <stp>BDS|4566683338133148454</stp>
        <tr r="I1553" s="2"/>
      </tp>
      <tp t="s">
        <v>#N/A Requesting Data...2052501425</v>
        <stp/>
        <stp>BDP|4604624017484525175</stp>
        <tr r="D2439" s="2"/>
      </tp>
      <tp t="s">
        <v>#N/A Requesting Data...3928904990</v>
        <stp/>
        <stp>BDP|6612564261230737372</stp>
        <tr r="E2133" s="2"/>
      </tp>
      <tp t="s">
        <v>#N/A Requesting Data...947736667</v>
        <stp/>
        <stp>BDP|6702526645179936882</stp>
        <tr r="T1144" s="2"/>
      </tp>
      <tp t="s">
        <v>#N/A Requesting Data...2391369615</v>
        <stp/>
        <stp>BDP|5573464258440362297</stp>
        <tr r="T960" s="2"/>
      </tp>
      <tp t="s">
        <v>#N/A Requesting Data...3077257345</v>
        <stp/>
        <stp>BDP|3323499358912120626</stp>
        <tr r="G1800" s="2"/>
      </tp>
      <tp t="s">
        <v>#N/A Requesting Data...1901202173</v>
        <stp/>
        <stp>BDP|5168029419702971029</stp>
        <tr r="K928" s="2"/>
      </tp>
      <tp t="s">
        <v>#N/A Requesting Data...4040271189</v>
        <stp/>
        <stp>BDP|5805416139140009411</stp>
        <tr r="M1016" s="2"/>
      </tp>
      <tp t="s">
        <v>#N/A Requesting Data...2701007895</v>
        <stp/>
        <stp>BDP|6609116758106805261</stp>
        <tr r="M2361" s="2"/>
      </tp>
      <tp t="s">
        <v>#N/A Requesting Data...2153273181</v>
        <stp/>
        <stp>BDP|4403420011002887591</stp>
        <tr r="C1413" s="2"/>
      </tp>
      <tp t="s">
        <v>#N/A Requesting Data...2898870053</v>
        <stp/>
        <stp>BDP|8631068385557563161</stp>
        <tr r="Q106" s="2"/>
      </tp>
      <tp t="s">
        <v>#N/A Requesting Data...1518854255</v>
        <stp/>
        <stp>BDP|6021329888253879847</stp>
        <tr r="C345" s="2"/>
      </tp>
      <tp t="s">
        <v>#N/A Requesting Data...3647239952</v>
        <stp/>
        <stp>BDP|7182412568110641386</stp>
        <tr r="H1722" s="2"/>
      </tp>
      <tp t="s">
        <v>#N/A Requesting Data...1816171231</v>
        <stp/>
        <stp>BDP|4716067155623314418</stp>
        <tr r="Q453" s="2"/>
      </tp>
      <tp t="s">
        <v>#N/A Requesting Data...1264633772</v>
        <stp/>
        <stp>BDP|3087356048336227496</stp>
        <tr r="A1130" s="2"/>
      </tp>
      <tp t="s">
        <v>#N/A Requesting Data...1887651522</v>
        <stp/>
        <stp>BDP|7492692353557857502</stp>
        <tr r="C1564" s="2"/>
      </tp>
      <tp t="s">
        <v>#N/A Requesting Data...2197934109</v>
        <stp/>
        <stp>BDP|9892847899406749847</stp>
        <tr r="C944" s="2"/>
      </tp>
      <tp t="b">
        <v>0</v>
        <stp/>
        <stp>BDS|1220032741191393252</stp>
        <tr r="I1743" s="2"/>
      </tp>
      <tp t="s">
        <v>#N/A Requesting Data...1728883097</v>
        <stp/>
        <stp>BDP|6392689126986805230</stp>
        <tr r="C2001" s="2"/>
      </tp>
      <tp t="s">
        <v>#N/A Requesting Data...3693687230</v>
        <stp/>
        <stp>BDP|5406018661076358314</stp>
        <tr r="O15" s="2"/>
      </tp>
      <tp t="b">
        <v>0</v>
        <stp/>
        <stp>BDS|8766360124989345601</stp>
        <tr r="I323" s="2"/>
      </tp>
      <tp t="s">
        <v>#N/A Requesting Data...2086010563</v>
        <stp/>
        <stp>BDP|1199767120643218131</stp>
        <tr r="E686" s="2"/>
      </tp>
      <tp t="s">
        <v>#N/A Requesting Data...4062084910</v>
        <stp/>
        <stp>BDP|7365434210060680402</stp>
        <tr r="Q383" s="2"/>
      </tp>
      <tp t="s">
        <v>#N/A Requesting Data...3233493278</v>
        <stp/>
        <stp>BDP|1679306713144119129</stp>
        <tr r="T2166" s="2"/>
      </tp>
      <tp t="s">
        <v>#N/A Requesting Data...1723112892</v>
        <stp/>
        <stp>BDP|3345002885959764471</stp>
        <tr r="G2517" s="2"/>
      </tp>
      <tp t="s">
        <v>#N/A Requesting Data...3243791485</v>
        <stp/>
        <stp>BDP|9716631263999131602</stp>
        <tr r="F13" s="2"/>
      </tp>
      <tp t="s">
        <v>#N/A Requesting Data...2392933131</v>
        <stp/>
        <stp>BDP|4358033712167287467</stp>
        <tr r="F1355" s="2"/>
      </tp>
      <tp t="s">
        <v>#N/A Requesting Data...3410659136</v>
        <stp/>
        <stp>BDP|6499800683051844195</stp>
        <tr r="E1978" s="2"/>
      </tp>
      <tp t="s">
        <v>#N/A Requesting Data...2477151983</v>
        <stp/>
        <stp>BDP|2087474951132434746</stp>
        <tr r="D500" s="2"/>
      </tp>
      <tp t="s">
        <v>#N/A Requesting Data...3178585380</v>
        <stp/>
        <stp>BDP|2033760401876306520</stp>
        <tr r="P2078" s="2"/>
      </tp>
      <tp t="s">
        <v>#N/A Requesting Data...1685343108</v>
        <stp/>
        <stp>BDP|8452728481776411750</stp>
        <tr r="G584" s="2"/>
      </tp>
      <tp t="s">
        <v>#N/A Requesting Data...2755374668</v>
        <stp/>
        <stp>BDP|9148034294006728079</stp>
        <tr r="H2152" s="2"/>
      </tp>
      <tp t="s">
        <v>#N/A Requesting Data...3413742193</v>
        <stp/>
        <stp>BDP|3479143070273152078</stp>
        <tr r="J400" s="2"/>
      </tp>
      <tp t="s">
        <v>#N/A Requesting Data...2961464715</v>
        <stp/>
        <stp>BDP|2398094597128302587</stp>
        <tr r="S2312" s="2"/>
      </tp>
      <tp t="s">
        <v>#N/A Requesting Data...2110216801</v>
        <stp/>
        <stp>BDP|9030569697395262654</stp>
        <tr r="P1762" s="2"/>
      </tp>
      <tp t="s">
        <v>#N/A Requesting Data...1927623997</v>
        <stp/>
        <stp>BDP|9599767491945547418</stp>
        <tr r="C1512" s="2"/>
      </tp>
      <tp t="s">
        <v>#N/A Requesting Data...2759115249</v>
        <stp/>
        <stp>BDP|2982351784227788898</stp>
        <tr r="Q1355" s="2"/>
      </tp>
      <tp t="s">
        <v>#N/A Requesting Data...3107196129</v>
        <stp/>
        <stp>BDP|7282512944382414252</stp>
        <tr r="Q826" s="2"/>
      </tp>
      <tp t="s">
        <v>#N/A Requesting Data...987908994</v>
        <stp/>
        <stp>BDP|7386137304868643849</stp>
        <tr r="O2132" s="2"/>
      </tp>
      <tp t="s">
        <v>#N/A Requesting Data...1836759653</v>
        <stp/>
        <stp>BDP|6725263270563073679</stp>
        <tr r="E1425" s="2"/>
      </tp>
      <tp t="s">
        <v>#N/A Requesting Data...2481914612</v>
        <stp/>
        <stp>BDP|3592543561385033360</stp>
        <tr r="T2388" s="2"/>
      </tp>
      <tp t="s">
        <v>#N/A Requesting Data...2563509828</v>
        <stp/>
        <stp>BDP|1099642362046751174</stp>
        <tr r="S422" s="2"/>
      </tp>
      <tp t="s">
        <v>#N/A Requesting Data...3193233981</v>
        <stp/>
        <stp>BDP|5386719313874269155</stp>
        <tr r="M2526" s="2"/>
      </tp>
      <tp t="s">
        <v>#N/A Requesting Data...3650363789</v>
        <stp/>
        <stp>BDP|5431694486395477899</stp>
        <tr r="N355" s="2"/>
      </tp>
      <tp t="s">
        <v>#N/A Requesting Data...3160573260</v>
        <stp/>
        <stp>BDP|4398156861502107707</stp>
        <tr r="E1223" s="2"/>
      </tp>
      <tp t="s">
        <v>#N/A Requesting Data...3877220423</v>
        <stp/>
        <stp>BDP|3260995369909763331</stp>
        <tr r="O451" s="2"/>
      </tp>
      <tp t="s">
        <v>#N/A Requesting Data...3575071011</v>
        <stp/>
        <stp>BDP|4142668734761543602</stp>
        <tr r="Q2458" s="2"/>
      </tp>
      <tp t="s">
        <v>#N/A Requesting Data...3381041750</v>
        <stp/>
        <stp>BDP|2497479126307587566</stp>
        <tr r="O1727" s="2"/>
      </tp>
      <tp t="s">
        <v>#N/A Requesting Data...2222774713</v>
        <stp/>
        <stp>BDP|2516447544734550068</stp>
        <tr r="D1719" s="2"/>
      </tp>
      <tp t="s">
        <v>#N/A Requesting Data...1688764634</v>
        <stp/>
        <stp>BDP|1197250640634631540</stp>
        <tr r="K73" s="2"/>
      </tp>
      <tp t="s">
        <v>#N/A Requesting Data...3222212718</v>
        <stp/>
        <stp>BDP|4824245519184024538</stp>
        <tr r="M1364" s="2"/>
      </tp>
      <tp t="s">
        <v>#N/A Requesting Data...2790567613</v>
        <stp/>
        <stp>BDP|6170269456340399748</stp>
        <tr r="S1051" s="2"/>
      </tp>
      <tp t="s">
        <v>#N/A Requesting Data...3188626972</v>
        <stp/>
        <stp>BDP|4301180793709882360</stp>
        <tr r="C674" s="2"/>
      </tp>
      <tp t="s">
        <v>#N/A Requesting Data...2099042941</v>
        <stp/>
        <stp>BDP|2687705524468341972</stp>
        <tr r="A108" s="2"/>
      </tp>
      <tp t="s">
        <v>#N/A Requesting Data...4081375091</v>
        <stp/>
        <stp>BDP|8820954040271922229</stp>
        <tr r="P2169" s="2"/>
      </tp>
      <tp t="s">
        <v>#N/A Requesting Data...1089557806</v>
        <stp/>
        <stp>BDP|7768731027286630239</stp>
        <tr r="C2491" s="2"/>
      </tp>
      <tp t="s">
        <v>#N/A Requesting Data...2242048920</v>
        <stp/>
        <stp>BDP|4434373190620286871</stp>
        <tr r="J1962" s="2"/>
      </tp>
      <tp t="s">
        <v>#N/A Requesting Data...3904845757</v>
        <stp/>
        <stp>BDP|5104013410127493524</stp>
        <tr r="C700" s="2"/>
      </tp>
      <tp t="s">
        <v>#N/A Requesting Data...4068423870</v>
        <stp/>
        <stp>BDP|8418815467049035948</stp>
        <tr r="S474" s="2"/>
      </tp>
      <tp t="s">
        <v>#N/A Requesting Data...3101704898</v>
        <stp/>
        <stp>BDP|1405150415932406567</stp>
        <tr r="R1671" s="2"/>
      </tp>
      <tp t="s">
        <v>#N/A Requesting Data...1444006967</v>
        <stp/>
        <stp>BDP|4653539861771061023</stp>
        <tr r="G235" s="2"/>
      </tp>
      <tp t="s">
        <v>#N/A Requesting Data...2407342222</v>
        <stp/>
        <stp>BDP|6149026398568801159</stp>
        <tr r="A1723" s="2"/>
      </tp>
      <tp t="s">
        <v>#N/A Requesting Data...3985490529</v>
        <stp/>
        <stp>BDP|2898776579814404049</stp>
        <tr r="A2183" s="2"/>
      </tp>
      <tp t="s">
        <v>#N/A Requesting Data...2020367182</v>
        <stp/>
        <stp>BDP|1593560272634058174</stp>
        <tr r="T657" s="2"/>
      </tp>
      <tp t="s">
        <v>#N/A Requesting Data...1908241849</v>
        <stp/>
        <stp>BDP|2020921284887160213</stp>
        <tr r="N2053" s="2"/>
      </tp>
      <tp t="s">
        <v>#N/A Requesting Data...1949040361</v>
        <stp/>
        <stp>BDP|2725926960519708240</stp>
        <tr r="P1879" s="2"/>
      </tp>
      <tp t="s">
        <v>#N/A Requesting Data...1392490188</v>
        <stp/>
        <stp>BDP|3512363731763471603</stp>
        <tr r="R1730" s="2"/>
      </tp>
      <tp t="s">
        <v>#N/A Requesting Data...1610999296</v>
        <stp/>
        <stp>BDP|6395331714891579376</stp>
        <tr r="M1081" s="2"/>
      </tp>
      <tp t="s">
        <v>#N/A Requesting Data...3145117234</v>
        <stp/>
        <stp>BDP|5371424409932838568</stp>
        <tr r="T15" s="2"/>
      </tp>
      <tp t="s">
        <v>#N/A Requesting Data...3744965881</v>
        <stp/>
        <stp>BDP|9938690541339681419</stp>
        <tr r="F2306" s="2"/>
      </tp>
      <tp t="s">
        <v>#N/A Requesting Data...2999621407</v>
        <stp/>
        <stp>BDP|9215101090094604321</stp>
        <tr r="T1997" s="2"/>
      </tp>
      <tp t="s">
        <v>#N/A Requesting Data...1194933093</v>
        <stp/>
        <stp>BDP|3156622626160162120</stp>
        <tr r="S473" s="2"/>
      </tp>
      <tp t="s">
        <v>#N/A Requesting Data...4183491563</v>
        <stp/>
        <stp>BDP|5772551322053000766</stp>
        <tr r="O1458" s="2"/>
      </tp>
      <tp t="s">
        <v>#N/A Requesting Data...3918585844</v>
        <stp/>
        <stp>BDP|7948287343447419006</stp>
        <tr r="Q933" s="2"/>
      </tp>
      <tp t="s">
        <v>#N/A Requesting Data...3974099572</v>
        <stp/>
        <stp>BDP|9382263657901025940</stp>
        <tr r="P2120" s="2"/>
      </tp>
      <tp t="s">
        <v>#N/A Requesting Data...1381636736</v>
        <stp/>
        <stp>BDP|5313139475811624452</stp>
        <tr r="F1156" s="2"/>
      </tp>
      <tp t="s">
        <v>#N/A Requesting Data...1329292455</v>
        <stp/>
        <stp>BDP|4036215745647608340</stp>
        <tr r="E373" s="2"/>
      </tp>
      <tp t="s">
        <v>#N/A Requesting Data...2491314905</v>
        <stp/>
        <stp>BDP|9006954647353638124</stp>
        <tr r="E911" s="2"/>
      </tp>
      <tp t="s">
        <v>#N/A Requesting Data...2966728920</v>
        <stp/>
        <stp>BDP|5286037357940429644</stp>
        <tr r="K606" s="2"/>
      </tp>
      <tp t="s">
        <v>#N/A Requesting Data...3262439403</v>
        <stp/>
        <stp>BDP|9154780463316968850</stp>
        <tr r="M96" s="2"/>
      </tp>
      <tp t="s">
        <v>#N/A Requesting Data...3628229341</v>
        <stp/>
        <stp>BDP|6200981471786858850</stp>
        <tr r="R1054" s="2"/>
      </tp>
      <tp t="s">
        <v>#N/A Requesting Data...4194483813</v>
        <stp/>
        <stp>BDP|1198300994939315402</stp>
        <tr r="H24" s="2"/>
      </tp>
      <tp t="s">
        <v>#N/A Requesting Data...3076129122</v>
        <stp/>
        <stp>BDP|3250632800476462536</stp>
        <tr r="J1698" s="2"/>
      </tp>
      <tp t="s">
        <v>#N/A Requesting Data...3788379641</v>
        <stp/>
        <stp>BDP|6568053647127902387</stp>
        <tr r="D875" s="2"/>
      </tp>
      <tp t="s">
        <v>#N/A Requesting Data...2632801281</v>
        <stp/>
        <stp>BDP|4879363579675683379</stp>
        <tr r="K1353" s="2"/>
      </tp>
      <tp t="s">
        <v>#N/A Requesting Data...4088960810</v>
        <stp/>
        <stp>BDP|6383207827041798154</stp>
        <tr r="A118" s="2"/>
      </tp>
      <tp t="s">
        <v>#N/A Requesting Data...2531343441</v>
        <stp/>
        <stp>BDP|6434332362142264714</stp>
        <tr r="M571" s="2"/>
      </tp>
      <tp t="s">
        <v>#N/A Requesting Data...3710698641</v>
        <stp/>
        <stp>BDP|6896786277812529247</stp>
        <tr r="D2498" s="2"/>
      </tp>
      <tp t="s">
        <v>#N/A Requesting Data...1142170821</v>
        <stp/>
        <stp>BDP|7263659351356968498</stp>
        <tr r="N2435" s="2"/>
      </tp>
      <tp t="s">
        <v>#N/A Requesting Data...1167806548</v>
        <stp/>
        <stp>BDP|7683509445634569403</stp>
        <tr r="A1584" s="2"/>
      </tp>
      <tp t="s">
        <v>#N/A Requesting Data...3241910615</v>
        <stp/>
        <stp>BDP|4488442158342732198</stp>
        <tr r="P413" s="2"/>
      </tp>
      <tp t="s">
        <v>#N/A Requesting Data...2276841082</v>
        <stp/>
        <stp>BDP|9622872527674769172</stp>
        <tr r="J1625" s="2"/>
      </tp>
      <tp t="s">
        <v>#N/A Requesting Data...1164879887</v>
        <stp/>
        <stp>BDP|4371039960042296645</stp>
        <tr r="C2296" s="2"/>
      </tp>
      <tp t="s">
        <v>#N/A Requesting Data...3251109922</v>
        <stp/>
        <stp>BDP|2794327798806264895</stp>
        <tr r="G1754" s="2"/>
      </tp>
      <tp t="s">
        <v>#N/A Requesting Data...4219409926</v>
        <stp/>
        <stp>BDP|6313533212524564014</stp>
        <tr r="T1866" s="2"/>
      </tp>
      <tp t="s">
        <v>#N/A Requesting Data...2878100673</v>
        <stp/>
        <stp>BDP|3178121941183159357</stp>
        <tr r="H111" s="2"/>
      </tp>
      <tp t="s">
        <v>#N/A Requesting Data...2265153091</v>
        <stp/>
        <stp>BDP|3088784217767160488</stp>
        <tr r="O125" s="2"/>
      </tp>
      <tp t="s">
        <v>#N/A Requesting Data...2134740703</v>
        <stp/>
        <stp>BDP|3260264209682256594</stp>
        <tr r="A2003" s="2"/>
      </tp>
      <tp t="s">
        <v>#N/A Requesting Data...3438482118</v>
        <stp/>
        <stp>BDP|7811492402087031255</stp>
        <tr r="R1965" s="2"/>
      </tp>
      <tp t="s">
        <v>#N/A Requesting Data...1792971819</v>
        <stp/>
        <stp>BDP|5674751626395325302</stp>
        <tr r="M1816" s="2"/>
      </tp>
      <tp t="s">
        <v>#N/A Requesting Data...4216996255</v>
        <stp/>
        <stp>BDP|3552725756722658517</stp>
        <tr r="D327" s="2"/>
      </tp>
      <tp t="s">
        <v>#N/A Requesting Data...3665116531</v>
        <stp/>
        <stp>BDP|3181769357497391059</stp>
        <tr r="J951" s="2"/>
      </tp>
      <tp t="s">
        <v>#N/A Requesting Data...2870179975</v>
        <stp/>
        <stp>BDP|7640790738251105402</stp>
        <tr r="P1419" s="2"/>
      </tp>
      <tp t="s">
        <v>#N/A Requesting Data...3824536516</v>
        <stp/>
        <stp>BDP|3547121929756959013</stp>
        <tr r="E349" s="2"/>
      </tp>
      <tp t="s">
        <v>#N/A Requesting Data...2375027691</v>
        <stp/>
        <stp>BDP|7083522178894476781</stp>
        <tr r="E997" s="2"/>
      </tp>
      <tp t="b">
        <v>0</v>
        <stp/>
        <stp>BDS|1477362860555767731</stp>
        <tr r="I2305" s="2"/>
      </tp>
      <tp t="s">
        <v>#N/A Requesting Data...3579951994</v>
        <stp/>
        <stp>BDP|5724073790809299344</stp>
        <tr r="K2211" s="2"/>
      </tp>
      <tp t="s">
        <v>#N/A Requesting Data...2560167593</v>
        <stp/>
        <stp>BDP|2100695328676130677</stp>
        <tr r="E2190" s="2"/>
      </tp>
      <tp t="s">
        <v>#N/A Requesting Data...3242749462</v>
        <stp/>
        <stp>BDP|3149025605017869280</stp>
        <tr r="M796" s="2"/>
      </tp>
      <tp t="s">
        <v>#N/A Requesting Data...1699657456</v>
        <stp/>
        <stp>BDP|9140302206755900986</stp>
        <tr r="P2402" s="2"/>
      </tp>
      <tp t="s">
        <v>#N/A Requesting Data...3501700020</v>
        <stp/>
        <stp>BDP|4296287505458046899</stp>
        <tr r="R2433" s="2"/>
      </tp>
      <tp t="s">
        <v>#N/A Requesting Data...2629662722</v>
        <stp/>
        <stp>BDP|4875538622494758189</stp>
        <tr r="F2069" s="2"/>
      </tp>
      <tp t="s">
        <v>#N/A Requesting Data...1226728757</v>
        <stp/>
        <stp>BDP|2955569842707296295</stp>
        <tr r="H1239" s="2"/>
      </tp>
      <tp t="s">
        <v>#N/A Requesting Data...3060031072</v>
        <stp/>
        <stp>BDP|9132724351289412403</stp>
        <tr r="K1948" s="2"/>
      </tp>
      <tp t="s">
        <v>#N/A Requesting Data...2671923246</v>
        <stp/>
        <stp>BDP|6215871455099579431</stp>
        <tr r="K1671" s="2"/>
      </tp>
      <tp t="s">
        <v>#N/A Requesting Data...2371499744</v>
        <stp/>
        <stp>BDP|1463772347531621545</stp>
        <tr r="E929" s="2"/>
      </tp>
      <tp t="s">
        <v>#N/A Requesting Data...2637655452</v>
        <stp/>
        <stp>BDP|5758346862346437035</stp>
        <tr r="D2067" s="2"/>
      </tp>
      <tp t="s">
        <v>#N/A Requesting Data...3578277203</v>
        <stp/>
        <stp>BDP|8056853650293305002</stp>
        <tr r="H687" s="2"/>
      </tp>
      <tp t="s">
        <v>#N/A Requesting Data...2896724668</v>
        <stp/>
        <stp>BDP|4476209871255486272</stp>
        <tr r="F1910" s="2"/>
      </tp>
      <tp t="s">
        <v>#N/A Requesting Data...3761000936</v>
        <stp/>
        <stp>BDP|2509055611526122364</stp>
        <tr r="D1859" s="2"/>
      </tp>
      <tp t="b">
        <v>0</v>
        <stp/>
        <stp>BDS|7788034115715019560</stp>
        <tr r="I166" s="2"/>
      </tp>
      <tp t="s">
        <v>#N/A Requesting Data...3827305604</v>
        <stp/>
        <stp>BDP|6573222963520615458</stp>
        <tr r="N1047" s="2"/>
      </tp>
      <tp t="s">
        <v>#N/A Requesting Data...1954587012</v>
        <stp/>
        <stp>BDP|3270203226422494771</stp>
        <tr r="P983" s="2"/>
      </tp>
      <tp t="s">
        <v>#N/A Requesting Data...3055531565</v>
        <stp/>
        <stp>BDP|1726523413867503441</stp>
        <tr r="Q1057" s="2"/>
      </tp>
      <tp t="b">
        <v>0</v>
        <stp/>
        <stp>BDS|2301612414375195603</stp>
        <tr r="I2388" s="2"/>
      </tp>
      <tp t="s">
        <v>#N/A Requesting Data...3271400876</v>
        <stp/>
        <stp>BDP|6219755313335288317</stp>
        <tr r="J167" s="2"/>
      </tp>
      <tp t="s">
        <v>#N/A Requesting Data...1779458668</v>
        <stp/>
        <stp>BDP|2627109252001356106</stp>
        <tr r="D273" s="2"/>
      </tp>
      <tp t="s">
        <v>#N/A Requesting Data...2897509551</v>
        <stp/>
        <stp>BDP|4235876249578313689</stp>
        <tr r="T1132" s="2"/>
      </tp>
      <tp t="s">
        <v>#N/A Requesting Data...2506891935</v>
        <stp/>
        <stp>BDP|8710548191636606434</stp>
        <tr r="H257" s="2"/>
      </tp>
      <tp t="s">
        <v>#N/A Requesting Data...3888520338</v>
        <stp/>
        <stp>BDP|6341205279840542586</stp>
        <tr r="G67" s="2"/>
      </tp>
      <tp t="s">
        <v>#N/A Requesting Data...3812471886</v>
        <stp/>
        <stp>BDP|5980117746587849115</stp>
        <tr r="N1903" s="2"/>
      </tp>
      <tp t="s">
        <v>#N/A Requesting Data...1854422922</v>
        <stp/>
        <stp>BDP|4374071435749223848</stp>
        <tr r="H932" s="2"/>
      </tp>
      <tp t="s">
        <v>#N/A Requesting Data...1488146509</v>
        <stp/>
        <stp>BDP|6790662636153373636</stp>
        <tr r="D1667" s="2"/>
      </tp>
      <tp t="s">
        <v>#N/A Requesting Data...3937573805</v>
        <stp/>
        <stp>BDP|9222258555521467912</stp>
        <tr r="S2302" s="2"/>
      </tp>
      <tp t="s">
        <v>#N/A Requesting Data...4112676497</v>
        <stp/>
        <stp>BDP|7158708766554334430</stp>
        <tr r="J1586" s="2"/>
      </tp>
      <tp t="s">
        <v>#N/A Requesting Data...3866024406</v>
        <stp/>
        <stp>BDP|1929031023934632182</stp>
        <tr r="D2350" s="2"/>
      </tp>
      <tp t="s">
        <v>#N/A Requesting Data...2138440618</v>
        <stp/>
        <stp>BDP|2683388464287498691</stp>
        <tr r="M1602" s="2"/>
      </tp>
      <tp t="s">
        <v>#N/A Requesting Data...3836032689</v>
        <stp/>
        <stp>BDP|6695738765327587620</stp>
        <tr r="Q842" s="2"/>
      </tp>
      <tp t="s">
        <v>#N/A Requesting Data...2887107182</v>
        <stp/>
        <stp>BDP|9143078292180559662</stp>
        <tr r="K1855" s="2"/>
      </tp>
      <tp t="s">
        <v>#N/A Requesting Data...2878937312</v>
        <stp/>
        <stp>BDP|6694630621636260213</stp>
        <tr r="D2482" s="2"/>
      </tp>
      <tp t="s">
        <v>#N/A Requesting Data...3345842819</v>
        <stp/>
        <stp>BDP|7033918865519354701</stp>
        <tr r="C800" s="2"/>
      </tp>
      <tp t="s">
        <v>#N/A Requesting Data...2010340328</v>
        <stp/>
        <stp>BDP|3075545853803475647</stp>
        <tr r="D931" s="2"/>
      </tp>
      <tp t="s">
        <v>#N/A Requesting Data...2551907301</v>
        <stp/>
        <stp>BDP|2771139863213622064</stp>
        <tr r="Q1211" s="2"/>
      </tp>
      <tp t="s">
        <v>#N/A Requesting Data...2536219614</v>
        <stp/>
        <stp>BDP|7117808426012179914</stp>
        <tr r="D2074" s="2"/>
      </tp>
      <tp t="s">
        <v>#N/A Requesting Data...3938905697</v>
        <stp/>
        <stp>BDP|6622758363776217751</stp>
        <tr r="P1995" s="2"/>
      </tp>
      <tp t="s">
        <v>#N/A Requesting Data...2740607668</v>
        <stp/>
        <stp>BDP|6413767101703491405</stp>
        <tr r="H130" s="2"/>
      </tp>
      <tp t="s">
        <v>#N/A Requesting Data...2621644099</v>
        <stp/>
        <stp>BDP|6194421221781434711</stp>
        <tr r="T2098" s="2"/>
      </tp>
      <tp t="s">
        <v>#N/A Requesting Data...3119793676</v>
        <stp/>
        <stp>BDP|1806037409202605539</stp>
        <tr r="P1157" s="2"/>
      </tp>
      <tp t="s">
        <v>#N/A Requesting Data...2462865829</v>
        <stp/>
        <stp>BDP|6202417862657282545</stp>
        <tr r="O940" s="2"/>
      </tp>
      <tp t="s">
        <v>#N/A Requesting Data...2004238208</v>
        <stp/>
        <stp>BDP|1621607280881132802</stp>
        <tr r="D1592" s="2"/>
      </tp>
      <tp t="s">
        <v>#N/A Requesting Data...2005187705</v>
        <stp/>
        <stp>BDP|1608199407281920766</stp>
        <tr r="G2407" s="2"/>
      </tp>
      <tp t="s">
        <v>#N/A Requesting Data...4173134654</v>
        <stp/>
        <stp>BDP|1235039067170565142</stp>
        <tr r="A274" s="2"/>
      </tp>
      <tp t="s">
        <v>#N/A Requesting Data...3505047321</v>
        <stp/>
        <stp>BDP|9578915599198993734</stp>
        <tr r="Q2270" s="2"/>
      </tp>
      <tp t="s">
        <v>#N/A Requesting Data...3110131677</v>
        <stp/>
        <stp>BDP|8819828452770859375</stp>
        <tr r="M949" s="2"/>
      </tp>
      <tp t="s">
        <v>#N/A Requesting Data...1896685686</v>
        <stp/>
        <stp>BDP|8530922060888916996</stp>
        <tr r="H560" s="2"/>
      </tp>
      <tp t="s">
        <v>#N/A Requesting Data...2579208364</v>
        <stp/>
        <stp>BDP|1731209529584133382</stp>
        <tr r="N972" s="2"/>
      </tp>
      <tp t="s">
        <v>#N/A Requesting Data...3200246731</v>
        <stp/>
        <stp>BDP|9004345862813362925</stp>
        <tr r="Q2435" s="2"/>
      </tp>
      <tp t="s">
        <v>#N/A Requesting Data...3149421959</v>
        <stp/>
        <stp>BDP|3093279732005241105</stp>
        <tr r="Q1320" s="2"/>
      </tp>
      <tp t="s">
        <v>#N/A Requesting Data...3516820051</v>
        <stp/>
        <stp>BDP|1607510145921184740</stp>
        <tr r="T130" s="2"/>
      </tp>
      <tp t="s">
        <v>#N/A Requesting Data...3095207711</v>
        <stp/>
        <stp>BDP|9250894467860313189</stp>
        <tr r="H2462" s="2"/>
      </tp>
      <tp t="b">
        <v>0</v>
        <stp/>
        <stp>BDS|5878572164075900557</stp>
        <tr r="I1010" s="2"/>
      </tp>
      <tp t="s">
        <v>#N/A Requesting Data...1557459295</v>
        <stp/>
        <stp>BDP|4028378419819122981</stp>
        <tr r="D29" s="2"/>
      </tp>
      <tp t="s">
        <v>#N/A Requesting Data...2044536199</v>
        <stp/>
        <stp>BDP|7611893655709458591</stp>
        <tr r="S995" s="2"/>
      </tp>
      <tp t="s">
        <v>#N/A Requesting Data...1701704709</v>
        <stp/>
        <stp>BDP|5091648737791736734</stp>
        <tr r="E1779" s="2"/>
      </tp>
      <tp t="s">
        <v>#N/A Requesting Data...2561224415</v>
        <stp/>
        <stp>BDP|4540827284521454303</stp>
        <tr r="T561" s="2"/>
      </tp>
      <tp t="s">
        <v>#N/A Requesting Data...4012239301</v>
        <stp/>
        <stp>BDP|7926143568751353713</stp>
        <tr r="Q2211" s="2"/>
      </tp>
      <tp t="s">
        <v>#N/A Requesting Data...3189985159</v>
        <stp/>
        <stp>BDP|4198547837940465411</stp>
        <tr r="R653" s="2"/>
      </tp>
      <tp t="s">
        <v>#N/A Requesting Data...1936259851</v>
        <stp/>
        <stp>BDP|5254554130573048600</stp>
        <tr r="M1960" s="2"/>
      </tp>
      <tp t="s">
        <v>#N/A Requesting Data...3237975363</v>
        <stp/>
        <stp>BDP|3538422472883130539</stp>
        <tr r="H196" s="2"/>
      </tp>
      <tp t="s">
        <v>#N/A Requesting Data...2166189736</v>
        <stp/>
        <stp>BDP|5603732923186226032</stp>
        <tr r="C1450" s="2"/>
      </tp>
      <tp t="s">
        <v>#N/A Requesting Data...2059815605</v>
        <stp/>
        <stp>BDP|5965480203704423310</stp>
        <tr r="N1660" s="2"/>
      </tp>
      <tp t="s">
        <v>#N/A Requesting Data...2602080876</v>
        <stp/>
        <stp>BDP|1346086212267663185</stp>
        <tr r="K132" s="2"/>
      </tp>
      <tp t="s">
        <v>#N/A Requesting Data...2634379237</v>
        <stp/>
        <stp>BDP|4515277975321447642</stp>
        <tr r="S721" s="2"/>
      </tp>
      <tp t="s">
        <v>#N/A Requesting Data...1419327559</v>
        <stp/>
        <stp>BDP|6713953796434243410</stp>
        <tr r="N2217" s="2"/>
      </tp>
      <tp t="s">
        <v>#N/A Requesting Data...3073653572</v>
        <stp/>
        <stp>BDP|6072564054465652530</stp>
        <tr r="H1377" s="2"/>
      </tp>
      <tp t="s">
        <v>#N/A Requesting Data...4147153991</v>
        <stp/>
        <stp>BDP|2300354317707294148</stp>
        <tr r="S1976" s="2"/>
      </tp>
      <tp t="s">
        <v>#N/A Requesting Data...3034485637</v>
        <stp/>
        <stp>BDP|9730502847976228858</stp>
        <tr r="H1534" s="2"/>
      </tp>
      <tp t="s">
        <v>#N/A Requesting Data...1407048202</v>
        <stp/>
        <stp>BDP|4730582475227936742</stp>
        <tr r="J1555" s="2"/>
      </tp>
      <tp t="s">
        <v>#N/A Requesting Data...2640780377</v>
        <stp/>
        <stp>BDP|7140116056015961086</stp>
        <tr r="E548" s="2"/>
      </tp>
      <tp t="s">
        <v>#N/A Requesting Data...2461217359</v>
        <stp/>
        <stp>BDP|3081091541675926468</stp>
        <tr r="R582" s="2"/>
      </tp>
      <tp t="s">
        <v>#N/A Requesting Data...2375992868</v>
        <stp/>
        <stp>BDP|7151053552004021011</stp>
        <tr r="F1730" s="2"/>
      </tp>
      <tp t="s">
        <v>#N/A Requesting Data...2455620471</v>
        <stp/>
        <stp>BDP|5600689218815015115</stp>
        <tr r="S2326" s="2"/>
      </tp>
      <tp t="s">
        <v>#N/A Requesting Data...1776806296</v>
        <stp/>
        <stp>BDP|5195065451822803491</stp>
        <tr r="C1273" s="2"/>
      </tp>
      <tp t="s">
        <v>#N/A Requesting Data...2189685961</v>
        <stp/>
        <stp>BDP|1615823095802397456</stp>
        <tr r="C1552" s="2"/>
      </tp>
      <tp t="s">
        <v>#N/A Requesting Data...1859297228</v>
        <stp/>
        <stp>BDP|9663938519116225198</stp>
        <tr r="H2201" s="2"/>
      </tp>
      <tp t="s">
        <v>#N/A Requesting Data...4013625048</v>
        <stp/>
        <stp>BDP|9383671884803500224</stp>
        <tr r="T803" s="2"/>
      </tp>
      <tp t="s">
        <v>#N/A Requesting Data...3102400243</v>
        <stp/>
        <stp>BDP|7239195898628132157</stp>
        <tr r="R535" s="2"/>
      </tp>
      <tp t="s">
        <v>#N/A Requesting Data...3887384286</v>
        <stp/>
        <stp>BDP|5831091004041549272</stp>
        <tr r="C64" s="2"/>
      </tp>
      <tp t="b">
        <v>0</v>
        <stp/>
        <stp>BDS|5366931829100847865</stp>
        <tr r="I1545" s="2"/>
      </tp>
      <tp t="s">
        <v>#N/A Requesting Data...3790308870</v>
        <stp/>
        <stp>BDP|8644913569280873116</stp>
        <tr r="P1288" s="2"/>
      </tp>
      <tp t="s">
        <v>#N/A Requesting Data...2921358312</v>
        <stp/>
        <stp>BDP|1089219169595910662</stp>
        <tr r="N1682" s="2"/>
      </tp>
      <tp t="s">
        <v>#N/A Requesting Data...1658537882</v>
        <stp/>
        <stp>BDP|4026134321015157444</stp>
        <tr r="E87" s="2"/>
      </tp>
      <tp t="s">
        <v>#N/A Requesting Data...2650934689</v>
        <stp/>
        <stp>BDP|1633100230770759566</stp>
        <tr r="R1482" s="2"/>
      </tp>
      <tp t="s">
        <v>#N/A Requesting Data...2447254318</v>
        <stp/>
        <stp>BDP|7814596539050842775</stp>
        <tr r="G122" s="2"/>
      </tp>
      <tp t="s">
        <v>#N/A Requesting Data...1392959954</v>
        <stp/>
        <stp>BDP|9842769991281095080</stp>
        <tr r="C121" s="2"/>
      </tp>
      <tp t="s">
        <v>#N/A Requesting Data...3140818928</v>
        <stp/>
        <stp>BDP|2720127424322764516</stp>
        <tr r="K1333" s="2"/>
      </tp>
      <tp t="s">
        <v>#N/A Requesting Data...2883328073</v>
        <stp/>
        <stp>BDP|7862868464827986848</stp>
        <tr r="J991" s="2"/>
      </tp>
      <tp t="s">
        <v>#N/A Requesting Data...1670606600</v>
        <stp/>
        <stp>BDP|2104855105578718417</stp>
        <tr r="A1207" s="2"/>
      </tp>
      <tp t="s">
        <v>#N/A Requesting Data...1415890837</v>
        <stp/>
        <stp>BDP|2279201962162772239</stp>
        <tr r="D656" s="2"/>
      </tp>
      <tp t="s">
        <v>#N/A Requesting Data...4092912755</v>
        <stp/>
        <stp>BDP|3671665679951547586</stp>
        <tr r="O162" s="2"/>
      </tp>
      <tp t="s">
        <v>#N/A Requesting Data...4010753730</v>
        <stp/>
        <stp>BDP|6391747427817475208</stp>
        <tr r="G1029" s="2"/>
      </tp>
      <tp t="s">
        <v>#N/A Requesting Data...1733212052</v>
        <stp/>
        <stp>BDP|9206768615739640032</stp>
        <tr r="A2088" s="2"/>
      </tp>
      <tp t="s">
        <v>#N/A Requesting Data...2315921352</v>
        <stp/>
        <stp>BDP|4026064524063262348</stp>
        <tr r="Q492" s="2"/>
      </tp>
      <tp t="s">
        <v>#N/A Requesting Data...3733525214</v>
        <stp/>
        <stp>BDP|7460138637360612324</stp>
        <tr r="K1969" s="2"/>
      </tp>
      <tp t="b">
        <v>0</v>
        <stp/>
        <stp>BDS|3569932693832634774</stp>
        <tr r="I1790" s="2"/>
      </tp>
      <tp t="s">
        <v>#N/A Requesting Data...4017102821</v>
        <stp/>
        <stp>BDP|2298132127732330517</stp>
        <tr r="T690" s="2"/>
      </tp>
      <tp t="s">
        <v>#N/A Requesting Data...3394607118</v>
        <stp/>
        <stp>BDP|9987600289071456006</stp>
        <tr r="N69" s="2"/>
      </tp>
      <tp t="s">
        <v>#N/A Requesting Data...2235816440</v>
        <stp/>
        <stp>BDP|2548249503110029665</stp>
        <tr r="N70" s="2"/>
      </tp>
      <tp t="s">
        <v>#N/A Requesting Data...3502216363</v>
        <stp/>
        <stp>BDP|5159052900802766172</stp>
        <tr r="S2217" s="2"/>
      </tp>
      <tp t="s">
        <v>#N/A Requesting Data...2719940108</v>
        <stp/>
        <stp>BDP|9489868203914616333</stp>
        <tr r="A2425" s="2"/>
      </tp>
      <tp t="s">
        <v>#N/A Requesting Data...2663089821</v>
        <stp/>
        <stp>BDP|8582389419885470945</stp>
        <tr r="E1418" s="2"/>
      </tp>
      <tp t="s">
        <v>#N/A Requesting Data...2914294101</v>
        <stp/>
        <stp>BDP|6630295335292765399</stp>
        <tr r="O1739" s="2"/>
      </tp>
      <tp t="s">
        <v>#N/A Requesting Data...1781514165</v>
        <stp/>
        <stp>BDP|6883783066612259303</stp>
        <tr r="C2169" s="2"/>
      </tp>
      <tp t="s">
        <v>#N/A Requesting Data...2882113509</v>
        <stp/>
        <stp>BDP|8686735613201064923</stp>
        <tr r="F952" s="2"/>
      </tp>
      <tp t="s">
        <v>#N/A Requesting Data...3818867181</v>
        <stp/>
        <stp>BDP|1651969757608795349</stp>
        <tr r="P223" s="2"/>
      </tp>
      <tp t="s">
        <v>#N/A Requesting Data...1794108424</v>
        <stp/>
        <stp>BDP|7180953602149741154</stp>
        <tr r="S1401" s="2"/>
      </tp>
      <tp t="s">
        <v>#N/A Requesting Data...1702655185</v>
        <stp/>
        <stp>BDP|7891362954780654784</stp>
        <tr r="S1094" s="2"/>
      </tp>
      <tp t="s">
        <v>#N/A Requesting Data...4283901234</v>
        <stp/>
        <stp>BDP|2389445158305804033</stp>
        <tr r="K1603" s="2"/>
      </tp>
      <tp t="s">
        <v>#N/A Requesting Data...1525097818</v>
        <stp/>
        <stp>BDP|7517472986818017507</stp>
        <tr r="Q80" s="2"/>
      </tp>
      <tp t="s">
        <v>#N/A Requesting Data...3404462553</v>
        <stp/>
        <stp>BDP|3954208178683027354</stp>
        <tr r="Q1480" s="2"/>
      </tp>
      <tp t="b">
        <v>0</v>
        <stp/>
        <stp>BDS|4407252142530781400</stp>
        <tr r="I2201" s="2"/>
      </tp>
      <tp t="s">
        <v>#N/A Requesting Data...2766376737</v>
        <stp/>
        <stp>BDP|8100640471569680661</stp>
        <tr r="K473" s="2"/>
      </tp>
      <tp t="b">
        <v>0</v>
        <stp/>
        <stp>BDS|6637323790892666861</stp>
        <tr r="I802" s="2"/>
      </tp>
      <tp t="s">
        <v>#N/A Requesting Data...2857958765</v>
        <stp/>
        <stp>BDP|1716085128792284717</stp>
        <tr r="N2432" s="2"/>
      </tp>
      <tp t="s">
        <v>#N/A Requesting Data...2370842188</v>
        <stp/>
        <stp>BDP|6686226051421232636</stp>
        <tr r="P826" s="2"/>
      </tp>
      <tp t="s">
        <v>#N/A Requesting Data...3978474484</v>
        <stp/>
        <stp>BDP|8136887369498385877</stp>
        <tr r="T382" s="2"/>
      </tp>
      <tp t="s">
        <v>#N/A Requesting Data...2836459983</v>
        <stp/>
        <stp>BDP|8362689957589879402</stp>
        <tr r="G1950" s="2"/>
      </tp>
      <tp t="s">
        <v>#N/A Requesting Data...3396783891</v>
        <stp/>
        <stp>BDP|3953059968674848780</stp>
        <tr r="M1541" s="2"/>
      </tp>
      <tp t="s">
        <v>#N/A Requesting Data...3044931198</v>
        <stp/>
        <stp>BDP|4475415628433987700</stp>
        <tr r="C1443" s="2"/>
      </tp>
      <tp t="s">
        <v>#N/A Requesting Data...3272339288</v>
        <stp/>
        <stp>BDP|7193875757369245575</stp>
        <tr r="D1728" s="2"/>
      </tp>
      <tp t="s">
        <v>#N/A Requesting Data...2015340291</v>
        <stp/>
        <stp>BDP|9140101894585367228</stp>
        <tr r="S118" s="2"/>
      </tp>
      <tp t="s">
        <v>#N/A Requesting Data...2843087817</v>
        <stp/>
        <stp>BDP|7670252206461894296</stp>
        <tr r="N231" s="2"/>
      </tp>
      <tp t="s">
        <v>#N/A Requesting Data...2360525027</v>
        <stp/>
        <stp>BDP|3719286090886950824</stp>
        <tr r="M974" s="2"/>
      </tp>
      <tp t="s">
        <v>#N/A Requesting Data...2505633348</v>
        <stp/>
        <stp>BDP|9208434585896535551</stp>
        <tr r="M2428" s="2"/>
      </tp>
      <tp t="s">
        <v>#N/A Requesting Data...3851811012</v>
        <stp/>
        <stp>BDP|5583290778961280727</stp>
        <tr r="S2345" s="2"/>
      </tp>
      <tp t="s">
        <v>#N/A Requesting Data...1999058690</v>
        <stp/>
        <stp>BDP|5888754515271443484</stp>
        <tr r="A127" s="2"/>
      </tp>
      <tp t="s">
        <v>#N/A Requesting Data...2228945892</v>
        <stp/>
        <stp>BDP|7683764464482045202</stp>
        <tr r="C1738" s="2"/>
      </tp>
      <tp t="s">
        <v>#N/A Requesting Data...2466643106</v>
        <stp/>
        <stp>BDP|9716611616011284969</stp>
        <tr r="N1306" s="2"/>
      </tp>
      <tp t="s">
        <v>#N/A Requesting Data...1746063309</v>
        <stp/>
        <stp>BDP|1820724093710946944</stp>
        <tr r="K1811" s="2"/>
      </tp>
      <tp t="s">
        <v>#N/A Requesting Data...4108837392</v>
        <stp/>
        <stp>BDP|1486510614764487716</stp>
        <tr r="G1147" s="2"/>
      </tp>
      <tp t="s">
        <v>#N/A Requesting Data...2557182756</v>
        <stp/>
        <stp>BDP|8465335826909583603</stp>
        <tr r="R364" s="2"/>
      </tp>
      <tp t="s">
        <v>#N/A Requesting Data...2758163042</v>
        <stp/>
        <stp>BDP|3097276125695007068</stp>
        <tr r="E1622" s="2"/>
      </tp>
      <tp t="s">
        <v>#N/A Requesting Data...3130711467</v>
        <stp/>
        <stp>BDP|3130170394584112976</stp>
        <tr r="J1563" s="2"/>
      </tp>
      <tp t="s">
        <v>#N/A Requesting Data...3853451426</v>
        <stp/>
        <stp>BDP|1028511011727261463</stp>
        <tr r="S454" s="2"/>
      </tp>
      <tp t="s">
        <v>#N/A Requesting Data...2276391173</v>
        <stp/>
        <stp>BDP|8464513124511782828</stp>
        <tr r="F1514" s="2"/>
      </tp>
      <tp t="s">
        <v>#N/A Requesting Data...1545457601</v>
        <stp/>
        <stp>BDP|1650668032805368753</stp>
        <tr r="E1111" s="2"/>
      </tp>
      <tp t="s">
        <v>#N/A Requesting Data...2132494903</v>
        <stp/>
        <stp>BDP|2090315701782537518</stp>
        <tr r="D1581" s="2"/>
      </tp>
      <tp t="s">
        <v>#N/A Requesting Data...3070062630</v>
        <stp/>
        <stp>BDP|8622739671989445746</stp>
        <tr r="T2442" s="2"/>
      </tp>
      <tp t="s">
        <v>#N/A Requesting Data...1812016754</v>
        <stp/>
        <stp>BDP|9754504060484505865</stp>
        <tr r="D232" s="2"/>
      </tp>
      <tp t="s">
        <v>#N/A Requesting Data...1910159895</v>
        <stp/>
        <stp>BDP|3223574646962479638</stp>
        <tr r="A214" s="2"/>
      </tp>
      <tp t="s">
        <v>#N/A Requesting Data...3343263399</v>
        <stp/>
        <stp>BDP|5924085505723718071</stp>
        <tr r="D676" s="2"/>
      </tp>
      <tp t="b">
        <v>0</v>
        <stp/>
        <stp>BDS|9464339985197170379</stp>
        <tr r="I2517" s="2"/>
      </tp>
      <tp t="s">
        <v>#N/A Requesting Data...2062532828</v>
        <stp/>
        <stp>BDP|5626761330511151650</stp>
        <tr r="T1604" s="2"/>
      </tp>
      <tp t="s">
        <v>#N/A Requesting Data...2784687998</v>
        <stp/>
        <stp>BDP|4346100397579105312</stp>
        <tr r="F170" s="2"/>
      </tp>
      <tp t="s">
        <v>#N/A Requesting Data...3606743116</v>
        <stp/>
        <stp>BDP|3135050972084116631</stp>
        <tr r="T659" s="2"/>
      </tp>
      <tp t="s">
        <v>#N/A Requesting Data...2087471093</v>
        <stp/>
        <stp>BDP|5077046247367211050</stp>
        <tr r="F1608" s="2"/>
      </tp>
      <tp t="s">
        <v>#N/A Requesting Data...1882744429</v>
        <stp/>
        <stp>BDP|1748835364670011945</stp>
        <tr r="O669" s="2"/>
      </tp>
      <tp t="s">
        <v>#N/A Requesting Data...2118810807</v>
        <stp/>
        <stp>BDP|1609017174905283555</stp>
        <tr r="D1035" s="2"/>
      </tp>
      <tp t="s">
        <v>#N/A Requesting Data...3085117181</v>
        <stp/>
        <stp>BDP|2760624881749178310</stp>
        <tr r="S516" s="2"/>
      </tp>
      <tp t="s">
        <v>#N/A Requesting Data...3485671549</v>
        <stp/>
        <stp>BDP|4755611605746021273</stp>
        <tr r="S803" s="2"/>
      </tp>
      <tp t="s">
        <v>#N/A Requesting Data...1594241968</v>
        <stp/>
        <stp>BDP|7929353998233244825</stp>
        <tr r="O85" s="2"/>
      </tp>
      <tp t="s">
        <v>#N/A Requesting Data...3158772874</v>
        <stp/>
        <stp>BDP|1328162021995731178</stp>
        <tr r="M2345" s="2"/>
      </tp>
      <tp t="s">
        <v>#N/A Requesting Data...3482500379</v>
        <stp/>
        <stp>BDP|6770096055405660091</stp>
        <tr r="S781" s="2"/>
      </tp>
      <tp t="s">
        <v>#N/A Requesting Data...2923638316</v>
        <stp/>
        <stp>BDP|2106134166825876689</stp>
        <tr r="S2512" s="2"/>
      </tp>
      <tp t="s">
        <v>#N/A Requesting Data...2842608196</v>
        <stp/>
        <stp>BDP|4943435117896897112</stp>
        <tr r="M1404" s="2"/>
      </tp>
      <tp t="s">
        <v>#N/A Requesting Data...2250066108</v>
        <stp/>
        <stp>BDP|2424840635918009719</stp>
        <tr r="E753" s="2"/>
      </tp>
      <tp t="s">
        <v>#N/A Requesting Data...3859863233</v>
        <stp/>
        <stp>BDP|3149898635096102889</stp>
        <tr r="R1630" s="2"/>
      </tp>
      <tp t="s">
        <v>#N/A Requesting Data...2228172062</v>
        <stp/>
        <stp>BDP|8905692403100715807</stp>
        <tr r="K2099" s="2"/>
      </tp>
      <tp t="s">
        <v>#N/A Requesting Data...3485733699</v>
        <stp/>
        <stp>BDP|6111558920951028607</stp>
        <tr r="G2263" s="2"/>
      </tp>
      <tp t="s">
        <v>#N/A Requesting Data...2167381000</v>
        <stp/>
        <stp>BDP|3900599228847901554</stp>
        <tr r="K1739" s="2"/>
      </tp>
      <tp t="s">
        <v>#N/A Requesting Data...3681827029</v>
        <stp/>
        <stp>BDP|1245694536362966000</stp>
        <tr r="O2148" s="2"/>
      </tp>
      <tp t="s">
        <v>#N/A Requesting Data...3764275944</v>
        <stp/>
        <stp>BDP|2775544207944862589</stp>
        <tr r="E197" s="2"/>
      </tp>
      <tp t="s">
        <v>#N/A Requesting Data...4275521840</v>
        <stp/>
        <stp>BDP|1662533354265639231</stp>
        <tr r="J831" s="2"/>
      </tp>
      <tp t="s">
        <v>#N/A Requesting Data...1776766858</v>
        <stp/>
        <stp>BDP|8553076889510824671</stp>
        <tr r="R746" s="2"/>
      </tp>
      <tp t="s">
        <v>#N/A Requesting Data...3844764388</v>
        <stp/>
        <stp>BDP|9059861223107685278</stp>
        <tr r="S1953" s="2"/>
      </tp>
      <tp t="s">
        <v>#N/A Requesting Data...2617868226</v>
        <stp/>
        <stp>BDP|1332616706897483640</stp>
        <tr r="E1867" s="2"/>
      </tp>
      <tp t="s">
        <v>#N/A Requesting Data...2385995179</v>
        <stp/>
        <stp>BDP|1749309665126292440</stp>
        <tr r="S1118" s="2"/>
      </tp>
      <tp t="s">
        <v>#N/A Requesting Data...3216831922</v>
        <stp/>
        <stp>BDP|7513557631621078652</stp>
        <tr r="G1477" s="2"/>
      </tp>
      <tp t="s">
        <v>#N/A Requesting Data...1613873357</v>
        <stp/>
        <stp>BDP|3345920862508454231</stp>
        <tr r="M2295" s="2"/>
      </tp>
      <tp t="s">
        <v>#N/A Requesting Data...4023471778</v>
        <stp/>
        <stp>BDP|6600826296168030960</stp>
        <tr r="D2331" s="2"/>
      </tp>
      <tp t="s">
        <v>#N/A Requesting Data...4189694866</v>
        <stp/>
        <stp>BDP|9205454936191463917</stp>
        <tr r="M1729" s="2"/>
      </tp>
      <tp t="s">
        <v>#N/A Requesting Data...2069376182</v>
        <stp/>
        <stp>BDP|4743114944353328455</stp>
        <tr r="T1142" s="2"/>
      </tp>
      <tp t="s">
        <v>#N/A Requesting Data...2876585062</v>
        <stp/>
        <stp>BDP|2709608502796535448</stp>
        <tr r="R347" s="2"/>
      </tp>
      <tp t="s">
        <v>#N/A Requesting Data...2619819330</v>
        <stp/>
        <stp>BDP|9024233196472320623</stp>
        <tr r="F1489" s="2"/>
      </tp>
      <tp t="s">
        <v>#N/A Requesting Data...1966895397</v>
        <stp/>
        <stp>BDP|4489077802635051758</stp>
        <tr r="G1528" s="2"/>
      </tp>
      <tp t="s">
        <v>#N/A Requesting Data...2968782026</v>
        <stp/>
        <stp>BDP|3170077920716574174</stp>
        <tr r="P1984" s="2"/>
      </tp>
      <tp t="s">
        <v>#N/A Requesting Data...2729583150</v>
        <stp/>
        <stp>BDP|7025668554747119578</stp>
        <tr r="S1879" s="2"/>
      </tp>
      <tp t="s">
        <v>#N/A Requesting Data...3984618968</v>
        <stp/>
        <stp>BDP|1028120281057561920</stp>
        <tr r="T756" s="2"/>
      </tp>
      <tp t="s">
        <v>#N/A Requesting Data...2585069083</v>
        <stp/>
        <stp>BDP|2152790360797836245</stp>
        <tr r="Q1784" s="2"/>
      </tp>
      <tp t="s">
        <v>#N/A Requesting Data...3183097101</v>
        <stp/>
        <stp>BDP|2117277342191977394</stp>
        <tr r="F1271" s="2"/>
      </tp>
      <tp t="s">
        <v>#N/A Requesting Data...4194920416</v>
        <stp/>
        <stp>BDP|6363297937317961600</stp>
        <tr r="S1811" s="2"/>
      </tp>
      <tp t="s">
        <v>#N/A Requesting Data...2502458720</v>
        <stp/>
        <stp>BDP|1272073416683125564</stp>
        <tr r="K2008" s="2"/>
      </tp>
      <tp t="s">
        <v>#N/A Requesting Data...1877770855</v>
        <stp/>
        <stp>BDP|2445288032300801528</stp>
        <tr r="H559" s="2"/>
      </tp>
      <tp t="s">
        <v>#N/A Requesting Data...3612931832</v>
        <stp/>
        <stp>BDP|3950221042201976246</stp>
        <tr r="Q144" s="2"/>
      </tp>
      <tp t="s">
        <v>#N/A Requesting Data...4262115940</v>
        <stp/>
        <stp>BDP|7881862613720933809</stp>
        <tr r="S238" s="2"/>
      </tp>
      <tp t="s">
        <v>#N/A Requesting Data...3760383128</v>
        <stp/>
        <stp>BDP|3045000270787068542</stp>
        <tr r="C1506" s="2"/>
      </tp>
      <tp t="s">
        <v>#N/A Requesting Data...3312204668</v>
        <stp/>
        <stp>BDP|1349248456241308169</stp>
        <tr r="H1176" s="2"/>
      </tp>
      <tp t="s">
        <v>#N/A Requesting Data...1882190152</v>
        <stp/>
        <stp>BDP|6405837951988185531</stp>
        <tr r="M548" s="2"/>
      </tp>
      <tp t="s">
        <v>#N/A Requesting Data...3585201341</v>
        <stp/>
        <stp>BDP|9893186054323882883</stp>
        <tr r="O190" s="2"/>
      </tp>
      <tp t="s">
        <v>#N/A Requesting Data...2439271373</v>
        <stp/>
        <stp>BDP|9615364886893138739</stp>
        <tr r="E2362" s="2"/>
      </tp>
      <tp t="s">
        <v>#N/A Requesting Data...3906017918</v>
        <stp/>
        <stp>BDP|6263810534483720847</stp>
        <tr r="F589" s="2"/>
      </tp>
      <tp t="s">
        <v>#N/A Requesting Data...2281086697</v>
        <stp/>
        <stp>BDP|4299126345620960788</stp>
        <tr r="R231" s="2"/>
      </tp>
      <tp t="s">
        <v>#N/A Requesting Data...2369336604</v>
        <stp/>
        <stp>BDP|7719336351067444054</stp>
        <tr r="E1968" s="2"/>
      </tp>
      <tp t="s">
        <v>#N/A Requesting Data...3746015054</v>
        <stp/>
        <stp>BDP|2412302373935649559</stp>
        <tr r="S1831" s="2"/>
      </tp>
      <tp t="s">
        <v>#N/A Requesting Data...3232106946</v>
        <stp/>
        <stp>BDP|8538426488702277092</stp>
        <tr r="K562" s="2"/>
      </tp>
      <tp t="s">
        <v>#N/A Requesting Data...2791399431</v>
        <stp/>
        <stp>BDP|2351647734270546122</stp>
        <tr r="F1871" s="2"/>
      </tp>
      <tp t="s">
        <v>#N/A Requesting Data...3641560789</v>
        <stp/>
        <stp>BDP|3220585371600864771</stp>
        <tr r="E2096" s="2"/>
      </tp>
      <tp t="s">
        <v>#N/A Requesting Data...2709835824</v>
        <stp/>
        <stp>BDP|2791494538003087023</stp>
        <tr r="D2252" s="2"/>
      </tp>
      <tp t="s">
        <v>#N/A Requesting Data...2143826094</v>
        <stp/>
        <stp>BDP|3556918093937336201</stp>
        <tr r="A2493" s="2"/>
      </tp>
      <tp t="s">
        <v>#N/A Requesting Data...2790768789</v>
        <stp/>
        <stp>BDP|7380914241075686912</stp>
        <tr r="D1174" s="2"/>
      </tp>
      <tp t="s">
        <v>#N/A Requesting Data...3450969096</v>
        <stp/>
        <stp>BDP|4515462873629153856</stp>
        <tr r="G1919" s="2"/>
      </tp>
      <tp t="s">
        <v>#N/A Requesting Data...1754146898</v>
        <stp/>
        <stp>BDP|4947574618744798258</stp>
        <tr r="J267" s="2"/>
      </tp>
      <tp t="s">
        <v>#N/A Requesting Data...3000559370</v>
        <stp/>
        <stp>BDP|5041775893164406946</stp>
        <tr r="C203" s="2"/>
      </tp>
      <tp t="s">
        <v>#N/A Requesting Data...3893583347</v>
        <stp/>
        <stp>BDP|6319761245767268478</stp>
        <tr r="F1025" s="2"/>
      </tp>
      <tp t="s">
        <v>#N/A Requesting Data...2890350587</v>
        <stp/>
        <stp>BDP|4619464034170489555</stp>
        <tr r="T839" s="2"/>
      </tp>
      <tp t="s">
        <v>#N/A Requesting Data...4148218268</v>
        <stp/>
        <stp>BDP|6642911816750438808</stp>
        <tr r="F188" s="2"/>
      </tp>
      <tp t="s">
        <v>#N/A Requesting Data...2035313897</v>
        <stp/>
        <stp>BDP|7371459144268136966</stp>
        <tr r="D905" s="2"/>
      </tp>
      <tp t="s">
        <v>#N/A Requesting Data...2462538794</v>
        <stp/>
        <stp>BDP|6977533930872777482</stp>
        <tr r="D2029" s="2"/>
      </tp>
      <tp t="s">
        <v>#N/A Requesting Data...3738089831</v>
        <stp/>
        <stp>BDP|2964055188798253438</stp>
        <tr r="K7" s="2"/>
      </tp>
      <tp t="s">
        <v>#N/A Requesting Data...3530227800</v>
        <stp/>
        <stp>BDP|3044186601022838648</stp>
        <tr r="C1765" s="2"/>
      </tp>
      <tp t="s">
        <v>#N/A Requesting Data...1840815704</v>
        <stp/>
        <stp>BDP|5661446055987610541</stp>
        <tr r="S522" s="2"/>
      </tp>
      <tp t="s">
        <v>#N/A Requesting Data...2847554081</v>
        <stp/>
        <stp>BDP|3119393110474985347</stp>
        <tr r="H1082" s="2"/>
      </tp>
      <tp t="s">
        <v>#N/A Requesting Data...1975638236</v>
        <stp/>
        <stp>BDP|4200938885105942684</stp>
        <tr r="F2377" s="2"/>
      </tp>
      <tp t="s">
        <v>#N/A Requesting Data...2839116448</v>
        <stp/>
        <stp>BDP|3144569567747575105</stp>
        <tr r="R826" s="2"/>
      </tp>
      <tp t="s">
        <v>#N/A Requesting Data...2203687272</v>
        <stp/>
        <stp>BDP|5293735211246615337</stp>
        <tr r="E196" s="2"/>
      </tp>
      <tp t="s">
        <v>#N/A Requesting Data...3462238895</v>
        <stp/>
        <stp>BDP|8474916864390085142</stp>
        <tr r="T804" s="2"/>
      </tp>
      <tp t="s">
        <v>#N/A Requesting Data...1931062058</v>
        <stp/>
        <stp>BDP|2404845712419500429</stp>
        <tr r="E1197" s="2"/>
      </tp>
      <tp t="s">
        <v>#N/A Requesting Data...1814318097</v>
        <stp/>
        <stp>BDP|7927422858916553634</stp>
        <tr r="P658" s="2"/>
      </tp>
      <tp t="s">
        <v>#N/A Requesting Data...3617084648</v>
        <stp/>
        <stp>BDP|3371156242188815899</stp>
        <tr r="A705" s="2"/>
      </tp>
      <tp t="s">
        <v>#N/A Requesting Data...2324582357</v>
        <stp/>
        <stp>BDP|8447453293905250650</stp>
        <tr r="F1469" s="2"/>
      </tp>
      <tp t="s">
        <v>#N/A Requesting Data...4204498115</v>
        <stp/>
        <stp>BDP|7567435144816637713</stp>
        <tr r="T599" s="2"/>
      </tp>
      <tp t="s">
        <v>#N/A Requesting Data...3242642716</v>
        <stp/>
        <stp>BDP|5718509671390074137</stp>
        <tr r="Q864" s="2"/>
      </tp>
      <tp t="s">
        <v>#N/A Requesting Data...2787870542</v>
        <stp/>
        <stp>BDP|3870709618532580109</stp>
        <tr r="M760" s="2"/>
      </tp>
      <tp t="s">
        <v>#N/A Requesting Data...2608412811</v>
        <stp/>
        <stp>BDP|8522192487355984271</stp>
        <tr r="K446" s="2"/>
      </tp>
      <tp t="s">
        <v>#N/A Requesting Data...2761915323</v>
        <stp/>
        <stp>BDP|6808452710342099782</stp>
        <tr r="Q1953" s="2"/>
      </tp>
      <tp t="s">
        <v>#N/A Requesting Data...2903834154</v>
        <stp/>
        <stp>BDP|6147069516608161957</stp>
        <tr r="O2134" s="2"/>
      </tp>
      <tp t="s">
        <v>#N/A Requesting Data...2726850164</v>
        <stp/>
        <stp>BDP|1378451830451680157</stp>
        <tr r="N1285" s="2"/>
      </tp>
      <tp t="s">
        <v>#N/A Requesting Data...3402720701</v>
        <stp/>
        <stp>BDP|8892576776205980958</stp>
        <tr r="O1660" s="2"/>
      </tp>
      <tp t="s">
        <v>#N/A Requesting Data...2297366306</v>
        <stp/>
        <stp>BDP|7566836733328770279</stp>
        <tr r="S149" s="2"/>
      </tp>
      <tp t="s">
        <v>#N/A Requesting Data...2964262663</v>
        <stp/>
        <stp>BDP|3188600630423611320</stp>
        <tr r="O2052" s="2"/>
      </tp>
      <tp t="s">
        <v>#N/A Requesting Data...2619594062</v>
        <stp/>
        <stp>BDP|9796865976358364814</stp>
        <tr r="N206" s="2"/>
      </tp>
      <tp t="s">
        <v>#N/A Requesting Data...3210624371</v>
        <stp/>
        <stp>BDP|8915267505649950569</stp>
        <tr r="P2497" s="2"/>
      </tp>
      <tp t="s">
        <v>#N/A Requesting Data...2503767083</v>
        <stp/>
        <stp>BDP|6836480453963717217</stp>
        <tr r="D1771" s="2"/>
      </tp>
      <tp t="b">
        <v>0</v>
        <stp/>
        <stp>BDS|3388206402677436004</stp>
        <tr r="I1570" s="2"/>
      </tp>
      <tp t="s">
        <v>#N/A Requesting Data...3177155835</v>
        <stp/>
        <stp>BDP|7039311031427482612</stp>
        <tr r="D1150" s="2"/>
      </tp>
      <tp t="s">
        <v>#N/A Requesting Data...3948468567</v>
        <stp/>
        <stp>BDP|3360481550723987777</stp>
        <tr r="F570" s="2"/>
      </tp>
      <tp t="s">
        <v>#N/A Requesting Data...3504795958</v>
        <stp/>
        <stp>BDP|8122936545416267509</stp>
        <tr r="Q2495" s="2"/>
      </tp>
      <tp t="s">
        <v>#N/A Requesting Data...1847842741</v>
        <stp/>
        <stp>BDP|4456355560281349679</stp>
        <tr r="P479" s="2"/>
      </tp>
      <tp t="s">
        <v>#N/A Requesting Data...3367896224</v>
        <stp/>
        <stp>BDP|5355340186949503113</stp>
        <tr r="Q737" s="2"/>
      </tp>
      <tp t="s">
        <v>#N/A Requesting Data...2099142175</v>
        <stp/>
        <stp>BDP|8629559444756654946</stp>
        <tr r="Q245" s="2"/>
      </tp>
      <tp t="s">
        <v>#N/A Requesting Data...3872301864</v>
        <stp/>
        <stp>BDP|4192303722677339450</stp>
        <tr r="J67" s="2"/>
      </tp>
      <tp t="s">
        <v>#N/A Requesting Data...3219018956</v>
        <stp/>
        <stp>BDP|2837707301215901658</stp>
        <tr r="O1122" s="2"/>
      </tp>
      <tp t="s">
        <v>#N/A Requesting Data...3664946999</v>
        <stp/>
        <stp>BDP|1794286131642957422</stp>
        <tr r="M2429" s="2"/>
      </tp>
      <tp t="s">
        <v>#N/A Requesting Data...3171889746</v>
        <stp/>
        <stp>BDP|3439492695150498897</stp>
        <tr r="F2392" s="2"/>
      </tp>
      <tp t="s">
        <v>#N/A Requesting Data...3572567579</v>
        <stp/>
        <stp>BDP|6006759807307103064</stp>
        <tr r="P1514" s="2"/>
      </tp>
      <tp t="s">
        <v>#N/A Requesting Data...3986737904</v>
        <stp/>
        <stp>BDP|6414721565700108179</stp>
        <tr r="F1017" s="2"/>
      </tp>
      <tp t="s">
        <v>#N/A Requesting Data...4222575298</v>
        <stp/>
        <stp>BDP|3302112656337981688</stp>
        <tr r="A2237" s="2"/>
      </tp>
      <tp t="b">
        <v>0</v>
        <stp/>
        <stp>BDS|6163011942520708400</stp>
        <tr r="I1276" s="2"/>
      </tp>
      <tp t="s">
        <v>#N/A Requesting Data...4156320728</v>
        <stp/>
        <stp>BDP|2125284146932296087</stp>
        <tr r="M1733" s="2"/>
      </tp>
      <tp t="s">
        <v>#N/A Requesting Data...3198356258</v>
        <stp/>
        <stp>BDP|1135476806080266372</stp>
        <tr r="Q749" s="2"/>
      </tp>
      <tp t="s">
        <v>#N/A Requesting Data...2621442398</v>
        <stp/>
        <stp>BDP|8828027625304931834</stp>
        <tr r="R1586" s="2"/>
      </tp>
      <tp t="s">
        <v>#N/A Requesting Data...2614023596</v>
        <stp/>
        <stp>BDP|4369419665133777358</stp>
        <tr r="K2210" s="2"/>
      </tp>
      <tp t="s">
        <v>#N/A Requesting Data...4210420046</v>
        <stp/>
        <stp>BDP|6471365439478877861</stp>
        <tr r="Q2497" s="2"/>
      </tp>
      <tp t="s">
        <v>#N/A Requesting Data...3338743906</v>
        <stp/>
        <stp>BDP|2890248797758964770</stp>
        <tr r="D2213" s="2"/>
      </tp>
      <tp t="s">
        <v>#N/A Requesting Data...4251404218</v>
        <stp/>
        <stp>BDP|3986390765747763779</stp>
        <tr r="M506" s="2"/>
      </tp>
      <tp t="b">
        <v>0</v>
        <stp/>
        <stp>BDS|2413243637422321717</stp>
        <tr r="I2151" s="2"/>
      </tp>
      <tp t="b">
        <v>0</v>
        <stp/>
        <stp>BDS|2956150249878663968</stp>
        <tr r="I1791" s="2"/>
      </tp>
      <tp t="s">
        <v>#N/A Requesting Data...3384336566</v>
        <stp/>
        <stp>BDP|3396093308945650016</stp>
        <tr r="S2259" s="2"/>
      </tp>
      <tp t="s">
        <v>#N/A Requesting Data...2882651163</v>
        <stp/>
        <stp>BDP|2863106039476046040</stp>
        <tr r="H890" s="2"/>
      </tp>
      <tp t="s">
        <v>#N/A Requesting Data...2224419481</v>
        <stp/>
        <stp>BDP|5523554761954799436</stp>
        <tr r="E2406" s="2"/>
      </tp>
      <tp t="s">
        <v>#N/A Requesting Data...3871311154</v>
        <stp/>
        <stp>BDP|6546400101127603376</stp>
        <tr r="J115" s="2"/>
      </tp>
      <tp t="s">
        <v>#N/A Requesting Data...4081566530</v>
        <stp/>
        <stp>BDP|7200303517454030707</stp>
        <tr r="K2446" s="2"/>
      </tp>
      <tp t="s">
        <v>#N/A Requesting Data...1965307661</v>
        <stp/>
        <stp>BDP|7605525864265409714</stp>
        <tr r="T711" s="2"/>
      </tp>
      <tp t="s">
        <v>#N/A Requesting Data...3095520481</v>
        <stp/>
        <stp>BDP|3714123416696605307</stp>
        <tr r="C2513" s="2"/>
      </tp>
      <tp t="s">
        <v>#N/A Requesting Data...3093196648</v>
        <stp/>
        <stp>BDP|3684932672032186930</stp>
        <tr r="H1854" s="2"/>
      </tp>
      <tp t="s">
        <v>#N/A Requesting Data...3404565197</v>
        <stp/>
        <stp>BDP|8241878723045765148</stp>
        <tr r="K201" s="2"/>
      </tp>
      <tp t="s">
        <v>#N/A Requesting Data...2268731912</v>
        <stp/>
        <stp>BDP|5682433233941555565</stp>
        <tr r="O492" s="2"/>
      </tp>
      <tp t="s">
        <v>#N/A Requesting Data...2101199514</v>
        <stp/>
        <stp>BDP|8626163024669531446</stp>
        <tr r="T1937" s="2"/>
      </tp>
      <tp t="s">
        <v>#N/A Requesting Data...3099618704</v>
        <stp/>
        <stp>BDP|2173805734858213729</stp>
        <tr r="T2531" s="2"/>
      </tp>
      <tp t="s">
        <v>#N/A Requesting Data...3726016080</v>
        <stp/>
        <stp>BDP|9181166151319573268</stp>
        <tr r="N2273" s="2"/>
      </tp>
      <tp t="s">
        <v>#N/A Requesting Data...3860839867</v>
        <stp/>
        <stp>BDP|8703810561158230800</stp>
        <tr r="D871" s="2"/>
      </tp>
      <tp t="s">
        <v>#N/A Requesting Data...3273370950</v>
        <stp/>
        <stp>BDP|2448619174433624629</stp>
        <tr r="P1549" s="2"/>
      </tp>
      <tp t="s">
        <v>#N/A Requesting Data...3223205917</v>
        <stp/>
        <stp>BDP|2067775935248341847</stp>
        <tr r="C2045" s="2"/>
      </tp>
      <tp t="s">
        <v>#N/A Requesting Data...2288739043</v>
        <stp/>
        <stp>BDP|3617303413611445645</stp>
        <tr r="K2282" s="2"/>
      </tp>
      <tp t="s">
        <v>#N/A Requesting Data...2255289242</v>
        <stp/>
        <stp>BDP|5621856427340221930</stp>
        <tr r="P408" s="2"/>
      </tp>
      <tp t="s">
        <v>#N/A Requesting Data...4277441005</v>
        <stp/>
        <stp>BDP|6515309621844714564</stp>
        <tr r="O2289" s="2"/>
      </tp>
      <tp t="s">
        <v>#N/A Requesting Data...2594997631</v>
        <stp/>
        <stp>BDP|3955087945279863893</stp>
        <tr r="F1796" s="2"/>
      </tp>
      <tp t="s">
        <v>#N/A Requesting Data...3600034389</v>
        <stp/>
        <stp>BDP|3256336923914694016</stp>
        <tr r="O523" s="2"/>
      </tp>
      <tp t="s">
        <v>#N/A Requesting Data...2692528815</v>
        <stp/>
        <stp>BDP|4756629465354628639</stp>
        <tr r="N590" s="2"/>
      </tp>
      <tp t="s">
        <v>#N/A Requesting Data...2995771856</v>
        <stp/>
        <stp>BDP|2417311526537439222</stp>
        <tr r="D574" s="2"/>
      </tp>
      <tp t="s">
        <v>#N/A Requesting Data...2143287048</v>
        <stp/>
        <stp>BDP|3317214693639128755</stp>
        <tr r="F1551" s="2"/>
      </tp>
      <tp t="s">
        <v>#N/A Requesting Data...1966058259</v>
        <stp/>
        <stp>BDP|7567706154202213164</stp>
        <tr r="F902" s="2"/>
      </tp>
      <tp t="s">
        <v>#N/A Requesting Data...2844308220</v>
        <stp/>
        <stp>BDP|9047401083725452620</stp>
        <tr r="P1332" s="2"/>
      </tp>
      <tp t="s">
        <v>#N/A Requesting Data...3685823257</v>
        <stp/>
        <stp>BDP|7317948028732904839</stp>
        <tr r="K1176" s="2"/>
      </tp>
      <tp t="s">
        <v>#N/A Requesting Data...2540829129</v>
        <stp/>
        <stp>BDP|1463362470512304146</stp>
        <tr r="K2465" s="2"/>
      </tp>
      <tp t="s">
        <v>#N/A Requesting Data...3777062543</v>
        <stp/>
        <stp>BDP|8212889246675085791</stp>
        <tr r="N1083" s="2"/>
      </tp>
      <tp t="s">
        <v>#N/A Requesting Data...3651077383</v>
        <stp/>
        <stp>BDP|5109332604050629057</stp>
        <tr r="J172" s="2"/>
      </tp>
      <tp t="s">
        <v>#N/A Requesting Data...2640852161</v>
        <stp/>
        <stp>BDP|7805633669109720807</stp>
        <tr r="S2526" s="2"/>
      </tp>
      <tp t="s">
        <v>#N/A Requesting Data...4277361879</v>
        <stp/>
        <stp>BDP|6955356990553014990</stp>
        <tr r="J2011" s="2"/>
      </tp>
      <tp t="s">
        <v>#N/A Requesting Data...3051134293</v>
        <stp/>
        <stp>BDP|4749834776674236952</stp>
        <tr r="T201" s="2"/>
      </tp>
      <tp t="s">
        <v>#N/A Requesting Data...2584085624</v>
        <stp/>
        <stp>BDP|7391857486299336868</stp>
        <tr r="P1754" s="2"/>
      </tp>
      <tp t="s">
        <v>#N/A Requesting Data...4181904888</v>
        <stp/>
        <stp>BDP|9673587157538955756</stp>
        <tr r="E950" s="2"/>
      </tp>
      <tp t="s">
        <v>#N/A Requesting Data...2801380592</v>
        <stp/>
        <stp>BDP|3388173532400108729</stp>
        <tr r="E2522" s="2"/>
      </tp>
      <tp t="s">
        <v>#N/A Requesting Data...2512018173</v>
        <stp/>
        <stp>BDP|5367782837203149484</stp>
        <tr r="T1080" s="2"/>
      </tp>
      <tp t="s">
        <v>#N/A Requesting Data...3596315747</v>
        <stp/>
        <stp>BDP|5122152529770037082</stp>
        <tr r="C1919" s="2"/>
      </tp>
      <tp t="s">
        <v>#N/A Requesting Data...2180695541</v>
        <stp/>
        <stp>BDP|2386183689458406539</stp>
        <tr r="F362" s="2"/>
      </tp>
      <tp t="s">
        <v>#N/A Requesting Data...2209818069</v>
        <stp/>
        <stp>BDP|5770307476326665123</stp>
        <tr r="T2406" s="2"/>
      </tp>
      <tp t="s">
        <v>#N/A Requesting Data...3267538243</v>
        <stp/>
        <stp>BDP|6438625865018708810</stp>
        <tr r="E960" s="2"/>
      </tp>
      <tp t="s">
        <v>#N/A Requesting Data...3345273868</v>
        <stp/>
        <stp>BDP|2655886871092423818</stp>
        <tr r="T1842" s="2"/>
      </tp>
      <tp t="s">
        <v>#N/A Requesting Data...3798386091</v>
        <stp/>
        <stp>BDP|2906008749669848823</stp>
        <tr r="N35" s="2"/>
      </tp>
      <tp t="s">
        <v>#N/A Requesting Data...3507093299</v>
        <stp/>
        <stp>BDP|5288682477514352743</stp>
        <tr r="T2151" s="2"/>
      </tp>
      <tp t="s">
        <v>#N/A Requesting Data...3541580531</v>
        <stp/>
        <stp>BDP|7369728639853590776</stp>
        <tr r="K1283" s="2"/>
      </tp>
      <tp t="s">
        <v>#N/A Requesting Data...2608717175</v>
        <stp/>
        <stp>BDP|3833704618911970331</stp>
        <tr r="K798" s="2"/>
      </tp>
      <tp t="s">
        <v>#N/A Requesting Data...3361289039</v>
        <stp/>
        <stp>BDP|1814903281655054239</stp>
        <tr r="O752" s="2"/>
      </tp>
      <tp t="s">
        <v>#N/A Requesting Data...2784168960</v>
        <stp/>
        <stp>BDP|6977400095054160879</stp>
        <tr r="G971" s="2"/>
      </tp>
      <tp t="s">
        <v>#N/A Requesting Data...3686152317</v>
        <stp/>
        <stp>BDP|6769118668411352777</stp>
        <tr r="R214" s="2"/>
      </tp>
      <tp t="s">
        <v>#N/A Requesting Data...3375121654</v>
        <stp/>
        <stp>BDP|3419743148206616149</stp>
        <tr r="O402" s="2"/>
      </tp>
      <tp t="s">
        <v>#N/A Requesting Data...2923216191</v>
        <stp/>
        <stp>BDP|6694004012469602982</stp>
        <tr r="M1747" s="2"/>
      </tp>
      <tp t="s">
        <v>#N/A Requesting Data...3317181790</v>
        <stp/>
        <stp>BDP|6875278546276715147</stp>
        <tr r="J2457" s="2"/>
      </tp>
      <tp t="s">
        <v>#N/A Requesting Data...2068689433</v>
        <stp/>
        <stp>BDP|2537625596548915229</stp>
        <tr r="T578" s="2"/>
      </tp>
      <tp t="s">
        <v>#N/A Requesting Data...3733972265</v>
        <stp/>
        <stp>BDP|3354497269940996608</stp>
        <tr r="F1864" s="2"/>
      </tp>
      <tp t="s">
        <v>#N/A Requesting Data...2765297790</v>
        <stp/>
        <stp>BDP|5306069969704754011</stp>
        <tr r="F530" s="2"/>
      </tp>
      <tp t="s">
        <v>#N/A Requesting Data...3703273782</v>
        <stp/>
        <stp>BDP|3003773366733316688</stp>
        <tr r="G1056" s="2"/>
      </tp>
      <tp t="s">
        <v>#N/A Requesting Data...3202000206</v>
        <stp/>
        <stp>BDP|8916911482657380933</stp>
        <tr r="F2323" s="2"/>
      </tp>
      <tp t="s">
        <v>#N/A Requesting Data...2269174813</v>
        <stp/>
        <stp>BDP|3601095745977924792</stp>
        <tr r="M1466" s="2"/>
      </tp>
      <tp t="s">
        <v>#N/A Requesting Data...3339553807</v>
        <stp/>
        <stp>BDP|1252388506795208046</stp>
        <tr r="O1015" s="2"/>
      </tp>
      <tp t="s">
        <v>#N/A Requesting Data...2603193719</v>
        <stp/>
        <stp>BDP|6942424402977727247</stp>
        <tr r="J955" s="2"/>
      </tp>
      <tp t="s">
        <v>#N/A Requesting Data...3740122955</v>
        <stp/>
        <stp>BDP|2021045690479983577</stp>
        <tr r="C725" s="2"/>
      </tp>
      <tp t="s">
        <v>#N/A Requesting Data...3104932529</v>
        <stp/>
        <stp>BDP|3714213762283856369</stp>
        <tr r="G1579" s="2"/>
      </tp>
      <tp t="s">
        <v>#N/A Requesting Data...4116782608</v>
        <stp/>
        <stp>BDP|4588924286322326081</stp>
        <tr r="K385" s="2"/>
      </tp>
      <tp t="s">
        <v>#N/A Requesting Data...2103744244</v>
        <stp/>
        <stp>BDP|3045188255069559925</stp>
        <tr r="E1269" s="2"/>
      </tp>
      <tp t="s">
        <v>#N/A Requesting Data...3258795035</v>
        <stp/>
        <stp>BDP|6387208173956917237</stp>
        <tr r="K1621" s="2"/>
      </tp>
      <tp t="s">
        <v>#N/A Requesting Data...3938589317</v>
        <stp/>
        <stp>BDP|6579499645229239810</stp>
        <tr r="R994" s="2"/>
      </tp>
      <tp t="s">
        <v>#N/A Requesting Data...3030197396</v>
        <stp/>
        <stp>BDP|2707174782824025881</stp>
        <tr r="R1549" s="2"/>
      </tp>
      <tp t="s">
        <v>#N/A Requesting Data...2134625510</v>
        <stp/>
        <stp>BDP|7897237432148047934</stp>
        <tr r="D1766" s="2"/>
      </tp>
      <tp t="s">
        <v>#N/A Requesting Data...3585987626</v>
        <stp/>
        <stp>BDP|6944672566975404460</stp>
        <tr r="O1406" s="2"/>
      </tp>
      <tp t="s">
        <v>#N/A Requesting Data...2191517452</v>
        <stp/>
        <stp>BDP|7675383524587176619</stp>
        <tr r="Q1292" s="2"/>
      </tp>
      <tp t="s">
        <v>#N/A Requesting Data...2219598909</v>
        <stp/>
        <stp>BDP|2997032510692552657</stp>
        <tr r="R2485" s="2"/>
      </tp>
      <tp t="s">
        <v>#N/A Requesting Data...2762602223</v>
        <stp/>
        <stp>BDP|1122723427924875761</stp>
        <tr r="R329" s="2"/>
      </tp>
      <tp t="s">
        <v>#N/A Requesting Data...2415500543</v>
        <stp/>
        <stp>BDP|5397983835350578810</stp>
        <tr r="N402" s="2"/>
      </tp>
      <tp t="s">
        <v>#N/A Requesting Data...3830109022</v>
        <stp/>
        <stp>BDP|7746999146835028829</stp>
        <tr r="F1728" s="2"/>
      </tp>
      <tp t="s">
        <v>#N/A Requesting Data...2437961643</v>
        <stp/>
        <stp>BDP|4727667940246914728</stp>
        <tr r="T2391" s="2"/>
      </tp>
      <tp t="s">
        <v>#N/A Requesting Data...3470077709</v>
        <stp/>
        <stp>BDP|4916698618187627344</stp>
        <tr r="G331" s="2"/>
      </tp>
      <tp t="s">
        <v>#N/A Requesting Data...4161152612</v>
        <stp/>
        <stp>BDP|8685691073187014967</stp>
        <tr r="E1488" s="2"/>
      </tp>
      <tp t="s">
        <v>#N/A Requesting Data...3523019134</v>
        <stp/>
        <stp>BDP|2013683542031163615</stp>
        <tr r="P1721" s="2"/>
      </tp>
      <tp t="s">
        <v>#N/A Requesting Data...3353739557</v>
        <stp/>
        <stp>BDP|2866408202321756079</stp>
        <tr r="M2425" s="2"/>
      </tp>
      <tp t="s">
        <v>#N/A Requesting Data...3576851543</v>
        <stp/>
        <stp>BDP|7694277856770518789</stp>
        <tr r="J1439" s="2"/>
      </tp>
      <tp t="s">
        <v>#N/A Requesting Data...2614600624</v>
        <stp/>
        <stp>BDP|2516635399922558809</stp>
        <tr r="C1807" s="2"/>
      </tp>
      <tp t="s">
        <v>#N/A Requesting Data...2361727779</v>
        <stp/>
        <stp>BDP|6090999096915499411</stp>
        <tr r="P1289" s="2"/>
      </tp>
      <tp t="s">
        <v>#N/A Requesting Data...3484115713</v>
        <stp/>
        <stp>BDP|1105190366755679421</stp>
        <tr r="T2355" s="2"/>
      </tp>
      <tp t="s">
        <v>#N/A Requesting Data...3215470439</v>
        <stp/>
        <stp>BDP|2537703650787878070</stp>
        <tr r="O2431" s="2"/>
      </tp>
      <tp t="s">
        <v>#N/A Requesting Data...4262108776</v>
        <stp/>
        <stp>BDP|2006796827994675428</stp>
        <tr r="R233" s="2"/>
      </tp>
      <tp t="s">
        <v>#N/A Requesting Data...3135866900</v>
        <stp/>
        <stp>BDP|2648095403180657505</stp>
        <tr r="K1304" s="2"/>
      </tp>
      <tp t="s">
        <v>#N/A Requesting Data...2883479448</v>
        <stp/>
        <stp>BDP|2256834153198152095</stp>
        <tr r="C1040" s="2"/>
      </tp>
      <tp t="s">
        <v>#N/A Requesting Data...4003110521</v>
        <stp/>
        <stp>BDP|3451942995772632693</stp>
        <tr r="Q219" s="2"/>
      </tp>
      <tp t="s">
        <v>#N/A Requesting Data...2719001547</v>
        <stp/>
        <stp>BDP|9884208272969988291</stp>
        <tr r="J5" s="2"/>
      </tp>
      <tp t="s">
        <v>#N/A Requesting Data...3499788218</v>
        <stp/>
        <stp>BDP|1704216972093633086</stp>
        <tr r="S249" s="2"/>
      </tp>
      <tp t="s">
        <v>#N/A Requesting Data...2692548937</v>
        <stp/>
        <stp>BDP|5032788523392689573</stp>
        <tr r="E899" s="2"/>
      </tp>
      <tp t="s">
        <v>#N/A Requesting Data...2366713753</v>
        <stp/>
        <stp>BDP|2456103262122436087</stp>
        <tr r="J1680" s="2"/>
      </tp>
      <tp t="s">
        <v>#N/A Requesting Data...3989419495</v>
        <stp/>
        <stp>BDP|3306116010002974612</stp>
        <tr r="R1476" s="2"/>
      </tp>
      <tp t="s">
        <v>#N/A Requesting Data...3769006419</v>
        <stp/>
        <stp>BDP|4053227018098348835</stp>
        <tr r="Q2345" s="2"/>
      </tp>
      <tp t="s">
        <v>#N/A Requesting Data...4190954978</v>
        <stp/>
        <stp>BDP|4554976465538841451</stp>
        <tr r="G311" s="2"/>
      </tp>
      <tp t="b">
        <v>0</v>
        <stp/>
        <stp>BDS|1855670047713248706</stp>
        <tr r="I1869" s="2"/>
      </tp>
      <tp t="s">
        <v>#N/A Requesting Data...4095677100</v>
        <stp/>
        <stp>BDP|7688306279261472518</stp>
        <tr r="E1662" s="2"/>
      </tp>
      <tp t="s">
        <v>#N/A Requesting Data...3614702112</v>
        <stp/>
        <stp>BDP|6514630349176269575</stp>
        <tr r="M1154" s="2"/>
      </tp>
      <tp t="b">
        <v>0</v>
        <stp/>
        <stp>BDS|5817793933657971113</stp>
        <tr r="I1306" s="2"/>
      </tp>
      <tp t="s">
        <v>#N/A Requesting Data...3261448073</v>
        <stp/>
        <stp>BDP|1830405575645574025</stp>
        <tr r="T991" s="2"/>
      </tp>
      <tp t="s">
        <v>#N/A Requesting Data...4265015585</v>
        <stp/>
        <stp>BDP|9226687366968372659</stp>
        <tr r="A589" s="2"/>
      </tp>
      <tp t="s">
        <v>#N/A Requesting Data...2506005367</v>
        <stp/>
        <stp>BDP|6256978787640987011</stp>
        <tr r="J1253" s="2"/>
      </tp>
      <tp t="s">
        <v>#N/A Requesting Data...3152056109</v>
        <stp/>
        <stp>BDP|2436144050588953935</stp>
        <tr r="Q1780" s="2"/>
      </tp>
      <tp t="s">
        <v>#N/A Requesting Data...3364523791</v>
        <stp/>
        <stp>BDP|3165572098370463804</stp>
        <tr r="T781" s="2"/>
      </tp>
      <tp t="s">
        <v>#N/A Requesting Data...3428496510</v>
        <stp/>
        <stp>BDP|1115075669572519205</stp>
        <tr r="A1609" s="2"/>
      </tp>
      <tp t="s">
        <v>#N/A Requesting Data...2166991378</v>
        <stp/>
        <stp>BDP|4909661847085734457</stp>
        <tr r="R2299" s="2"/>
      </tp>
      <tp t="s">
        <v>#N/A Requesting Data...3499002900</v>
        <stp/>
        <stp>BDP|8025750059494035960</stp>
        <tr r="F1763" s="2"/>
      </tp>
      <tp t="b">
        <v>0</v>
        <stp/>
        <stp>BDS|2136625820944903509</stp>
        <tr r="I1376" s="2"/>
      </tp>
      <tp t="s">
        <v>#N/A Requesting Data...2382531532</v>
        <stp/>
        <stp>BDP|3514557314243759394</stp>
        <tr r="A467" s="2"/>
      </tp>
      <tp t="s">
        <v>#N/A Requesting Data...3091216701</v>
        <stp/>
        <stp>BDP|3648767669712515760</stp>
        <tr r="A534" s="2"/>
      </tp>
      <tp t="s">
        <v>#N/A Requesting Data...3235380236</v>
        <stp/>
        <stp>BDP|9334481022708719040</stp>
        <tr r="H927" s="2"/>
      </tp>
      <tp t="s">
        <v>#N/A Requesting Data...3773484057</v>
        <stp/>
        <stp>BDP|3472367836765603183</stp>
        <tr r="M538" s="2"/>
      </tp>
      <tp t="s">
        <v>#N/A Requesting Data...2962974265</v>
        <stp/>
        <stp>BDP|2910176160006315471</stp>
        <tr r="K1545" s="2"/>
      </tp>
      <tp t="s">
        <v>#N/A Requesting Data...4094908511</v>
        <stp/>
        <stp>BDP|7981300334821007177</stp>
        <tr r="O2362" s="2"/>
      </tp>
      <tp t="s">
        <v>#N/A Requesting Data...3978464954</v>
        <stp/>
        <stp>BDP|6808376508592415095</stp>
        <tr r="A2433" s="2"/>
      </tp>
      <tp t="s">
        <v>#N/A Requesting Data...4026841271</v>
        <stp/>
        <stp>BDP|5667870032801005899</stp>
        <tr r="C2118" s="2"/>
      </tp>
      <tp t="s">
        <v>#N/A Requesting Data...2397326926</v>
        <stp/>
        <stp>BDP|1013317000620242593</stp>
        <tr r="C272" s="2"/>
      </tp>
      <tp t="s">
        <v>#N/A Requesting Data...3505048766</v>
        <stp/>
        <stp>BDP|6768816208478542117</stp>
        <tr r="S1138" s="2"/>
      </tp>
      <tp t="b">
        <v>0</v>
        <stp/>
        <stp>BDS|5321283577482793518</stp>
        <tr r="I1063" s="2"/>
      </tp>
      <tp t="s">
        <v>#N/A Requesting Data...3758336474</v>
        <stp/>
        <stp>BDP|6139277224206993718</stp>
        <tr r="F447" s="2"/>
      </tp>
      <tp t="s">
        <v>#N/A Requesting Data...3329893948</v>
        <stp/>
        <stp>BDP|7611662748666509472</stp>
        <tr r="K1441" s="2"/>
      </tp>
      <tp t="s">
        <v>#N/A Requesting Data...2261365753</v>
        <stp/>
        <stp>BDP|5988458620296151271</stp>
        <tr r="H236" s="2"/>
      </tp>
      <tp t="s">
        <v>#N/A Requesting Data...2502604599</v>
        <stp/>
        <stp>BDP|1239130844340602396</stp>
        <tr r="C9" s="2"/>
      </tp>
      <tp t="s">
        <v>#N/A Requesting Data...3518466576</v>
        <stp/>
        <stp>BDP|9597842808005688355</stp>
        <tr r="A70" s="2"/>
      </tp>
      <tp t="s">
        <v>#N/A Requesting Data...4142907821</v>
        <stp/>
        <stp>BDP|1467573149131516653</stp>
        <tr r="D130" s="2"/>
      </tp>
      <tp t="b">
        <v>0</v>
        <stp/>
        <stp>BDS|3280765245276386182</stp>
        <tr r="I1357" s="2"/>
      </tp>
      <tp t="s">
        <v>#N/A Requesting Data...4009656641</v>
        <stp/>
        <stp>BDP|5904630446349778912</stp>
        <tr r="J1954" s="2"/>
      </tp>
      <tp t="s">
        <v>#N/A Requesting Data...3570679535</v>
        <stp/>
        <stp>BDP|8200587116109691216</stp>
        <tr r="R2531" s="2"/>
      </tp>
      <tp t="s">
        <v>#N/A Requesting Data...3875266749</v>
        <stp/>
        <stp>BDP|8986078521009403409</stp>
        <tr r="J2198" s="2"/>
      </tp>
      <tp t="s">
        <v>#N/A Requesting Data...3122366548</v>
        <stp/>
        <stp>BDP|7908938480498257930</stp>
        <tr r="A1112" s="2"/>
      </tp>
      <tp t="s">
        <v>#N/A Requesting Data...2765560854</v>
        <stp/>
        <stp>BDP|3066407601848988838</stp>
        <tr r="C274" s="2"/>
      </tp>
      <tp t="s">
        <v>#N/A Requesting Data...2810792654</v>
        <stp/>
        <stp>BDP|8985834203671464664</stp>
        <tr r="E2262" s="2"/>
      </tp>
      <tp t="s">
        <v>#N/A Requesting Data...4170605006</v>
        <stp/>
        <stp>BDP|6923497860714223798</stp>
        <tr r="S136" s="2"/>
      </tp>
      <tp t="s">
        <v>#N/A Requesting Data...3584451615</v>
        <stp/>
        <stp>BDP|8982268931067207978</stp>
        <tr r="F1056" s="2"/>
      </tp>
      <tp t="s">
        <v>#N/A Requesting Data...3204778861</v>
        <stp/>
        <stp>BDP|3297066066422191089</stp>
        <tr r="C2184" s="2"/>
      </tp>
      <tp t="s">
        <v>#N/A Requesting Data...2520250288</v>
        <stp/>
        <stp>BDP|2745179348211111125</stp>
        <tr r="D157" s="2"/>
      </tp>
      <tp t="s">
        <v>#N/A Requesting Data...4096483504</v>
        <stp/>
        <stp>BDP|7398817472548858735</stp>
        <tr r="J1012" s="2"/>
      </tp>
      <tp t="s">
        <v>#N/A Requesting Data...3692752713</v>
        <stp/>
        <stp>BDP|1193674023764947675</stp>
        <tr r="E2454" s="2"/>
      </tp>
      <tp t="s">
        <v>#N/A Requesting Data...2555547719</v>
        <stp/>
        <stp>BDP|6582367137467786688</stp>
        <tr r="O1695" s="2"/>
      </tp>
      <tp t="s">
        <v>#N/A Requesting Data...3336634830</v>
        <stp/>
        <stp>BDP|6456283596983907984</stp>
        <tr r="Q2213" s="2"/>
      </tp>
      <tp t="s">
        <v>#N/A Requesting Data...3916517626</v>
        <stp/>
        <stp>BDP|7571790512085653339</stp>
        <tr r="G454" s="2"/>
      </tp>
      <tp t="s">
        <v>#N/A Requesting Data...3209163889</v>
        <stp/>
        <stp>BDP|5558104560546761399</stp>
        <tr r="E497" s="2"/>
      </tp>
      <tp t="s">
        <v>#N/A Requesting Data...2429510973</v>
        <stp/>
        <stp>BDP|5967308820620374314</stp>
        <tr r="O251" s="2"/>
      </tp>
      <tp t="s">
        <v>#N/A Requesting Data...3756289937</v>
        <stp/>
        <stp>BDP|1244246453832978376</stp>
        <tr r="D47" s="2"/>
      </tp>
      <tp t="s">
        <v>#N/A Requesting Data...3328586623</v>
        <stp/>
        <stp>BDP|4101862513558655298</stp>
        <tr r="M1327" s="2"/>
      </tp>
      <tp t="s">
        <v>#N/A Requesting Data...2476776449</v>
        <stp/>
        <stp>BDP|1580122658256764434</stp>
        <tr r="K640" s="2"/>
      </tp>
      <tp t="s">
        <v>#N/A Requesting Data...3554515614</v>
        <stp/>
        <stp>BDP|3462235020143506798</stp>
        <tr r="S1381" s="2"/>
      </tp>
      <tp t="s">
        <v>#N/A Requesting Data...3862577856</v>
        <stp/>
        <stp>BDP|3665776268165293002</stp>
        <tr r="Q1645" s="2"/>
      </tp>
      <tp t="s">
        <v>#N/A Requesting Data...3213450626</v>
        <stp/>
        <stp>BDP|5814593141875324685</stp>
        <tr r="F2518" s="2"/>
      </tp>
      <tp t="s">
        <v>#N/A Requesting Data...3221713919</v>
        <stp/>
        <stp>BDP|6592096485419220004</stp>
        <tr r="P972" s="2"/>
      </tp>
      <tp t="s">
        <v>#N/A Requesting Data...3756192159</v>
        <stp/>
        <stp>BDP|5070242939255135679</stp>
        <tr r="D168" s="2"/>
      </tp>
      <tp t="s">
        <v>#N/A Requesting Data...4099559269</v>
        <stp/>
        <stp>BDP|2241502194828559186</stp>
        <tr r="K365" s="2"/>
      </tp>
      <tp t="s">
        <v>#N/A Requesting Data...3434008508</v>
        <stp/>
        <stp>BDP|3242253579055499413</stp>
        <tr r="J592" s="2"/>
      </tp>
      <tp t="s">
        <v>#N/A Requesting Data...3084937576</v>
        <stp/>
        <stp>BDP|5479564834724594081</stp>
        <tr r="Q618" s="2"/>
      </tp>
      <tp t="s">
        <v>#N/A Requesting Data...2887982796</v>
        <stp/>
        <stp>BDP|7728866999933032232</stp>
        <tr r="O640" s="2"/>
      </tp>
      <tp t="s">
        <v>#N/A Requesting Data...2652794521</v>
        <stp/>
        <stp>BDP|2304261056066881405</stp>
        <tr r="Q814" s="2"/>
      </tp>
      <tp t="s">
        <v>#N/A Requesting Data...3119770530</v>
        <stp/>
        <stp>BDP|6448297080938121374</stp>
        <tr r="K1711" s="2"/>
      </tp>
      <tp t="s">
        <v>#N/A Requesting Data...3842467395</v>
        <stp/>
        <stp>BDP|6078100848562456678</stp>
        <tr r="T1234" s="2"/>
      </tp>
      <tp t="s">
        <v>#N/A Requesting Data...3142494094</v>
        <stp/>
        <stp>BDP|7352007645876402295</stp>
        <tr r="E1433" s="2"/>
      </tp>
      <tp t="s">
        <v>#N/A Requesting Data...3355109353</v>
        <stp/>
        <stp>BDP|3341829656521926855</stp>
        <tr r="K1251" s="2"/>
      </tp>
      <tp t="b">
        <v>0</v>
        <stp/>
        <stp>BDS|3168237705145857349</stp>
        <tr r="I1899" s="2"/>
      </tp>
      <tp t="s">
        <v>#N/A Requesting Data...2741959948</v>
        <stp/>
        <stp>BDP|3550886863838312265</stp>
        <tr r="P1141" s="2"/>
      </tp>
      <tp t="s">
        <v>#N/A Requesting Data...2826838939</v>
        <stp/>
        <stp>BDP|1027359982538989558</stp>
        <tr r="P2105" s="2"/>
      </tp>
      <tp t="s">
        <v>#N/A Requesting Data...2697006580</v>
        <stp/>
        <stp>BDP|8361990832397795242</stp>
        <tr r="K1509" s="2"/>
      </tp>
      <tp t="s">
        <v>#N/A Requesting Data...3410224796</v>
        <stp/>
        <stp>BDP|9464793396424463449</stp>
        <tr r="G1272" s="2"/>
      </tp>
      <tp t="s">
        <v>#N/A Requesting Data...3736562547</v>
        <stp/>
        <stp>BDP|3681994677229315301</stp>
        <tr r="P1009" s="2"/>
      </tp>
      <tp t="s">
        <v>#N/A Requesting Data...3240105900</v>
        <stp/>
        <stp>BDP|6651261471704249089</stp>
        <tr r="O819" s="2"/>
      </tp>
      <tp t="s">
        <v>#N/A Requesting Data...3087531529</v>
        <stp/>
        <stp>BDP|9312953377476908638</stp>
        <tr r="R2004" s="2"/>
      </tp>
      <tp t="s">
        <v>#N/A Requesting Data...3197866119</v>
        <stp/>
        <stp>BDP|6961004255852649610</stp>
        <tr r="E1871" s="2"/>
      </tp>
      <tp t="s">
        <v>#N/A Requesting Data...2703905327</v>
        <stp/>
        <stp>BDP|8416017169608263157</stp>
        <tr r="G446" s="2"/>
      </tp>
      <tp t="s">
        <v>#N/A Requesting Data...4184074355</v>
        <stp/>
        <stp>BDP|1667147384749817656</stp>
        <tr r="P2354" s="2"/>
      </tp>
      <tp t="s">
        <v>#N/A Requesting Data...3421915779</v>
        <stp/>
        <stp>BDP|7421671658313426043</stp>
        <tr r="E370" s="2"/>
      </tp>
      <tp t="s">
        <v>#N/A Requesting Data...2807146555</v>
        <stp/>
        <stp>BDP|9733565790421336390</stp>
        <tr r="N2140" s="2"/>
      </tp>
      <tp t="s">
        <v>#N/A Requesting Data...3402705671</v>
        <stp/>
        <stp>BDP|3467864499666547351</stp>
        <tr r="M935" s="2"/>
      </tp>
      <tp t="s">
        <v>#N/A Requesting Data...3662590649</v>
        <stp/>
        <stp>BDP|9609151714056946854</stp>
        <tr r="K743" s="2"/>
      </tp>
      <tp t="s">
        <v>#N/A Requesting Data...3545022279</v>
        <stp/>
        <stp>BDP|1991468852355666205</stp>
        <tr r="K1328" s="2"/>
      </tp>
      <tp t="s">
        <v>#N/A Requesting Data...2467794515</v>
        <stp/>
        <stp>BDP|4947659165951539276</stp>
        <tr r="A1571" s="2"/>
      </tp>
      <tp t="s">
        <v>#N/A Requesting Data...2862440624</v>
        <stp/>
        <stp>BDP|8471121986512352487</stp>
        <tr r="E2369" s="2"/>
      </tp>
      <tp t="b">
        <v>0</v>
        <stp/>
        <stp>BDS|5833954152479693729</stp>
        <tr r="I2523" s="2"/>
      </tp>
      <tp t="s">
        <v>#N/A Requesting Data...2461400058</v>
        <stp/>
        <stp>BDP|6395355084918827217</stp>
        <tr r="M1205" s="2"/>
      </tp>
      <tp t="s">
        <v>#N/A Requesting Data...2640244481</v>
        <stp/>
        <stp>BDP|4548593676602472356</stp>
        <tr r="F1342" s="2"/>
      </tp>
      <tp t="s">
        <v>#N/A Requesting Data...2612809021</v>
        <stp/>
        <stp>BDP|1556191049330638384</stp>
        <tr r="Q940" s="2"/>
      </tp>
      <tp t="s">
        <v>#N/A Requesting Data...3056731276</v>
        <stp/>
        <stp>BDP|9965947476167759775</stp>
        <tr r="O2061" s="2"/>
      </tp>
      <tp t="s">
        <v>#N/A Requesting Data...3816590864</v>
        <stp/>
        <stp>BDP|5650802391074527796</stp>
        <tr r="E327" s="2"/>
      </tp>
      <tp t="s">
        <v>#N/A Requesting Data...4079832256</v>
        <stp/>
        <stp>BDP|9446836069784651433</stp>
        <tr r="E1636" s="2"/>
      </tp>
      <tp t="s">
        <v>#N/A Requesting Data...3266309492</v>
        <stp/>
        <stp>BDP|8886418295377165567</stp>
        <tr r="S62" s="2"/>
      </tp>
      <tp t="s">
        <v>#N/A Requesting Data...3329352755</v>
        <stp/>
        <stp>BDP|1826258147903790368</stp>
        <tr r="N170" s="2"/>
      </tp>
      <tp t="b">
        <v>0</v>
        <stp/>
        <stp>BDS|6657203703135823664</stp>
        <tr r="I1441" s="2"/>
      </tp>
      <tp t="s">
        <v>#N/A Requesting Data...2592441984</v>
        <stp/>
        <stp>BDP|9995134213388742658</stp>
        <tr r="C1891" s="2"/>
      </tp>
      <tp t="s">
        <v>#N/A Requesting Data...3976216470</v>
        <stp/>
        <stp>BDP|7788333365253821629</stp>
        <tr r="T1896" s="2"/>
      </tp>
      <tp t="s">
        <v>#N/A Requesting Data...2467879295</v>
        <stp/>
        <stp>BDP|2418722104753167180</stp>
        <tr r="R945" s="2"/>
      </tp>
      <tp t="s">
        <v>#N/A Requesting Data...4181942133</v>
        <stp/>
        <stp>BDP|5945371301603432205</stp>
        <tr r="F911" s="2"/>
      </tp>
      <tp t="s">
        <v>#N/A Requesting Data...3513113886</v>
        <stp/>
        <stp>BDP|4305376427056166495</stp>
        <tr r="S959" s="2"/>
      </tp>
      <tp t="s">
        <v>#N/A Requesting Data...3275136698</v>
        <stp/>
        <stp>BDP|8508251379859350319</stp>
        <tr r="O1724" s="2"/>
      </tp>
      <tp t="s">
        <v>#N/A Requesting Data...3128130730</v>
        <stp/>
        <stp>BDP|9659206135428120790</stp>
        <tr r="F2337" s="2"/>
      </tp>
      <tp t="s">
        <v>#N/A Requesting Data...3804481326</v>
        <stp/>
        <stp>BDP|2934929581017694377</stp>
        <tr r="T2414" s="2"/>
      </tp>
      <tp t="s">
        <v>#N/A Requesting Data...3179038535</v>
        <stp/>
        <stp>BDP|4707994096152055134</stp>
        <tr r="P852" s="2"/>
      </tp>
      <tp t="s">
        <v>#N/A Requesting Data...4271715441</v>
        <stp/>
        <stp>BDP|9932706059588317485</stp>
        <tr r="K909" s="2"/>
      </tp>
      <tp t="s">
        <v>#N/A Requesting Data...3371820393</v>
        <stp/>
        <stp>BDP|5191594916455195344</stp>
        <tr r="O1317" s="2"/>
      </tp>
      <tp t="s">
        <v>#N/A Requesting Data...3483501155</v>
        <stp/>
        <stp>BDP|7296660750926747582</stp>
        <tr r="G1736" s="2"/>
      </tp>
      <tp t="s">
        <v>#N/A Requesting Data...2628653740</v>
        <stp/>
        <stp>BDP|8574519886302929009</stp>
        <tr r="G48" s="2"/>
      </tp>
      <tp t="s">
        <v>#N/A Requesting Data...3920516718</v>
        <stp/>
        <stp>BDP|5347827329849147129</stp>
        <tr r="Q2041" s="2"/>
      </tp>
      <tp t="s">
        <v>#N/A Requesting Data...2920467163</v>
        <stp/>
        <stp>BDP|3384202650851037287</stp>
        <tr r="P1899" s="2"/>
      </tp>
      <tp t="s">
        <v>#N/A Requesting Data...3801945357</v>
        <stp/>
        <stp>BDP|1946423139190190189</stp>
        <tr r="G642" s="2"/>
      </tp>
      <tp t="s">
        <v>#N/A Requesting Data...3597212036</v>
        <stp/>
        <stp>BDP|7666926370386912864</stp>
        <tr r="H667" s="2"/>
      </tp>
      <tp t="s">
        <v>#N/A Requesting Data...2952655017</v>
        <stp/>
        <stp>BDP|2769579508923486378</stp>
        <tr r="M916" s="2"/>
      </tp>
      <tp t="s">
        <v>#N/A Requesting Data...2800603691</v>
        <stp/>
        <stp>BDP|7220511876345644782</stp>
        <tr r="H1814" s="2"/>
      </tp>
      <tp t="b">
        <v>0</v>
        <stp/>
        <stp>BDS|5910967886351575277</stp>
        <tr r="I1415" s="2"/>
      </tp>
      <tp t="s">
        <v>#N/A Requesting Data...3749852892</v>
        <stp/>
        <stp>BDP|1284069566074292481</stp>
        <tr r="F1571" s="2"/>
      </tp>
      <tp t="s">
        <v>#N/A Requesting Data...3391773042</v>
        <stp/>
        <stp>BDP|8986911655661272271</stp>
        <tr r="K828" s="2"/>
      </tp>
      <tp t="s">
        <v>#N/A Requesting Data...3462820001</v>
        <stp/>
        <stp>BDP|9261053963740999852</stp>
        <tr r="K1123" s="2"/>
      </tp>
      <tp t="s">
        <v>#N/A Requesting Data...2651906507</v>
        <stp/>
        <stp>BDP|3702958656308942056</stp>
        <tr r="D1118" s="2"/>
      </tp>
      <tp t="b">
        <v>0</v>
        <stp/>
        <stp>BDS|5685404241377737586</stp>
        <tr r="I29" s="2"/>
      </tp>
      <tp t="s">
        <v>#N/A Requesting Data...3085523829</v>
        <stp/>
        <stp>BDP|2906078100340363554</stp>
        <tr r="F1451" s="2"/>
      </tp>
      <tp t="s">
        <v>#N/A Requesting Data...4245966493</v>
        <stp/>
        <stp>BDP|5903691938135498240</stp>
        <tr r="S632" s="2"/>
      </tp>
      <tp t="s">
        <v>#N/A Requesting Data...3588698094</v>
        <stp/>
        <stp>BDP|6275277469982478707</stp>
        <tr r="K1165" s="2"/>
      </tp>
      <tp t="s">
        <v>#N/A Requesting Data...3720275348</v>
        <stp/>
        <stp>BDP|5299544418760248647</stp>
        <tr r="F2033" s="2"/>
      </tp>
      <tp t="s">
        <v>#N/A Requesting Data...2946669029</v>
        <stp/>
        <stp>BDP|1619113679833460325</stp>
        <tr r="S266" s="2"/>
      </tp>
      <tp t="s">
        <v>#N/A Requesting Data...2522481521</v>
        <stp/>
        <stp>BDP|4884540649660859252</stp>
        <tr r="G640" s="2"/>
      </tp>
      <tp t="s">
        <v>#N/A Requesting Data...3711778747</v>
        <stp/>
        <stp>BDP|4149469322465893059</stp>
        <tr r="S194" s="2"/>
      </tp>
      <tp t="s">
        <v>#N/A Requesting Data...3069910997</v>
        <stp/>
        <stp>BDP|4249992790033565069</stp>
        <tr r="P1661" s="2"/>
      </tp>
      <tp t="s">
        <v>#N/A Requesting Data...4134050561</v>
        <stp/>
        <stp>BDP|6938007001895758470</stp>
        <tr r="A1828" s="2"/>
      </tp>
      <tp t="b">
        <v>0</v>
        <stp/>
        <stp>BDS|9742518707523022890</stp>
        <tr r="I858" s="2"/>
      </tp>
      <tp t="s">
        <v>#N/A Requesting Data...3887243568</v>
        <stp/>
        <stp>BDP|3777489500571012172</stp>
        <tr r="P83" s="2"/>
      </tp>
      <tp t="s">
        <v>#N/A Requesting Data...3995801360</v>
        <stp/>
        <stp>BDP|2820200499348088691</stp>
        <tr r="E2127" s="2"/>
      </tp>
      <tp t="s">
        <v>#N/A Requesting Data...2938877980</v>
        <stp/>
        <stp>BDP|9872632514861568823</stp>
        <tr r="N770" s="2"/>
      </tp>
      <tp t="s">
        <v>#N/A Requesting Data...3167879130</v>
        <stp/>
        <stp>BDP|5676878999011954292</stp>
        <tr r="K263" s="2"/>
      </tp>
      <tp t="s">
        <v>#N/A Requesting Data...3278410255</v>
        <stp/>
        <stp>BDP|3895719771500667468</stp>
        <tr r="K914" s="2"/>
      </tp>
      <tp t="s">
        <v>#N/A Requesting Data...3020373410</v>
        <stp/>
        <stp>BDP|9128586991413195112</stp>
        <tr r="J899" s="2"/>
      </tp>
      <tp t="s">
        <v>#N/A Requesting Data...3336733740</v>
        <stp/>
        <stp>BDP|3407062859976268716</stp>
        <tr r="N1175" s="2"/>
      </tp>
      <tp t="s">
        <v>#N/A Requesting Data...2948265960</v>
        <stp/>
        <stp>BDP|5815263654186288300</stp>
        <tr r="R32" s="2"/>
      </tp>
      <tp t="s">
        <v>#N/A Requesting Data...3812126144</v>
        <stp/>
        <stp>BDP|2567737973640543588</stp>
        <tr r="D432" s="2"/>
      </tp>
      <tp t="s">
        <v>#N/A Requesting Data...3862009597</v>
        <stp/>
        <stp>BDP|4990345792768758105</stp>
        <tr r="N14" s="2"/>
      </tp>
      <tp t="s">
        <v>#N/A Requesting Data...4244807387</v>
        <stp/>
        <stp>BDP|4068519077598924972</stp>
        <tr r="O208" s="2"/>
      </tp>
      <tp t="b">
        <v>0</v>
        <stp/>
        <stp>BDS|9650257325767750999</stp>
        <tr r="I206" s="2"/>
      </tp>
      <tp t="s">
        <v>#N/A Requesting Data...3490419726</v>
        <stp/>
        <stp>BDP|7966470216161744479</stp>
        <tr r="M1443" s="2"/>
      </tp>
      <tp t="s">
        <v>#N/A Requesting Data...3279166150</v>
        <stp/>
        <stp>BDP|5319028507395855765</stp>
        <tr r="S584" s="2"/>
      </tp>
      <tp t="s">
        <v>#N/A Requesting Data...3118053672</v>
        <stp/>
        <stp>BDP|6370180320831440371</stp>
        <tr r="S1256" s="2"/>
      </tp>
      <tp t="s">
        <v>#N/A Requesting Data...4161070463</v>
        <stp/>
        <stp>BDP|9108194256739180371</stp>
        <tr r="T1960" s="2"/>
      </tp>
      <tp t="s">
        <v>#N/A Requesting Data...2868058298</v>
        <stp/>
        <stp>BDP|2773718429913734308</stp>
        <tr r="P1001" s="2"/>
      </tp>
      <tp t="s">
        <v>#N/A Requesting Data...2896762520</v>
        <stp/>
        <stp>BDP|1639518716157943503</stp>
        <tr r="N165" s="2"/>
      </tp>
      <tp t="s">
        <v>#N/A Requesting Data...2749714046</v>
        <stp/>
        <stp>BDP|1982431033889742868</stp>
        <tr r="R95" s="2"/>
      </tp>
      <tp t="s">
        <v>#N/A Requesting Data...2731562353</v>
        <stp/>
        <stp>BDP|8567828659110474224</stp>
        <tr r="S1112" s="2"/>
      </tp>
      <tp t="s">
        <v>#N/A Requesting Data...3917322138</v>
        <stp/>
        <stp>BDP|1117039881087306984</stp>
        <tr r="C1319" s="2"/>
      </tp>
      <tp t="s">
        <v>#N/A Requesting Data...3898685526</v>
        <stp/>
        <stp>BDP|4687784947085915581</stp>
        <tr r="Q1213" s="2"/>
      </tp>
      <tp t="s">
        <v>#N/A Requesting Data...3803434148</v>
        <stp/>
        <stp>BDP|6766434759880035055</stp>
        <tr r="R590" s="2"/>
      </tp>
      <tp t="s">
        <v>#N/A Requesting Data...2695712528</v>
        <stp/>
        <stp>BDP|1024391913577383312</stp>
        <tr r="J2180" s="2"/>
      </tp>
      <tp t="s">
        <v>#N/A Requesting Data...4269210204</v>
        <stp/>
        <stp>BDP|4904644623406284147</stp>
        <tr r="Q1799" s="2"/>
      </tp>
      <tp t="s">
        <v>#N/A Requesting Data...2629037143</v>
        <stp/>
        <stp>BDP|1608252179795337619</stp>
        <tr r="M943" s="2"/>
      </tp>
      <tp t="s">
        <v>#N/A Requesting Data...3477806756</v>
        <stp/>
        <stp>BDP|1304476967991874537</stp>
        <tr r="K2353" s="2"/>
      </tp>
      <tp t="s">
        <v>#N/A Requesting Data...3135338485</v>
        <stp/>
        <stp>BDP|2868412431556864488</stp>
        <tr r="T342" s="2"/>
      </tp>
      <tp t="s">
        <v>#N/A Requesting Data...3142723596</v>
        <stp/>
        <stp>BDP|1608208489119535525</stp>
        <tr r="A1211" s="2"/>
      </tp>
      <tp t="s">
        <v>#N/A Requesting Data...2885404073</v>
        <stp/>
        <stp>BDP|9313350699646001279</stp>
        <tr r="J2261" s="2"/>
      </tp>
      <tp t="s">
        <v>#N/A Requesting Data...2993810762</v>
        <stp/>
        <stp>BDP|6625728206010254681</stp>
        <tr r="Q1296" s="2"/>
      </tp>
      <tp t="s">
        <v>#N/A Requesting Data...2897055189</v>
        <stp/>
        <stp>BDP|5881928746829758633</stp>
        <tr r="S418" s="2"/>
      </tp>
      <tp t="s">
        <v>#N/A Requesting Data...4027268082</v>
        <stp/>
        <stp>BDP|8842075853213340979</stp>
        <tr r="E2519" s="2"/>
      </tp>
      <tp t="s">
        <v>#N/A Requesting Data...4133058301</v>
        <stp/>
        <stp>BDP|7882956044948870591</stp>
        <tr r="P1720" s="2"/>
      </tp>
      <tp t="s">
        <v>#N/A Requesting Data...3577481435</v>
        <stp/>
        <stp>BDP|4816120304530541231</stp>
        <tr r="K1107" s="2"/>
      </tp>
      <tp t="s">
        <v>#N/A Requesting Data...3191538499</v>
        <stp/>
        <stp>BDP|5138521836512820654</stp>
        <tr r="P1160" s="2"/>
      </tp>
      <tp t="s">
        <v>#N/A Requesting Data...3214275800</v>
        <stp/>
        <stp>BDP|7418766928000713557</stp>
        <tr r="O488" s="2"/>
      </tp>
      <tp t="s">
        <v>#N/A Requesting Data...3203762321</v>
        <stp/>
        <stp>BDP|3987649717744647743</stp>
        <tr r="P414" s="2"/>
      </tp>
      <tp t="b">
        <v>0</v>
        <stp/>
        <stp>BDS|9285709496197926750</stp>
        <tr r="I1704" s="2"/>
      </tp>
      <tp t="s">
        <v>#N/A Requesting Data...4233252625</v>
        <stp/>
        <stp>BDP|9578652363457351985</stp>
        <tr r="J992" s="2"/>
      </tp>
      <tp t="s">
        <v>#N/A Requesting Data...3769066220</v>
        <stp/>
        <stp>BDP|2907479952432558618</stp>
        <tr r="T931" s="2"/>
      </tp>
      <tp t="s">
        <v>#N/A Requesting Data...3234855885</v>
        <stp/>
        <stp>BDP|3374105260297828432</stp>
        <tr r="S829" s="2"/>
      </tp>
      <tp t="s">
        <v>#N/A Requesting Data...3630268034</v>
        <stp/>
        <stp>BDP|9841546633419231155</stp>
        <tr r="T910" s="2"/>
      </tp>
      <tp t="s">
        <v>#N/A Requesting Data...3242200500</v>
        <stp/>
        <stp>BDP|6876602395836646839</stp>
        <tr r="O1657" s="2"/>
      </tp>
      <tp t="s">
        <v>#N/A Requesting Data...4234206997</v>
        <stp/>
        <stp>BDP|2658527370586501197</stp>
        <tr r="K824" s="2"/>
      </tp>
      <tp t="s">
        <v>#N/A Requesting Data...4058617131</v>
        <stp/>
        <stp>BDP|5560937695311855337</stp>
        <tr r="N189" s="2"/>
      </tp>
      <tp t="s">
        <v>#N/A Requesting Data...4056258163</v>
        <stp/>
        <stp>BDP|9533676968829354718</stp>
        <tr r="J2086" s="2"/>
      </tp>
      <tp t="s">
        <v>#N/A Requesting Data...4014912689</v>
        <stp/>
        <stp>BDP|9948873093058777720</stp>
        <tr r="D937" s="2"/>
      </tp>
      <tp t="s">
        <v>#N/A Requesting Data...2747404900</v>
        <stp/>
        <stp>BDP|3215436673716246187</stp>
        <tr r="O1545" s="2"/>
      </tp>
      <tp t="b">
        <v>0</v>
        <stp/>
        <stp>BDS|5640841295473855074</stp>
        <tr r="I1157" s="2"/>
      </tp>
      <tp t="s">
        <v>#N/A Requesting Data...3207548154</v>
        <stp/>
        <stp>BDP|1219403657655838254</stp>
        <tr r="H27" s="2"/>
      </tp>
      <tp t="s">
        <v>#N/A Requesting Data...4114016854</v>
        <stp/>
        <stp>BDP|1589031353910858356</stp>
        <tr r="G2429" s="2"/>
      </tp>
      <tp t="s">
        <v>#N/A Requesting Data...2951554019</v>
        <stp/>
        <stp>BDP|5673516424133307683</stp>
        <tr r="J116" s="2"/>
      </tp>
      <tp t="s">
        <v>#N/A Requesting Data...2886541885</v>
        <stp/>
        <stp>BDP|1072009872319893827</stp>
        <tr r="R1820" s="2"/>
      </tp>
      <tp t="s">
        <v>#N/A Requesting Data...2843457411</v>
        <stp/>
        <stp>BDP|8957481677429907572</stp>
        <tr r="Q1377" s="2"/>
      </tp>
      <tp t="b">
        <v>0</v>
        <stp/>
        <stp>BDS|8071673514880397884</stp>
        <tr r="I924" s="2"/>
      </tp>
      <tp t="s">
        <v>#N/A Requesting Data...2905120268</v>
        <stp/>
        <stp>BDP|9403030308808656618</stp>
        <tr r="O1413" s="2"/>
      </tp>
      <tp t="s">
        <v>#N/A Requesting Data...3235797783</v>
        <stp/>
        <stp>BDP|5659990606302318922</stp>
        <tr r="D1351" s="2"/>
      </tp>
      <tp t="b">
        <v>0</v>
        <stp/>
        <stp>BDS|3829332861690255105</stp>
        <tr r="I2350" s="2"/>
      </tp>
      <tp t="s">
        <v>#N/A Requesting Data...4254500051</v>
        <stp/>
        <stp>BDP|6240621910653162590</stp>
        <tr r="Q718" s="2"/>
      </tp>
      <tp t="s">
        <v>#N/A Requesting Data...3164262583</v>
        <stp/>
        <stp>BDP|3452335883546477987</stp>
        <tr r="E870" s="2"/>
      </tp>
      <tp t="s">
        <v>#N/A Requesting Data...3710340429</v>
        <stp/>
        <stp>BDP|7813643704762598459</stp>
        <tr r="F1956" s="2"/>
      </tp>
      <tp t="s">
        <v>#N/A Requesting Data...3951524425</v>
        <stp/>
        <stp>BDP|3047516336281718385</stp>
        <tr r="E1510" s="2"/>
      </tp>
      <tp t="s">
        <v>#N/A Requesting Data...4136177300</v>
        <stp/>
        <stp>BDP|4926472976385762571</stp>
        <tr r="O1945" s="2"/>
      </tp>
      <tp t="s">
        <v>#N/A Requesting Data...3977150168</v>
        <stp/>
        <stp>BDP|5547873992032808103</stp>
        <tr r="M880" s="2"/>
      </tp>
      <tp t="s">
        <v>#N/A Requesting Data...2854102764</v>
        <stp/>
        <stp>BDP|7828215192588707346</stp>
        <tr r="E2331" s="2"/>
      </tp>
      <tp t="s">
        <v>#N/A Requesting Data...2716777976</v>
        <stp/>
        <stp>BDP|9350480511453737856</stp>
        <tr r="D2363" s="2"/>
      </tp>
      <tp t="b">
        <v>0</v>
        <stp/>
        <stp>BDS|9657336832988786685</stp>
        <tr r="I1084" s="2"/>
      </tp>
      <tp t="s">
        <v>#N/A Requesting Data...3073877586</v>
        <stp/>
        <stp>BDP|4619685653477542700</stp>
        <tr r="R578" s="2"/>
      </tp>
      <tp t="s">
        <v>#N/A Requesting Data...3806236538</v>
        <stp/>
        <stp>BDP|9711444999037031422</stp>
        <tr r="E1661" s="2"/>
      </tp>
      <tp t="s">
        <v>#N/A Requesting Data...4211379641</v>
        <stp/>
        <stp>BDP|4856154336043154223</stp>
        <tr r="J722" s="2"/>
      </tp>
      <tp t="s">
        <v>#N/A Requesting Data...4091206346</v>
        <stp/>
        <stp>BDP|6102514455277997648</stp>
        <tr r="P1287" s="2"/>
      </tp>
      <tp t="s">
        <v>#N/A Requesting Data...2919683861</v>
        <stp/>
        <stp>BDP|5684472977420608189</stp>
        <tr r="P1091" s="2"/>
      </tp>
      <tp t="b">
        <v>0</v>
        <stp/>
        <stp>BDS|6697012777957046182</stp>
        <tr r="I232" s="2"/>
      </tp>
      <tp t="s">
        <v>#N/A Requesting Data...3004199309</v>
        <stp/>
        <stp>BDP|5724510761568679997</stp>
        <tr r="F422" s="2"/>
      </tp>
      <tp t="s">
        <v>#N/A Requesting Data...3904091463</v>
        <stp/>
        <stp>BDP|4132261238776169464</stp>
        <tr r="J1629" s="2"/>
      </tp>
      <tp t="s">
        <v>#N/A Requesting Data...4033905191</v>
        <stp/>
        <stp>BDP|2631276273606866623</stp>
        <tr r="H1191" s="2"/>
      </tp>
      <tp t="s">
        <v>#N/A Requesting Data...3623011535</v>
        <stp/>
        <stp>BDP|8551280812884586823</stp>
        <tr r="K1113" s="2"/>
      </tp>
      <tp t="b">
        <v>0</v>
        <stp/>
        <stp>BDS|9871324930106378810</stp>
        <tr r="I631" s="2"/>
      </tp>
      <tp t="s">
        <v>#N/A Requesting Data...3670424406</v>
        <stp/>
        <stp>BDP|6505067473525132397</stp>
        <tr r="P886" s="2"/>
      </tp>
      <tp t="s">
        <v>#N/A Requesting Data...3435147549</v>
        <stp/>
        <stp>BDP|9944458809108421299</stp>
        <tr r="P228" s="2"/>
      </tp>
      <tp t="s">
        <v>#N/A Requesting Data...4162655458</v>
        <stp/>
        <stp>BDP|6481249935613996348</stp>
        <tr r="R180" s="2"/>
      </tp>
      <tp t="s">
        <v>#N/A Requesting Data...3799101607</v>
        <stp/>
        <stp>BDP|8568181945553930988</stp>
        <tr r="Q1461" s="2"/>
      </tp>
      <tp t="s">
        <v>#N/A Requesting Data...3479861932</v>
        <stp/>
        <stp>BDP|3913541245902954785</stp>
        <tr r="D383" s="2"/>
      </tp>
      <tp t="s">
        <v>#N/A Requesting Data...3785119725</v>
        <stp/>
        <stp>BDP|4363156975531359499</stp>
        <tr r="C1636" s="2"/>
      </tp>
      <tp t="s">
        <v>#N/A Requesting Data...3259086985</v>
        <stp/>
        <stp>BDP|9257887244143723108</stp>
        <tr r="O2347" s="2"/>
      </tp>
      <tp t="s">
        <v>#N/A Requesting Data...3249423995</v>
        <stp/>
        <stp>BDP|4478385185000935898</stp>
        <tr r="S920" s="2"/>
      </tp>
      <tp t="s">
        <v>#N/A Requesting Data...2973735123</v>
        <stp/>
        <stp>BDP|8368378182524605092</stp>
        <tr r="G1313" s="2"/>
      </tp>
      <tp t="b">
        <v>0</v>
        <stp/>
        <stp>BDS|1777119988256245952</stp>
        <tr r="I1998" s="2"/>
      </tp>
      <tp t="b">
        <v>0</v>
        <stp/>
        <stp>BDS|5241601046268988845</stp>
        <tr r="I796" s="2"/>
      </tp>
      <tp t="s">
        <v>#N/A Requesting Data...4171948844</v>
        <stp/>
        <stp>BDP|4867263910978042871</stp>
        <tr r="N2504" s="2"/>
      </tp>
      <tp t="s">
        <v>#N/A Requesting Data...3539367883</v>
        <stp/>
        <stp>BDP|9471633685194898434</stp>
        <tr r="K2443" s="2"/>
      </tp>
      <tp t="s">
        <v>#N/A Requesting Data...2806870271</v>
        <stp/>
        <stp>BDP|8241322821189880707</stp>
        <tr r="E1906" s="2"/>
      </tp>
      <tp t="s">
        <v>#N/A Requesting Data...2883494020</v>
        <stp/>
        <stp>BDP|9905918110241362724</stp>
        <tr r="N620" s="2"/>
      </tp>
      <tp t="s">
        <v>#N/A Requesting Data...3928139469</v>
        <stp/>
        <stp>BDP|7284131178516007004</stp>
        <tr r="O1127" s="2"/>
      </tp>
      <tp t="s">
        <v>#N/A Requesting Data...3327957942</v>
        <stp/>
        <stp>BDP|9785059321814832821</stp>
        <tr r="Q1743" s="2"/>
      </tp>
      <tp t="s">
        <v>#N/A Requesting Data...4179542425</v>
        <stp/>
        <stp>BDP|2625302711980626780</stp>
        <tr r="T1991" s="2"/>
      </tp>
      <tp t="s">
        <v>#N/A Requesting Data...3393852422</v>
        <stp/>
        <stp>BDP|1540658621381877303</stp>
        <tr r="K235" s="2"/>
      </tp>
      <tp t="s">
        <v>#N/A Requesting Data...3208653692</v>
        <stp/>
        <stp>BDP|3960328075585632513</stp>
        <tr r="A710" s="2"/>
      </tp>
      <tp t="s">
        <v>#N/A Requesting Data...2813638514</v>
        <stp/>
        <stp>BDP|4356269708461348076</stp>
        <tr r="C354" s="2"/>
      </tp>
      <tp t="s">
        <v>#N/A Requesting Data...3111585387</v>
        <stp/>
        <stp>BDP|6640573349874330421</stp>
        <tr r="O2369" s="2"/>
      </tp>
      <tp t="s">
        <v>#N/A Requesting Data...3175946749</v>
        <stp/>
        <stp>BDP|6841609964889084850</stp>
        <tr r="J556" s="2"/>
      </tp>
      <tp t="s">
        <v>#N/A Requesting Data...4274174166</v>
        <stp/>
        <stp>BDP|6926847297035293511</stp>
        <tr r="H1668" s="2"/>
      </tp>
      <tp t="s">
        <v>#N/A Requesting Data...3243625063</v>
        <stp/>
        <stp>BDP|1050753950943548796</stp>
        <tr r="M1520" s="2"/>
      </tp>
      <tp t="s">
        <v>#N/A Requesting Data...4175080891</v>
        <stp/>
        <stp>BDP|2977925691877123225</stp>
        <tr r="M756" s="2"/>
      </tp>
      <tp t="s">
        <v>#N/A Requesting Data...3906121019</v>
        <stp/>
        <stp>BDP|4795234345542055780</stp>
        <tr r="A1939" s="2"/>
      </tp>
      <tp t="s">
        <v>#N/A Requesting Data...3902616943</v>
        <stp/>
        <stp>BDP|9833162174350465879</stp>
        <tr r="E1449" s="2"/>
      </tp>
      <tp t="s">
        <v>#N/A Requesting Data...2920838929</v>
        <stp/>
        <stp>BDP|2884833846811361878</stp>
        <tr r="K2123" s="2"/>
      </tp>
      <tp t="s">
        <v>#N/A Requesting Data...3872809730</v>
        <stp/>
        <stp>BDP|4978079073446662221</stp>
        <tr r="N1470" s="2"/>
      </tp>
      <tp t="s">
        <v>#N/A Requesting Data...2873280187</v>
        <stp/>
        <stp>BDP|4237612310926241280</stp>
        <tr r="H2120" s="2"/>
      </tp>
      <tp t="s">
        <v>#N/A Requesting Data...3579221273</v>
        <stp/>
        <stp>BDP|6150445020900873742</stp>
        <tr r="C2418" s="2"/>
      </tp>
      <tp t="s">
        <v>#N/A Requesting Data...4169436891</v>
        <stp/>
        <stp>BDP|2695246954674967663</stp>
        <tr r="S1615" s="2"/>
      </tp>
      <tp t="s">
        <v>#N/A Requesting Data...3423729601</v>
        <stp/>
        <stp>BDP|5776868401178828210</stp>
        <tr r="J2170" s="2"/>
      </tp>
      <tp t="s">
        <v>#N/A Requesting Data...4069076927</v>
        <stp/>
        <stp>BDP|1115981156192286845</stp>
        <tr r="C1596" s="2"/>
      </tp>
      <tp t="s">
        <v>#N/A Requesting Data...3070265356</v>
        <stp/>
        <stp>BDP|8926667392091599113</stp>
        <tr r="Q811" s="2"/>
      </tp>
      <tp t="s">
        <v>#N/A Requesting Data...3345466338</v>
        <stp/>
        <stp>BDP|7944645534803001606</stp>
        <tr r="G1768" s="2"/>
      </tp>
      <tp t="s">
        <v>#N/A Requesting Data...3325561902</v>
        <stp/>
        <stp>BDP|9019792872268377619</stp>
        <tr r="R2367" s="2"/>
      </tp>
      <tp t="s">
        <v>#N/A Requesting Data...3214625418</v>
        <stp/>
        <stp>BDP|9836771635439303309</stp>
        <tr r="S1337" s="2"/>
      </tp>
      <tp t="s">
        <v>#N/A Requesting Data...2966567562</v>
        <stp/>
        <stp>BDP|5777448019250173725</stp>
        <tr r="T2270" s="2"/>
      </tp>
      <tp t="s">
        <v>#N/A Requesting Data...3485494590</v>
        <stp/>
        <stp>BDP|4623675931763981507</stp>
        <tr r="Q1288" s="2"/>
      </tp>
      <tp t="s">
        <v>#N/A Requesting Data...3663377440</v>
        <stp/>
        <stp>BDP|5898241267797789158</stp>
        <tr r="S2314" s="2"/>
      </tp>
      <tp t="s">
        <v>#N/A Requesting Data...3604237778</v>
        <stp/>
        <stp>BDP|3723708190003852961</stp>
        <tr r="Q297" s="2"/>
      </tp>
      <tp t="s">
        <v>#N/A Requesting Data...3311114529</v>
        <stp/>
        <stp>BDP|7386347748565165272</stp>
        <tr r="F1244" s="2"/>
      </tp>
      <tp t="s">
        <v>#N/A Requesting Data...3684868497</v>
        <stp/>
        <stp>BDP|9990920491996491877</stp>
        <tr r="F1428" s="2"/>
      </tp>
      <tp t="s">
        <v>#N/A Requesting Data...3585157586</v>
        <stp/>
        <stp>BDP|7442593104671899486</stp>
        <tr r="M1946" s="2"/>
      </tp>
      <tp t="s">
        <v>#N/A Requesting Data...4005808338</v>
        <stp/>
        <stp>BDP|7637829977666367994</stp>
        <tr r="A2222" s="2"/>
      </tp>
      <tp t="s">
        <v>#N/A Requesting Data...2916140727</v>
        <stp/>
        <stp>BDP|2160231109462773555</stp>
        <tr r="F83" s="2"/>
      </tp>
      <tp t="s">
        <v>#N/A Requesting Data...3713256548</v>
        <stp/>
        <stp>BDP|6803490147072910360</stp>
        <tr r="A1290" s="2"/>
      </tp>
      <tp t="s">
        <v>#N/A Requesting Data...4243248267</v>
        <stp/>
        <stp>BDP|7545251210513990008</stp>
        <tr r="J1611" s="2"/>
      </tp>
      <tp t="s">
        <v>#N/A Requesting Data...2954521602</v>
        <stp/>
        <stp>BDP|4397410199316135838</stp>
        <tr r="A984" s="2"/>
      </tp>
      <tp t="s">
        <v>#N/A Requesting Data...3000420436</v>
        <stp/>
        <stp>BDP|6767684670692407225</stp>
        <tr r="J83" s="2"/>
      </tp>
      <tp t="s">
        <v>#N/A Requesting Data...2963387016</v>
        <stp/>
        <stp>BDP|9811046747239410364</stp>
        <tr r="N1103" s="2"/>
      </tp>
      <tp t="s">
        <v>#N/A Requesting Data...3387850564</v>
        <stp/>
        <stp>BDP|3972418980858928085</stp>
        <tr r="C350" s="2"/>
      </tp>
      <tp t="s">
        <v>#N/A Requesting Data...3405495491</v>
        <stp/>
        <stp>BDP|9214804982629128781</stp>
        <tr r="O2531" s="2"/>
      </tp>
      <tp t="s">
        <v>#N/A Requesting Data...4023472545</v>
        <stp/>
        <stp>BDP|5938417156922488135</stp>
        <tr r="C2083" s="2"/>
      </tp>
      <tp t="b">
        <v>0</v>
        <stp/>
        <stp>BDS|4229495034760450426</stp>
        <tr r="I617" s="2"/>
      </tp>
      <tp t="s">
        <v>#N/A Requesting Data...3135401771</v>
        <stp/>
        <stp>BDP|2218188246025583501</stp>
        <tr r="S217" s="2"/>
      </tp>
      <tp t="s">
        <v>#N/A Requesting Data...3683823469</v>
        <stp/>
        <stp>BDP|3592770321154393592</stp>
        <tr r="M1432" s="2"/>
      </tp>
      <tp t="s">
        <v>#N/A Requesting Data...2957418268</v>
        <stp/>
        <stp>BDP|9487185892987627115</stp>
        <tr r="A1996" s="2"/>
      </tp>
      <tp t="s">
        <v>#N/A Requesting Data...2907348274</v>
        <stp/>
        <stp>BDP|1657364633276867026</stp>
        <tr r="T2317" s="2"/>
      </tp>
      <tp t="s">
        <v>#N/A Requesting Data...3257216869</v>
        <stp/>
        <stp>BDP|2949364914081413662</stp>
        <tr r="C1305" s="2"/>
      </tp>
      <tp t="s">
        <v>#N/A Requesting Data...3769812468</v>
        <stp/>
        <stp>BDP|3298008958095323400</stp>
        <tr r="D118" s="2"/>
      </tp>
      <tp t="s">
        <v>#N/A Requesting Data...3960924423</v>
        <stp/>
        <stp>BDP|5953721720500600743</stp>
        <tr r="N390" s="2"/>
      </tp>
      <tp t="s">
        <v>#N/A Requesting Data...4148451086</v>
        <stp/>
        <stp>BDP|2640402431445727792</stp>
        <tr r="N1252" s="2"/>
      </tp>
      <tp t="s">
        <v>#N/A Requesting Data...3670446113</v>
        <stp/>
        <stp>BDP|1874359712877147370</stp>
        <tr r="G1972" s="2"/>
      </tp>
      <tp t="s">
        <v>#N/A Requesting Data...3626750188</v>
        <stp/>
        <stp>BDP|9888362798097605398</stp>
        <tr r="O1768" s="2"/>
      </tp>
      <tp t="s">
        <v>#N/A Requesting Data...3428668986</v>
        <stp/>
        <stp>BDP|6314641424371979436</stp>
        <tr r="O1363" s="2"/>
      </tp>
      <tp t="s">
        <v>#N/A Requesting Data...3000603108</v>
        <stp/>
        <stp>BDP|4472220172222938444</stp>
        <tr r="D2392" s="2"/>
      </tp>
      <tp t="s">
        <v>#N/A Requesting Data...3129901546</v>
        <stp/>
        <stp>BDP|9374174308369238671</stp>
        <tr r="S1132" s="2"/>
      </tp>
      <tp t="s">
        <v>#N/A Requesting Data...3543036820</v>
        <stp/>
        <stp>BDP|3876511705755173443</stp>
        <tr r="J975" s="2"/>
      </tp>
      <tp t="s">
        <v>#N/A Requesting Data...4238431933</v>
        <stp/>
        <stp>BDP|3996531213724025408</stp>
        <tr r="P2328" s="2"/>
      </tp>
      <tp t="s">
        <v>#N/A Requesting Data...3618462463</v>
        <stp/>
        <stp>BDP|6489464657030480081</stp>
        <tr r="F2093" s="2"/>
      </tp>
      <tp t="s">
        <v>#N/A Requesting Data...3031967481</v>
        <stp/>
        <stp>BDP|7889971408318670188</stp>
        <tr r="J844" s="2"/>
      </tp>
      <tp t="s">
        <v>#N/A Requesting Data...2977369079</v>
        <stp/>
        <stp>BDP|7207560424394007396</stp>
        <tr r="K1702" s="2"/>
      </tp>
      <tp t="s">
        <v>#N/A Requesting Data...3625909368</v>
        <stp/>
        <stp>BDP|8318069182361760698</stp>
        <tr r="R1821" s="2"/>
      </tp>
      <tp t="s">
        <v>#N/A Requesting Data...4154351156</v>
        <stp/>
        <stp>BDP|9512954644575909645</stp>
        <tr r="K799" s="2"/>
      </tp>
      <tp t="b">
        <v>0</v>
        <stp/>
        <stp>BDS|2560113621581425784</stp>
        <tr r="I312" s="2"/>
      </tp>
      <tp t="s">
        <v>#N/A Requesting Data...3450442525</v>
        <stp/>
        <stp>BDP|5545343181320112981</stp>
        <tr r="J2464" s="2"/>
      </tp>
      <tp t="s">
        <v>#N/A Requesting Data...4291056737</v>
        <stp/>
        <stp>BDP|4170681072756023427</stp>
        <tr r="K342" s="2"/>
      </tp>
      <tp t="b">
        <v>0</v>
        <stp/>
        <stp>BDS|5054147281878857348</stp>
        <tr r="I259" s="2"/>
      </tp>
      <tp t="s">
        <v>#N/A Requesting Data...3281521513</v>
        <stp/>
        <stp>BDP|2713321315746924101</stp>
        <tr r="H2287" s="2"/>
      </tp>
      <tp t="s">
        <v>#N/A Requesting Data...3031745107</v>
        <stp/>
        <stp>BDP|3141037668565010733</stp>
        <tr r="M986" s="2"/>
      </tp>
      <tp t="s">
        <v>#N/A Requesting Data...4259938717</v>
        <stp/>
        <stp>BDP|7463272510777212486</stp>
        <tr r="D260" s="2"/>
      </tp>
      <tp t="s">
        <v>#N/A Requesting Data...3076918777</v>
        <stp/>
        <stp>BDP|3557391408560848751</stp>
        <tr r="H80" s="2"/>
      </tp>
      <tp t="s">
        <v>#N/A Requesting Data...3914491646</v>
        <stp/>
        <stp>BDP|3018196966066178574</stp>
        <tr r="R1513" s="2"/>
      </tp>
      <tp t="s">
        <v>#N/A Requesting Data...3335721802</v>
        <stp/>
        <stp>BDP|4402042859037911197</stp>
        <tr r="T1031" s="2"/>
      </tp>
      <tp t="s">
        <v>#N/A Requesting Data...3086489607</v>
        <stp/>
        <stp>BDP|1973186628427717273</stp>
        <tr r="T1777" s="2"/>
      </tp>
      <tp t="s">
        <v>#N/A Requesting Data...3287700567</v>
        <stp/>
        <stp>BDP|5813875707293017910</stp>
        <tr r="J876" s="2"/>
      </tp>
      <tp t="s">
        <v>#N/A Requesting Data...3214478295</v>
        <stp/>
        <stp>BDP|7617699706147990196</stp>
        <tr r="H714" s="2"/>
      </tp>
      <tp t="s">
        <v>#N/A Requesting Data...3630520615</v>
        <stp/>
        <stp>BDP|7630592047703210231</stp>
        <tr r="P841" s="2"/>
      </tp>
      <tp t="s">
        <v>#N/A Requesting Data...3815704703</v>
        <stp/>
        <stp>BDP|4569681929444417394</stp>
        <tr r="Q1565" s="2"/>
      </tp>
      <tp t="b">
        <v>0</v>
        <stp/>
        <stp>BDS|6826135814245633403</stp>
        <tr r="I156" s="2"/>
      </tp>
      <tp t="s">
        <v>#N/A Requesting Data...3137256618</v>
        <stp/>
        <stp>BDP|5903816825078066046</stp>
        <tr r="E2191" s="2"/>
      </tp>
      <tp t="s">
        <v>#N/A Requesting Data...3540821179</v>
        <stp/>
        <stp>BDP|4623847317549896330</stp>
        <tr r="H1882" s="2"/>
      </tp>
      <tp t="s">
        <v>#N/A Requesting Data...4111601397</v>
        <stp/>
        <stp>BDP|8999624757458130433</stp>
        <tr r="D1418" s="2"/>
      </tp>
      <tp t="s">
        <v>#N/A Requesting Data...3086563212</v>
        <stp/>
        <stp>BDP|4115098549723862470</stp>
        <tr r="N300" s="2"/>
      </tp>
      <tp t="s">
        <v>#N/A Requesting Data...3102889034</v>
        <stp/>
        <stp>BDP|7244900499321180147</stp>
        <tr r="S1453" s="2"/>
      </tp>
      <tp t="b">
        <v>0</v>
        <stp/>
        <stp>BDS|3945477215126307769</stp>
        <tr r="I1662" s="2"/>
      </tp>
      <tp t="s">
        <v>#N/A Requesting Data...3160995382</v>
        <stp/>
        <stp>BDP|5696377579395147371</stp>
        <tr r="R217" s="2"/>
      </tp>
      <tp t="s">
        <v>#N/A Requesting Data...4132017194</v>
        <stp/>
        <stp>BDP|5554980522289397026</stp>
        <tr r="S968" s="2"/>
      </tp>
      <tp t="s">
        <v>#N/A Requesting Data...3783787927</v>
        <stp/>
        <stp>BDP|8883634894659834991</stp>
        <tr r="E696" s="2"/>
      </tp>
      <tp t="s">
        <v>#N/A Requesting Data...3243663218</v>
        <stp/>
        <stp>BDP|1767318570136955411</stp>
        <tr r="J2492" s="2"/>
      </tp>
      <tp t="s">
        <v>#N/A Requesting Data...3712475516</v>
        <stp/>
        <stp>BDP|1011045573624991500</stp>
        <tr r="G502" s="2"/>
      </tp>
      <tp t="s">
        <v>#N/A Requesting Data...3313710203</v>
        <stp/>
        <stp>BDP|6677033078441423779</stp>
        <tr r="G198" s="2"/>
      </tp>
      <tp t="s">
        <v>#N/A Requesting Data...3162537197</v>
        <stp/>
        <stp>BDP|5464746191814728881</stp>
        <tr r="K448" s="2"/>
      </tp>
      <tp t="s">
        <v>#N/A Requesting Data...4227622630</v>
        <stp/>
        <stp>BDP|9339290696305783053</stp>
        <tr r="F1122" s="2"/>
      </tp>
      <tp t="s">
        <v>#N/A Requesting Data...3569595617</v>
        <stp/>
        <stp>BDP|3703528632041074395</stp>
        <tr r="C1585" s="2"/>
      </tp>
      <tp t="s">
        <v>#N/A Requesting Data...3476005514</v>
        <stp/>
        <stp>BDP|7295591070397789529</stp>
        <tr r="E1964" s="2"/>
      </tp>
      <tp t="s">
        <v>#N/A Requesting Data...3930585567</v>
        <stp/>
        <stp>BDP|6864415532821005751</stp>
        <tr r="P1769" s="2"/>
      </tp>
      <tp t="s">
        <v>#N/A Requesting Data...3052115222</v>
        <stp/>
        <stp>BDP|2814958999712923736</stp>
        <tr r="K960" s="2"/>
      </tp>
      <tp t="s">
        <v>#N/A Requesting Data...3381505205</v>
        <stp/>
        <stp>BDP|5408517459323075129</stp>
        <tr r="T1768" s="2"/>
      </tp>
      <tp t="s">
        <v>#N/A Requesting Data...4122761022</v>
        <stp/>
        <stp>BDP|2712585180109697171</stp>
        <tr r="G1853" s="2"/>
      </tp>
      <tp t="s">
        <v>#N/A Requesting Data...3421588538</v>
        <stp/>
        <stp>BDP|3425786358862945435</stp>
        <tr r="M1936" s="2"/>
      </tp>
      <tp t="s">
        <v>#N/A Requesting Data...4048939927</v>
        <stp/>
        <stp>BDP|3679084117886715307</stp>
        <tr r="D1909" s="2"/>
      </tp>
      <tp t="s">
        <v>#N/A Requesting Data...3991293369</v>
        <stp/>
        <stp>BDP|4802595176962963307</stp>
        <tr r="T197" s="2"/>
      </tp>
      <tp t="s">
        <v>#N/A Requesting Data...3160046685</v>
        <stp/>
        <stp>BDP|7878963120028985391</stp>
        <tr r="F1009" s="2"/>
      </tp>
      <tp t="s">
        <v>#N/A Requesting Data...3345868579</v>
        <stp/>
        <stp>BDP|8946020673988547034</stp>
        <tr r="M76" s="2"/>
      </tp>
      <tp t="s">
        <v>#N/A Requesting Data...4228612955</v>
        <stp/>
        <stp>BDP|6372630943976857556</stp>
        <tr r="A116" s="2"/>
      </tp>
      <tp t="s">
        <v>#N/A Requesting Data...3202624698</v>
        <stp/>
        <stp>BDP|9008808929552030672</stp>
        <tr r="G2040" s="2"/>
      </tp>
      <tp t="s">
        <v>#N/A Requesting Data...3063057945</v>
        <stp/>
        <stp>BDP|2696041175450985208</stp>
        <tr r="A748" s="2"/>
      </tp>
      <tp t="s">
        <v>#N/A Requesting Data...3098808488</v>
        <stp/>
        <stp>BDP|2748829823629152692</stp>
        <tr r="D619" s="2"/>
      </tp>
      <tp t="s">
        <v>#N/A Requesting Data...4096079073</v>
        <stp/>
        <stp>BDP|8024798514330171922</stp>
        <tr r="R1452" s="2"/>
      </tp>
      <tp t="s">
        <v>#N/A Requesting Data...3434718461</v>
        <stp/>
        <stp>BDP|6270244821214153588</stp>
        <tr r="K2177" s="2"/>
      </tp>
      <tp t="s">
        <v>#N/A Requesting Data...4224145425</v>
        <stp/>
        <stp>BDP|1687194138404950002</stp>
        <tr r="G671" s="2"/>
      </tp>
      <tp t="s">
        <v>#N/A Requesting Data...3697034874</v>
        <stp/>
        <stp>BDP|1781582423164765552</stp>
        <tr r="C1375" s="2"/>
      </tp>
      <tp t="s">
        <v>#N/A Requesting Data...4125237569</v>
        <stp/>
        <stp>BDP|5224155438099709968</stp>
        <tr r="O1476" s="2"/>
      </tp>
      <tp t="s">
        <v>#N/A Requesting Data...3913083888</v>
        <stp/>
        <stp>BDP|5901248453505045006</stp>
        <tr r="G1384" s="2"/>
      </tp>
      <tp t="s">
        <v>#N/A Requesting Data...3112689650</v>
        <stp/>
        <stp>BDP|2021557236927930440</stp>
        <tr r="F726" s="2"/>
      </tp>
      <tp t="s">
        <v>#N/A Requesting Data...3557704657</v>
        <stp/>
        <stp>BDP|2073729588022535812</stp>
        <tr r="Q959" s="2"/>
      </tp>
      <tp t="s">
        <v>#N/A Requesting Data...4176420400</v>
        <stp/>
        <stp>BDP|5695000942134960231</stp>
        <tr r="O1725" s="2"/>
      </tp>
      <tp t="s">
        <v>#N/A Requesting Data...3506642098</v>
        <stp/>
        <stp>BDP|4578079578296171255</stp>
        <tr r="C2095" s="2"/>
      </tp>
      <tp t="s">
        <v>#N/A Requesting Data...4074103384</v>
        <stp/>
        <stp>BDP|6350497141252784326</stp>
        <tr r="M2" s="2"/>
      </tp>
      <tp t="s">
        <v>#N/A Requesting Data...3356420633</v>
        <stp/>
        <stp>BDP|6762270129412593325</stp>
        <tr r="D1012" s="2"/>
      </tp>
      <tp t="s">
        <v>#N/A Requesting Data...4074432430</v>
        <stp/>
        <stp>BDP|5646678519714310154</stp>
        <tr r="H209" s="2"/>
      </tp>
      <tp t="s">
        <v>#N/A Requesting Data...3227977252</v>
        <stp/>
        <stp>BDP|3809324502897239041</stp>
        <tr r="D702" s="2"/>
      </tp>
      <tp t="s">
        <v>#N/A Requesting Data...3720785290</v>
        <stp/>
        <stp>BDP|3740990045470230972</stp>
        <tr r="G1149" s="2"/>
      </tp>
      <tp t="s">
        <v>#N/A Requesting Data...3936214887</v>
        <stp/>
        <stp>BDP|1007016009716676007</stp>
        <tr r="E2065" s="2"/>
      </tp>
      <tp t="s">
        <v>#N/A Requesting Data...3637733209</v>
        <stp/>
        <stp>BDP|4005262965367467096</stp>
        <tr r="M2476" s="2"/>
      </tp>
      <tp t="s">
        <v>#N/A Requesting Data...3167406147</v>
        <stp/>
        <stp>BDP|2138947519904149939</stp>
        <tr r="F629" s="2"/>
      </tp>
      <tp t="s">
        <v>#N/A Requesting Data...3179722384</v>
        <stp/>
        <stp>BDP|8614394142818591064</stp>
        <tr r="D569" s="2"/>
      </tp>
      <tp t="s">
        <v>#N/A Requesting Data...3613043971</v>
        <stp/>
        <stp>BDP|6541476461101472294</stp>
        <tr r="M939" s="2"/>
      </tp>
      <tp t="s">
        <v>#N/A Requesting Data...3143512369</v>
        <stp/>
        <stp>BDP|9561182587257700036</stp>
        <tr r="H171" s="2"/>
      </tp>
      <tp t="s">
        <v>#N/A Requesting Data...4132592564</v>
        <stp/>
        <stp>BDP|5998874223968770043</stp>
        <tr r="E2437" s="2"/>
      </tp>
      <tp t="s">
        <v>#N/A Requesting Data...3303939734</v>
        <stp/>
        <stp>BDP|9372570190781225382</stp>
        <tr r="E1739" s="2"/>
      </tp>
      <tp t="s">
        <v>#N/A Requesting Data...3762175474</v>
        <stp/>
        <stp>BDP|4029247837177532584</stp>
        <tr r="R1560" s="2"/>
      </tp>
      <tp t="s">
        <v>#N/A Requesting Data...3688137588</v>
        <stp/>
        <stp>BDP|6429433179757648561</stp>
        <tr r="Q1289" s="2"/>
      </tp>
      <tp t="s">
        <v>#N/A Requesting Data...3589169369</v>
        <stp/>
        <stp>BDP|7676007778361736673</stp>
        <tr r="Q350" s="2"/>
      </tp>
      <tp t="s">
        <v>#N/A Requesting Data...3424918004</v>
        <stp/>
        <stp>BDP|8664910622902883634</stp>
        <tr r="D1734" s="2"/>
      </tp>
      <tp t="s">
        <v>#N/A Requesting Data...4194783850</v>
        <stp/>
        <stp>BDP|3154586613490260062</stp>
        <tr r="S1930" s="2"/>
      </tp>
      <tp t="s">
        <v>#N/A Requesting Data...3431648373</v>
        <stp/>
        <stp>BDP|5188695342548594812</stp>
        <tr r="T1802" s="2"/>
      </tp>
      <tp t="b">
        <v>0</v>
        <stp/>
        <stp>BDS|4953310449133723787</stp>
        <tr r="I2352" s="2"/>
      </tp>
      <tp t="s">
        <v>#N/A Requesting Data...3535266898</v>
        <stp/>
        <stp>BDP|4631945729240472811</stp>
        <tr r="R2506" s="2"/>
      </tp>
      <tp t="s">
        <v>#N/A Requesting Data...3233379976</v>
        <stp/>
        <stp>BDP|4531638791389185582</stp>
        <tr r="A2344" s="2"/>
      </tp>
      <tp t="s">
        <v>#N/A Requesting Data...3785518373</v>
        <stp/>
        <stp>BDP|7021884746505403946</stp>
        <tr r="D1129" s="2"/>
      </tp>
      <tp t="s">
        <v>#N/A Requesting Data...3844581009</v>
        <stp/>
        <stp>BDP|3239090714845499057</stp>
        <tr r="O440" s="2"/>
      </tp>
      <tp t="s">
        <v>#N/A Requesting Data...3355720076</v>
        <stp/>
        <stp>BDP|9345869679266133738</stp>
        <tr r="S467" s="2"/>
      </tp>
      <tp t="s">
        <v>#N/A Requesting Data...4089207180</v>
        <stp/>
        <stp>BDP|4023186922683615327</stp>
        <tr r="D1249" s="2"/>
      </tp>
      <tp t="s">
        <v>#N/A Requesting Data...3997172916</v>
        <stp/>
        <stp>BDP|2115324383079641785</stp>
        <tr r="C2154" s="2"/>
      </tp>
      <tp t="s">
        <v>#N/A Requesting Data...4196166703</v>
        <stp/>
        <stp>BDP|3959001991319270444</stp>
        <tr r="R2033" s="2"/>
      </tp>
      <tp t="s">
        <v>#N/A Requesting Data...3274183613</v>
        <stp/>
        <stp>BDP|4594541004274382286</stp>
        <tr r="R62" s="2"/>
      </tp>
      <tp t="b">
        <v>0</v>
        <stp/>
        <stp>BDS|4334957119072217931</stp>
        <tr r="I220" s="2"/>
      </tp>
      <tp t="s">
        <v>#N/A Requesting Data...3823067912</v>
        <stp/>
        <stp>BDP|4669524518985582274</stp>
        <tr r="S129" s="2"/>
      </tp>
      <tp t="b">
        <v>0</v>
        <stp/>
        <stp>BDS|5623301590221943911</stp>
        <tr r="I766" s="2"/>
      </tp>
      <tp t="s">
        <v>#N/A Requesting Data...4048236967</v>
        <stp/>
        <stp>BDP|3385320578335341548</stp>
        <tr r="F906" s="2"/>
      </tp>
      <tp t="s">
        <v>#N/A Requesting Data...3644752073</v>
        <stp/>
        <stp>BDP|8194280772743505909</stp>
        <tr r="N936" s="2"/>
      </tp>
      <tp t="s">
        <v>#N/A Requesting Data...3449991093</v>
        <stp/>
        <stp>BDP|2319080467843487066</stp>
        <tr r="P636" s="2"/>
      </tp>
      <tp t="s">
        <v>#N/A Requesting Data...3795482452</v>
        <stp/>
        <stp>BDP|1992835437118622559</stp>
        <tr r="O628" s="2"/>
      </tp>
      <tp t="s">
        <v>#N/A Requesting Data...4275128870</v>
        <stp/>
        <stp>BDP|6078146166452979454</stp>
        <tr r="M1576" s="2"/>
      </tp>
      <tp t="s">
        <v>#N/A Requesting Data...3833318220</v>
        <stp/>
        <stp>BDP|3867442515866782702</stp>
        <tr r="A1785" s="2"/>
      </tp>
      <tp t="s">
        <v>#N/A Requesting Data...4217084750</v>
        <stp/>
        <stp>BDP|5025357660041305683</stp>
        <tr r="Q1941" s="2"/>
      </tp>
      <tp t="s">
        <v>#N/A Requesting Data...3503187488</v>
        <stp/>
        <stp>BDP|9440736109470418941</stp>
        <tr r="R2379" s="2"/>
      </tp>
      <tp t="s">
        <v>#N/A Requesting Data...3904735567</v>
        <stp/>
        <stp>BDP|7593299864890120463</stp>
        <tr r="D1070" s="2"/>
      </tp>
      <tp t="s">
        <v>#N/A Requesting Data...3370464193</v>
        <stp/>
        <stp>BDP|3290590533520524227</stp>
        <tr r="T733" s="2"/>
      </tp>
      <tp t="s">
        <v>#N/A Requesting Data...4274786430</v>
        <stp/>
        <stp>BDP|4896406085486222900</stp>
        <tr r="F2529" s="2"/>
      </tp>
      <tp t="s">
        <v>#N/A Requesting Data...4214649308</v>
        <stp/>
        <stp>BDP|6588863295042853217</stp>
        <tr r="M2456" s="2"/>
      </tp>
      <tp t="s">
        <v>#N/A Requesting Data...4109244751</v>
        <stp/>
        <stp>BDP|1284861184626702087</stp>
        <tr r="O2012" s="2"/>
      </tp>
      <tp t="s">
        <v>#N/A Requesting Data...3591975337</v>
        <stp/>
        <stp>BDP|2186331284928103688</stp>
        <tr r="M1991" s="2"/>
      </tp>
      <tp t="s">
        <v>#N/A Requesting Data...3361481913</v>
        <stp/>
        <stp>BDP|1619250679464199744</stp>
        <tr r="M994" s="2"/>
      </tp>
      <tp t="s">
        <v>#N/A Requesting Data...3728333876</v>
        <stp/>
        <stp>BDP|9105513163619454488</stp>
        <tr r="S1279" s="2"/>
      </tp>
      <tp t="s">
        <v>#N/A Requesting Data...4099846167</v>
        <stp/>
        <stp>BDP|1508669130564862742</stp>
        <tr r="H2405" s="2"/>
      </tp>
      <tp t="s">
        <v>#N/A Requesting Data...4216913441</v>
        <stp/>
        <stp>BDP|6385130606420074090</stp>
        <tr r="M206" s="2"/>
      </tp>
      <tp t="s">
        <v>#N/A Requesting Data...3852004381</v>
        <stp/>
        <stp>BDP|6794495845195573411</stp>
        <tr r="F1161" s="2"/>
      </tp>
      <tp t="s">
        <v>#N/A Requesting Data...3549957426</v>
        <stp/>
        <stp>BDP|9945468794340656321</stp>
        <tr r="Q2413" s="2"/>
      </tp>
      <tp t="s">
        <v>#N/A Requesting Data...3915043539</v>
        <stp/>
        <stp>BDP|2867523611249554819</stp>
        <tr r="K2477" s="2"/>
      </tp>
      <tp t="s">
        <v>#N/A Requesting Data...3972495035</v>
        <stp/>
        <stp>BDP|1368285046415686544</stp>
        <tr r="S2480" s="2"/>
      </tp>
      <tp t="s">
        <v>#N/A Requesting Data...3285618004</v>
        <stp/>
        <stp>BDP|4701503925905510180</stp>
        <tr r="T1157" s="2"/>
      </tp>
      <tp t="s">
        <v>#N/A Requesting Data...3366777243</v>
        <stp/>
        <stp>BDP|6939458626563453410</stp>
        <tr r="P2135" s="2"/>
      </tp>
      <tp t="s">
        <v>#N/A Requesting Data...3841674782</v>
        <stp/>
        <stp>BDP|4743386623963217110</stp>
        <tr r="Q2475" s="2"/>
      </tp>
      <tp t="s">
        <v>#N/A Requesting Data...3846954185</v>
        <stp/>
        <stp>BDP|1801269135025715232</stp>
        <tr r="D1514" s="2"/>
      </tp>
      <tp t="s">
        <v>#N/A Requesting Data...4001876987</v>
        <stp/>
        <stp>BDP|6965034297008507078</stp>
        <tr r="R1672" s="2"/>
      </tp>
      <tp t="s">
        <v>#N/A Requesting Data...3914278212</v>
        <stp/>
        <stp>BDP|3178170749706280722</stp>
        <tr r="N352" s="2"/>
      </tp>
      <tp t="s">
        <v>#N/A Requesting Data...4047204168</v>
        <stp/>
        <stp>BDP|7270246738666749769</stp>
        <tr r="D62" s="2"/>
      </tp>
      <tp t="s">
        <v>#N/A Requesting Data...4254565049</v>
        <stp/>
        <stp>BDP|7083193896641705977</stp>
        <tr r="H2077" s="2"/>
      </tp>
      <tp t="s">
        <v>#N/A Requesting Data...4010862650</v>
        <stp/>
        <stp>BDP|6256418114033059785</stp>
        <tr r="J481" s="2"/>
      </tp>
      <tp t="s">
        <v>#N/A Requesting Data...3533590981</v>
        <stp/>
        <stp>BDP|4344021470980636482</stp>
        <tr r="F546" s="2"/>
      </tp>
      <tp t="s">
        <v>#N/A Requesting Data...4065431521</v>
        <stp/>
        <stp>BDP|1555763209883740227</stp>
        <tr r="H2228" s="2"/>
      </tp>
      <tp t="s">
        <v>#N/A Requesting Data...4057461061</v>
        <stp/>
        <stp>BDP|3789493027615193779</stp>
        <tr r="S1977" s="2"/>
      </tp>
      <tp t="s">
        <v>#N/A Requesting Data...3511535857</v>
        <stp/>
        <stp>BDP|6296550906132603684</stp>
        <tr r="F678" s="2"/>
      </tp>
      <tp t="s">
        <v>#N/A Requesting Data...4094952575</v>
        <stp/>
        <stp>BDP|6079072700348195990</stp>
        <tr r="S1773" s="2"/>
      </tp>
      <tp t="s">
        <v>#N/A Requesting Data...4271226832</v>
        <stp/>
        <stp>BDP|7341040045782551689</stp>
        <tr r="C2508" s="2"/>
      </tp>
      <tp t="s">
        <v>#N/A Requesting Data...3395238567</v>
        <stp/>
        <stp>BDP|2331946519048129508</stp>
        <tr r="R1462" s="2"/>
      </tp>
      <tp t="s">
        <v>#N/A Requesting Data...3840773182</v>
        <stp/>
        <stp>BDP|6449275359567785123</stp>
        <tr r="K124" s="2"/>
      </tp>
      <tp t="s">
        <v>#N/A Requesting Data...3819602460</v>
        <stp/>
        <stp>BDP|6792901565656529883</stp>
        <tr r="J337" s="2"/>
      </tp>
      <tp t="s">
        <v>#N/A Requesting Data...3911101366</v>
        <stp/>
        <stp>BDP|6810146226860651234</stp>
        <tr r="G1027" s="2"/>
      </tp>
      <tp t="s">
        <v>#N/A Requesting Data...4193801797</v>
        <stp/>
        <stp>BDP|5150116589963445820</stp>
        <tr r="F354" s="2"/>
      </tp>
      <tp t="s">
        <v>#N/A Requesting Data...3664862664</v>
        <stp/>
        <stp>BDP|5294595632415744112</stp>
        <tr r="S613" s="2"/>
      </tp>
      <tp t="s">
        <v>#N/A Requesting Data...3945477880</v>
        <stp/>
        <stp>BDP|2387277621730822524</stp>
        <tr r="A781" s="2"/>
      </tp>
      <tp t="s">
        <v>#N/A Requesting Data...4191511434</v>
        <stp/>
        <stp>BDP|7004267248751860798</stp>
        <tr r="Q1193" s="2"/>
      </tp>
      <tp t="s">
        <v>#N/A Requesting Data...3670145853</v>
        <stp/>
        <stp>BDP|7390772877776507692</stp>
        <tr r="D1746" s="2"/>
      </tp>
      <tp t="s">
        <v>#N/A Requesting Data...3775934580</v>
        <stp/>
        <stp>BDP|4658017658164553258</stp>
        <tr r="J1939" s="2"/>
      </tp>
      <tp t="s">
        <v>#N/A Requesting Data...4001008194</v>
        <stp/>
        <stp>BDP|7582531248135912488</stp>
        <tr r="C2229" s="2"/>
      </tp>
      <tp t="s">
        <v>#N/A Requesting Data...3346522018</v>
        <stp/>
        <stp>BDP|9397240797657976269</stp>
        <tr r="A607" s="2"/>
      </tp>
      <tp t="s">
        <v>#N/A Requesting Data...3802315391</v>
        <stp/>
        <stp>BDP|7479353410611751396</stp>
        <tr r="C639" s="2"/>
      </tp>
      <tp t="s">
        <v>#N/A Requesting Data...3418168607</v>
        <stp/>
        <stp>BDP|3472392902652406542</stp>
        <tr r="E2101" s="2"/>
      </tp>
      <tp t="s">
        <v>#N/A Requesting Data...3365864213</v>
        <stp/>
        <stp>BDP|5601650554374848506</stp>
        <tr r="S2397" s="2"/>
      </tp>
      <tp t="s">
        <v>#N/A Requesting Data...4252845471</v>
        <stp/>
        <stp>BDP|2524189054804251546</stp>
        <tr r="J1823" s="2"/>
      </tp>
      <tp t="s">
        <v>#N/A Requesting Data...3888707295</v>
        <stp/>
        <stp>BDP|2044781453526275167</stp>
        <tr r="M122" s="2"/>
      </tp>
      <tp t="s">
        <v>#N/A Requesting Data...3807055835</v>
        <stp/>
        <stp>BDP|6207122953574949153</stp>
        <tr r="C172" s="2"/>
      </tp>
      <tp t="s">
        <v>#N/A Requesting Data...3907782919</v>
        <stp/>
        <stp>BDP|7962888134772887921</stp>
        <tr r="S1577" s="2"/>
      </tp>
      <tp t="s">
        <v>#N/A Requesting Data...3675976426</v>
        <stp/>
        <stp>BDP|4259444485588968752</stp>
        <tr r="N728" s="2"/>
      </tp>
      <tp t="s">
        <v>#N/A Requesting Data...3569755805</v>
        <stp/>
        <stp>BDP|1878302713877282365</stp>
        <tr r="G2200" s="2"/>
      </tp>
      <tp t="s">
        <v>#N/A Requesting Data...4171696328</v>
        <stp/>
        <stp>BDP|9672897533295368007</stp>
        <tr r="H2402" s="2"/>
      </tp>
      <tp t="s">
        <v>#N/A Requesting Data...4036301619</v>
        <stp/>
        <stp>BDP|2366309489477392961</stp>
        <tr r="F630" s="2"/>
      </tp>
      <tp t="s">
        <v>#N/A Requesting Data...3432947093</v>
        <stp/>
        <stp>BDP|4962663026601122672</stp>
        <tr r="D1607" s="2"/>
      </tp>
      <tp t="s">
        <v>#N/A Requesting Data...3975356534</v>
        <stp/>
        <stp>BDP|8718301909288008411</stp>
        <tr r="H1192" s="2"/>
      </tp>
      <tp t="s">
        <v>#N/A Requesting Data...4088456592</v>
        <stp/>
        <stp>BDP|9545321474733891948</stp>
        <tr r="M1073" s="2"/>
      </tp>
      <tp t="s">
        <v>#N/A Requesting Data...3360255381</v>
        <stp/>
        <stp>BDP|2463935286147932373</stp>
        <tr r="P2514" s="2"/>
      </tp>
      <tp t="s">
        <v>#N/A Requesting Data...3874680967</v>
        <stp/>
        <stp>BDP|3390221730854745196</stp>
        <tr r="M695" s="2"/>
      </tp>
      <tp t="s">
        <v>#N/A Requesting Data...4209863970</v>
        <stp/>
        <stp>BDP|2217188066176533469</stp>
        <tr r="J2365" s="2"/>
      </tp>
      <tp t="s">
        <v>#N/A Requesting Data...3733965329</v>
        <stp/>
        <stp>BDP|5264786891778348471</stp>
        <tr r="E516" s="2"/>
      </tp>
      <tp t="s">
        <v>#N/A Requesting Data...3885963669</v>
        <stp/>
        <stp>BDP|2525313039603628647</stp>
        <tr r="Q150" s="2"/>
      </tp>
      <tp t="b">
        <v>0</v>
        <stp/>
        <stp>BDS|9049522578099748523</stp>
        <tr r="I1360" s="2"/>
      </tp>
      <tp t="s">
        <v>#N/A Requesting Data...4131021192</v>
        <stp/>
        <stp>BDP|1729724375651771785</stp>
        <tr r="R1974" s="2"/>
      </tp>
      <tp t="s">
        <v>#N/A Requesting Data...4106894351</v>
        <stp/>
        <stp>BDP|6434031341171876411</stp>
        <tr r="C1558" s="2"/>
      </tp>
      <tp t="s">
        <v>#N/A Requesting Data...4275246192</v>
        <stp/>
        <stp>BDP|7533113143576893309</stp>
        <tr r="F2096" s="2"/>
      </tp>
      <tp t="s">
        <v>#N/A Requesting Data...4241151087</v>
        <stp/>
        <stp>BDP|3834555602760637167</stp>
        <tr r="C232" s="2"/>
      </tp>
      <tp t="s">
        <v>#N/A Requesting Data...3935665790</v>
        <stp/>
        <stp>BDP|9256300184996816318</stp>
        <tr r="H1824" s="2"/>
      </tp>
      <tp t="s">
        <v>#N/A Requesting Data...3586178572</v>
        <stp/>
        <stp>BDP|4093122548752288471</stp>
        <tr r="F564" s="2"/>
      </tp>
      <tp t="s">
        <v>#N/A Requesting Data...4181121389</v>
        <stp/>
        <stp>BDP|7349275434150754181</stp>
        <tr r="R2069" s="2"/>
      </tp>
      <tp t="s">
        <v>#N/A Requesting Data...4055696019</v>
        <stp/>
        <stp>BDP|7160394569587810262</stp>
        <tr r="R663" s="2"/>
      </tp>
      <tp t="s">
        <v>#N/A Requesting Data...3507980563</v>
        <stp/>
        <stp>BDP|9894619376387142813</stp>
        <tr r="S2420" s="2"/>
      </tp>
      <tp t="s">
        <v>#N/A Requesting Data...3888600232</v>
        <stp/>
        <stp>BDP|3849583708657715604</stp>
        <tr r="M68" s="2"/>
      </tp>
      <tp t="s">
        <v>#N/A Requesting Data...3607474982</v>
        <stp/>
        <stp>BDP|6640388416293437039</stp>
        <tr r="E127" s="2"/>
      </tp>
      <tp t="s">
        <v>#N/A Requesting Data...3596486115</v>
        <stp/>
        <stp>BDP|5065530278647437704</stp>
        <tr r="J939" s="2"/>
      </tp>
      <tp t="s">
        <v>#N/A Requesting Data...3995504422</v>
        <stp/>
        <stp>BDP|7904325346207623042</stp>
        <tr r="J993" s="2"/>
      </tp>
      <tp t="s">
        <v>#N/A Requesting Data...3780026421</v>
        <stp/>
        <stp>BDP|4307293690161320967</stp>
        <tr r="M859" s="2"/>
      </tp>
      <tp t="s">
        <v>#N/A Requesting Data...3968341354</v>
        <stp/>
        <stp>BDP|5150201604275806521</stp>
        <tr r="A1774" s="2"/>
      </tp>
      <tp t="s">
        <v>#N/A Requesting Data...3797240595</v>
        <stp/>
        <stp>BDP|7902335650347251174</stp>
        <tr r="O2411" s="2"/>
      </tp>
      <tp t="s">
        <v>#N/A Requesting Data...4219767154</v>
        <stp/>
        <stp>BDP|9319050101797182999</stp>
        <tr r="Q2464" s="2"/>
      </tp>
      <tp t="s">
        <v>#N/A Requesting Data...3567303424</v>
        <stp/>
        <stp>BDP|8686958639660664536</stp>
        <tr r="T1625" s="2"/>
      </tp>
      <tp t="s">
        <v>#N/A Requesting Data...4206201788</v>
        <stp/>
        <stp>BDP|8844406135028334017</stp>
        <tr r="T487" s="2"/>
      </tp>
      <tp t="s">
        <v>#N/A Requesting Data...3612719999</v>
        <stp/>
        <stp>BDP|5177768072664055695</stp>
        <tr r="T2088" s="2"/>
      </tp>
      <tp t="s">
        <v>#N/A Requesting Data...3916997025</v>
        <stp/>
        <stp>BDP|1040313350097494797</stp>
        <tr r="K697" s="2"/>
      </tp>
      <tp t="s">
        <v>#N/A Requesting Data...3838114733</v>
        <stp/>
        <stp>BDP|1033269614793926676</stp>
        <tr r="P2192" s="2"/>
      </tp>
      <tp t="s">
        <v>#N/A Requesting Data...3739390219</v>
        <stp/>
        <stp>BDP|9786660852515839876</stp>
        <tr r="F529" s="2"/>
      </tp>
      <tp t="s">
        <v>#N/A Requesting Data...3450818401</v>
        <stp/>
        <stp>BDP|4864000136845153533</stp>
        <tr r="G1830" s="2"/>
      </tp>
      <tp t="b">
        <v>0</v>
        <stp/>
        <stp>BDS|6610439280775876813</stp>
        <tr r="I2475" s="2"/>
      </tp>
      <tp t="s">
        <v>#N/A Requesting Data...4007351539</v>
        <stp/>
        <stp>BDP|4789787255467571634</stp>
        <tr r="H1494" s="2"/>
      </tp>
      <tp t="s">
        <v>#N/A Requesting Data...3908556897</v>
        <stp/>
        <stp>BDP|2699660332079762997</stp>
        <tr r="J2108" s="2"/>
      </tp>
      <tp t="s">
        <v>#N/A Requesting Data...4192335150</v>
        <stp/>
        <stp>BDP|3874682321680585083</stp>
        <tr r="H84" s="2"/>
      </tp>
      <tp t="s">
        <v>#N/A Requesting Data...4090156423</v>
        <stp/>
        <stp>BDP|2040739632456976745</stp>
        <tr r="K1686" s="2"/>
      </tp>
      <tp t="s">
        <v>#N/A Requesting Data...3985086881</v>
        <stp/>
        <stp>BDP|3044211691328957758</stp>
        <tr r="C261" s="2"/>
      </tp>
      <tp t="s">
        <v>#N/A Requesting Data...4252680157</v>
        <stp/>
        <stp>BDP|3498590019661115195</stp>
        <tr r="E1350" s="2"/>
      </tp>
      <tp t="s">
        <v>#N/A Requesting Data...3806519699</v>
        <stp/>
        <stp>BDP|1625841196664095386</stp>
        <tr r="G2161" s="2"/>
      </tp>
      <tp t="s">
        <v>#N/A Requesting Data...3517225182</v>
        <stp/>
        <stp>BDP|8877211195872011605</stp>
        <tr r="Q1401" s="2"/>
      </tp>
      <tp t="s">
        <v>#N/A Requesting Data...3799301054</v>
        <stp/>
        <stp>BDP|8874634898739662998</stp>
        <tr r="H2210" s="2"/>
      </tp>
      <tp t="s">
        <v>#N/A Requesting Data...3738630147</v>
        <stp/>
        <stp>BDP|8955702920558593201</stp>
        <tr r="H1428" s="2"/>
      </tp>
      <tp t="s">
        <v>#N/A Requesting Data...3716316690</v>
        <stp/>
        <stp>BDP|4771020216675792785</stp>
        <tr r="J1764" s="2"/>
      </tp>
      <tp t="s">
        <v>#N/A Requesting Data...3557777305</v>
        <stp/>
        <stp>BDP|2350488774365276314</stp>
        <tr r="K2140" s="2"/>
      </tp>
      <tp t="s">
        <v>#N/A Requesting Data...3848166106</v>
        <stp/>
        <stp>BDP|9442837883186990816</stp>
        <tr r="N995" s="2"/>
      </tp>
      <tp t="s">
        <v>#N/A Requesting Data...3923517505</v>
        <stp/>
        <stp>BDP|1918609650352578701</stp>
        <tr r="O109" s="2"/>
      </tp>
      <tp t="s">
        <v>#N/A Requesting Data...3943517699</v>
        <stp/>
        <stp>BDP|6964755510390140719</stp>
        <tr r="H1217" s="2"/>
      </tp>
      <tp t="s">
        <v>#N/A Requesting Data...3705519231</v>
        <stp/>
        <stp>BDP|1201439332135848471</stp>
        <tr r="A2180" s="2"/>
      </tp>
      <tp t="s">
        <v>#N/A Requesting Data...4286631573</v>
        <stp/>
        <stp>BDP|6742463250990803053</stp>
        <tr r="P715" s="2"/>
      </tp>
      <tp t="s">
        <v>#N/A Requesting Data...3493382469</v>
        <stp/>
        <stp>BDP|6110291474724591052</stp>
        <tr r="Q1356" s="2"/>
      </tp>
      <tp t="s">
        <v>#N/A Requesting Data...3781152297</v>
        <stp/>
        <stp>BDP|8327000869290596935</stp>
        <tr r="K2051" s="2"/>
      </tp>
      <tp t="s">
        <v>#N/A Requesting Data...3641408309</v>
        <stp/>
        <stp>BDP|7052726962181562098</stp>
        <tr r="G685" s="2"/>
      </tp>
      <tp t="s">
        <v>#N/A Requesting Data...4194850823</v>
        <stp/>
        <stp>BDP|2844549122544273603</stp>
        <tr r="D1373" s="2"/>
      </tp>
      <tp t="s">
        <v>#N/A Requesting Data...3815876726</v>
        <stp/>
        <stp>BDP|2379906959189694005</stp>
        <tr r="P1511" s="2"/>
      </tp>
      <tp t="s">
        <v>#N/A Requesting Data...3717464529</v>
        <stp/>
        <stp>BDP|6524402902570894530</stp>
        <tr r="H1134" s="2"/>
      </tp>
      <tp t="s">
        <v>#N/A Requesting Data...4275131145</v>
        <stp/>
        <stp>BDP|8479347379428181340</stp>
        <tr r="K1520" s="2"/>
      </tp>
      <tp t="s">
        <v>#N/A Requesting Data...4016983557</v>
        <stp/>
        <stp>BDP|6636437219790289424</stp>
        <tr r="C250" s="2"/>
      </tp>
      <tp t="s">
        <v>#N/A Requesting Data...3697704709</v>
        <stp/>
        <stp>BDP|6273821279309027758</stp>
        <tr r="H981" s="2"/>
      </tp>
      <tp t="s">
        <v>#N/A Requesting Data...4026783427</v>
        <stp/>
        <stp>BDP|4537398757783169665</stp>
        <tr r="C1317" s="2"/>
      </tp>
      <tp t="s">
        <v>#N/A Requesting Data...3972881059</v>
        <stp/>
        <stp>BDP|4947330724824453666</stp>
        <tr r="A1348" s="2"/>
      </tp>
      <tp t="s">
        <v>#N/A Requesting Data...3582037022</v>
        <stp/>
        <stp>BDP|6562158917813398280</stp>
        <tr r="N2135" s="2"/>
      </tp>
      <tp t="b">
        <v>0</v>
        <stp/>
        <stp>BDS|5770333058574258028</stp>
        <tr r="I1719" s="2"/>
      </tp>
      <tp t="s">
        <v>#N/A Requesting Data...3775876309</v>
        <stp/>
        <stp>BDP|5583548750002882056</stp>
        <tr r="E1182" s="2"/>
      </tp>
      <tp t="s">
        <v>#N/A Requesting Data...4123211956</v>
        <stp/>
        <stp>BDP|8837553756259243658</stp>
        <tr r="J2528" s="2"/>
      </tp>
      <tp t="s">
        <v>#N/A Requesting Data...3882777567</v>
        <stp/>
        <stp>BDP|1859258389494102897</stp>
        <tr r="J1788" s="2"/>
      </tp>
      <tp t="s">
        <v>#N/A Requesting Data...3869801782</v>
        <stp/>
        <stp>BDP|4119329564320961623</stp>
        <tr r="T1123" s="2"/>
      </tp>
      <tp t="s">
        <v>#N/A Requesting Data...4193670688</v>
        <stp/>
        <stp>BDP|4320111941073741589</stp>
        <tr r="J2496" s="2"/>
      </tp>
      <tp t="s">
        <v>#N/A Requesting Data...3663982660</v>
        <stp/>
        <stp>BDP|5048310961894513393</stp>
        <tr r="G756" s="2"/>
      </tp>
      <tp t="s">
        <v>#N/A Requesting Data...3833081489</v>
        <stp/>
        <stp>BDP|2334945321046265881</stp>
        <tr r="E2248" s="2"/>
      </tp>
      <tp t="s">
        <v>#N/A Requesting Data...4248073679</v>
        <stp/>
        <stp>BDP|1294664516221763098</stp>
        <tr r="N1821" s="2"/>
      </tp>
      <tp t="b">
        <v>0</v>
        <stp/>
        <stp>BDS|7326814306971952918</stp>
        <tr r="I1354" s="2"/>
      </tp>
      <tp t="s">
        <v>#N/A Requesting Data...3576013142</v>
        <stp/>
        <stp>BDP|2705842658231741905</stp>
        <tr r="A921" s="2"/>
      </tp>
      <tp t="s">
        <v>#N/A Requesting Data...3559308256</v>
        <stp/>
        <stp>BDP|8047184976119207000</stp>
        <tr r="T2005" s="2"/>
      </tp>
      <tp t="b">
        <v>0</v>
        <stp/>
        <stp>BDS|5110631834196855127</stp>
        <tr r="I132" s="2"/>
      </tp>
      <tp t="s">
        <v>#N/A Requesting Data...3835020829</v>
        <stp/>
        <stp>BDP|2437639309992743157</stp>
        <tr r="D275" s="2"/>
      </tp>
      <tp t="s">
        <v>#N/A Requesting Data...3902891752</v>
        <stp/>
        <stp>BDP|4637302005677949763</stp>
        <tr r="A1901" s="2"/>
      </tp>
      <tp t="s">
        <v>#N/A Requesting Data...3933140768</v>
        <stp/>
        <stp>BDP|3057427077133060496</stp>
        <tr r="F432" s="2"/>
      </tp>
      <tp t="s">
        <v>#N/A Requesting Data...3786173832</v>
        <stp/>
        <stp>BDP|1577015027275725181</stp>
        <tr r="S1686" s="2"/>
      </tp>
      <tp t="b">
        <v>0</v>
        <stp/>
        <stp>BDS|2643002339736013030</stp>
        <tr r="I2343" s="2"/>
      </tp>
      <tp t="b">
        <v>0</v>
        <stp/>
        <stp>BDS|8947263417358477403</stp>
        <tr r="I2483" s="2"/>
      </tp>
      <tp t="s">
        <v>#N/A Requesting Data...4160061442</v>
        <stp/>
        <stp>BDP|2925857980275619065</stp>
        <tr r="D846" s="2"/>
      </tp>
      <tp t="s">
        <v>#N/A Requesting Data...4137786608</v>
        <stp/>
        <stp>BDP|6198886657964652840</stp>
        <tr r="F43" s="2"/>
      </tp>
      <tp t="s">
        <v>#N/A Requesting Data...3868648885</v>
        <stp/>
        <stp>BDP|2567997323156445876</stp>
        <tr r="S590" s="2"/>
      </tp>
      <tp t="s">
        <v>#N/A Requesting Data...4115176975</v>
        <stp/>
        <stp>BDP|8988375650988453163</stp>
        <tr r="O502" s="2"/>
      </tp>
      <tp t="s">
        <v>#N/A Requesting Data...3934988277</v>
        <stp/>
        <stp>BDP|1124555779124127006</stp>
        <tr r="K1654" s="2"/>
      </tp>
      <tp t="s">
        <v>#N/A Requesting Data...3900563627</v>
        <stp/>
        <stp>BDP|5110392910582641220</stp>
        <tr r="J2531" s="2"/>
      </tp>
      <tp t="s">
        <v>#N/A Requesting Data...3694000548</v>
        <stp/>
        <stp>BDP|5125296524393869183</stp>
        <tr r="R843" s="2"/>
      </tp>
      <tp t="s">
        <v>#N/A Requesting Data...3999366042</v>
        <stp/>
        <stp>BDP|6807604935142938684</stp>
        <tr r="D1615" s="2"/>
      </tp>
      <tp t="s">
        <v>#N/A Requesting Data...3944236176</v>
        <stp/>
        <stp>BDP|9953907140074148744</stp>
        <tr r="Q1535" s="2"/>
      </tp>
      <tp t="s">
        <v>#N/A Requesting Data...3683395200</v>
        <stp/>
        <stp>BDP|2911765027677770730</stp>
        <tr r="O1339" s="2"/>
      </tp>
      <tp t="s">
        <v>#N/A Requesting Data...3746091468</v>
        <stp/>
        <stp>BDP|2664261252965897762</stp>
        <tr r="N2183" s="2"/>
      </tp>
      <tp t="s">
        <v>#N/A Requesting Data...3723168918</v>
        <stp/>
        <stp>BDP|1650577004531803212</stp>
        <tr r="K679" s="2"/>
      </tp>
      <tp t="s">
        <v>#N/A Requesting Data...3917662896</v>
        <stp/>
        <stp>BDP|8404096147263661807</stp>
        <tr r="R2247" s="2"/>
      </tp>
      <tp t="s">
        <v>#N/A Requesting Data...3810564300</v>
        <stp/>
        <stp>BDP|3730502605796731790</stp>
        <tr r="T1046" s="2"/>
      </tp>
      <tp t="s">
        <v>#N/A Requesting Data...4125149505</v>
        <stp/>
        <stp>BDP|1398878750309144293</stp>
        <tr r="J2171" s="2"/>
      </tp>
      <tp t="s">
        <v>#N/A Requesting Data...3870856675</v>
        <stp/>
        <stp>BDP|3461321348492650143</stp>
        <tr r="Q1791" s="2"/>
      </tp>
      <tp t="s">
        <v>#N/A Requesting Data...4002409913</v>
        <stp/>
        <stp>BDP|2170496057076173222</stp>
        <tr r="K1209" s="2"/>
      </tp>
      <tp t="s">
        <v>#N/A Requesting Data...3960636550</v>
        <stp/>
        <stp>BDP|5677640206330923412</stp>
        <tr r="C2080" s="2"/>
      </tp>
      <tp t="s">
        <v>#N/A Requesting Data...3999769161</v>
        <stp/>
        <stp>BDP|5977198123840914162</stp>
        <tr r="Q1924" s="2"/>
      </tp>
      <tp t="s">
        <v>#N/A Requesting Data...3911988606</v>
        <stp/>
        <stp>BDP|2451559718104496510</stp>
        <tr r="O1381" s="2"/>
      </tp>
      <tp t="s">
        <v>#N/A Requesting Data...4094532806</v>
        <stp/>
        <stp>BDP|6669643958563725116</stp>
        <tr r="S646" s="2"/>
      </tp>
      <tp t="s">
        <v>#N/A Requesting Data...4096841506</v>
        <stp/>
        <stp>BDP|4237621869673163046</stp>
        <tr r="H272" s="2"/>
      </tp>
      <tp t="s">
        <v>#N/A Requesting Data...3998220360</v>
        <stp/>
        <stp>BDP|7818713459497991558</stp>
        <tr r="O705" s="2"/>
      </tp>
      <tp t="s">
        <v>#N/A Requesting Data...4052676473</v>
        <stp/>
        <stp>BDP|5843028323136586602</stp>
        <tr r="N124" s="2"/>
      </tp>
      <tp t="s">
        <v>#N/A Requesting Data...3897004935</v>
        <stp/>
        <stp>BDP|3186094700161135559</stp>
        <tr r="A481" s="2"/>
      </tp>
      <tp t="s">
        <v>#N/A Requesting Data...3723241022</v>
        <stp/>
        <stp>BDP|9334470402723801923</stp>
        <tr r="D2382" s="2"/>
      </tp>
      <tp t="s">
        <v>#N/A Requesting Data...4046779783</v>
        <stp/>
        <stp>BDP|6931170331365609657</stp>
        <tr r="Q1561" s="2"/>
      </tp>
      <tp t="s">
        <v>#N/A Requesting Data...4145962618</v>
        <stp/>
        <stp>BDP|2698684144672457529</stp>
        <tr r="A353" s="2"/>
      </tp>
      <tp t="s">
        <v>#N/A Requesting Data...4102134197</v>
        <stp/>
        <stp>BDP|4492154169924108053</stp>
        <tr r="D140" s="2"/>
      </tp>
      <tp t="s">
        <v>#N/A Requesting Data...4013009308</v>
        <stp/>
        <stp>BDP|1928756618642840201</stp>
        <tr r="O1441" s="2"/>
      </tp>
      <tp t="s">
        <v>#N/A Requesting Data...4238545471</v>
        <stp/>
        <stp>BDP|9196128389790016760</stp>
        <tr r="S866" s="2"/>
      </tp>
      <tp t="s">
        <v>#N/A Requesting Data...4057083350</v>
        <stp/>
        <stp>BDP|2751596691788554166</stp>
        <tr r="M858" s="2"/>
      </tp>
      <tp t="b">
        <v>0</v>
        <stp/>
        <stp>BDS|4730657919563774702</stp>
        <tr r="I2040" s="2"/>
      </tp>
      <tp t="s">
        <v>#N/A Requesting Data...3991080423</v>
        <stp/>
        <stp>BDP|8036222289077377240</stp>
        <tr r="A170" s="2"/>
      </tp>
      <tp t="b">
        <v>0</v>
        <stp/>
        <stp>BDS|6996917282848104873</stp>
        <tr r="I530" s="2"/>
      </tp>
      <tp t="s">
        <v>#N/A Requesting Data...4046860467</v>
        <stp/>
        <stp>BDP|6955757260385718576</stp>
        <tr r="O1510" s="2"/>
      </tp>
      <tp t="s">
        <v>#N/A Requesting Data...4282081210</v>
        <stp/>
        <stp>BDP|7531902079538575655</stp>
        <tr r="S1998" s="2"/>
      </tp>
      <tp t="s">
        <v>#N/A Requesting Data...4230707537</v>
        <stp/>
        <stp>BDP|3969744613362468061</stp>
        <tr r="D583" s="2"/>
      </tp>
      <tp t="s">
        <v>#N/A Requesting Data...4275668586</v>
        <stp/>
        <stp>BDP|7815030901351345150</stp>
        <tr r="J2407" s="2"/>
      </tp>
      <tp t="s">
        <v>#N/A Requesting Data...4087763884</v>
        <stp/>
        <stp>BDP|6604640965576862735</stp>
        <tr r="D1234" s="2"/>
      </tp>
      <tp t="s">
        <v>#N/A Requesting Data...3752630076</v>
        <stp/>
        <stp>BDP|5776627400512049697</stp>
        <tr r="E2451" s="2"/>
      </tp>
      <tp t="s">
        <v>#N/A Requesting Data...3766555738</v>
        <stp/>
        <stp>BDP|4462755148304497400</stp>
        <tr r="H2017" s="2"/>
      </tp>
      <tp t="s">
        <v>#N/A Requesting Data...3892329183</v>
        <stp/>
        <stp>BDP|8980816123411406423</stp>
        <tr r="Q1039" s="2"/>
      </tp>
      <tp t="s">
        <v>#N/A Requesting Data...3848138118</v>
        <stp/>
        <stp>BDP|1357507690213811968</stp>
        <tr r="M864" s="2"/>
      </tp>
      <tp t="s">
        <v>#N/A Requesting Data...3987701244</v>
        <stp/>
        <stp>BDP|5490976090256959470</stp>
        <tr r="F1500" s="2"/>
      </tp>
      <tp t="s">
        <v>#N/A Requesting Data...4162752206</v>
        <stp/>
        <stp>BDP|1575399905537422201</stp>
        <tr r="D1326" s="2"/>
      </tp>
      <tp t="s">
        <v>#N/A Requesting Data...3713413877</v>
        <stp/>
        <stp>BDP|4987293269785527216</stp>
        <tr r="R1861" s="2"/>
      </tp>
      <tp t="s">
        <v>#N/A Requesting Data...3710324246</v>
        <stp/>
        <stp>BDP|5939609730322076546</stp>
        <tr r="H2175" s="2"/>
      </tp>
      <tp t="s">
        <v>#N/A Requesting Data...3933672580</v>
        <stp/>
        <stp>BDP|2336347568950412067</stp>
        <tr r="D727" s="2"/>
      </tp>
      <tp t="s">
        <v>#N/A Requesting Data...3934196796</v>
        <stp/>
        <stp>BDP|6814579975214608711</stp>
        <tr r="J1401" s="2"/>
      </tp>
      <tp t="s">
        <v>#N/A Requesting Data...3956283758</v>
        <stp/>
        <stp>BDP|8210488688597858472</stp>
        <tr r="F1459" s="2"/>
      </tp>
      <tp t="s">
        <v>#N/A Requesting Data...3751180325</v>
        <stp/>
        <stp>BDP|3543162155248396886</stp>
        <tr r="F428" s="2"/>
      </tp>
      <tp t="b">
        <v>0</v>
        <stp/>
        <stp>BDS|3397350684809997661</stp>
        <tr r="I219" s="2"/>
      </tp>
      <tp t="s">
        <v>#N/A Requesting Data...3799860542</v>
        <stp/>
        <stp>BDP|3960536794128424079</stp>
        <tr r="A737" s="2"/>
      </tp>
      <tp t="s">
        <v>#N/A Requesting Data...3932789283</v>
        <stp/>
        <stp>BDP|1724950096986972006</stp>
        <tr r="H54" s="2"/>
      </tp>
      <tp t="s">
        <v>#N/A Requesting Data...4031780562</v>
        <stp/>
        <stp>BDP|2930097106893276691</stp>
        <tr r="A808" s="2"/>
      </tp>
      <tp t="s">
        <v>#N/A Requesting Data...4113803528</v>
        <stp/>
        <stp>BDP|5964765174835788719</stp>
        <tr r="O2178" s="2"/>
      </tp>
      <tp t="s">
        <v>#N/A Requesting Data...3773177152</v>
        <stp/>
        <stp>BDP|8469182288425931309</stp>
        <tr r="E728" s="2"/>
      </tp>
      <tp t="s">
        <v>#N/A Requesting Data...3781784997</v>
        <stp/>
        <stp>BDP|6110770360289292990</stp>
        <tr r="P86" s="2"/>
      </tp>
      <tp t="s">
        <v>#N/A Requesting Data...3746693723</v>
        <stp/>
        <stp>BDP|3728624027992603292</stp>
        <tr r="Q1136" s="2"/>
      </tp>
      <tp t="s">
        <v>#N/A Requesting Data...4106050275</v>
        <stp/>
        <stp>BDP|5270252229801016330</stp>
        <tr r="S504" s="2"/>
      </tp>
      <tp t="s">
        <v>#N/A Requesting Data...4174911048</v>
        <stp/>
        <stp>BDP|9552801978986347735</stp>
        <tr r="P1635" s="2"/>
      </tp>
      <tp t="s">
        <v>#N/A Requesting Data...3934787693</v>
        <stp/>
        <stp>BDP|4447339939793070031</stp>
        <tr r="Q625" s="2"/>
      </tp>
      <tp t="s">
        <v>#N/A Requesting Data...4209128482</v>
        <stp/>
        <stp>BDP|6515090766877272052</stp>
        <tr r="H966" s="2"/>
      </tp>
      <tp t="s">
        <v>#N/A Requesting Data...4102819091</v>
        <stp/>
        <stp>BDP|1720264872902609183</stp>
        <tr r="C1500" s="2"/>
      </tp>
      <tp t="s">
        <v>#N/A Requesting Data...3780534182</v>
        <stp/>
        <stp>BDP|7866009997701072823</stp>
        <tr r="F1617" s="2"/>
      </tp>
      <tp t="s">
        <v>#N/A Requesting Data...4186957614</v>
        <stp/>
        <stp>BDP|6728048595671343984</stp>
        <tr r="Q1134" s="2"/>
      </tp>
      <tp t="s">
        <v>#N/A Requesting Data...3837987164</v>
        <stp/>
        <stp>BDP|5638322205959508897</stp>
        <tr r="T717" s="2"/>
      </tp>
      <tp t="s">
        <v>#N/A Requesting Data...3768159916</v>
        <stp/>
        <stp>BDP|8280146277639956052</stp>
        <tr r="J338" s="2"/>
      </tp>
      <tp t="s">
        <v>#N/A Requesting Data...4115214150</v>
        <stp/>
        <stp>BDP|6014118396429274085</stp>
        <tr r="N925" s="2"/>
      </tp>
      <tp t="s">
        <v>#N/A Requesting Data...4028538540</v>
        <stp/>
        <stp>BDP|3444313873752263299</stp>
        <tr r="G734" s="2"/>
      </tp>
      <tp t="s">
        <v>#N/A Requesting Data...3948476451</v>
        <stp/>
        <stp>BDP|2556148859709265873</stp>
        <tr r="T1467" s="2"/>
      </tp>
      <tp t="s">
        <v>#N/A Requesting Data...3768901706</v>
        <stp/>
        <stp>BDP|3486433110052829326</stp>
        <tr r="T592" s="2"/>
      </tp>
      <tp t="s">
        <v>#N/A Requesting Data...4290718111</v>
        <stp/>
        <stp>BDP|4033102051325587294</stp>
        <tr r="F1134" s="2"/>
      </tp>
      <tp t="s">
        <v>#N/A Requesting Data...4285185940</v>
        <stp/>
        <stp>BDP|1898866748543908924</stp>
        <tr r="D754" s="2"/>
      </tp>
      <tp t="s">
        <v>#N/A Requesting Data...4085096306</v>
        <stp/>
        <stp>BDP|3255416740936962272</stp>
        <tr r="Q1916" s="2"/>
      </tp>
      <tp t="s">
        <v>#N/A Requesting Data...4094850062</v>
        <stp/>
        <stp>BDP|3532357667422837322</stp>
        <tr r="J1842" s="2"/>
      </tp>
      <tp t="s">
        <v>#N/A Requesting Data...3860115046</v>
        <stp/>
        <stp>BDP|7286082508832902263</stp>
        <tr r="O2517" s="2"/>
      </tp>
      <tp t="s">
        <v>#N/A Requesting Data...3832494896</v>
        <stp/>
        <stp>BDP|8537698549954174994</stp>
        <tr r="C2137" s="2"/>
      </tp>
      <tp t="s">
        <v>#N/A Requesting Data...3773759869</v>
        <stp/>
        <stp>BDP|5608140752032900441</stp>
        <tr r="K1835" s="2"/>
      </tp>
      <tp t="s">
        <v>#N/A Requesting Data...3869469529</v>
        <stp/>
        <stp>BDP|2499520340137290390</stp>
        <tr r="Q671" s="2"/>
      </tp>
      <tp t="s">
        <v>#N/A Requesting Data...3942740366</v>
        <stp/>
        <stp>BDP|1743897972001140806</stp>
        <tr r="D872" s="2"/>
      </tp>
      <tp t="s">
        <v>#N/A Requesting Data...4263274534</v>
        <stp/>
        <stp>BDP|7102719159865540715</stp>
        <tr r="P1330" s="2"/>
      </tp>
      <tp t="s">
        <v>#N/A Requesting Data...4128977001</v>
        <stp/>
        <stp>BDP|8098522781382681080</stp>
        <tr r="C786" s="2"/>
      </tp>
      <tp t="s">
        <v>#N/A Requesting Data...4289507532</v>
        <stp/>
        <stp>BDP|3390669918221268224</stp>
        <tr r="E147" s="2"/>
      </tp>
      <tp t="s">
        <v>#N/A Requesting Data...4258926392</v>
        <stp/>
        <stp>BDP|1514294820741927780</stp>
        <tr r="Q1722" s="2"/>
      </tp>
      <tp t="s">
        <v>#N/A Requesting Data...4068812554</v>
        <stp/>
        <stp>BDP|2477208128526380321</stp>
        <tr r="T2436" s="2"/>
      </tp>
      <tp t="s">
        <v>#N/A Requesting Data...4177850383</v>
        <stp/>
        <stp>BDP|5995995884746890511</stp>
        <tr r="S1634" s="2"/>
      </tp>
      <tp t="s">
        <v>#N/A Requesting Data...4067135948</v>
        <stp/>
        <stp>BDP|1360160373106816634</stp>
        <tr r="O2133" s="2"/>
      </tp>
      <tp t="s">
        <v>#N/A Requesting Data...3931528444</v>
        <stp/>
        <stp>BDP|2957264335731402534</stp>
        <tr r="D1559" s="2"/>
      </tp>
      <tp t="s">
        <v>#N/A Requesting Data...3831617315</v>
        <stp/>
        <stp>BDP|3844734063136306363</stp>
        <tr r="D1266" s="2"/>
      </tp>
      <tp t="s">
        <v>#N/A Requesting Data...4257460282</v>
        <stp/>
        <stp>BDP|6004617647373927024</stp>
        <tr r="A791" s="2"/>
      </tp>
      <tp t="s">
        <v>#N/A Requesting Data...4036251990</v>
        <stp/>
        <stp>BDP|6328682030071507532</stp>
        <tr r="C1155" s="2"/>
      </tp>
      <tp t="s">
        <v>#N/A Requesting Data...4120582245</v>
        <stp/>
        <stp>BDP|7446009998109395027</stp>
        <tr r="M973" s="2"/>
      </tp>
      <tp t="s">
        <v>#N/A Requesting Data...4214950133</v>
        <stp/>
        <stp>BDP|1054474159452504560</stp>
        <tr r="E1734" s="2"/>
      </tp>
      <tp t="s">
        <v>#N/A Requesting Data...4194939652</v>
        <stp/>
        <stp>BDP|7473342444055815211</stp>
        <tr r="K1918" s="2"/>
      </tp>
      <tp t="s">
        <v>#N/A Requesting Data...3837654682</v>
        <stp/>
        <stp>BDP|4112687773902395043</stp>
        <tr r="O1501" s="2"/>
      </tp>
      <tp t="s">
        <v>#N/A Requesting Data...4265888187</v>
        <stp/>
        <stp>BDP|2780227593119935728</stp>
        <tr r="D1931" s="2"/>
      </tp>
      <tp t="s">
        <v>#N/A Requesting Data...4215969432</v>
        <stp/>
        <stp>BDP|9174813330136596389</stp>
        <tr r="C1656" s="2"/>
      </tp>
      <tp t="s">
        <v>#N/A Requesting Data...3856018575</v>
        <stp/>
        <stp>BDP|1191079162141127186</stp>
        <tr r="N155" s="2"/>
      </tp>
      <tp t="s">
        <v>#N/A Requesting Data...3957487207</v>
        <stp/>
        <stp>BDP|7638725404210404791</stp>
        <tr r="C573" s="2"/>
      </tp>
      <tp t="s">
        <v>#N/A Requesting Data...4011853756</v>
        <stp/>
        <stp>BDP|8259672298719141911</stp>
        <tr r="A795" s="2"/>
      </tp>
      <tp t="s">
        <v>#N/A Requesting Data...3941376346</v>
        <stp/>
        <stp>BDP|3813548830267198506</stp>
        <tr r="E2488" s="2"/>
      </tp>
      <tp t="s">
        <v>#N/A Requesting Data...4023413338</v>
        <stp/>
        <stp>BDP|9511899750407900488</stp>
        <tr r="O1037" s="2"/>
      </tp>
      <tp t="s">
        <v>#N/A Requesting Data...3965317270</v>
        <stp/>
        <stp>BDP|4590287711874320420</stp>
        <tr r="F2043" s="2"/>
      </tp>
      <tp t="s">
        <v>#N/A Requesting Data...4154951156</v>
        <stp/>
        <stp>BDP|2843926465299132337</stp>
        <tr r="G190" s="2"/>
      </tp>
      <tp t="s">
        <v>#N/A Requesting Data...4279904886</v>
        <stp/>
        <stp>BDP|1208116518766174072</stp>
        <tr r="P36" s="2"/>
      </tp>
      <tp t="s">
        <v>#N/A Requesting Data...3924355420</v>
        <stp/>
        <stp>BDP|7928291042653694598</stp>
        <tr r="J2313" s="2"/>
      </tp>
      <tp t="s">
        <v>#N/A Requesting Data...4081045402</v>
        <stp/>
        <stp>BDP|5331203706987188796</stp>
        <tr r="P1024" s="2"/>
      </tp>
      <tp t="s">
        <v>#N/A Requesting Data...3938052401</v>
        <stp/>
        <stp>BDP|6215792313480153745</stp>
        <tr r="C1410" s="2"/>
      </tp>
      <tp t="b">
        <v>0</v>
        <stp/>
        <stp>BDS|1505633447494507093</stp>
        <tr r="I448" s="2"/>
      </tp>
      <tp t="s">
        <v>#N/A Requesting Data...4171605337</v>
        <stp/>
        <stp>BDP|4934241269436900100</stp>
        <tr r="P705" s="2"/>
      </tp>
      <tp t="s">
        <v>#N/A Requesting Data...3881538423</v>
        <stp/>
        <stp>BDP|4100806011302476894</stp>
        <tr r="G11" s="2"/>
      </tp>
      <tp t="s">
        <v>#N/A Requesting Data...4038673926</v>
        <stp/>
        <stp>BDP|2018553917556728783</stp>
        <tr r="J491" s="2"/>
      </tp>
      <tp t="s">
        <v>#N/A Requesting Data...3879219957</v>
        <stp/>
        <stp>BDP|2829468057531194550</stp>
        <tr r="S304" s="2"/>
      </tp>
      <tp t="s">
        <v>#N/A Requesting Data...4129566938</v>
        <stp/>
        <stp>BDP|3851594989739353065</stp>
        <tr r="R463" s="2"/>
      </tp>
      <tp t="s">
        <v>#N/A Requesting Data...4119881628</v>
        <stp/>
        <stp>BDP|8539645992819798991</stp>
        <tr r="G703" s="2"/>
      </tp>
      <tp t="s">
        <v>#N/A Requesting Data...3882889547</v>
        <stp/>
        <stp>BDP|2337058672466221444</stp>
        <tr r="F363" s="2"/>
      </tp>
      <tp t="s">
        <v>#N/A Requesting Data...3940040680</v>
        <stp/>
        <stp>BDP|1318196939414237039</stp>
        <tr r="J1236" s="2"/>
      </tp>
      <tp t="s">
        <v>#N/A Requesting Data...4019439290</v>
        <stp/>
        <stp>BDP|9307609480847495751</stp>
        <tr r="E1234" s="2"/>
      </tp>
      <tp t="s">
        <v>#N/A Requesting Data...3936150840</v>
        <stp/>
        <stp>BDP|7094430861447804584</stp>
        <tr r="K581" s="2"/>
      </tp>
      <tp t="s">
        <v>#N/A Requesting Data...4274763998</v>
        <stp/>
        <stp>BDP|8256445474694067809</stp>
        <tr r="P1909" s="2"/>
      </tp>
      <tp t="s">
        <v>#N/A Requesting Data...4272617787</v>
        <stp/>
        <stp>BDP|8307914111194581344</stp>
        <tr r="S2254" s="2"/>
      </tp>
      <tp t="s">
        <v>#N/A Requesting Data...4197336282</v>
        <stp/>
        <stp>BDP|6154045046664966188</stp>
        <tr r="S446" s="2"/>
      </tp>
      <tp t="s">
        <v>#N/A Requesting Data...4138984058</v>
        <stp/>
        <stp>BDP|4172150140936746012</stp>
        <tr r="H587" s="2"/>
      </tp>
      <tp t="s">
        <v>#N/A Requesting Data...4107486969</v>
        <stp/>
        <stp>BDP|4299453941644733737</stp>
        <tr r="M1677" s="2"/>
      </tp>
      <tp t="s">
        <v>#N/A Requesting Data...4161040610</v>
        <stp/>
        <stp>BDP|4909619319844381001</stp>
        <tr r="P1672" s="2"/>
      </tp>
      <tp t="s">
        <v>#N/A Requesting Data...4265831868</v>
        <stp/>
        <stp>BDP|1788288828294020258</stp>
        <tr r="D1038" s="2"/>
      </tp>
      <tp t="s">
        <v>#N/A Requesting Data...4156178256</v>
        <stp/>
        <stp>BDP|6477028100255079442</stp>
        <tr r="E1092" s="2"/>
      </tp>
      <tp t="s">
        <v>#N/A Requesting Data...4084916805</v>
        <stp/>
        <stp>BDP|7984552329173272457</stp>
        <tr r="O684" s="2"/>
      </tp>
      <tp t="b">
        <v>0</v>
        <stp/>
        <stp>BDS|5848239654237460291</stp>
        <tr r="I1445" s="2"/>
      </tp>
      <tp t="s">
        <v>#N/A Requesting Data...4242693771</v>
        <stp/>
        <stp>BDP|8250919672889580867</stp>
        <tr r="D1770" s="2"/>
      </tp>
      <tp t="s">
        <v>#N/A Requesting Data...4260267407</v>
        <stp/>
        <stp>BDP|4401052062833109601</stp>
        <tr r="Q2453" s="2"/>
      </tp>
      <tp t="s">
        <v>#N/A Requesting Data...4078011641</v>
        <stp/>
        <stp>BDP|2416872178879824313</stp>
        <tr r="D296" s="2"/>
      </tp>
      <tp t="s">
        <v>#N/A Requesting Data...3954837180</v>
        <stp/>
        <stp>BDP|2883054224512236590</stp>
        <tr r="P772" s="2"/>
      </tp>
      <tp t="s">
        <v>#N/A Requesting Data...3957779285</v>
        <stp/>
        <stp>BDP|7499764034964472009</stp>
        <tr r="J809" s="2"/>
      </tp>
      <tp t="s">
        <v>#N/A Requesting Data...3953574723</v>
        <stp/>
        <stp>BDP|7301016405438288870</stp>
        <tr r="G1496" s="2"/>
      </tp>
      <tp t="s">
        <v>#N/A Requesting Data...4152603856</v>
        <stp/>
        <stp>BDP|9574576492883551176</stp>
        <tr r="F1233" s="2"/>
      </tp>
      <tp t="s">
        <v>#N/A Requesting Data...4222626984</v>
        <stp/>
        <stp>BDP|7199725437522458621</stp>
        <tr r="H1577" s="2"/>
      </tp>
      <tp t="s">
        <v>#N/A Requesting Data...4141557157</v>
        <stp/>
        <stp>BDP|6008478844570226132</stp>
        <tr r="P562" s="2"/>
      </tp>
      <tp t="s">
        <v>#N/A Requesting Data...3942134750</v>
        <stp/>
        <stp>BDP|1195036164806626628</stp>
        <tr r="N28" s="2"/>
      </tp>
      <tp t="s">
        <v>#N/A Requesting Data...4240634588</v>
        <stp/>
        <stp>BDP|6883894317091753934</stp>
        <tr r="G398" s="2"/>
      </tp>
      <tp t="s">
        <v>#N/A Requesting Data...4001384623</v>
        <stp/>
        <stp>BDP|7822712811995959331</stp>
        <tr r="F1266" s="2"/>
      </tp>
      <tp t="s">
        <v>#N/A Requesting Data...4034364240</v>
        <stp/>
        <stp>BDP|2649062405396790300</stp>
        <tr r="Q366" s="2"/>
      </tp>
      <tp t="s">
        <v>#N/A Requesting Data...4128673747</v>
        <stp/>
        <stp>BDP|8528156493297636079</stp>
        <tr r="J2092" s="2"/>
      </tp>
      <tp t="s">
        <v>#N/A Requesting Data...4221720433</v>
        <stp/>
        <stp>BDP|9461349023159607672</stp>
        <tr r="Q1598" s="2"/>
      </tp>
      <tp t="s">
        <v>#N/A Requesting Data...4147245351</v>
        <stp/>
        <stp>BDP|3426093867515183790</stp>
        <tr r="A669" s="2"/>
      </tp>
      <tp t="s">
        <v>#N/A Requesting Data...4042792444</v>
        <stp/>
        <stp>BDP|6892095634381561325</stp>
        <tr r="O1429" s="2"/>
      </tp>
      <tp t="s">
        <v>#N/A Requesting Data...4255548949</v>
        <stp/>
        <stp>BDP|9122568909318817344</stp>
        <tr r="O682" s="2"/>
      </tp>
      <tp t="s">
        <v>#N/A Requesting Data...4037387148</v>
        <stp/>
        <stp>BDP|2695924813134425912</stp>
        <tr r="C446" s="2"/>
      </tp>
      <tp t="s">
        <v>#N/A Requesting Data...4094768445</v>
        <stp/>
        <stp>BDP|1748624259423688683</stp>
        <tr r="A235" s="2"/>
      </tp>
      <tp t="s">
        <v>#N/A Requesting Data...4233070207</v>
        <stp/>
        <stp>BDP|4615769111704276117</stp>
        <tr r="A859" s="2"/>
      </tp>
      <tp t="s">
        <v>#N/A Requesting Data...4183723791</v>
        <stp/>
        <stp>BDP|9815189783294569343</stp>
        <tr r="A2057" s="2"/>
      </tp>
      <tp t="s">
        <v>#N/A Requesting Data...4252977735</v>
        <stp/>
        <stp>BDP|2004349737273518645</stp>
        <tr r="O1914" s="2"/>
      </tp>
      <tp t="b">
        <v>0</v>
        <stp/>
        <stp>BDS|5023037324934107441</stp>
        <tr r="I1787" s="2"/>
      </tp>
      <tp t="s">
        <v>#N/A Requesting Data...4206532926</v>
        <stp/>
        <stp>BDP|6909451959770517029</stp>
        <tr r="H402" s="2"/>
      </tp>
      <tp t="s">
        <v>#N/A Requesting Data...4024043594</v>
        <stp/>
        <stp>BDP|3190713535531534122</stp>
        <tr r="H2475" s="2"/>
      </tp>
      <tp t="s">
        <v>#N/A Requesting Data...4223153636</v>
        <stp/>
        <stp>BDP|3494340269125366480</stp>
        <tr r="O2366" s="2"/>
      </tp>
      <tp t="s">
        <v>#N/A Requesting Data...4221783164</v>
        <stp/>
        <stp>BDP|6648656098428116689</stp>
        <tr r="E619" s="2"/>
      </tp>
      <tp t="s">
        <v>#N/A Requesting Data...4007689040</v>
        <stp/>
        <stp>BDP|6787236901704712706</stp>
        <tr r="T293" s="2"/>
      </tp>
      <tp t="s">
        <v>#N/A Requesting Data...4250670960</v>
        <stp/>
        <stp>BDP|1969295626541506718</stp>
        <tr r="J536" s="2"/>
      </tp>
      <tp t="s">
        <v>#N/A Requesting Data...4265863539</v>
        <stp/>
        <stp>BDP|6679343099509986207</stp>
        <tr r="K1562" s="2"/>
      </tp>
      <tp t="s">
        <v>#N/A Requesting Data...4245133213</v>
        <stp/>
        <stp>BDP|1239635495938306151</stp>
        <tr r="O1206" s="2"/>
      </tp>
      <tp t="s">
        <v>#N/A Requesting Data...4280621738</v>
        <stp/>
        <stp>BDP|5610084934498055985</stp>
        <tr r="F1823" s="2"/>
      </tp>
      <tp t="s">
        <v>#N/A Requesting Data...4149025348</v>
        <stp/>
        <stp>BDP|1902657099189459032</stp>
        <tr r="E330" s="2"/>
      </tp>
      <tp t="s">
        <v>#N/A Requesting Data...4258180306</v>
        <stp/>
        <stp>BDP|5212144441031443611</stp>
        <tr r="N275" s="2"/>
      </tp>
      <tp t="s">
        <v>#N/A Requesting Data...4117069755</v>
        <stp/>
        <stp>BDP|6317103912441304006</stp>
        <tr r="D1386" s="2"/>
      </tp>
      <tp t="s">
        <v>#N/A Requesting Data...4197451928</v>
        <stp/>
        <stp>BDP|7771712422977177278</stp>
        <tr r="T1640" s="2"/>
      </tp>
      <tp t="b">
        <v>0</v>
        <stp/>
        <stp>BDS|7402065758705122090</stp>
        <tr r="I1838" s="2"/>
      </tp>
      <tp t="s">
        <v>#N/A Requesting Data...4192631368</v>
        <stp/>
        <stp>BDP|6784511226810224600</stp>
        <tr r="N1947" s="2"/>
      </tp>
      <tp t="s">
        <v>#N/A Requesting Data...4266211543</v>
        <stp/>
        <stp>BDP|9531394727538846715</stp>
        <tr r="R2509" s="2"/>
      </tp>
      <tp t="s">
        <v>#N/A Requesting Data...4038020630</v>
        <stp/>
        <stp>BDP|6108158171862202553</stp>
        <tr r="O2101" s="2"/>
      </tp>
      <tp t="s">
        <v>#N/A Requesting Data...4066125992</v>
        <stp/>
        <stp>BDP|3306139625863649416</stp>
        <tr r="T2512" s="2"/>
      </tp>
      <tp t="s">
        <v>#N/A Requesting Data...4229576747</v>
        <stp/>
        <stp>BDP|8333152352388027363</stp>
        <tr r="J1781" s="2"/>
      </tp>
      <tp t="s">
        <v>#N/A Requesting Data...4220908311</v>
        <stp/>
        <stp>BDP|7413434874311910284</stp>
        <tr r="K638" s="2"/>
      </tp>
      <tp t="s">
        <v>#N/A Requesting Data...4291283425</v>
        <stp/>
        <stp>BDP|7559099025571234399</stp>
        <tr r="O642" s="2"/>
      </tp>
      <tp t="s">
        <v>#N/A Requesting Data...4246005380</v>
        <stp/>
        <stp>BDP|3935225561825144598</stp>
        <tr r="D1352" s="2"/>
      </tp>
      <tp t="s">
        <v>#N/A Requesting Data...4244707938</v>
        <stp/>
        <stp>BDP|6026632177567657702</stp>
        <tr r="K1525" s="2"/>
      </tp>
      <tp t="s">
        <v>#N/A Requesting Data...4064609256</v>
        <stp/>
        <stp>BDP|9043154356412167800</stp>
        <tr r="K83" s="2"/>
      </tp>
      <tp t="s">
        <v>#N/A Requesting Data...4229921208</v>
        <stp/>
        <stp>BDP|1340556924162888389</stp>
        <tr r="H2313" s="2"/>
      </tp>
      <tp t="s">
        <v>#N/A Requesting Data...4138764204</v>
        <stp/>
        <stp>BDP|6593940448714946828</stp>
        <tr r="E556" s="2"/>
      </tp>
      <tp t="s">
        <v>#N/A Requesting Data...4144610862</v>
        <stp/>
        <stp>BDP|2991356158752037169</stp>
        <tr r="T2525" s="2"/>
      </tp>
      <tp t="s">
        <v>#N/A Requesting Data...4235998699</v>
        <stp/>
        <stp>BDP|3018962986492234706</stp>
        <tr r="R28" s="2"/>
      </tp>
      <tp t="s">
        <v>#N/A Requesting Data...4142652456</v>
        <stp/>
        <stp>BDP|5422531974303317323</stp>
        <tr r="H70" s="2"/>
      </tp>
      <tp t="s">
        <v>#N/A Requesting Data...4248609135</v>
        <stp/>
        <stp>BDP|4129558711066590121</stp>
        <tr r="M163" s="2"/>
      </tp>
      <tp t="s">
        <v>#N/A Requesting Data...4229667061</v>
        <stp/>
        <stp>BDP|3374817589455881119</stp>
        <tr r="K390" s="2"/>
      </tp>
      <tp t="s">
        <v>#N/A Requesting Data...4283206812</v>
        <stp/>
        <stp>BDP|2320507750247613273</stp>
        <tr r="R1017" s="2"/>
      </tp>
      <tp t="s">
        <v>#N/A Requesting Data...4084740469</v>
        <stp/>
        <stp>BDP|2360222461574743550</stp>
        <tr r="J555" s="2"/>
      </tp>
      <tp t="s">
        <v>#N/A Requesting Data...4183341173</v>
        <stp/>
        <stp>BDP|6148604239531299589</stp>
        <tr r="D1140" s="2"/>
      </tp>
      <tp t="s">
        <v>#N/A Requesting Data...4188921065</v>
        <stp/>
        <stp>BDP|8793161627259790536</stp>
        <tr r="J1604" s="2"/>
      </tp>
      <tp t="s">
        <v>#N/A Requesting Data...4139119076</v>
        <stp/>
        <stp>BDP|9225650863426263845</stp>
        <tr r="S2022" s="2"/>
      </tp>
      <tp t="s">
        <v>#N/A Requesting Data...4250804721</v>
        <stp/>
        <stp>BDP|1779988584212990501</stp>
        <tr r="T1548" s="2"/>
      </tp>
      <tp t="s">
        <v>#N/A Requesting Data...4137544247</v>
        <stp/>
        <stp>BDP|7472454053655279427</stp>
        <tr r="A2034" s="2"/>
      </tp>
      <tp t="s">
        <v>#N/A Requesting Data...4179222967</v>
        <stp/>
        <stp>BDP|2623264793359134702</stp>
        <tr r="D2484" s="2"/>
      </tp>
      <tp t="s">
        <v>#N/A Requesting Data...4124935003</v>
        <stp/>
        <stp>BDP|6468441071252448075</stp>
        <tr r="Q1594" s="2"/>
      </tp>
      <tp t="s">
        <v>#N/A Requesting Data...4143693906</v>
        <stp/>
        <stp>BDP|2721501913182547332</stp>
        <tr r="O2220" s="2"/>
      </tp>
      <tp t="s">
        <v>#N/A Requesting Data...4099060576</v>
        <stp/>
        <stp>BDP|2235363416012060502</stp>
        <tr r="F988" s="2"/>
      </tp>
      <tp t="s">
        <v>#N/A Requesting Data...4143792928</v>
        <stp/>
        <stp>BDP|3037545276117004103</stp>
        <tr r="H2295" s="2"/>
      </tp>
      <tp t="s">
        <v>#N/A Requesting Data...4243387759</v>
        <stp/>
        <stp>BDP|4519468300286482157</stp>
        <tr r="K1148" s="2"/>
      </tp>
      <tp t="s">
        <v>#N/A Requesting Data...4290996614</v>
        <stp/>
        <stp>BDP|6697032187188082106</stp>
        <tr r="G2449" s="2"/>
      </tp>
      <tp t="s">
        <v>#N/A Requesting Data...4214716333</v>
        <stp/>
        <stp>BDP|7099256396843210832</stp>
        <tr r="G800" s="2"/>
      </tp>
      <tp t="s">
        <v>#N/A Requesting Data...4218911395</v>
        <stp/>
        <stp>BDP|1062390887825533899</stp>
        <tr r="C823" s="2"/>
      </tp>
      <tp t="s">
        <v>#N/A Requesting Data...4210155814</v>
        <stp/>
        <stp>BDP|4530495967642076393</stp>
        <tr r="J1392" s="2"/>
      </tp>
      <tp t="s">
        <v>#N/A Requesting Data...4184102624</v>
        <stp/>
        <stp>BDP|7316186783131250884</stp>
        <tr r="H46" s="2"/>
      </tp>
      <tp t="s">
        <v>#N/A Requesting Data...4192471682</v>
        <stp/>
        <stp>BDP|5273167715156212417</stp>
        <tr r="J440" s="2"/>
      </tp>
      <tp t="s">
        <v>#N/A Requesting Data...4254994287</v>
        <stp/>
        <stp>BDP|2438545303284726460</stp>
        <tr r="F2141" s="2"/>
      </tp>
      <tp t="s">
        <v>#N/A Requesting Data...4154694976</v>
        <stp/>
        <stp>BDP|1650434545073502577</stp>
        <tr r="Q51" s="2"/>
      </tp>
      <tp t="b">
        <v>0</v>
        <stp/>
        <stp>BDS|6063633648575962603</stp>
        <tr r="I786" s="2"/>
      </tp>
      <tp t="s">
        <v>#N/A Requesting Data...4242917126</v>
        <stp/>
        <stp>BDP|7183320650521986783</stp>
        <tr r="M1446" s="2"/>
      </tp>
      <tp t="s">
        <v>#N/A Requesting Data...4167798914</v>
        <stp/>
        <stp>BDP|6675195710006800754</stp>
        <tr r="E452" s="2"/>
      </tp>
      <tp t="s">
        <v>#N/A Requesting Data...4152064433</v>
        <stp/>
        <stp>BDP|5406299146923178781</stp>
        <tr r="G364" s="2"/>
      </tp>
      <tp t="s">
        <v>#N/A Requesting Data...4286243188</v>
        <stp/>
        <stp>BDP|6383582870820934307</stp>
        <tr r="J520" s="2"/>
      </tp>
      <tp t="s">
        <v>#N/A Requesting Data...4206111507</v>
        <stp/>
        <stp>BDP|6032226822858385913</stp>
        <tr r="M253" s="2"/>
      </tp>
      <tp t="s">
        <v>#N/A Requesting Data...4175597398</v>
        <stp/>
        <stp>BDP|8276700981510614075</stp>
        <tr r="E78" s="2"/>
      </tp>
      <tp t="s">
        <v>#N/A Requesting Data...4207902331</v>
        <stp/>
        <stp>BDP|7601491373624776789</stp>
        <tr r="C1843" s="2"/>
      </tp>
      <tp t="s">
        <v>#N/A Requesting Data...4222122463</v>
        <stp/>
        <stp>BDP|9342519658938991604</stp>
        <tr r="N2448" s="2"/>
      </tp>
      <tp t="s">
        <v>#N/A Requesting Data...4251441336</v>
        <stp/>
        <stp>BDP|3759663766292644629</stp>
        <tr r="F2175" s="2"/>
      </tp>
      <tp t="s">
        <v>#N/A Requesting Data...4294005785</v>
        <stp/>
        <stp>BDP|3617408892101593828</stp>
        <tr r="M354" s="2"/>
      </tp>
      <tp t="s">
        <v>#N/A Requesting Data...4221384388</v>
        <stp/>
        <stp>BDP|1449121806491202618</stp>
        <tr r="H2288" s="2"/>
      </tp>
      <tp t="s">
        <v>#N/A Requesting Data...4280454667</v>
        <stp/>
        <stp>BDP|1447169661431149014</stp>
        <tr r="H1181" s="2"/>
      </tp>
      <tp t="s">
        <v>#N/A Requesting Data...4249723575</v>
        <stp/>
        <stp>BDP|9177276795435747079</stp>
        <tr r="G2279" s="2"/>
      </tp>
      <tp t="s">
        <v>#N/A Requesting Data...4167385284</v>
        <stp/>
        <stp>BDP|7595409840780360059</stp>
        <tr r="R2146" s="2"/>
      </tp>
      <tp t="s">
        <v>#N/A Requesting Data...4276783981</v>
        <stp/>
        <stp>BDP|4123543263481685135</stp>
        <tr r="G1588" s="2"/>
      </tp>
      <tp t="s">
        <v>#N/A Requesting Data...4246508708</v>
        <stp/>
        <stp>BDP|4566872900878856391</stp>
        <tr r="C1741" s="2"/>
      </tp>
      <tp t="s">
        <v>#N/A Requesting Data...4179468821</v>
        <stp/>
        <stp>BDP|6399965423209236375</stp>
        <tr r="C2156" s="2"/>
      </tp>
      <tp t="s">
        <v>#N/A Requesting Data...4251009039</v>
        <stp/>
        <stp>BDP|2107318432531336425</stp>
        <tr r="D606" s="2"/>
      </tp>
      <tp t="s">
        <v>#N/A Requesting Data...4272710814</v>
        <stp/>
        <stp>BDP|4410229356422077630</stp>
        <tr r="G99" s="2"/>
      </tp>
      <tp t="s">
        <v>#N/A Requesting Data...4219498209</v>
        <stp/>
        <stp>BDP|5571436037126735358</stp>
        <tr r="S1843" s="2"/>
      </tp>
      <tp t="s">
        <v>#N/A Requesting Data...4271559186</v>
        <stp/>
        <stp>BDP|8070827174436785627</stp>
        <tr r="D2188" s="2"/>
      </tp>
      <tp t="s">
        <v>#N/A Requesting Data...4239052413</v>
        <stp/>
        <stp>BDP|6476751258103285084</stp>
        <tr r="N1190" s="2"/>
      </tp>
      <tp t="s">
        <v>#N/A Requesting Data...4236033550</v>
        <stp/>
        <stp>BDP|4297363562187747124</stp>
        <tr r="O1718" s="2"/>
      </tp>
      <tp t="b">
        <v>0</v>
        <stp/>
        <stp>BDS|7527581801210983561</stp>
        <tr r="I2012" s="2"/>
      </tp>
      <tp t="s">
        <v>#N/A Requesting Data...4281214540</v>
        <stp/>
        <stp>BDP|9787211249699852141</stp>
        <tr r="R952" s="2"/>
      </tp>
      <tp t="s">
        <v>#N/A Requesting Data...4244170882</v>
        <stp/>
        <stp>BDP|5397000341494005216</stp>
        <tr r="E2399" s="2"/>
      </tp>
      <tp t="s">
        <v>#N/A Requesting Data...4248207238</v>
        <stp/>
        <stp>BDP|2106739291192834980</stp>
        <tr r="E436" s="2"/>
      </tp>
      <tp t="s">
        <v>#N/A Requesting Data...4255176823</v>
        <stp/>
        <stp>BDP|1195402536027478607</stp>
        <tr r="T888" s="2"/>
      </tp>
      <tp t="s">
        <v>#N/A Requesting Data...4262489530</v>
        <stp/>
        <stp>BDP|2138535394189688034</stp>
        <tr r="E920" s="2"/>
      </tp>
      <tp t="s">
        <v>#N/A Requesting Data...4215544044</v>
        <stp/>
        <stp>BDP|7602439275123539060</stp>
        <tr r="E534" s="2"/>
      </tp>
      <tp t="s">
        <v>#N/A Requesting Data...4214963163</v>
        <stp/>
        <stp>BDP|5485191858490510636</stp>
        <tr r="P710" s="2"/>
      </tp>
      <tp t="s">
        <v>#N/A Requesting Data...4260675654</v>
        <stp/>
        <stp>BDP|6856626149937742474</stp>
        <tr r="R2093" s="2"/>
      </tp>
      <tp t="s">
        <v>#N/A Requesting Data...4224657170</v>
        <stp/>
        <stp>BDP|9617837237730731568</stp>
        <tr r="P759" s="2"/>
      </tp>
      <tp t="s">
        <v>#N/A Requesting Data...4229268928</v>
        <stp/>
        <stp>BDP|2856026556902792289</stp>
        <tr r="D2405" s="2"/>
      </tp>
      <tp t="s">
        <v>#N/A Requesting Data...4279168855</v>
        <stp/>
        <stp>BDP|1428644811681736059</stp>
        <tr r="O2471" s="2"/>
      </tp>
      <tp t="s">
        <v>#N/A Requesting Data...4267040989</v>
        <stp/>
        <stp>BDP|2509227836397366318</stp>
        <tr r="G1685" s="2"/>
      </tp>
      <tp t="s">
        <v>#N/A Requesting Data...4220070967</v>
        <stp/>
        <stp>BDP|6206942711889740034</stp>
        <tr r="M1295" s="2"/>
      </tp>
      <tp t="s">
        <v>#N/A Requesting Data...4234605907</v>
        <stp/>
        <stp>BDP|5631447961281590152</stp>
        <tr r="K329" s="2"/>
      </tp>
      <tp t="s">
        <v>#N/A Requesting Data...4261916395</v>
        <stp/>
        <stp>BDP|7091763982698031772</stp>
        <tr r="F1240" s="2"/>
      </tp>
      <tp t="s">
        <v>#N/A Requesting Data...4263195428</v>
        <stp/>
        <stp>BDP|5499669274107495415</stp>
        <tr r="A333" s="2"/>
      </tp>
      <tp t="s">
        <v>#N/A Requesting Data...4269180228</v>
        <stp/>
        <stp>BDP|1735159195296377872</stp>
        <tr r="R1067" s="2"/>
      </tp>
      <tp t="s">
        <v>#N/A Requesting Data...4229340448</v>
        <stp/>
        <stp>BDP|6658609844784049713</stp>
        <tr r="N2300" s="2"/>
      </tp>
      <tp t="s">
        <v>#N/A Requesting Data...4275870191</v>
        <stp/>
        <stp>BDP|9669501550047395962</stp>
        <tr r="J118" s="2"/>
      </tp>
      <tp t="s">
        <v>#N/A Requesting Data...4273571854</v>
        <stp/>
        <stp>BDP|2109438830795426751</stp>
        <tr r="T2354" s="2"/>
      </tp>
      <tp t="s">
        <v>#N/A Requesting Data...4271509724</v>
        <stp/>
        <stp>BDP|6249399009562421056</stp>
        <tr r="D1002" s="2"/>
      </tp>
      <tp t="s">
        <v>#N/A Requesting Data...4261430254</v>
        <stp/>
        <stp>BDP|2150111320241702749</stp>
        <tr r="E1511" s="2"/>
      </tp>
      <tp t="b">
        <v>0</v>
        <stp/>
        <stp>BDS|7387153506885069439</stp>
        <tr r="I1014" s="2"/>
      </tp>
      <tp t="s">
        <v>#N/A Requesting Data...4265087877</v>
        <stp/>
        <stp>BDP|5723769328053829426</stp>
        <tr r="D131" s="2"/>
      </tp>
      <tp t="s">
        <v>#N/A Requesting Data...4290163950</v>
        <stp/>
        <stp>BDP|1523637817839155837</stp>
        <tr r="A2298" s="2"/>
      </tp>
      <tp t="s">
        <v>#N/A Requesting Data...4264151610</v>
        <stp/>
        <stp>BDP|3403996238867199978</stp>
        <tr r="R552" s="2"/>
      </tp>
      <tp t="s">
        <v>#N/A Requesting Data...4290536293</v>
        <stp/>
        <stp>BDP|2577854506978470513</stp>
        <tr r="Q1643" s="2"/>
      </tp>
      <tp t="s">
        <v>#N/A Requesting Data...4285617054</v>
        <stp/>
        <stp>BDP|4522932471564695922</stp>
        <tr r="Q1248" s="2"/>
      </tp>
      <tp t="s">
        <v>#N/A Requesting Data...4253684821</v>
        <stp/>
        <stp>BDP|6650916032139456229</stp>
        <tr r="D2448" s="2"/>
      </tp>
      <tp t="s">
        <v>#N/A Requesting Data...4287833955</v>
        <stp/>
        <stp>BDP|8376755387115142539</stp>
        <tr r="J1342" s="2"/>
      </tp>
      <tp t="s">
        <v>#N/A Requesting Data...4269434223</v>
        <stp/>
        <stp>BDP|2741593219864045545</stp>
        <tr r="A1357" s="2"/>
      </tp>
      <tp t="s">
        <v>#N/A Requesting Data...4275369685</v>
        <stp/>
        <stp>BDP|3802360759736114458</stp>
        <tr r="D2246" s="2"/>
      </tp>
      <tp t="s">
        <v>#N/A Requesting Data...4279490308</v>
        <stp/>
        <stp>BDP|9755908923405563021</stp>
        <tr r="F1742" s="2"/>
      </tp>
      <tp t="s">
        <v>#N/A Requesting Data...4288032426</v>
        <stp/>
        <stp>BDP|1014928241593616863</stp>
        <tr r="J1146" s="2"/>
      </tp>
      <tp t="s">
        <v>#N/A Requesting Data...4289657582</v>
        <stp/>
        <stp>BDP|3166277260416655631</stp>
        <tr r="M1714" s="2"/>
      </tp>
      <tp t="s">
        <v>#N/A Requesting Data...4282545193</v>
        <stp/>
        <stp>BDP|1737521824064504573</stp>
        <tr r="C518" s="2"/>
      </tp>
      <tp t="s">
        <v>#N/A Requesting Data...4275218498</v>
        <stp/>
        <stp>BDP|1875157498886394850</stp>
        <tr r="P1109" s="2"/>
      </tp>
      <tp t="s">
        <v>#N/A Requesting Data...4292091195</v>
        <stp/>
        <stp>BDP|1569344802712028706</stp>
        <tr r="R639" s="2"/>
      </tp>
      <tp t="s">
        <v>#N/A Requesting Data...4289256896</v>
        <stp/>
        <stp>BDP|6246005348645148082</stp>
        <tr r="R949" s="2"/>
      </tp>
      <tp t="s">
        <v>#N/A Requesting Data...3117584357</v>
        <stp/>
        <stp>BDP|7344561483988593504</stp>
        <tr r="H823" s="2"/>
      </tp>
      <tp t="s">
        <v>#N/A Requesting Data...1603900344</v>
        <stp/>
        <stp>BDP|5032730661375706660</stp>
        <tr r="H259" s="2"/>
      </tp>
      <tp t="s">
        <v>#N/A Requesting Data...4120758322</v>
        <stp/>
        <stp>BDP|5065312243143354620</stp>
        <tr r="M1289" s="2"/>
      </tp>
      <tp t="s">
        <v>#N/A Requesting Data...3286790657</v>
        <stp/>
        <stp>BDP|8707517310052770920</stp>
        <tr r="A584" s="2"/>
      </tp>
      <tp t="s">
        <v>#N/A Requesting Data...1636302469</v>
        <stp/>
        <stp>BDP|4873384334842438138</stp>
        <tr r="F1358" s="2"/>
      </tp>
      <tp t="s">
        <v>#N/A Requesting Data...1981962192</v>
        <stp/>
        <stp>BDP|4799419823720318556</stp>
        <tr r="F1285" s="2"/>
      </tp>
      <tp t="s">
        <v>#N/A Requesting Data...174237338</v>
        <stp/>
        <stp>BDP|1650484140774943241</stp>
        <tr r="F1703" s="2"/>
      </tp>
      <tp t="s">
        <v>#N/A Requesting Data...1671043049</v>
        <stp/>
        <stp>BDP|3321235317663621420</stp>
        <tr r="G1855" s="2"/>
      </tp>
      <tp t="s">
        <v>#N/A Requesting Data...3984851495</v>
        <stp/>
        <stp>BDP|1418240961361037322</stp>
        <tr r="S2019" s="2"/>
      </tp>
      <tp t="s">
        <v>#N/A Requesting Data...1085274009</v>
        <stp/>
        <stp>BDP|3021755719455832773</stp>
        <tr r="O2284" s="2"/>
      </tp>
      <tp t="s">
        <v>#N/A Requesting Data...509786917</v>
        <stp/>
        <stp>BDP|7392684920226048288</stp>
        <tr r="E715" s="2"/>
      </tp>
      <tp t="s">
        <v>#N/A Requesting Data...603045870</v>
        <stp/>
        <stp>BDP|6574048860116483165</stp>
        <tr r="R2209" s="2"/>
      </tp>
      <tp t="s">
        <v>#N/A Requesting Data...3104724730</v>
        <stp/>
        <stp>BDP|6769390427148367892</stp>
        <tr r="H507" s="2"/>
      </tp>
      <tp t="s">
        <v>#N/A Requesting Data...2580657195</v>
        <stp/>
        <stp>BDP|2898636703333398087</stp>
        <tr r="G940" s="2"/>
      </tp>
      <tp t="s">
        <v>#N/A Requesting Data...2602352006</v>
        <stp/>
        <stp>BDP|4393216255976706234</stp>
        <tr r="A1821" s="2"/>
      </tp>
      <tp t="b">
        <v>0</v>
        <stp/>
        <stp>BDS|2257075531045156364</stp>
        <tr r="I1208" s="2"/>
      </tp>
      <tp t="s">
        <v>#N/A Requesting Data...839701592</v>
        <stp/>
        <stp>BDP|5869523640794134783</stp>
        <tr r="J994" s="2"/>
      </tp>
      <tp t="s">
        <v>#N/A Requesting Data...3157643211</v>
        <stp/>
        <stp>BDP|4523850774034364846</stp>
        <tr r="T2028" s="2"/>
      </tp>
      <tp t="b">
        <v>0</v>
        <stp/>
        <stp>BDS|1159113400556044136</stp>
        <tr r="I1244" s="2"/>
      </tp>
      <tp t="s">
        <v>#N/A Requesting Data...1983302356</v>
        <stp/>
        <stp>BDP|7736274847366201066</stp>
        <tr r="D2352" s="2"/>
      </tp>
      <tp t="s">
        <v>#N/A Requesting Data...1440917843</v>
        <stp/>
        <stp>BDP|6948691633326908293</stp>
        <tr r="S2334" s="2"/>
      </tp>
      <tp t="s">
        <v>#N/A Requesting Data...1966579596</v>
        <stp/>
        <stp>BDP|5706413151183219066</stp>
        <tr r="T139" s="2"/>
      </tp>
      <tp t="s">
        <v>#N/A Requesting Data...3207601680</v>
        <stp/>
        <stp>BDP|6044329390659064218</stp>
        <tr r="P2194" s="2"/>
      </tp>
      <tp t="s">
        <v>#N/A Requesting Data...2436834364</v>
        <stp/>
        <stp>BDP|9241911465621571001</stp>
        <tr r="M2504" s="2"/>
      </tp>
      <tp t="s">
        <v>#N/A Requesting Data...1231529186</v>
        <stp/>
        <stp>BDP|5798620766093441148</stp>
        <tr r="J2019" s="2"/>
      </tp>
      <tp t="s">
        <v>#N/A Requesting Data...1490673134</v>
        <stp/>
        <stp>BDP|6941300149291449777</stp>
        <tr r="P1265" s="2"/>
      </tp>
      <tp t="s">
        <v>#N/A Requesting Data...2917151276</v>
        <stp/>
        <stp>BDP|3414839297880727547</stp>
        <tr r="H163" s="2"/>
      </tp>
      <tp t="s">
        <v>#N/A Requesting Data...3369644886</v>
        <stp/>
        <stp>BDP|6595918442598491418</stp>
        <tr r="F634" s="2"/>
      </tp>
      <tp t="s">
        <v>#N/A Requesting Data...1432435463</v>
        <stp/>
        <stp>BDP|4132233607517013660</stp>
        <tr r="D1191" s="2"/>
      </tp>
      <tp t="s">
        <v>#N/A Requesting Data...1233956339</v>
        <stp/>
        <stp>BDP|5605799041803523287</stp>
        <tr r="T234" s="2"/>
      </tp>
      <tp t="s">
        <v>#N/A Requesting Data...139896953</v>
        <stp/>
        <stp>BDP|5937539968671108008</stp>
        <tr r="T114" s="2"/>
      </tp>
      <tp t="s">
        <v>#N/A Requesting Data...4019826565</v>
        <stp/>
        <stp>BDP|4716141501722243037</stp>
        <tr r="T665" s="2"/>
      </tp>
      <tp t="s">
        <v>#N/A Requesting Data...364849606</v>
        <stp/>
        <stp>BDP|1053163572459060970</stp>
        <tr r="T1737" s="2"/>
      </tp>
      <tp t="s">
        <v>#N/A Requesting Data...1993427155</v>
        <stp/>
        <stp>BDP|2010554138171708290</stp>
        <tr r="G1846" s="2"/>
      </tp>
      <tp t="s">
        <v>#N/A Requesting Data...4102189373</v>
        <stp/>
        <stp>BDP|8286662781884470521</stp>
        <tr r="D2093" s="2"/>
      </tp>
      <tp t="b">
        <v>0</v>
        <stp/>
        <stp>BDS|9484576823731265818</stp>
        <tr r="I2281" s="2"/>
      </tp>
      <tp t="s">
        <v>#N/A Requesting Data...2139653584</v>
        <stp/>
        <stp>BDP|3439174362047455466</stp>
        <tr r="T1570" s="2"/>
      </tp>
      <tp t="s">
        <v>#N/A Requesting Data...1086773318</v>
        <stp/>
        <stp>BDP|5182294868241485772</stp>
        <tr r="D587" s="2"/>
      </tp>
      <tp t="s">
        <v>#N/A Requesting Data...1590327568</v>
        <stp/>
        <stp>BDP|3496342373938742871</stp>
        <tr r="N409" s="2"/>
      </tp>
      <tp t="s">
        <v>#N/A Requesting Data...564803447</v>
        <stp/>
        <stp>BDP|3342248860751289164</stp>
        <tr r="O1791" s="2"/>
      </tp>
      <tp t="b">
        <v>0</v>
        <stp/>
        <stp>BDS|2425059452236744679</stp>
        <tr r="I1788" s="2"/>
      </tp>
      <tp t="s">
        <v>#N/A Requesting Data...3311615475</v>
        <stp/>
        <stp>BDP|2477758404821601300</stp>
        <tr r="N1409" s="2"/>
      </tp>
      <tp t="s">
        <v>#N/A Requesting Data...1161430628</v>
        <stp/>
        <stp>BDP|1707220107354652071</stp>
        <tr r="R1893" s="2"/>
      </tp>
      <tp t="s">
        <v>#N/A Requesting Data...1470166770</v>
        <stp/>
        <stp>BDP|9506951036624225072</stp>
        <tr r="G723" s="2"/>
      </tp>
      <tp t="s">
        <v>#N/A Requesting Data...3869158728</v>
        <stp/>
        <stp>BDP|7938762650693514191</stp>
        <tr r="Q1511" s="2"/>
      </tp>
      <tp t="s">
        <v>#N/A Requesting Data...2564129446</v>
        <stp/>
        <stp>BDP|8505668785552438319</stp>
        <tr r="T1100" s="2"/>
      </tp>
      <tp t="s">
        <v>#N/A Requesting Data...3700576602</v>
        <stp/>
        <stp>BDP|4970038338338994883</stp>
        <tr r="K37" s="2"/>
      </tp>
      <tp t="s">
        <v>#N/A Requesting Data...3896356023</v>
        <stp/>
        <stp>BDP|7571322774345202120</stp>
        <tr r="E455" s="2"/>
      </tp>
      <tp t="s">
        <v>#N/A Requesting Data...260622675</v>
        <stp/>
        <stp>BDP|9802886192738203737</stp>
        <tr r="K1091" s="2"/>
      </tp>
      <tp t="s">
        <v>#N/A Requesting Data...962312666</v>
        <stp/>
        <stp>BDP|5116321348593841607</stp>
        <tr r="E368" s="2"/>
      </tp>
      <tp t="s">
        <v>#N/A Requesting Data...2588595854</v>
        <stp/>
        <stp>BDP|5182877540217370953</stp>
        <tr r="T2433" s="2"/>
      </tp>
      <tp t="s">
        <v>#N/A Requesting Data...1582191520</v>
        <stp/>
        <stp>BDP|6902647486968317786</stp>
        <tr r="G109" s="2"/>
      </tp>
      <tp t="s">
        <v>#N/A Requesting Data...4045261799</v>
        <stp/>
        <stp>BDP|8908589986452135067</stp>
        <tr r="F573" s="2"/>
      </tp>
      <tp t="s">
        <v>#N/A Requesting Data...1860379315</v>
        <stp/>
        <stp>BDP|9465886551516980544</stp>
        <tr r="S1344" s="2"/>
      </tp>
      <tp t="s">
        <v>#N/A Requesting Data...3001346242</v>
        <stp/>
        <stp>BDP|6193283313251396398</stp>
        <tr r="R706" s="2"/>
      </tp>
      <tp t="s">
        <v>#N/A Requesting Data...3565446103</v>
        <stp/>
        <stp>BDP|6078371264274344009</stp>
        <tr r="H1304" s="2"/>
      </tp>
      <tp t="s">
        <v>#N/A Requesting Data...2592722061</v>
        <stp/>
        <stp>BDP|8662269092206333216</stp>
        <tr r="N1465" s="2"/>
      </tp>
      <tp t="s">
        <v>#N/A Requesting Data...209699075</v>
        <stp/>
        <stp>BDP|3326370963819672815</stp>
        <tr r="D809" s="2"/>
      </tp>
      <tp t="s">
        <v>#N/A Requesting Data...1960087577</v>
        <stp/>
        <stp>BDP|7433968855065317942</stp>
        <tr r="K2360" s="2"/>
      </tp>
      <tp t="b">
        <v>0</v>
        <stp/>
        <stp>BDS|6549592184665925919</stp>
        <tr r="I781" s="2"/>
      </tp>
      <tp t="s">
        <v>#N/A Requesting Data...1966802671</v>
        <stp/>
        <stp>BDP|1255245554652581375</stp>
        <tr r="Q2431" s="2"/>
      </tp>
      <tp t="b">
        <v>0</v>
        <stp/>
        <stp>BDS|1857605676932827563</stp>
        <tr r="I1769" s="2"/>
      </tp>
      <tp t="s">
        <v>#N/A Requesting Data...783095778</v>
        <stp/>
        <stp>BDP|4232020561154392120</stp>
        <tr r="H1559" s="2"/>
      </tp>
      <tp t="s">
        <v>#N/A Requesting Data...4186493793</v>
        <stp/>
        <stp>BDP|6565524389975961976</stp>
        <tr r="D108" s="2"/>
      </tp>
      <tp t="s">
        <v>#N/A Requesting Data...1191564844</v>
        <stp/>
        <stp>BDP|5328600295989798419</stp>
        <tr r="O675" s="2"/>
      </tp>
      <tp t="s">
        <v>#N/A Requesting Data...3367742679</v>
        <stp/>
        <stp>BDP|9830174352059444399</stp>
        <tr r="P1954" s="2"/>
      </tp>
      <tp t="s">
        <v>#N/A Requesting Data...1545693403</v>
        <stp/>
        <stp>BDP|2401737615910635347</stp>
        <tr r="Q428" s="2"/>
      </tp>
      <tp t="s">
        <v>#N/A Requesting Data...2621158467</v>
        <stp/>
        <stp>BDP|8817192880965575347</stp>
        <tr r="T1881" s="2"/>
      </tp>
      <tp t="s">
        <v>#N/A Requesting Data...4125162894</v>
        <stp/>
        <stp>BDP|8173031626524308979</stp>
        <tr r="C2009" s="2"/>
      </tp>
      <tp t="s">
        <v>#N/A Requesting Data...3724400924</v>
        <stp/>
        <stp>BDP|5502810514969628261</stp>
        <tr r="T1133" s="2"/>
      </tp>
      <tp t="s">
        <v>#N/A Requesting Data...3338438022</v>
        <stp/>
        <stp>BDP|7228066127757607559</stp>
        <tr r="M1691" s="2"/>
      </tp>
      <tp t="s">
        <v>#N/A Requesting Data...2091746996</v>
        <stp/>
        <stp>BDP|5991556570426900656</stp>
        <tr r="N886" s="2"/>
      </tp>
      <tp t="b">
        <v>0</v>
        <stp/>
        <stp>BDS|8007299885341576493</stp>
        <tr r="I462" s="2"/>
      </tp>
      <tp t="s">
        <v>#N/A Requesting Data...1476743786</v>
        <stp/>
        <stp>BDP|1043392536403898576</stp>
        <tr r="S1184" s="2"/>
      </tp>
      <tp t="s">
        <v>#N/A Requesting Data...3128079156</v>
        <stp/>
        <stp>BDP|5413206724950137211</stp>
        <tr r="F1573" s="2"/>
      </tp>
      <tp t="s">
        <v>#N/A Requesting Data...460781955</v>
        <stp/>
        <stp>BDP|2416155661241933399</stp>
        <tr r="S1972" s="2"/>
      </tp>
      <tp t="s">
        <v>#N/A Requesting Data...3860540170</v>
        <stp/>
        <stp>BDP|8452125189826800074</stp>
        <tr r="M388" s="2"/>
      </tp>
      <tp t="s">
        <v>#N/A Requesting Data...3057121474</v>
        <stp/>
        <stp>BDP|3121273634930358511</stp>
        <tr r="E1013" s="2"/>
      </tp>
      <tp t="s">
        <v>#N/A Requesting Data...1456367904</v>
        <stp/>
        <stp>BDP|3359838440361517953</stp>
        <tr r="K1925" s="2"/>
      </tp>
      <tp t="s">
        <v>#N/A Requesting Data...2962081527</v>
        <stp/>
        <stp>BDP|2511183178167078458</stp>
        <tr r="N2085" s="2"/>
      </tp>
      <tp t="s">
        <v>#N/A Requesting Data...2649253464</v>
        <stp/>
        <stp>BDP|6740962981555493546</stp>
        <tr r="R1042" s="2"/>
      </tp>
      <tp t="s">
        <v>#N/A Requesting Data...2689219568</v>
        <stp/>
        <stp>BDP|5161168893919330378</stp>
        <tr r="M368" s="2"/>
      </tp>
      <tp t="s">
        <v>#N/A Requesting Data...1790525251</v>
        <stp/>
        <stp>BDP|3739417881988362047</stp>
        <tr r="D393" s="2"/>
      </tp>
      <tp t="s">
        <v>#N/A Requesting Data...1983793301</v>
        <stp/>
        <stp>BDP|1664392733643991554</stp>
        <tr r="F1604" s="2"/>
      </tp>
      <tp t="s">
        <v>#N/A Requesting Data...515795924</v>
        <stp/>
        <stp>BDP|9215769379759473797</stp>
        <tr r="F1547" s="2"/>
      </tp>
      <tp t="s">
        <v>#N/A Requesting Data...942988141</v>
        <stp/>
        <stp>BDP|5335410666690626028</stp>
        <tr r="D353" s="2"/>
      </tp>
      <tp t="s">
        <v>#N/A Requesting Data...1353263636</v>
        <stp/>
        <stp>BDP|9509956336360490423</stp>
        <tr r="N754" s="2"/>
      </tp>
      <tp t="s">
        <v>#N/A Requesting Data...1756878018</v>
        <stp/>
        <stp>BDP|3434270866684199443</stp>
        <tr r="E399" s="2"/>
      </tp>
      <tp t="s">
        <v>#N/A Requesting Data...2332241185</v>
        <stp/>
        <stp>BDP|2768351509962853434</stp>
        <tr r="O302" s="2"/>
      </tp>
      <tp t="s">
        <v>#N/A Requesting Data...475910682</v>
        <stp/>
        <stp>BDP|5566127006521631279</stp>
        <tr r="F242" s="2"/>
      </tp>
      <tp t="s">
        <v>#N/A Requesting Data...3624326730</v>
        <stp/>
        <stp>BDP|3996064105293292788</stp>
        <tr r="P1980" s="2"/>
      </tp>
      <tp t="s">
        <v>#N/A Requesting Data...2221467581</v>
        <stp/>
        <stp>BDP|8753644595188596837</stp>
        <tr r="J383" s="2"/>
      </tp>
      <tp t="s">
        <v>#N/A Requesting Data...2714707112</v>
        <stp/>
        <stp>BDP|9249953532872713620</stp>
        <tr r="A1729" s="2"/>
      </tp>
      <tp t="s">
        <v>#N/A Requesting Data...1757964614</v>
        <stp/>
        <stp>BDP|4395154127059278934</stp>
        <tr r="E1027" s="2"/>
      </tp>
      <tp t="s">
        <v>#N/A Requesting Data...1354124789</v>
        <stp/>
        <stp>BDP|6121976157984803993</stp>
        <tr r="A316" s="2"/>
      </tp>
      <tp t="s">
        <v>#N/A Requesting Data...2672502471</v>
        <stp/>
        <stp>BDP|6426769792946731970</stp>
        <tr r="J1881" s="2"/>
      </tp>
      <tp t="s">
        <v>#N/A Requesting Data...3197659822</v>
        <stp/>
        <stp>BDP|7075825354618543531</stp>
        <tr r="J806" s="2"/>
      </tp>
      <tp t="s">
        <v>#N/A Requesting Data...775226723</v>
        <stp/>
        <stp>BDP|4006131713157294428</stp>
        <tr r="E1326" s="2"/>
      </tp>
      <tp t="s">
        <v>#N/A Requesting Data...2175686931</v>
        <stp/>
        <stp>BDP|6241727752030277305</stp>
        <tr r="G193" s="2"/>
      </tp>
      <tp t="s">
        <v>#N/A Requesting Data...2893819135</v>
        <stp/>
        <stp>BDP|3748649046962672432</stp>
        <tr r="D2487" s="2"/>
      </tp>
      <tp t="s">
        <v>#N/A Requesting Data...2276035349</v>
        <stp/>
        <stp>BDP|9728442286446043451</stp>
        <tr r="M2163" s="2"/>
      </tp>
      <tp t="s">
        <v>#N/A Requesting Data...3995775929</v>
        <stp/>
        <stp>BDP|1996757546894274180</stp>
        <tr r="H379" s="2"/>
      </tp>
      <tp t="s">
        <v>#N/A Requesting Data...3967328425</v>
        <stp/>
        <stp>BDP|2480349821042693679</stp>
        <tr r="O2358" s="2"/>
      </tp>
      <tp t="s">
        <v>#N/A Requesting Data...2259168443</v>
        <stp/>
        <stp>BDP|2511487859702233663</stp>
        <tr r="H2482" s="2"/>
      </tp>
      <tp t="s">
        <v>#N/A Requesting Data...1206879211</v>
        <stp/>
        <stp>BDP|5800840216392871925</stp>
        <tr r="D1325" s="2"/>
      </tp>
      <tp t="s">
        <v>#N/A Requesting Data...4106594971</v>
        <stp/>
        <stp>BDP|6030340691459427215</stp>
        <tr r="S1141" s="2"/>
      </tp>
      <tp t="s">
        <v>#N/A Requesting Data...998027784</v>
        <stp/>
        <stp>BDP|6541946832788555360</stp>
        <tr r="O1119" s="2"/>
      </tp>
      <tp t="s">
        <v>#N/A Requesting Data...1108500456</v>
        <stp/>
        <stp>BDP|1734905494915091336</stp>
        <tr r="P829" s="2"/>
      </tp>
      <tp t="s">
        <v>#N/A Requesting Data...3535178478</v>
        <stp/>
        <stp>BDP|2667014662140074354</stp>
        <tr r="O664" s="2"/>
      </tp>
      <tp t="s">
        <v>#N/A Requesting Data...996342113</v>
        <stp/>
        <stp>BDP|1066193474131579183</stp>
        <tr r="C1929" s="2"/>
      </tp>
      <tp t="b">
        <v>0</v>
        <stp/>
        <stp>BDS|6401305731771727020</stp>
        <tr r="I1583" s="2"/>
      </tp>
      <tp t="s">
        <v>#N/A Requesting Data...1300189463</v>
        <stp/>
        <stp>BDP|4828340309405169543</stp>
        <tr r="G1391" s="2"/>
      </tp>
      <tp t="s">
        <v>#N/A Requesting Data...3330067291</v>
        <stp/>
        <stp>BDP|7836526866531560295</stp>
        <tr r="O1030" s="2"/>
      </tp>
      <tp t="s">
        <v>#N/A Requesting Data...2010928033</v>
        <stp/>
        <stp>BDP|1979825549069345315</stp>
        <tr r="M2126" s="2"/>
      </tp>
      <tp t="s">
        <v>#N/A Requesting Data...1906666283</v>
        <stp/>
        <stp>BDP|1407187557722228091</stp>
        <tr r="F990" s="2"/>
      </tp>
      <tp t="s">
        <v>#N/A Requesting Data...3808320117</v>
        <stp/>
        <stp>BDP|9724312097034576045</stp>
        <tr r="E985" s="2"/>
      </tp>
      <tp t="s">
        <v>#N/A Requesting Data...2178704347</v>
        <stp/>
        <stp>BDP|1642263803641712542</stp>
        <tr r="F249" s="2"/>
      </tp>
      <tp t="s">
        <v>#N/A Requesting Data...1902028908</v>
        <stp/>
        <stp>BDP|7850905406809829068</stp>
        <tr r="G951" s="2"/>
      </tp>
      <tp t="s">
        <v>#N/A Requesting Data...4076914220</v>
        <stp/>
        <stp>BDP|5735917997800872299</stp>
        <tr r="R1760" s="2"/>
      </tp>
      <tp t="s">
        <v>#N/A Requesting Data...1649867780</v>
        <stp/>
        <stp>BDP|5841366805616813737</stp>
        <tr r="F370" s="2"/>
      </tp>
      <tp t="s">
        <v>#N/A Requesting Data...4162844771</v>
        <stp/>
        <stp>BDP|4297535236332532729</stp>
        <tr r="E262" s="2"/>
      </tp>
      <tp t="s">
        <v>#N/A Requesting Data...1220873366</v>
        <stp/>
        <stp>BDP|6122264324076002733</stp>
        <tr r="P837" s="2"/>
      </tp>
      <tp t="s">
        <v>#N/A Requesting Data...4212749738</v>
        <stp/>
        <stp>BDP|7705933677088604656</stp>
        <tr r="F1301" s="2"/>
      </tp>
      <tp t="s">
        <v>#N/A Requesting Data...2059112959</v>
        <stp/>
        <stp>BDP|3239365354352335033</stp>
        <tr r="F1070" s="2"/>
      </tp>
      <tp t="s">
        <v>#N/A Requesting Data...614831413</v>
        <stp/>
        <stp>BDP|7339396248846309119</stp>
        <tr r="R589" s="2"/>
      </tp>
      <tp t="s">
        <v>#N/A Requesting Data...3550437318</v>
        <stp/>
        <stp>BDP|6435277852123138502</stp>
        <tr r="J654" s="2"/>
      </tp>
      <tp t="s">
        <v>#N/A Requesting Data...1257496917</v>
        <stp/>
        <stp>BDP|7959350418193263166</stp>
        <tr r="Q2527" s="2"/>
      </tp>
      <tp t="s">
        <v>#N/A Requesting Data...2642911066</v>
        <stp/>
        <stp>BDP|7532617308316450086</stp>
        <tr r="R1389" s="2"/>
      </tp>
      <tp t="s">
        <v>#N/A Requesting Data...3027057791</v>
        <stp/>
        <stp>BDP|9482368621039514665</stp>
        <tr r="M126" s="2"/>
      </tp>
      <tp t="b">
        <v>0</v>
        <stp/>
        <stp>BDS|9306833962401602140</stp>
        <tr r="I116" s="2"/>
      </tp>
      <tp t="s">
        <v>#N/A Requesting Data...1207600925</v>
        <stp/>
        <stp>BDP|1149705199570090889</stp>
        <tr r="M2218" s="2"/>
      </tp>
      <tp t="s">
        <v>#N/A Requesting Data...1528987387</v>
        <stp/>
        <stp>BDP|5006201466717057164</stp>
        <tr r="D2044" s="2"/>
      </tp>
      <tp t="s">
        <v>#N/A Requesting Data...3930944241</v>
        <stp/>
        <stp>BDP|9447097665478831003</stp>
        <tr r="S270" s="2"/>
      </tp>
      <tp t="s">
        <v>#N/A Requesting Data...2852142734</v>
        <stp/>
        <stp>BDP|6763105666414605270</stp>
        <tr r="C2029" s="2"/>
      </tp>
      <tp t="s">
        <v>#N/A Requesting Data...3722011934</v>
        <stp/>
        <stp>BDP|7176822746629642530</stp>
        <tr r="Q978" s="2"/>
      </tp>
      <tp t="s">
        <v>#N/A Requesting Data...3880164616</v>
        <stp/>
        <stp>BDP|1706853785766225051</stp>
        <tr r="P1707" s="2"/>
      </tp>
      <tp t="s">
        <v>#N/A Requesting Data...842921441</v>
        <stp/>
        <stp>BDP|6341476379536553485</stp>
        <tr r="E1705" s="2"/>
      </tp>
      <tp t="s">
        <v>#N/A Requesting Data...1890984546</v>
        <stp/>
        <stp>BDP|7578077452846990396</stp>
        <tr r="D2243" s="2"/>
      </tp>
      <tp t="s">
        <v>#N/A Requesting Data...3216141555</v>
        <stp/>
        <stp>BDP|9467729496484681464</stp>
        <tr r="O984" s="2"/>
      </tp>
      <tp t="s">
        <v>#N/A Requesting Data...986462909</v>
        <stp/>
        <stp>BDP|1228845656443551851</stp>
        <tr r="C138" s="2"/>
      </tp>
      <tp t="s">
        <v>#N/A Requesting Data...2497891254</v>
        <stp/>
        <stp>BDP|9535242724139145742</stp>
        <tr r="R1058" s="2"/>
      </tp>
      <tp t="s">
        <v>#N/A Requesting Data...2663112065</v>
        <stp/>
        <stp>BDP|1844543423259770884</stp>
        <tr r="S309" s="2"/>
      </tp>
      <tp t="s">
        <v>#N/A Requesting Data...3670995336</v>
        <stp/>
        <stp>BDP|3945715686052923975</stp>
        <tr r="A1900" s="2"/>
      </tp>
      <tp t="s">
        <v>#N/A Requesting Data...3725115277</v>
        <stp/>
        <stp>BDP|4370311776020183758</stp>
        <tr r="A2100" s="2"/>
      </tp>
      <tp t="s">
        <v>#N/A Requesting Data...3180164089</v>
        <stp/>
        <stp>BDP|7397619532170622565</stp>
        <tr r="O542" s="2"/>
      </tp>
      <tp t="s">
        <v>#N/A Requesting Data...3646051627</v>
        <stp/>
        <stp>BDP|4775167817771729213</stp>
        <tr r="E2128" s="2"/>
      </tp>
      <tp t="s">
        <v>#N/A Requesting Data...2410134558</v>
        <stp/>
        <stp>BDP|8071953975988883983</stp>
        <tr r="O793" s="2"/>
      </tp>
      <tp t="s">
        <v>#N/A Requesting Data...1831428762</v>
        <stp/>
        <stp>BDP|4521734353364508503</stp>
        <tr r="N103" s="2"/>
      </tp>
      <tp t="s">
        <v>#N/A Requesting Data...3879666507</v>
        <stp/>
        <stp>BDP|5843374327396124597</stp>
        <tr r="T893" s="2"/>
      </tp>
      <tp t="b">
        <v>0</v>
        <stp/>
        <stp>BDS|1512115944044600761</stp>
        <tr r="I2405" s="2"/>
      </tp>
      <tp t="s">
        <v>#N/A Requesting Data...899072985</v>
        <stp/>
        <stp>BDP|4153229810531381107</stp>
        <tr r="C2416" s="2"/>
      </tp>
      <tp t="s">
        <v>#N/A Requesting Data...986914626</v>
        <stp/>
        <stp>BDP|8933270507098136586</stp>
        <tr r="K498" s="2"/>
      </tp>
      <tp t="b">
        <v>0</v>
        <stp/>
        <stp>BDS|8531829065495691442</stp>
        <tr r="I1839" s="2"/>
      </tp>
      <tp t="b">
        <v>0</v>
        <stp/>
        <stp>BDS|2123727637469318875</stp>
        <tr r="I1249" s="2"/>
      </tp>
      <tp t="s">
        <v>#N/A Requesting Data...2051218534</v>
        <stp/>
        <stp>BDP|2372136946155499530</stp>
        <tr r="G2371" s="2"/>
      </tp>
      <tp t="s">
        <v>#N/A Requesting Data...2422310205</v>
        <stp/>
        <stp>BDP|5376581049860040333</stp>
        <tr r="A211" s="2"/>
      </tp>
      <tp t="b">
        <v>0</v>
        <stp/>
        <stp>BDS|1643334469873941046</stp>
        <tr r="I743" s="2"/>
      </tp>
      <tp t="s">
        <v>#N/A Requesting Data...3218861869</v>
        <stp/>
        <stp>BDP|7861610373820878130</stp>
        <tr r="T27" s="2"/>
      </tp>
      <tp t="s">
        <v>#N/A Requesting Data...1362961093</v>
        <stp/>
        <stp>BDP|5369213816835267473</stp>
        <tr r="A1623" s="2"/>
      </tp>
      <tp t="s">
        <v>#N/A Requesting Data...3785960959</v>
        <stp/>
        <stp>BDP|5379207584841648904</stp>
        <tr r="T1127" s="2"/>
      </tp>
      <tp t="s">
        <v>#N/A Requesting Data...3903487436</v>
        <stp/>
        <stp>BDP|2751361541677222538</stp>
        <tr r="O366" s="2"/>
      </tp>
      <tp t="s">
        <v>#N/A Requesting Data...3985143054</v>
        <stp/>
        <stp>BDP|2450595679125309269</stp>
        <tr r="F394" s="2"/>
      </tp>
      <tp t="s">
        <v>#N/A Requesting Data...1378865408</v>
        <stp/>
        <stp>BDP|9416597227181296896</stp>
        <tr r="A793" s="2"/>
      </tp>
      <tp t="s">
        <v>#N/A Requesting Data...2936289240</v>
        <stp/>
        <stp>BDP|6212937381174642478</stp>
        <tr r="D1437" s="2"/>
      </tp>
      <tp t="s">
        <v>#N/A Requesting Data...1559103678</v>
        <stp/>
        <stp>BDP|5300707064923352050</stp>
        <tr r="N609" s="2"/>
      </tp>
      <tp t="s">
        <v>#N/A Requesting Data...3149848146</v>
        <stp/>
        <stp>BDP|4118953029961560996</stp>
        <tr r="N564" s="2"/>
      </tp>
      <tp t="s">
        <v>#N/A Requesting Data...2890553690</v>
        <stp/>
        <stp>BDP|3784257827314525015</stp>
        <tr r="O2077" s="2"/>
      </tp>
      <tp t="s">
        <v>#N/A Requesting Data...2867602861</v>
        <stp/>
        <stp>BDP|2176227036165739139</stp>
        <tr r="N227" s="2"/>
      </tp>
      <tp t="s">
        <v>#N/A Requesting Data...3147414840</v>
        <stp/>
        <stp>BDP|9013336741149642058</stp>
        <tr r="N2224" s="2"/>
      </tp>
      <tp t="s">
        <v>#N/A Requesting Data...496789554</v>
        <stp/>
        <stp>BDP|3032392229515972089</stp>
        <tr r="H1063" s="2"/>
      </tp>
      <tp t="s">
        <v>#N/A Requesting Data...3594306640</v>
        <stp/>
        <stp>BDP|2783120760545618726</stp>
        <tr r="O2218" s="2"/>
      </tp>
      <tp t="b">
        <v>0</v>
        <stp/>
        <stp>BDS|1158467750422785517</stp>
        <tr r="I558" s="2"/>
      </tp>
      <tp t="s">
        <v>#N/A Requesting Data...4090968901</v>
        <stp/>
        <stp>BDP|6080634084637539833</stp>
        <tr r="F410" s="2"/>
      </tp>
      <tp t="s">
        <v>#N/A Requesting Data...3682405655</v>
        <stp/>
        <stp>BDP|4202527466616799605</stp>
        <tr r="S298" s="2"/>
      </tp>
      <tp t="s">
        <v>#N/A Requesting Data...3718000026</v>
        <stp/>
        <stp>BDP|5387908391560218219</stp>
        <tr r="J786" s="2"/>
      </tp>
      <tp t="s">
        <v>#N/A Requesting Data...2204802727</v>
        <stp/>
        <stp>BDP|8675747282800243030</stp>
        <tr r="A1397" s="2"/>
      </tp>
      <tp t="s">
        <v>#N/A Requesting Data...1650042356</v>
        <stp/>
        <stp>BDP|5805728311264965030</stp>
        <tr r="S722" s="2"/>
      </tp>
      <tp t="s">
        <v>#N/A Requesting Data...1939496136</v>
        <stp/>
        <stp>BDP|3011738043162605574</stp>
        <tr r="D2089" s="2"/>
      </tp>
      <tp t="s">
        <v>#N/A Requesting Data...3336272794</v>
        <stp/>
        <stp>BDP|6386267216545772751</stp>
        <tr r="D2104" s="2"/>
      </tp>
      <tp t="s">
        <v>#N/A Requesting Data...3885598471</v>
        <stp/>
        <stp>BDP|5990221989528058034</stp>
        <tr r="G280" s="2"/>
      </tp>
      <tp t="s">
        <v>#N/A Requesting Data...1168873445</v>
        <stp/>
        <stp>BDP|3647359905216351146</stp>
        <tr r="J2480" s="2"/>
      </tp>
      <tp t="s">
        <v>#N/A Requesting Data...775104382</v>
        <stp/>
        <stp>BDP|4584906812673424826</stp>
        <tr r="N1304" s="2"/>
      </tp>
      <tp t="s">
        <v>#N/A Requesting Data...1535344311</v>
        <stp/>
        <stp>BDP|8017161417707506858</stp>
        <tr r="G942" s="2"/>
      </tp>
      <tp t="s">
        <v>#N/A Requesting Data...1883751365</v>
        <stp/>
        <stp>BDP|2774955142460084811</stp>
        <tr r="N2164" s="2"/>
      </tp>
      <tp t="s">
        <v>#N/A Requesting Data...2487936236</v>
        <stp/>
        <stp>BDP|9896963622533983648</stp>
        <tr r="C930" s="2"/>
      </tp>
      <tp t="s">
        <v>#N/A Requesting Data...2251801624</v>
        <stp/>
        <stp>BDP|7110164905903638250</stp>
        <tr r="R77" s="2"/>
      </tp>
      <tp t="s">
        <v>#N/A Requesting Data...1615559522</v>
        <stp/>
        <stp>BDP|9837192390877670161</stp>
        <tr r="C2168" s="2"/>
      </tp>
      <tp t="s">
        <v>#N/A Requesting Data...3483232632</v>
        <stp/>
        <stp>BDP|2890691466891794416</stp>
        <tr r="S1784" s="2"/>
      </tp>
      <tp t="s">
        <v>#N/A Requesting Data...2536410009</v>
        <stp/>
        <stp>BDP|1039041090786185943</stp>
        <tr r="T2248" s="2"/>
      </tp>
      <tp t="s">
        <v>#N/A Requesting Data...3653968674</v>
        <stp/>
        <stp>BDP|8957209018038760474</stp>
        <tr r="D892" s="2"/>
      </tp>
      <tp t="s">
        <v>#N/A Requesting Data...3228795116</v>
        <stp/>
        <stp>BDP|5175719904192462717</stp>
        <tr r="O579" s="2"/>
      </tp>
      <tp t="s">
        <v>#N/A Requesting Data...3187557071</v>
        <stp/>
        <stp>BDP|9215905707023627428</stp>
        <tr r="Q1892" s="2"/>
      </tp>
      <tp t="s">
        <v>#N/A Requesting Data...1914247111</v>
        <stp/>
        <stp>BDP|2806304342946271494</stp>
        <tr r="S924" s="2"/>
      </tp>
      <tp t="s">
        <v>#N/A Requesting Data...4053358964</v>
        <stp/>
        <stp>BDP|4975070238971493139</stp>
        <tr r="A2264" s="2"/>
      </tp>
      <tp t="s">
        <v>#N/A Requesting Data...4167957965</v>
        <stp/>
        <stp>BDP|3957869227338148685</stp>
        <tr r="E314" s="2"/>
      </tp>
      <tp t="s">
        <v>#N/A Requesting Data...1918786102</v>
        <stp/>
        <stp>BDP|5395746822401672622</stp>
        <tr r="F180" s="2"/>
      </tp>
      <tp t="s">
        <v>#N/A Requesting Data...2882508114</v>
        <stp/>
        <stp>BDP|7319914785028633908</stp>
        <tr r="F2118" s="2"/>
      </tp>
      <tp t="s">
        <v>#N/A Requesting Data...3722038195</v>
        <stp/>
        <stp>BDP|1161568911155575726</stp>
        <tr r="A1805" s="2"/>
      </tp>
      <tp t="s">
        <v>#N/A Requesting Data...1151419271</v>
        <stp/>
        <stp>BDP|7172539647888087940</stp>
        <tr r="E2004" s="2"/>
      </tp>
      <tp t="s">
        <v>#N/A Requesting Data...4211569040</v>
        <stp/>
        <stp>BDP|2561264702687638066</stp>
        <tr r="D2347" s="2"/>
      </tp>
      <tp t="s">
        <v>#N/A Requesting Data...1996680111</v>
        <stp/>
        <stp>BDP|9153823482209740771</stp>
        <tr r="M1253" s="2"/>
      </tp>
      <tp t="s">
        <v>#N/A Requesting Data...2830647907</v>
        <stp/>
        <stp>BDP|1301172307314253305</stp>
        <tr r="A2123" s="2"/>
      </tp>
      <tp t="s">
        <v>#N/A Requesting Data...2535211434</v>
        <stp/>
        <stp>BDP|2518403667773139427</stp>
        <tr r="D2319" s="2"/>
      </tp>
      <tp t="s">
        <v>#N/A Requesting Data...4119451705</v>
        <stp/>
        <stp>BDP|6158626911036762044</stp>
        <tr r="S1909" s="2"/>
      </tp>
      <tp t="s">
        <v>#N/A Requesting Data...903904184</v>
        <stp/>
        <stp>BDP|8366449436521221929</stp>
        <tr r="T2411" s="2"/>
      </tp>
      <tp t="s">
        <v>#N/A Requesting Data...2209110569</v>
        <stp/>
        <stp>BDP|2236767634485264437</stp>
        <tr r="M637" s="2"/>
      </tp>
      <tp t="s">
        <v>#N/A Requesting Data...4165050657</v>
        <stp/>
        <stp>BDP|1337635825235453700</stp>
        <tr r="F160" s="2"/>
      </tp>
      <tp t="s">
        <v>#N/A Requesting Data...3613496743</v>
        <stp/>
        <stp>BDP|3001514900772920390</stp>
        <tr r="C2161" s="2"/>
      </tp>
      <tp t="s">
        <v>#N/A Requesting Data...1085884421</v>
        <stp/>
        <stp>BDP|3950446606785814524</stp>
        <tr r="F220" s="2"/>
      </tp>
      <tp t="s">
        <v>#N/A Requesting Data...1061762757</v>
        <stp/>
        <stp>BDP|4977557662082673296</stp>
        <tr r="A2392" s="2"/>
      </tp>
      <tp t="s">
        <v>#N/A Requesting Data...2242818404</v>
        <stp/>
        <stp>BDP|7285413073686098514</stp>
        <tr r="S1905" s="2"/>
      </tp>
      <tp t="s">
        <v>#N/A Requesting Data...817199636</v>
        <stp/>
        <stp>BDP|1737372145770467100</stp>
        <tr r="H142" s="2"/>
      </tp>
      <tp t="s">
        <v>#N/A Requesting Data...1410516292</v>
        <stp/>
        <stp>BDP|6171704974640406105</stp>
        <tr r="C1371" s="2"/>
      </tp>
      <tp t="s">
        <v>#N/A Requesting Data...3927597025</v>
        <stp/>
        <stp>BDP|6243033332570753254</stp>
        <tr r="R19" s="2"/>
      </tp>
      <tp t="s">
        <v>#N/A Requesting Data...4247322597</v>
        <stp/>
        <stp>BDP|2235142484004077835</stp>
        <tr r="P139" s="2"/>
      </tp>
      <tp t="s">
        <v>#N/A Requesting Data...1133782776</v>
        <stp/>
        <stp>BDP|7050065033386598519</stp>
        <tr r="T1514" s="2"/>
      </tp>
      <tp t="s">
        <v>#N/A Requesting Data...1183810993</v>
        <stp/>
        <stp>BDP|5642130739576519683</stp>
        <tr r="F2475" s="2"/>
      </tp>
      <tp t="s">
        <v>#N/A Requesting Data...2833481086</v>
        <stp/>
        <stp>BDP|3851372648400312350</stp>
        <tr r="G2457" s="2"/>
      </tp>
      <tp t="s">
        <v>#N/A Requesting Data...3860624332</v>
        <stp/>
        <stp>BDP|7403621302054454216</stp>
        <tr r="J1121" s="2"/>
      </tp>
      <tp t="s">
        <v>#N/A Requesting Data...1997498550</v>
        <stp/>
        <stp>BDP|8857729936568590382</stp>
        <tr r="S1142" s="2"/>
      </tp>
      <tp t="s">
        <v>#N/A Requesting Data...1651309858</v>
        <stp/>
        <stp>BDP|7548450226062346442</stp>
        <tr r="P708" s="2"/>
      </tp>
      <tp t="s">
        <v>#N/A Requesting Data...1405193035</v>
        <stp/>
        <stp>BDP|5699274973366132128</stp>
        <tr r="T597" s="2"/>
      </tp>
      <tp t="s">
        <v>#N/A Requesting Data...1722446681</v>
        <stp/>
        <stp>BDP|5792081258342782516</stp>
        <tr r="J830" s="2"/>
      </tp>
      <tp t="s">
        <v>#N/A Requesting Data...2968316736</v>
        <stp/>
        <stp>BDP|3737979102829245413</stp>
        <tr r="F1775" s="2"/>
      </tp>
      <tp t="s">
        <v>#N/A Requesting Data...1100558162</v>
        <stp/>
        <stp>BDP|3172719221871714072</stp>
        <tr r="K1946" s="2"/>
      </tp>
      <tp t="s">
        <v>#N/A Requesting Data...3666254193</v>
        <stp/>
        <stp>BDP|1228523039951083185</stp>
        <tr r="S276" s="2"/>
      </tp>
      <tp t="s">
        <v>#N/A Requesting Data...2920525788</v>
        <stp/>
        <stp>BDP|3028784173877299383</stp>
        <tr r="M1883" s="2"/>
      </tp>
      <tp t="s">
        <v>#N/A Requesting Data...1541190745</v>
        <stp/>
        <stp>BDP|4378268813688548829</stp>
        <tr r="S1164" s="2"/>
      </tp>
      <tp t="s">
        <v>#N/A Requesting Data...2738205952</v>
        <stp/>
        <stp>BDP|7159803944149674524</stp>
        <tr r="A242" s="2"/>
      </tp>
      <tp t="s">
        <v>#N/A Requesting Data...1682634225</v>
        <stp/>
        <stp>BDP|3867100252837327788</stp>
        <tr r="G1447" s="2"/>
      </tp>
      <tp t="s">
        <v>#N/A Requesting Data...859696540</v>
        <stp/>
        <stp>BDP|4501847881010770364</stp>
        <tr r="Q1815" s="2"/>
      </tp>
      <tp t="s">
        <v>#N/A Requesting Data...1721810835</v>
        <stp/>
        <stp>BDP|9171124472070928895</stp>
        <tr r="R1256" s="2"/>
      </tp>
      <tp t="s">
        <v>#N/A Requesting Data...2285845637</v>
        <stp/>
        <stp>BDP|2295525333295694643</stp>
        <tr r="J1096" s="2"/>
      </tp>
      <tp t="s">
        <v>#N/A Requesting Data...4212954068</v>
        <stp/>
        <stp>BDP|3628448622896103405</stp>
        <tr r="N47" s="2"/>
      </tp>
      <tp t="s">
        <v>#N/A Requesting Data...3702665001</v>
        <stp/>
        <stp>BDP|6711649341212256118</stp>
        <tr r="H241" s="2"/>
      </tp>
      <tp t="s">
        <v>#N/A Requesting Data...1440917034</v>
        <stp/>
        <stp>BDP|4013326720307442577</stp>
        <tr r="R1954" s="2"/>
      </tp>
      <tp t="s">
        <v>#N/A Requesting Data...1667144400</v>
        <stp/>
        <stp>BDP|1122270730331074671</stp>
        <tr r="J2394" s="2"/>
      </tp>
      <tp t="s">
        <v>#N/A Requesting Data...969286225</v>
        <stp/>
        <stp>BDP|1652231240175014543</stp>
        <tr r="P1325" s="2"/>
      </tp>
      <tp t="s">
        <v>#N/A Requesting Data...3974681359</v>
        <stp/>
        <stp>BDP|4315612513367528355</stp>
        <tr r="Q56" s="2"/>
      </tp>
      <tp t="s">
        <v>#N/A Requesting Data...2815138200</v>
        <stp/>
        <stp>BDP|6368035370542575446</stp>
        <tr r="F1311" s="2"/>
      </tp>
      <tp t="s">
        <v>#N/A Requesting Data...2975554389</v>
        <stp/>
        <stp>BDP|9616407701603554933</stp>
        <tr r="A131" s="2"/>
      </tp>
      <tp t="s">
        <v>#N/A Requesting Data...4013412208</v>
        <stp/>
        <stp>BDP|1949154316581834730</stp>
        <tr r="C461" s="2"/>
      </tp>
      <tp t="s">
        <v>#N/A Requesting Data...885406830</v>
        <stp/>
        <stp>BDP|5329307993409456152</stp>
        <tr r="C1727" s="2"/>
      </tp>
      <tp t="s">
        <v>#N/A Requesting Data...2718452599</v>
        <stp/>
        <stp>BDP|6968982396156738710</stp>
        <tr r="Q1908" s="2"/>
      </tp>
      <tp t="s">
        <v>#N/A Requesting Data...1156227336</v>
        <stp/>
        <stp>BDP|7510690344767909500</stp>
        <tr r="H1248" s="2"/>
      </tp>
      <tp t="s">
        <v>#N/A Requesting Data...1808946916</v>
        <stp/>
        <stp>BDP|6579220913280231270</stp>
        <tr r="R1674" s="2"/>
      </tp>
      <tp t="s">
        <v>#N/A Requesting Data...2950117830</v>
        <stp/>
        <stp>BDP|2737743364477538331</stp>
        <tr r="P2349" s="2"/>
      </tp>
      <tp t="s">
        <v>#N/A Requesting Data...3512635508</v>
        <stp/>
        <stp>BDP|6567481478757602559</stp>
        <tr r="P1590" s="2"/>
      </tp>
      <tp t="s">
        <v>#N/A Requesting Data...2106239422</v>
        <stp/>
        <stp>BDP|4964455535510697496</stp>
        <tr r="D1355" s="2"/>
      </tp>
      <tp t="s">
        <v>#N/A Requesting Data...3360166929</v>
        <stp/>
        <stp>BDP|3789548916394188422</stp>
        <tr r="M250" s="2"/>
      </tp>
      <tp t="s">
        <v>#N/A Requesting Data...1095422517</v>
        <stp/>
        <stp>BDP|5712644061350275268</stp>
        <tr r="O1309" s="2"/>
      </tp>
      <tp t="s">
        <v>#N/A Requesting Data...1138408561</v>
        <stp/>
        <stp>BDP|6296345554385548212</stp>
        <tr r="T349" s="2"/>
      </tp>
      <tp t="s">
        <v>#N/A Requesting Data...3894372162</v>
        <stp/>
        <stp>BDP|2901205905836817125</stp>
        <tr r="P1506" s="2"/>
      </tp>
      <tp t="s">
        <v>#N/A Requesting Data...1109133339</v>
        <stp/>
        <stp>BDP|6269862777398169648</stp>
        <tr r="T1829" s="2"/>
      </tp>
      <tp t="s">
        <v>#N/A Requesting Data...3640651245</v>
        <stp/>
        <stp>BDP|9918589210743231955</stp>
        <tr r="A952" s="2"/>
      </tp>
      <tp t="s">
        <v>#N/A Requesting Data...2524373663</v>
        <stp/>
        <stp>BDP|2849478922885951628</stp>
        <tr r="G246" s="2"/>
      </tp>
      <tp t="s">
        <v>#N/A Requesting Data...1887790375</v>
        <stp/>
        <stp>BDP|9090878512964789349</stp>
        <tr r="D882" s="2"/>
      </tp>
      <tp t="b">
        <v>0</v>
        <stp/>
        <stp>BDS|5497382774865684380</stp>
        <tr r="I850" s="2"/>
      </tp>
      <tp t="s">
        <v>#N/A Requesting Data...2186696433</v>
        <stp/>
        <stp>BDP|5718031875777478238</stp>
        <tr r="A443" s="2"/>
      </tp>
      <tp t="b">
        <v>0</v>
        <stp/>
        <stp>BDS|1981131374034948416</stp>
        <tr r="I469" s="2"/>
      </tp>
      <tp t="s">
        <v>#N/A Requesting Data...1406807564</v>
        <stp/>
        <stp>BDP|3371676824525240548</stp>
        <tr r="S356" s="2"/>
      </tp>
      <tp t="s">
        <v>#N/A Requesting Data...1397574889</v>
        <stp/>
        <stp>BDP|2016662910886460446</stp>
        <tr r="A1387" s="2"/>
      </tp>
      <tp t="s">
        <v>#N/A Requesting Data...1741212613</v>
        <stp/>
        <stp>BDP|9156908706033815497</stp>
        <tr r="N1000" s="2"/>
      </tp>
      <tp t="s">
        <v>#N/A Requesting Data...1133646577</v>
        <stp/>
        <stp>BDP|7492460142223740314</stp>
        <tr r="O282" s="2"/>
      </tp>
      <tp t="s">
        <v>#N/A Requesting Data...976546847</v>
        <stp/>
        <stp>BDP|4503697716976451280</stp>
        <tr r="P2045" s="2"/>
      </tp>
      <tp t="s">
        <v>#N/A Requesting Data...3765863945</v>
        <stp/>
        <stp>BDP|3565274472493047269</stp>
        <tr r="H2340" s="2"/>
      </tp>
      <tp t="s">
        <v>#N/A Requesting Data...3128050008</v>
        <stp/>
        <stp>BDP|2103563703945708551</stp>
        <tr r="D550" s="2"/>
      </tp>
      <tp t="s">
        <v>#N/A Requesting Data...1492104933</v>
        <stp/>
        <stp>BDP|3482446929513830173</stp>
        <tr r="A528" s="2"/>
      </tp>
      <tp t="s">
        <v>#N/A Requesting Data...990891680</v>
        <stp/>
        <stp>BDP|5828709684155861827</stp>
        <tr r="H1388" s="2"/>
      </tp>
      <tp t="s">
        <v>#N/A Requesting Data...2226242312</v>
        <stp/>
        <stp>BDP|2534295004707691082</stp>
        <tr r="D2341" s="2"/>
      </tp>
      <tp t="s">
        <v>#N/A Requesting Data...1807333987</v>
        <stp/>
        <stp>BDP|9761159265871345829</stp>
        <tr r="P1856" s="2"/>
      </tp>
      <tp t="s">
        <v>#N/A Requesting Data...4072575775</v>
        <stp/>
        <stp>BDP|2487832824219046656</stp>
        <tr r="C1681" s="2"/>
      </tp>
      <tp t="s">
        <v>#N/A Requesting Data...4188517591</v>
        <stp/>
        <stp>BDP|9714677821229286356</stp>
        <tr r="G2403" s="2"/>
      </tp>
      <tp t="s">
        <v>#N/A Requesting Data...3287203635</v>
        <stp/>
        <stp>BDP|5324608835713244423</stp>
        <tr r="F842" s="2"/>
      </tp>
      <tp t="s">
        <v>#N/A Requesting Data...1400418695</v>
        <stp/>
        <stp>BDP|2793062116420725460</stp>
        <tr r="Q898" s="2"/>
      </tp>
      <tp t="s">
        <v>#N/A Requesting Data...2593041607</v>
        <stp/>
        <stp>BDP|8452756638149780287</stp>
        <tr r="H2086" s="2"/>
      </tp>
      <tp t="s">
        <v>#N/A Requesting Data...2970294784</v>
        <stp/>
        <stp>BDP|1432048640444271645</stp>
        <tr r="E654" s="2"/>
      </tp>
      <tp t="s">
        <v>#N/A Requesting Data...3793065578</v>
        <stp/>
        <stp>BDP|7915023059531188452</stp>
        <tr r="E803" s="2"/>
      </tp>
      <tp t="s">
        <v>#N/A Requesting Data...882588902</v>
        <stp/>
        <stp>BDP|4057471839312187692</stp>
        <tr r="T1984" s="2"/>
      </tp>
      <tp t="s">
        <v>#N/A Requesting Data...1465033247</v>
        <stp/>
        <stp>BDP|8067278149059069085</stp>
        <tr r="J1676" s="2"/>
      </tp>
      <tp t="s">
        <v>#N/A Requesting Data...1120313627</v>
        <stp/>
        <stp>BDP|2813667634362897240</stp>
        <tr r="E898" s="2"/>
      </tp>
      <tp t="s">
        <v>#N/A Requesting Data...2304670915</v>
        <stp/>
        <stp>BDP|7045524660815613625</stp>
        <tr r="H2049" s="2"/>
      </tp>
      <tp t="s">
        <v>#N/A Requesting Data...2005527771</v>
        <stp/>
        <stp>BDP|9500775969727475899</stp>
        <tr r="O1802" s="2"/>
      </tp>
      <tp t="s">
        <v>#N/A Requesting Data...2565705134</v>
        <stp/>
        <stp>BDP|9251429131381733800</stp>
        <tr r="J1663" s="2"/>
      </tp>
      <tp t="s">
        <v>#N/A Requesting Data...1178743603</v>
        <stp/>
        <stp>BDP|1862632468445195346</stp>
        <tr r="J1514" s="2"/>
      </tp>
      <tp t="s">
        <v>#N/A Requesting Data...1693964851</v>
        <stp/>
        <stp>BDP|3340530143602596704</stp>
        <tr r="E1032" s="2"/>
      </tp>
      <tp t="s">
        <v>#N/A Requesting Data...3830287940</v>
        <stp/>
        <stp>BDP|6203686668524057549</stp>
        <tr r="F2450" s="2"/>
      </tp>
      <tp t="s">
        <v>#N/A Requesting Data...2224356124</v>
        <stp/>
        <stp>BDP|1963509306554974702</stp>
        <tr r="Q2160" s="2"/>
      </tp>
      <tp t="s">
        <v>#N/A Requesting Data...1162093629</v>
        <stp/>
        <stp>BDP|6158538923704133266</stp>
        <tr r="J1815" s="2"/>
      </tp>
      <tp t="s">
        <v>#N/A Requesting Data...2458723390</v>
        <stp/>
        <stp>BDP|2785364766845729569</stp>
        <tr r="D83" s="2"/>
      </tp>
      <tp t="b">
        <v>0</v>
        <stp/>
        <stp>BDS|2743315967975352541</stp>
        <tr r="I742" s="2"/>
      </tp>
      <tp t="s">
        <v>#N/A Requesting Data...3441374556</v>
        <stp/>
        <stp>BDP|6772434942873746270</stp>
        <tr r="F862" s="2"/>
      </tp>
      <tp t="s">
        <v>#N/A Requesting Data...2802737481</v>
        <stp/>
        <stp>BDP|6179256051926470070</stp>
        <tr r="J140" s="2"/>
      </tp>
      <tp t="s">
        <v>#N/A Requesting Data...2466520738</v>
        <stp/>
        <stp>BDP|2641725184659780311</stp>
        <tr r="M1916" s="2"/>
      </tp>
      <tp t="s">
        <v>#N/A Requesting Data...1240550374</v>
        <stp/>
        <stp>BDP|6594860686006065731</stp>
        <tr r="M1279" s="2"/>
      </tp>
      <tp t="s">
        <v>#N/A Requesting Data...1466120250</v>
        <stp/>
        <stp>BDP|7297726448783815067</stp>
        <tr r="F2423" s="2"/>
      </tp>
      <tp t="s">
        <v>#N/A Requesting Data...3281604098</v>
        <stp/>
        <stp>BDP|8789873970263739314</stp>
        <tr r="Q2528" s="2"/>
      </tp>
      <tp t="s">
        <v>#N/A Requesting Data...1167117604</v>
        <stp/>
        <stp>BDP|2004527724420250227</stp>
        <tr r="E251" s="2"/>
      </tp>
      <tp t="s">
        <v>#N/A Requesting Data...3012402989</v>
        <stp/>
        <stp>BDP|8875750991262270383</stp>
        <tr r="A2310" s="2"/>
      </tp>
      <tp t="s">
        <v>#N/A Requesting Data...2351319900</v>
        <stp/>
        <stp>BDP|2191034820955057240</stp>
        <tr r="C1993" s="2"/>
      </tp>
      <tp t="s">
        <v>#N/A Requesting Data...954100902</v>
        <stp/>
        <stp>BDP|8785827153007480547</stp>
        <tr r="P884" s="2"/>
      </tp>
      <tp t="s">
        <v>#N/A Requesting Data...3508899223</v>
        <stp/>
        <stp>BDP|3747474704944081421</stp>
        <tr r="J1703" s="2"/>
      </tp>
      <tp t="s">
        <v>#N/A Requesting Data...1207172387</v>
        <stp/>
        <stp>BDP|8141538198571582291</stp>
        <tr r="F306" s="2"/>
      </tp>
      <tp t="s">
        <v>#N/A Requesting Data...3923870802</v>
        <stp/>
        <stp>BDP|3065317102046136142</stp>
        <tr r="S909" s="2"/>
      </tp>
      <tp t="s">
        <v>#N/A Requesting Data...3209352896</v>
        <stp/>
        <stp>BDP|2954015226303966415</stp>
        <tr r="P1305" s="2"/>
      </tp>
      <tp t="b">
        <v>0</v>
        <stp/>
        <stp>BDS|7794280816646652599</stp>
        <tr r="I2389" s="2"/>
      </tp>
      <tp t="s">
        <v>#N/A Requesting Data...2755149682</v>
        <stp/>
        <stp>BDP|7734677253180005355</stp>
        <tr r="G1033" s="2"/>
      </tp>
      <tp t="s">
        <v>#N/A Requesting Data...1207407570</v>
        <stp/>
        <stp>BDP|7865907181317609691</stp>
        <tr r="Q1359" s="2"/>
      </tp>
      <tp t="s">
        <v>#N/A Requesting Data...3761971646</v>
        <stp/>
        <stp>BDP|1646076856377547446</stp>
        <tr r="A794" s="2"/>
      </tp>
      <tp t="s">
        <v>#N/A Requesting Data...3798479365</v>
        <stp/>
        <stp>BDP|1336704074392510446</stp>
        <tr r="H1747" s="2"/>
      </tp>
      <tp t="s">
        <v>#N/A Requesting Data...998759553</v>
        <stp/>
        <stp>BDP|9411542604762234905</stp>
        <tr r="C1502" s="2"/>
      </tp>
      <tp t="s">
        <v>#N/A Requesting Data...2139530128</v>
        <stp/>
        <stp>BDP|9717801860796036616</stp>
        <tr r="S2051" s="2"/>
      </tp>
      <tp t="s">
        <v>#N/A Requesting Data...2101925145</v>
        <stp/>
        <stp>BDP|6155017272376111052</stp>
        <tr r="A1674" s="2"/>
      </tp>
      <tp t="s">
        <v>#N/A Requesting Data...3491232032</v>
        <stp/>
        <stp>BDP|4295196759036343179</stp>
        <tr r="P1936" s="2"/>
      </tp>
      <tp t="s">
        <v>#N/A Requesting Data...1815135774</v>
        <stp/>
        <stp>BDP|5434596130537258397</stp>
        <tr r="F2072" s="2"/>
      </tp>
      <tp t="s">
        <v>#N/A Requesting Data...2299904300</v>
        <stp/>
        <stp>BDP|2060623434381155111</stp>
        <tr r="M1643" s="2"/>
      </tp>
      <tp t="s">
        <v>#N/A Requesting Data...1460598751</v>
        <stp/>
        <stp>BDP|4598096357655994342</stp>
        <tr r="F1891" s="2"/>
      </tp>
      <tp t="s">
        <v>#N/A Requesting Data...1742804278</v>
        <stp/>
        <stp>BDP|8779403464408106542</stp>
        <tr r="N1345" s="2"/>
      </tp>
      <tp t="s">
        <v>#N/A Requesting Data...3059036849</v>
        <stp/>
        <stp>BDP|8792313017945600816</stp>
        <tr r="Q847" s="2"/>
      </tp>
      <tp t="s">
        <v>#N/A Requesting Data...1098950292</v>
        <stp/>
        <stp>BDP|2610762733761436012</stp>
        <tr r="P1386" s="2"/>
      </tp>
      <tp t="s">
        <v>#N/A Requesting Data...1047700874</v>
        <stp/>
        <stp>BDP|7029206337329971885</stp>
        <tr r="F1857" s="2"/>
      </tp>
      <tp t="s">
        <v>#N/A Requesting Data...4286527535</v>
        <stp/>
        <stp>BDP|1755593818041062305</stp>
        <tr r="S295" s="2"/>
      </tp>
      <tp t="s">
        <v>#N/A Requesting Data...2292117398</v>
        <stp/>
        <stp>BDP|7792128491470253804</stp>
        <tr r="T2456" s="2"/>
      </tp>
      <tp t="s">
        <v>#N/A Requesting Data...3892023162</v>
        <stp/>
        <stp>BDP|8119838116712334419</stp>
        <tr r="T1341" s="2"/>
      </tp>
      <tp t="s">
        <v>#N/A Requesting Data...3597832412</v>
        <stp/>
        <stp>BDP|7749495788758111413</stp>
        <tr r="F63" s="2"/>
      </tp>
      <tp t="s">
        <v>#N/A Requesting Data...1654859470</v>
        <stp/>
        <stp>BDP|7582556696939351535</stp>
        <tr r="C383" s="2"/>
      </tp>
      <tp t="s">
        <v>#N/A Requesting Data...2052941940</v>
        <stp/>
        <stp>BDP|4484189410704320793</stp>
        <tr r="O2125" s="2"/>
      </tp>
      <tp t="s">
        <v>#N/A Requesting Data...3885442420</v>
        <stp/>
        <stp>BDP|7064752655345446724</stp>
        <tr r="D592" s="2"/>
      </tp>
      <tp t="s">
        <v>#N/A Requesting Data...3016220051</v>
        <stp/>
        <stp>BDP|4825346411329942824</stp>
        <tr r="H1049" s="2"/>
      </tp>
      <tp t="s">
        <v>#N/A Requesting Data...3439246713</v>
        <stp/>
        <stp>BDP|8581053334389269509</stp>
        <tr r="J1906" s="2"/>
      </tp>
      <tp t="s">
        <v>#N/A Requesting Data...3952290843</v>
        <stp/>
        <stp>BDP|8393241257689594130</stp>
        <tr r="P623" s="2"/>
      </tp>
      <tp t="s">
        <v>#N/A Requesting Data...2811888465</v>
        <stp/>
        <stp>BDP|9554226510795355826</stp>
        <tr r="H1614" s="2"/>
      </tp>
      <tp t="s">
        <v>#N/A Requesting Data...1496481090</v>
        <stp/>
        <stp>BDP|8895481627950819997</stp>
        <tr r="C1630" s="2"/>
      </tp>
      <tp t="s">
        <v>#N/A Requesting Data...2039465316</v>
        <stp/>
        <stp>BDP|6293179084518738001</stp>
        <tr r="M944" s="2"/>
      </tp>
      <tp t="s">
        <v>#N/A Requesting Data...2779415543</v>
        <stp/>
        <stp>BDP|4803895155739764752</stp>
        <tr r="P1566" s="2"/>
      </tp>
      <tp t="s">
        <v>#N/A Requesting Data...3545408144</v>
        <stp/>
        <stp>BDP|3723476504039343916</stp>
        <tr r="T2380" s="2"/>
      </tp>
      <tp t="s">
        <v>#N/A Requesting Data...3354140445</v>
        <stp/>
        <stp>BDP|9237550051409317730</stp>
        <tr r="T1014" s="2"/>
      </tp>
      <tp t="s">
        <v>#N/A Requesting Data...3606627148</v>
        <stp/>
        <stp>BDP|3599326368600089197</stp>
        <tr r="C427" s="2"/>
      </tp>
      <tp t="s">
        <v>#N/A Requesting Data...2873546219</v>
        <stp/>
        <stp>BDP|3892191053618589810</stp>
        <tr r="H1665" s="2"/>
      </tp>
      <tp t="s">
        <v>#N/A Requesting Data...3265453323</v>
        <stp/>
        <stp>BDP|4603108563970495461</stp>
        <tr r="D845" s="2"/>
      </tp>
      <tp t="s">
        <v>#N/A Requesting Data...3185601760</v>
        <stp/>
        <stp>BDP|7498189258261598562</stp>
        <tr r="F1051" s="2"/>
      </tp>
      <tp t="s">
        <v>#N/A Requesting Data...1927382353</v>
        <stp/>
        <stp>BDP|7853982201381495824</stp>
        <tr r="P401" s="2"/>
      </tp>
      <tp t="s">
        <v>#N/A Requesting Data...1336687995</v>
        <stp/>
        <stp>BDP|4032394803838810857</stp>
        <tr r="S2161" s="2"/>
      </tp>
      <tp t="s">
        <v>#N/A Requesting Data...1803452962</v>
        <stp/>
        <stp>BDP|7281538403011608438</stp>
        <tr r="O1430" s="2"/>
      </tp>
      <tp t="s">
        <v>#N/A Requesting Data...3899098714</v>
        <stp/>
        <stp>BDP|8317558784281004353</stp>
        <tr r="S2503" s="2"/>
      </tp>
      <tp t="s">
        <v>#N/A Requesting Data...3304196146</v>
        <stp/>
        <stp>BDP|2532530113935759457</stp>
        <tr r="K1180" s="2"/>
      </tp>
      <tp t="s">
        <v>#N/A Requesting Data...3399646427</v>
        <stp/>
        <stp>BDP|6690249878364937048</stp>
        <tr r="R1856" s="2"/>
      </tp>
      <tp t="s">
        <v>#N/A Requesting Data...2308533718</v>
        <stp/>
        <stp>BDP|6438612206882066544</stp>
        <tr r="Q661" s="2"/>
      </tp>
      <tp t="s">
        <v>#N/A Requesting Data...2131412995</v>
        <stp/>
        <stp>BDP|4795076740203027474</stp>
        <tr r="S2262" s="2"/>
      </tp>
      <tp t="s">
        <v>#N/A Requesting Data...1909126155</v>
        <stp/>
        <stp>BDP|7435060995890210921</stp>
        <tr r="Q166" s="2"/>
      </tp>
      <tp t="b">
        <v>0</v>
        <stp/>
        <stp>BDS|6239878772299870786</stp>
        <tr r="I832" s="2"/>
      </tp>
      <tp t="b">
        <v>0</v>
        <stp/>
        <stp>BDS|1394577324404467534</stp>
        <tr r="I284" s="2"/>
      </tp>
      <tp t="s">
        <v>#N/A Requesting Data...4187791114</v>
        <stp/>
        <stp>BDP|3708037867665284762</stp>
        <tr r="M446" s="2"/>
      </tp>
      <tp t="s">
        <v>#N/A Requesting Data...4216116702</v>
        <stp/>
        <stp>BDP|4191195512365868652</stp>
        <tr r="G864" s="2"/>
      </tp>
      <tp t="s">
        <v>#N/A Requesting Data...4160614650</v>
        <stp/>
        <stp>BDP|5747087797232799983</stp>
        <tr r="G822" s="2"/>
      </tp>
      <tp t="b">
        <v>0</v>
        <stp/>
        <stp>BDS|3429762940155294271</stp>
        <tr r="I2372" s="2"/>
      </tp>
      <tp t="s">
        <v>#N/A Requesting Data...4048712284</v>
        <stp/>
        <stp>BDP|8500548342078037641</stp>
        <tr r="R930" s="2"/>
      </tp>
      <tp t="s">
        <v>#N/A Requesting Data...2296347870</v>
        <stp/>
        <stp>BDP|4559032428773036299</stp>
        <tr r="C1505" s="2"/>
      </tp>
      <tp t="s">
        <v>#N/A Requesting Data...1309237021</v>
        <stp/>
        <stp>BDP|1118721742843726610</stp>
        <tr r="E2273" s="2"/>
      </tp>
      <tp t="s">
        <v>#N/A Requesting Data...3023331018</v>
        <stp/>
        <stp>BDP|2043129067145276706</stp>
        <tr r="J2145" s="2"/>
      </tp>
      <tp t="s">
        <v>#N/A Requesting Data...1749831416</v>
        <stp/>
        <stp>BDP|8973045311948946622</stp>
        <tr r="H1959" s="2"/>
      </tp>
      <tp t="s">
        <v>#N/A Requesting Data...3600761598</v>
        <stp/>
        <stp>BDP|4796353689769512190</stp>
        <tr r="O1296" s="2"/>
      </tp>
      <tp t="s">
        <v>#N/A Requesting Data...1500295664</v>
        <stp/>
        <stp>BDP|8082179287054791204</stp>
        <tr r="P1104" s="2"/>
      </tp>
      <tp t="s">
        <v>#N/A Requesting Data...2665806528</v>
        <stp/>
        <stp>BDP|9986470692486358585</stp>
        <tr r="G1393" s="2"/>
      </tp>
      <tp t="s">
        <v>#N/A Requesting Data...2092246841</v>
        <stp/>
        <stp>BDP|3877313839780596426</stp>
        <tr r="S315" s="2"/>
      </tp>
      <tp t="s">
        <v>#N/A Requesting Data...2423659191</v>
        <stp/>
        <stp>BDP|9455751801149205059</stp>
        <tr r="S1725" s="2"/>
      </tp>
      <tp t="s">
        <v>#N/A Requesting Data...2471876049</v>
        <stp/>
        <stp>BDP|8245072911367203919</stp>
        <tr r="O1592" s="2"/>
      </tp>
      <tp t="s">
        <v>#N/A Requesting Data...3207800673</v>
        <stp/>
        <stp>BDP|8340754873919712654</stp>
        <tr r="C1561" s="2"/>
      </tp>
      <tp t="s">
        <v>#N/A Requesting Data...2285367335</v>
        <stp/>
        <stp>BDP|7596767313453066573</stp>
        <tr r="K2124" s="2"/>
      </tp>
      <tp t="s">
        <v>#N/A Requesting Data...3891803815</v>
        <stp/>
        <stp>BDP|3103772814014598604</stp>
        <tr r="N433" s="2"/>
      </tp>
      <tp t="s">
        <v>#N/A Requesting Data...3253277316</v>
        <stp/>
        <stp>BDP|2890863289671558456</stp>
        <tr r="T1976" s="2"/>
      </tp>
      <tp t="s">
        <v>#N/A Requesting Data...3400006697</v>
        <stp/>
        <stp>BDP|7758043331361388263</stp>
        <tr r="N1195" s="2"/>
      </tp>
      <tp t="s">
        <v>#N/A Requesting Data...3690398526</v>
        <stp/>
        <stp>BDP|6777238357850391670</stp>
        <tr r="N572" s="2"/>
      </tp>
      <tp t="s">
        <v>#N/A Requesting Data...3219767355</v>
        <stp/>
        <stp>BDP|5713358709466423781</stp>
        <tr r="N2353" s="2"/>
      </tp>
      <tp t="s">
        <v>#N/A Requesting Data...2413288095</v>
        <stp/>
        <stp>BDP|7515716945581755219</stp>
        <tr r="K256" s="2"/>
      </tp>
      <tp t="s">
        <v>#N/A Requesting Data...3744478664</v>
        <stp/>
        <stp>BDP|6610941023963512939</stp>
        <tr r="P1425" s="2"/>
      </tp>
      <tp t="s">
        <v>#N/A Requesting Data...2234897098</v>
        <stp/>
        <stp>BDP|8767771450449633411</stp>
        <tr r="D2412" s="2"/>
      </tp>
      <tp t="s">
        <v>#N/A Requesting Data...1399151277</v>
        <stp/>
        <stp>BDP|5635574061000720104</stp>
        <tr r="O2010" s="2"/>
      </tp>
      <tp t="s">
        <v>#N/A Requesting Data...1275597770</v>
        <stp/>
        <stp>BDP|9466443104648163224</stp>
        <tr r="R2465" s="2"/>
      </tp>
      <tp t="s">
        <v>#N/A Requesting Data...2343611996</v>
        <stp/>
        <stp>BDP|2749092915216570292</stp>
        <tr r="T2381" s="2"/>
      </tp>
      <tp t="s">
        <v>#N/A Requesting Data...1577906624</v>
        <stp/>
        <stp>BDP|9361938143810613326</stp>
        <tr r="K331" s="2"/>
      </tp>
      <tp t="s">
        <v>#N/A Requesting Data...3888645988</v>
        <stp/>
        <stp>BDP|1619099780846846805</stp>
        <tr r="M1804" s="2"/>
      </tp>
      <tp t="s">
        <v>#N/A Requesting Data...2241667032</v>
        <stp/>
        <stp>BDP|5326241675611319665</stp>
        <tr r="J2308" s="2"/>
      </tp>
      <tp t="s">
        <v>#N/A Requesting Data...1647275029</v>
        <stp/>
        <stp>BDP|4526039927163233248</stp>
        <tr r="T1576" s="2"/>
      </tp>
      <tp t="s">
        <v>#N/A Requesting Data...2310118344</v>
        <stp/>
        <stp>BDP|5955312318575055577</stp>
        <tr r="A813" s="2"/>
      </tp>
      <tp t="s">
        <v>#N/A Requesting Data...2939767327</v>
        <stp/>
        <stp>BDP|5810696746518977895</stp>
        <tr r="A1709" s="2"/>
      </tp>
      <tp t="s">
        <v>#N/A Requesting Data...2112293295</v>
        <stp/>
        <stp>BDP|4807827538500020850</stp>
        <tr r="E1577" s="2"/>
      </tp>
      <tp t="s">
        <v>#N/A Requesting Data...3118400215</v>
        <stp/>
        <stp>BDP|1114556201730188338</stp>
        <tr r="F1696" s="2"/>
      </tp>
      <tp t="s">
        <v>#N/A Requesting Data...1179832565</v>
        <stp/>
        <stp>BDP|5404341745257028221</stp>
        <tr r="O2257" s="2"/>
      </tp>
      <tp t="s">
        <v>#N/A Requesting Data...3325838393</v>
        <stp/>
        <stp>BDP|6360190548596489218</stp>
        <tr r="K2093" s="2"/>
      </tp>
      <tp t="s">
        <v>#N/A Requesting Data...3328204422</v>
        <stp/>
        <stp>BDP|7239632507436808096</stp>
        <tr r="F2211" s="2"/>
      </tp>
      <tp t="s">
        <v>#N/A Requesting Data...1610789450</v>
        <stp/>
        <stp>BDP|2246468463580998793</stp>
        <tr r="Q191" s="2"/>
      </tp>
      <tp t="s">
        <v>#N/A Requesting Data...2899222922</v>
        <stp/>
        <stp>BDP|4387579166921688133</stp>
        <tr r="A506" s="2"/>
      </tp>
      <tp t="s">
        <v>#N/A Requesting Data...2906099368</v>
        <stp/>
        <stp>BDP|2352467361487306005</stp>
        <tr r="F1556" s="2"/>
      </tp>
      <tp t="s">
        <v>#N/A Requesting Data...3013288408</v>
        <stp/>
        <stp>BDP|5681741540350209179</stp>
        <tr r="C118" s="2"/>
      </tp>
      <tp t="s">
        <v>#N/A Requesting Data...3799689765</v>
        <stp/>
        <stp>BDP|7639817946699641505</stp>
        <tr r="A1363" s="2"/>
      </tp>
      <tp t="s">
        <v>#N/A Requesting Data...2612037018</v>
        <stp/>
        <stp>BDP|6638455643049073872</stp>
        <tr r="E74" s="2"/>
      </tp>
      <tp t="s">
        <v>#N/A Requesting Data...2874130876</v>
        <stp/>
        <stp>BDP|7526880982710157093</stp>
        <tr r="G1209" s="2"/>
      </tp>
      <tp t="s">
        <v>#N/A Requesting Data...4207092979</v>
        <stp/>
        <stp>BDP|7535680742266846407</stp>
        <tr r="D1923" s="2"/>
      </tp>
      <tp t="s">
        <v>#N/A Requesting Data...1923723543</v>
        <stp/>
        <stp>BDP|3361714367387229201</stp>
        <tr r="Q1236" s="2"/>
      </tp>
      <tp t="s">
        <v>#N/A Requesting Data...1461946948</v>
        <stp/>
        <stp>BDP|6478123717730070166</stp>
        <tr r="J1455" s="2"/>
      </tp>
      <tp t="s">
        <v>#N/A Requesting Data...1894328820</v>
        <stp/>
        <stp>BDP|6326645637542279657</stp>
        <tr r="R1282" s="2"/>
      </tp>
      <tp t="s">
        <v>#N/A Requesting Data...2534617606</v>
        <stp/>
        <stp>BDP|3115405817806985786</stp>
        <tr r="D198" s="2"/>
      </tp>
      <tp t="s">
        <v>#N/A Requesting Data...3998624876</v>
        <stp/>
        <stp>BDP|7408534762453353017</stp>
        <tr r="A947" s="2"/>
      </tp>
      <tp t="s">
        <v>#N/A Requesting Data...3784644936</v>
        <stp/>
        <stp>BDP|3061486189941090965</stp>
        <tr r="D1676" s="2"/>
      </tp>
      <tp t="s">
        <v>#N/A Requesting Data...1366909776</v>
        <stp/>
        <stp>BDP|2469174291994564908</stp>
        <tr r="D77" s="2"/>
      </tp>
      <tp t="s">
        <v>#N/A Requesting Data...3498273583</v>
        <stp/>
        <stp>BDP|9237522412869653339</stp>
        <tr r="E922" s="2"/>
      </tp>
      <tp t="s">
        <v>#N/A Requesting Data...2878560312</v>
        <stp/>
        <stp>BDP|2204349925887039347</stp>
        <tr r="E2031" s="2"/>
      </tp>
      <tp t="s">
        <v>#N/A Requesting Data...3676105249</v>
        <stp/>
        <stp>BDP|8710017790397616171</stp>
        <tr r="A37" s="2"/>
      </tp>
      <tp t="b">
        <v>0</v>
        <stp/>
        <stp>BDS|8239958773910426176</stp>
        <tr r="I2532" s="2"/>
      </tp>
      <tp t="s">
        <v>#N/A Requesting Data...1600566614</v>
        <stp/>
        <stp>BDP|8064812052082107051</stp>
        <tr r="D1157" s="2"/>
      </tp>
      <tp t="s">
        <v>#N/A Requesting Data...2205336617</v>
        <stp/>
        <stp>BDP|2119421943047110265</stp>
        <tr r="E283" s="2"/>
      </tp>
      <tp t="s">
        <v>#N/A Requesting Data...3185231373</v>
        <stp/>
        <stp>BDP|2281287017961902732</stp>
        <tr r="C1306" s="2"/>
      </tp>
      <tp t="s">
        <v>#N/A Requesting Data...4210769216</v>
        <stp/>
        <stp>BDP|6590381673662982702</stp>
        <tr r="F2173" s="2"/>
      </tp>
      <tp t="b">
        <v>0</v>
        <stp/>
        <stp>BDS|2811491834294368613</stp>
        <tr r="I83" s="2"/>
      </tp>
      <tp t="b">
        <v>0</v>
        <stp/>
        <stp>BDS|6145887384494225582</stp>
        <tr r="I1578" s="2"/>
      </tp>
      <tp t="s">
        <v>#N/A Requesting Data...3747912965</v>
        <stp/>
        <stp>BDP|6055667279555145594</stp>
        <tr r="Q1961" s="2"/>
      </tp>
      <tp t="s">
        <v>#N/A Requesting Data...2999112326</v>
        <stp/>
        <stp>BDP|8991809899697332942</stp>
        <tr r="O1625" s="2"/>
      </tp>
      <tp t="b">
        <v>0</v>
        <stp/>
        <stp>BDS|6079534564045806787</stp>
        <tr r="I1784" s="2"/>
      </tp>
      <tp t="s">
        <v>#N/A Requesting Data...1668245408</v>
        <stp/>
        <stp>BDP|3184557510981781149</stp>
        <tr r="P346" s="2"/>
      </tp>
      <tp t="s">
        <v>#N/A Requesting Data...3556203314</v>
        <stp/>
        <stp>BDP|3560943713774309865</stp>
        <tr r="A735" s="2"/>
      </tp>
      <tp t="s">
        <v>#N/A Requesting Data...2899036234</v>
        <stp/>
        <stp>BDP|4162145477161529407</stp>
        <tr r="J1825" s="2"/>
      </tp>
      <tp t="s">
        <v>#N/A Requesting Data...3579336040</v>
        <stp/>
        <stp>BDP|4673943445419573751</stp>
        <tr r="Q1354" s="2"/>
      </tp>
      <tp t="s">
        <v>#N/A Requesting Data...1931161526</v>
        <stp/>
        <stp>BDP|1358145923707173226</stp>
        <tr r="S1386" s="2"/>
      </tp>
      <tp t="s">
        <v>#N/A Requesting Data...2279334689</v>
        <stp/>
        <stp>BDP|2442092103770859512</stp>
        <tr r="R811" s="2"/>
      </tp>
      <tp t="s">
        <v>#N/A Requesting Data...1704078628</v>
        <stp/>
        <stp>BDP|6435926434929357250</stp>
        <tr r="H219" s="2"/>
      </tp>
      <tp t="s">
        <v>#N/A Requesting Data...3350825617</v>
        <stp/>
        <stp>BDP|4519264564391482677</stp>
        <tr r="K2142" s="2"/>
      </tp>
      <tp t="s">
        <v>#N/A Requesting Data...2169891313</v>
        <stp/>
        <stp>BDP|5666415817910718732</stp>
        <tr r="O770" s="2"/>
      </tp>
      <tp t="s">
        <v>#N/A Requesting Data...3781893772</v>
        <stp/>
        <stp>BDP|3117488736190365387</stp>
        <tr r="E1378" s="2"/>
      </tp>
      <tp t="s">
        <v>#N/A Requesting Data...3568522626</v>
        <stp/>
        <stp>BDP|9052172415187567939</stp>
        <tr r="A966" s="2"/>
      </tp>
      <tp t="s">
        <v>#N/A Requesting Data...4013399123</v>
        <stp/>
        <stp>BDP|8082916661467336771</stp>
        <tr r="J989" s="2"/>
      </tp>
      <tp t="s">
        <v>#N/A Requesting Data...4179839995</v>
        <stp/>
        <stp>BDP|2615975548000496895</stp>
        <tr r="C712" s="2"/>
      </tp>
      <tp t="s">
        <v>#N/A Requesting Data...1636736181</v>
        <stp/>
        <stp>BDP|8547326787230795431</stp>
        <tr r="G1131" s="2"/>
      </tp>
      <tp t="s">
        <v>#N/A Requesting Data...1666188683</v>
        <stp/>
        <stp>BDP|3321720877193431768</stp>
        <tr r="D1479" s="2"/>
      </tp>
      <tp t="s">
        <v>#N/A Requesting Data...3592180915</v>
        <stp/>
        <stp>BDP|1582663664060484678</stp>
        <tr r="J99" s="2"/>
      </tp>
      <tp t="s">
        <v>#N/A Requesting Data...1210166235</v>
        <stp/>
        <stp>BDP|4217444055951514326</stp>
        <tr r="T405" s="2"/>
      </tp>
      <tp t="s">
        <v>#N/A Requesting Data...3342976221</v>
        <stp/>
        <stp>BDP|7743246435924534573</stp>
        <tr r="R192" s="2"/>
      </tp>
      <tp t="s">
        <v>#N/A Requesting Data...1625393058</v>
        <stp/>
        <stp>BDP|6694471747128419963</stp>
        <tr r="D358" s="2"/>
      </tp>
      <tp t="s">
        <v>#N/A Requesting Data...3308825193</v>
        <stp/>
        <stp>BDP|5425625059398885937</stp>
        <tr r="R689" s="2"/>
      </tp>
      <tp t="s">
        <v>#N/A Requesting Data...2169396864</v>
        <stp/>
        <stp>BDP|7396446113863548658</stp>
        <tr r="O1665" s="2"/>
      </tp>
      <tp t="b">
        <v>0</v>
        <stp/>
        <stp>BDS|7337351931466761648</stp>
        <tr r="I769" s="2"/>
      </tp>
      <tp t="s">
        <v>#N/A Requesting Data...4085461662</v>
        <stp/>
        <stp>BDP|6514278803027104442</stp>
        <tr r="R641" s="2"/>
      </tp>
      <tp t="s">
        <v>#N/A Requesting Data...2663486352</v>
        <stp/>
        <stp>BDP|5268225390231493803</stp>
        <tr r="M1485" s="2"/>
      </tp>
      <tp t="s">
        <v>#N/A Requesting Data...1283156633</v>
        <stp/>
        <stp>BDP|1904218148264276467</stp>
        <tr r="Q439" s="2"/>
      </tp>
      <tp t="b">
        <v>0</v>
        <stp/>
        <stp>BDS|2297415160733002472</stp>
        <tr r="I597" s="2"/>
      </tp>
      <tp t="s">
        <v>#N/A Requesting Data...2881001068</v>
        <stp/>
        <stp>BDP|9195721091637357751</stp>
        <tr r="Q2089" s="2"/>
      </tp>
      <tp t="s">
        <v>#N/A Requesting Data...4079000571</v>
        <stp/>
        <stp>BDP|5739334213590391001</stp>
        <tr r="Q1290" s="2"/>
      </tp>
      <tp t="s">
        <v>#N/A Requesting Data...3473532173</v>
        <stp/>
        <stp>BDP|8051911565991941193</stp>
        <tr r="J1887" s="2"/>
      </tp>
      <tp t="s">
        <v>#N/A Requesting Data...1501023073</v>
        <stp/>
        <stp>BDP|4635696768732689150</stp>
        <tr r="M2351" s="2"/>
      </tp>
      <tp t="s">
        <v>#N/A Requesting Data...2473719708</v>
        <stp/>
        <stp>BDP|5634505393958319624</stp>
        <tr r="A1637" s="2"/>
      </tp>
      <tp t="s">
        <v>#N/A Requesting Data...3001821137</v>
        <stp/>
        <stp>BDP|3664974181233143659</stp>
        <tr r="S1064" s="2"/>
      </tp>
      <tp t="s">
        <v>#N/A Requesting Data...2858865725</v>
        <stp/>
        <stp>BDP|6809923158258148578</stp>
        <tr r="N1829" s="2"/>
      </tp>
      <tp t="s">
        <v>#N/A Requesting Data...2876666940</v>
        <stp/>
        <stp>BDP|8441916936996447332</stp>
        <tr r="T611" s="2"/>
      </tp>
      <tp t="s">
        <v>#N/A Requesting Data...1752287089</v>
        <stp/>
        <stp>BDP|9347971631906934283</stp>
        <tr r="H213" s="2"/>
      </tp>
      <tp t="s">
        <v>#N/A Requesting Data...2814824649</v>
        <stp/>
        <stp>BDP|9566092369109780161</stp>
        <tr r="E1976" s="2"/>
      </tp>
      <tp t="b">
        <v>0</v>
        <stp/>
        <stp>BDS|8627715163027182910</stp>
        <tr r="I1224" s="2"/>
      </tp>
      <tp t="b">
        <v>0</v>
        <stp/>
        <stp>BDS|5021210844205295136</stp>
        <tr r="I1453" s="2"/>
      </tp>
      <tp t="s">
        <v>#N/A Requesting Data...2190144021</v>
        <stp/>
        <stp>BDP|5159729263420474303</stp>
        <tr r="O1863" s="2"/>
      </tp>
      <tp t="b">
        <v>0</v>
        <stp/>
        <stp>BDS|1675602456646098345</stp>
        <tr r="I2061" s="2"/>
      </tp>
      <tp t="b">
        <v>0</v>
        <stp/>
        <stp>BDS|5562907985030470309</stp>
        <tr r="I1519" s="2"/>
      </tp>
      <tp t="s">
        <v>#N/A Requesting Data...3816239942</v>
        <stp/>
        <stp>BDP|3690804939787238895</stp>
        <tr r="O1793" s="2"/>
      </tp>
      <tp t="s">
        <v>#N/A Requesting Data...2598750907</v>
        <stp/>
        <stp>BDP|7053776951966065420</stp>
        <tr r="O1448" s="2"/>
      </tp>
      <tp t="s">
        <v>#N/A Requesting Data...2456087491</v>
        <stp/>
        <stp>BDP|9284720505689640076</stp>
        <tr r="J2459" s="2"/>
      </tp>
      <tp t="s">
        <v>#N/A Requesting Data...2606537115</v>
        <stp/>
        <stp>BDP|7002720338887862362</stp>
        <tr r="M1453" s="2"/>
      </tp>
      <tp t="s">
        <v>#N/A Requesting Data...3272041589</v>
        <stp/>
        <stp>BDP|8760780850948319581</stp>
        <tr r="S395" s="2"/>
      </tp>
      <tp t="s">
        <v>#N/A Requesting Data...3236076720</v>
        <stp/>
        <stp>BDP|1791400650706370106</stp>
        <tr r="S234" s="2"/>
      </tp>
      <tp t="s">
        <v>#N/A Requesting Data...2305255517</v>
        <stp/>
        <stp>BDP|7728700012027595144</stp>
        <tr r="F799" s="2"/>
      </tp>
      <tp t="s">
        <v>#N/A Requesting Data...3598612898</v>
        <stp/>
        <stp>BDP|7126787219174134259</stp>
        <tr r="G1007" s="2"/>
      </tp>
      <tp t="s">
        <v>#N/A Requesting Data...2877010039</v>
        <stp/>
        <stp>BDP|5598789837841779791</stp>
        <tr r="F2422" s="2"/>
      </tp>
      <tp t="s">
        <v>#N/A Requesting Data...3859780177</v>
        <stp/>
        <stp>BDP|2560302619966084184</stp>
        <tr r="G1299" s="2"/>
      </tp>
      <tp t="s">
        <v>#N/A Requesting Data...1601491292</v>
        <stp/>
        <stp>BDP|3190934494661595573</stp>
        <tr r="J2228" s="2"/>
      </tp>
      <tp t="s">
        <v>#N/A Requesting Data...4185753557</v>
        <stp/>
        <stp>BDP|9460470124779601150</stp>
        <tr r="E700" s="2"/>
      </tp>
      <tp t="s">
        <v>#N/A Requesting Data...3812932697</v>
        <stp/>
        <stp>BDP|3778661429290445081</stp>
        <tr r="M2524" s="2"/>
      </tp>
      <tp t="s">
        <v>#N/A Requesting Data...3675398535</v>
        <stp/>
        <stp>BDP|4876907897793364080</stp>
        <tr r="D854" s="2"/>
      </tp>
      <tp t="s">
        <v>#N/A Requesting Data...1538080110</v>
        <stp/>
        <stp>BDP|3424452921026301471</stp>
        <tr r="F2011" s="2"/>
      </tp>
      <tp t="s">
        <v>#N/A Requesting Data...3860807901</v>
        <stp/>
        <stp>BDP|3544251262810758019</stp>
        <tr r="C2461" s="2"/>
      </tp>
      <tp t="s">
        <v>#N/A Requesting Data...1411768731</v>
        <stp/>
        <stp>BDP|2768843867038758371</stp>
        <tr r="K854" s="2"/>
      </tp>
      <tp t="s">
        <v>#N/A Requesting Data...1748728510</v>
        <stp/>
        <stp>BDP|7478696235152514790</stp>
        <tr r="F1184" s="2"/>
      </tp>
      <tp t="s">
        <v>#N/A Requesting Data...2279235776</v>
        <stp/>
        <stp>BDP|7324495585228325487</stp>
        <tr r="D703" s="2"/>
      </tp>
      <tp t="s">
        <v>#N/A Requesting Data...3467559097</v>
        <stp/>
        <stp>BDP|7630079505971204123</stp>
        <tr r="D2294" s="2"/>
      </tp>
      <tp t="s">
        <v>#N/A Requesting Data...3511134194</v>
        <stp/>
        <stp>BDP|5094967288971346293</stp>
        <tr r="D241" s="2"/>
      </tp>
      <tp t="s">
        <v>#N/A Requesting Data...3167304016</v>
        <stp/>
        <stp>BDP|1818032902346965046</stp>
        <tr r="D4" s="2"/>
      </tp>
      <tp t="s">
        <v>#N/A Requesting Data...2899342742</v>
        <stp/>
        <stp>BDP|2801103061135961744</stp>
        <tr r="S213" s="2"/>
      </tp>
      <tp t="s">
        <v>#N/A Requesting Data...3116039098</v>
        <stp/>
        <stp>BDP|3778377067416666752</stp>
        <tr r="N923" s="2"/>
      </tp>
      <tp t="s">
        <v>#N/A Requesting Data...4182582508</v>
        <stp/>
        <stp>BDP|6550351574521632461</stp>
        <tr r="H509" s="2"/>
      </tp>
      <tp t="s">
        <v>#N/A Requesting Data...3200300044</v>
        <stp/>
        <stp>BDP|5923502376576321684</stp>
        <tr r="M2326" s="2"/>
      </tp>
      <tp t="s">
        <v>#N/A Requesting Data...3852918375</v>
        <stp/>
        <stp>BDP|2461117650026935781</stp>
        <tr r="A1161" s="2"/>
      </tp>
      <tp t="s">
        <v>#N/A Requesting Data...3895171028</v>
        <stp/>
        <stp>BDP|3222895799472220742</stp>
        <tr r="R2013" s="2"/>
      </tp>
      <tp t="s">
        <v>#N/A Requesting Data...3671574055</v>
        <stp/>
        <stp>BDP|1067154174981580100</stp>
        <tr r="A91" s="2"/>
      </tp>
      <tp t="s">
        <v>#N/A Requesting Data...4173634507</v>
        <stp/>
        <stp>BDP|7442186374507518195</stp>
        <tr r="N214" s="2"/>
      </tp>
      <tp t="s">
        <v>#N/A Requesting Data...1460276426</v>
        <stp/>
        <stp>BDP|4326158415410397345</stp>
        <tr r="E432" s="2"/>
      </tp>
      <tp t="s">
        <v>#N/A Requesting Data...3581798811</v>
        <stp/>
        <stp>BDP|6393805512031781926</stp>
        <tr r="K2108" s="2"/>
      </tp>
      <tp t="s">
        <v>#N/A Requesting Data...1634585162</v>
        <stp/>
        <stp>BDP|4385012017676564448</stp>
        <tr r="O1395" s="2"/>
      </tp>
      <tp t="s">
        <v>#N/A Requesting Data...2626561048</v>
        <stp/>
        <stp>BDP|8105067286382258573</stp>
        <tr r="C1353" s="2"/>
      </tp>
      <tp t="s">
        <v>#N/A Requesting Data...2337458267</v>
        <stp/>
        <stp>BDP|3222763343710710745</stp>
        <tr r="N340" s="2"/>
      </tp>
      <tp t="s">
        <v>#N/A Requesting Data...3964553747</v>
        <stp/>
        <stp>BDP|7044084744837121398</stp>
        <tr r="R1318" s="2"/>
      </tp>
      <tp t="s">
        <v>#N/A Requesting Data...2178706500</v>
        <stp/>
        <stp>BDP|3055273533116133316</stp>
        <tr r="S1730" s="2"/>
      </tp>
      <tp t="s">
        <v>#N/A Requesting Data...1606636216</v>
        <stp/>
        <stp>BDP|8980122882831419791</stp>
        <tr r="A1104" s="2"/>
      </tp>
      <tp t="s">
        <v>#N/A Requesting Data...1528146025</v>
        <stp/>
        <stp>BDP|3629203066545106556</stp>
        <tr r="T1563" s="2"/>
      </tp>
      <tp t="s">
        <v>#N/A Requesting Data...3862593680</v>
        <stp/>
        <stp>BDP|4068189854622999512</stp>
        <tr r="M2346" s="2"/>
      </tp>
      <tp t="s">
        <v>#N/A Requesting Data...3154618189</v>
        <stp/>
        <stp>BDP|2003577555554255142</stp>
        <tr r="H602" s="2"/>
      </tp>
      <tp t="s">
        <v>#N/A Requesting Data...1459766690</v>
        <stp/>
        <stp>BDP|5250056531363713254</stp>
        <tr r="T63" s="2"/>
      </tp>
      <tp t="b">
        <v>0</v>
        <stp/>
        <stp>BDS|4513994489906896493</stp>
        <tr r="I2320" s="2"/>
      </tp>
      <tp t="s">
        <v>#N/A Requesting Data...4225962624</v>
        <stp/>
        <stp>BDP|4756281390091272996</stp>
        <tr r="P916" s="2"/>
      </tp>
      <tp t="s">
        <v>#N/A Requesting Data...2510719246</v>
        <stp/>
        <stp>BDP|2842180091095710820</stp>
        <tr r="D229" s="2"/>
      </tp>
      <tp t="s">
        <v>#N/A Requesting Data...2098508913</v>
        <stp/>
        <stp>BDP|5705640112184669133</stp>
        <tr r="J2482" s="2"/>
      </tp>
      <tp t="s">
        <v>#N/A Requesting Data...3564630805</v>
        <stp/>
        <stp>BDP|1234130336097069331</stp>
        <tr r="F2492" s="2"/>
      </tp>
      <tp t="s">
        <v>#N/A Requesting Data...1684510927</v>
        <stp/>
        <stp>BDP|3377166740495399428</stp>
        <tr r="P632" s="2"/>
      </tp>
      <tp t="s">
        <v>#N/A Requesting Data...3829908590</v>
        <stp/>
        <stp>BDP|1880347233162329488</stp>
        <tr r="J735" s="2"/>
      </tp>
      <tp t="s">
        <v>#N/A Requesting Data...1899799534</v>
        <stp/>
        <stp>BDP|6994770820351267588</stp>
        <tr r="S342" s="2"/>
      </tp>
      <tp t="s">
        <v>#N/A Requesting Data...1625707401</v>
        <stp/>
        <stp>BDP|3056032872436272570</stp>
        <tr r="F1227" s="2"/>
      </tp>
      <tp t="s">
        <v>#N/A Requesting Data...2326139074</v>
        <stp/>
        <stp>BDP|5453733131886632049</stp>
        <tr r="K1129" s="2"/>
      </tp>
      <tp t="s">
        <v>#N/A Requesting Data...3285989520</v>
        <stp/>
        <stp>BDP|4177524427285970192</stp>
        <tr r="M491" s="2"/>
      </tp>
      <tp t="s">
        <v>#N/A Requesting Data...2988279035</v>
        <stp/>
        <stp>BDP|5952744971993197196</stp>
        <tr r="D266" s="2"/>
      </tp>
      <tp t="s">
        <v>#N/A Requesting Data...2545091257</v>
        <stp/>
        <stp>BDP|2253326744615712773</stp>
        <tr r="O1731" s="2"/>
      </tp>
      <tp t="s">
        <v>#N/A Requesting Data...2758297819</v>
        <stp/>
        <stp>BDP|1491508092693345914</stp>
        <tr r="O2009" s="2"/>
      </tp>
      <tp t="s">
        <v>#N/A Requesting Data...2063374522</v>
        <stp/>
        <stp>BDP|2373160355406138757</stp>
        <tr r="F1019" s="2"/>
      </tp>
      <tp t="s">
        <v>#N/A Requesting Data...2812653594</v>
        <stp/>
        <stp>BDP|7961948240888871516</stp>
        <tr r="F1412" s="2"/>
      </tp>
      <tp t="s">
        <v>#N/A Requesting Data...2734622176</v>
        <stp/>
        <stp>BDP|7455078606820075014</stp>
        <tr r="D1903" s="2"/>
      </tp>
      <tp t="b">
        <v>0</v>
        <stp/>
        <stp>BDS|9210298384922324687</stp>
        <tr r="I403" s="2"/>
      </tp>
      <tp t="s">
        <v>#N/A Requesting Data...4225784182</v>
        <stp/>
        <stp>BDP|6254529155335981481</stp>
        <tr r="M403" s="2"/>
      </tp>
      <tp t="s">
        <v>#N/A Requesting Data...2370961262</v>
        <stp/>
        <stp>BDP|3950360437600875442</stp>
        <tr r="H1299" s="2"/>
      </tp>
      <tp t="b">
        <v>0</v>
        <stp/>
        <stp>BDS|4533614621120906783</stp>
        <tr r="I1158" s="2"/>
      </tp>
      <tp t="s">
        <v>#N/A Requesting Data...2901814150</v>
        <stp/>
        <stp>BDP|7842290621664161452</stp>
        <tr r="J1078" s="2"/>
      </tp>
      <tp t="s">
        <v>#N/A Requesting Data...4283736247</v>
        <stp/>
        <stp>BDP|9092284830636445989</stp>
        <tr r="Q1223" s="2"/>
      </tp>
      <tp t="s">
        <v>#N/A Requesting Data...2565016542</v>
        <stp/>
        <stp>BDP|3795561428496985542</stp>
        <tr r="S471" s="2"/>
      </tp>
      <tp t="s">
        <v>#N/A Requesting Data...3260102503</v>
        <stp/>
        <stp>BDP|1854683311788710926</stp>
        <tr r="Q1732" s="2"/>
      </tp>
      <tp t="s">
        <v>#N/A Requesting Data...1564249376</v>
        <stp/>
        <stp>BDP|8296386124537253996</stp>
        <tr r="M1996" s="2"/>
      </tp>
      <tp t="s">
        <v>#N/A Requesting Data...1796238939</v>
        <stp/>
        <stp>BDP|2556317694986148946</stp>
        <tr r="J2432" s="2"/>
      </tp>
      <tp t="s">
        <v>#N/A Requesting Data...3941182905</v>
        <stp/>
        <stp>BDP|2789440303525153441</stp>
        <tr r="H29" s="2"/>
      </tp>
      <tp t="s">
        <v>#N/A Requesting Data...3871221586</v>
        <stp/>
        <stp>BDP|5025470494499273648</stp>
        <tr r="E1213" s="2"/>
      </tp>
      <tp t="s">
        <v>#N/A Requesting Data...2587697004</v>
        <stp/>
        <stp>BDP|7527586033675994323</stp>
        <tr r="C445" s="2"/>
      </tp>
      <tp t="s">
        <v>#N/A Requesting Data...2209256280</v>
        <stp/>
        <stp>BDP|7747379312452223053</stp>
        <tr r="R1465" s="2"/>
      </tp>
      <tp t="s">
        <v>#N/A Requesting Data...2777412806</v>
        <stp/>
        <stp>BDP|5137232724862655054</stp>
        <tr r="M2201" s="2"/>
      </tp>
      <tp t="s">
        <v>#N/A Requesting Data...4020695895</v>
        <stp/>
        <stp>BDP|9225139775811929989</stp>
        <tr r="S457" s="2"/>
      </tp>
      <tp t="s">
        <v>#N/A Requesting Data...2412151989</v>
        <stp/>
        <stp>BDP|1482043226531348502</stp>
        <tr r="O1993" s="2"/>
      </tp>
      <tp t="s">
        <v>#N/A Requesting Data...3110633452</v>
        <stp/>
        <stp>BDP|9300939763056039762</stp>
        <tr r="E54" s="2"/>
      </tp>
      <tp t="s">
        <v>#N/A Requesting Data...2387149791</v>
        <stp/>
        <stp>BDP|7473546441509676828</stp>
        <tr r="S1676" s="2"/>
      </tp>
      <tp t="s">
        <v>#N/A Requesting Data...3132434818</v>
        <stp/>
        <stp>BDP|3178112224500938788</stp>
        <tr r="G998" s="2"/>
      </tp>
      <tp t="s">
        <v>#N/A Requesting Data...2646810539</v>
        <stp/>
        <stp>BDP|6768932003569622148</stp>
        <tr r="C1858" s="2"/>
      </tp>
      <tp t="s">
        <v>#N/A Requesting Data...1891256041</v>
        <stp/>
        <stp>BDP|4267706305292293600</stp>
        <tr r="T1966" s="2"/>
      </tp>
      <tp t="s">
        <v>#N/A Requesting Data...3053061759</v>
        <stp/>
        <stp>BDP|1035553807771482234</stp>
        <tr r="O2182" s="2"/>
      </tp>
      <tp t="s">
        <v>#N/A Requesting Data...2486576944</v>
        <stp/>
        <stp>BDP|6782617031305538174</stp>
        <tr r="S948" s="2"/>
      </tp>
      <tp t="s">
        <v>#N/A Requesting Data...3544611143</v>
        <stp/>
        <stp>BDP|7255849483905485547</stp>
        <tr r="Q793" s="2"/>
      </tp>
      <tp t="s">
        <v>#N/A Requesting Data...1532602690</v>
        <stp/>
        <stp>BDP|2274533627645583760</stp>
        <tr r="Q1726" s="2"/>
      </tp>
      <tp t="s">
        <v>#N/A Requesting Data...2425985081</v>
        <stp/>
        <stp>BDP|7100568544033253247</stp>
        <tr r="D491" s="2"/>
      </tp>
      <tp t="s">
        <v>#N/A Requesting Data...2186529929</v>
        <stp/>
        <stp>BDP|4012215057926356202</stp>
        <tr r="T1715" s="2"/>
      </tp>
      <tp t="s">
        <v>#N/A Requesting Data...3693600372</v>
        <stp/>
        <stp>BDP|8174245011724091816</stp>
        <tr r="H430" s="2"/>
      </tp>
      <tp t="s">
        <v>#N/A Requesting Data...3530103323</v>
        <stp/>
        <stp>BDP|2616687178231085536</stp>
        <tr r="H900" s="2"/>
      </tp>
      <tp t="s">
        <v>#N/A Requesting Data...3728545191</v>
        <stp/>
        <stp>BDP|4686572826091175537</stp>
        <tr r="F590" s="2"/>
      </tp>
      <tp t="s">
        <v>#N/A Requesting Data...3922607777</v>
        <stp/>
        <stp>BDP|2474755213784771708</stp>
        <tr r="E1642" s="2"/>
      </tp>
      <tp t="b">
        <v>0</v>
        <stp/>
        <stp>BDS|2591712837002072365</stp>
        <tr r="I808" s="2"/>
      </tp>
      <tp t="s">
        <v>#N/A Requesting Data...4020070056</v>
        <stp/>
        <stp>BDP|3400313302114467369</stp>
        <tr r="P190" s="2"/>
      </tp>
      <tp t="s">
        <v>#N/A Requesting Data...1909451604</v>
        <stp/>
        <stp>BDP|5886322663470922751</stp>
        <tr r="T6" s="2"/>
      </tp>
      <tp t="s">
        <v>#N/A Requesting Data...3116783783</v>
        <stp/>
        <stp>BDP|5932889612679023263</stp>
        <tr r="F1839" s="2"/>
      </tp>
      <tp t="s">
        <v>#N/A Requesting Data...2601832339</v>
        <stp/>
        <stp>BDP|2137258444586224571</stp>
        <tr r="T1729" s="2"/>
      </tp>
      <tp t="s">
        <v>#N/A Requesting Data...4125345653</v>
        <stp/>
        <stp>BDP|5184843911319045211</stp>
        <tr r="S1885" s="2"/>
      </tp>
      <tp t="s">
        <v>#N/A Requesting Data...3766247391</v>
        <stp/>
        <stp>BDP|6313044736692088047</stp>
        <tr r="A129" s="2"/>
      </tp>
      <tp t="s">
        <v>#N/A Requesting Data...3839561513</v>
        <stp/>
        <stp>BDP|8900435562408895554</stp>
        <tr r="E50" s="2"/>
      </tp>
      <tp t="s">
        <v>#N/A Requesting Data...2749572934</v>
        <stp/>
        <stp>BDP|8920556248377584943</stp>
        <tr r="R926" s="2"/>
      </tp>
      <tp t="s">
        <v>#N/A Requesting Data...3431222955</v>
        <stp/>
        <stp>BDP|8974348749279505141</stp>
        <tr r="H1368" s="2"/>
      </tp>
      <tp t="s">
        <v>#N/A Requesting Data...2437108175</v>
        <stp/>
        <stp>BDP|7228612167929669973</stp>
        <tr r="K2387" s="2"/>
      </tp>
      <tp t="s">
        <v>#N/A Requesting Data...2083373510</v>
        <stp/>
        <stp>BDP|2146260275382485233</stp>
        <tr r="T177" s="2"/>
      </tp>
      <tp t="s">
        <v>#N/A Requesting Data...2937898314</v>
        <stp/>
        <stp>BDP|5922630068733724108</stp>
        <tr r="J1483" s="2"/>
      </tp>
      <tp t="s">
        <v>#N/A Requesting Data...1589518389</v>
        <stp/>
        <stp>BDP|4722050315000746259</stp>
        <tr r="J1650" s="2"/>
      </tp>
      <tp t="s">
        <v>#N/A Requesting Data...1678394229</v>
        <stp/>
        <stp>BDP|9205337139528954648</stp>
        <tr r="N1984" s="2"/>
      </tp>
      <tp t="s">
        <v>#N/A Requesting Data...3355769336</v>
        <stp/>
        <stp>BDP|1694722600958844999</stp>
        <tr r="G2245" s="2"/>
      </tp>
      <tp t="s">
        <v>#N/A Requesting Data...1664536821</v>
        <stp/>
        <stp>BDP|3362536150560426418</stp>
        <tr r="Q85" s="2"/>
      </tp>
      <tp t="s">
        <v>#N/A Requesting Data...1732895803</v>
        <stp/>
        <stp>BDP|4792125939517849612</stp>
        <tr r="N959" s="2"/>
      </tp>
      <tp t="s">
        <v>#N/A Requesting Data...2007306106</v>
        <stp/>
        <stp>BDP|6092667173434353430</stp>
        <tr r="P1184" s="2"/>
      </tp>
      <tp t="s">
        <v>#N/A Requesting Data...3383983627</v>
        <stp/>
        <stp>BDP|4214393259426588321</stp>
        <tr r="Q341" s="2"/>
      </tp>
      <tp t="s">
        <v>#N/A Requesting Data...2841290792</v>
        <stp/>
        <stp>BDP|1093604066383165527</stp>
        <tr r="G2357" s="2"/>
      </tp>
      <tp t="s">
        <v>#N/A Requesting Data...2499493626</v>
        <stp/>
        <stp>BDP|1439420104167786505</stp>
        <tr r="R2128" s="2"/>
      </tp>
      <tp t="s">
        <v>#N/A Requesting Data...3390085614</v>
        <stp/>
        <stp>BDP|7374792455700398294</stp>
        <tr r="Q2148" s="2"/>
      </tp>
      <tp t="s">
        <v>#N/A Requesting Data...2547441271</v>
        <stp/>
        <stp>BDP|4850671334632985474</stp>
        <tr r="Q1269" s="2"/>
      </tp>
      <tp t="s">
        <v>#N/A Requesting Data...2277637959</v>
        <stp/>
        <stp>BDP|5369210456853139603</stp>
        <tr r="C417" s="2"/>
      </tp>
      <tp t="s">
        <v>#N/A Requesting Data...2840394473</v>
        <stp/>
        <stp>BDP|9228673829619080391</stp>
        <tr r="O695" s="2"/>
      </tp>
      <tp t="s">
        <v>#N/A Requesting Data...3226964580</v>
        <stp/>
        <stp>BDP|3822058461620127280</stp>
        <tr r="N989" s="2"/>
      </tp>
      <tp t="s">
        <v>#N/A Requesting Data...4181707604</v>
        <stp/>
        <stp>BDP|6378109860956496020</stp>
        <tr r="A702" s="2"/>
      </tp>
      <tp t="s">
        <v>#N/A Requesting Data...2934297973</v>
        <stp/>
        <stp>BDP|5715747017311838598</stp>
        <tr r="J2356" s="2"/>
      </tp>
      <tp t="s">
        <v>#N/A Requesting Data...2022356514</v>
        <stp/>
        <stp>BDP|2688360757612643144</stp>
        <tr r="K2416" s="2"/>
      </tp>
      <tp t="s">
        <v>#N/A Requesting Data...2077672022</v>
        <stp/>
        <stp>BDP|6419269099052931875</stp>
        <tr r="Q541" s="2"/>
      </tp>
      <tp t="s">
        <v>#N/A Requesting Data...3716056123</v>
        <stp/>
        <stp>BDP|2681025923122105532</stp>
        <tr r="N2422" s="2"/>
      </tp>
      <tp t="s">
        <v>#N/A Requesting Data...2088492147</v>
        <stp/>
        <stp>BDP|6944370260990876434</stp>
        <tr r="N1404" s="2"/>
      </tp>
      <tp t="s">
        <v>#N/A Requesting Data...2325180655</v>
        <stp/>
        <stp>BDP|1723385949935753445</stp>
        <tr r="D1756" s="2"/>
      </tp>
      <tp t="s">
        <v>#N/A Requesting Data...3444290694</v>
        <stp/>
        <stp>BDP|6628048744641799444</stp>
        <tr r="K2267" s="2"/>
      </tp>
      <tp t="s">
        <v>#N/A Requesting Data...2286710410</v>
        <stp/>
        <stp>BDP|5427420121315764156</stp>
        <tr r="J182" s="2"/>
      </tp>
      <tp t="s">
        <v>#N/A Requesting Data...1929997756</v>
        <stp/>
        <stp>BDP|3143390660501488098</stp>
        <tr r="N2483" s="2"/>
      </tp>
      <tp t="s">
        <v>#N/A Requesting Data...2550365328</v>
        <stp/>
        <stp>BDP|1645561804930141309</stp>
        <tr r="O1672" s="2"/>
      </tp>
      <tp t="s">
        <v>#N/A Requesting Data...3859538042</v>
        <stp/>
        <stp>BDP|1462152900770534711</stp>
        <tr r="R1498" s="2"/>
      </tp>
      <tp t="s">
        <v>#N/A Requesting Data...3654912718</v>
        <stp/>
        <stp>BDP|7112507932720383658</stp>
        <tr r="Q908" s="2"/>
      </tp>
      <tp t="s">
        <v>#N/A Requesting Data...2594472842</v>
        <stp/>
        <stp>BDP|2397300408416899065</stp>
        <tr r="N19" s="2"/>
      </tp>
      <tp t="s">
        <v>#N/A Requesting Data...2545755134</v>
        <stp/>
        <stp>BDP|8700446511208371243</stp>
        <tr r="Q533" s="2"/>
      </tp>
      <tp t="s">
        <v>#N/A Requesting Data...4253872068</v>
        <stp/>
        <stp>BDP|6594730038046905329</stp>
        <tr r="M931" s="2"/>
      </tp>
      <tp t="s">
        <v>#N/A Requesting Data...4048228978</v>
        <stp/>
        <stp>BDP|3799014972896259530</stp>
        <tr r="P496" s="2"/>
      </tp>
      <tp t="s">
        <v>#N/A Requesting Data...3645261753</v>
        <stp/>
        <stp>BDP|3525765000774663706</stp>
        <tr r="F21" s="2"/>
      </tp>
      <tp t="s">
        <v>#N/A Requesting Data...1901019852</v>
        <stp/>
        <stp>BDP|7324905387653953284</stp>
        <tr r="Q505" s="2"/>
      </tp>
      <tp t="b">
        <v>0</v>
        <stp/>
        <stp>BDS|4789443622921240465</stp>
        <tr r="I622" s="2"/>
      </tp>
      <tp t="s">
        <v>#N/A Requesting Data...2913332014</v>
        <stp/>
        <stp>BDP|1490766975316593075</stp>
        <tr r="N1955" s="2"/>
      </tp>
      <tp t="s">
        <v>#N/A Requesting Data...2870647380</v>
        <stp/>
        <stp>BDP|7716387626800486185</stp>
        <tr r="G1355" s="2"/>
      </tp>
      <tp t="s">
        <v>#N/A Requesting Data...1822656898</v>
        <stp/>
        <stp>BDP|2362577523164611642</stp>
        <tr r="T2490" s="2"/>
      </tp>
      <tp t="s">
        <v>#N/A Requesting Data...3701253924</v>
        <stp/>
        <stp>BDP|6344286856586864002</stp>
        <tr r="J609" s="2"/>
      </tp>
      <tp t="s">
        <v>#N/A Requesting Data...3672903149</v>
        <stp/>
        <stp>BDP|6706149731715383645</stp>
        <tr r="N1597" s="2"/>
      </tp>
      <tp t="b">
        <v>0</v>
        <stp/>
        <stp>BDS|8141673587651742035</stp>
        <tr r="I271" s="2"/>
      </tp>
      <tp t="s">
        <v>#N/A Requesting Data...3135185233</v>
        <stp/>
        <stp>BDP|7431372814112020021</stp>
        <tr r="M2121" s="2"/>
      </tp>
      <tp t="s">
        <v>#N/A Requesting Data...4197201741</v>
        <stp/>
        <stp>BDP|8494594842768202689</stp>
        <tr r="T2044" s="2"/>
      </tp>
      <tp t="s">
        <v>#N/A Requesting Data...2860764014</v>
        <stp/>
        <stp>BDP|3872161567283475080</stp>
        <tr r="M2014" s="2"/>
      </tp>
      <tp t="s">
        <v>#N/A Requesting Data...3490918192</v>
        <stp/>
        <stp>BDP|4570712541553117313</stp>
        <tr r="K1200" s="2"/>
      </tp>
      <tp t="s">
        <v>#N/A Requesting Data...3418889606</v>
        <stp/>
        <stp>BDP|3025601010022744125</stp>
        <tr r="M261" s="2"/>
      </tp>
      <tp t="s">
        <v>#N/A Requesting Data...2419542458</v>
        <stp/>
        <stp>BDP|6678993886178838844</stp>
        <tr r="J2233" s="2"/>
      </tp>
      <tp t="s">
        <v>#N/A Requesting Data...3089936686</v>
        <stp/>
        <stp>BDP|5010815550588627721</stp>
        <tr r="A1757" s="2"/>
      </tp>
      <tp t="s">
        <v>#N/A Requesting Data...2035596242</v>
        <stp/>
        <stp>BDP|4205362360153888599</stp>
        <tr r="Q352" s="2"/>
      </tp>
      <tp t="s">
        <v>#N/A Requesting Data...3782558641</v>
        <stp/>
        <stp>BDP|5806129752513414598</stp>
        <tr r="P1866" s="2"/>
      </tp>
      <tp t="s">
        <v>#N/A Requesting Data...3331443961</v>
        <stp/>
        <stp>BDP|6594665136263785773</stp>
        <tr r="T1973" s="2"/>
      </tp>
      <tp t="s">
        <v>#N/A Requesting Data...1869335289</v>
        <stp/>
        <stp>BDP|1753816103637676967</stp>
        <tr r="M1764" s="2"/>
      </tp>
      <tp t="s">
        <v>#N/A Requesting Data...3473094913</v>
        <stp/>
        <stp>BDP|5099116476432799657</stp>
        <tr r="T16" s="2"/>
      </tp>
      <tp t="s">
        <v>#N/A Requesting Data...4002296636</v>
        <stp/>
        <stp>BDP|7385891437729823209</stp>
        <tr r="E761" s="2"/>
      </tp>
      <tp t="s">
        <v>#N/A Requesting Data...4100297150</v>
        <stp/>
        <stp>BDP|7400654682679110776</stp>
        <tr r="O1966" s="2"/>
      </tp>
      <tp t="s">
        <v>#N/A Requesting Data...2232500178</v>
        <stp/>
        <stp>BDP|2133266313455037317</stp>
        <tr r="N1519" s="2"/>
      </tp>
      <tp t="s">
        <v>#N/A Requesting Data...1988821676</v>
        <stp/>
        <stp>BDP|3988129135424979227</stp>
        <tr r="T889" s="2"/>
      </tp>
      <tp t="s">
        <v>#N/A Requesting Data...3657756037</v>
        <stp/>
        <stp>BDP|5584841407173185925</stp>
        <tr r="P1335" s="2"/>
      </tp>
      <tp t="s">
        <v>#N/A Requesting Data...2819967676</v>
        <stp/>
        <stp>BDP|7141475238787353086</stp>
        <tr r="Q1636" s="2"/>
      </tp>
      <tp t="s">
        <v>#N/A Requesting Data...3009374446</v>
        <stp/>
        <stp>BDP|1360841776381645825</stp>
        <tr r="C1555" s="2"/>
      </tp>
      <tp t="s">
        <v>#N/A Requesting Data...3264585959</v>
        <stp/>
        <stp>BDP|2163019046571671059</stp>
        <tr r="T2207" s="2"/>
      </tp>
      <tp t="s">
        <v>#N/A Requesting Data...3681748651</v>
        <stp/>
        <stp>BDP|1461300680334365927</stp>
        <tr r="P144" s="2"/>
      </tp>
      <tp t="s">
        <v>#N/A Requesting Data...1980118219</v>
        <stp/>
        <stp>BDP|1607802096117007057</stp>
        <tr r="T1490" s="2"/>
      </tp>
      <tp t="s">
        <v>#N/A Requesting Data...2854245260</v>
        <stp/>
        <stp>BDP|2767722101043153105</stp>
        <tr r="O1054" s="2"/>
      </tp>
      <tp t="s">
        <v>#N/A Requesting Data...1778702385</v>
        <stp/>
        <stp>BDP|6807465359169683948</stp>
        <tr r="H1768" s="2"/>
      </tp>
      <tp t="s">
        <v>#N/A Requesting Data...2861119137</v>
        <stp/>
        <stp>BDP|9704517503342247924</stp>
        <tr r="A1136" s="2"/>
      </tp>
      <tp t="s">
        <v>#N/A Requesting Data...1972523595</v>
        <stp/>
        <stp>BDP|1061565295388407224</stp>
        <tr r="F1478" s="2"/>
      </tp>
      <tp t="s">
        <v>#N/A Requesting Data...2215769320</v>
        <stp/>
        <stp>BDP|4435110812361516275</stp>
        <tr r="H1076" s="2"/>
      </tp>
      <tp t="s">
        <v>#N/A Requesting Data...3830804650</v>
        <stp/>
        <stp>BDP|2027106691298141556</stp>
        <tr r="N295" s="2"/>
      </tp>
      <tp t="s">
        <v>#N/A Requesting Data...2623961091</v>
        <stp/>
        <stp>BDP|2408318593826276913</stp>
        <tr r="A625" s="2"/>
      </tp>
      <tp t="s">
        <v>#N/A Requesting Data...4265123913</v>
        <stp/>
        <stp>BDP|7917264576937888240</stp>
        <tr r="A1009" s="2"/>
      </tp>
      <tp t="s">
        <v>#N/A Requesting Data...3285665676</v>
        <stp/>
        <stp>BDP|8633653285089740840</stp>
        <tr r="H2021" s="2"/>
      </tp>
      <tp t="s">
        <v>#N/A Requesting Data...1783891102</v>
        <stp/>
        <stp>BDP|1880129978983487337</stp>
        <tr r="Q717" s="2"/>
      </tp>
      <tp t="s">
        <v>#N/A Requesting Data...2669551898</v>
        <stp/>
        <stp>BDP|4650204925194146773</stp>
        <tr r="N1579" s="2"/>
      </tp>
      <tp t="s">
        <v>#N/A Requesting Data...3626545756</v>
        <stp/>
        <stp>BDP|1829584905134934793</stp>
        <tr r="O918" s="2"/>
      </tp>
      <tp t="s">
        <v>#N/A Requesting Data...2358374669</v>
        <stp/>
        <stp>BDP|1007145366771572022</stp>
        <tr r="Q2524" s="2"/>
      </tp>
      <tp t="s">
        <v>#N/A Requesting Data...4001204792</v>
        <stp/>
        <stp>BDP|6250323719034936752</stp>
        <tr r="G1039" s="2"/>
      </tp>
      <tp t="s">
        <v>#N/A Requesting Data...3785360524</v>
        <stp/>
        <stp>BDP|9794122154309298366</stp>
        <tr r="H1683" s="2"/>
      </tp>
      <tp t="s">
        <v>#N/A Requesting Data...3284308735</v>
        <stp/>
        <stp>BDP|7761333116451611316</stp>
        <tr r="M450" s="2"/>
      </tp>
      <tp t="s">
        <v>#N/A Requesting Data...3158717184</v>
        <stp/>
        <stp>BDP|9147182600068537793</stp>
        <tr r="F1749" s="2"/>
      </tp>
      <tp t="s">
        <v>#N/A Requesting Data...3046500533</v>
        <stp/>
        <stp>BDP|5194778442390538147</stp>
        <tr r="M2134" s="2"/>
      </tp>
      <tp t="b">
        <v>0</v>
        <stp/>
        <stp>BDS|5858380226413024036</stp>
        <tr r="I154" s="2"/>
      </tp>
      <tp t="s">
        <v>#N/A Requesting Data...2832371651</v>
        <stp/>
        <stp>BDP|3729445000194288448</stp>
        <tr r="M2275" s="2"/>
      </tp>
      <tp t="s">
        <v>#N/A Requesting Data...4010196133</v>
        <stp/>
        <stp>BDP|4880310065617416626</stp>
        <tr r="Q29" s="2"/>
      </tp>
      <tp t="s">
        <v>#N/A Requesting Data...4019410558</v>
        <stp/>
        <stp>BDP|4715057544958815847</stp>
        <tr r="T1982" s="2"/>
      </tp>
      <tp t="s">
        <v>#N/A Requesting Data...3143988676</v>
        <stp/>
        <stp>BDP|2812431857121389250</stp>
        <tr r="S1820" s="2"/>
      </tp>
      <tp t="s">
        <v>#N/A Requesting Data...3740524283</v>
        <stp/>
        <stp>BDP|9106819799419761142</stp>
        <tr r="T415" s="2"/>
      </tp>
      <tp t="s">
        <v>#N/A Requesting Data...4085915620</v>
        <stp/>
        <stp>BDP|8965321560754296930</stp>
        <tr r="N345" s="2"/>
      </tp>
      <tp t="s">
        <v>#N/A Requesting Data...3991916002</v>
        <stp/>
        <stp>BDP|4814648138798703997</stp>
        <tr r="G354" s="2"/>
      </tp>
      <tp t="s">
        <v>#N/A Requesting Data...3116439731</v>
        <stp/>
        <stp>BDP|6830575727945349412</stp>
        <tr r="R732" s="2"/>
      </tp>
      <tp t="s">
        <v>#N/A Requesting Data...2401190808</v>
        <stp/>
        <stp>BDP|8081845621934982664</stp>
        <tr r="Q1488" s="2"/>
      </tp>
      <tp t="s">
        <v>#N/A Requesting Data...2057716071</v>
        <stp/>
        <stp>BDP|3018507671320895134</stp>
        <tr r="G1235" s="2"/>
      </tp>
      <tp t="s">
        <v>#N/A Requesting Data...3785377665</v>
        <stp/>
        <stp>BDP|3696796879712595199</stp>
        <tr r="N664" s="2"/>
      </tp>
      <tp t="s">
        <v>#N/A Requesting Data...2861447684</v>
        <stp/>
        <stp>BDP|5503791986968157215</stp>
        <tr r="G1832" s="2"/>
      </tp>
      <tp t="s">
        <v>#N/A Requesting Data...3566630361</v>
        <stp/>
        <stp>BDP|1192046187049962012</stp>
        <tr r="C1649" s="2"/>
      </tp>
      <tp t="b">
        <v>0</v>
        <stp/>
        <stp>BDS|7118456655974900226</stp>
        <tr r="I1492" s="2"/>
      </tp>
      <tp t="s">
        <v>#N/A Requesting Data...2664454515</v>
        <stp/>
        <stp>BDP|3804373810812047354</stp>
        <tr r="F345" s="2"/>
      </tp>
      <tp t="s">
        <v>#N/A Requesting Data...3075566965</v>
        <stp/>
        <stp>BDP|2844003354884068363</stp>
        <tr r="T283" s="2"/>
      </tp>
      <tp t="s">
        <v>#N/A Requesting Data...3537167040</v>
        <stp/>
        <stp>BDP|4755521718433121368</stp>
        <tr r="Q98" s="2"/>
      </tp>
      <tp t="s">
        <v>#N/A Requesting Data...3772277875</v>
        <stp/>
        <stp>BDP|4915418453412051712</stp>
        <tr r="D417" s="2"/>
      </tp>
      <tp t="s">
        <v>#N/A Requesting Data...3389015543</v>
        <stp/>
        <stp>BDP|1293436131505800320</stp>
        <tr r="H809" s="2"/>
      </tp>
      <tp t="b">
        <v>0</v>
        <stp/>
        <stp>BDS|7747953193767892030</stp>
        <tr r="I1362" s="2"/>
      </tp>
      <tp t="s">
        <v>#N/A Requesting Data...4197275501</v>
        <stp/>
        <stp>BDP|6455938958149404316</stp>
        <tr r="O1726" s="2"/>
      </tp>
      <tp t="s">
        <v>#N/A Requesting Data...4148619459</v>
        <stp/>
        <stp>BDP|5802651652466279078</stp>
        <tr r="G772" s="2"/>
      </tp>
      <tp t="s">
        <v>#N/A Requesting Data...3711767027</v>
        <stp/>
        <stp>BDP|9954392660529986537</stp>
        <tr r="N1740" s="2"/>
      </tp>
      <tp t="s">
        <v>#N/A Requesting Data...1849494318</v>
        <stp/>
        <stp>BDP|9933709455212205945</stp>
        <tr r="G1015" s="2"/>
      </tp>
      <tp t="b">
        <v>0</v>
        <stp/>
        <stp>BDS|8415883657157558248</stp>
        <tr r="I1150" s="2"/>
      </tp>
      <tp t="b">
        <v>0</v>
        <stp/>
        <stp>BDS|1104533633550807739</stp>
        <tr r="I1994" s="2"/>
      </tp>
      <tp t="s">
        <v>#N/A Requesting Data...2016233898</v>
        <stp/>
        <stp>BDP|9433084266267316838</stp>
        <tr r="R946" s="2"/>
      </tp>
      <tp t="s">
        <v>#N/A Requesting Data...2080327980</v>
        <stp/>
        <stp>BDP|1215730777771937059</stp>
        <tr r="D326" s="2"/>
      </tp>
      <tp t="s">
        <v>#N/A Requesting Data...2418024109</v>
        <stp/>
        <stp>BDP|1100783917715305278</stp>
        <tr r="N871" s="2"/>
      </tp>
      <tp t="s">
        <v>#N/A Requesting Data...2280166444</v>
        <stp/>
        <stp>BDP|5197407421032829120</stp>
        <tr r="J1701" s="2"/>
      </tp>
      <tp t="s">
        <v>#N/A Requesting Data...2465523579</v>
        <stp/>
        <stp>BDP|8342385582143499075</stp>
        <tr r="M1082" s="2"/>
      </tp>
      <tp t="s">
        <v>#N/A Requesting Data...1966327976</v>
        <stp/>
        <stp>BDP|8457934924822017194</stp>
        <tr r="S1359" s="2"/>
      </tp>
      <tp t="s">
        <v>#N/A Requesting Data...3185865839</v>
        <stp/>
        <stp>BDP|4771419633955892671</stp>
        <tr r="E978" s="2"/>
      </tp>
      <tp t="s">
        <v>#N/A Requesting Data...4048303343</v>
        <stp/>
        <stp>BDP|8793072779569032632</stp>
        <tr r="R2263" s="2"/>
      </tp>
      <tp t="s">
        <v>#N/A Requesting Data...3291249469</v>
        <stp/>
        <stp>BDP|9516414603135522889</stp>
        <tr r="G872" s="2"/>
      </tp>
      <tp t="s">
        <v>#N/A Requesting Data...2630527872</v>
        <stp/>
        <stp>BDP|4494035228590212677</stp>
        <tr r="M1474" s="2"/>
      </tp>
      <tp t="s">
        <v>#N/A Requesting Data...3335074721</v>
        <stp/>
        <stp>BDP|2410460871033872219</stp>
        <tr r="T1954" s="2"/>
      </tp>
      <tp t="s">
        <v>#N/A Requesting Data...3227086900</v>
        <stp/>
        <stp>BDP|7916207904166629314</stp>
        <tr r="C559" s="2"/>
      </tp>
      <tp t="s">
        <v>#N/A Requesting Data...3267874406</v>
        <stp/>
        <stp>BDP|8989908515588565832</stp>
        <tr r="G2043" s="2"/>
      </tp>
      <tp t="s">
        <v>#N/A Requesting Data...2261787890</v>
        <stp/>
        <stp>BDP|1808041016129799978</stp>
        <tr r="E1513" s="2"/>
      </tp>
      <tp t="s">
        <v>#N/A Requesting Data...4041111253</v>
        <stp/>
        <stp>BDP|7979594179605644050</stp>
        <tr r="N2410" s="2"/>
      </tp>
      <tp t="s">
        <v>#N/A Requesting Data...2914097954</v>
        <stp/>
        <stp>BDP|5327214215085533384</stp>
        <tr r="F274" s="2"/>
      </tp>
      <tp t="s">
        <v>#N/A Requesting Data...1930369713</v>
        <stp/>
        <stp>BDP|6238612977387602083</stp>
        <tr r="P702" s="2"/>
      </tp>
      <tp t="s">
        <v>#N/A Requesting Data...2836453104</v>
        <stp/>
        <stp>BDP|5128406369472738553</stp>
        <tr r="P1054" s="2"/>
      </tp>
      <tp t="s">
        <v>#N/A Requesting Data...2403919018</v>
        <stp/>
        <stp>BDP|6195020265472856248</stp>
        <tr r="T2478" s="2"/>
      </tp>
      <tp t="s">
        <v>#N/A Requesting Data...3975001851</v>
        <stp/>
        <stp>BDP|8984625720365185906</stp>
        <tr r="J1884" s="2"/>
      </tp>
      <tp t="s">
        <v>#N/A Requesting Data...3037355361</v>
        <stp/>
        <stp>BDP|5488008162434539797</stp>
        <tr r="J1597" s="2"/>
      </tp>
      <tp t="s">
        <v>#N/A Requesting Data...2985772054</v>
        <stp/>
        <stp>BDP|3394919742788847623</stp>
        <tr r="O2060" s="2"/>
      </tp>
      <tp t="s">
        <v>#N/A Requesting Data...3356014761</v>
        <stp/>
        <stp>BDP|5322615818353310135</stp>
        <tr r="A255" s="2"/>
      </tp>
      <tp t="s">
        <v>#N/A Requesting Data...2757004679</v>
        <stp/>
        <stp>BDP|5560559449393452779</stp>
        <tr r="F315" s="2"/>
      </tp>
      <tp t="s">
        <v>#N/A Requesting Data...2436590529</v>
        <stp/>
        <stp>BDP|4902051197794171901</stp>
        <tr r="R290" s="2"/>
      </tp>
      <tp t="s">
        <v>#N/A Requesting Data...4077383593</v>
        <stp/>
        <stp>BDP|6760051001665152387</stp>
        <tr r="P1403" s="2"/>
      </tp>
      <tp t="s">
        <v>#N/A Requesting Data...2089588220</v>
        <stp/>
        <stp>BDP|1483866654844464883</stp>
        <tr r="N398" s="2"/>
      </tp>
      <tp t="s">
        <v>#N/A Requesting Data...3825272741</v>
        <stp/>
        <stp>BDP|9837894650060830437</stp>
        <tr r="C2090" s="2"/>
      </tp>
      <tp t="s">
        <v>#N/A Requesting Data...2802028091</v>
        <stp/>
        <stp>BDP|3955048143155571218</stp>
        <tr r="G1017" s="2"/>
      </tp>
      <tp t="s">
        <v>#N/A Requesting Data...4241382525</v>
        <stp/>
        <stp>BDP|2674884066729047523</stp>
        <tr r="M1049" s="2"/>
      </tp>
      <tp t="s">
        <v>#N/A Requesting Data...2136924776</v>
        <stp/>
        <stp>BDP|3305922989495264703</stp>
        <tr r="N1066" s="2"/>
      </tp>
      <tp t="s">
        <v>#N/A Requesting Data...2111745325</v>
        <stp/>
        <stp>BDP|5849094609294209101</stp>
        <tr r="T2148" s="2"/>
      </tp>
      <tp t="s">
        <v>#N/A Requesting Data...2770820946</v>
        <stp/>
        <stp>BDP|5370824306055827853</stp>
        <tr r="M1062" s="2"/>
      </tp>
      <tp t="b">
        <v>0</v>
        <stp/>
        <stp>BDS|6309053373348963967</stp>
        <tr r="I1585" s="2"/>
      </tp>
      <tp t="s">
        <v>#N/A Requesting Data...3921870608</v>
        <stp/>
        <stp>BDP|7784281807191495464</stp>
        <tr r="J503" s="2"/>
      </tp>
      <tp t="s">
        <v>#N/A Requesting Data...3523600378</v>
        <stp/>
        <stp>BDP|9946996169444619252</stp>
        <tr r="O1289" s="2"/>
      </tp>
      <tp t="s">
        <v>#N/A Requesting Data...4006811035</v>
        <stp/>
        <stp>BDP|1091662354563182192</stp>
        <tr r="A52" s="2"/>
      </tp>
      <tp t="s">
        <v>#N/A Requesting Data...3448083096</v>
        <stp/>
        <stp>BDP|6712776125833820079</stp>
        <tr r="E2018" s="2"/>
      </tp>
      <tp t="s">
        <v>#N/A Requesting Data...4195002062</v>
        <stp/>
        <stp>BDP|9668732585164319290</stp>
        <tr r="F1975" s="2"/>
      </tp>
      <tp t="s">
        <v>#N/A Requesting Data...3720930181</v>
        <stp/>
        <stp>BDP|7403536514382030192</stp>
        <tr r="T911" s="2"/>
      </tp>
      <tp t="s">
        <v>#N/A Requesting Data...3479986095</v>
        <stp/>
        <stp>BDP|7746498567856409370</stp>
        <tr r="N2107" s="2"/>
      </tp>
      <tp t="s">
        <v>#N/A Requesting Data...3812356953</v>
        <stp/>
        <stp>BDP|4913150945609752846</stp>
        <tr r="K863" s="2"/>
      </tp>
      <tp t="s">
        <v>#N/A Requesting Data...1986742970</v>
        <stp/>
        <stp>BDP|2305236551660322585</stp>
        <tr r="S1697" s="2"/>
      </tp>
      <tp t="s">
        <v>#N/A Requesting Data...2001150607</v>
        <stp/>
        <stp>BDP|8721845719204360534</stp>
        <tr r="F1274" s="2"/>
      </tp>
      <tp t="s">
        <v>#N/A Requesting Data...3488014862</v>
        <stp/>
        <stp>BDP|1637433074406866435</stp>
        <tr r="H2251" s="2"/>
      </tp>
      <tp t="b">
        <v>0</v>
        <stp/>
        <stp>BDS|2072115455167651182</stp>
        <tr r="I925" s="2"/>
      </tp>
      <tp t="s">
        <v>#N/A Requesting Data...2523084533</v>
        <stp/>
        <stp>BDP|3277436341590200383</stp>
        <tr r="G1345" s="2"/>
      </tp>
      <tp t="s">
        <v>#N/A Requesting Data...2667158885</v>
        <stp/>
        <stp>BDP|7801790957171867440</stp>
        <tr r="F1117" s="2"/>
      </tp>
      <tp t="s">
        <v>#N/A Requesting Data...3192207940</v>
        <stp/>
        <stp>BDP|7662034966150907104</stp>
        <tr r="Q212" s="2"/>
      </tp>
      <tp t="s">
        <v>#N/A Requesting Data...3414163786</v>
        <stp/>
        <stp>BDP|6353246638231016656</stp>
        <tr r="K1300" s="2"/>
      </tp>
      <tp t="s">
        <v>#N/A Requesting Data...2872444193</v>
        <stp/>
        <stp>BDP|6750353855110539082</stp>
        <tr r="S820" s="2"/>
      </tp>
      <tp t="s">
        <v>#N/A Requesting Data...2341516328</v>
        <stp/>
        <stp>BDP|1117960047324354891</stp>
        <tr r="O2364" s="2"/>
      </tp>
      <tp t="s">
        <v>#N/A Requesting Data...3098255245</v>
        <stp/>
        <stp>BDP|3073298784150080970</stp>
        <tr r="T2215" s="2"/>
      </tp>
      <tp t="s">
        <v>#N/A Requesting Data...2687193108</v>
        <stp/>
        <stp>BDP|4415981189347972262</stp>
        <tr r="J878" s="2"/>
      </tp>
      <tp t="s">
        <v>#N/A Requesting Data...4217383418</v>
        <stp/>
        <stp>BDP|2145603758305241416</stp>
        <tr r="F1296" s="2"/>
      </tp>
      <tp t="s">
        <v>#N/A Requesting Data...2745794770</v>
        <stp/>
        <stp>BDP|5638913780277504384</stp>
        <tr r="F127" s="2"/>
      </tp>
      <tp t="s">
        <v>#N/A Requesting Data...4124866474</v>
        <stp/>
        <stp>BDP|9422435650041998948</stp>
        <tr r="P817" s="2"/>
      </tp>
      <tp t="s">
        <v>#N/A Requesting Data...4136925936</v>
        <stp/>
        <stp>BDP|1571068401379039889</stp>
        <tr r="G1430" s="2"/>
      </tp>
      <tp t="b">
        <v>0</v>
        <stp/>
        <stp>BDS|6153649201822818260</stp>
        <tr r="I555" s="2"/>
      </tp>
      <tp t="s">
        <v>#N/A Requesting Data...2858653811</v>
        <stp/>
        <stp>BDP|2794311350070431492</stp>
        <tr r="S1199" s="2"/>
      </tp>
      <tp t="s">
        <v>#N/A Requesting Data...2759842345</v>
        <stp/>
        <stp>BDP|6811340631143709519</stp>
        <tr r="F1112" s="2"/>
      </tp>
      <tp t="s">
        <v>#N/A Requesting Data...2246269445</v>
        <stp/>
        <stp>BDP|6295408503314986632</stp>
        <tr r="M384" s="2"/>
      </tp>
      <tp t="s">
        <v>#N/A Requesting Data...3169266074</v>
        <stp/>
        <stp>BDP|7835579402342394058</stp>
        <tr r="N1780" s="2"/>
      </tp>
      <tp t="b">
        <v>0</v>
        <stp/>
        <stp>BDS|3823435365223390267</stp>
        <tr r="I17" s="2"/>
      </tp>
      <tp t="s">
        <v>#N/A Requesting Data...3047775047</v>
        <stp/>
        <stp>BDP|4597385904085055221</stp>
        <tr r="C1647" s="2"/>
      </tp>
      <tp t="s">
        <v>#N/A Requesting Data...4063390561</v>
        <stp/>
        <stp>BDP|4096008172983091099</stp>
        <tr r="D1755" s="2"/>
      </tp>
      <tp t="s">
        <v>#N/A Requesting Data...3179120232</v>
        <stp/>
        <stp>BDP|1091498659983317381</stp>
        <tr r="E2155" s="2"/>
      </tp>
      <tp t="s">
        <v>#N/A Requesting Data...3209193859</v>
        <stp/>
        <stp>BDP|9060888429865286685</stp>
        <tr r="Q1925" s="2"/>
      </tp>
      <tp t="s">
        <v>#N/A Requesting Data...2264629212</v>
        <stp/>
        <stp>BDP|5905369154860295323</stp>
        <tr r="R2045" s="2"/>
      </tp>
      <tp t="s">
        <v>#N/A Requesting Data...2100881534</v>
        <stp/>
        <stp>BDP|8011736611189893714</stp>
        <tr r="S501" s="2"/>
      </tp>
      <tp t="s">
        <v>#N/A Requesting Data...3453653179</v>
        <stp/>
        <stp>BDP|8160705657233429998</stp>
        <tr r="M2349" s="2"/>
      </tp>
      <tp t="s">
        <v>#N/A Requesting Data...3301628353</v>
        <stp/>
        <stp>BDP|7363698971235764371</stp>
        <tr r="M1335" s="2"/>
      </tp>
      <tp t="s">
        <v>#N/A Requesting Data...2302028176</v>
        <stp/>
        <stp>BDP|7637507464883124785</stp>
        <tr r="C21" s="2"/>
      </tp>
      <tp t="s">
        <v>#N/A Requesting Data...2197103343</v>
        <stp/>
        <stp>BDP|2284613341792166281</stp>
        <tr r="T2216" s="2"/>
      </tp>
      <tp t="b">
        <v>0</v>
        <stp/>
        <stp>BDS|6233351139293583500</stp>
        <tr r="I644" s="2"/>
      </tp>
      <tp t="s">
        <v>#N/A Requesting Data...2499725283</v>
        <stp/>
        <stp>BDP|7795966842903894904</stp>
        <tr r="E607" s="2"/>
      </tp>
      <tp t="s">
        <v>#N/A Requesting Data...3070891503</v>
        <stp/>
        <stp>BDP|3228497071849756963</stp>
        <tr r="H2291" s="2"/>
      </tp>
      <tp t="s">
        <v>#N/A Requesting Data...2510894073</v>
        <stp/>
        <stp>BDP|7974839090161114704</stp>
        <tr r="R1587" s="2"/>
      </tp>
      <tp t="s">
        <v>#N/A Requesting Data...2109943633</v>
        <stp/>
        <stp>BDP|9854571543151583927</stp>
        <tr r="S374" s="2"/>
      </tp>
      <tp t="s">
        <v>#N/A Requesting Data...2446177790</v>
        <stp/>
        <stp>BDP|7898003413547618164</stp>
        <tr r="T1001" s="2"/>
      </tp>
      <tp t="s">
        <v>#N/A Requesting Data...2092596586</v>
        <stp/>
        <stp>BDP|5266393073954132525</stp>
        <tr r="F1887" s="2"/>
      </tp>
      <tp t="s">
        <v>#N/A Requesting Data...3178423097</v>
        <stp/>
        <stp>BDP|6837872465969776165</stp>
        <tr r="H648" s="2"/>
      </tp>
      <tp t="s">
        <v>#N/A Requesting Data...3524901256</v>
        <stp/>
        <stp>BDP|4550235651515499686</stp>
        <tr r="K780" s="2"/>
      </tp>
      <tp t="s">
        <v>#N/A Requesting Data...3776418353</v>
        <stp/>
        <stp>BDP|8792834355340860525</stp>
        <tr r="R277" s="2"/>
      </tp>
      <tp t="s">
        <v>#N/A Requesting Data...3945548641</v>
        <stp/>
        <stp>BDP|7142872295317110199</stp>
        <tr r="S228" s="2"/>
      </tp>
      <tp t="s">
        <v>#N/A Requesting Data...3027636791</v>
        <stp/>
        <stp>BDP|2123980682505197613</stp>
        <tr r="S169" s="2"/>
      </tp>
      <tp t="s">
        <v>#N/A Requesting Data...3379679444</v>
        <stp/>
        <stp>BDP|1188311444672767484</stp>
        <tr r="F2336" s="2"/>
      </tp>
      <tp t="s">
        <v>#N/A Requesting Data...2117129592</v>
        <stp/>
        <stp>BDP|1460998396282164317</stp>
        <tr r="K2302" s="2"/>
      </tp>
      <tp t="s">
        <v>#N/A Requesting Data...2584903438</v>
        <stp/>
        <stp>BDP|8149523290106193292</stp>
        <tr r="O404" s="2"/>
      </tp>
      <tp t="s">
        <v>#N/A Requesting Data...4209741679</v>
        <stp/>
        <stp>BDP|2379359048637041251</stp>
        <tr r="O233" s="2"/>
      </tp>
      <tp t="s">
        <v>#N/A Requesting Data...2808204495</v>
        <stp/>
        <stp>BDP|3880560726006343200</stp>
        <tr r="S791" s="2"/>
      </tp>
      <tp t="s">
        <v>#N/A Requesting Data...3710699382</v>
        <stp/>
        <stp>BDP|9077180645349101578</stp>
        <tr r="J2355" s="2"/>
      </tp>
      <tp t="s">
        <v>#N/A Requesting Data...3419945135</v>
        <stp/>
        <stp>BDP|4707628369946595224</stp>
        <tr r="S2249" s="2"/>
      </tp>
      <tp t="s">
        <v>#N/A Requesting Data...3269148436</v>
        <stp/>
        <stp>BDP|2485532167520926121</stp>
        <tr r="F41" s="2"/>
      </tp>
      <tp t="s">
        <v>#N/A Requesting Data...3998940164</v>
        <stp/>
        <stp>BDP|4181461039914041758</stp>
        <tr r="S615" s="2"/>
      </tp>
      <tp t="s">
        <v>#N/A Requesting Data...3527924212</v>
        <stp/>
        <stp>BDP|3779584533511232459</stp>
        <tr r="J2075" s="2"/>
      </tp>
      <tp t="s">
        <v>#N/A Requesting Data...2621921922</v>
        <stp/>
        <stp>BDP|2433090932056197756</stp>
        <tr r="K2358" s="2"/>
      </tp>
      <tp t="b">
        <v>0</v>
        <stp/>
        <stp>BDS|3584382384971689944</stp>
        <tr r="I95" s="2"/>
      </tp>
      <tp t="s">
        <v>#N/A Requesting Data...3890169041</v>
        <stp/>
        <stp>BDP|5714446767517846079</stp>
        <tr r="O829" s="2"/>
      </tp>
      <tp t="s">
        <v>#N/A Requesting Data...3133408636</v>
        <stp/>
        <stp>BDP|2212477960788887867</stp>
        <tr r="H1028" s="2"/>
      </tp>
      <tp t="s">
        <v>#N/A Requesting Data...3309831788</v>
        <stp/>
        <stp>BDP|4039231312886217185</stp>
        <tr r="T2447" s="2"/>
      </tp>
      <tp t="s">
        <v>#N/A Requesting Data...3826583233</v>
        <stp/>
        <stp>BDP|2659109538454407416</stp>
        <tr r="G1861" s="2"/>
      </tp>
      <tp t="s">
        <v>#N/A Requesting Data...3964924930</v>
        <stp/>
        <stp>BDP|6965579631324268464</stp>
        <tr r="O1701" s="2"/>
      </tp>
      <tp t="s">
        <v>#N/A Requesting Data...4081280789</v>
        <stp/>
        <stp>BDP|7074517091023290898</stp>
        <tr r="K1183" s="2"/>
      </tp>
      <tp t="s">
        <v>#N/A Requesting Data...2358985335</v>
        <stp/>
        <stp>BDP|9502033478509330764</stp>
        <tr r="H849" s="2"/>
      </tp>
      <tp t="s">
        <v>#N/A Requesting Data...2807153690</v>
        <stp/>
        <stp>BDP|3610295044356212327</stp>
        <tr r="R1731" s="2"/>
      </tp>
      <tp t="s">
        <v>#N/A Requesting Data...4225186812</v>
        <stp/>
        <stp>BDP|9017749293413993454</stp>
        <tr r="M751" s="2"/>
      </tp>
      <tp t="s">
        <v>#N/A Requesting Data...3196232589</v>
        <stp/>
        <stp>BDP|2044220194229447093</stp>
        <tr r="S2492" s="2"/>
      </tp>
      <tp t="s">
        <v>#N/A Requesting Data...2372591896</v>
        <stp/>
        <stp>BDP|5032603929294062525</stp>
        <tr r="E350" s="2"/>
      </tp>
      <tp t="s">
        <v>#N/A Requesting Data...2502898273</v>
        <stp/>
        <stp>BDP|3665532011017607095</stp>
        <tr r="Q1365" s="2"/>
      </tp>
      <tp t="s">
        <v>#N/A Requesting Data...3666852371</v>
        <stp/>
        <stp>BDP|2325627904110950470</stp>
        <tr r="R1624" s="2"/>
      </tp>
      <tp t="s">
        <v>#N/A Requesting Data...2454030771</v>
        <stp/>
        <stp>BDP|3166151006211029396</stp>
        <tr r="P2164" s="2"/>
      </tp>
      <tp t="s">
        <v>#N/A Requesting Data...4293620250</v>
        <stp/>
        <stp>BDP|2578897037761924894</stp>
        <tr r="S1298" s="2"/>
      </tp>
      <tp t="s">
        <v>#N/A Requesting Data...2192272552</v>
        <stp/>
        <stp>BDP|9077223619632639860</stp>
        <tr r="K120" s="2"/>
      </tp>
      <tp t="s">
        <v>#N/A Requesting Data...4156240574</v>
        <stp/>
        <stp>BDP|4231723111312326091</stp>
        <tr r="F2061" s="2"/>
      </tp>
      <tp t="s">
        <v>#N/A Requesting Data...4236232417</v>
        <stp/>
        <stp>BDP|4696967589716000329</stp>
        <tr r="N1164" s="2"/>
      </tp>
      <tp t="s">
        <v>#N/A Requesting Data...3525763186</v>
        <stp/>
        <stp>BDP|2841572664733699268</stp>
        <tr r="M862" s="2"/>
      </tp>
      <tp t="s">
        <v>#N/A Requesting Data...3195119115</v>
        <stp/>
        <stp>BDP|8420965148633936681</stp>
        <tr r="F2200" s="2"/>
      </tp>
      <tp t="s">
        <v>#N/A Requesting Data...3831124024</v>
        <stp/>
        <stp>BDP|9771587417915739849</stp>
        <tr r="H94" s="2"/>
      </tp>
      <tp t="s">
        <v>#N/A Requesting Data...3654109588</v>
        <stp/>
        <stp>BDP|5418302665327806723</stp>
        <tr r="M603" s="2"/>
      </tp>
      <tp t="s">
        <v>#N/A Requesting Data...3655239629</v>
        <stp/>
        <stp>BDP|1700989461997419913</stp>
        <tr r="K1726" s="2"/>
      </tp>
      <tp t="s">
        <v>#N/A Requesting Data...3007653639</v>
        <stp/>
        <stp>BDP|3269597070550538155</stp>
        <tr r="E967" s="2"/>
      </tp>
      <tp t="s">
        <v>#N/A Requesting Data...3407920358</v>
        <stp/>
        <stp>BDP|8181684713948247733</stp>
        <tr r="N12" s="2"/>
      </tp>
      <tp t="s">
        <v>#N/A Requesting Data...3801052845</v>
        <stp/>
        <stp>BDP|6438373947664610595</stp>
        <tr r="D126" s="2"/>
      </tp>
      <tp t="s">
        <v>#N/A Requesting Data...3252333339</v>
        <stp/>
        <stp>BDP|9002977371761570685</stp>
        <tr r="M177" s="2"/>
      </tp>
      <tp t="s">
        <v>#N/A Requesting Data...3568046216</v>
        <stp/>
        <stp>BDP|6780798351513201767</stp>
        <tr r="M484" s="2"/>
      </tp>
      <tp t="s">
        <v>#N/A Requesting Data...3439005936</v>
        <stp/>
        <stp>BDP|1058686394648142663</stp>
        <tr r="J657" s="2"/>
      </tp>
      <tp t="s">
        <v>#N/A Requesting Data...2593043440</v>
        <stp/>
        <stp>BDP|1988827230948066202</stp>
        <tr r="N918" s="2"/>
      </tp>
      <tp t="s">
        <v>#N/A Requesting Data...3335343381</v>
        <stp/>
        <stp>BDP|4619114170375415785</stp>
        <tr r="C7" s="2"/>
      </tp>
      <tp t="s">
        <v>#N/A Requesting Data...3676288490</v>
        <stp/>
        <stp>BDP|4838311104017753015</stp>
        <tr r="F2137" s="2"/>
      </tp>
      <tp t="s">
        <v>#N/A Requesting Data...2838402397</v>
        <stp/>
        <stp>BDP|7255032093297099999</stp>
        <tr r="P1227" s="2"/>
      </tp>
      <tp t="s">
        <v>#N/A Requesting Data...3748801777</v>
        <stp/>
        <stp>BDP|1823570201162311667</stp>
        <tr r="O1162" s="2"/>
      </tp>
      <tp t="s">
        <v>#N/A Requesting Data...3197156035</v>
        <stp/>
        <stp>BDP|4062747414402976027</stp>
        <tr r="H1194" s="2"/>
      </tp>
      <tp t="s">
        <v>#N/A Requesting Data...3365658591</v>
        <stp/>
        <stp>BDP|2388607380934909813</stp>
        <tr r="F2108" s="2"/>
      </tp>
      <tp t="s">
        <v>#N/A Requesting Data...3153179922</v>
        <stp/>
        <stp>BDP|7037383076575551605</stp>
        <tr r="M1699" s="2"/>
      </tp>
      <tp t="s">
        <v>#N/A Requesting Data...2289924048</v>
        <stp/>
        <stp>BDP|5666087616144438076</stp>
        <tr r="J1149" s="2"/>
      </tp>
      <tp t="s">
        <v>#N/A Requesting Data...3781651126</v>
        <stp/>
        <stp>BDP|2310928890741821329</stp>
        <tr r="Q1903" s="2"/>
      </tp>
      <tp t="s">
        <v>#N/A Requesting Data...3592175040</v>
        <stp/>
        <stp>BDP|5280298082509329612</stp>
        <tr r="O1022" s="2"/>
      </tp>
      <tp t="s">
        <v>#N/A Requesting Data...4149877658</v>
        <stp/>
        <stp>BDP|4459166955684493489</stp>
        <tr r="H18" s="2"/>
      </tp>
      <tp t="s">
        <v>#N/A Requesting Data...4289387751</v>
        <stp/>
        <stp>BDP|6974535602385001634</stp>
        <tr r="E1022" s="2"/>
      </tp>
      <tp t="s">
        <v>#N/A Requesting Data...3535254601</v>
        <stp/>
        <stp>BDP|6282197676827062765</stp>
        <tr r="Q2374" s="2"/>
      </tp>
      <tp t="s">
        <v>#N/A Requesting Data...2568541880</v>
        <stp/>
        <stp>BDP|9133354738721130867</stp>
        <tr r="D507" s="2"/>
      </tp>
      <tp t="s">
        <v>#N/A Requesting Data...2385318696</v>
        <stp/>
        <stp>BDP|4952879229428942658</stp>
        <tr r="G2352" s="2"/>
      </tp>
      <tp t="s">
        <v>#N/A Requesting Data...2383441230</v>
        <stp/>
        <stp>BDP|8736491754221971883</stp>
        <tr r="R1253" s="2"/>
      </tp>
      <tp t="s">
        <v>#N/A Requesting Data...3539643031</v>
        <stp/>
        <stp>BDP|4279624823329000984</stp>
        <tr r="H1857" s="2"/>
      </tp>
      <tp t="s">
        <v>#N/A Requesting Data...3939199355</v>
        <stp/>
        <stp>BDP|6320816792527839036</stp>
        <tr r="G1123" s="2"/>
      </tp>
      <tp t="s">
        <v>#N/A Requesting Data...4067177155</v>
        <stp/>
        <stp>BDP|3534962390436021580</stp>
        <tr r="E1517" s="2"/>
      </tp>
      <tp t="s">
        <v>#N/A Requesting Data...2667545943</v>
        <stp/>
        <stp>BDP|2422720157741361194</stp>
        <tr r="D79" s="2"/>
      </tp>
      <tp t="s">
        <v>#N/A Requesting Data...3356063877</v>
        <stp/>
        <stp>BDP|6030313334603693588</stp>
        <tr r="E2373" s="2"/>
      </tp>
      <tp t="s">
        <v>#N/A Requesting Data...3780468057</v>
        <stp/>
        <stp>BDP|6670377258024370410</stp>
        <tr r="E1762" s="2"/>
      </tp>
      <tp t="s">
        <v>#N/A Requesting Data...3489289386</v>
        <stp/>
        <stp>BDP|3741892643058229743</stp>
        <tr r="D1891" s="2"/>
      </tp>
      <tp t="b">
        <v>0</v>
        <stp/>
        <stp>BDS|7185027368091734078</stp>
        <tr r="I417" s="2"/>
      </tp>
      <tp t="s">
        <v>#N/A Requesting Data...3619663584</v>
        <stp/>
        <stp>BDP|6163186111976272018</stp>
        <tr r="R1962" s="2"/>
      </tp>
      <tp t="b">
        <v>0</v>
        <stp/>
        <stp>BDS|1653691291636035854</stp>
        <tr r="I1822" s="2"/>
      </tp>
      <tp t="s">
        <v>#N/A Requesting Data...3096289375</v>
        <stp/>
        <stp>BDP|6385857176938809130</stp>
        <tr r="F2400" s="2"/>
      </tp>
      <tp t="s">
        <v>#N/A Requesting Data...3054157719</v>
        <stp/>
        <stp>BDP|9799085081435384466</stp>
        <tr r="D222" s="2"/>
      </tp>
      <tp t="s">
        <v>#N/A Requesting Data...3351392587</v>
        <stp/>
        <stp>BDP|2790148348495550256</stp>
        <tr r="K2097" s="2"/>
      </tp>
      <tp t="s">
        <v>#N/A Requesting Data...4040009747</v>
        <stp/>
        <stp>BDP|4933529974677326178</stp>
        <tr r="Q907" s="2"/>
      </tp>
      <tp t="s">
        <v>#N/A Requesting Data...3402836531</v>
        <stp/>
        <stp>BDP|4070348417715960327</stp>
        <tr r="T2211" s="2"/>
      </tp>
      <tp t="s">
        <v>#N/A Requesting Data...2888083604</v>
        <stp/>
        <stp>BDP|7695302529413254553</stp>
        <tr r="D2402" s="2"/>
      </tp>
      <tp t="s">
        <v>#N/A Requesting Data...3898829097</v>
        <stp/>
        <stp>BDP|1068791370811041012</stp>
        <tr r="H2038" s="2"/>
      </tp>
      <tp t="s">
        <v>#N/A Requesting Data...2591501878</v>
        <stp/>
        <stp>BDP|9023620114827734991</stp>
        <tr r="G700" s="2"/>
      </tp>
      <tp t="s">
        <v>#N/A Requesting Data...4105561595</v>
        <stp/>
        <stp>BDP|6900444570415303068</stp>
        <tr r="J746" s="2"/>
      </tp>
      <tp t="s">
        <v>#N/A Requesting Data...4189805483</v>
        <stp/>
        <stp>BDP|5399152815860937528</stp>
        <tr r="A343" s="2"/>
      </tp>
      <tp t="s">
        <v>#N/A Requesting Data...4267201546</v>
        <stp/>
        <stp>BDP|5205945380527618389</stp>
        <tr r="H341" s="2"/>
      </tp>
      <tp t="s">
        <v>#N/A Requesting Data...3908858259</v>
        <stp/>
        <stp>BDP|1696710732882810758</stp>
        <tr r="T1669" s="2"/>
      </tp>
      <tp t="s">
        <v>#N/A Requesting Data...4164686659</v>
        <stp/>
        <stp>BDP|5899231052640217237</stp>
        <tr r="N1438" s="2"/>
      </tp>
      <tp t="s">
        <v>#N/A Requesting Data...3633845406</v>
        <stp/>
        <stp>BDP|7342369252736996768</stp>
        <tr r="E1066" s="2"/>
      </tp>
      <tp t="s">
        <v>#N/A Requesting Data...3953688561</v>
        <stp/>
        <stp>BDP|8528341102643298897</stp>
        <tr r="G806" s="2"/>
      </tp>
      <tp t="s">
        <v>#N/A Requesting Data...3523556404</v>
        <stp/>
        <stp>BDP|9445751386842722484</stp>
        <tr r="Q1123" s="2"/>
      </tp>
      <tp t="s">
        <v>#N/A Requesting Data...3685156659</v>
        <stp/>
        <stp>BDP|1308260904223802019</stp>
        <tr r="K1436" s="2"/>
      </tp>
      <tp t="s">
        <v>#N/A Requesting Data...2343127079</v>
        <stp/>
        <stp>BDP|8032841710715488486</stp>
        <tr r="D1660" s="2"/>
      </tp>
      <tp t="s">
        <v>#N/A Requesting Data...4090920184</v>
        <stp/>
        <stp>BDP|9692681934685177933</stp>
        <tr r="K1998" s="2"/>
      </tp>
      <tp t="s">
        <v>#N/A Requesting Data...3893967158</v>
        <stp/>
        <stp>BDP|3759694639503979569</stp>
        <tr r="K2369" s="2"/>
      </tp>
      <tp t="s">
        <v>#N/A Requesting Data...3818773319</v>
        <stp/>
        <stp>BDP|5885052609400805544</stp>
        <tr r="A475" s="2"/>
      </tp>
      <tp t="s">
        <v>#N/A Requesting Data...3823017056</v>
        <stp/>
        <stp>BDP|1814810360379100608</stp>
        <tr r="Q205" s="2"/>
      </tp>
      <tp t="s">
        <v>#N/A Requesting Data...3528963969</v>
        <stp/>
        <stp>BDP|7068852943842917977</stp>
        <tr r="O2037" s="2"/>
      </tp>
      <tp t="s">
        <v>#N/A Requesting Data...4155651503</v>
        <stp/>
        <stp>BDP|9219065181207497695</stp>
        <tr r="R415" s="2"/>
      </tp>
      <tp t="s">
        <v>#N/A Requesting Data...3693465259</v>
        <stp/>
        <stp>BDP|3329017655927816177</stp>
        <tr r="C2268" s="2"/>
      </tp>
      <tp t="s">
        <v>#N/A Requesting Data...3816547742</v>
        <stp/>
        <stp>BDP|4243198418491325580</stp>
        <tr r="A187" s="2"/>
      </tp>
      <tp t="s">
        <v>#N/A Requesting Data...4172508680</v>
        <stp/>
        <stp>BDP|1646298281418251340</stp>
        <tr r="O2194" s="2"/>
      </tp>
      <tp t="s">
        <v>#N/A Requesting Data...2871478246</v>
        <stp/>
        <stp>BDP|7101613140473820608</stp>
        <tr r="O982" s="2"/>
      </tp>
      <tp t="s">
        <v>#N/A Requesting Data...2572257750</v>
        <stp/>
        <stp>BDP|1241181112096918799</stp>
        <tr r="R1183" s="2"/>
      </tp>
      <tp t="s">
        <v>#N/A Requesting Data...2575991239</v>
        <stp/>
        <stp>BDP|2471887135881276832</stp>
        <tr r="M1828" s="2"/>
      </tp>
      <tp t="s">
        <v>#N/A Requesting Data...2795588410</v>
        <stp/>
        <stp>BDP|2975239711194005532</stp>
        <tr r="P1957" s="2"/>
      </tp>
      <tp t="s">
        <v>#N/A Requesting Data...2394006040</v>
        <stp/>
        <stp>BDP|6835324284789747419</stp>
        <tr r="N200" s="2"/>
      </tp>
      <tp t="s">
        <v>#N/A Requesting Data...3964131642</v>
        <stp/>
        <stp>BDP|5238826984697893247</stp>
        <tr r="R651" s="2"/>
      </tp>
      <tp t="s">
        <v>#N/A Requesting Data...2403587353</v>
        <stp/>
        <stp>BDP|5439458455027818346</stp>
        <tr r="H998" s="2"/>
      </tp>
      <tp t="s">
        <v>#N/A Requesting Data...3103686436</v>
        <stp/>
        <stp>BDP|8790083287070825084</stp>
        <tr r="A337" s="2"/>
      </tp>
      <tp t="s">
        <v>#N/A Requesting Data...2826320598</v>
        <stp/>
        <stp>BDP|3911463755276380414</stp>
        <tr r="C835" s="2"/>
      </tp>
      <tp t="s">
        <v>#N/A Requesting Data...4151633232</v>
        <stp/>
        <stp>BDP|4054230509834070226</stp>
        <tr r="A2231" s="2"/>
      </tp>
      <tp t="s">
        <v>#N/A Requesting Data...4037594483</v>
        <stp/>
        <stp>BDP|1146799238337824200</stp>
        <tr r="P1727" s="2"/>
      </tp>
      <tp t="s">
        <v>#N/A Requesting Data...2979342432</v>
        <stp/>
        <stp>BDP|7854709696549045061</stp>
        <tr r="P757" s="2"/>
      </tp>
      <tp t="s">
        <v>#N/A Requesting Data...3302122531</v>
        <stp/>
        <stp>BDP|3287687954235023563</stp>
        <tr r="S2282" s="2"/>
      </tp>
      <tp t="s">
        <v>#N/A Requesting Data...2452595125</v>
        <stp/>
        <stp>BDP|6887145048617808447</stp>
        <tr r="S184" s="2"/>
      </tp>
      <tp t="s">
        <v>#N/A Requesting Data...3830949189</v>
        <stp/>
        <stp>BDP|1436958579788944794</stp>
        <tr r="F2134" s="2"/>
      </tp>
      <tp t="s">
        <v>#N/A Requesting Data...3270382612</v>
        <stp/>
        <stp>BDP|1295072355074938014</stp>
        <tr r="T2085" s="2"/>
      </tp>
      <tp t="s">
        <v>#N/A Requesting Data...2552764586</v>
        <stp/>
        <stp>BDP|9812471114535789941</stp>
        <tr r="R1008" s="2"/>
      </tp>
      <tp t="b">
        <v>0</v>
        <stp/>
        <stp>BDS|2305699136927581014</stp>
        <tr r="I243" s="2"/>
      </tp>
      <tp t="s">
        <v>#N/A Requesting Data...4249345224</v>
        <stp/>
        <stp>BDP|3739410784178898724</stp>
        <tr r="N2366" s="2"/>
      </tp>
      <tp t="s">
        <v>#N/A Requesting Data...4233516021</v>
        <stp/>
        <stp>BDP|6813118961026429744</stp>
        <tr r="C1363" s="2"/>
      </tp>
      <tp t="s">
        <v>#N/A Requesting Data...4027509624</v>
        <stp/>
        <stp>BDP|6495367311762242692</stp>
        <tr r="S138" s="2"/>
      </tp>
      <tp t="s">
        <v>#N/A Requesting Data...3567834246</v>
        <stp/>
        <stp>BDP|1979320759901913630</stp>
        <tr r="K1996" s="2"/>
      </tp>
      <tp t="s">
        <v>#N/A Requesting Data...3090238722</v>
        <stp/>
        <stp>BDP|2707893881804000674</stp>
        <tr r="C1086" s="2"/>
      </tp>
      <tp t="s">
        <v>#N/A Requesting Data...2728928621</v>
        <stp/>
        <stp>BDP|7635014158992518021</stp>
        <tr r="C1991" s="2"/>
      </tp>
      <tp t="s">
        <v>#N/A Requesting Data...4289059707</v>
        <stp/>
        <stp>BDP|5757440948012728749</stp>
        <tr r="J258" s="2"/>
      </tp>
      <tp t="s">
        <v>#N/A Requesting Data...3666573380</v>
        <stp/>
        <stp>BDP|7627732052620902568</stp>
        <tr r="O2492" s="2"/>
      </tp>
      <tp t="s">
        <v>#N/A Requesting Data...3771375922</v>
        <stp/>
        <stp>BDP|6093267659594700505</stp>
        <tr r="A605" s="2"/>
      </tp>
      <tp t="s">
        <v>#N/A Requesting Data...3316504932</v>
        <stp/>
        <stp>BDP|3440583412986176177</stp>
        <tr r="G965" s="2"/>
      </tp>
      <tp t="s">
        <v>#N/A Requesting Data...2930044070</v>
        <stp/>
        <stp>BDP|5017336428174255012</stp>
        <tr r="E1761" s="2"/>
      </tp>
      <tp t="s">
        <v>#N/A Requesting Data...2813092924</v>
        <stp/>
        <stp>BDP|7170573355146814135</stp>
        <tr r="D883" s="2"/>
      </tp>
      <tp t="s">
        <v>#N/A Requesting Data...2832965200</v>
        <stp/>
        <stp>BDP|6093979651583603984</stp>
        <tr r="H682" s="2"/>
      </tp>
      <tp t="s">
        <v>#N/A Requesting Data...3811955740</v>
        <stp/>
        <stp>BDP|9960060093520259067</stp>
        <tr r="J2008" s="2"/>
      </tp>
      <tp t="s">
        <v>#N/A Requesting Data...3605230874</v>
        <stp/>
        <stp>BDP|3628379890939064094</stp>
        <tr r="P1998" s="2"/>
      </tp>
      <tp t="s">
        <v>#N/A Requesting Data...3849808517</v>
        <stp/>
        <stp>BDP|1356395147130455614</stp>
        <tr r="E973" s="2"/>
      </tp>
      <tp t="s">
        <v>#N/A Requesting Data...3883685739</v>
        <stp/>
        <stp>BDP|7206186225164623015</stp>
        <tr r="C330" s="2"/>
      </tp>
      <tp t="s">
        <v>#N/A Requesting Data...4200168870</v>
        <stp/>
        <stp>BDP|4116911495311960545</stp>
        <tr r="R245" s="2"/>
      </tp>
      <tp t="s">
        <v>#N/A Requesting Data...3263769770</v>
        <stp/>
        <stp>BDP|4763300331502833660</stp>
        <tr r="N703" s="2"/>
      </tp>
      <tp t="s">
        <v>#N/A Requesting Data...3321098191</v>
        <stp/>
        <stp>BDP|9768383659376927974</stp>
        <tr r="K945" s="2"/>
      </tp>
      <tp t="s">
        <v>#N/A Requesting Data...3812953215</v>
        <stp/>
        <stp>BDP|5533645410782887019</stp>
        <tr r="R2360" s="2"/>
      </tp>
      <tp t="s">
        <v>#N/A Requesting Data...2733781870</v>
        <stp/>
        <stp>BDP|4504511818674412406</stp>
        <tr r="N2167" s="2"/>
      </tp>
      <tp t="s">
        <v>#N/A Requesting Data...3438867028</v>
        <stp/>
        <stp>BDP|1497703331960856555</stp>
        <tr r="J2070" s="2"/>
      </tp>
      <tp t="s">
        <v>#N/A Requesting Data...3145890837</v>
        <stp/>
        <stp>BDP|3221181465403051771</stp>
        <tr r="F279" s="2"/>
      </tp>
      <tp t="s">
        <v>#N/A Requesting Data...2988941838</v>
        <stp/>
        <stp>BDP|5142200111282153490</stp>
        <tr r="J1932" s="2"/>
      </tp>
      <tp t="s">
        <v>#N/A Requesting Data...2952187838</v>
        <stp/>
        <stp>BDP|7372335281398933401</stp>
        <tr r="N2232" s="2"/>
      </tp>
      <tp t="s">
        <v>#N/A Requesting Data...2591265834</v>
        <stp/>
        <stp>BDP|1704452849844103529</stp>
        <tr r="E406" s="2"/>
      </tp>
      <tp t="s">
        <v>#N/A Requesting Data...2590926846</v>
        <stp/>
        <stp>BDP|2037262187138963004</stp>
        <tr r="S1765" s="2"/>
      </tp>
      <tp t="s">
        <v>#N/A Requesting Data...3966864021</v>
        <stp/>
        <stp>BDP|6170834742048065287</stp>
        <tr r="J720" s="2"/>
      </tp>
      <tp t="s">
        <v>#N/A Requesting Data...3484013703</v>
        <stp/>
        <stp>BDP|1123396223096145622</stp>
        <tr r="G919" s="2"/>
      </tp>
      <tp t="s">
        <v>#N/A Requesting Data...3526531231</v>
        <stp/>
        <stp>BDP|5759627397539354390</stp>
        <tr r="A2427" s="2"/>
      </tp>
      <tp t="s">
        <v>#N/A Requesting Data...2962890986</v>
        <stp/>
        <stp>BDP|9333047575086807826</stp>
        <tr r="C1709" s="2"/>
      </tp>
      <tp t="s">
        <v>#N/A Requesting Data...3892488927</v>
        <stp/>
        <stp>BDP|5949291920173867607</stp>
        <tr r="H2080" s="2"/>
      </tp>
      <tp t="s">
        <v>#N/A Requesting Data...2696180934</v>
        <stp/>
        <stp>BDP|9803668646538996391</stp>
        <tr r="S199" s="2"/>
      </tp>
      <tp t="s">
        <v>#N/A Requesting Data...3107678270</v>
        <stp/>
        <stp>BDP|2500039824231293187</stp>
        <tr r="E1337" s="2"/>
      </tp>
      <tp t="s">
        <v>#N/A Requesting Data...2922338453</v>
        <stp/>
        <stp>BDP|3894169641423228553</stp>
        <tr r="F1238" s="2"/>
      </tp>
      <tp t="s">
        <v>#N/A Requesting Data...3777947687</v>
        <stp/>
        <stp>BDP|9354758044582294884</stp>
        <tr r="S2160" s="2"/>
      </tp>
      <tp t="s">
        <v>#N/A Requesting Data...4068108669</v>
        <stp/>
        <stp>BDP|3814974854529439677</stp>
        <tr r="Q1704" s="2"/>
      </tp>
      <tp t="s">
        <v>#N/A Requesting Data...3397170706</v>
        <stp/>
        <stp>BDP|7811598159542415549</stp>
        <tr r="J852" s="2"/>
      </tp>
      <tp t="s">
        <v>#N/A Requesting Data...2572054462</v>
        <stp/>
        <stp>BDP|1446258436880918061</stp>
        <tr r="F1593" s="2"/>
      </tp>
      <tp t="s">
        <v>#N/A Requesting Data...3019957740</v>
        <stp/>
        <stp>BDP|3952667145669086828</stp>
        <tr r="A920" s="2"/>
      </tp>
      <tp t="s">
        <v>#N/A Requesting Data...3203653354</v>
        <stp/>
        <stp>BDP|1621742950810980334</stp>
        <tr r="N1991" s="2"/>
      </tp>
      <tp t="s">
        <v>#N/A Requesting Data...2841669304</v>
        <stp/>
        <stp>BDP|7002159216844944322</stp>
        <tr r="G100" s="2"/>
      </tp>
      <tp t="s">
        <v>#N/A Requesting Data...3873424428</v>
        <stp/>
        <stp>BDP|7968172351086403533</stp>
        <tr r="G2011" s="2"/>
      </tp>
      <tp t="s">
        <v>#N/A Requesting Data...2587034968</v>
        <stp/>
        <stp>BDP|7914361767877075508</stp>
        <tr r="F2167" s="2"/>
      </tp>
      <tp t="s">
        <v>#N/A Requesting Data...3989200931</v>
        <stp/>
        <stp>BDP|2506866168884011838</stp>
        <tr r="P219" s="2"/>
      </tp>
      <tp t="s">
        <v>#N/A Requesting Data...2760894775</v>
        <stp/>
        <stp>BDP|6840207627144008275</stp>
        <tr r="D1495" s="2"/>
      </tp>
      <tp t="s">
        <v>#N/A Requesting Data...3656405144</v>
        <stp/>
        <stp>BDP|9352260031379987158</stp>
        <tr r="Q1995" s="2"/>
      </tp>
      <tp t="s">
        <v>#N/A Requesting Data...3527402740</v>
        <stp/>
        <stp>BDP|7842938482611489754</stp>
        <tr r="K2201" s="2"/>
      </tp>
      <tp t="s">
        <v>#N/A Requesting Data...4194351561</v>
        <stp/>
        <stp>BDP|4329671319331116247</stp>
        <tr r="T2309" s="2"/>
      </tp>
      <tp t="s">
        <v>#N/A Requesting Data...3848584041</v>
        <stp/>
        <stp>BDP|6428716043151902473</stp>
        <tr r="T1898" s="2"/>
      </tp>
      <tp t="b">
        <v>0</v>
        <stp/>
        <stp>BDS|6602587835036343606</stp>
        <tr r="I1870" s="2"/>
      </tp>
      <tp t="s">
        <v>#N/A Requesting Data...4078846911</v>
        <stp/>
        <stp>BDP|2350228149676750267</stp>
        <tr r="K435" s="2"/>
      </tp>
      <tp t="s">
        <v>#N/A Requesting Data...2761387778</v>
        <stp/>
        <stp>BDP|1688573811381869417</stp>
        <tr r="K459" s="2"/>
      </tp>
      <tp t="s">
        <v>#N/A Requesting Data...2875278715</v>
        <stp/>
        <stp>BDP|2684312819773338347</stp>
        <tr r="A247" s="2"/>
      </tp>
      <tp t="s">
        <v>#N/A Requesting Data...2562920399</v>
        <stp/>
        <stp>BDP|3842070444943121436</stp>
        <tr r="S2117" s="2"/>
      </tp>
      <tp t="s">
        <v>#N/A Requesting Data...4043107395</v>
        <stp/>
        <stp>BDP|2671447971404345599</stp>
        <tr r="J810" s="2"/>
      </tp>
      <tp t="b">
        <v>0</v>
        <stp/>
        <stp>BDS|3440944199576775579</stp>
        <tr r="I582" s="2"/>
      </tp>
      <tp t="s">
        <v>#N/A Requesting Data...3988116786</v>
        <stp/>
        <stp>BDP|3148355606334291493</stp>
        <tr r="F1885" s="2"/>
      </tp>
      <tp t="s">
        <v>#N/A Requesting Data...3068403735</v>
        <stp/>
        <stp>BDP|3661328533174767792</stp>
        <tr r="F1125" s="2"/>
      </tp>
      <tp t="s">
        <v>#N/A Requesting Data...2946483245</v>
        <stp/>
        <stp>BDP|7909638069744929336</stp>
        <tr r="M1683" s="2"/>
      </tp>
      <tp t="s">
        <v>#N/A Requesting Data...2654633366</v>
        <stp/>
        <stp>BDP|9249679835034907806</stp>
        <tr r="F949" s="2"/>
      </tp>
      <tp t="s">
        <v>#N/A Requesting Data...2842142582</v>
        <stp/>
        <stp>BDP|3509565339040763548</stp>
        <tr r="R1433" s="2"/>
      </tp>
      <tp t="s">
        <v>#N/A Requesting Data...3923886487</v>
        <stp/>
        <stp>BDP|3483094712613432123</stp>
        <tr r="F1901" s="2"/>
      </tp>
      <tp t="s">
        <v>#N/A Requesting Data...3221305698</v>
        <stp/>
        <stp>BDP|6794888480516261048</stp>
        <tr r="P201" s="2"/>
      </tp>
      <tp t="s">
        <v>#N/A Requesting Data...3149924314</v>
        <stp/>
        <stp>BDP|7644093577720633079</stp>
        <tr r="P2125" s="2"/>
      </tp>
      <tp t="s">
        <v>#N/A Requesting Data...3516885837</v>
        <stp/>
        <stp>BDP|8542145891430168089</stp>
        <tr r="Q2046" s="2"/>
      </tp>
      <tp t="s">
        <v>#N/A Requesting Data...2931776337</v>
        <stp/>
        <stp>BDP|2472018362762915673</stp>
        <tr r="T1291" s="2"/>
      </tp>
      <tp t="s">
        <v>#N/A Requesting Data...3550608689</v>
        <stp/>
        <stp>BDP|1133184631647988483</stp>
        <tr r="R327" s="2"/>
      </tp>
      <tp t="s">
        <v>#N/A Requesting Data...3260978011</v>
        <stp/>
        <stp>BDP|2164137310652258098</stp>
        <tr r="J1278" s="2"/>
      </tp>
      <tp t="s">
        <v>#N/A Requesting Data...3673163327</v>
        <stp/>
        <stp>BDP|8172095296962637315</stp>
        <tr r="D1860" s="2"/>
      </tp>
      <tp t="s">
        <v>#N/A Requesting Data...3004178592</v>
        <stp/>
        <stp>BDP|9367793664660585826</stp>
        <tr r="A1375" s="2"/>
      </tp>
      <tp t="s">
        <v>#N/A Requesting Data...4089959252</v>
        <stp/>
        <stp>BDP|1961744961076772628</stp>
        <tr r="Q489" s="2"/>
      </tp>
      <tp t="s">
        <v>#N/A Requesting Data...4104741080</v>
        <stp/>
        <stp>BDP|3171227374400889661</stp>
        <tr r="G741" s="2"/>
      </tp>
      <tp t="s">
        <v>#N/A Requesting Data...4225268298</v>
        <stp/>
        <stp>BDP|1859825731158748259</stp>
        <tr r="R2042" s="2"/>
      </tp>
      <tp t="s">
        <v>#N/A Requesting Data...2719534019</v>
        <stp/>
        <stp>BDP|7130568041022911466</stp>
        <tr r="C1211" s="2"/>
      </tp>
      <tp t="s">
        <v>#N/A Requesting Data...3271573792</v>
        <stp/>
        <stp>BDP|1723282471726598222</stp>
        <tr r="K705" s="2"/>
      </tp>
      <tp t="s">
        <v>#N/A Requesting Data...3907464717</v>
        <stp/>
        <stp>BDP|9128295245967105852</stp>
        <tr r="J1607" s="2"/>
      </tp>
      <tp t="s">
        <v>#N/A Requesting Data...3285143781</v>
        <stp/>
        <stp>BDP|3928834713918335230</stp>
        <tr r="G127" s="2"/>
      </tp>
      <tp t="s">
        <v>#N/A Requesting Data...2883387157</v>
        <stp/>
        <stp>BDP|5885202546373061070</stp>
        <tr r="T1880" s="2"/>
      </tp>
      <tp t="s">
        <v>#N/A Requesting Data...3779245604</v>
        <stp/>
        <stp>BDP|8673383053447465909</stp>
        <tr r="K257" s="2"/>
      </tp>
      <tp t="s">
        <v>#N/A Requesting Data...3478568144</v>
        <stp/>
        <stp>BDP|5228175601471992545</stp>
        <tr r="D1730" s="2"/>
      </tp>
      <tp t="s">
        <v>#N/A Requesting Data...3588635407</v>
        <stp/>
        <stp>BDP|7298281043799275826</stp>
        <tr r="H765" s="2"/>
      </tp>
      <tp t="s">
        <v>#N/A Requesting Data...3599098963</v>
        <stp/>
        <stp>BDP|1763723174461073088</stp>
        <tr r="R878" s="2"/>
      </tp>
      <tp t="s">
        <v>#N/A Requesting Data...2878270699</v>
        <stp/>
        <stp>BDP|1987004165253351465</stp>
        <tr r="P1243" s="2"/>
      </tp>
      <tp t="s">
        <v>#N/A Requesting Data...2889327115</v>
        <stp/>
        <stp>BDP|1805320970660286510</stp>
        <tr r="H1849" s="2"/>
      </tp>
      <tp t="s">
        <v>#N/A Requesting Data...4110834501</v>
        <stp/>
        <stp>BDP|4503181340551038049</stp>
        <tr r="S1637" s="2"/>
      </tp>
      <tp t="s">
        <v>#N/A Requesting Data...4019624528</v>
        <stp/>
        <stp>BDP|4857770215094494672</stp>
        <tr r="K1684" s="2"/>
      </tp>
      <tp t="s">
        <v>#N/A Requesting Data...3854495629</v>
        <stp/>
        <stp>BDP|3871291148604444145</stp>
        <tr r="F1537" s="2"/>
      </tp>
      <tp t="s">
        <v>#N/A Requesting Data...3027419246</v>
        <stp/>
        <stp>BDP|1032089506638451938</stp>
        <tr r="C1025" s="2"/>
      </tp>
      <tp t="s">
        <v>#N/A Requesting Data...3514898427</v>
        <stp/>
        <stp>BDP|7661637578887619129</stp>
        <tr r="C996" s="2"/>
      </tp>
      <tp t="s">
        <v>#N/A Requesting Data...4183890762</v>
        <stp/>
        <stp>BDP|2708335522490962366</stp>
        <tr r="F1636" s="2"/>
      </tp>
      <tp t="s">
        <v>#N/A Requesting Data...3966795819</v>
        <stp/>
        <stp>BDP|4882962688863605693</stp>
        <tr r="M1385" s="2"/>
      </tp>
      <tp t="s">
        <v>#N/A Requesting Data...3018862430</v>
        <stp/>
        <stp>BDP|2993948621741153842</stp>
        <tr r="N1468" s="2"/>
      </tp>
      <tp t="s">
        <v>#N/A Requesting Data...2852627361</v>
        <stp/>
        <stp>BDP|2825534069973889236</stp>
        <tr r="J92" s="2"/>
      </tp>
      <tp t="s">
        <v>#N/A Requesting Data...4057659658</v>
        <stp/>
        <stp>BDP|6538222478446703514</stp>
        <tr r="T1796" s="2"/>
      </tp>
      <tp t="s">
        <v>#N/A Requesting Data...3114588771</v>
        <stp/>
        <stp>BDP|5217160363565676783</stp>
        <tr r="G1240" s="2"/>
      </tp>
      <tp t="s">
        <v>#N/A Requesting Data...3872615563</v>
        <stp/>
        <stp>BDP|8050251367408827432</stp>
        <tr r="C179" s="2"/>
      </tp>
      <tp t="s">
        <v>#N/A Requesting Data...3176845265</v>
        <stp/>
        <stp>BDP|5834725430878592967</stp>
        <tr r="A2033" s="2"/>
      </tp>
      <tp t="s">
        <v>#N/A Requesting Data...3359068270</v>
        <stp/>
        <stp>BDP|9900222702653317835</stp>
        <tr r="E636" s="2"/>
      </tp>
      <tp t="s">
        <v>#N/A Requesting Data...2929435327</v>
        <stp/>
        <stp>BDP|3355775720906500089</stp>
        <tr r="N737" s="2"/>
      </tp>
      <tp t="s">
        <v>#N/A Requesting Data...3980210416</v>
        <stp/>
        <stp>BDP|1417790825672055612</stp>
        <tr r="J2300" s="2"/>
      </tp>
      <tp t="s">
        <v>#N/A Requesting Data...3563452733</v>
        <stp/>
        <stp>BDP|6219480340914115229</stp>
        <tr r="D270" s="2"/>
      </tp>
      <tp t="s">
        <v>#N/A Requesting Data...4182043011</v>
        <stp/>
        <stp>BDP|1839741248301594388</stp>
        <tr r="J2031" s="2"/>
      </tp>
      <tp t="s">
        <v>#N/A Requesting Data...2917551051</v>
        <stp/>
        <stp>BDP|1451586425446649063</stp>
        <tr r="C1760" s="2"/>
      </tp>
      <tp t="s">
        <v>#N/A Requesting Data...4130053527</v>
        <stp/>
        <stp>BDP|5776374368092344227</stp>
        <tr r="F872" s="2"/>
      </tp>
      <tp t="s">
        <v>#N/A Requesting Data...3440193672</v>
        <stp/>
        <stp>BDP|6299368742003664297</stp>
        <tr r="O459" s="2"/>
      </tp>
      <tp t="s">
        <v>#N/A Requesting Data...3672158619</v>
        <stp/>
        <stp>BDP|4249382096359137746</stp>
        <tr r="G1464" s="2"/>
      </tp>
      <tp t="s">
        <v>#N/A Requesting Data...2956347889</v>
        <stp/>
        <stp>BDP|6974965201228331740</stp>
        <tr r="H2099" s="2"/>
      </tp>
      <tp t="s">
        <v>#N/A Requesting Data...3207872485</v>
        <stp/>
        <stp>BDP|1334610838782302607</stp>
        <tr r="M2297" s="2"/>
      </tp>
      <tp t="s">
        <v>#N/A Requesting Data...4088594854</v>
        <stp/>
        <stp>BDP|5604991994387562277</stp>
        <tr r="R1251" s="2"/>
      </tp>
      <tp t="s">
        <v>#N/A Requesting Data...4097667878</v>
        <stp/>
        <stp>BDP|8401735985462919523</stp>
        <tr r="O1334" s="2"/>
      </tp>
      <tp t="s">
        <v>#N/A Requesting Data...3727179265</v>
        <stp/>
        <stp>BDP|8841177720008266346</stp>
        <tr r="N738" s="2"/>
      </tp>
      <tp t="s">
        <v>#N/A Requesting Data...2884304828</v>
        <stp/>
        <stp>BDP|1634125117320276181</stp>
        <tr r="H2469" s="2"/>
      </tp>
      <tp t="s">
        <v>#N/A Requesting Data...3149448447</v>
        <stp/>
        <stp>BDP|5612806797214975011</stp>
        <tr r="A949" s="2"/>
      </tp>
      <tp t="s">
        <v>#N/A Requesting Data...3581195727</v>
        <stp/>
        <stp>BDP|7910337226150345660</stp>
        <tr r="E252" s="2"/>
      </tp>
      <tp t="s">
        <v>#N/A Requesting Data...3831910391</v>
        <stp/>
        <stp>BDP|3941274132195067754</stp>
        <tr r="N1711" s="2"/>
      </tp>
      <tp t="s">
        <v>#N/A Requesting Data...3643438017</v>
        <stp/>
        <stp>BDP|4726577272797329182</stp>
        <tr r="K166" s="2"/>
      </tp>
      <tp t="s">
        <v>#N/A Requesting Data...2961301055</v>
        <stp/>
        <stp>BDP|3025218752724970038</stp>
        <tr r="A368" s="2"/>
      </tp>
      <tp t="s">
        <v>#N/A Requesting Data...3710717029</v>
        <stp/>
        <stp>BDP|2872541204802082514</stp>
        <tr r="H1642" s="2"/>
      </tp>
      <tp t="s">
        <v>#N/A Requesting Data...3315172908</v>
        <stp/>
        <stp>BDP|6357579725115873408</stp>
        <tr r="N2396" s="2"/>
      </tp>
      <tp t="s">
        <v>#N/A Requesting Data...4120562899</v>
        <stp/>
        <stp>BDP|3851532673783703262</stp>
        <tr r="D1679" s="2"/>
      </tp>
      <tp t="s">
        <v>#N/A Requesting Data...2888547667</v>
        <stp/>
        <stp>BDP|8076476292693931656</stp>
        <tr r="T618" s="2"/>
      </tp>
      <tp t="s">
        <v>#N/A Requesting Data...4011877236</v>
        <stp/>
        <stp>BDP|6825020870841686050</stp>
        <tr r="S2391" s="2"/>
      </tp>
      <tp t="s">
        <v>#N/A Requesting Data...3779732876</v>
        <stp/>
        <stp>BDP|2259235593769371082</stp>
        <tr r="H2266" s="2"/>
      </tp>
      <tp t="b">
        <v>0</v>
        <stp/>
        <stp>BDS|2737797974225199729</stp>
        <tr r="I2395" s="2"/>
      </tp>
      <tp t="s">
        <v>#N/A Requesting Data...3408073031</v>
        <stp/>
        <stp>BDP|1272753135736247392</stp>
        <tr r="F1454" s="2"/>
      </tp>
      <tp t="s">
        <v>#N/A Requesting Data...3839972529</v>
        <stp/>
        <stp>BDP|6147764191720813873</stp>
        <tr r="C775" s="2"/>
      </tp>
      <tp t="s">
        <v>#N/A Requesting Data...4209086049</v>
        <stp/>
        <stp>BDP|7601366528205963387</stp>
        <tr r="M518" s="2"/>
      </tp>
      <tp t="s">
        <v>#N/A Requesting Data...3363076327</v>
        <stp/>
        <stp>BDP|4173552234063037193</stp>
        <tr r="F2248" s="2"/>
      </tp>
      <tp t="s">
        <v>#N/A Requesting Data...3419434819</v>
        <stp/>
        <stp>BDP|3053281817026198678</stp>
        <tr r="O1303" s="2"/>
      </tp>
      <tp t="s">
        <v>#N/A Requesting Data...4125538132</v>
        <stp/>
        <stp>BDP|3080511543516295490</stp>
        <tr r="E1125" s="2"/>
      </tp>
      <tp t="s">
        <v>#N/A Requesting Data...3083222925</v>
        <stp/>
        <stp>BDP|9307903260606944034</stp>
        <tr r="Q2121" s="2"/>
      </tp>
      <tp t="s">
        <v>#N/A Requesting Data...3300481320</v>
        <stp/>
        <stp>BDP|1520463656257861740</stp>
        <tr r="D55" s="2"/>
      </tp>
      <tp t="s">
        <v>#N/A Requesting Data...3335945849</v>
        <stp/>
        <stp>BDP|1834517606192325652</stp>
        <tr r="J287" s="2"/>
      </tp>
      <tp t="s">
        <v>#N/A Requesting Data...3841423303</v>
        <stp/>
        <stp>BDP|4515056555672421387</stp>
        <tr r="S1622" s="2"/>
      </tp>
      <tp t="s">
        <v>#N/A Requesting Data...2932742576</v>
        <stp/>
        <stp>BDP|6008597900345864686</stp>
        <tr r="C2030" s="2"/>
      </tp>
      <tp t="s">
        <v>#N/A Requesting Data...3487599638</v>
        <stp/>
        <stp>BDP|7967428718864344696</stp>
        <tr r="K2388" s="2"/>
      </tp>
      <tp t="s">
        <v>#N/A Requesting Data...2960801325</v>
        <stp/>
        <stp>BDP|9407880164021927686</stp>
        <tr r="S1618" s="2"/>
      </tp>
      <tp t="s">
        <v>#N/A Requesting Data...3128829633</v>
        <stp/>
        <stp>BDP|6725994692196037050</stp>
        <tr r="E1340" s="2"/>
      </tp>
      <tp t="s">
        <v>#N/A Requesting Data...4231096950</v>
        <stp/>
        <stp>BDP|9063432915908705489</stp>
        <tr r="P764" s="2"/>
      </tp>
      <tp t="s">
        <v>#N/A Requesting Data...3499787680</v>
        <stp/>
        <stp>BDP|9447836968825784216</stp>
        <tr r="R2103" s="2"/>
      </tp>
      <tp t="s">
        <v>#N/A Requesting Data...3574785472</v>
        <stp/>
        <stp>BDP|1719975727723635984</stp>
        <tr r="E1645" s="2"/>
      </tp>
      <tp t="s">
        <v>#N/A Requesting Data...3530843588</v>
        <stp/>
        <stp>BDP|1704314720954621498</stp>
        <tr r="R1428" s="2"/>
      </tp>
      <tp t="s">
        <v>#N/A Requesting Data...3262268831</v>
        <stp/>
        <stp>BDP|9653396176215703876</stp>
        <tr r="R165" s="2"/>
      </tp>
      <tp t="s">
        <v>#N/A Requesting Data...2839075923</v>
        <stp/>
        <stp>BDP|7381247878942521033</stp>
        <tr r="K2165" s="2"/>
      </tp>
      <tp t="s">
        <v>#N/A Requesting Data...3573236233</v>
        <stp/>
        <stp>BDP|3640781440136762604</stp>
        <tr r="D2025" s="2"/>
      </tp>
      <tp t="s">
        <v>#N/A Requesting Data...3845597666</v>
        <stp/>
        <stp>BDP|5449362859452413165</stp>
        <tr r="G1554" s="2"/>
      </tp>
      <tp t="s">
        <v>#N/A Requesting Data...3049510406</v>
        <stp/>
        <stp>BDP|5033584694660472910</stp>
        <tr r="Q2302" s="2"/>
      </tp>
      <tp t="s">
        <v>#N/A Requesting Data...3906420146</v>
        <stp/>
        <stp>BDP|8562584419805594985</stp>
        <tr r="Q2286" s="2"/>
      </tp>
      <tp t="s">
        <v>#N/A Requesting Data...4058306605</v>
        <stp/>
        <stp>BDP|6214759242811954453</stp>
        <tr r="M2100" s="2"/>
      </tp>
      <tp t="s">
        <v>#N/A Requesting Data...3124117029</v>
        <stp/>
        <stp>BDP|6817733333752142007</stp>
        <tr r="J487" s="2"/>
      </tp>
      <tp t="s">
        <v>#N/A Requesting Data...3330074857</v>
        <stp/>
        <stp>BDP|8992908495799423112</stp>
        <tr r="E789" s="2"/>
      </tp>
      <tp t="s">
        <v>#N/A Requesting Data...3267097801</v>
        <stp/>
        <stp>BDP|6059855451758522383</stp>
        <tr r="T1088" s="2"/>
      </tp>
      <tp t="s">
        <v>#N/A Requesting Data...3413735425</v>
        <stp/>
        <stp>BDP|2404458849395611703</stp>
        <tr r="K199" s="2"/>
      </tp>
      <tp t="s">
        <v>#N/A Requesting Data...3974450264</v>
        <stp/>
        <stp>BDP|7003716207861842103</stp>
        <tr r="E323" s="2"/>
      </tp>
      <tp t="s">
        <v>#N/A Requesting Data...3064199342</v>
        <stp/>
        <stp>BDP|2238371064985601292</stp>
        <tr r="Q995" s="2"/>
      </tp>
      <tp t="s">
        <v>#N/A Requesting Data...2860398030</v>
        <stp/>
        <stp>BDP|4433048569582334044</stp>
        <tr r="T242" s="2"/>
      </tp>
      <tp t="s">
        <v>#N/A Requesting Data...2969744928</v>
        <stp/>
        <stp>BDP|7841163628036171298</stp>
        <tr r="F1724" s="2"/>
      </tp>
      <tp t="s">
        <v>#N/A Requesting Data...3497605738</v>
        <stp/>
        <stp>BDP|5395595442702320651</stp>
        <tr r="K755" s="2"/>
      </tp>
      <tp t="s">
        <v>#N/A Requesting Data...3334165556</v>
        <stp/>
        <stp>BDP|2923724599015451988</stp>
        <tr r="M395" s="2"/>
      </tp>
      <tp t="s">
        <v>#N/A Requesting Data...3592859330</v>
        <stp/>
        <stp>BDP|4966269292067305804</stp>
        <tr r="P136" s="2"/>
      </tp>
      <tp t="s">
        <v>#N/A Requesting Data...3837682611</v>
        <stp/>
        <stp>BDP|7496696564730100763</stp>
        <tr r="D529" s="2"/>
      </tp>
      <tp t="s">
        <v>#N/A Requesting Data...3466181638</v>
        <stp/>
        <stp>BDP|9095403057090095898</stp>
        <tr r="K817" s="2"/>
      </tp>
      <tp t="s">
        <v>#N/A Requesting Data...3263043586</v>
        <stp/>
        <stp>BDP|6692800041979183382</stp>
        <tr r="P265" s="2"/>
      </tp>
      <tp t="s">
        <v>#N/A Requesting Data...4152789788</v>
        <stp/>
        <stp>BDP|3627012232722340289</stp>
        <tr r="J944" s="2"/>
      </tp>
      <tp t="s">
        <v>#N/A Requesting Data...4291245163</v>
        <stp/>
        <stp>BDP|9413618068529276011</stp>
        <tr r="S1573" s="2"/>
      </tp>
      <tp t="s">
        <v>#N/A Requesting Data...3133285329</v>
        <stp/>
        <stp>BDP|3591404833703807700</stp>
        <tr r="H1301" s="2"/>
      </tp>
      <tp t="s">
        <v>#N/A Requesting Data...3656543512</v>
        <stp/>
        <stp>BDP|9823831707132318319</stp>
        <tr r="E695" s="2"/>
      </tp>
      <tp t="b">
        <v>0</v>
        <stp/>
        <stp>BDS|3911578976930584131</stp>
        <tr r="I328" s="2"/>
      </tp>
      <tp t="s">
        <v>#N/A Requesting Data...3656941225</v>
        <stp/>
        <stp>BDP|2032130820509492895</stp>
        <tr r="F1113" s="2"/>
      </tp>
      <tp t="s">
        <v>#N/A Requesting Data...3040592270</v>
        <stp/>
        <stp>BDP|8468918575452631483</stp>
        <tr r="K453" s="2"/>
      </tp>
      <tp t="s">
        <v>#N/A Requesting Data...3783055838</v>
        <stp/>
        <stp>BDP|6630149601737540084</stp>
        <tr r="S3" s="2"/>
      </tp>
      <tp t="s">
        <v>#N/A Requesting Data...3979525788</v>
        <stp/>
        <stp>BDP|7212249716211664581</stp>
        <tr r="A145" s="2"/>
      </tp>
      <tp t="s">
        <v>#N/A Requesting Data...3584734229</v>
        <stp/>
        <stp>BDP|1037855012201806919</stp>
        <tr r="G2080" s="2"/>
      </tp>
      <tp t="s">
        <v>#N/A Requesting Data...3088288815</v>
        <stp/>
        <stp>BDP|1820159271874269308</stp>
        <tr r="S1561" s="2"/>
      </tp>
      <tp t="s">
        <v>#N/A Requesting Data...4116766650</v>
        <stp/>
        <stp>BDP|2783033810315946631</stp>
        <tr r="F2232" s="2"/>
      </tp>
      <tp t="b">
        <v>0</v>
        <stp/>
        <stp>BDS|7459339369020934291</stp>
        <tr r="I1095" s="2"/>
      </tp>
      <tp t="s">
        <v>#N/A Requesting Data...2905083984</v>
        <stp/>
        <stp>BDP|5848038756048165827</stp>
        <tr r="A1717" s="2"/>
      </tp>
      <tp t="s">
        <v>#N/A Requesting Data...3311024157</v>
        <stp/>
        <stp>BDP|2337238838571742217</stp>
        <tr r="N1551" s="2"/>
      </tp>
      <tp t="s">
        <v>#N/A Requesting Data...3469407736</v>
        <stp/>
        <stp>BDP|7259103770946961754</stp>
        <tr r="Q885" s="2"/>
      </tp>
      <tp t="b">
        <v>0</v>
        <stp/>
        <stp>BDS|2466036339891327034</stp>
        <tr r="I1956" s="2"/>
      </tp>
      <tp t="s">
        <v>#N/A Requesting Data...3559556615</v>
        <stp/>
        <stp>BDP|6489676717137331690</stp>
        <tr r="A2181" s="2"/>
      </tp>
      <tp t="s">
        <v>#N/A Requesting Data...3945904941</v>
        <stp/>
        <stp>BDP|4206679508144738647</stp>
        <tr r="S1341" s="2"/>
      </tp>
      <tp t="s">
        <v>#N/A Requesting Data...3208222703</v>
        <stp/>
        <stp>BDP|1268922793082420399</stp>
        <tr r="K1980" s="2"/>
      </tp>
      <tp t="s">
        <v>#N/A Requesting Data...4112656326</v>
        <stp/>
        <stp>BDP|2855732044864714561</stp>
        <tr r="E2247" s="2"/>
      </tp>
      <tp t="s">
        <v>#N/A Requesting Data...3425195300</v>
        <stp/>
        <stp>BDP|5438525744990996459</stp>
        <tr r="G1225" s="2"/>
      </tp>
      <tp t="s">
        <v>#N/A Requesting Data...3849867540</v>
        <stp/>
        <stp>BDP|7724635760801901630</stp>
        <tr r="O1128" s="2"/>
      </tp>
      <tp t="s">
        <v>#N/A Requesting Data...3445879326</v>
        <stp/>
        <stp>BDP|6193704257087944316</stp>
        <tr r="P1684" s="2"/>
      </tp>
      <tp t="s">
        <v>#N/A Requesting Data...3242409457</v>
        <stp/>
        <stp>BDP|1390893680759066845</stp>
        <tr r="A384" s="2"/>
      </tp>
      <tp t="s">
        <v>#N/A Requesting Data...3406757808</v>
        <stp/>
        <stp>BDP|8592936521387918403</stp>
        <tr r="F947" s="2"/>
      </tp>
      <tp t="s">
        <v>#N/A Requesting Data...3324938390</v>
        <stp/>
        <stp>BDP|6845737729694585793</stp>
        <tr r="T1368" s="2"/>
      </tp>
      <tp t="s">
        <v>#N/A Requesting Data...3293003636</v>
        <stp/>
        <stp>BDP|6010347374747701590</stp>
        <tr r="E374" s="2"/>
      </tp>
      <tp t="s">
        <v>#N/A Requesting Data...3087582843</v>
        <stp/>
        <stp>BDP|5575461155620176496</stp>
        <tr r="D2147" s="2"/>
      </tp>
      <tp t="b">
        <v>0</v>
        <stp/>
        <stp>BDS|6013449344992902473</stp>
        <tr r="I2197" s="2"/>
      </tp>
      <tp t="s">
        <v>#N/A Requesting Data...3993258155</v>
        <stp/>
        <stp>BDP|2611016309204672662</stp>
        <tr r="O1332" s="2"/>
      </tp>
      <tp t="s">
        <v>#N/A Requesting Data...3887419217</v>
        <stp/>
        <stp>BDP|6718680712041418070</stp>
        <tr r="P2060" s="2"/>
      </tp>
      <tp t="s">
        <v>#N/A Requesting Data...3773616568</v>
        <stp/>
        <stp>BDP|9359178700850335896</stp>
        <tr r="N878" s="2"/>
      </tp>
      <tp t="s">
        <v>#N/A Requesting Data...3176890206</v>
        <stp/>
        <stp>BDP|2884023715903863097</stp>
        <tr r="H2025" s="2"/>
      </tp>
      <tp t="s">
        <v>#N/A Requesting Data...3262637311</v>
        <stp/>
        <stp>BDP|3426770112685903067</stp>
        <tr r="R773" s="2"/>
      </tp>
      <tp t="s">
        <v>#N/A Requesting Data...3360822834</v>
        <stp/>
        <stp>BDP|6438727475160526684</stp>
        <tr r="D1261" s="2"/>
      </tp>
      <tp t="s">
        <v>#N/A Requesting Data...3138025773</v>
        <stp/>
        <stp>BDP|2781354525191180286</stp>
        <tr r="S1655" s="2"/>
      </tp>
      <tp t="s">
        <v>#N/A Requesting Data...3932636616</v>
        <stp/>
        <stp>BDP|7931500729711744192</stp>
        <tr r="G1505" s="2"/>
      </tp>
      <tp t="s">
        <v>#N/A Requesting Data...2973212831</v>
        <stp/>
        <stp>BDP|9705530007515808957</stp>
        <tr r="K763" s="2"/>
      </tp>
      <tp t="s">
        <v>#N/A Requesting Data...4182444088</v>
        <stp/>
        <stp>BDP|6338666123077111596</stp>
        <tr r="S427" s="2"/>
      </tp>
      <tp t="s">
        <v>#N/A Requesting Data...3330922518</v>
        <stp/>
        <stp>BDP|5821426220246252566</stp>
        <tr r="E364" s="2"/>
      </tp>
      <tp t="s">
        <v>#N/A Requesting Data...3154286195</v>
        <stp/>
        <stp>BDP|5963109495388309519</stp>
        <tr r="F605" s="2"/>
      </tp>
      <tp t="s">
        <v>#N/A Requesting Data...3620505767</v>
        <stp/>
        <stp>BDP|7334185458225572686</stp>
        <tr r="F963" s="2"/>
      </tp>
      <tp t="s">
        <v>#N/A Requesting Data...4111348278</v>
        <stp/>
        <stp>BDP|9640265980220679381</stp>
        <tr r="T648" s="2"/>
      </tp>
      <tp t="s">
        <v>#N/A Requesting Data...3427373627</v>
        <stp/>
        <stp>BDP|9113812602194550593</stp>
        <tr r="C1477" s="2"/>
      </tp>
      <tp t="s">
        <v>#N/A Requesting Data...4021396099</v>
        <stp/>
        <stp>BDP|8841959740124589160</stp>
        <tr r="P379" s="2"/>
      </tp>
      <tp t="s">
        <v>#N/A Requesting Data...3355310899</v>
        <stp/>
        <stp>BDP|8882364587807288458</stp>
        <tr r="K1041" s="2"/>
      </tp>
      <tp t="s">
        <v>#N/A Requesting Data...3183723277</v>
        <stp/>
        <stp>BDP|3611763363633929142</stp>
        <tr r="M1200" s="2"/>
      </tp>
      <tp t="s">
        <v>#N/A Requesting Data...3557548048</v>
        <stp/>
        <stp>BDP|9052337880064565680</stp>
        <tr r="E1096" s="2"/>
      </tp>
      <tp t="s">
        <v>#N/A Requesting Data...3368783292</v>
        <stp/>
        <stp>BDP|1711680413897357118</stp>
        <tr r="R707" s="2"/>
      </tp>
      <tp t="b">
        <v>0</v>
        <stp/>
        <stp>BDS|9020890315093221307</stp>
        <tr r="I585" s="2"/>
      </tp>
      <tp t="s">
        <v>#N/A Requesting Data...3459006646</v>
        <stp/>
        <stp>BDP|9189900578511292653</stp>
        <tr r="N733" s="2"/>
      </tp>
      <tp t="s">
        <v>#N/A Requesting Data...3433242501</v>
        <stp/>
        <stp>BDP|9842838242670698514</stp>
        <tr r="P1750" s="2"/>
      </tp>
      <tp t="s">
        <v>#N/A Requesting Data...4273474803</v>
        <stp/>
        <stp>BDP|3597390813930358123</stp>
        <tr r="A114" s="2"/>
      </tp>
      <tp t="s">
        <v>#N/A Requesting Data...4212186204</v>
        <stp/>
        <stp>BDP|9448426959680538841</stp>
        <tr r="M1065" s="2"/>
      </tp>
      <tp t="s">
        <v>#N/A Requesting Data...4123524953</v>
        <stp/>
        <stp>BDP|5209259876000883077</stp>
        <tr r="E806" s="2"/>
      </tp>
      <tp t="s">
        <v>#N/A Requesting Data...3084801449</v>
        <stp/>
        <stp>BDP|4419351514652280498</stp>
        <tr r="C243" s="2"/>
      </tp>
      <tp t="s">
        <v>#N/A Requesting Data...3331959500</v>
        <stp/>
        <stp>BDP|3663608941829152885</stp>
        <tr r="E796" s="2"/>
      </tp>
      <tp t="b">
        <v>0</v>
        <stp/>
        <stp>BDS|4059479701916979608</stp>
        <tr r="I401" s="2"/>
      </tp>
      <tp t="s">
        <v>#N/A Requesting Data...3714860515</v>
        <stp/>
        <stp>BDP|2990688468772382057</stp>
        <tr r="D2375" s="2"/>
      </tp>
      <tp t="s">
        <v>#N/A Requesting Data...3404404471</v>
        <stp/>
        <stp>BDP|9223966504458880871</stp>
        <tr r="K114" s="2"/>
      </tp>
      <tp t="s">
        <v>#N/A Requesting Data...3997027731</v>
        <stp/>
        <stp>BDP|3788349479040384761</stp>
        <tr r="T236" s="2"/>
      </tp>
      <tp t="s">
        <v>#N/A Requesting Data...3562828228</v>
        <stp/>
        <stp>BDP|8003911852620875448</stp>
        <tr r="C31" s="2"/>
      </tp>
      <tp t="s">
        <v>#N/A Requesting Data...3533475726</v>
        <stp/>
        <stp>BDP|8969371686062164169</stp>
        <tr r="O1348" s="2"/>
      </tp>
      <tp t="s">
        <v>#N/A Requesting Data...3250078121</v>
        <stp/>
        <stp>BDP|8351887836065680642</stp>
        <tr r="O1723" s="2"/>
      </tp>
      <tp t="s">
        <v>#N/A Requesting Data...4288475291</v>
        <stp/>
        <stp>BDP|1035957819948573162</stp>
        <tr r="C1256" s="2"/>
      </tp>
      <tp t="s">
        <v>#N/A Requesting Data...3986541669</v>
        <stp/>
        <stp>BDP|8801837257092770748</stp>
        <tr r="P685" s="2"/>
      </tp>
      <tp t="s">
        <v>#N/A Requesting Data...3187810877</v>
        <stp/>
        <stp>BDP|9489447599411357556</stp>
        <tr r="K737" s="2"/>
      </tp>
      <tp t="s">
        <v>#N/A Requesting Data...3267353749</v>
        <stp/>
        <stp>BDP|1389296891833685925</stp>
        <tr r="C122" s="2"/>
      </tp>
      <tp t="s">
        <v>#N/A Requesting Data...4288008186</v>
        <stp/>
        <stp>BDP|1873575930655398236</stp>
        <tr r="F1136" s="2"/>
      </tp>
      <tp t="s">
        <v>#N/A Requesting Data...4221578993</v>
        <stp/>
        <stp>BDP|3763567059137090472</stp>
        <tr r="T2298" s="2"/>
      </tp>
      <tp t="s">
        <v>#N/A Requesting Data...3670535909</v>
        <stp/>
        <stp>BDP|1650033143231070498</stp>
        <tr r="M1753" s="2"/>
      </tp>
      <tp t="s">
        <v>#N/A Requesting Data...3330017580</v>
        <stp/>
        <stp>BDP|5226780260975461116</stp>
        <tr r="F1089" s="2"/>
      </tp>
      <tp t="s">
        <v>#N/A Requesting Data...3795377597</v>
        <stp/>
        <stp>BDP|5370697969773582694</stp>
        <tr r="D15" s="2"/>
      </tp>
      <tp t="b">
        <v>0</v>
        <stp/>
        <stp>BDS|6734581880899329230</stp>
        <tr r="I729" s="2"/>
      </tp>
      <tp t="s">
        <v>#N/A Requesting Data...3944890278</v>
        <stp/>
        <stp>BDP|9268626358532680816</stp>
        <tr r="D1432" s="2"/>
      </tp>
      <tp t="s">
        <v>#N/A Requesting Data...3498677775</v>
        <stp/>
        <stp>BDP|1597926915551482899</stp>
        <tr r="J1380" s="2"/>
      </tp>
      <tp t="s">
        <v>#N/A Requesting Data...4257760264</v>
        <stp/>
        <stp>BDP|8961764522915450864</stp>
        <tr r="E1684" s="2"/>
      </tp>
      <tp t="b">
        <v>0</v>
        <stp/>
        <stp>BDS|3000834385977967402</stp>
        <tr r="I245" s="2"/>
      </tp>
      <tp t="s">
        <v>#N/A Requesting Data...3950696028</v>
        <stp/>
        <stp>BDP|3629526179844430565</stp>
        <tr r="M2017" s="2"/>
      </tp>
      <tp t="s">
        <v>#N/A Requesting Data...3460289246</v>
        <stp/>
        <stp>BDP|6805133144022009109</stp>
        <tr r="N310" s="2"/>
      </tp>
      <tp t="s">
        <v>#N/A Requesting Data...3404790783</v>
        <stp/>
        <stp>BDP|4197254532452862712</stp>
        <tr r="A2483" s="2"/>
      </tp>
      <tp t="s">
        <v>#N/A Requesting Data...4233045579</v>
        <stp/>
        <stp>BDP|1541328135751426094</stp>
        <tr r="A1538" s="2"/>
      </tp>
      <tp t="s">
        <v>#N/A Requesting Data...4234780082</v>
        <stp/>
        <stp>BDP|7156167867746680690</stp>
        <tr r="F614" s="2"/>
      </tp>
      <tp t="s">
        <v>#N/A Requesting Data...3963635769</v>
        <stp/>
        <stp>BDP|7836949758448246396</stp>
        <tr r="O694" s="2"/>
      </tp>
      <tp t="s">
        <v>#N/A Requesting Data...4003819124</v>
        <stp/>
        <stp>BDP|3920250854564533028</stp>
        <tr r="Q2171" s="2"/>
      </tp>
      <tp t="s">
        <v>#N/A Requesting Data...3445698846</v>
        <stp/>
        <stp>BDP|7306303116686297380</stp>
        <tr r="A2320" s="2"/>
      </tp>
      <tp t="s">
        <v>#N/A Requesting Data...4156295155</v>
        <stp/>
        <stp>BDP|5673096451560826099</stp>
        <tr r="K1071" s="2"/>
      </tp>
      <tp t="s">
        <v>#N/A Requesting Data...4164783725</v>
        <stp/>
        <stp>BDP|7390617613778763890</stp>
        <tr r="A2020" s="2"/>
      </tp>
      <tp t="s">
        <v>#N/A Requesting Data...4058234383</v>
        <stp/>
        <stp>BDP|9179062078666642868</stp>
        <tr r="N465" s="2"/>
      </tp>
      <tp t="s">
        <v>#N/A Requesting Data...4080124537</v>
        <stp/>
        <stp>BDP|2107001972742905759</stp>
        <tr r="G1604" s="2"/>
      </tp>
      <tp t="s">
        <v>#N/A Requesting Data...4056430341</v>
        <stp/>
        <stp>BDP|5152118838462527524</stp>
        <tr r="J388" s="2"/>
      </tp>
      <tp t="s">
        <v>#N/A Requesting Data...3305022123</v>
        <stp/>
        <stp>BDP|3895167413600154333</stp>
        <tr r="D2432" s="2"/>
      </tp>
      <tp t="s">
        <v>#N/A Requesting Data...4091003670</v>
        <stp/>
        <stp>BDP|2718758252591954167</stp>
        <tr r="D1613" s="2"/>
      </tp>
      <tp t="s">
        <v>#N/A Requesting Data...3829281828</v>
        <stp/>
        <stp>BDP|6216751729747018418</stp>
        <tr r="J2039" s="2"/>
      </tp>
      <tp t="s">
        <v>#N/A Requesting Data...3396545205</v>
        <stp/>
        <stp>BDP|3466213209990655157</stp>
        <tr r="T466" s="2"/>
      </tp>
      <tp t="s">
        <v>#N/A Requesting Data...4058640186</v>
        <stp/>
        <stp>BDP|9245318366364368897</stp>
        <tr r="P567" s="2"/>
      </tp>
      <tp t="s">
        <v>#N/A Requesting Data...3532539576</v>
        <stp/>
        <stp>BDP|9134008182496545795</stp>
        <tr r="P2024" s="2"/>
      </tp>
      <tp t="s">
        <v>#N/A Requesting Data...3813471123</v>
        <stp/>
        <stp>BDP|8751515692771965520</stp>
        <tr r="D450" s="2"/>
      </tp>
      <tp t="s">
        <v>#N/A Requesting Data...4043943768</v>
        <stp/>
        <stp>BDP|6909644936662764135</stp>
        <tr r="R2149" s="2"/>
      </tp>
      <tp t="s">
        <v>#N/A Requesting Data...3279368522</v>
        <stp/>
        <stp>BDP|6960945496723445501</stp>
        <tr r="R2012" s="2"/>
      </tp>
      <tp t="s">
        <v>#N/A Requesting Data...3449037613</v>
        <stp/>
        <stp>BDP|8380485374612721978</stp>
        <tr r="P2223" s="2"/>
      </tp>
      <tp t="s">
        <v>#N/A Requesting Data...3952427744</v>
        <stp/>
        <stp>BDP|8540751958538426233</stp>
        <tr r="Q1970" s="2"/>
      </tp>
      <tp t="s">
        <v>#N/A Requesting Data...3387622771</v>
        <stp/>
        <stp>BDP|3844802240687603811</stp>
        <tr r="E58" s="2"/>
      </tp>
      <tp t="s">
        <v>#N/A Requesting Data...4267723381</v>
        <stp/>
        <stp>BDP|7640138818165091225</stp>
        <tr r="P970" s="2"/>
      </tp>
      <tp t="s">
        <v>#N/A Requesting Data...3707548463</v>
        <stp/>
        <stp>BDP|1684317829546638679</stp>
        <tr r="T2" s="2"/>
      </tp>
      <tp t="s">
        <v>#N/A Requesting Data...3538944839</v>
        <stp/>
        <stp>BDP|5995398510585756281</stp>
        <tr r="A1618" s="2"/>
      </tp>
      <tp t="s">
        <v>#N/A Requesting Data...4156198013</v>
        <stp/>
        <stp>BDP|1958642787769071657</stp>
        <tr r="P1670" s="2"/>
      </tp>
      <tp t="s">
        <v>#N/A Requesting Data...4098545845</v>
        <stp/>
        <stp>BDP|8255907610031428190</stp>
        <tr r="D247" s="2"/>
      </tp>
      <tp t="s">
        <v>#N/A Requesting Data...4132353166</v>
        <stp/>
        <stp>BDP|1614102118499245833</stp>
        <tr r="C1666" s="2"/>
      </tp>
      <tp t="s">
        <v>#N/A Requesting Data...3544666131</v>
        <stp/>
        <stp>BDP|3827507985668022621</stp>
        <tr r="A2155" s="2"/>
      </tp>
      <tp t="s">
        <v>#N/A Requesting Data...3832954098</v>
        <stp/>
        <stp>BDP|9145962118490849185</stp>
        <tr r="G2239" s="2"/>
      </tp>
      <tp t="s">
        <v>#N/A Requesting Data...3592154206</v>
        <stp/>
        <stp>BDP|3279569687558988650</stp>
        <tr r="C2290" s="2"/>
      </tp>
      <tp t="s">
        <v>#N/A Requesting Data...3400019785</v>
        <stp/>
        <stp>BDP|4549080630053134434</stp>
        <tr r="P1186" s="2"/>
      </tp>
      <tp t="s">
        <v>#N/A Requesting Data...4051013806</v>
        <stp/>
        <stp>BDP|4939460473517732046</stp>
        <tr r="M2510" s="2"/>
      </tp>
      <tp t="s">
        <v>#N/A Requesting Data...3584422201</v>
        <stp/>
        <stp>BDP|7988993383927961157</stp>
        <tr r="G1301" s="2"/>
      </tp>
      <tp t="s">
        <v>#N/A Requesting Data...3549013709</v>
        <stp/>
        <stp>BDP|7450045941667919475</stp>
        <tr r="Q745" s="2"/>
      </tp>
      <tp t="s">
        <v>#N/A Requesting Data...3354298494</v>
        <stp/>
        <stp>BDP|2902827432908158179</stp>
        <tr r="J277" s="2"/>
      </tp>
      <tp t="s">
        <v>#N/A Requesting Data...3709778940</v>
        <stp/>
        <stp>BDP|3870334096921794856</stp>
        <tr r="F580" s="2"/>
      </tp>
      <tp t="s">
        <v>#N/A Requesting Data...3787888985</v>
        <stp/>
        <stp>BDP|2853971885280742327</stp>
        <tr r="T1735" s="2"/>
      </tp>
      <tp t="s">
        <v>#N/A Requesting Data...3476597521</v>
        <stp/>
        <stp>BDP|3459056948582029561</stp>
        <tr r="Q2386" s="2"/>
      </tp>
      <tp t="s">
        <v>#N/A Requesting Data...3791077390</v>
        <stp/>
        <stp>BDP|3996238510522770226</stp>
        <tr r="M133" s="2"/>
      </tp>
      <tp t="s">
        <v>#N/A Requesting Data...3854568503</v>
        <stp/>
        <stp>BDP|7948185289096132867</stp>
        <tr r="D1944" s="2"/>
      </tp>
      <tp t="s">
        <v>#N/A Requesting Data...3396514730</v>
        <stp/>
        <stp>BDP|4449535434274803646</stp>
        <tr r="S1849" s="2"/>
      </tp>
      <tp t="s">
        <v>#N/A Requesting Data...3768613996</v>
        <stp/>
        <stp>BDP|1302915081617509796</stp>
        <tr r="S202" s="2"/>
      </tp>
      <tp t="s">
        <v>#N/A Requesting Data...4074286148</v>
        <stp/>
        <stp>BDP|6353579565821901470</stp>
        <tr r="C2235" s="2"/>
      </tp>
      <tp t="s">
        <v>#N/A Requesting Data...3418605764</v>
        <stp/>
        <stp>BDP|7229969012397086894</stp>
        <tr r="P622" s="2"/>
      </tp>
      <tp t="s">
        <v>#N/A Requesting Data...4276317178</v>
        <stp/>
        <stp>BDP|4145902718234623802</stp>
        <tr r="Q1764" s="2"/>
      </tp>
      <tp t="s">
        <v>#N/A Requesting Data...3348924659</v>
        <stp/>
        <stp>BDP|2518250534421382289</stp>
        <tr r="C1308" s="2"/>
      </tp>
      <tp t="s">
        <v>#N/A Requesting Data...3827990065</v>
        <stp/>
        <stp>BDP|2656193628390871106</stp>
        <tr r="G1109" s="2"/>
      </tp>
      <tp t="s">
        <v>#N/A Requesting Data...3589803047</v>
        <stp/>
        <stp>BDP|2853805266275153900</stp>
        <tr r="F1162" s="2"/>
      </tp>
      <tp t="s">
        <v>#N/A Requesting Data...3669226834</v>
        <stp/>
        <stp>BDP|3244126769121404524</stp>
        <tr r="T855" s="2"/>
      </tp>
      <tp t="s">
        <v>#N/A Requesting Data...3805428608</v>
        <stp/>
        <stp>BDP|6769454728687443717</stp>
        <tr r="O786" s="2"/>
      </tp>
      <tp t="s">
        <v>#N/A Requesting Data...4048531118</v>
        <stp/>
        <stp>BDP|1687798723073601757</stp>
        <tr r="R1039" s="2"/>
      </tp>
      <tp t="s">
        <v>#N/A Requesting Data...3354284928</v>
        <stp/>
        <stp>BDP|9951947576366241162</stp>
        <tr r="R2100" s="2"/>
      </tp>
      <tp t="s">
        <v>#N/A Requesting Data...3674186908</v>
        <stp/>
        <stp>BDP|8996914201316218748</stp>
        <tr r="C2408" s="2"/>
      </tp>
      <tp t="s">
        <v>#N/A Requesting Data...3741855335</v>
        <stp/>
        <stp>BDP|6247288276401280216</stp>
        <tr r="M1102" s="2"/>
      </tp>
      <tp t="s">
        <v>#N/A Requesting Data...3662997946</v>
        <stp/>
        <stp>BDP|1805354497818580302</stp>
        <tr r="S1144" s="2"/>
      </tp>
      <tp t="s">
        <v>#N/A Requesting Data...3819890767</v>
        <stp/>
        <stp>BDP|4642071658363643204</stp>
        <tr r="O2105" s="2"/>
      </tp>
      <tp t="s">
        <v>#N/A Requesting Data...4114213262</v>
        <stp/>
        <stp>BDP|7961004776420159015</stp>
        <tr r="D729" s="2"/>
      </tp>
      <tp t="s">
        <v>#N/A Requesting Data...3782902447</v>
        <stp/>
        <stp>BDP|6219275026127502193</stp>
        <tr r="H1847" s="2"/>
      </tp>
      <tp t="s">
        <v>#N/A Requesting Data...3526170973</v>
        <stp/>
        <stp>BDP|5213254943534333785</stp>
        <tr r="O83" s="2"/>
      </tp>
      <tp t="s">
        <v>#N/A Requesting Data...3637028758</v>
        <stp/>
        <stp>BDP|2939556865623348251</stp>
        <tr r="D202" s="2"/>
      </tp>
      <tp t="s">
        <v>#N/A Requesting Data...3493358548</v>
        <stp/>
        <stp>BDP|2413373609330012169</stp>
        <tr r="G483" s="2"/>
      </tp>
      <tp t="s">
        <v>#N/A Requesting Data...4183769537</v>
        <stp/>
        <stp>BDP|7213810218876402830</stp>
        <tr r="A1277" s="2"/>
      </tp>
      <tp t="s">
        <v>#N/A Requesting Data...3827744476</v>
        <stp/>
        <stp>BDP|8646069848585580919</stp>
        <tr r="M1039" s="2"/>
      </tp>
      <tp t="s">
        <v>#N/A Requesting Data...3766668982</v>
        <stp/>
        <stp>BDP|8596841200154926442</stp>
        <tr r="P2076" s="2"/>
      </tp>
      <tp t="s">
        <v>#N/A Requesting Data...4247650735</v>
        <stp/>
        <stp>BDP|4809282457556398587</stp>
        <tr r="R1863" s="2"/>
      </tp>
      <tp t="s">
        <v>#N/A Requesting Data...4062451505</v>
        <stp/>
        <stp>BDP|7884754448937882314</stp>
        <tr r="S2395" s="2"/>
      </tp>
      <tp t="s">
        <v>#N/A Requesting Data...3450220312</v>
        <stp/>
        <stp>BDP|9158261686581498291</stp>
        <tr r="P2187" s="2"/>
      </tp>
      <tp t="s">
        <v>#N/A Requesting Data...4148441382</v>
        <stp/>
        <stp>BDP|2688297953933778678</stp>
        <tr r="A1758" s="2"/>
      </tp>
      <tp t="s">
        <v>#N/A Requesting Data...4249502112</v>
        <stp/>
        <stp>BDP|4790526308744690579</stp>
        <tr r="J1099" s="2"/>
      </tp>
      <tp t="s">
        <v>#N/A Requesting Data...4258323842</v>
        <stp/>
        <stp>BDP|8307055985471889171</stp>
        <tr r="M2010" s="2"/>
      </tp>
      <tp t="s">
        <v>#N/A Requesting Data...3492233809</v>
        <stp/>
        <stp>BDP|6050788939344827654</stp>
        <tr r="C80" s="2"/>
      </tp>
      <tp t="s">
        <v>#N/A Requesting Data...3583462770</v>
        <stp/>
        <stp>BDP|6552532128538315918</stp>
        <tr r="K1331" s="2"/>
      </tp>
      <tp t="s">
        <v>#N/A Requesting Data...3732986055</v>
        <stp/>
        <stp>BDP|1953537665916785448</stp>
        <tr r="M2453" s="2"/>
      </tp>
      <tp t="s">
        <v>#N/A Requesting Data...3495040675</v>
        <stp/>
        <stp>BDP|6503805531588126599</stp>
        <tr r="G1773" s="2"/>
      </tp>
      <tp t="s">
        <v>#N/A Requesting Data...4009347665</v>
        <stp/>
        <stp>BDP|3329594068888815865</stp>
        <tr r="C748" s="2"/>
      </tp>
      <tp t="s">
        <v>#N/A Requesting Data...3918490145</v>
        <stp/>
        <stp>BDP|7866363971585126628</stp>
        <tr r="S375" s="2"/>
      </tp>
      <tp t="s">
        <v>#N/A Requesting Data...4060590777</v>
        <stp/>
        <stp>BDP|3960107771843031640</stp>
        <tr r="Q1181" s="2"/>
      </tp>
      <tp t="s">
        <v>#N/A Requesting Data...3479805433</v>
        <stp/>
        <stp>BDP|5914282160966934744</stp>
        <tr r="D967" s="2"/>
      </tp>
      <tp t="s">
        <v>#N/A Requesting Data...4253671850</v>
        <stp/>
        <stp>BDP|8787838658872961793</stp>
        <tr r="F989" s="2"/>
      </tp>
      <tp t="s">
        <v>#N/A Requesting Data...4133496524</v>
        <stp/>
        <stp>BDP|6347092024041591572</stp>
        <tr r="F1700" s="2"/>
      </tp>
      <tp t="s">
        <v>#N/A Requesting Data...4236853366</v>
        <stp/>
        <stp>BDP|8074682698594888345</stp>
        <tr r="K377" s="2"/>
      </tp>
      <tp t="s">
        <v>#N/A Requesting Data...3658433900</v>
        <stp/>
        <stp>BDP|3104086312945245757</stp>
        <tr r="M1053" s="2"/>
      </tp>
      <tp t="s">
        <v>#N/A Requesting Data...3748056814</v>
        <stp/>
        <stp>BDP|6336241120185369389</stp>
        <tr r="R2175" s="2"/>
      </tp>
      <tp t="b">
        <v>0</v>
        <stp/>
        <stp>BDS|3443547295017842818</stp>
        <tr r="I247" s="2"/>
      </tp>
      <tp t="s">
        <v>#N/A Requesting Data...3552830281</v>
        <stp/>
        <stp>BDP|3938334169896713082</stp>
        <tr r="O1760" s="2"/>
      </tp>
      <tp t="s">
        <v>#N/A Requesting Data...3703339070</v>
        <stp/>
        <stp>BDP|1396097393689014155</stp>
        <tr r="Q2267" s="2"/>
      </tp>
      <tp t="b">
        <v>0</v>
        <stp/>
        <stp>BDS|6219899237055427845</stp>
        <tr r="I1199" s="2"/>
      </tp>
      <tp t="s">
        <v>#N/A Requesting Data...3946747529</v>
        <stp/>
        <stp>BDP|8894862615307219655</stp>
        <tr r="S370" s="2"/>
      </tp>
      <tp t="s">
        <v>#N/A Requesting Data...3876647375</v>
        <stp/>
        <stp>BDP|3793540119702206541</stp>
        <tr r="P1719" s="2"/>
      </tp>
      <tp t="s">
        <v>#N/A Requesting Data...4085032492</v>
        <stp/>
        <stp>BDP|1983273994089310355</stp>
        <tr r="E2216" s="2"/>
      </tp>
      <tp t="s">
        <v>#N/A Requesting Data...3777693143</v>
        <stp/>
        <stp>BDP|6719530955354855259</stp>
        <tr r="E2409" s="2"/>
      </tp>
      <tp t="s">
        <v>#N/A Requesting Data...3495240655</v>
        <stp/>
        <stp>BDP|6408607144412954658</stp>
        <tr r="J1690" s="2"/>
      </tp>
      <tp t="s">
        <v>#N/A Requesting Data...3702900732</v>
        <stp/>
        <stp>BDP|2717434895789413692</stp>
        <tr r="H1426" s="2"/>
      </tp>
      <tp t="s">
        <v>#N/A Requesting Data...4220621299</v>
        <stp/>
        <stp>BDP|4682780482443986895</stp>
        <tr r="P957" s="2"/>
      </tp>
      <tp t="s">
        <v>#N/A Requesting Data...4073203468</v>
        <stp/>
        <stp>BDP|1302937867338369683</stp>
        <tr r="P133" s="2"/>
      </tp>
      <tp t="s">
        <v>#N/A Requesting Data...4252231375</v>
        <stp/>
        <stp>BDP|1723176449656512202</stp>
        <tr r="C1754" s="2"/>
      </tp>
      <tp t="s">
        <v>#N/A Requesting Data...3852679857</v>
        <stp/>
        <stp>BDP|6588014428556719279</stp>
        <tr r="S20" s="2"/>
      </tp>
      <tp t="s">
        <v>#N/A Requesting Data...3760429564</v>
        <stp/>
        <stp>BDP|9697134940395091997</stp>
        <tr r="G1769" s="2"/>
      </tp>
      <tp t="s">
        <v>#N/A Requesting Data...4198175468</v>
        <stp/>
        <stp>BDP|4504620848746134024</stp>
        <tr r="F1945" s="2"/>
      </tp>
      <tp t="s">
        <v>#N/A Requesting Data...4249958185</v>
        <stp/>
        <stp>BDP|5778693616236670421</stp>
        <tr r="A1243" s="2"/>
      </tp>
      <tp t="s">
        <v>#N/A Requesting Data...3838544963</v>
        <stp/>
        <stp>BDP|6815002641377049554</stp>
        <tr r="A485" s="2"/>
      </tp>
      <tp t="s">
        <v>#N/A Requesting Data...4034425247</v>
        <stp/>
        <stp>BDP|9496581364583393974</stp>
        <tr r="N527" s="2"/>
      </tp>
      <tp t="s">
        <v>#N/A Requesting Data...3614703915</v>
        <stp/>
        <stp>BDP|8663615955782849960</stp>
        <tr r="R1926" s="2"/>
      </tp>
      <tp t="s">
        <v>#N/A Requesting Data...3762211626</v>
        <stp/>
        <stp>BDP|8961150866477558834</stp>
        <tr r="T883" s="2"/>
      </tp>
      <tp t="s">
        <v>#N/A Requesting Data...4010490174</v>
        <stp/>
        <stp>BDP|6269195920236673315</stp>
        <tr r="M788" s="2"/>
      </tp>
      <tp t="s">
        <v>#N/A Requesting Data...3602896632</v>
        <stp/>
        <stp>BDP|1001793496468412775</stp>
        <tr r="E105" s="2"/>
      </tp>
      <tp t="s">
        <v>#N/A Requesting Data...4015857358</v>
        <stp/>
        <stp>BDP|7072277811667823327</stp>
        <tr r="O1371" s="2"/>
      </tp>
      <tp t="s">
        <v>#N/A Requesting Data...3504743879</v>
        <stp/>
        <stp>BDP|4619257984099863733</stp>
        <tr r="M1438" s="2"/>
      </tp>
      <tp t="s">
        <v>#N/A Requesting Data...3842650628</v>
        <stp/>
        <stp>BDP|5501382707650239644</stp>
        <tr r="R358" s="2"/>
      </tp>
      <tp t="s">
        <v>#N/A Requesting Data...3551686997</v>
        <stp/>
        <stp>BDP|9347841027757936453</stp>
        <tr r="S115" s="2"/>
      </tp>
      <tp t="s">
        <v>#N/A Requesting Data...3824183091</v>
        <stp/>
        <stp>BDP|3074704329254127241</stp>
        <tr r="P1300" s="2"/>
      </tp>
      <tp t="s">
        <v>#N/A Requesting Data...3908843902</v>
        <stp/>
        <stp>BDP|5808905973772593929</stp>
        <tr r="Q385" s="2"/>
      </tp>
      <tp t="s">
        <v>#N/A Requesting Data...4251204749</v>
        <stp/>
        <stp>BDP|7240565327169965964</stp>
        <tr r="G2224" s="2"/>
      </tp>
      <tp t="s">
        <v>#N/A Requesting Data...3979917477</v>
        <stp/>
        <stp>BDP|9290229109099271275</stp>
        <tr r="J1753" s="2"/>
      </tp>
      <tp t="s">
        <v>#N/A Requesting Data...3585271921</v>
        <stp/>
        <stp>BDP|4551479159106214359</stp>
        <tr r="H2250" s="2"/>
      </tp>
      <tp t="s">
        <v>#N/A Requesting Data...3958779853</v>
        <stp/>
        <stp>BDP|6456191949984181790</stp>
        <tr r="G385" s="2"/>
      </tp>
      <tp t="b">
        <v>0</v>
        <stp/>
        <stp>BDS|2755387546437555205</stp>
        <tr r="I366" s="2"/>
      </tp>
      <tp t="s">
        <v>#N/A Requesting Data...3745088132</v>
        <stp/>
        <stp>BDP|7463591187018414223</stp>
        <tr r="K1377" s="2"/>
      </tp>
      <tp t="s">
        <v>#N/A Requesting Data...4070348997</v>
        <stp/>
        <stp>BDP|7461589526610346058</stp>
        <tr r="O2458" s="2"/>
      </tp>
      <tp t="s">
        <v>#N/A Requesting Data...3923195302</v>
        <stp/>
        <stp>BDP|8824760992040271620</stp>
        <tr r="P1435" s="2"/>
      </tp>
      <tp t="s">
        <v>#N/A Requesting Data...3674455307</v>
        <stp/>
        <stp>BDP|5800728842626523019</stp>
        <tr r="O2478" s="2"/>
      </tp>
      <tp t="s">
        <v>#N/A Requesting Data...4090079433</v>
        <stp/>
        <stp>BDP|7707054919517456131</stp>
        <tr r="M2502" s="2"/>
      </tp>
      <tp t="s">
        <v>#N/A Requesting Data...4142186857</v>
        <stp/>
        <stp>BDP|5060365646476437480</stp>
        <tr r="D1137" s="2"/>
      </tp>
      <tp t="s">
        <v>#N/A Requesting Data...4104905203</v>
        <stp/>
        <stp>BDP|8877734060131754803</stp>
        <tr r="Q1131" s="2"/>
      </tp>
      <tp t="s">
        <v>#N/A Requesting Data...4052500068</v>
        <stp/>
        <stp>BDP|9766857741790928560</stp>
        <tr r="J2098" s="2"/>
      </tp>
      <tp t="s">
        <v>#N/A Requesting Data...3665115023</v>
        <stp/>
        <stp>BDP|3222162968620118413</stp>
        <tr r="F1995" s="2"/>
      </tp>
      <tp t="s">
        <v>#N/A Requesting Data...3855319098</v>
        <stp/>
        <stp>BDP|3412585785717216976</stp>
        <tr r="G54" s="2"/>
      </tp>
      <tp t="s">
        <v>#N/A Requesting Data...3794222003</v>
        <stp/>
        <stp>BDP|7129244710735055190</stp>
        <tr r="Q186" s="2"/>
      </tp>
      <tp t="s">
        <v>#N/A Requesting Data...3622421723</v>
        <stp/>
        <stp>BDP|4740477641184524084</stp>
        <tr r="E1869" s="2"/>
      </tp>
      <tp t="s">
        <v>#N/A Requesting Data...3821744532</v>
        <stp/>
        <stp>BDP|4245723700806989553</stp>
        <tr r="K1437" s="2"/>
      </tp>
      <tp t="s">
        <v>#N/A Requesting Data...4242588468</v>
        <stp/>
        <stp>BDP|2006322589311626814</stp>
        <tr r="R2468" s="2"/>
      </tp>
      <tp t="s">
        <v>#N/A Requesting Data...4064446258</v>
        <stp/>
        <stp>BDP|6725650167783158587</stp>
        <tr r="A1532" s="2"/>
      </tp>
      <tp t="s">
        <v>#N/A Requesting Data...3712661001</v>
        <stp/>
        <stp>BDP|5990726003042205068</stp>
        <tr r="S558" s="2"/>
      </tp>
      <tp t="s">
        <v>#N/A Requesting Data...4221812119</v>
        <stp/>
        <stp>BDP|2543960299471130375</stp>
        <tr r="T2123" s="2"/>
      </tp>
      <tp t="s">
        <v>#N/A Requesting Data...4184258522</v>
        <stp/>
        <stp>BDP|8327092684878370819</stp>
        <tr r="A1644" s="2"/>
      </tp>
      <tp t="s">
        <v>#N/A Requesting Data...3959810923</v>
        <stp/>
        <stp>BDP|6595845603539667789</stp>
        <tr r="D1546" s="2"/>
      </tp>
      <tp t="s">
        <v>#N/A Requesting Data...3953745414</v>
        <stp/>
        <stp>BDP|4660071630736525184</stp>
        <tr r="P356" s="2"/>
      </tp>
      <tp t="s">
        <v>#N/A Requesting Data...4201470517</v>
        <stp/>
        <stp>BDP|1179303723179958976</stp>
        <tr r="T1546" s="2"/>
      </tp>
      <tp t="s">
        <v>#N/A Requesting Data...4197648448</v>
        <stp/>
        <stp>BDP|5175388663920785007</stp>
        <tr r="K1178" s="2"/>
      </tp>
      <tp t="s">
        <v>#N/A Requesting Data...3809436178</v>
        <stp/>
        <stp>BDP|7665718189739090139</stp>
        <tr r="R272" s="2"/>
      </tp>
      <tp t="s">
        <v>#N/A Requesting Data...3913437910</v>
        <stp/>
        <stp>BDP|5101799835032059305</stp>
        <tr r="R2260" s="2"/>
      </tp>
      <tp t="s">
        <v>#N/A Requesting Data...3786029249</v>
        <stp/>
        <stp>BDP|2278131852676709099</stp>
        <tr r="S2121" s="2"/>
      </tp>
      <tp t="s">
        <v>#N/A Requesting Data...3687854500</v>
        <stp/>
        <stp>BDP|9736289640268652745</stp>
        <tr r="E1883" s="2"/>
      </tp>
      <tp t="s">
        <v>#N/A Requesting Data...4268415435</v>
        <stp/>
        <stp>BDP|4519358839011485509</stp>
        <tr r="D2474" s="2"/>
      </tp>
      <tp t="s">
        <v>#N/A Requesting Data...3743429747</v>
        <stp/>
        <stp>BDP|4605608380059326382</stp>
        <tr r="G2163" s="2"/>
      </tp>
      <tp t="s">
        <v>#N/A Requesting Data...3603286141</v>
        <stp/>
        <stp>BDP|1786388323113092310</stp>
        <tr r="M180" s="2"/>
      </tp>
      <tp t="s">
        <v>#N/A Requesting Data...3626657210</v>
        <stp/>
        <stp>BDP|6477898941082314826</stp>
        <tr r="P1453" s="2"/>
      </tp>
      <tp t="s">
        <v>#N/A Requesting Data...3947266224</v>
        <stp/>
        <stp>BDP|6410235250835222486</stp>
        <tr r="K2344" s="2"/>
      </tp>
      <tp t="s">
        <v>#N/A Requesting Data...3922025961</v>
        <stp/>
        <stp>BDP|6730163045250129388</stp>
        <tr r="J501" s="2"/>
      </tp>
      <tp t="s">
        <v>#N/A Requesting Data...4021834858</v>
        <stp/>
        <stp>BDP|1886533209273872775</stp>
        <tr r="Q2099" s="2"/>
      </tp>
      <tp t="s">
        <v>#N/A Requesting Data...4199940953</v>
        <stp/>
        <stp>BDP|1893317278366406386</stp>
        <tr r="E171" s="2"/>
      </tp>
      <tp t="s">
        <v>#N/A Requesting Data...4084506915</v>
        <stp/>
        <stp>BDP|1909691066937972624</stp>
        <tr r="O1344" s="2"/>
      </tp>
      <tp t="s">
        <v>#N/A Requesting Data...3636808780</v>
        <stp/>
        <stp>BDP|5840624437199095903</stp>
        <tr r="N326" s="2"/>
      </tp>
      <tp t="b">
        <v>0</v>
        <stp/>
        <stp>BDS|4888386605342943511</stp>
        <tr r="I2234" s="2"/>
      </tp>
      <tp t="s">
        <v>#N/A Requesting Data...4113017154</v>
        <stp/>
        <stp>BDP|3383493505201310612</stp>
        <tr r="P211" s="2"/>
      </tp>
      <tp t="s">
        <v>#N/A Requesting Data...4226791717</v>
        <stp/>
        <stp>BDP|3383925201048562281</stp>
        <tr r="T1170" s="2"/>
      </tp>
      <tp t="b">
        <v>0</v>
        <stp/>
        <stp>BDS|4489830786366565294</stp>
        <tr r="I320" s="2"/>
      </tp>
      <tp t="s">
        <v>#N/A Requesting Data...3731253814</v>
        <stp/>
        <stp>BDP|4738249788669557733</stp>
        <tr r="A1558" s="2"/>
      </tp>
      <tp t="s">
        <v>#N/A Requesting Data...3906431071</v>
        <stp/>
        <stp>BDP|9889905773056462121</stp>
        <tr r="Q108" s="2"/>
      </tp>
      <tp t="s">
        <v>#N/A Requesting Data...4027026344</v>
        <stp/>
        <stp>BDP|2341439428061347564</stp>
        <tr r="J1461" s="2"/>
      </tp>
      <tp t="s">
        <v>#N/A Requesting Data...3715106328</v>
        <stp/>
        <stp>BDP|7643127828697996381</stp>
        <tr r="R1758" s="2"/>
      </tp>
      <tp t="s">
        <v>#N/A Requesting Data...3956000994</v>
        <stp/>
        <stp>BDP|7012000367630236188</stp>
        <tr r="N912" s="2"/>
      </tp>
      <tp t="s">
        <v>#N/A Requesting Data...3689039155</v>
        <stp/>
        <stp>BDP|9190174125023984979</stp>
        <tr r="G2315" s="2"/>
      </tp>
      <tp t="s">
        <v>#N/A Requesting Data...3985467731</v>
        <stp/>
        <stp>BDP|6032850639818005517</stp>
        <tr r="F1897" s="2"/>
      </tp>
      <tp t="s">
        <v>#N/A Requesting Data...3738931347</v>
        <stp/>
        <stp>BDP|3453797144434132459</stp>
        <tr r="F721" s="2"/>
      </tp>
      <tp t="b">
        <v>0</v>
        <stp/>
        <stp>BDS|5598581449487049397</stp>
        <tr r="I1684" s="2"/>
      </tp>
      <tp t="s">
        <v>#N/A Requesting Data...4239124612</v>
        <stp/>
        <stp>BDP|7312942662398883004</stp>
        <tr r="N573" s="2"/>
      </tp>
      <tp t="s">
        <v>#N/A Requesting Data...4097236949</v>
        <stp/>
        <stp>BDP|9323734023435898967</stp>
        <tr r="E1854" s="2"/>
      </tp>
      <tp t="s">
        <v>#N/A Requesting Data...4139468855</v>
        <stp/>
        <stp>BDP|2673589617393055544</stp>
        <tr r="Q1493" s="2"/>
      </tp>
      <tp t="s">
        <v>#N/A Requesting Data...4134394215</v>
        <stp/>
        <stp>BDP|6959382441127998640</stp>
        <tr r="H1725" s="2"/>
      </tp>
      <tp t="s">
        <v>#N/A Requesting Data...3859821735</v>
        <stp/>
        <stp>BDP|6722206658867223601</stp>
        <tr r="M1615" s="2"/>
      </tp>
      <tp t="s">
        <v>#N/A Requesting Data...3871706468</v>
        <stp/>
        <stp>BDP|2309549049357023437</stp>
        <tr r="D142" s="2"/>
      </tp>
      <tp t="s">
        <v>#N/A Requesting Data...3803152172</v>
        <stp/>
        <stp>BDP|3994251249602952715</stp>
        <tr r="P61" s="2"/>
      </tp>
      <tp t="s">
        <v>#N/A Requesting Data...3688263698</v>
        <stp/>
        <stp>BDP|7117093101380279768</stp>
        <tr r="O2448" s="2"/>
      </tp>
      <tp t="s">
        <v>#N/A Requesting Data...4067800736</v>
        <stp/>
        <stp>BDP|5940528622782572012</stp>
        <tr r="K1439" s="2"/>
      </tp>
      <tp t="s">
        <v>#N/A Requesting Data...3699584650</v>
        <stp/>
        <stp>BDP|4715083523355560346</stp>
        <tr r="A1963" s="2"/>
      </tp>
      <tp t="s">
        <v>#N/A Requesting Data...4213368606</v>
        <stp/>
        <stp>BDP|9681973391800835951</stp>
        <tr r="R484" s="2"/>
      </tp>
      <tp t="s">
        <v>#N/A Requesting Data...4081258927</v>
        <stp/>
        <stp>BDP|1775765142223687189</stp>
        <tr r="A751" s="2"/>
      </tp>
      <tp t="s">
        <v>#N/A Requesting Data...4274149549</v>
        <stp/>
        <stp>BDP|9021485695666322232</stp>
        <tr r="C1166" s="2"/>
      </tp>
      <tp t="s">
        <v>#N/A Requesting Data...3721669861</v>
        <stp/>
        <stp>BDP|3514153528493057352</stp>
        <tr r="F443" s="2"/>
      </tp>
      <tp t="b">
        <v>0</v>
        <stp/>
        <stp>BDS|4366322791468868654</stp>
        <tr r="I790" s="2"/>
      </tp>
      <tp t="s">
        <v>#N/A Requesting Data...3875180915</v>
        <stp/>
        <stp>BDP|4376417661803788591</stp>
        <tr r="N1075" s="2"/>
      </tp>
      <tp t="s">
        <v>#N/A Requesting Data...3942508045</v>
        <stp/>
        <stp>BDP|4976798355945048383</stp>
        <tr r="N2472" s="2"/>
      </tp>
      <tp t="s">
        <v>#N/A Requesting Data...4176042168</v>
        <stp/>
        <stp>BDP|4793353862440564189</stp>
        <tr r="C544" s="2"/>
      </tp>
      <tp t="s">
        <v>#N/A Requesting Data...3791655768</v>
        <stp/>
        <stp>BDP|2458134074283944777</stp>
        <tr r="E134" s="2"/>
      </tp>
      <tp t="s">
        <v>#N/A Requesting Data...3856276357</v>
        <stp/>
        <stp>BDP|9704067843664748985</stp>
        <tr r="S289" s="2"/>
      </tp>
      <tp t="s">
        <v>#N/A Requesting Data...4221469365</v>
        <stp/>
        <stp>BDP|6973030846213427157</stp>
        <tr r="F975" s="2"/>
      </tp>
      <tp t="s">
        <v>#N/A Requesting Data...4028358520</v>
        <stp/>
        <stp>BDP|2349958109208490367</stp>
        <tr r="A2508" s="2"/>
      </tp>
      <tp t="s">
        <v>#N/A Requesting Data...3919462168</v>
        <stp/>
        <stp>BDP|7179982721195470910</stp>
        <tr r="K1101" s="2"/>
      </tp>
      <tp t="s">
        <v>#N/A Requesting Data...3942613101</v>
        <stp/>
        <stp>BDP|4070987410605645931</stp>
        <tr r="Q1993" s="2"/>
      </tp>
      <tp t="s">
        <v>#N/A Requesting Data...4099247288</v>
        <stp/>
        <stp>BDP|6617436383319259392</stp>
        <tr r="P560" s="2"/>
      </tp>
      <tp t="s">
        <v>#N/A Requesting Data...3928630718</v>
        <stp/>
        <stp>BDP|6902234956639605871</stp>
        <tr r="R1186" s="2"/>
      </tp>
      <tp t="b">
        <v>0</v>
        <stp/>
        <stp>BDS|2746576824445944002</stp>
        <tr r="I1222" s="2"/>
      </tp>
      <tp t="s">
        <v>#N/A Requesting Data...4203473871</v>
        <stp/>
        <stp>BDP|4579146334154810202</stp>
        <tr r="N283" s="2"/>
      </tp>
      <tp t="s">
        <v>#N/A Requesting Data...4191390092</v>
        <stp/>
        <stp>BDP|7969940302747274905</stp>
        <tr r="J636" s="2"/>
      </tp>
      <tp t="s">
        <v>#N/A Requesting Data...4088402578</v>
        <stp/>
        <stp>BDP|7155268374934743692</stp>
        <tr r="J1204" s="2"/>
      </tp>
      <tp t="s">
        <v>#N/A Requesting Data...4284970530</v>
        <stp/>
        <stp>BDP|3426155029244762421</stp>
        <tr r="N680" s="2"/>
      </tp>
      <tp t="s">
        <v>#N/A Requesting Data...3860719168</v>
        <stp/>
        <stp>BDP|3845081295798163296</stp>
        <tr r="S175" s="2"/>
      </tp>
      <tp t="s">
        <v>#N/A Requesting Data...3917774423</v>
        <stp/>
        <stp>BDP|4587391171093494342</stp>
        <tr r="T2084" s="2"/>
      </tp>
      <tp t="s">
        <v>#N/A Requesting Data...3997352068</v>
        <stp/>
        <stp>BDP|3161563873477828616</stp>
        <tr r="S243" s="2"/>
      </tp>
      <tp t="s">
        <v>#N/A Requesting Data...3830120969</v>
        <stp/>
        <stp>BDP|2627410185659932762</stp>
        <tr r="A718" s="2"/>
      </tp>
      <tp t="s">
        <v>#N/A Requesting Data...4138874257</v>
        <stp/>
        <stp>BDP|5460483322883418079</stp>
        <tr r="G2380" s="2"/>
      </tp>
      <tp t="s">
        <v>#N/A Requesting Data...4108593815</v>
        <stp/>
        <stp>BDP|2699519262675051486</stp>
        <tr r="H787" s="2"/>
      </tp>
      <tp t="s">
        <v>#N/A Requesting Data...4031298568</v>
        <stp/>
        <stp>BDP|7285235866780288387</stp>
        <tr r="M1197" s="2"/>
      </tp>
      <tp t="s">
        <v>#N/A Requesting Data...4046386844</v>
        <stp/>
        <stp>BDP|6655288109525347198</stp>
        <tr r="A541" s="2"/>
      </tp>
      <tp t="s">
        <v>#N/A Requesting Data...4073540059</v>
        <stp/>
        <stp>BDP|8895821557954271121</stp>
        <tr r="O291" s="2"/>
      </tp>
      <tp t="s">
        <v>#N/A Requesting Data...4075389722</v>
        <stp/>
        <stp>BDP|1411328506523897152</stp>
        <tr r="M1945" s="2"/>
      </tp>
      <tp t="s">
        <v>#N/A Requesting Data...4150861776</v>
        <stp/>
        <stp>BDP|4904564463166347126</stp>
        <tr r="P384" s="2"/>
      </tp>
      <tp t="s">
        <v>#N/A Requesting Data...3821679690</v>
        <stp/>
        <stp>BDP|9677493024057353856</stp>
        <tr r="K811" s="2"/>
      </tp>
      <tp t="s">
        <v>#N/A Requesting Data...4070358499</v>
        <stp/>
        <stp>BDP|1640561000462844652</stp>
        <tr r="K1870" s="2"/>
      </tp>
      <tp t="s">
        <v>#N/A Requesting Data...3772324524</v>
        <stp/>
        <stp>BDP|4744281452074104712</stp>
        <tr r="M699" s="2"/>
      </tp>
      <tp t="s">
        <v>#N/A Requesting Data...3989462434</v>
        <stp/>
        <stp>BDP|7102794426226079436</stp>
        <tr r="C1173" s="2"/>
      </tp>
      <tp t="s">
        <v>#N/A Requesting Data...4017605030</v>
        <stp/>
        <stp>BDP|4936023733491766625</stp>
        <tr r="P1468" s="2"/>
      </tp>
      <tp t="s">
        <v>#N/A Requesting Data...3810847138</v>
        <stp/>
        <stp>BDP|7359242043122194388</stp>
        <tr r="D661" s="2"/>
      </tp>
      <tp t="s">
        <v>#N/A Requesting Data...3804624691</v>
        <stp/>
        <stp>BDP|5706357846622126084</stp>
        <tr r="N169" s="2"/>
      </tp>
      <tp t="b">
        <v>0</v>
        <stp/>
        <stp>BDS|2861208817819032821</stp>
        <tr r="I1185" s="2"/>
      </tp>
      <tp t="s">
        <v>#N/A Requesting Data...4066942816</v>
        <stp/>
        <stp>BDP|5327297065432342313</stp>
        <tr r="F2362" s="2"/>
      </tp>
      <tp t="s">
        <v>#N/A Requesting Data...4181870184</v>
        <stp/>
        <stp>BDP|7839776543884882093</stp>
        <tr r="T1103" s="2"/>
      </tp>
      <tp t="s">
        <v>#N/A Requesting Data...3797506204</v>
        <stp/>
        <stp>BDP|6854769586921604833</stp>
        <tr r="A1052" s="2"/>
      </tp>
      <tp t="s">
        <v>#N/A Requesting Data...3880758343</v>
        <stp/>
        <stp>BDP|1230392933512618333</stp>
        <tr r="O532" s="2"/>
      </tp>
      <tp t="s">
        <v>#N/A Requesting Data...3850133364</v>
        <stp/>
        <stp>BDP|8053494591381173443</stp>
        <tr r="K103" s="2"/>
      </tp>
      <tp t="s">
        <v>#N/A Requesting Data...4015308740</v>
        <stp/>
        <stp>BDP|2275960715632539894</stp>
        <tr r="P2065" s="2"/>
      </tp>
      <tp t="s">
        <v>#N/A Requesting Data...4075550415</v>
        <stp/>
        <stp>BDP|5662925040129078193</stp>
        <tr r="A334" s="2"/>
      </tp>
      <tp t="s">
        <v>#N/A Requesting Data...4095563013</v>
        <stp/>
        <stp>BDP|6901061807750676637</stp>
        <tr r="R1177" s="2"/>
      </tp>
      <tp t="s">
        <v>#N/A Requesting Data...4113196309</v>
        <stp/>
        <stp>BDP|6430692589171107979</stp>
        <tr r="J1206" s="2"/>
      </tp>
      <tp t="b">
        <v>0</v>
        <stp/>
        <stp>BDS|2236753946835579465</stp>
        <tr r="I49" s="2"/>
      </tp>
      <tp t="s">
        <v>#N/A Requesting Data...3972816662</v>
        <stp/>
        <stp>BDP|5208844359839465193</stp>
        <tr r="S1556" s="2"/>
      </tp>
      <tp t="s">
        <v>#N/A Requesting Data...4221930656</v>
        <stp/>
        <stp>BDP|1198793020143372795</stp>
        <tr r="C1894" s="2"/>
      </tp>
      <tp t="s">
        <v>#N/A Requesting Data...4009048527</v>
        <stp/>
        <stp>BDP|4205735515980537236</stp>
        <tr r="N1348" s="2"/>
      </tp>
      <tp t="s">
        <v>#N/A Requesting Data...3896878398</v>
        <stp/>
        <stp>BDP|6619161294776074869</stp>
        <tr r="T2375" s="2"/>
      </tp>
      <tp t="s">
        <v>#N/A Requesting Data...4079490589</v>
        <stp/>
        <stp>BDP|3022137711321987296</stp>
        <tr r="A2198" s="2"/>
      </tp>
      <tp t="s">
        <v>#N/A Requesting Data...4148354650</v>
        <stp/>
        <stp>BDP|5875980581741216519</stp>
        <tr r="C689" s="2"/>
      </tp>
      <tp t="s">
        <v>#N/A Requesting Data...3943475118</v>
        <stp/>
        <stp>BDP|3755658900721626460</stp>
        <tr r="J2529" s="2"/>
      </tp>
      <tp t="s">
        <v>#N/A Requesting Data...3960942070</v>
        <stp/>
        <stp>BDP|2533344920282199124</stp>
        <tr r="D1593" s="2"/>
      </tp>
      <tp t="s">
        <v>#N/A Requesting Data...3970385775</v>
        <stp/>
        <stp>BDP|1992589493329480440</stp>
        <tr r="P695" s="2"/>
      </tp>
      <tp t="s">
        <v>#N/A Requesting Data...4082525362</v>
        <stp/>
        <stp>BDP|7067935917988502731</stp>
        <tr r="H2218" s="2"/>
      </tp>
      <tp t="s">
        <v>#N/A Requesting Data...3874264694</v>
        <stp/>
        <stp>BDP|6763987189001624628</stp>
        <tr r="J930" s="2"/>
      </tp>
      <tp t="s">
        <v>#N/A Requesting Data...3980827069</v>
        <stp/>
        <stp>BDP|2750604551954160555</stp>
        <tr r="P373" s="2"/>
      </tp>
      <tp t="s">
        <v>#N/A Requesting Data...3959198275</v>
        <stp/>
        <stp>BDP|2744554665383288270</stp>
        <tr r="R510" s="2"/>
      </tp>
      <tp t="s">
        <v>#N/A Requesting Data...3969724264</v>
        <stp/>
        <stp>BDP|9442541297290194545</stp>
        <tr r="A1765" s="2"/>
      </tp>
      <tp t="s">
        <v>#N/A Requesting Data...3951441403</v>
        <stp/>
        <stp>BDP|3298474269967783697</stp>
        <tr r="E2244" s="2"/>
      </tp>
      <tp t="s">
        <v>#N/A Requesting Data...4274959208</v>
        <stp/>
        <stp>BDP|7659208113587061374</stp>
        <tr r="F1141" s="2"/>
      </tp>
      <tp t="s">
        <v>#N/A Requesting Data...4266415180</v>
        <stp/>
        <stp>BDP|2326162546924743367</stp>
        <tr r="J1913" s="2"/>
      </tp>
      <tp t="s">
        <v>#N/A Requesting Data...3938722026</v>
        <stp/>
        <stp>BDP|7657652763452617548</stp>
        <tr r="G643" s="2"/>
      </tp>
      <tp t="s">
        <v>#N/A Requesting Data...4171773523</v>
        <stp/>
        <stp>BDP|2163509840756522560</stp>
        <tr r="H2169" s="2"/>
      </tp>
      <tp t="s">
        <v>#N/A Requesting Data...4292489340</v>
        <stp/>
        <stp>BDP|5717371445290307248</stp>
        <tr r="C2232" s="2"/>
      </tp>
      <tp t="s">
        <v>#N/A Requesting Data...3992357405</v>
        <stp/>
        <stp>BDP|7905895988867307097</stp>
        <tr r="D1211" s="2"/>
      </tp>
      <tp t="b">
        <v>0</v>
        <stp/>
        <stp>BDS|1609124151141099472</stp>
        <tr r="I1193" s="2"/>
      </tp>
      <tp t="s">
        <v>#N/A Requesting Data...4008583850</v>
        <stp/>
        <stp>BDP|6088401965356542223</stp>
        <tr r="T1962" s="2"/>
      </tp>
      <tp t="s">
        <v>#N/A Requesting Data...4246484637</v>
        <stp/>
        <stp>BDP|2262735925892761510</stp>
        <tr r="K2005" s="2"/>
      </tp>
      <tp t="s">
        <v>#N/A Requesting Data...3968234960</v>
        <stp/>
        <stp>BDP|9767221054686156829</stp>
        <tr r="R1678" s="2"/>
      </tp>
      <tp t="s">
        <v>#N/A Requesting Data...4270912923</v>
        <stp/>
        <stp>BDP|3677131230565189466</stp>
        <tr r="A2272" s="2"/>
      </tp>
      <tp t="s">
        <v>#N/A Requesting Data...3996128201</v>
        <stp/>
        <stp>BDP|3089496703873039489</stp>
        <tr r="E2317" s="2"/>
      </tp>
      <tp t="s">
        <v>#N/A Requesting Data...4066728171</v>
        <stp/>
        <stp>BDP|3225579027646883289</stp>
        <tr r="R230" s="2"/>
      </tp>
      <tp t="b">
        <v>0</v>
        <stp/>
        <stp>BDS|9496313893621640227</stp>
        <tr r="I43" s="2"/>
      </tp>
      <tp t="s">
        <v>#N/A Requesting Data...4101847608</v>
        <stp/>
        <stp>BDP|5217939781993347719</stp>
        <tr r="F244" s="2"/>
      </tp>
      <tp t="s">
        <v>#N/A Requesting Data...3913467041</v>
        <stp/>
        <stp>BDP|4878005397558531588</stp>
        <tr r="C2105" s="2"/>
      </tp>
      <tp t="s">
        <v>#N/A Requesting Data...3954026252</v>
        <stp/>
        <stp>BDP|4041984994194999074</stp>
        <tr r="A530" s="2"/>
      </tp>
      <tp t="s">
        <v>#N/A Requesting Data...4122148892</v>
        <stp/>
        <stp>BDP|6157472510094332778</stp>
        <tr r="A2019" s="2"/>
      </tp>
      <tp t="s">
        <v>#N/A Requesting Data...4118969792</v>
        <stp/>
        <stp>BDP|3469455113504219228</stp>
        <tr r="C2330" s="2"/>
      </tp>
      <tp t="s">
        <v>#N/A Requesting Data...3970528696</v>
        <stp/>
        <stp>BDP|1967791055311094272</stp>
        <tr r="G2313" s="2"/>
      </tp>
      <tp t="s">
        <v>#N/A Requesting Data...3973821907</v>
        <stp/>
        <stp>BDP|4500367670551541149</stp>
        <tr r="J168" s="2"/>
      </tp>
      <tp t="s">
        <v>#N/A Requesting Data...3984839702</v>
        <stp/>
        <stp>BDP|8867240578964757915</stp>
        <tr r="D59" s="2"/>
      </tp>
      <tp t="s">
        <v>#N/A Requesting Data...4087942822</v>
        <stp/>
        <stp>BDP|3093029654702318479</stp>
        <tr r="Q1071" s="2"/>
      </tp>
      <tp t="s">
        <v>#N/A Requesting Data...4165826392</v>
        <stp/>
        <stp>BDP|1251390129375698560</stp>
        <tr r="O1709" s="2"/>
      </tp>
      <tp t="s">
        <v>#N/A Requesting Data...4155032194</v>
        <stp/>
        <stp>BDP|1793343411042522156</stp>
        <tr r="M2091" s="2"/>
      </tp>
      <tp t="b">
        <v>0</v>
        <stp/>
        <stp>BDS|7686208505885576042</stp>
        <tr r="I1580" s="2"/>
      </tp>
      <tp t="s">
        <v>#N/A Requesting Data...4029631407</v>
        <stp/>
        <stp>BDP|3497182658983787414</stp>
        <tr r="S460" s="2"/>
      </tp>
      <tp t="s">
        <v>#N/A Requesting Data...4091526146</v>
        <stp/>
        <stp>BDP|1200949496729539873</stp>
        <tr r="Q2122" s="2"/>
      </tp>
      <tp t="s">
        <v>#N/A Requesting Data...4285501237</v>
        <stp/>
        <stp>BDP|9283501576812582938</stp>
        <tr r="C2344" s="2"/>
      </tp>
      <tp t="s">
        <v>#N/A Requesting Data...4192483728</v>
        <stp/>
        <stp>BDP|5991694662436888380</stp>
        <tr r="H1875" s="2"/>
      </tp>
      <tp t="s">
        <v>#N/A Requesting Data...4257035602</v>
        <stp/>
        <stp>BDP|7777663519586220682</stp>
        <tr r="A213" s="2"/>
      </tp>
      <tp t="s">
        <v>#N/A Requesting Data...4025510579</v>
        <stp/>
        <stp>BDP|2364742388474505980</stp>
        <tr r="R748" s="2"/>
      </tp>
      <tp t="s">
        <v>#N/A Requesting Data...4205203728</v>
        <stp/>
        <stp>BDP|1512781548253444136</stp>
        <tr r="O528" s="2"/>
      </tp>
      <tp t="s">
        <v>#N/A Requesting Data...3975374948</v>
        <stp/>
        <stp>BDP|4338256222097114374</stp>
        <tr r="E247" s="2"/>
      </tp>
      <tp t="s">
        <v>#N/A Requesting Data...4242411388</v>
        <stp/>
        <stp>BDP|5935112316182449784</stp>
        <tr r="O2481" s="2"/>
      </tp>
      <tp t="s">
        <v>#N/A Requesting Data...4289448476</v>
        <stp/>
        <stp>BDP|1388023574577169168</stp>
        <tr r="T2508" s="2"/>
      </tp>
      <tp t="s">
        <v>#N/A Requesting Data...4281655951</v>
        <stp/>
        <stp>BDP|2010232317177558637</stp>
        <tr r="N1822" s="2"/>
      </tp>
      <tp t="s">
        <v>#N/A Requesting Data...4068773744</v>
        <stp/>
        <stp>BDP|5729339547310001218</stp>
        <tr r="N921" s="2"/>
      </tp>
      <tp t="s">
        <v>#N/A Requesting Data...4195758235</v>
        <stp/>
        <stp>BDP|6431990859709137377</stp>
        <tr r="K1530" s="2"/>
      </tp>
      <tp t="s">
        <v>#N/A Requesting Data...4243579774</v>
        <stp/>
        <stp>BDP|3717454373290252012</stp>
        <tr r="A246" s="2"/>
      </tp>
      <tp t="s">
        <v>#N/A Requesting Data...4120793365</v>
        <stp/>
        <stp>BDP|2986196676886703236</stp>
        <tr r="F1249" s="2"/>
      </tp>
      <tp t="s">
        <v>#N/A Requesting Data...4271711973</v>
        <stp/>
        <stp>BDP|3541415837717933385</stp>
        <tr r="M1971" s="2"/>
      </tp>
      <tp t="s">
        <v>#N/A Requesting Data...4265687895</v>
        <stp/>
        <stp>BDP|2730016110277370473</stp>
        <tr r="C1031" s="2"/>
      </tp>
      <tp t="s">
        <v>#N/A Requesting Data...4001540289</v>
        <stp/>
        <stp>BDP|8703581402234667996</stp>
        <tr r="A1069" s="2"/>
      </tp>
      <tp t="s">
        <v>#N/A Requesting Data...4198014088</v>
        <stp/>
        <stp>BDP|8710885354096876310</stp>
        <tr r="T1262" s="2"/>
      </tp>
      <tp t="s">
        <v>#N/A Requesting Data...4193330158</v>
        <stp/>
        <stp>BDP|5406537965406292029</stp>
        <tr r="S717" s="2"/>
      </tp>
      <tp t="s">
        <v>#N/A Requesting Data...4050879069</v>
        <stp/>
        <stp>BDP|8248822643524171007</stp>
        <tr r="N2459" s="2"/>
      </tp>
      <tp t="s">
        <v>#N/A Requesting Data...4244797475</v>
        <stp/>
        <stp>BDP|7874009178827208705</stp>
        <tr r="C925" s="2"/>
      </tp>
      <tp t="s">
        <v>#N/A Requesting Data...4093976977</v>
        <stp/>
        <stp>BDP|1520645021683240606</stp>
        <tr r="A93" s="2"/>
      </tp>
      <tp t="s">
        <v>#N/A Requesting Data...4207841702</v>
        <stp/>
        <stp>BDP|8812414400595267995</stp>
        <tr r="P555" s="2"/>
      </tp>
      <tp t="s">
        <v>#N/A Requesting Data...4240221276</v>
        <stp/>
        <stp>BDP|6290241531657349069</stp>
        <tr r="A1646" s="2"/>
      </tp>
      <tp t="b">
        <v>0</v>
        <stp/>
        <stp>BDS|8889679936644332985</stp>
        <tr r="I87" s="2"/>
      </tp>
      <tp t="s">
        <v>#N/A Requesting Data...4191524413</v>
        <stp/>
        <stp>BDP|4698008371294375766</stp>
        <tr r="O943" s="2"/>
      </tp>
      <tp t="s">
        <v>#N/A Requesting Data...4088182170</v>
        <stp/>
        <stp>BDP|3091453018816601090</stp>
        <tr r="F897" s="2"/>
      </tp>
      <tp t="s">
        <v>#N/A Requesting Data...4136781990</v>
        <stp/>
        <stp>BDP|2863240658845443028</stp>
        <tr r="J1587" s="2"/>
      </tp>
      <tp t="s">
        <v>#N/A Requesting Data...4067455422</v>
        <stp/>
        <stp>BDP|6411451282433796968</stp>
        <tr r="P1397" s="2"/>
      </tp>
      <tp t="s">
        <v>#N/A Requesting Data...4130762881</v>
        <stp/>
        <stp>BDP|9630178681785399510</stp>
        <tr r="Q2260" s="2"/>
      </tp>
      <tp t="s">
        <v>#N/A Requesting Data...4236726672</v>
        <stp/>
        <stp>BDP|3931581018147364080</stp>
        <tr r="J766" s="2"/>
      </tp>
      <tp t="s">
        <v>#N/A Requesting Data...4090936330</v>
        <stp/>
        <stp>BDP|9089714614557196865</stp>
        <tr r="P1886" s="2"/>
      </tp>
      <tp t="s">
        <v>#N/A Requesting Data...4218784509</v>
        <stp/>
        <stp>BDP|5554671841185829292</stp>
        <tr r="C728" s="2"/>
      </tp>
      <tp t="s">
        <v>#N/A Requesting Data...4076843215</v>
        <stp/>
        <stp>BDP|9597606931054793813</stp>
        <tr r="M53" s="2"/>
      </tp>
      <tp t="s">
        <v>#N/A Requesting Data...4158802413</v>
        <stp/>
        <stp>BDP|9659066711018045032</stp>
        <tr r="T211" s="2"/>
      </tp>
      <tp t="s">
        <v>#N/A Requesting Data...4290375582</v>
        <stp/>
        <stp>BDP|7675138832776641339</stp>
        <tr r="Q712" s="2"/>
      </tp>
      <tp t="s">
        <v>#N/A Requesting Data...4124176544</v>
        <stp/>
        <stp>BDP|5703166035237155075</stp>
        <tr r="F1660" s="2"/>
      </tp>
      <tp t="s">
        <v>#N/A Requesting Data...4269701825</v>
        <stp/>
        <stp>BDP|3760685105746913311</stp>
        <tr r="J2421" s="2"/>
      </tp>
      <tp t="s">
        <v>#N/A Requesting Data...4246480679</v>
        <stp/>
        <stp>BDP|3463685774802967039</stp>
        <tr r="P1395" s="2"/>
      </tp>
      <tp t="s">
        <v>#N/A Requesting Data...4184723570</v>
        <stp/>
        <stp>BDP|4378599368337594050</stp>
        <tr r="H1334" s="2"/>
      </tp>
      <tp t="s">
        <v>#N/A Requesting Data...4186732199</v>
        <stp/>
        <stp>BDP|6028661511018711926</stp>
        <tr r="T577" s="2"/>
      </tp>
      <tp t="s">
        <v>#N/A Requesting Data...4207771969</v>
        <stp/>
        <stp>BDP|6978094370252650340</stp>
        <tr r="K2172" s="2"/>
      </tp>
      <tp t="s">
        <v>#N/A Requesting Data...4120203239</v>
        <stp/>
        <stp>BDP|6516687320783842171</stp>
        <tr r="F2128" s="2"/>
      </tp>
      <tp t="s">
        <v>#N/A Requesting Data...4125144356</v>
        <stp/>
        <stp>BDP|9224881548182361730</stp>
        <tr r="D1801" s="2"/>
      </tp>
      <tp t="s">
        <v>#N/A Requesting Data...4240065495</v>
        <stp/>
        <stp>BDP|3832525901921990702</stp>
        <tr r="H1166" s="2"/>
      </tp>
      <tp t="s">
        <v>#N/A Requesting Data...4106540645</v>
        <stp/>
        <stp>BDP|6747066972034374521</stp>
        <tr r="S10" s="2"/>
      </tp>
      <tp t="s">
        <v>#N/A Requesting Data...4168780516</v>
        <stp/>
        <stp>BDP|9604192117798205181</stp>
        <tr r="Q620" s="2"/>
      </tp>
      <tp t="s">
        <v>#N/A Requesting Data...4232492303</v>
        <stp/>
        <stp>BDP|1160195912455017482</stp>
        <tr r="E1199" s="2"/>
      </tp>
      <tp t="s">
        <v>#N/A Requesting Data...4116116615</v>
        <stp/>
        <stp>BDP|4367206728082903604</stp>
        <tr r="D2451" s="2"/>
      </tp>
      <tp t="s">
        <v>#N/A Requesting Data...4184036144</v>
        <stp/>
        <stp>BDP|6421678705785795530</stp>
        <tr r="A2265" s="2"/>
      </tp>
      <tp t="s">
        <v>#N/A Requesting Data...4192786184</v>
        <stp/>
        <stp>BDP|6347213706815515139</stp>
        <tr r="N1869" s="2"/>
      </tp>
      <tp t="s">
        <v>#N/A Requesting Data...4215077023</v>
        <stp/>
        <stp>BDP|1953885683101060000</stp>
        <tr r="J1874" s="2"/>
      </tp>
      <tp t="s">
        <v>#N/A Requesting Data...4174512845</v>
        <stp/>
        <stp>BDP|9521666977769509134</stp>
        <tr r="A1601" s="2"/>
      </tp>
      <tp t="s">
        <v>#N/A Requesting Data...4175158595</v>
        <stp/>
        <stp>BDP|8749704761619573016</stp>
        <tr r="F1940" s="2"/>
      </tp>
      <tp t="s">
        <v>#N/A Requesting Data...4204652658</v>
        <stp/>
        <stp>BDP|7722712933413447037</stp>
        <tr r="G1967" s="2"/>
      </tp>
      <tp t="s">
        <v>#N/A Requesting Data...4211583459</v>
        <stp/>
        <stp>BDP|3689964127529582106</stp>
        <tr r="R530" s="2"/>
      </tp>
      <tp t="s">
        <v>#N/A Requesting Data...4223844266</v>
        <stp/>
        <stp>BDP|7987197433896692379</stp>
        <tr r="A410" s="2"/>
      </tp>
      <tp t="s">
        <v>#N/A Requesting Data...4238572682</v>
        <stp/>
        <stp>BDP|8946960449557571210</stp>
        <tr r="R1460" s="2"/>
      </tp>
      <tp t="s">
        <v>#N/A Requesting Data...4264768377</v>
        <stp/>
        <stp>BDP|1104948540089489536</stp>
        <tr r="Q1720" s="2"/>
      </tp>
      <tp t="s">
        <v>#N/A Requesting Data...4273224749</v>
        <stp/>
        <stp>BDP|7367054432703223741</stp>
        <tr r="C2136" s="2"/>
      </tp>
      <tp t="s">
        <v>#N/A Requesting Data...4233620200</v>
        <stp/>
        <stp>BDP|9410935844090552447</stp>
        <tr r="C1466" s="2"/>
      </tp>
      <tp t="s">
        <v>#N/A Requesting Data...4166027929</v>
        <stp/>
        <stp>BDP|1296531903551436548</stp>
        <tr r="Q393" s="2"/>
      </tp>
      <tp t="s">
        <v>#N/A Requesting Data...4220344660</v>
        <stp/>
        <stp>BDP|8407940693170308827</stp>
        <tr r="R1271" s="2"/>
      </tp>
      <tp t="s">
        <v>#N/A Requesting Data...4292647763</v>
        <stp/>
        <stp>BDP|5597621820627479600</stp>
        <tr r="J1761" s="2"/>
      </tp>
      <tp t="s">
        <v>#N/A Requesting Data...4170470524</v>
        <stp/>
        <stp>BDP|5365445404210985190</stp>
        <tr r="E632" s="2"/>
      </tp>
      <tp t="s">
        <v>#N/A Requesting Data...4270634863</v>
        <stp/>
        <stp>BDP|5755276587907246867</stp>
        <tr r="D173" s="2"/>
      </tp>
      <tp t="s">
        <v>#N/A Requesting Data...4275971237</v>
        <stp/>
        <stp>BDP|2530618251197674604</stp>
        <tr r="D2179" s="2"/>
      </tp>
      <tp t="s">
        <v>#N/A Requesting Data...4255849603</v>
        <stp/>
        <stp>BDP|4248104521147313039</stp>
        <tr r="H1924" s="2"/>
      </tp>
      <tp t="s">
        <v>#N/A Requesting Data...4278348583</v>
        <stp/>
        <stp>BDP|5819770708816424402</stp>
        <tr r="S240" s="2"/>
      </tp>
      <tp t="s">
        <v>#N/A Requesting Data...4277908295</v>
        <stp/>
        <stp>BDP|5447059725704554327</stp>
        <tr r="P2006" s="2"/>
      </tp>
      <tp t="s">
        <v>#N/A Requesting Data...4268942162</v>
        <stp/>
        <stp>BDP|1273274120362183370</stp>
        <tr r="C883" s="2"/>
      </tp>
      <tp t="b">
        <v>0</v>
        <stp/>
        <stp>BDS|3481591298937620809</stp>
        <tr r="I1699" s="2"/>
      </tp>
      <tp t="s">
        <v>#N/A Requesting Data...4223260719</v>
        <stp/>
        <stp>BDP|6295520424282258356</stp>
        <tr r="E2142" s="2"/>
      </tp>
      <tp t="s">
        <v>#N/A Requesting Data...4294051340</v>
        <stp/>
        <stp>BDP|7266542961963148751</stp>
        <tr r="M1306" s="2"/>
      </tp>
      <tp t="s">
        <v>#N/A Requesting Data...4267130067</v>
        <stp/>
        <stp>BDP|2340208732701569275</stp>
        <tr r="T1959" s="2"/>
      </tp>
      <tp t="s">
        <v>#N/A Requesting Data...4281596717</v>
        <stp/>
        <stp>BDP|4718486059860171540</stp>
        <tr r="T661" s="2"/>
      </tp>
      <tp t="s">
        <v>#N/A Requesting Data...4193405318</v>
        <stp/>
        <stp>BDP|3335216792361180925</stp>
        <tr r="E1752" s="2"/>
      </tp>
      <tp t="s">
        <v>#N/A Requesting Data...4254334972</v>
        <stp/>
        <stp>BDP|2142031143802623444</stp>
        <tr r="E2321" s="2"/>
      </tp>
      <tp t="s">
        <v>#N/A Requesting Data...4235778049</v>
        <stp/>
        <stp>BDP|3637203111778041848</stp>
        <tr r="Q1396" s="2"/>
      </tp>
      <tp t="s">
        <v>#N/A Requesting Data...4235395468</v>
        <stp/>
        <stp>BDP|8730254586951770302</stp>
        <tr r="H333" s="2"/>
      </tp>
      <tp t="s">
        <v>#N/A Requesting Data...4267154784</v>
        <stp/>
        <stp>BDP|9402258138549976131</stp>
        <tr r="O2311" s="2"/>
      </tp>
      <tp t="s">
        <v>#N/A Requesting Data...4281060312</v>
        <stp/>
        <stp>BDP|1622440472422656058</stp>
        <tr r="R1576" s="2"/>
      </tp>
      <tp t="s">
        <v>#N/A Requesting Data...4220281165</v>
        <stp/>
        <stp>BDP|4211479224262539072</stp>
        <tr r="S1160" s="2"/>
      </tp>
      <tp t="s">
        <v>#N/A Requesting Data...4235913886</v>
        <stp/>
        <stp>BDP|3014660854134282433</stp>
        <tr r="F400" s="2"/>
      </tp>
      <tp t="s">
        <v>#N/A Requesting Data...4213127782</v>
        <stp/>
        <stp>BDP|5448525409968434880</stp>
        <tr r="G1513" s="2"/>
      </tp>
      <tp t="s">
        <v>#N/A Requesting Data...4217720147</v>
        <stp/>
        <stp>BDP|9187299777804428880</stp>
        <tr r="Q1347" s="2"/>
      </tp>
      <tp t="s">
        <v>#N/A Requesting Data...4249645118</v>
        <stp/>
        <stp>BDP|5178160266925713754</stp>
        <tr r="F951" s="2"/>
      </tp>
      <tp t="s">
        <v>#N/A Requesting Data...4258205301</v>
        <stp/>
        <stp>BDP|8380167694038060823</stp>
        <tr r="S1671" s="2"/>
      </tp>
      <tp t="s">
        <v>#N/A Requesting Data...4234988340</v>
        <stp/>
        <stp>BDP|6544239455037473640</stp>
        <tr r="P1466" s="2"/>
      </tp>
      <tp t="s">
        <v>#N/A Requesting Data...4247964431</v>
        <stp/>
        <stp>BDP|2124348272512455400</stp>
        <tr r="G1388" s="2"/>
      </tp>
      <tp t="s">
        <v>#N/A Requesting Data...4291330491</v>
        <stp/>
        <stp>BDP|3720849690381762374</stp>
        <tr r="S1311" s="2"/>
      </tp>
      <tp t="s">
        <v>#N/A Requesting Data...4292277157</v>
        <stp/>
        <stp>BDP|5038581581999860120</stp>
        <tr r="A317" s="2"/>
      </tp>
      <tp t="s">
        <v>#N/A Requesting Data...4273203640</v>
        <stp/>
        <stp>BDP|6534638134234734767</stp>
        <tr r="T1204" s="2"/>
      </tp>
      <tp t="s">
        <v>#N/A Requesting Data...4249971501</v>
        <stp/>
        <stp>BDP|1917627821110127588</stp>
        <tr r="Q1639" s="2"/>
      </tp>
      <tp t="s">
        <v>#N/A Requesting Data...4247370693</v>
        <stp/>
        <stp>BDP|2774125950562222448</stp>
        <tr r="P2046" s="2"/>
      </tp>
      <tp t="s">
        <v>#N/A Requesting Data...4236681014</v>
        <stp/>
        <stp>BDP|7994448651224989266</stp>
        <tr r="O327" s="2"/>
      </tp>
      <tp t="s">
        <v>#N/A Requesting Data...4249876277</v>
        <stp/>
        <stp>BDP|1994482918914978039</stp>
        <tr r="M237" s="2"/>
      </tp>
      <tp t="s">
        <v>#N/A Requesting Data...4259278783</v>
        <stp/>
        <stp>BDP|6362039350075712642</stp>
        <tr r="S524" s="2"/>
      </tp>
      <tp t="b">
        <v>0</v>
        <stp/>
        <stp>BDS|1180720616780319751</stp>
        <tr r="I508" s="2"/>
      </tp>
      <tp t="s">
        <v>#N/A Requesting Data...4247264564</v>
        <stp/>
        <stp>BDP|9623956132812303110</stp>
        <tr r="G2529" s="2"/>
      </tp>
      <tp t="b">
        <v>0</v>
        <stp/>
        <stp>BDS|5493481918313209354</stp>
        <tr r="I1045" s="2"/>
      </tp>
      <tp t="b">
        <v>0</v>
        <stp/>
        <stp>BDS|4487043300625168124</stp>
        <tr r="I1923" s="2"/>
      </tp>
      <tp t="s">
        <v>#N/A Requesting Data...4293969997</v>
        <stp/>
        <stp>BDP|2481787816211180589</stp>
        <tr r="D633" s="2"/>
      </tp>
      <tp t="s">
        <v>#N/A Requesting Data...4265439084</v>
        <stp/>
        <stp>BDP|5659547631736814588</stp>
        <tr r="T1105" s="2"/>
      </tp>
      <tp t="b">
        <v>0</v>
        <stp/>
        <stp>BDS|4560698826514121486</stp>
        <tr r="I2272" s="2"/>
      </tp>
      <tp t="s">
        <v>#N/A Requesting Data...4262588337</v>
        <stp/>
        <stp>BDP|8619881268935133346</stp>
        <tr r="S383" s="2"/>
      </tp>
      <tp t="s">
        <v>#N/A Requesting Data...4269064004</v>
        <stp/>
        <stp>BDP|4007213445651522328</stp>
        <tr r="K455" s="2"/>
      </tp>
      <tp t="s">
        <v>#N/A Requesting Data...4273460737</v>
        <stp/>
        <stp>BDP|7192516460075162126</stp>
        <tr r="S29" s="2"/>
      </tp>
      <tp t="s">
        <v>#N/A Requesting Data...4285762029</v>
        <stp/>
        <stp>BDP|8323612668640892810</stp>
        <tr r="N2444" s="2"/>
      </tp>
      <tp t="s">
        <v>#N/A Requesting Data...4283976050</v>
        <stp/>
        <stp>BDP|6423153073797117708</stp>
        <tr r="M1817" s="2"/>
      </tp>
      <tp t="s">
        <v>#N/A Requesting Data...4276967954</v>
        <stp/>
        <stp>BDP|8220937115802247257</stp>
        <tr r="Q487" s="2"/>
      </tp>
      <tp t="s">
        <v>#N/A Requesting Data...4279831648</v>
        <stp/>
        <stp>BDP|9665412438967570994</stp>
        <tr r="O2288" s="2"/>
      </tp>
      <tp t="s">
        <v>#N/A Requesting Data...4290042533</v>
        <stp/>
        <stp>BDP|1216327677283329678</stp>
        <tr r="H1443" s="2"/>
      </tp>
      <tp t="s">
        <v>#N/A Requesting Data...4293803694</v>
        <stp/>
        <stp>BDP|2789445110292023503</stp>
        <tr r="M32" s="2"/>
      </tp>
      <tp t="s">
        <v>#N/A Requesting Data...4284569959</v>
        <stp/>
        <stp>BDP|3384039325231096064</stp>
        <tr r="R55" s="2"/>
      </tp>
      <tp t="s">
        <v>#N/A Requesting Data...4288273783</v>
        <stp/>
        <stp>BDP|7990830359858583258</stp>
        <tr r="A2036" s="2"/>
      </tp>
      <tp t="s">
        <v>#N/A Requesting Data...4293733446</v>
        <stp/>
        <stp>BDP|2686025026081993185</stp>
        <tr r="P739" s="2"/>
      </tp>
      <tp t="s">
        <v>#N/A Requesting Data...4292314059</v>
        <stp/>
        <stp>BDP|7084239584295146856</stp>
        <tr r="D2409" s="2"/>
      </tp>
      <tp t="s">
        <v>#N/A Requesting Data...4294901758</v>
        <stp/>
        <stp>BDP|8341479823486518819</stp>
        <tr r="O844" s="2"/>
      </tp>
      <tp t="b">
        <v>0</v>
        <stp/>
        <stp>BDS|7333480877677807377</stp>
        <tr r="I456" s="2"/>
      </tp>
      <tp t="s">
        <v>#N/A Requesting Data...2969313232</v>
        <stp/>
        <stp>BDP|6182840597504852398</stp>
        <tr r="Q1400" s="2"/>
      </tp>
      <tp t="s">
        <v>#N/A Requesting Data...1700846777</v>
        <stp/>
        <stp>BDP|8124632583452771453</stp>
        <tr r="K1430" s="2"/>
      </tp>
      <tp t="s">
        <v>#N/A Requesting Data...3921482524</v>
        <stp/>
        <stp>BDP|3694218035022836092</stp>
        <tr r="C1803" s="2"/>
      </tp>
      <tp t="s">
        <v>#N/A Requesting Data...3478475533</v>
        <stp/>
        <stp>BDP|4549647919331323282</stp>
        <tr r="Q462" s="2"/>
      </tp>
      <tp t="s">
        <v>#N/A Requesting Data...2138277536</v>
        <stp/>
        <stp>BDP|7262946952983680811</stp>
        <tr r="J567" s="2"/>
      </tp>
      <tp t="s">
        <v>#N/A Requesting Data...4030391429</v>
        <stp/>
        <stp>BDP|4557869936108756718</stp>
        <tr r="K1097" s="2"/>
      </tp>
      <tp t="s">
        <v>#N/A Requesting Data...463129890</v>
        <stp/>
        <stp>BDP|6462716063134289379</stp>
        <tr r="Q167" s="2"/>
      </tp>
      <tp t="s">
        <v>#N/A Requesting Data...1033010305</v>
        <stp/>
        <stp>BDP|2308751354945416559</stp>
        <tr r="M1569" s="2"/>
      </tp>
      <tp t="s">
        <v>#N/A Requesting Data...1082499627</v>
        <stp/>
        <stp>BDP|1774092230366934446</stp>
        <tr r="O904" s="2"/>
      </tp>
      <tp t="s">
        <v>#N/A Requesting Data...274016925</v>
        <stp/>
        <stp>BDP|2033126786618180368</stp>
        <tr r="M2512" s="2"/>
      </tp>
      <tp t="s">
        <v>#N/A Requesting Data...1612685689</v>
        <stp/>
        <stp>BDP|3714592239810692521</stp>
        <tr r="E1507" s="2"/>
      </tp>
      <tp t="s">
        <v>#N/A Requesting Data...2609912016</v>
        <stp/>
        <stp>BDP|6497768795369047145</stp>
        <tr r="M868" s="2"/>
      </tp>
      <tp t="b">
        <v>0</v>
        <stp/>
        <stp>BDS|5288222790766496874</stp>
        <tr r="I1574" s="2"/>
      </tp>
      <tp t="s">
        <v>#N/A Requesting Data...1574625143</v>
        <stp/>
        <stp>BDP|6362006856807732418</stp>
        <tr r="H452" s="2"/>
      </tp>
      <tp t="s">
        <v>#N/A Requesting Data...1468600867</v>
        <stp/>
        <stp>BDP|9574755043389465344</stp>
        <tr r="Q337" s="2"/>
      </tp>
      <tp t="b">
        <v>0</v>
        <stp/>
        <stp>BDS|8734837685419144135</stp>
        <tr r="I2058" s="2"/>
      </tp>
      <tp t="s">
        <v>#N/A Requesting Data...3931565092</v>
        <stp/>
        <stp>BDP|2500837754879590644</stp>
        <tr r="C1439" s="2"/>
      </tp>
      <tp t="s">
        <v>#N/A Requesting Data...2506390887</v>
        <stp/>
        <stp>BDP|9271032408649361097</stp>
        <tr r="N2356" s="2"/>
      </tp>
      <tp t="s">
        <v>#N/A Requesting Data...2856973648</v>
        <stp/>
        <stp>BDP|4992713926207429698</stp>
        <tr r="Q2204" s="2"/>
      </tp>
      <tp t="s">
        <v>#N/A Requesting Data...2376478777</v>
        <stp/>
        <stp>BDP|7423046351901172338</stp>
        <tr r="K540" s="2"/>
      </tp>
      <tp t="s">
        <v>#N/A Requesting Data...4257693565</v>
        <stp/>
        <stp>BDP|2886089007205565717</stp>
        <tr r="C442" s="2"/>
      </tp>
      <tp t="s">
        <v>#N/A Requesting Data...3397050733</v>
        <stp/>
        <stp>BDP|9168322340369711774</stp>
        <tr r="E1127" s="2"/>
      </tp>
      <tp t="s">
        <v>#N/A Requesting Data...2157304169</v>
        <stp/>
        <stp>BDP|5001719443330209638</stp>
        <tr r="O2108" s="2"/>
      </tp>
      <tp t="s">
        <v>#N/A Requesting Data...3812125725</v>
        <stp/>
        <stp>BDP|3060528416391275658</stp>
        <tr r="P1576" s="2"/>
      </tp>
      <tp t="b">
        <v>0</v>
        <stp/>
        <stp>BDS|6258370527650732761</stp>
        <tr r="I1260" s="2"/>
      </tp>
      <tp t="s">
        <v>#N/A Requesting Data...2964219888</v>
        <stp/>
        <stp>BDP|3071502331357713252</stp>
        <tr r="K1685" s="2"/>
      </tp>
      <tp t="s">
        <v>#N/A Requesting Data...1960287185</v>
        <stp/>
        <stp>BDP|1384649040946695524</stp>
        <tr r="Q474" s="2"/>
      </tp>
      <tp t="s">
        <v>#N/A Requesting Data...425387809</v>
        <stp/>
        <stp>BDP|5701619640004594305</stp>
        <tr r="H279" s="2"/>
      </tp>
      <tp t="s">
        <v>#N/A Requesting Data...3396415482</v>
        <stp/>
        <stp>BDP|8907404138147211801</stp>
        <tr r="T25" s="2"/>
      </tp>
      <tp t="s">
        <v>#N/A Requesting Data...1909235309</v>
        <stp/>
        <stp>BDP|3910125714780943352</stp>
        <tr r="P2255" s="2"/>
      </tp>
      <tp t="s">
        <v>#N/A Requesting Data...538502002</v>
        <stp/>
        <stp>BDP|1489143900543629359</stp>
        <tr r="G1289" s="2"/>
      </tp>
      <tp t="s">
        <v>#N/A Requesting Data...963205212</v>
        <stp/>
        <stp>BDP|5017119512746726379</stp>
        <tr r="R1570" s="2"/>
      </tp>
      <tp t="s">
        <v>#N/A Requesting Data...1139746141</v>
        <stp/>
        <stp>BDP|8168235072384210915</stp>
        <tr r="C1111" s="2"/>
      </tp>
      <tp t="s">
        <v>#N/A Requesting Data...2968166062</v>
        <stp/>
        <stp>BDP|4130897411165813820</stp>
        <tr r="E1802" s="2"/>
      </tp>
      <tp t="s">
        <v>#N/A Requesting Data...2143512688</v>
        <stp/>
        <stp>BDP|6044900767640146952</stp>
        <tr r="T866" s="2"/>
      </tp>
      <tp t="s">
        <v>#N/A Requesting Data...2178456626</v>
        <stp/>
        <stp>BDP|3351736637677452004</stp>
        <tr r="N1817" s="2"/>
      </tp>
      <tp t="s">
        <v>#N/A Requesting Data...1066067835</v>
        <stp/>
        <stp>BDP|1763046416480214041</stp>
        <tr r="T2191" s="2"/>
      </tp>
      <tp t="s">
        <v>#N/A Requesting Data...1020021395</v>
        <stp/>
        <stp>BDP|7116779226930323204</stp>
        <tr r="E352" s="2"/>
      </tp>
      <tp t="s">
        <v>#N/A Requesting Data...1820126402</v>
        <stp/>
        <stp>BDP|2800324763444366391</stp>
        <tr r="O696" s="2"/>
      </tp>
      <tp t="s">
        <v>#N/A Requesting Data...871517894</v>
        <stp/>
        <stp>BDP|2635078676363465609</stp>
        <tr r="M2290" s="2"/>
      </tp>
      <tp t="s">
        <v>#N/A Requesting Data...3294375431</v>
        <stp/>
        <stp>BDP|3025782725442956476</stp>
        <tr r="R1556" s="2"/>
      </tp>
      <tp t="s">
        <v>#N/A Requesting Data...3028805580</v>
        <stp/>
        <stp>BDP|8178710092694951283</stp>
        <tr r="A711" s="2"/>
      </tp>
      <tp t="s">
        <v>#N/A Requesting Data...2628628534</v>
        <stp/>
        <stp>BDP|5452300319697849060</stp>
        <tr r="R1314" s="2"/>
      </tp>
      <tp t="b">
        <v>0</v>
        <stp/>
        <stp>BDS|8097027491436282726</stp>
        <tr r="I325" s="2"/>
      </tp>
      <tp t="s">
        <v>#N/A Requesting Data...3183525876</v>
        <stp/>
        <stp>BDP|6496617917810406151</stp>
        <tr r="H290" s="2"/>
      </tp>
      <tp t="s">
        <v>#N/A Requesting Data...3378908554</v>
        <stp/>
        <stp>BDP|7169295772102817014</stp>
        <tr r="Q1307" s="2"/>
      </tp>
      <tp t="s">
        <v>#N/A Requesting Data...833038383</v>
        <stp/>
        <stp>BDP|1392507256880563137</stp>
        <tr r="P444" s="2"/>
      </tp>
      <tp t="s">
        <v>#N/A Requesting Data...4224532329</v>
        <stp/>
        <stp>BDP|4342981079278861297</stp>
        <tr r="F1598" s="2"/>
      </tp>
      <tp t="s">
        <v>#N/A Requesting Data...1207423435</v>
        <stp/>
        <stp>BDP|6851134625824481197</stp>
        <tr r="K1720" s="2"/>
      </tp>
      <tp t="s">
        <v>#N/A Requesting Data...2375493627</v>
        <stp/>
        <stp>BDP|8555357823659068004</stp>
        <tr r="F1713" s="2"/>
      </tp>
      <tp t="s">
        <v>#N/A Requesting Data...4254770217</v>
        <stp/>
        <stp>BDP|5641367803664033200</stp>
        <tr r="N1529" s="2"/>
      </tp>
      <tp t="s">
        <v>#N/A Requesting Data...3963053932</v>
        <stp/>
        <stp>BDP|5234518696940718915</stp>
        <tr r="O155" s="2"/>
      </tp>
      <tp t="s">
        <v>#N/A Requesting Data...2223197067</v>
        <stp/>
        <stp>BDP|4402100820573299465</stp>
        <tr r="E1260" s="2"/>
      </tp>
      <tp t="s">
        <v>#N/A Requesting Data...1944745198</v>
        <stp/>
        <stp>BDP|7584391752238922970</stp>
        <tr r="N639" s="2"/>
      </tp>
      <tp t="s">
        <v>#N/A Requesting Data...1699589393</v>
        <stp/>
        <stp>BDP|8264812631446595570</stp>
        <tr r="Q1880" s="2"/>
      </tp>
      <tp t="s">
        <v>#N/A Requesting Data...2292613233</v>
        <stp/>
        <stp>BDP|7289016413562521450</stp>
        <tr r="J937" s="2"/>
      </tp>
      <tp t="s">
        <v>#N/A Requesting Data...2462727274</v>
        <stp/>
        <stp>BDP|3496021601513373042</stp>
        <tr r="E1865" s="2"/>
      </tp>
      <tp t="s">
        <v>#N/A Requesting Data...2813377614</v>
        <stp/>
        <stp>BDP|7734523035613589256</stp>
        <tr r="C1095" s="2"/>
      </tp>
      <tp t="s">
        <v>#N/A Requesting Data...2757103745</v>
        <stp/>
        <stp>BDP|2809371625971343294</stp>
        <tr r="C2278" s="2"/>
      </tp>
      <tp t="s">
        <v>#N/A Requesting Data...2156253672</v>
        <stp/>
        <stp>BDP|5611602796258388231</stp>
        <tr r="N820" s="2"/>
      </tp>
      <tp t="s">
        <v>#N/A Requesting Data...3735562692</v>
        <stp/>
        <stp>BDP|5486501302321257144</stp>
        <tr r="J826" s="2"/>
      </tp>
      <tp t="s">
        <v>#N/A Requesting Data...2022754970</v>
        <stp/>
        <stp>BDP|3226553278077722688</stp>
        <tr r="R2237" s="2"/>
      </tp>
      <tp t="s">
        <v>#N/A Requesting Data...1739582435</v>
        <stp/>
        <stp>BDP|5320452492229007149</stp>
        <tr r="E508" s="2"/>
      </tp>
      <tp t="s">
        <v>#N/A Requesting Data...1623326382</v>
        <stp/>
        <stp>BDP|9436816050955502107</stp>
        <tr r="N2009" s="2"/>
      </tp>
      <tp t="b">
        <v>0</v>
        <stp/>
        <stp>BDS|3458064154486390054</stp>
        <tr r="I956" s="2"/>
      </tp>
      <tp t="s">
        <v>#N/A Requesting Data...1998972620</v>
        <stp/>
        <stp>BDP|5017179641578325854</stp>
        <tr r="N483" s="2"/>
      </tp>
      <tp t="s">
        <v>#N/A Requesting Data...3216808915</v>
        <stp/>
        <stp>BDP|2228269274211324630</stp>
        <tr r="R856" s="2"/>
      </tp>
      <tp t="s">
        <v>#N/A Requesting Data...1255613029</v>
        <stp/>
        <stp>BDP|8784627955239476241</stp>
        <tr r="E1942" s="2"/>
      </tp>
      <tp t="s">
        <v>#N/A Requesting Data...3571247384</v>
        <stp/>
        <stp>BDP|5284436132574048634</stp>
        <tr r="H2036" s="2"/>
      </tp>
      <tp t="s">
        <v>#N/A Requesting Data...2811199938</v>
        <stp/>
        <stp>BDP|2450955481934660765</stp>
        <tr r="H825" s="2"/>
      </tp>
      <tp t="s">
        <v>#N/A Requesting Data...3236896518</v>
        <stp/>
        <stp>BDP|1166838581247366600</stp>
        <tr r="H795" s="2"/>
      </tp>
      <tp t="s">
        <v>#N/A Requesting Data...490985974</v>
        <stp/>
        <stp>BDP|4563038886544772876</stp>
        <tr r="J682" s="2"/>
      </tp>
      <tp t="s">
        <v>#N/A Requesting Data...2754536903</v>
        <stp/>
        <stp>BDP|2040419170090926185</stp>
        <tr r="J493" s="2"/>
      </tp>
      <tp t="s">
        <v>#N/A Requesting Data...963414027</v>
        <stp/>
        <stp>BDP|9446104451745089855</stp>
        <tr r="S2509" s="2"/>
      </tp>
      <tp t="s">
        <v>#N/A Requesting Data...3137727574</v>
        <stp/>
        <stp>BDP|7937640028877118440</stp>
        <tr r="P316" s="2"/>
      </tp>
      <tp t="s">
        <v>#N/A Requesting Data...2193344677</v>
        <stp/>
        <stp>BDP|3811841834181888903</stp>
        <tr r="K269" s="2"/>
      </tp>
      <tp t="s">
        <v>#N/A Requesting Data...330202692</v>
        <stp/>
        <stp>BDP|5898735095362717994</stp>
        <tr r="N1622" s="2"/>
      </tp>
      <tp t="s">
        <v>#N/A Requesting Data...1232282230</v>
        <stp/>
        <stp>BDP|6608738425480418340</stp>
        <tr r="M1711" s="2"/>
      </tp>
      <tp t="s">
        <v>#N/A Requesting Data...622772788</v>
        <stp/>
        <stp>BDP|1149448801164358175</stp>
        <tr r="H2227" s="2"/>
      </tp>
      <tp t="s">
        <v>#N/A Requesting Data...1643650804</v>
        <stp/>
        <stp>BDP|7836443243613931469</stp>
        <tr r="E1949" s="2"/>
      </tp>
      <tp t="s">
        <v>#N/A Requesting Data...3575574374</v>
        <stp/>
        <stp>BDP|8002085219671673878</stp>
        <tr r="T965" s="2"/>
      </tp>
      <tp t="s">
        <v>#N/A Requesting Data...2906419044</v>
        <stp/>
        <stp>BDP|2165076679677622298</stp>
        <tr r="K493" s="2"/>
      </tp>
      <tp t="s">
        <v>#N/A Requesting Data...1660820243</v>
        <stp/>
        <stp>BDP|1361659496107505952</stp>
        <tr r="K2405" s="2"/>
      </tp>
      <tp t="s">
        <v>#N/A Requesting Data...1186547487</v>
        <stp/>
        <stp>BDP|3980473008142255543</stp>
        <tr r="N211" s="2"/>
      </tp>
      <tp t="s">
        <v>#N/A Requesting Data...400307574</v>
        <stp/>
        <stp>BDP|8495445367318416232</stp>
        <tr r="N589" s="2"/>
      </tp>
      <tp t="s">
        <v>#N/A Requesting Data...3146350123</v>
        <stp/>
        <stp>BDP|8593472327589232771</stp>
        <tr r="S484" s="2"/>
      </tp>
      <tp t="s">
        <v>#N/A Requesting Data...2013442809</v>
        <stp/>
        <stp>BDP|2768157975174189067</stp>
        <tr r="K878" s="2"/>
      </tp>
      <tp t="s">
        <v>#N/A Requesting Data...704813423</v>
        <stp/>
        <stp>BDP|5069328944480447221</stp>
        <tr r="J2074" s="2"/>
      </tp>
      <tp t="s">
        <v>#N/A Requesting Data...4252818069</v>
        <stp/>
        <stp>BDP|5123103849764086481</stp>
        <tr r="J1762" s="2"/>
      </tp>
      <tp t="s">
        <v>#N/A Requesting Data...3395806435</v>
        <stp/>
        <stp>BDP|9630227152008634609</stp>
        <tr r="S853" s="2"/>
      </tp>
      <tp t="s">
        <v>#N/A Requesting Data...3358765504</v>
        <stp/>
        <stp>BDP|4156180686068620599</stp>
        <tr r="Q524" s="2"/>
      </tp>
      <tp t="s">
        <v>#N/A Requesting Data...1754134021</v>
        <stp/>
        <stp>BDP|7050915384901324765</stp>
        <tr r="F850" s="2"/>
      </tp>
      <tp t="s">
        <v>#N/A Requesting Data...2617530264</v>
        <stp/>
        <stp>BDP|4045509901592969380</stp>
        <tr r="S574" s="2"/>
      </tp>
      <tp t="s">
        <v>#N/A Requesting Data...2909387291</v>
        <stp/>
        <stp>BDP|4744747051350241605</stp>
        <tr r="M300" s="2"/>
      </tp>
      <tp t="s">
        <v>#N/A Requesting Data...3214966943</v>
        <stp/>
        <stp>BDP|4544452143624044035</stp>
        <tr r="H1041" s="2"/>
      </tp>
      <tp t="s">
        <v>#N/A Requesting Data...4215322492</v>
        <stp/>
        <stp>BDP|7833188410836129110</stp>
        <tr r="E676" s="2"/>
      </tp>
      <tp t="s">
        <v>#N/A Requesting Data...3490037646</v>
        <stp/>
        <stp>BDP|3661733344187362723</stp>
        <tr r="O650" s="2"/>
      </tp>
      <tp t="s">
        <v>#N/A Requesting Data...1367302281</v>
        <stp/>
        <stp>BDP|5372449473167768138</stp>
        <tr r="N1270" s="2"/>
      </tp>
      <tp t="b">
        <v>0</v>
        <stp/>
        <stp>BDS|4587590732800708292</stp>
        <tr r="I120" s="2"/>
      </tp>
      <tp t="s">
        <v>#N/A Requesting Data...471411617</v>
        <stp/>
        <stp>BDP|3952875620371865865</stp>
        <tr r="D1238" s="2"/>
      </tp>
      <tp t="s">
        <v>#N/A Requesting Data...3417631544</v>
        <stp/>
        <stp>BDP|9533975137307154440</stp>
        <tr r="P1745" s="2"/>
      </tp>
      <tp t="s">
        <v>#N/A Requesting Data...4131646766</v>
        <stp/>
        <stp>BDP|1676791295297809827</stp>
        <tr r="D1509" s="2"/>
      </tp>
      <tp t="s">
        <v>#N/A Requesting Data...506539784</v>
        <stp/>
        <stp>BDP|7397035858126088486</stp>
        <tr r="S1061" s="2"/>
      </tp>
      <tp t="s">
        <v>#N/A Requesting Data...583261309</v>
        <stp/>
        <stp>BDP|7766690522032500195</stp>
        <tr r="J1811" s="2"/>
      </tp>
      <tp t="b">
        <v>0</v>
        <stp/>
        <stp>BDS|5653355304910391640</stp>
        <tr r="I542" s="2"/>
      </tp>
      <tp t="s">
        <v>#N/A Requesting Data...3321660694</v>
        <stp/>
        <stp>BDP|6715810710056276945</stp>
        <tr r="N1730" s="2"/>
      </tp>
      <tp t="s">
        <v>#N/A Requesting Data...1223361443</v>
        <stp/>
        <stp>BDP|8234283358277712850</stp>
        <tr r="F980" s="2"/>
      </tp>
      <tp t="s">
        <v>#N/A Requesting Data...595781478</v>
        <stp/>
        <stp>BDP|6577373536190325674</stp>
        <tr r="G744" s="2"/>
      </tp>
      <tp t="s">
        <v>#N/A Requesting Data...3759215279</v>
        <stp/>
        <stp>BDP|9678726731118641537</stp>
        <tr r="O1785" s="2"/>
      </tp>
      <tp t="s">
        <v>#N/A Requesting Data...2572845664</v>
        <stp/>
        <stp>BDP|6684473258252097592</stp>
        <tr r="S22" s="2"/>
      </tp>
      <tp t="s">
        <v>#N/A Requesting Data...3487129386</v>
        <stp/>
        <stp>BDP|6849686502717048723</stp>
        <tr r="M2000" s="2"/>
      </tp>
      <tp t="s">
        <v>#N/A Requesting Data...1356159322</v>
        <stp/>
        <stp>BDP|7542618042801727414</stp>
        <tr r="R350" s="2"/>
      </tp>
      <tp t="s">
        <v>#N/A Requesting Data...3673105205</v>
        <stp/>
        <stp>BDP|6241715150344232013</stp>
        <tr r="O301" s="2"/>
      </tp>
      <tp t="s">
        <v>#N/A Requesting Data...2907616273</v>
        <stp/>
        <stp>BDP|8862242212619926272</stp>
        <tr r="R1112" s="2"/>
      </tp>
      <tp t="s">
        <v>#N/A Requesting Data...1843024652</v>
        <stp/>
        <stp>BDP|7294660541901253477</stp>
        <tr r="J185" s="2"/>
      </tp>
      <tp t="s">
        <v>#N/A Requesting Data...3052361855</v>
        <stp/>
        <stp>BDP|6688308326047122010</stp>
        <tr r="T191" s="2"/>
      </tp>
      <tp t="s">
        <v>#N/A Requesting Data...1370332746</v>
        <stp/>
        <stp>BDP|1134472417617468354</stp>
        <tr r="O529" s="2"/>
      </tp>
      <tp t="s">
        <v>#N/A Requesting Data...2247911250</v>
        <stp/>
        <stp>BDP|5578137965566273416</stp>
        <tr r="D1554" s="2"/>
      </tp>
      <tp t="s">
        <v>#N/A Requesting Data...1169938963</v>
        <stp/>
        <stp>BDP|2443503645915835699</stp>
        <tr r="Q365" s="2"/>
      </tp>
      <tp t="s">
        <v>#N/A Requesting Data...3784913905</v>
        <stp/>
        <stp>BDP|6472449341766249039</stp>
        <tr r="E1262" s="2"/>
      </tp>
      <tp t="b">
        <v>0</v>
        <stp/>
        <stp>BDS|3866427023637973204</stp>
        <tr r="I1556" s="2"/>
      </tp>
      <tp t="s">
        <v>#N/A Requesting Data...634040760</v>
        <stp/>
        <stp>BDP|6094205390988318533</stp>
        <tr r="D429" s="2"/>
      </tp>
      <tp t="s">
        <v>#N/A Requesting Data...2007116977</v>
        <stp/>
        <stp>BDP|7514603535550803280</stp>
        <tr r="E1404" s="2"/>
      </tp>
      <tp t="s">
        <v>#N/A Requesting Data...3372337864</v>
        <stp/>
        <stp>BDP|8269071966107050934</stp>
        <tr r="C688" s="2"/>
      </tp>
      <tp t="b">
        <v>0</v>
        <stp/>
        <stp>BDS|9042909122861764357</stp>
        <tr r="I1753" s="2"/>
      </tp>
      <tp t="s">
        <v>#N/A Requesting Data...3158984723</v>
        <stp/>
        <stp>BDP|3777582334660800534</stp>
        <tr r="P1843" s="2"/>
      </tp>
      <tp t="s">
        <v>#N/A Requesting Data...678137570</v>
        <stp/>
        <stp>BDP|7148212557295107563</stp>
        <tr r="P2181" s="2"/>
      </tp>
      <tp t="s">
        <v>#N/A Requesting Data...3585455102</v>
        <stp/>
        <stp>BDP|3368555724506003221</stp>
        <tr r="E2160" s="2"/>
      </tp>
      <tp t="s">
        <v>#N/A Requesting Data...1884023558</v>
        <stp/>
        <stp>BDP|3325606451486016626</stp>
        <tr r="D850" s="2"/>
      </tp>
      <tp t="s">
        <v>#N/A Requesting Data...2302433778</v>
        <stp/>
        <stp>BDP|1886503404880950451</stp>
        <tr r="H968" s="2"/>
      </tp>
      <tp t="s">
        <v>#N/A Requesting Data...3051895858</v>
        <stp/>
        <stp>BDP|6178080379988486940</stp>
        <tr r="F1241" s="2"/>
      </tp>
      <tp t="s">
        <v>#N/A Requesting Data...1454282051</v>
        <stp/>
        <stp>BDP|7373222266053741007</stp>
        <tr r="T2297" s="2"/>
      </tp>
      <tp t="s">
        <v>#N/A Requesting Data...1036557420</v>
        <stp/>
        <stp>BDP|1280629323157264210</stp>
        <tr r="D910" s="2"/>
      </tp>
      <tp t="s">
        <v>#N/A Requesting Data...1090904361</v>
        <stp/>
        <stp>BDP|3647471672869235918</stp>
        <tr r="G238" s="2"/>
      </tp>
      <tp t="s">
        <v>#N/A Requesting Data...2995338590</v>
        <stp/>
        <stp>BDP|3350074295049555342</stp>
        <tr r="G2508" s="2"/>
      </tp>
      <tp t="s">
        <v>#N/A Requesting Data...2213752927</v>
        <stp/>
        <stp>BDP|3701511122645759134</stp>
        <tr r="E2003" s="2"/>
      </tp>
      <tp t="s">
        <v>#N/A Requesting Data...1755972736</v>
        <stp/>
        <stp>BDP|6017528437540142051</stp>
        <tr r="C305" s="2"/>
      </tp>
      <tp t="s">
        <v>#N/A Requesting Data...4063711294</v>
        <stp/>
        <stp>BDP|2863423617860412785</stp>
        <tr r="E2281" s="2"/>
      </tp>
      <tp t="b">
        <v>0</v>
        <stp/>
        <stp>BDS|4196236701540347614</stp>
        <tr r="I1976" s="2"/>
      </tp>
      <tp t="s">
        <v>#N/A Requesting Data...2232256279</v>
        <stp/>
        <stp>BDP|7389557076865385026</stp>
        <tr r="S1715" s="2"/>
      </tp>
      <tp t="b">
        <v>0</v>
        <stp/>
        <stp>BDS|7593413619935580790</stp>
        <tr r="I1166" s="2"/>
      </tp>
      <tp t="s">
        <v>#N/A Requesting Data...1413936167</v>
        <stp/>
        <stp>BDP|8336916527996127556</stp>
        <tr r="M240" s="2"/>
      </tp>
      <tp t="s">
        <v>#N/A Requesting Data...3940392007</v>
        <stp/>
        <stp>BDP|8208994150321295586</stp>
        <tr r="J2368" s="2"/>
      </tp>
      <tp t="s">
        <v>#N/A Requesting Data...1720488092</v>
        <stp/>
        <stp>BDP|5008349350775467610</stp>
        <tr r="H1963" s="2"/>
      </tp>
      <tp t="s">
        <v>#N/A Requesting Data...1522229296</v>
        <stp/>
        <stp>BDP|6355719351155255103</stp>
        <tr r="G210" s="2"/>
      </tp>
      <tp t="s">
        <v>#N/A Requesting Data...3099337868</v>
        <stp/>
        <stp>BDP|3709114301630718218</stp>
        <tr r="M784" s="2"/>
      </tp>
      <tp t="s">
        <v>#N/A Requesting Data...3837486369</v>
        <stp/>
        <stp>BDP|2582657006510370446</stp>
        <tr r="Q148" s="2"/>
      </tp>
      <tp t="s">
        <v>#N/A Requesting Data...3251390336</v>
        <stp/>
        <stp>BDP|6070867117319703678</stp>
        <tr r="F847" s="2"/>
      </tp>
      <tp t="s">
        <v>#N/A Requesting Data...884462226</v>
        <stp/>
        <stp>BDP|6546581146686881120</stp>
        <tr r="H1173" s="2"/>
      </tp>
      <tp t="s">
        <v>#N/A Requesting Data...402927597</v>
        <stp/>
        <stp>BDP|9538525002125294965</stp>
        <tr r="H14" s="2"/>
      </tp>
      <tp t="s">
        <v>#N/A Requesting Data...3694182866</v>
        <stp/>
        <stp>BDP|6313408771281693459</stp>
        <tr r="O784" s="2"/>
      </tp>
      <tp t="s">
        <v>#N/A Requesting Data...3204544982</v>
        <stp/>
        <stp>BDP|8050558995494948086</stp>
        <tr r="C1904" s="2"/>
      </tp>
      <tp t="s">
        <v>#N/A Requesting Data...2219752543</v>
        <stp/>
        <stp>BDP|3911439275186762694</stp>
        <tr r="T2239" s="2"/>
      </tp>
      <tp t="s">
        <v>#N/A Requesting Data...765094037</v>
        <stp/>
        <stp>BDP|7205779369194445297</stp>
        <tr r="O1762" s="2"/>
      </tp>
      <tp t="s">
        <v>#N/A Requesting Data...983940683</v>
        <stp/>
        <stp>BDP|2222768307686545372</stp>
        <tr r="H801" s="2"/>
      </tp>
      <tp t="b">
        <v>0</v>
        <stp/>
        <stp>BDS|1224859999363863377</stp>
        <tr r="I452" s="2"/>
      </tp>
      <tp t="s">
        <v>#N/A Requesting Data...2615519991</v>
        <stp/>
        <stp>BDP|6837224109595386110</stp>
        <tr r="J817" s="2"/>
      </tp>
      <tp t="s">
        <v>#N/A Requesting Data...3243191346</v>
        <stp/>
        <stp>BDP|3188027527559072857</stp>
        <tr r="J659" s="2"/>
      </tp>
      <tp t="s">
        <v>#N/A Requesting Data...2559070600</v>
        <stp/>
        <stp>BDP|3121683707392778788</stp>
        <tr r="E877" s="2"/>
      </tp>
      <tp t="s">
        <v>#N/A Requesting Data...2687333623</v>
        <stp/>
        <stp>BDP|1425958485701361166</stp>
        <tr r="H1445" s="2"/>
      </tp>
      <tp t="s">
        <v>#N/A Requesting Data...2003665247</v>
        <stp/>
        <stp>BDP|7741311935783081427</stp>
        <tr r="Q162" s="2"/>
      </tp>
      <tp t="s">
        <v>#N/A Requesting Data...1190894044</v>
        <stp/>
        <stp>BDP|9136437994292127669</stp>
        <tr r="D1602" s="2"/>
      </tp>
      <tp t="s">
        <v>#N/A Requesting Data...952668122</v>
        <stp/>
        <stp>BDP|1245253975374198020</stp>
        <tr r="H283" s="2"/>
      </tp>
      <tp t="s">
        <v>#N/A Requesting Data...1829255720</v>
        <stp/>
        <stp>BDP|2687701574771226311</stp>
        <tr r="R40" s="2"/>
      </tp>
      <tp t="s">
        <v>#N/A Requesting Data...2347426265</v>
        <stp/>
        <stp>BDP|7702408312400582219</stp>
        <tr r="T454" s="2"/>
      </tp>
      <tp t="s">
        <v>#N/A Requesting Data...3670745702</v>
        <stp/>
        <stp>BDP|7137009731087775360</stp>
        <tr r="R54" s="2"/>
      </tp>
      <tp t="s">
        <v>#N/A Requesting Data...2692981098</v>
        <stp/>
        <stp>BDP|2225019212215959691</stp>
        <tr r="P2313" s="2"/>
      </tp>
      <tp t="s">
        <v>#N/A Requesting Data...2573733329</v>
        <stp/>
        <stp>BDP|2839724274834857677</stp>
        <tr r="J579" s="2"/>
      </tp>
      <tp t="s">
        <v>#N/A Requesting Data...1116830994</v>
        <stp/>
        <stp>BDP|6829847929494740838</stp>
        <tr r="N125" s="2"/>
      </tp>
      <tp t="b">
        <v>0</v>
        <stp/>
        <stp>BDS|7193491638509070915</stp>
        <tr r="I958" s="2"/>
      </tp>
      <tp t="s">
        <v>#N/A Requesting Data...2935582059</v>
        <stp/>
        <stp>BDP|7745877494347688134</stp>
        <tr r="D400" s="2"/>
      </tp>
      <tp t="s">
        <v>#N/A Requesting Data...2943212227</v>
        <stp/>
        <stp>BDP|8940389002563479863</stp>
        <tr r="O935" s="2"/>
      </tp>
      <tp t="s">
        <v>#N/A Requesting Data...2748144635</v>
        <stp/>
        <stp>BDP|8740659998543914425</stp>
        <tr r="F78" s="2"/>
      </tp>
      <tp t="s">
        <v>#N/A Requesting Data...1108514647</v>
        <stp/>
        <stp>BDP|2679448060498341800</stp>
        <tr r="K2317" s="2"/>
      </tp>
      <tp t="s">
        <v>#N/A Requesting Data...3111227974</v>
        <stp/>
        <stp>BDP|9698146662767679970</stp>
        <tr r="S2268" s="2"/>
      </tp>
      <tp t="s">
        <v>#N/A Requesting Data...3173154516</v>
        <stp/>
        <stp>BDP|9009824933980560254</stp>
        <tr r="E2218" s="2"/>
      </tp>
      <tp t="s">
        <v>#N/A Requesting Data...585945332</v>
        <stp/>
        <stp>BDP|2443246130210899396</stp>
        <tr r="J2113" s="2"/>
      </tp>
      <tp t="s">
        <v>#N/A Requesting Data...3671152870</v>
        <stp/>
        <stp>BDP|4344348336206423242</stp>
        <tr r="K1554" s="2"/>
      </tp>
      <tp t="s">
        <v>#N/A Requesting Data...4087356939</v>
        <stp/>
        <stp>BDP|5477820603958731533</stp>
        <tr r="R2461" s="2"/>
      </tp>
      <tp t="s">
        <v>#N/A Requesting Data...497276483</v>
        <stp/>
        <stp>BDP|9149092080994820513</stp>
        <tr r="R796" s="2"/>
      </tp>
      <tp t="s">
        <v>#N/A Requesting Data...3724325227</v>
        <stp/>
        <stp>BDP|4219323171532616268</stp>
        <tr r="S1639" s="2"/>
      </tp>
      <tp t="b">
        <v>0</v>
        <stp/>
        <stp>BDS|5299521660377607176</stp>
        <tr r="I376" s="2"/>
      </tp>
      <tp t="b">
        <v>0</v>
        <stp/>
        <stp>BDS|8571118883759614804</stp>
        <tr r="I2342" s="2"/>
      </tp>
      <tp t="s">
        <v>#N/A Requesting Data...2886261933</v>
        <stp/>
        <stp>BDP|1028719782009455760</stp>
        <tr r="S703" s="2"/>
      </tp>
      <tp t="s">
        <v>#N/A Requesting Data...2646660138</v>
        <stp/>
        <stp>BDP|6192750817498558876</stp>
        <tr r="C648" s="2"/>
      </tp>
      <tp t="s">
        <v>#N/A Requesting Data...793685022</v>
        <stp/>
        <stp>BDP|6505429046887369136</stp>
        <tr r="N1118" s="2"/>
      </tp>
      <tp t="s">
        <v>#N/A Requesting Data...555001881</v>
        <stp/>
        <stp>BDP|7954343193724911961</stp>
        <tr r="S837" s="2"/>
      </tp>
      <tp t="s">
        <v>#N/A Requesting Data...3487515090</v>
        <stp/>
        <stp>BDP|3891059757716860030</stp>
        <tr r="O1396" s="2"/>
      </tp>
      <tp t="s">
        <v>#N/A Requesting Data...2967170176</v>
        <stp/>
        <stp>BDP|6408173012094206222</stp>
        <tr r="T457" s="2"/>
      </tp>
      <tp t="s">
        <v>#N/A Requesting Data...4200570986</v>
        <stp/>
        <stp>BDP|6940125966706909757</stp>
        <tr r="O1861" s="2"/>
      </tp>
      <tp t="s">
        <v>#N/A Requesting Data...1051624391</v>
        <stp/>
        <stp>BDP|5739357394399172661</stp>
        <tr r="J2280" s="2"/>
      </tp>
      <tp t="s">
        <v>#N/A Requesting Data...2909056402</v>
        <stp/>
        <stp>BDP|1247809953914642861</stp>
        <tr r="A474" s="2"/>
      </tp>
      <tp t="s">
        <v>#N/A Requesting Data...3837089246</v>
        <stp/>
        <stp>BDP|7430666740500418570</stp>
        <tr r="N438" s="2"/>
      </tp>
      <tp t="s">
        <v>#N/A Requesting Data...1727829207</v>
        <stp/>
        <stp>BDP|1065316628082013280</stp>
        <tr r="M104" s="2"/>
      </tp>
      <tp t="s">
        <v>#N/A Requesting Data...2687879418</v>
        <stp/>
        <stp>BDP|7519072870492502266</stp>
        <tr r="T1834" s="2"/>
      </tp>
      <tp t="s">
        <v>#N/A Requesting Data...1656273458</v>
        <stp/>
        <stp>BDP|4347272181608082648</stp>
        <tr r="S1844" s="2"/>
      </tp>
      <tp t="s">
        <v>#N/A Requesting Data...1572386539</v>
        <stp/>
        <stp>BDP|1297618345370576325</stp>
        <tr r="D1835" s="2"/>
      </tp>
      <tp t="s">
        <v>#N/A Requesting Data...2693217616</v>
        <stp/>
        <stp>BDP|3568096972302951666</stp>
        <tr r="O43" s="2"/>
      </tp>
      <tp t="s">
        <v>#N/A Requesting Data...4277495519</v>
        <stp/>
        <stp>BDP|3585258624385021651</stp>
        <tr r="E2422" s="2"/>
      </tp>
      <tp t="s">
        <v>#N/A Requesting Data...4017577884</v>
        <stp/>
        <stp>BDP|2679522490117438914</stp>
        <tr r="N1397" s="2"/>
      </tp>
      <tp t="s">
        <v>#N/A Requesting Data...3924373953</v>
        <stp/>
        <stp>BDP|4397739822490301107</stp>
        <tr r="Q1101" s="2"/>
      </tp>
      <tp t="s">
        <v>#N/A Requesting Data...2558525785</v>
        <stp/>
        <stp>BDP|1580164722960953293</stp>
        <tr r="G619" s="2"/>
      </tp>
      <tp t="s">
        <v>#N/A Requesting Data...3109882351</v>
        <stp/>
        <stp>BDP|3513321856746325336</stp>
        <tr r="F1793" s="2"/>
      </tp>
      <tp t="s">
        <v>#N/A Requesting Data...2786502469</v>
        <stp/>
        <stp>BDP|6227391709024748144</stp>
        <tr r="O1905" s="2"/>
      </tp>
      <tp t="b">
        <v>0</v>
        <stp/>
        <stp>BDS|6100504462497087228</stp>
        <tr r="I1229" s="2"/>
      </tp>
      <tp t="s">
        <v>#N/A Requesting Data...792909118</v>
        <stp/>
        <stp>BDP|6640863897147408024</stp>
        <tr r="F1657" s="2"/>
      </tp>
      <tp t="s">
        <v>#N/A Requesting Data...1568711781</v>
        <stp/>
        <stp>BDP|5033620713925200728</stp>
        <tr r="H1864" s="2"/>
      </tp>
      <tp t="s">
        <v>#N/A Requesting Data...4020063949</v>
        <stp/>
        <stp>BDP|9236604182145442250</stp>
        <tr r="F2076" s="2"/>
      </tp>
      <tp t="s">
        <v>#N/A Requesting Data...3453734988</v>
        <stp/>
        <stp>BDP|4234222641312357032</stp>
        <tr r="A416" s="2"/>
      </tp>
      <tp t="b">
        <v>0</v>
        <stp/>
        <stp>BDS|2777409826833358735</stp>
        <tr r="I2049" s="2"/>
      </tp>
      <tp t="s">
        <v>#N/A Requesting Data...1889408205</v>
        <stp/>
        <stp>BDP|6674543156176087058</stp>
        <tr r="J1111" s="2"/>
      </tp>
      <tp t="s">
        <v>#N/A Requesting Data...3791662040</v>
        <stp/>
        <stp>BDP|8257487937799952655</stp>
        <tr r="T1515" s="2"/>
      </tp>
      <tp t="b">
        <v>0</v>
        <stp/>
        <stp>BDS|8253925036706596428</stp>
        <tr r="I2273" s="2"/>
      </tp>
      <tp t="s">
        <v>#N/A Requesting Data...4122604819</v>
        <stp/>
        <stp>BDP|7770517634234317506</stp>
        <tr r="K944" s="2"/>
      </tp>
      <tp t="s">
        <v>#N/A Requesting Data...3029267604</v>
        <stp/>
        <stp>BDP|9417076186777608625</stp>
        <tr r="T1932" s="2"/>
      </tp>
      <tp t="s">
        <v>#N/A Requesting Data...3946045054</v>
        <stp/>
        <stp>BDP|1954164908051553131</stp>
        <tr r="M1997" s="2"/>
      </tp>
      <tp t="s">
        <v>#N/A Requesting Data...2884913244</v>
        <stp/>
        <stp>BDP|3604715140720063060</stp>
        <tr r="J1614" s="2"/>
      </tp>
      <tp t="s">
        <v>#N/A Requesting Data...1051883556</v>
        <stp/>
        <stp>BDP|4701674944517709125</stp>
        <tr r="F2174" s="2"/>
      </tp>
      <tp t="s">
        <v>#N/A Requesting Data...2103234491</v>
        <stp/>
        <stp>BDP|4001516057943184763</stp>
        <tr r="F2443" s="2"/>
      </tp>
      <tp t="s">
        <v>#N/A Requesting Data...1208967604</v>
        <stp/>
        <stp>BDP|5263216311020770643</stp>
        <tr r="A1416" s="2"/>
      </tp>
      <tp t="s">
        <v>#N/A Requesting Data...2690699031</v>
        <stp/>
        <stp>BDP|8347209923101303928</stp>
        <tr r="D2496" s="2"/>
      </tp>
      <tp t="s">
        <v>#N/A Requesting Data...1824044005</v>
        <stp/>
        <stp>BDP|2535492218990196745</stp>
        <tr r="K302" s="2"/>
      </tp>
      <tp t="s">
        <v>#N/A Requesting Data...3016760876</v>
        <stp/>
        <stp>BDP|2914484177442214357</stp>
        <tr r="O1860" s="2"/>
      </tp>
      <tp t="s">
        <v>#N/A Requesting Data...1910583066</v>
        <stp/>
        <stp>BDP|1231160768391808757</stp>
        <tr r="E765" s="2"/>
      </tp>
      <tp t="s">
        <v>#N/A Requesting Data...3283435647</v>
        <stp/>
        <stp>BDP|5785735535322400349</stp>
        <tr r="G999" s="2"/>
      </tp>
      <tp t="s">
        <v>#N/A Requesting Data...3073854245</v>
        <stp/>
        <stp>BDP|5712126551835507408</stp>
        <tr r="J214" s="2"/>
      </tp>
      <tp t="s">
        <v>#N/A Requesting Data...4019316771</v>
        <stp/>
        <stp>BDP|9311908943402834699</stp>
        <tr r="O405" s="2"/>
      </tp>
      <tp t="s">
        <v>#N/A Requesting Data...2777364612</v>
        <stp/>
        <stp>BDP|5970894761782322931</stp>
        <tr r="T2395" s="2"/>
      </tp>
      <tp t="s">
        <v>#N/A Requesting Data...2207253701</v>
        <stp/>
        <stp>BDP|2203637822060362616</stp>
        <tr r="G1613" s="2"/>
      </tp>
      <tp t="s">
        <v>#N/A Requesting Data...1430102904</v>
        <stp/>
        <stp>BDP|1733963552289527477</stp>
        <tr r="C1790" s="2"/>
      </tp>
      <tp t="b">
        <v>0</v>
        <stp/>
        <stp>BDS|4303422286389550130</stp>
        <tr r="I716" s="2"/>
      </tp>
      <tp t="s">
        <v>#N/A Requesting Data...1859006118</v>
        <stp/>
        <stp>BDP|9453130912991098842</stp>
        <tr r="C907" s="2"/>
      </tp>
      <tp t="s">
        <v>#N/A Requesting Data...1471788149</v>
        <stp/>
        <stp>BDP|7378055392199626737</stp>
        <tr r="S2204" s="2"/>
      </tp>
      <tp t="s">
        <v>#N/A Requesting Data...2298910164</v>
        <stp/>
        <stp>BDP|5255774035635853494</stp>
        <tr r="F1946" s="2"/>
      </tp>
      <tp t="s">
        <v>#N/A Requesting Data...2867988193</v>
        <stp/>
        <stp>BDP|5057327197089429606</stp>
        <tr r="G840" s="2"/>
      </tp>
      <tp t="s">
        <v>#N/A Requesting Data...1194196300</v>
        <stp/>
        <stp>BDP|7064062765473145232</stp>
        <tr r="J2189" s="2"/>
      </tp>
      <tp t="s">
        <v>#N/A Requesting Data...3249238572</v>
        <stp/>
        <stp>BDP|2944984814713734932</stp>
        <tr r="F728" s="2"/>
      </tp>
      <tp t="s">
        <v>#N/A Requesting Data...1897577769</v>
        <stp/>
        <stp>BDP|5699577728927016580</stp>
        <tr r="C1883" s="2"/>
      </tp>
      <tp t="s">
        <v>#N/A Requesting Data...1030184313</v>
        <stp/>
        <stp>BDP|3133070026858330951</stp>
        <tr r="E2120" s="2"/>
      </tp>
      <tp t="s">
        <v>#N/A Requesting Data...1508247535</v>
        <stp/>
        <stp>BDP|9014929833953319049</stp>
        <tr r="Q2207" s="2"/>
      </tp>
      <tp t="s">
        <v>#N/A Requesting Data...3406984790</v>
        <stp/>
        <stp>BDP|4806251633854127192</stp>
        <tr r="M1932" s="2"/>
      </tp>
      <tp t="s">
        <v>#N/A Requesting Data...4265198707</v>
        <stp/>
        <stp>BDP|2983067194429503282</stp>
        <tr r="E4" s="2"/>
      </tp>
      <tp t="s">
        <v>#N/A Requesting Data...2396532525</v>
        <stp/>
        <stp>BDP|8651423087016763229</stp>
        <tr r="J483" s="2"/>
      </tp>
      <tp t="s">
        <v>#N/A Requesting Data...4113482019</v>
        <stp/>
        <stp>BDP|1120697748437288440</stp>
        <tr r="A1988" s="2"/>
      </tp>
      <tp t="s">
        <v>#N/A Requesting Data...1720966775</v>
        <stp/>
        <stp>BDP|4224656973263587677</stp>
        <tr r="S500" s="2"/>
      </tp>
      <tp t="s">
        <v>#N/A Requesting Data...3905924151</v>
        <stp/>
        <stp>BDP|5779802484174344169</stp>
        <tr r="O1000" s="2"/>
      </tp>
      <tp t="s">
        <v>#N/A Requesting Data...1577471882</v>
        <stp/>
        <stp>BDP|6409015800201388706</stp>
        <tr r="S392" s="2"/>
      </tp>
      <tp t="b">
        <v>0</v>
        <stp/>
        <stp>BDS|6371057577728382944</stp>
        <tr r="I1592" s="2"/>
      </tp>
      <tp t="s">
        <v>#N/A Requesting Data...1053853737</v>
        <stp/>
        <stp>BDP|9255546066969134371</stp>
        <tr r="Q2368" s="2"/>
      </tp>
      <tp t="b">
        <v>0</v>
        <stp/>
        <stp>BDS|8167362834588437019</stp>
        <tr r="I1090" s="2"/>
      </tp>
      <tp t="b">
        <v>0</v>
        <stp/>
        <stp>BDS|3626118450523152401</stp>
        <tr r="I2006" s="2"/>
      </tp>
      <tp t="s">
        <v>#N/A Requesting Data...1607009162</v>
        <stp/>
        <stp>BDP|3373815584321797270</stp>
        <tr r="M2493" s="2"/>
      </tp>
      <tp t="s">
        <v>#N/A Requesting Data...2049434539</v>
        <stp/>
        <stp>BDP|4170180805454292182</stp>
        <tr r="E2300" s="2"/>
      </tp>
      <tp t="s">
        <v>#N/A Requesting Data...1586553187</v>
        <stp/>
        <stp>BDP|4507090321466248098</stp>
        <tr r="F2437" s="2"/>
      </tp>
      <tp t="s">
        <v>#N/A Requesting Data...2899506975</v>
        <stp/>
        <stp>BDP|7332671316204685423</stp>
        <tr r="K210" s="2"/>
      </tp>
      <tp t="s">
        <v>#N/A Requesting Data...4148394052</v>
        <stp/>
        <stp>BDP|7634273066167382422</stp>
        <tr r="K324" s="2"/>
      </tp>
      <tp t="b">
        <v>0</v>
        <stp/>
        <stp>BDS|7245974544253325948</stp>
        <tr r="I286" s="2"/>
      </tp>
      <tp t="s">
        <v>#N/A Requesting Data...2895873250</v>
        <stp/>
        <stp>BDP|2730409761054423443</stp>
        <tr r="E451" s="2"/>
      </tp>
      <tp t="s">
        <v>#N/A Requesting Data...3096902381</v>
        <stp/>
        <stp>BDP|7560628450730146406</stp>
        <tr r="O105" s="2"/>
      </tp>
      <tp t="s">
        <v>#N/A Requesting Data...2207345494</v>
        <stp/>
        <stp>BDP|9320908246260716442</stp>
        <tr r="K439" s="2"/>
      </tp>
      <tp t="b">
        <v>0</v>
        <stp/>
        <stp>BDS|7240523516700986390</stp>
        <tr r="I2171" s="2"/>
      </tp>
      <tp t="s">
        <v>#N/A Requesting Data...2388867811</v>
        <stp/>
        <stp>BDP|1776338908410900230</stp>
        <tr r="P2124" s="2"/>
      </tp>
      <tp t="s">
        <v>#N/A Requesting Data...1262487754</v>
        <stp/>
        <stp>BDP|9192867264785747226</stp>
        <tr r="G182" s="2"/>
      </tp>
      <tp t="s">
        <v>#N/A Requesting Data...843267123</v>
        <stp/>
        <stp>BDP|3026282628824336751</stp>
        <tr r="F333" s="2"/>
      </tp>
      <tp t="s">
        <v>#N/A Requesting Data...1776335753</v>
        <stp/>
        <stp>BDP|2040814209512665889</stp>
        <tr r="F1805" s="2"/>
      </tp>
      <tp t="b">
        <v>0</v>
        <stp/>
        <stp>BDS|1015768738204143196</stp>
        <tr r="I2360" s="2"/>
      </tp>
      <tp t="s">
        <v>#N/A Requesting Data...1364440342</v>
        <stp/>
        <stp>BDP|9305852837951004371</stp>
        <tr r="K727" s="2"/>
      </tp>
      <tp t="s">
        <v>#N/A Requesting Data...4238467744</v>
        <stp/>
        <stp>BDP|4712844713595034869</stp>
        <tr r="C1510" s="2"/>
      </tp>
      <tp t="s">
        <v>#N/A Requesting Data...3473675381</v>
        <stp/>
        <stp>BDP|9915099570299544733</stp>
        <tr r="H2116" s="2"/>
      </tp>
      <tp t="s">
        <v>#N/A Requesting Data...2220813577</v>
        <stp/>
        <stp>BDP|6679911630748344428</stp>
        <tr r="F507" s="2"/>
      </tp>
      <tp t="s">
        <v>#N/A Requesting Data...2828147331</v>
        <stp/>
        <stp>BDP|9621915902108391802</stp>
        <tr r="T420" s="2"/>
      </tp>
      <tp t="s">
        <v>#N/A Requesting Data...4183556241</v>
        <stp/>
        <stp>BDP|6915423238959738825</stp>
        <tr r="S2075" s="2"/>
      </tp>
      <tp t="b">
        <v>0</v>
        <stp/>
        <stp>BDS|8680734295941636709</stp>
        <tr r="I2033" s="2"/>
      </tp>
      <tp t="s">
        <v>#N/A Requesting Data...1259001089</v>
        <stp/>
        <stp>BDP|7060458230699214915</stp>
        <tr r="M2273" s="2"/>
      </tp>
      <tp t="s">
        <v>#N/A Requesting Data...2266246371</v>
        <stp/>
        <stp>BDP|2553251614054130538</stp>
        <tr r="O1096" s="2"/>
      </tp>
      <tp t="s">
        <v>#N/A Requesting Data...2763398746</v>
        <stp/>
        <stp>BDP|9490699109398380714</stp>
        <tr r="D2369" s="2"/>
      </tp>
      <tp t="s">
        <v>#N/A Requesting Data...988964085</v>
        <stp/>
        <stp>BDP|2700877995905133622</stp>
        <tr r="J1691" s="2"/>
      </tp>
      <tp t="s">
        <v>#N/A Requesting Data...4100456807</v>
        <stp/>
        <stp>BDP|6645249852205067466</stp>
        <tr r="N1337" s="2"/>
      </tp>
      <tp t="s">
        <v>#N/A Requesting Data...2627033078</v>
        <stp/>
        <stp>BDP|3502111245583683513</stp>
        <tr r="A324" s="2"/>
      </tp>
      <tp t="s">
        <v>#N/A Requesting Data...3677601708</v>
        <stp/>
        <stp>BDP|4240608606333531172</stp>
        <tr r="J1672" s="2"/>
      </tp>
      <tp t="s">
        <v>#N/A Requesting Data...4157661222</v>
        <stp/>
        <stp>BDP|3116939128440516893</stp>
        <tr r="T938" s="2"/>
      </tp>
      <tp t="s">
        <v>#N/A Requesting Data...3110568068</v>
        <stp/>
        <stp>BDP|1070101526867692569</stp>
        <tr r="Q1547" s="2"/>
      </tp>
      <tp t="s">
        <v>#N/A Requesting Data...1021005461</v>
        <stp/>
        <stp>BDP|6081331503820387557</stp>
        <tr r="E1099" s="2"/>
      </tp>
      <tp t="s">
        <v>#N/A Requesting Data...3052285831</v>
        <stp/>
        <stp>BDP|3036721695168994584</stp>
        <tr r="E1830" s="2"/>
      </tp>
      <tp t="s">
        <v>#N/A Requesting Data...3316889945</v>
        <stp/>
        <stp>BDP|6888612978981287655</stp>
        <tr r="A1428" s="2"/>
      </tp>
      <tp t="s">
        <v>#N/A Requesting Data...1728456680</v>
        <stp/>
        <stp>BDP|9519128716988601111</stp>
        <tr r="O794" s="2"/>
      </tp>
      <tp t="s">
        <v>#N/A Requesting Data...1254615247</v>
        <stp/>
        <stp>BDP|4142814086956717279</stp>
        <tr r="E1312" s="2"/>
      </tp>
      <tp t="s">
        <v>#N/A Requesting Data...3079586359</v>
        <stp/>
        <stp>BDP|3568292429252227115</stp>
        <tr r="J860" s="2"/>
      </tp>
      <tp t="s">
        <v>#N/A Requesting Data...1949865179</v>
        <stp/>
        <stp>BDP|5036399016503078499</stp>
        <tr r="N164" s="2"/>
      </tp>
      <tp t="s">
        <v>#N/A Requesting Data...4175617807</v>
        <stp/>
        <stp>BDP|8751905240106606371</stp>
        <tr r="P1799" s="2"/>
      </tp>
      <tp t="s">
        <v>#N/A Requesting Data...3601344575</v>
        <stp/>
        <stp>BDP|9430414683145464040</stp>
        <tr r="S1921" s="2"/>
      </tp>
      <tp t="s">
        <v>#N/A Requesting Data...3450613724</v>
        <stp/>
        <stp>BDP|9637862756016770276</stp>
        <tr r="P797" s="2"/>
      </tp>
      <tp t="s">
        <v>#N/A Requesting Data...895140095</v>
        <stp/>
        <stp>BDP|4782251932354222148</stp>
        <tr r="H380" s="2"/>
      </tp>
      <tp t="s">
        <v>#N/A Requesting Data...1118669698</v>
        <stp/>
        <stp>BDP|2559871962779549537</stp>
        <tr r="O889" s="2"/>
      </tp>
      <tp t="s">
        <v>#N/A Requesting Data...1284973639</v>
        <stp/>
        <stp>BDP|1765526105624172072</stp>
        <tr r="M2111" s="2"/>
      </tp>
      <tp t="s">
        <v>#N/A Requesting Data...2756963931</v>
        <stp/>
        <stp>BDP|3806272674522526486</stp>
        <tr r="H1444" s="2"/>
      </tp>
      <tp t="s">
        <v>#N/A Requesting Data...4094373796</v>
        <stp/>
        <stp>BDP|8279190724282132985</stp>
        <tr r="G1113" s="2"/>
      </tp>
      <tp t="s">
        <v>#N/A Requesting Data...3173915531</v>
        <stp/>
        <stp>BDP|3996792816683793677</stp>
        <tr r="R810" s="2"/>
      </tp>
      <tp t="s">
        <v>#N/A Requesting Data...2602991081</v>
        <stp/>
        <stp>BDP|6270632823193264161</stp>
        <tr r="C2223" s="2"/>
      </tp>
      <tp t="s">
        <v>#N/A Requesting Data...1365847837</v>
        <stp/>
        <stp>BDP|6735357657578765844</stp>
        <tr r="F42" s="2"/>
      </tp>
      <tp t="s">
        <v>#N/A Requesting Data...3456839880</v>
        <stp/>
        <stp>BDP|6253783724957082484</stp>
        <tr r="G663" s="2"/>
      </tp>
      <tp t="s">
        <v>#N/A Requesting Data...1111977816</v>
        <stp/>
        <stp>BDP|9404565744161506957</stp>
        <tr r="P2363" s="2"/>
      </tp>
      <tp t="s">
        <v>#N/A Requesting Data...1985689276</v>
        <stp/>
        <stp>BDP|3122341215953188271</stp>
        <tr r="F1844" s="2"/>
      </tp>
      <tp t="s">
        <v>#N/A Requesting Data...3518480653</v>
        <stp/>
        <stp>BDP|4549534731307901580</stp>
        <tr r="T531" s="2"/>
      </tp>
      <tp t="s">
        <v>#N/A Requesting Data...4062582209</v>
        <stp/>
        <stp>BDP|4150193352737528790</stp>
        <tr r="C2402" s="2"/>
      </tp>
      <tp t="s">
        <v>#N/A Requesting Data...2770736159</v>
        <stp/>
        <stp>BDP|7181688489110453926</stp>
        <tr r="G1596" s="2"/>
      </tp>
      <tp t="s">
        <v>#N/A Requesting Data...1491304596</v>
        <stp/>
        <stp>BDP|4554256199406625997</stp>
        <tr r="F1656" s="2"/>
      </tp>
      <tp t="s">
        <v>#N/A Requesting Data...1908994816</v>
        <stp/>
        <stp>BDP|1350295980262800940</stp>
        <tr r="N1222" s="2"/>
      </tp>
      <tp t="s">
        <v>#N/A Requesting Data...3036245697</v>
        <stp/>
        <stp>BDP|2224063303306158405</stp>
        <tr r="C1337" s="2"/>
      </tp>
      <tp t="s">
        <v>#N/A Requesting Data...1618753988</v>
        <stp/>
        <stp>BDP|5938942688286654253</stp>
        <tr r="Q1114" s="2"/>
      </tp>
      <tp t="s">
        <v>#N/A Requesting Data...2555720668</v>
        <stp/>
        <stp>BDP|5278368366115087543</stp>
        <tr r="S1306" s="2"/>
      </tp>
      <tp t="s">
        <v>#N/A Requesting Data...3437793757</v>
        <stp/>
        <stp>BDP|2432474216302308501</stp>
        <tr r="K1119" s="2"/>
      </tp>
      <tp t="b">
        <v>0</v>
        <stp/>
        <stp>BDS|4093766365853231673</stp>
        <tr r="I1047" s="2"/>
      </tp>
      <tp t="s">
        <v>#N/A Requesting Data...3878409391</v>
        <stp/>
        <stp>BDP|4192248075220735114</stp>
        <tr r="A783" s="2"/>
      </tp>
      <tp t="s">
        <v>#N/A Requesting Data...937511397</v>
        <stp/>
        <stp>BDP|6492621927081245358</stp>
        <tr r="K563" s="2"/>
      </tp>
      <tp t="s">
        <v>#N/A Requesting Data...4018116591</v>
        <stp/>
        <stp>BDP|6752504576434064077</stp>
        <tr r="D35" s="2"/>
      </tp>
      <tp t="s">
        <v>#N/A Requesting Data...2746086118</v>
        <stp/>
        <stp>BDP|1623311801036062401</stp>
        <tr r="G636" s="2"/>
      </tp>
      <tp t="s">
        <v>#N/A Requesting Data...2809591064</v>
        <stp/>
        <stp>BDP|9203882202579963876</stp>
        <tr r="O1597" s="2"/>
      </tp>
      <tp t="s">
        <v>#N/A Requesting Data...2470040780</v>
        <stp/>
        <stp>BDP|9827943348651224503</stp>
        <tr r="J1371" s="2"/>
      </tp>
      <tp t="s">
        <v>#N/A Requesting Data...2727283018</v>
        <stp/>
        <stp>BDP|1971981195561679042</stp>
        <tr r="F1907" s="2"/>
      </tp>
      <tp t="s">
        <v>#N/A Requesting Data...2195443346</v>
        <stp/>
        <stp>BDP|3877524538794444106</stp>
        <tr r="H1379" s="2"/>
      </tp>
      <tp t="s">
        <v>#N/A Requesting Data...1245736060</v>
        <stp/>
        <stp>BDP|5460240157787940583</stp>
        <tr r="N1657" s="2"/>
      </tp>
      <tp t="b">
        <v>0</v>
        <stp/>
        <stp>BDS|8792055568777904941</stp>
        <tr r="I2228" s="2"/>
      </tp>
      <tp t="s">
        <v>#N/A Requesting Data...3387347281</v>
        <stp/>
        <stp>BDP|3353078561522623743</stp>
        <tr r="O1002" s="2"/>
      </tp>
      <tp t="s">
        <v>#N/A Requesting Data...2778913430</v>
        <stp/>
        <stp>BDP|1844243468907200217</stp>
        <tr r="N686" s="2"/>
      </tp>
      <tp t="s">
        <v>#N/A Requesting Data...2302884344</v>
        <stp/>
        <stp>BDP|6145459247602379475</stp>
        <tr r="Q2036" s="2"/>
      </tp>
      <tp t="s">
        <v>#N/A Requesting Data...1871753088</v>
        <stp/>
        <stp>BDP|3019479122707717257</stp>
        <tr r="N1400" s="2"/>
      </tp>
      <tp t="s">
        <v>#N/A Requesting Data...3467150912</v>
        <stp/>
        <stp>BDP|2262217576872186539</stp>
        <tr r="M1788" s="2"/>
      </tp>
      <tp t="s">
        <v>#N/A Requesting Data...4084691104</v>
        <stp/>
        <stp>BDP|6765518787409552237</stp>
        <tr r="D305" s="2"/>
      </tp>
      <tp t="s">
        <v>#N/A Requesting Data...3044256483</v>
        <stp/>
        <stp>BDP|4105142753558184807</stp>
        <tr r="R305" s="2"/>
      </tp>
      <tp t="s">
        <v>#N/A Requesting Data...2581862671</v>
        <stp/>
        <stp>BDP|9799972922387655535</stp>
        <tr r="R1843" s="2"/>
      </tp>
      <tp t="s">
        <v>#N/A Requesting Data...3791707332</v>
        <stp/>
        <stp>BDP|1662392657486804178</stp>
        <tr r="S398" s="2"/>
      </tp>
      <tp t="s">
        <v>#N/A Requesting Data...2563727965</v>
        <stp/>
        <stp>BDP|6539187000420213789</stp>
        <tr r="F806" s="2"/>
      </tp>
      <tp t="s">
        <v>#N/A Requesting Data...2787307925</v>
        <stp/>
        <stp>BDP|3860345915903610283</stp>
        <tr r="H496" s="2"/>
      </tp>
      <tp t="s">
        <v>#N/A Requesting Data...2999891717</v>
        <stp/>
        <stp>BDP|1393167127782500001</stp>
        <tr r="E1967" s="2"/>
      </tp>
      <tp t="s">
        <v>#N/A Requesting Data...3724353691</v>
        <stp/>
        <stp>BDP|1868145410848923921</stp>
        <tr r="T1799" s="2"/>
      </tp>
      <tp t="s">
        <v>#N/A Requesting Data...1550285070</v>
        <stp/>
        <stp>BDP|9974345297263597082</stp>
        <tr r="G90" s="2"/>
      </tp>
      <tp t="s">
        <v>#N/A Requesting Data...1063000944</v>
        <stp/>
        <stp>BDP|3184652221621054622</stp>
        <tr r="S2013" s="2"/>
      </tp>
      <tp t="s">
        <v>#N/A Requesting Data...2921497406</v>
        <stp/>
        <stp>BDP|7033172190806543956</stp>
        <tr r="P1770" s="2"/>
      </tp>
      <tp t="s">
        <v>#N/A Requesting Data...1814115343</v>
        <stp/>
        <stp>BDP|2296143733688724855</stp>
        <tr r="P2435" s="2"/>
      </tp>
      <tp t="s">
        <v>#N/A Requesting Data...3321137349</v>
        <stp/>
        <stp>BDP|6777143486989042622</stp>
        <tr r="S287" s="2"/>
      </tp>
      <tp t="s">
        <v>#N/A Requesting Data...3370758097</v>
        <stp/>
        <stp>BDP|2798287214745404482</stp>
        <tr r="C1258" s="2"/>
      </tp>
      <tp t="s">
        <v>#N/A Requesting Data...2724884843</v>
        <stp/>
        <stp>BDP|4674681854991400695</stp>
        <tr r="Q2482" s="2"/>
      </tp>
      <tp t="s">
        <v>#N/A Requesting Data...3106549387</v>
        <stp/>
        <stp>BDP|1285555172326606544</stp>
        <tr r="O569" s="2"/>
      </tp>
      <tp t="s">
        <v>#N/A Requesting Data...3302644949</v>
        <stp/>
        <stp>BDP|8418918610971489162</stp>
        <tr r="A580" s="2"/>
      </tp>
      <tp t="s">
        <v>#N/A Requesting Data...3524750333</v>
        <stp/>
        <stp>BDP|6437517255916277050</stp>
        <tr r="C2495" s="2"/>
      </tp>
      <tp t="s">
        <v>#N/A Requesting Data...3833534805</v>
        <stp/>
        <stp>BDP|3027112950276082160</stp>
        <tr r="N1680" s="2"/>
      </tp>
      <tp t="s">
        <v>#N/A Requesting Data...1234463176</v>
        <stp/>
        <stp>BDP|1214498345345077490</stp>
        <tr r="K1827" s="2"/>
      </tp>
      <tp t="s">
        <v>#N/A Requesting Data...1829744442</v>
        <stp/>
        <stp>BDP|2885394626502306134</stp>
        <tr r="T2109" s="2"/>
      </tp>
      <tp t="s">
        <v>#N/A Requesting Data...4089204098</v>
        <stp/>
        <stp>BDP|6302449366550081469</stp>
        <tr r="R605" s="2"/>
      </tp>
      <tp t="s">
        <v>#N/A Requesting Data...1522267042</v>
        <stp/>
        <stp>BDP|9119300711288691317</stp>
        <tr r="D410" s="2"/>
      </tp>
      <tp t="s">
        <v>#N/A Requesting Data...3515040010</v>
        <stp/>
        <stp>BDP|3403598606624914252</stp>
        <tr r="P1892" s="2"/>
      </tp>
      <tp t="s">
        <v>#N/A Requesting Data...1652898521</v>
        <stp/>
        <stp>BDP|5303705050141189651</stp>
        <tr r="E1144" s="2"/>
      </tp>
      <tp t="s">
        <v>#N/A Requesting Data...1214711785</v>
        <stp/>
        <stp>BDP|8482688476019998044</stp>
        <tr r="P2178" s="2"/>
      </tp>
      <tp t="s">
        <v>#N/A Requesting Data...2968074232</v>
        <stp/>
        <stp>BDP|6938179547434627781</stp>
        <tr r="D310" s="2"/>
      </tp>
      <tp t="s">
        <v>#N/A Requesting Data...3465365471</v>
        <stp/>
        <stp>BDP|8996112453708588499</stp>
        <tr r="R1544" s="2"/>
      </tp>
      <tp t="s">
        <v>#N/A Requesting Data...4165939952</v>
        <stp/>
        <stp>BDP|2705421651076695554</stp>
        <tr r="Q1144" s="2"/>
      </tp>
      <tp t="s">
        <v>#N/A Requesting Data...3500425116</v>
        <stp/>
        <stp>BDP|3017758347100218075</stp>
        <tr r="T1244" s="2"/>
      </tp>
      <tp t="s">
        <v>#N/A Requesting Data...1608874773</v>
        <stp/>
        <stp>BDP|4117118863392479101</stp>
        <tr r="O1508" s="2"/>
      </tp>
      <tp t="s">
        <v>#N/A Requesting Data...2444619825</v>
        <stp/>
        <stp>BDP|6771840090002639528</stp>
        <tr r="R2087" s="2"/>
      </tp>
      <tp t="s">
        <v>#N/A Requesting Data...3153131154</v>
        <stp/>
        <stp>BDP|4718338334182758601</stp>
        <tr r="H649" s="2"/>
      </tp>
      <tp t="s">
        <v>#N/A Requesting Data...3270352030</v>
        <stp/>
        <stp>BDP|9771303666985654904</stp>
        <tr r="J1947" s="2"/>
      </tp>
      <tp t="s">
        <v>#N/A Requesting Data...2128375775</v>
        <stp/>
        <stp>BDP|2280268417122386376</stp>
        <tr r="S1040" s="2"/>
      </tp>
      <tp t="s">
        <v>#N/A Requesting Data...1708598438</v>
        <stp/>
        <stp>BDP|9668737593486189102</stp>
        <tr r="K429" s="2"/>
      </tp>
      <tp t="s">
        <v>#N/A Requesting Data...3503118855</v>
        <stp/>
        <stp>BDP|6340979917498505617</stp>
        <tr r="H515" s="2"/>
      </tp>
      <tp t="s">
        <v>#N/A Requesting Data...1996673422</v>
        <stp/>
        <stp>BDP|3532079771702212662</stp>
        <tr r="R1288" s="2"/>
      </tp>
      <tp t="s">
        <v>#N/A Requesting Data...2069218143</v>
        <stp/>
        <stp>BDP|7398239141305098464</stp>
        <tr r="H1136" s="2"/>
      </tp>
      <tp t="s">
        <v>#N/A Requesting Data...2833793448</v>
        <stp/>
        <stp>BDP|3357808522270467927</stp>
        <tr r="O1582" s="2"/>
      </tp>
      <tp t="s">
        <v>#N/A Requesting Data...2612638997</v>
        <stp/>
        <stp>BDP|8152814436533588042</stp>
        <tr r="O1298" s="2"/>
      </tp>
      <tp t="s">
        <v>#N/A Requesting Data...3057111886</v>
        <stp/>
        <stp>BDP|1383740456480125370</stp>
        <tr r="A2469" s="2"/>
      </tp>
      <tp t="s">
        <v>#N/A Requesting Data...2242018273</v>
        <stp/>
        <stp>BDP|1341452434772105440</stp>
        <tr r="D1468" s="2"/>
      </tp>
      <tp t="s">
        <v>#N/A Requesting Data...3948730738</v>
        <stp/>
        <stp>BDP|2958214505139849925</stp>
        <tr r="P2503" s="2"/>
      </tp>
      <tp t="s">
        <v>#N/A Requesting Data...4163898917</v>
        <stp/>
        <stp>BDP|8914414526037173983</stp>
        <tr r="J1785" s="2"/>
      </tp>
      <tp t="s">
        <v>#N/A Requesting Data...1308770956</v>
        <stp/>
        <stp>BDP|4547078459297979658</stp>
        <tr r="F657" s="2"/>
      </tp>
      <tp t="s">
        <v>#N/A Requesting Data...2747608178</v>
        <stp/>
        <stp>BDP|6940012828532768604</stp>
        <tr r="G2002" s="2"/>
      </tp>
      <tp t="s">
        <v>#N/A Requesting Data...4108184941</v>
        <stp/>
        <stp>BDP|6140010465285224505</stp>
        <tr r="H1536" s="2"/>
      </tp>
      <tp t="s">
        <v>#N/A Requesting Data...2903534474</v>
        <stp/>
        <stp>BDP|5644283973199261980</stp>
        <tr r="D2283" s="2"/>
      </tp>
      <tp t="s">
        <v>#N/A Requesting Data...3108819913</v>
        <stp/>
        <stp>BDP|8160546194105423123</stp>
        <tr r="S1244" s="2"/>
      </tp>
      <tp t="s">
        <v>#N/A Requesting Data...2946675561</v>
        <stp/>
        <stp>BDP|8638879978752987575</stp>
        <tr r="T1681" s="2"/>
      </tp>
      <tp t="s">
        <v>#N/A Requesting Data...1416740534</v>
        <stp/>
        <stp>BDP|1620022630694031635</stp>
        <tr r="Q187" s="2"/>
      </tp>
      <tp t="s">
        <v>#N/A Requesting Data...1551536240</v>
        <stp/>
        <stp>BDP|8400905902954092515</stp>
        <tr r="R2207" s="2"/>
      </tp>
      <tp t="s">
        <v>#N/A Requesting Data...1843161636</v>
        <stp/>
        <stp>BDP|1798178212667403617</stp>
        <tr r="S2235" s="2"/>
      </tp>
      <tp t="s">
        <v>#N/A Requesting Data...2199993545</v>
        <stp/>
        <stp>BDP|7131385438091633605</stp>
        <tr r="K361" s="2"/>
      </tp>
      <tp t="s">
        <v>#N/A Requesting Data...1129252757</v>
        <stp/>
        <stp>BDP|4429109752947030711</stp>
        <tr r="O787" s="2"/>
      </tp>
      <tp t="s">
        <v>#N/A Requesting Data...2480607001</v>
        <stp/>
        <stp>BDP|6614544926521505060</stp>
        <tr r="M1648" s="2"/>
      </tp>
      <tp t="s">
        <v>#N/A Requesting Data...4267121453</v>
        <stp/>
        <stp>BDP|7670567432665668430</stp>
        <tr r="P2324" s="2"/>
      </tp>
      <tp t="b">
        <v>0</v>
        <stp/>
        <stp>BDS|3119721020294014243</stp>
        <tr r="I2168" s="2"/>
      </tp>
      <tp t="s">
        <v>#N/A Requesting Data...1489643400</v>
        <stp/>
        <stp>BDP|3426869335818503050</stp>
        <tr r="K626" s="2"/>
      </tp>
      <tp t="s">
        <v>#N/A Requesting Data...1413224343</v>
        <stp/>
        <stp>BDP|6575074106113525563</stp>
        <tr r="C2180" s="2"/>
      </tp>
      <tp t="s">
        <v>#N/A Requesting Data...3315584267</v>
        <stp/>
        <stp>BDP|4743564726494371730</stp>
        <tr r="P2528" s="2"/>
      </tp>
      <tp t="s">
        <v>#N/A Requesting Data...2539009902</v>
        <stp/>
        <stp>BDP|4587766725532717368</stp>
        <tr r="R24" s="2"/>
      </tp>
      <tp t="s">
        <v>#N/A Requesting Data...2638942672</v>
        <stp/>
        <stp>BDP|4071267477203115271</stp>
        <tr r="J2498" s="2"/>
      </tp>
      <tp t="s">
        <v>#N/A Requesting Data...3033933256</v>
        <stp/>
        <stp>BDP|2354302441305312067</stp>
        <tr r="P2199" s="2"/>
      </tp>
      <tp t="s">
        <v>#N/A Requesting Data...1885921944</v>
        <stp/>
        <stp>BDP|7473075825800119509</stp>
        <tr r="G527" s="2"/>
      </tp>
      <tp t="s">
        <v>#N/A Requesting Data...2057695124</v>
        <stp/>
        <stp>BDP|5007954223099941782</stp>
        <tr r="O2456" s="2"/>
      </tp>
      <tp t="s">
        <v>#N/A Requesting Data...2610742561</v>
        <stp/>
        <stp>BDP|9674999671966859110</stp>
        <tr r="G2006" s="2"/>
      </tp>
      <tp t="s">
        <v>#N/A Requesting Data...2981884341</v>
        <stp/>
        <stp>BDP|8699035280537586773</stp>
        <tr r="F1800" s="2"/>
      </tp>
      <tp t="s">
        <v>#N/A Requesting Data...2705578525</v>
        <stp/>
        <stp>BDP|2008462771171517050</stp>
        <tr r="P2154" s="2"/>
      </tp>
      <tp t="s">
        <v>#N/A Requesting Data...2379386984</v>
        <stp/>
        <stp>BDP|6404353431391516723</stp>
        <tr r="M2421" s="2"/>
      </tp>
      <tp t="s">
        <v>#N/A Requesting Data...1871124079</v>
        <stp/>
        <stp>BDP|8309910416553262311</stp>
        <tr r="S859" s="2"/>
      </tp>
      <tp t="s">
        <v>#N/A Requesting Data...3584523380</v>
        <stp/>
        <stp>BDP|8971981618394844463</stp>
        <tr r="P827" s="2"/>
      </tp>
      <tp t="s">
        <v>#N/A Requesting Data...2662391797</v>
        <stp/>
        <stp>BDP|8615235842296212822</stp>
        <tr r="M722" s="2"/>
      </tp>
      <tp t="s">
        <v>#N/A Requesting Data...3737766500</v>
        <stp/>
        <stp>BDP|3312563832383633667</stp>
        <tr r="A829" s="2"/>
      </tp>
      <tp t="s">
        <v>#N/A Requesting Data...2467739950</v>
        <stp/>
        <stp>BDP|7737247931647059152</stp>
        <tr r="T759" s="2"/>
      </tp>
      <tp t="s">
        <v>#N/A Requesting Data...1459376129</v>
        <stp/>
        <stp>BDP|5271035991644260857</stp>
        <tr r="E2310" s="2"/>
      </tp>
      <tp t="s">
        <v>#N/A Requesting Data...3212076124</v>
        <stp/>
        <stp>BDP|7094463744263159448</stp>
        <tr r="R1540" s="2"/>
      </tp>
      <tp t="s">
        <v>#N/A Requesting Data...3910313107</v>
        <stp/>
        <stp>BDP|9328999651140567599</stp>
        <tr r="S1743" s="2"/>
      </tp>
      <tp t="s">
        <v>#N/A Requesting Data...3423779511</v>
        <stp/>
        <stp>BDP|9417924918756104787</stp>
        <tr r="G1849" s="2"/>
      </tp>
      <tp t="s">
        <v>#N/A Requesting Data...2690447441</v>
        <stp/>
        <stp>BDP|2867255248792437662</stp>
        <tr r="A367" s="2"/>
      </tp>
      <tp t="s">
        <v>#N/A Requesting Data...3435663890</v>
        <stp/>
        <stp>BDP|4976904787564946106</stp>
        <tr r="D984" s="2"/>
      </tp>
      <tp t="s">
        <v>#N/A Requesting Data...2268543303</v>
        <stp/>
        <stp>BDP|4459244179398972971</stp>
        <tr r="C284" s="2"/>
      </tp>
      <tp t="s">
        <v>#N/A Requesting Data...1994448194</v>
        <stp/>
        <stp>BDP|8530471272738208351</stp>
        <tr r="G659" s="2"/>
      </tp>
      <tp t="s">
        <v>#N/A Requesting Data...3055973509</v>
        <stp/>
        <stp>BDP|7124255573230539252</stp>
        <tr r="R2520" s="2"/>
      </tp>
      <tp t="s">
        <v>#N/A Requesting Data...2941420223</v>
        <stp/>
        <stp>BDP|6669099851376082593</stp>
        <tr r="N1210" s="2"/>
      </tp>
      <tp t="s">
        <v>#N/A Requesting Data...3870824614</v>
        <stp/>
        <stp>BDP|3107369094820203966</stp>
        <tr r="R2129" s="2"/>
      </tp>
      <tp t="s">
        <v>#N/A Requesting Data...4176099897</v>
        <stp/>
        <stp>BDP|2149746443607575644</stp>
        <tr r="H48" s="2"/>
      </tp>
      <tp t="s">
        <v>#N/A Requesting Data...2419296398</v>
        <stp/>
        <stp>BDP|9133472306794610910</stp>
        <tr r="D1452" s="2"/>
      </tp>
      <tp t="s">
        <v>#N/A Requesting Data...3777960880</v>
        <stp/>
        <stp>BDP|9760699391555982314</stp>
        <tr r="F1347" s="2"/>
      </tp>
      <tp t="s">
        <v>#N/A Requesting Data...3974676354</v>
        <stp/>
        <stp>BDP|3958306458996144378</stp>
        <tr r="J60" s="2"/>
      </tp>
      <tp t="s">
        <v>#N/A Requesting Data...2438455020</v>
        <stp/>
        <stp>BDP|2484208606262306264</stp>
        <tr r="O1973" s="2"/>
      </tp>
      <tp t="s">
        <v>#N/A Requesting Data...2101215996</v>
        <stp/>
        <stp>BDP|4973521988478211165</stp>
        <tr r="N1638" s="2"/>
      </tp>
      <tp t="s">
        <v>#N/A Requesting Data...3370776609</v>
        <stp/>
        <stp>BDP|6250696283170638897</stp>
        <tr r="K2509" s="2"/>
      </tp>
      <tp t="b">
        <v>0</v>
        <stp/>
        <stp>BDS|1443167147974268009</stp>
        <tr r="I1485" s="2"/>
      </tp>
      <tp t="s">
        <v>#N/A Requesting Data...1639694599</v>
        <stp/>
        <stp>BDP|9048297298783686135</stp>
        <tr r="A1467" s="2"/>
      </tp>
      <tp t="s">
        <v>#N/A Requesting Data...1405424977</v>
        <stp/>
        <stp>BDP|1403743548051425388</stp>
        <tr r="H491" s="2"/>
      </tp>
      <tp t="s">
        <v>#N/A Requesting Data...2667170344</v>
        <stp/>
        <stp>BDP|7117386788945744923</stp>
        <tr r="D159" s="2"/>
      </tp>
      <tp t="s">
        <v>#N/A Requesting Data...2069155955</v>
        <stp/>
        <stp>BDP|8461982748400916598</stp>
        <tr r="P1521" s="2"/>
      </tp>
      <tp t="s">
        <v>#N/A Requesting Data...4250733138</v>
        <stp/>
        <stp>BDP|6779267900223580703</stp>
        <tr r="S468" s="2"/>
      </tp>
      <tp t="s">
        <v>#N/A Requesting Data...2566323447</v>
        <stp/>
        <stp>BDP|9049069462478779777</stp>
        <tr r="D612" s="2"/>
      </tp>
      <tp t="s">
        <v>#N/A Requesting Data...2543592736</v>
        <stp/>
        <stp>BDP|6175233721352599427</stp>
        <tr r="T2106" s="2"/>
      </tp>
      <tp t="s">
        <v>#N/A Requesting Data...1800925971</v>
        <stp/>
        <stp>BDP|4577492745997530386</stp>
        <tr r="R585" s="2"/>
      </tp>
      <tp t="s">
        <v>#N/A Requesting Data...2208396875</v>
        <stp/>
        <stp>BDP|1795526962653653155</stp>
        <tr r="O1526" s="2"/>
      </tp>
      <tp t="s">
        <v>#N/A Requesting Data...1673521294</v>
        <stp/>
        <stp>BDP|9074227935439095134</stp>
        <tr r="M218" s="2"/>
      </tp>
      <tp t="s">
        <v>#N/A Requesting Data...1739028517</v>
        <stp/>
        <stp>BDP|6438470184759799345</stp>
        <tr r="Q2365" s="2"/>
      </tp>
      <tp t="s">
        <v>#N/A Requesting Data...1331214346</v>
        <stp/>
        <stp>BDP|7285487939099505927</stp>
        <tr r="A2081" s="2"/>
      </tp>
      <tp t="s">
        <v>#N/A Requesting Data...3971510911</v>
        <stp/>
        <stp>BDP|7882925090575677287</stp>
        <tr r="G1185" s="2"/>
      </tp>
      <tp t="s">
        <v>#N/A Requesting Data...1367885012</v>
        <stp/>
        <stp>BDP|6393526835487396739</stp>
        <tr r="C761" s="2"/>
      </tp>
      <tp t="s">
        <v>#N/A Requesting Data...3799132637</v>
        <stp/>
        <stp>BDP|4860653048915021315</stp>
        <tr r="J1233" s="2"/>
      </tp>
      <tp t="s">
        <v>#N/A Requesting Data...4091703235</v>
        <stp/>
        <stp>BDP|6128738890769377151</stp>
        <tr r="P40" s="2"/>
      </tp>
      <tp t="s">
        <v>#N/A Requesting Data...1494737865</v>
        <stp/>
        <stp>BDP|1732349461681247543</stp>
        <tr r="H1144" s="2"/>
      </tp>
      <tp t="s">
        <v>#N/A Requesting Data...2359984961</v>
        <stp/>
        <stp>BDP|6245934989622598595</stp>
        <tr r="T1364" s="2"/>
      </tp>
      <tp t="s">
        <v>#N/A Requesting Data...4063251140</v>
        <stp/>
        <stp>BDP|7604079331603546711</stp>
        <tr r="T1454" s="2"/>
      </tp>
      <tp t="s">
        <v>#N/A Requesting Data...1834147081</v>
        <stp/>
        <stp>BDP|6483613975396610123</stp>
        <tr r="H1483" s="2"/>
      </tp>
      <tp t="s">
        <v>#N/A Requesting Data...3648884120</v>
        <stp/>
        <stp>BDP|4091115047381113034</stp>
        <tr r="G1930" s="2"/>
      </tp>
      <tp t="s">
        <v>#N/A Requesting Data...4284023280</v>
        <stp/>
        <stp>BDP|4160131840250188170</stp>
        <tr r="E1751" s="2"/>
      </tp>
      <tp t="s">
        <v>#N/A Requesting Data...3273484253</v>
        <stp/>
        <stp>BDP|7385606476511246732</stp>
        <tr r="A2267" s="2"/>
      </tp>
      <tp t="s">
        <v>#N/A Requesting Data...2471371234</v>
        <stp/>
        <stp>BDP|3108900670889356460</stp>
        <tr r="H2404" s="2"/>
      </tp>
      <tp t="s">
        <v>#N/A Requesting Data...2719564394</v>
        <stp/>
        <stp>BDP|1855077000464931528</stp>
        <tr r="H88" s="2"/>
      </tp>
      <tp t="s">
        <v>#N/A Requesting Data...2538279101</v>
        <stp/>
        <stp>BDP|2664694025947703196</stp>
        <tr r="D93" s="2"/>
      </tp>
      <tp t="s">
        <v>#N/A Requesting Data...4014084175</v>
        <stp/>
        <stp>BDP|7531666541874190179</stp>
        <tr r="H2468" s="2"/>
      </tp>
      <tp t="s">
        <v>#N/A Requesting Data...1686571037</v>
        <stp/>
        <stp>BDP|8846483089937478394</stp>
        <tr r="D70" s="2"/>
      </tp>
      <tp t="s">
        <v>#N/A Requesting Data...3144537016</v>
        <stp/>
        <stp>BDP|9164030817931732961</stp>
        <tr r="M2299" s="2"/>
      </tp>
      <tp t="s">
        <v>#N/A Requesting Data...3784848162</v>
        <stp/>
        <stp>BDP|1506580657969952870</stp>
        <tr r="H1452" s="2"/>
      </tp>
      <tp t="s">
        <v>#N/A Requesting Data...3040120796</v>
        <stp/>
        <stp>BDP|8865889238745427686</stp>
        <tr r="S2332" s="2"/>
      </tp>
      <tp t="b">
        <v>0</v>
        <stp/>
        <stp>BDS|9885425838026468824</stp>
        <tr r="I1204" s="2"/>
      </tp>
      <tp t="s">
        <v>#N/A Requesting Data...3186940928</v>
        <stp/>
        <stp>BDP|5636554547802861685</stp>
        <tr r="T776" s="2"/>
      </tp>
      <tp t="s">
        <v>#N/A Requesting Data...2186408581</v>
        <stp/>
        <stp>BDP|1243923215471065819</stp>
        <tr r="Q2531" s="2"/>
      </tp>
      <tp t="s">
        <v>#N/A Requesting Data...3995995030</v>
        <stp/>
        <stp>BDP|4554972398850661485</stp>
        <tr r="H2095" s="2"/>
      </tp>
      <tp t="s">
        <v>#N/A Requesting Data...1446045132</v>
        <stp/>
        <stp>BDP|1369194739506321549</stp>
        <tr r="J529" s="2"/>
      </tp>
      <tp t="s">
        <v>#N/A Requesting Data...3464600686</v>
        <stp/>
        <stp>BDP|8897781928548882549</stp>
        <tr r="H1701" s="2"/>
      </tp>
      <tp t="s">
        <v>#N/A Requesting Data...1360150842</v>
        <stp/>
        <stp>BDP|4082260762382167211</stp>
        <tr r="E1569" s="2"/>
      </tp>
      <tp t="s">
        <v>#N/A Requesting Data...1667116036</v>
        <stp/>
        <stp>BDP|1656871671867053946</stp>
        <tr r="N2328" s="2"/>
      </tp>
      <tp t="s">
        <v>#N/A Requesting Data...3546616149</v>
        <stp/>
        <stp>BDP|6745149640227586428</stp>
        <tr r="J381" s="2"/>
      </tp>
      <tp t="s">
        <v>#N/A Requesting Data...1917747705</v>
        <stp/>
        <stp>BDP|9746242887973659065</stp>
        <tr r="D398" s="2"/>
      </tp>
      <tp t="s">
        <v>#N/A Requesting Data...3554949409</v>
        <stp/>
        <stp>BDP|8084965173476563040</stp>
        <tr r="J2193" s="2"/>
      </tp>
      <tp t="s">
        <v>#N/A Requesting Data...3907939883</v>
        <stp/>
        <stp>BDP|8405518001519125410</stp>
        <tr r="E395" s="2"/>
      </tp>
      <tp t="b">
        <v>0</v>
        <stp/>
        <stp>BDS|9540858726122637142</stp>
        <tr r="I1476" s="2"/>
      </tp>
      <tp t="s">
        <v>#N/A Requesting Data...2909709387</v>
        <stp/>
        <stp>BDP|4445152253902558235</stp>
        <tr r="N1990" s="2"/>
      </tp>
      <tp t="s">
        <v>#N/A Requesting Data...1648022743</v>
        <stp/>
        <stp>BDP|6819132333973406785</stp>
        <tr r="E1349" s="2"/>
      </tp>
      <tp t="s">
        <v>#N/A Requesting Data...3256626049</v>
        <stp/>
        <stp>BDP|1769446874413335109</stp>
        <tr r="M1361" s="2"/>
      </tp>
      <tp t="s">
        <v>#N/A Requesting Data...4256247101</v>
        <stp/>
        <stp>BDP|4716795579022037639</stp>
        <tr r="N1463" s="2"/>
      </tp>
      <tp t="s">
        <v>#N/A Requesting Data...2535429386</v>
        <stp/>
        <stp>BDP|6335801092420209778</stp>
        <tr r="D1943" s="2"/>
      </tp>
      <tp t="s">
        <v>#N/A Requesting Data...3060454442</v>
        <stp/>
        <stp>BDP|7868711419935401400</stp>
        <tr r="N1556" s="2"/>
      </tp>
      <tp t="s">
        <v>#N/A Requesting Data...3732400790</v>
        <stp/>
        <stp>BDP|6648373968613498096</stp>
        <tr r="O1233" s="2"/>
      </tp>
      <tp t="s">
        <v>#N/A Requesting Data...2255155377</v>
        <stp/>
        <stp>BDP|2979268968583201514</stp>
        <tr r="H2331" s="2"/>
      </tp>
      <tp t="s">
        <v>#N/A Requesting Data...1626691771</v>
        <stp/>
        <stp>BDP|4762654815827223416</stp>
        <tr r="S1582" s="2"/>
      </tp>
      <tp t="b">
        <v>0</v>
        <stp/>
        <stp>BDS|7361821720544469919</stp>
        <tr r="I344" s="2"/>
      </tp>
      <tp t="s">
        <v>#N/A Requesting Data...3876756215</v>
        <stp/>
        <stp>BDP|3278125250381706630</stp>
        <tr r="A1508" s="2"/>
      </tp>
      <tp t="s">
        <v>#N/A Requesting Data...2685750651</v>
        <stp/>
        <stp>BDP|6707535381898598345</stp>
        <tr r="A843" s="2"/>
      </tp>
      <tp t="s">
        <v>#N/A Requesting Data...3929838805</v>
        <stp/>
        <stp>BDP|1226831710438604036</stp>
        <tr r="T1704" s="2"/>
      </tp>
      <tp t="s">
        <v>#N/A Requesting Data...3522241655</v>
        <stp/>
        <stp>BDP|7820806478160710835</stp>
        <tr r="D1314" s="2"/>
      </tp>
      <tp t="s">
        <v>#N/A Requesting Data...2301334039</v>
        <stp/>
        <stp>BDP|1125648205965462204</stp>
        <tr r="D1477" s="2"/>
      </tp>
      <tp t="s">
        <v>#N/A Requesting Data...2631425109</v>
        <stp/>
        <stp>BDP|7454285789728152503</stp>
        <tr r="P767" s="2"/>
      </tp>
      <tp t="s">
        <v>#N/A Requesting Data...3737058797</v>
        <stp/>
        <stp>BDP|9766724040588530245</stp>
        <tr r="S614" s="2"/>
      </tp>
      <tp t="s">
        <v>#N/A Requesting Data...3812416824</v>
        <stp/>
        <stp>BDP|4847288974553491241</stp>
        <tr r="R1410" s="2"/>
      </tp>
      <tp t="s">
        <v>#N/A Requesting Data...2616315902</v>
        <stp/>
        <stp>BDP|7045423391662765807</stp>
        <tr r="F28" s="2"/>
      </tp>
      <tp t="s">
        <v>#N/A Requesting Data...2243530609</v>
        <stp/>
        <stp>BDP|7357408096233565949</stp>
        <tr r="R709" s="2"/>
      </tp>
      <tp t="s">
        <v>#N/A Requesting Data...2001533572</v>
        <stp/>
        <stp>BDP|6705749495260528879</stp>
        <tr r="G2113" s="2"/>
      </tp>
      <tp t="s">
        <v>#N/A Requesting Data...4236262436</v>
        <stp/>
        <stp>BDP|5714413262786824187</stp>
        <tr r="M609" s="2"/>
      </tp>
      <tp t="s">
        <v>#N/A Requesting Data...4050941681</v>
        <stp/>
        <stp>BDP|5516811142640507975</stp>
        <tr r="G1138" s="2"/>
      </tp>
      <tp t="s">
        <v>#N/A Requesting Data...2891059514</v>
        <stp/>
        <stp>BDP|6956555289158736361</stp>
        <tr r="T9" s="2"/>
      </tp>
      <tp t="s">
        <v>#N/A Requesting Data...2500731522</v>
        <stp/>
        <stp>BDP|3268838998830803255</stp>
        <tr r="T258" s="2"/>
      </tp>
      <tp t="s">
        <v>#N/A Requesting Data...3785034643</v>
        <stp/>
        <stp>BDP|3030270069066348194</stp>
        <tr r="K1463" s="2"/>
      </tp>
      <tp t="s">
        <v>#N/A Requesting Data...3570715600</v>
        <stp/>
        <stp>BDP|2025003324390856084</stp>
        <tr r="F854" s="2"/>
      </tp>
      <tp t="s">
        <v>#N/A Requesting Data...4123118708</v>
        <stp/>
        <stp>BDP|5649128240749994991</stp>
        <tr r="R2136" s="2"/>
      </tp>
      <tp t="s">
        <v>#N/A Requesting Data...2513402508</v>
        <stp/>
        <stp>BDP|2622790369436527576</stp>
        <tr r="R1398" s="2"/>
      </tp>
      <tp t="s">
        <v>#N/A Requesting Data...3850465199</v>
        <stp/>
        <stp>BDP|1424478106527090214</stp>
        <tr r="F2009" s="2"/>
      </tp>
      <tp t="s">
        <v>#N/A Requesting Data...3633073637</v>
        <stp/>
        <stp>BDP|5008442655090547404</stp>
        <tr r="N799" s="2"/>
      </tp>
      <tp t="s">
        <v>#N/A Requesting Data...1712454711</v>
        <stp/>
        <stp>BDP|3249498500997606097</stp>
        <tr r="S261" s="2"/>
      </tp>
      <tp t="s">
        <v>#N/A Requesting Data...3934023668</v>
        <stp/>
        <stp>BDP|3570760843176263662</stp>
        <tr r="S1901" s="2"/>
      </tp>
      <tp t="s">
        <v>#N/A Requesting Data...2098484509</v>
        <stp/>
        <stp>BDP|2400001211855339628</stp>
        <tr r="N1318" s="2"/>
      </tp>
      <tp t="s">
        <v>#N/A Requesting Data...3847168625</v>
        <stp/>
        <stp>BDP|6568922229109964431</stp>
        <tr r="J1113" s="2"/>
      </tp>
      <tp t="s">
        <v>#N/A Requesting Data...1895861283</v>
        <stp/>
        <stp>BDP|4800191873432731014</stp>
        <tr r="H2298" s="2"/>
      </tp>
      <tp t="s">
        <v>#N/A Requesting Data...2089725354</v>
        <stp/>
        <stp>BDP|5084554566724599220</stp>
        <tr r="M1478" s="2"/>
      </tp>
      <tp t="s">
        <v>#N/A Requesting Data...2524183592</v>
        <stp/>
        <stp>BDP|9992780534914332926</stp>
        <tr r="H906" s="2"/>
      </tp>
      <tp t="s">
        <v>#N/A Requesting Data...3007608723</v>
        <stp/>
        <stp>BDP|1787794587969811751</stp>
        <tr r="H477" s="2"/>
      </tp>
      <tp t="s">
        <v>#N/A Requesting Data...2024302819</v>
        <stp/>
        <stp>BDP|7228657365090594739</stp>
        <tr r="H2200" s="2"/>
      </tp>
      <tp t="s">
        <v>#N/A Requesting Data...2727215145</v>
        <stp/>
        <stp>BDP|1948066406585564484</stp>
        <tr r="A944" s="2"/>
      </tp>
      <tp t="s">
        <v>#N/A Requesting Data...1793033019</v>
        <stp/>
        <stp>BDP|1412842752278500434</stp>
        <tr r="Q901" s="2"/>
      </tp>
      <tp t="s">
        <v>#N/A Requesting Data...3171816521</v>
        <stp/>
        <stp>BDP|1167953880958387831</stp>
        <tr r="R1229" s="2"/>
      </tp>
      <tp t="s">
        <v>#N/A Requesting Data...2552693408</v>
        <stp/>
        <stp>BDP|9531195599543408256</stp>
        <tr r="P291" s="2"/>
      </tp>
      <tp t="s">
        <v>#N/A Requesting Data...1572058954</v>
        <stp/>
        <stp>BDP|8435946030353654127</stp>
        <tr r="T579" s="2"/>
      </tp>
      <tp t="s">
        <v>#N/A Requesting Data...2800134480</v>
        <stp/>
        <stp>BDP|9664403987383470615</stp>
        <tr r="T1136" s="2"/>
      </tp>
      <tp t="s">
        <v>#N/A Requesting Data...2130209021</v>
        <stp/>
        <stp>BDP|5355160340340315023</stp>
        <tr r="R1236" s="2"/>
      </tp>
      <tp t="s">
        <v>#N/A Requesting Data...1981296995</v>
        <stp/>
        <stp>BDP|3221672924711218672</stp>
        <tr r="G1232" s="2"/>
      </tp>
      <tp t="s">
        <v>#N/A Requesting Data...2044264056</v>
        <stp/>
        <stp>BDP|6996116850170822248</stp>
        <tr r="G878" s="2"/>
      </tp>
      <tp t="s">
        <v>#N/A Requesting Data...3892131700</v>
        <stp/>
        <stp>BDP|1097263264861546431</stp>
        <tr r="D1402" s="2"/>
      </tp>
      <tp t="s">
        <v>#N/A Requesting Data...2183465248</v>
        <stp/>
        <stp>BDP|5502939996497627228</stp>
        <tr r="S316" s="2"/>
      </tp>
      <tp t="s">
        <v>#N/A Requesting Data...2455669365</v>
        <stp/>
        <stp>BDP|9847502914015859804</stp>
        <tr r="N2514" s="2"/>
      </tp>
      <tp t="s">
        <v>#N/A Requesting Data...1407490426</v>
        <stp/>
        <stp>BDP|7994504361246413289</stp>
        <tr r="Q2010" s="2"/>
      </tp>
      <tp t="s">
        <v>#N/A Requesting Data...3875957397</v>
        <stp/>
        <stp>BDP|2558883944107543984</stp>
        <tr r="C486" s="2"/>
      </tp>
      <tp t="s">
        <v>#N/A Requesting Data...3758328435</v>
        <stp/>
        <stp>BDP|4019210491388776732</stp>
        <tr r="A992" s="2"/>
      </tp>
      <tp t="s">
        <v>#N/A Requesting Data...2726267300</v>
        <stp/>
        <stp>BDP|6505636140313716753</stp>
        <tr r="K115" s="2"/>
      </tp>
      <tp t="s">
        <v>#N/A Requesting Data...3445530893</v>
        <stp/>
        <stp>BDP|5602271782727498838</stp>
        <tr r="T738" s="2"/>
      </tp>
      <tp t="s">
        <v>#N/A Requesting Data...1921440879</v>
        <stp/>
        <stp>BDP|2602441503780296678</stp>
        <tr r="A2438" s="2"/>
      </tp>
      <tp t="s">
        <v>#N/A Requesting Data...3689167492</v>
        <stp/>
        <stp>BDP|3421077030440301047</stp>
        <tr r="N2488" s="2"/>
      </tp>
      <tp t="s">
        <v>#N/A Requesting Data...2302269778</v>
        <stp/>
        <stp>BDP|6275928117458444679</stp>
        <tr r="R1237" s="2"/>
      </tp>
      <tp t="s">
        <v>#N/A Requesting Data...2485420598</v>
        <stp/>
        <stp>BDP|1374057516574430400</stp>
        <tr r="N676" s="2"/>
      </tp>
      <tp t="s">
        <v>#N/A Requesting Data...1881561657</v>
        <stp/>
        <stp>BDP|6154779232962061005</stp>
        <tr r="T976" s="2"/>
      </tp>
      <tp t="s">
        <v>#N/A Requesting Data...1995686085</v>
        <stp/>
        <stp>BDP|4266703704030411362</stp>
        <tr r="Q664" s="2"/>
      </tp>
      <tp t="s">
        <v>#N/A Requesting Data...3208303885</v>
        <stp/>
        <stp>BDP|6347582777577844301</stp>
        <tr r="H1677" s="2"/>
      </tp>
      <tp t="s">
        <v>#N/A Requesting Data...2339374566</v>
        <stp/>
        <stp>BDP|7276977888066864010</stp>
        <tr r="Q476" s="2"/>
      </tp>
      <tp t="s">
        <v>#N/A Requesting Data...1498684605</v>
        <stp/>
        <stp>BDP|1566680834582469693</stp>
        <tr r="D256" s="2"/>
      </tp>
      <tp t="s">
        <v>#N/A Requesting Data...2479456813</v>
        <stp/>
        <stp>BDP|3241516291159419624</stp>
        <tr r="T1811" s="2"/>
      </tp>
      <tp t="s">
        <v>#N/A Requesting Data...3801679560</v>
        <stp/>
        <stp>BDP|9874831963416563192</stp>
        <tr r="E1521" s="2"/>
      </tp>
      <tp t="s">
        <v>#N/A Requesting Data...1445716682</v>
        <stp/>
        <stp>BDP|8290618794487205013</stp>
        <tr r="M152" s="2"/>
      </tp>
      <tp t="s">
        <v>#N/A Requesting Data...2878124246</v>
        <stp/>
        <stp>BDP|5430817098791932506</stp>
        <tr r="M238" s="2"/>
      </tp>
      <tp t="s">
        <v>#N/A Requesting Data...1516920180</v>
        <stp/>
        <stp>BDP|9145654891502046417</stp>
        <tr r="J2315" s="2"/>
      </tp>
      <tp t="s">
        <v>#N/A Requesting Data...3242361062</v>
        <stp/>
        <stp>BDP|9462196349429258527</stp>
        <tr r="C608" s="2"/>
      </tp>
      <tp t="s">
        <v>#N/A Requesting Data...3202387322</v>
        <stp/>
        <stp>BDP|4565529402709635862</stp>
        <tr r="Q1063" s="2"/>
      </tp>
      <tp t="s">
        <v>#N/A Requesting Data...2745670164</v>
        <stp/>
        <stp>BDP|6708048375688414976</stp>
        <tr r="J134" s="2"/>
      </tp>
      <tp t="s">
        <v>#N/A Requesting Data...1909955403</v>
        <stp/>
        <stp>BDP|4478172395704329809</stp>
        <tr r="A2339" s="2"/>
      </tp>
      <tp t="s">
        <v>#N/A Requesting Data...3087896755</v>
        <stp/>
        <stp>BDP|3081507124502978684</stp>
        <tr r="T1030" s="2"/>
      </tp>
      <tp t="s">
        <v>#N/A Requesting Data...2768230242</v>
        <stp/>
        <stp>BDP|7970867258689661349</stp>
        <tr r="K1973" s="2"/>
      </tp>
      <tp t="s">
        <v>#N/A Requesting Data...3872978972</v>
        <stp/>
        <stp>BDP|7840482405833515057</stp>
        <tr r="P958" s="2"/>
      </tp>
      <tp t="s">
        <v>#N/A Requesting Data...3726389813</v>
        <stp/>
        <stp>BDP|9111531379863876867</stp>
        <tr r="E1004" s="2"/>
      </tp>
      <tp t="s">
        <v>#N/A Requesting Data...1646880118</v>
        <stp/>
        <stp>BDP|2884526402887873059</stp>
        <tr r="M1132" s="2"/>
      </tp>
      <tp t="s">
        <v>#N/A Requesting Data...3636616191</v>
        <stp/>
        <stp>BDP|7778227143708362909</stp>
        <tr r="E1434" s="2"/>
      </tp>
      <tp t="s">
        <v>#N/A Requesting Data...2766451672</v>
        <stp/>
        <stp>BDP|6597989181846174184</stp>
        <tr r="K2224" s="2"/>
      </tp>
      <tp t="s">
        <v>#N/A Requesting Data...4139101031</v>
        <stp/>
        <stp>BDP|9492320787175442707</stp>
        <tr r="T2060" s="2"/>
      </tp>
      <tp t="s">
        <v>#N/A Requesting Data...3743576965</v>
        <stp/>
        <stp>BDP|1075125764912010431</stp>
        <tr r="G1725" s="2"/>
      </tp>
      <tp t="s">
        <v>#N/A Requesting Data...4046078619</v>
        <stp/>
        <stp>BDP|3368457526843557607</stp>
        <tr r="C1845" s="2"/>
      </tp>
      <tp t="s">
        <v>#N/A Requesting Data...4232627732</v>
        <stp/>
        <stp>BDP|8612756487592506549</stp>
        <tr r="C719" s="2"/>
      </tp>
      <tp t="s">
        <v>#N/A Requesting Data...3644723288</v>
        <stp/>
        <stp>BDP|9677260866605789843</stp>
        <tr r="F2046" s="2"/>
      </tp>
      <tp t="s">
        <v>#N/A Requesting Data...3882576694</v>
        <stp/>
        <stp>BDP|5949691336487692752</stp>
        <tr r="D520" s="2"/>
      </tp>
      <tp t="s">
        <v>#N/A Requesting Data...4170148488</v>
        <stp/>
        <stp>BDP|4137612717611583275</stp>
        <tr r="J364" s="2"/>
      </tp>
      <tp t="s">
        <v>#N/A Requesting Data...2768916140</v>
        <stp/>
        <stp>BDP|5197643645131171646</stp>
        <tr r="C2467" s="2"/>
      </tp>
      <tp t="s">
        <v>#N/A Requesting Data...2897010054</v>
        <stp/>
        <stp>BDP|8281624887367317114</stp>
        <tr r="F868" s="2"/>
      </tp>
      <tp t="s">
        <v>#N/A Requesting Data...2067547064</v>
        <stp/>
        <stp>BDP|4183404325643531144</stp>
        <tr r="N161" s="2"/>
      </tp>
      <tp t="s">
        <v>#N/A Requesting Data...3096662119</v>
        <stp/>
        <stp>BDP|7196637762745573203</stp>
        <tr r="A2480" s="2"/>
      </tp>
      <tp t="s">
        <v>#N/A Requesting Data...2122873557</v>
        <stp/>
        <stp>BDP|6620146561234025569</stp>
        <tr r="F913" s="2"/>
      </tp>
      <tp t="s">
        <v>#N/A Requesting Data...3423531847</v>
        <stp/>
        <stp>BDP|3349908295257547467</stp>
        <tr r="C1050" s="2"/>
      </tp>
      <tp t="s">
        <v>#N/A Requesting Data...3498034201</v>
        <stp/>
        <stp>BDP|4699668783858131277</stp>
        <tr r="K301" s="2"/>
      </tp>
      <tp t="s">
        <v>#N/A Requesting Data...3065180600</v>
        <stp/>
        <stp>BDP|8043507703604597930</stp>
        <tr r="J719" s="2"/>
      </tp>
      <tp t="s">
        <v>#N/A Requesting Data...1941125909</v>
        <stp/>
        <stp>BDP|7621048773493732331</stp>
        <tr r="C1400" s="2"/>
      </tp>
      <tp t="s">
        <v>#N/A Requesting Data...4179733460</v>
        <stp/>
        <stp>BDP|6348145886508736738</stp>
        <tr r="H1256" s="2"/>
      </tp>
      <tp t="s">
        <v>#N/A Requesting Data...2569168002</v>
        <stp/>
        <stp>BDP|5131820253189295174</stp>
        <tr r="C701" s="2"/>
      </tp>
      <tp t="s">
        <v>#N/A Requesting Data...2989024935</v>
        <stp/>
        <stp>BDP|7702169627181004537</stp>
        <tr r="D570" s="2"/>
      </tp>
      <tp t="s">
        <v>#N/A Requesting Data...2120100584</v>
        <stp/>
        <stp>BDP|1691005489451849823</stp>
        <tr r="G909" s="2"/>
      </tp>
      <tp t="s">
        <v>#N/A Requesting Data...3603361018</v>
        <stp/>
        <stp>BDP|2188782453473852374</stp>
        <tr r="O1553" s="2"/>
      </tp>
      <tp t="s">
        <v>#N/A Requesting Data...1653784631</v>
        <stp/>
        <stp>BDP|4630870126929438766</stp>
        <tr r="C918" s="2"/>
      </tp>
      <tp t="s">
        <v>#N/A Requesting Data...3588040872</v>
        <stp/>
        <stp>BDP|9394263814098651221</stp>
        <tr r="G361" s="2"/>
      </tp>
      <tp t="b">
        <v>0</v>
        <stp/>
        <stp>BDS|5193576731784758750</stp>
        <tr r="I1059" s="2"/>
      </tp>
      <tp t="s">
        <v>#N/A Requesting Data...2398172564</v>
        <stp/>
        <stp>BDP|4697614220545217507</stp>
        <tr r="E1169" s="2"/>
      </tp>
      <tp t="s">
        <v>#N/A Requesting Data...4035109028</v>
        <stp/>
        <stp>BDP|2451608454136246776</stp>
        <tr r="E910" s="2"/>
      </tp>
      <tp t="s">
        <v>#N/A Requesting Data...2593786222</v>
        <stp/>
        <stp>BDP|9546427091416409279</stp>
        <tr r="S1839" s="2"/>
      </tp>
      <tp t="s">
        <v>#N/A Requesting Data...1815910317</v>
        <stp/>
        <stp>BDP|3147703874865753674</stp>
        <tr r="S1039" s="2"/>
      </tp>
      <tp t="s">
        <v>#N/A Requesting Data...2786267991</v>
        <stp/>
        <stp>BDP|4245247818315219290</stp>
        <tr r="O1858" s="2"/>
      </tp>
      <tp t="s">
        <v>#N/A Requesting Data...1648871279</v>
        <stp/>
        <stp>BDP|5526144156002621345</stp>
        <tr r="H1654" s="2"/>
      </tp>
      <tp t="s">
        <v>#N/A Requesting Data...3705332349</v>
        <stp/>
        <stp>BDP|6339431514386474557</stp>
        <tr r="A510" s="2"/>
      </tp>
      <tp t="s">
        <v>#N/A Requesting Data...3763814517</v>
        <stp/>
        <stp>BDP|2712306523626664576</stp>
        <tr r="G2325" s="2"/>
      </tp>
      <tp t="s">
        <v>#N/A Requesting Data...1616822284</v>
        <stp/>
        <stp>BDP|3771772143779319952</stp>
        <tr r="T1401" s="2"/>
      </tp>
      <tp t="s">
        <v>#N/A Requesting Data...2132959664</v>
        <stp/>
        <stp>BDP|1980738758601471231</stp>
        <tr r="M809" s="2"/>
      </tp>
      <tp t="s">
        <v>#N/A Requesting Data...3480425024</v>
        <stp/>
        <stp>BDP|2109495429146519215</stp>
        <tr r="D497" s="2"/>
      </tp>
      <tp t="s">
        <v>#N/A Requesting Data...4229725739</v>
        <stp/>
        <stp>BDP|2932940960048077584</stp>
        <tr r="M1461" s="2"/>
      </tp>
      <tp t="s">
        <v>#N/A Requesting Data...2495700090</v>
        <stp/>
        <stp>BDP|2665447070693735204</stp>
        <tr r="G2436" s="2"/>
      </tp>
      <tp t="s">
        <v>#N/A Requesting Data...1917546611</v>
        <stp/>
        <stp>BDP|4091505270927438116</stp>
        <tr r="T1694" s="2"/>
      </tp>
      <tp t="s">
        <v>#N/A Requesting Data...3915251416</v>
        <stp/>
        <stp>BDP|4150557771937310139</stp>
        <tr r="K1405" s="2"/>
      </tp>
      <tp t="s">
        <v>#N/A Requesting Data...3871367572</v>
        <stp/>
        <stp>BDP|1754551821336718015</stp>
        <tr r="O1058" s="2"/>
      </tp>
      <tp t="s">
        <v>#N/A Requesting Data...3391158483</v>
        <stp/>
        <stp>BDP|6761517206967197442</stp>
        <tr r="G1996" s="2"/>
      </tp>
      <tp t="s">
        <v>#N/A Requesting Data...3986422618</v>
        <stp/>
        <stp>BDP|1146755476897597623</stp>
        <tr r="D5" s="2"/>
      </tp>
      <tp t="s">
        <v>#N/A Requesting Data...2861124424</v>
        <stp/>
        <stp>BDP|5401465566486270135</stp>
        <tr r="Q2373" s="2"/>
      </tp>
      <tp t="s">
        <v>#N/A Requesting Data...4139094547</v>
        <stp/>
        <stp>BDP|3244454804767067062</stp>
        <tr r="G1780" s="2"/>
      </tp>
      <tp t="s">
        <v>#N/A Requesting Data...1658165417</v>
        <stp/>
        <stp>BDP|1719775025067616366</stp>
        <tr r="H77" s="2"/>
      </tp>
      <tp t="s">
        <v>#N/A Requesting Data...3457423753</v>
        <stp/>
        <stp>BDP|1779630567200118176</stp>
        <tr r="R1097" s="2"/>
      </tp>
      <tp t="s">
        <v>#N/A Requesting Data...3004501429</v>
        <stp/>
        <stp>BDP|1510350621162716233</stp>
        <tr r="K1636" s="2"/>
      </tp>
      <tp t="s">
        <v>#N/A Requesting Data...1819741357</v>
        <stp/>
        <stp>BDP|5733730040355075315</stp>
        <tr r="T277" s="2"/>
      </tp>
      <tp t="s">
        <v>#N/A Requesting Data...3106120810</v>
        <stp/>
        <stp>BDP|7317252907536210365</stp>
        <tr r="K2010" s="2"/>
      </tp>
      <tp t="s">
        <v>#N/A Requesting Data...4032762384</v>
        <stp/>
        <stp>BDP|6115083560699841942</stp>
        <tr r="E949" s="2"/>
      </tp>
      <tp t="s">
        <v>#N/A Requesting Data...3439383021</v>
        <stp/>
        <stp>BDP|6419503852602029434</stp>
        <tr r="T1061" s="2"/>
      </tp>
      <tp t="s">
        <v>#N/A Requesting Data...2600878105</v>
        <stp/>
        <stp>BDP|6675814393591506644</stp>
        <tr r="T391" s="2"/>
      </tp>
      <tp t="s">
        <v>#N/A Requesting Data...3597908419</v>
        <stp/>
        <stp>BDP|6204154515520675613</stp>
        <tr r="D2154" s="2"/>
      </tp>
      <tp t="b">
        <v>0</v>
        <stp/>
        <stp>BDS|4110874790570020534</stp>
        <tr r="I1422" s="2"/>
      </tp>
      <tp t="s">
        <v>#N/A Requesting Data...4033408634</v>
        <stp/>
        <stp>BDP|1633249395762117839</stp>
        <tr r="K2426" s="2"/>
      </tp>
      <tp t="s">
        <v>#N/A Requesting Data...3045153155</v>
        <stp/>
        <stp>BDP|3458269975596651049</stp>
        <tr r="F619" s="2"/>
      </tp>
      <tp t="s">
        <v>#N/A Requesting Data...1733800694</v>
        <stp/>
        <stp>BDP|5637130758899079888</stp>
        <tr r="F2209" s="2"/>
      </tp>
      <tp t="b">
        <v>0</v>
        <stp/>
        <stp>BDS|1156532876842298131</stp>
        <tr r="I521" s="2"/>
      </tp>
      <tp t="s">
        <v>#N/A Requesting Data...3980687104</v>
        <stp/>
        <stp>BDP|3745132322139149927</stp>
        <tr r="D2251" s="2"/>
      </tp>
      <tp t="s">
        <v>#N/A Requesting Data...4132801734</v>
        <stp/>
        <stp>BDP|9528796450388968305</stp>
        <tr r="E1938" s="2"/>
      </tp>
      <tp t="s">
        <v>#N/A Requesting Data...3232556317</v>
        <stp/>
        <stp>BDP|3358886620029746093</stp>
        <tr r="C294" s="2"/>
      </tp>
      <tp t="s">
        <v>#N/A Requesting Data...2302740518</v>
        <stp/>
        <stp>BDP|2307373404345540403</stp>
        <tr r="J110" s="2"/>
      </tp>
      <tp t="s">
        <v>#N/A Requesting Data...1924030066</v>
        <stp/>
        <stp>BDP|1443825161517353816</stp>
        <tr r="R1953" s="2"/>
      </tp>
      <tp t="s">
        <v>#N/A Requesting Data...3483883614</v>
        <stp/>
        <stp>BDP|8370754972209359123</stp>
        <tr r="C458" s="2"/>
      </tp>
      <tp t="b">
        <v>0</v>
        <stp/>
        <stp>BDS|3706355045971391511</stp>
        <tr r="I493" s="2"/>
      </tp>
      <tp t="s">
        <v>#N/A Requesting Data...2714812294</v>
        <stp/>
        <stp>BDP|2286013783089344368</stp>
        <tr r="D2041" s="2"/>
      </tp>
      <tp t="s">
        <v>#N/A Requesting Data...1720505147</v>
        <stp/>
        <stp>BDP|8540683889585645370</stp>
        <tr r="N944" s="2"/>
      </tp>
      <tp t="s">
        <v>#N/A Requesting Data...4165144325</v>
        <stp/>
        <stp>BDP|6225271004675355176</stp>
        <tr r="D2102" s="2"/>
      </tp>
      <tp t="s">
        <v>#N/A Requesting Data...4214237992</v>
        <stp/>
        <stp>BDP|7250931363969185163</stp>
        <tr r="G523" s="2"/>
      </tp>
      <tp t="s">
        <v>#N/A Requesting Data...2426985921</v>
        <stp/>
        <stp>BDP|5366234155002536057</stp>
        <tr r="P109" s="2"/>
      </tp>
      <tp t="s">
        <v>#N/A Requesting Data...2227554935</v>
        <stp/>
        <stp>BDP|1944583145158452855</stp>
        <tr r="J549" s="2"/>
      </tp>
      <tp t="s">
        <v>#N/A Requesting Data...1896138089</v>
        <stp/>
        <stp>BDP|1358850319001917932</stp>
        <tr r="J554" s="2"/>
      </tp>
      <tp t="s">
        <v>#N/A Requesting Data...2808801880</v>
        <stp/>
        <stp>BDP|5580071340673855303</stp>
        <tr r="G223" s="2"/>
      </tp>
      <tp t="s">
        <v>#N/A Requesting Data...4078445001</v>
        <stp/>
        <stp>BDP|8339126378918048731</stp>
        <tr r="G1220" s="2"/>
      </tp>
      <tp t="s">
        <v>#N/A Requesting Data...4270122883</v>
        <stp/>
        <stp>BDP|8580288860774362948</stp>
        <tr r="R2099" s="2"/>
      </tp>
      <tp t="s">
        <v>#N/A Requesting Data...1689341810</v>
        <stp/>
        <stp>BDP|7404828035754078991</stp>
        <tr r="D2033" s="2"/>
      </tp>
      <tp t="s">
        <v>#N/A Requesting Data...3721620586</v>
        <stp/>
        <stp>BDP|5563506379094493220</stp>
        <tr r="A1231" s="2"/>
      </tp>
      <tp t="s">
        <v>#N/A Requesting Data...3305473605</v>
        <stp/>
        <stp>BDP|8863532653270689947</stp>
        <tr r="G373" s="2"/>
      </tp>
      <tp t="b">
        <v>0</v>
        <stp/>
        <stp>BDS|7385198675895241576</stp>
        <tr r="I2133" s="2"/>
      </tp>
      <tp t="s">
        <v>#N/A Requesting Data...3749552014</v>
        <stp/>
        <stp>BDP|9987375707269752242</stp>
        <tr r="F476" s="2"/>
      </tp>
      <tp t="s">
        <v>#N/A Requesting Data...2465117295</v>
        <stp/>
        <stp>BDP|6075456666704075199</stp>
        <tr r="S808" s="2"/>
      </tp>
      <tp t="s">
        <v>#N/A Requesting Data...3490556227</v>
        <stp/>
        <stp>BDP|5889505861526554165</stp>
        <tr r="R429" s="2"/>
      </tp>
      <tp t="s">
        <v>#N/A Requesting Data...2944310207</v>
        <stp/>
        <stp>BDP|2084115860161861532</stp>
        <tr r="C1503" s="2"/>
      </tp>
      <tp t="s">
        <v>#N/A Requesting Data...3605677426</v>
        <stp/>
        <stp>BDP|6694100260458875841</stp>
        <tr r="F1312" s="2"/>
      </tp>
      <tp t="s">
        <v>#N/A Requesting Data...2726882245</v>
        <stp/>
        <stp>BDP|8489107889121473132</stp>
        <tr r="Q342" s="2"/>
      </tp>
      <tp t="s">
        <v>#N/A Requesting Data...3456099478</v>
        <stp/>
        <stp>BDP|4054419019632456264</stp>
        <tr r="K1971" s="2"/>
      </tp>
      <tp t="s">
        <v>#N/A Requesting Data...2755458148</v>
        <stp/>
        <stp>BDP|6900683220907213490</stp>
        <tr r="R1259" s="2"/>
      </tp>
      <tp t="s">
        <v>#N/A Requesting Data...4280876483</v>
        <stp/>
        <stp>BDP|3776266537720442389</stp>
        <tr r="P53" s="2"/>
      </tp>
      <tp t="s">
        <v>#N/A Requesting Data...2509356595</v>
        <stp/>
        <stp>BDP|9220238837331914853</stp>
        <tr r="E1094" s="2"/>
      </tp>
      <tp t="s">
        <v>#N/A Requesting Data...3281678259</v>
        <stp/>
        <stp>BDP|2280867005658363385</stp>
        <tr r="Q2352" s="2"/>
      </tp>
      <tp t="s">
        <v>#N/A Requesting Data...1925303629</v>
        <stp/>
        <stp>BDP|3724269468186584068</stp>
        <tr r="J1576" s="2"/>
      </tp>
      <tp t="s">
        <v>#N/A Requesting Data...2390175936</v>
        <stp/>
        <stp>BDP|5312782900261531248</stp>
        <tr r="F342" s="2"/>
      </tp>
      <tp t="s">
        <v>#N/A Requesting Data...2671471141</v>
        <stp/>
        <stp>BDP|7901701931411097326</stp>
        <tr r="N2052" s="2"/>
      </tp>
      <tp t="s">
        <v>#N/A Requesting Data...2844642006</v>
        <stp/>
        <stp>BDP|3461126013076639499</stp>
        <tr r="Q2155" s="2"/>
      </tp>
      <tp t="s">
        <v>#N/A Requesting Data...2217805203</v>
        <stp/>
        <stp>BDP|5797123074602868030</stp>
        <tr r="O3" s="2"/>
      </tp>
      <tp t="s">
        <v>#N/A Requesting Data...2388642091</v>
        <stp/>
        <stp>BDP|1545367648914736364</stp>
        <tr r="S2017" s="2"/>
      </tp>
      <tp t="s">
        <v>#N/A Requesting Data...3719987580</v>
        <stp/>
        <stp>BDP|4642227957850922204</stp>
        <tr r="Q1765" s="2"/>
      </tp>
      <tp t="s">
        <v>#N/A Requesting Data...1952772294</v>
        <stp/>
        <stp>BDP|4837486972941037782</stp>
        <tr r="D590" s="2"/>
      </tp>
      <tp t="s">
        <v>#N/A Requesting Data...3529965267</v>
        <stp/>
        <stp>BDP|2074579748642058050</stp>
        <tr r="O2236" s="2"/>
      </tp>
      <tp t="s">
        <v>#N/A Requesting Data...3720883654</v>
        <stp/>
        <stp>BDP|4209809849648571144</stp>
        <tr r="O1518" s="2"/>
      </tp>
      <tp t="b">
        <v>0</v>
        <stp/>
        <stp>BDS|7416642351392396786</stp>
        <tr r="I478" s="2"/>
      </tp>
      <tp t="s">
        <v>#N/A Requesting Data...3855052690</v>
        <stp/>
        <stp>BDP|7725682178010860759</stp>
        <tr r="R844" s="2"/>
      </tp>
      <tp t="s">
        <v>#N/A Requesting Data...2806500785</v>
        <stp/>
        <stp>BDP|3631164128869551875</stp>
        <tr r="G2469" s="2"/>
      </tp>
      <tp t="s">
        <v>#N/A Requesting Data...1798532968</v>
        <stp/>
        <stp>BDP|1957309594152323841</stp>
        <tr r="O758" s="2"/>
      </tp>
      <tp t="s">
        <v>#N/A Requesting Data...3962048145</v>
        <stp/>
        <stp>BDP|1596389641813734415</stp>
        <tr r="H1402" s="2"/>
      </tp>
      <tp t="s">
        <v>#N/A Requesting Data...1902999940</v>
        <stp/>
        <stp>BDP|4746391636323497661</stp>
        <tr r="N2219" s="2"/>
      </tp>
      <tp t="s">
        <v>#N/A Requesting Data...2088849641</v>
        <stp/>
        <stp>BDP|5407568949791666477</stp>
        <tr r="J1039" s="2"/>
      </tp>
      <tp t="s">
        <v>#N/A Requesting Data...2879811640</v>
        <stp/>
        <stp>BDP|8791400188104052153</stp>
        <tr r="C1597" s="2"/>
      </tp>
      <tp t="s">
        <v>#N/A Requesting Data...3188518576</v>
        <stp/>
        <stp>BDP|9995908152956052213</stp>
        <tr r="N1280" s="2"/>
      </tp>
      <tp t="s">
        <v>#N/A Requesting Data...2099008055</v>
        <stp/>
        <stp>BDP|1793623166570928003</stp>
        <tr r="J617" s="2"/>
      </tp>
      <tp t="s">
        <v>#N/A Requesting Data...3746513622</v>
        <stp/>
        <stp>BDP|7945715786950728934</stp>
        <tr r="J1246" s="2"/>
      </tp>
      <tp t="s">
        <v>#N/A Requesting Data...2172955175</v>
        <stp/>
        <stp>BDP|5485916049390145977</stp>
        <tr r="D1210" s="2"/>
      </tp>
      <tp t="s">
        <v>#N/A Requesting Data...2227676215</v>
        <stp/>
        <stp>BDP|7436258518401619450</stp>
        <tr r="F2305" s="2"/>
      </tp>
      <tp t="b">
        <v>0</v>
        <stp/>
        <stp>BDS|2329766487974841804</stp>
        <tr r="I499" s="2"/>
      </tp>
      <tp t="s">
        <v>#N/A Requesting Data...3228692146</v>
        <stp/>
        <stp>BDP|5140570735735131781</stp>
        <tr r="O735" s="2"/>
      </tp>
      <tp t="s">
        <v>#N/A Requesting Data...4152481308</v>
        <stp/>
        <stp>BDP|2920048633511181156</stp>
        <tr r="M1264" s="2"/>
      </tp>
      <tp t="s">
        <v>#N/A Requesting Data...3480011692</v>
        <stp/>
        <stp>BDP|9432223351849413698</stp>
        <tr r="D1158" s="2"/>
      </tp>
      <tp t="b">
        <v>0</v>
        <stp/>
        <stp>BDS|1510046660273847533</stp>
        <tr r="I2203" s="2"/>
      </tp>
      <tp t="s">
        <v>#N/A Requesting Data...2547623334</v>
        <stp/>
        <stp>BDP|1702590721576442110</stp>
        <tr r="S1445" s="2"/>
      </tp>
      <tp t="s">
        <v>#N/A Requesting Data...3427305761</v>
        <stp/>
        <stp>BDP|7182680501624787457</stp>
        <tr r="Q694" s="2"/>
      </tp>
      <tp t="s">
        <v>#N/A Requesting Data...4065457504</v>
        <stp/>
        <stp>BDP|5004660959600351762</stp>
        <tr r="O1830" s="2"/>
      </tp>
      <tp t="s">
        <v>#N/A Requesting Data...1864209071</v>
        <stp/>
        <stp>BDP|8108888535566546438</stp>
        <tr r="N901" s="2"/>
      </tp>
      <tp t="s">
        <v>#N/A Requesting Data...2107263090</v>
        <stp/>
        <stp>BDP|9281969418302210243</stp>
        <tr r="D147" s="2"/>
      </tp>
      <tp t="s">
        <v>#N/A Requesting Data...2273530225</v>
        <stp/>
        <stp>BDP|6224439951853358596</stp>
        <tr r="H238" s="2"/>
      </tp>
      <tp t="s">
        <v>#N/A Requesting Data...2514547272</v>
        <stp/>
        <stp>BDP|7615158693346836829</stp>
        <tr r="A2375" s="2"/>
      </tp>
      <tp t="s">
        <v>#N/A Requesting Data...3877896681</v>
        <stp/>
        <stp>BDP|6387465606385175689</stp>
        <tr r="H1793" s="2"/>
      </tp>
      <tp t="s">
        <v>#N/A Requesting Data...3749439185</v>
        <stp/>
        <stp>BDP|7128682373004536353</stp>
        <tr r="J1559" s="2"/>
      </tp>
      <tp t="s">
        <v>#N/A Requesting Data...2003426901</v>
        <stp/>
        <stp>BDP|3552387342277150246</stp>
        <tr r="M766" s="2"/>
      </tp>
      <tp t="s">
        <v>#N/A Requesting Data...2247682219</v>
        <stp/>
        <stp>BDP|7311205771357175493</stp>
        <tr r="O17" s="2"/>
      </tp>
      <tp t="s">
        <v>#N/A Requesting Data...3553231167</v>
        <stp/>
        <stp>BDP|7551041469453010322</stp>
        <tr r="G2393" s="2"/>
      </tp>
      <tp t="s">
        <v>#N/A Requesting Data...4000470791</v>
        <stp/>
        <stp>BDP|4016267761538441994</stp>
        <tr r="A1039" s="2"/>
      </tp>
      <tp t="s">
        <v>#N/A Requesting Data...3621929111</v>
        <stp/>
        <stp>BDP|8919917522093876182</stp>
        <tr r="S1130" s="2"/>
      </tp>
      <tp t="s">
        <v>#N/A Requesting Data...4214695832</v>
        <stp/>
        <stp>BDP|6263896602399744644</stp>
        <tr r="O2377" s="2"/>
      </tp>
      <tp t="s">
        <v>#N/A Requesting Data...3932129297</v>
        <stp/>
        <stp>BDP|4085517708747682752</stp>
        <tr r="N793" s="2"/>
      </tp>
      <tp t="s">
        <v>#N/A Requesting Data...2076608864</v>
        <stp/>
        <stp>BDP|9555391037629560146</stp>
        <tr r="F2479" s="2"/>
      </tp>
      <tp t="s">
        <v>#N/A Requesting Data...3668702369</v>
        <stp/>
        <stp>BDP|4234012559198618863</stp>
        <tr r="O1291" s="2"/>
      </tp>
      <tp t="b">
        <v>0</v>
        <stp/>
        <stp>BDS|3353946150497445992</stp>
        <tr r="I2277" s="2"/>
      </tp>
      <tp t="s">
        <v>#N/A Requesting Data...3211095314</v>
        <stp/>
        <stp>BDP|1120008128812047033</stp>
        <tr r="J596" s="2"/>
      </tp>
      <tp t="s">
        <v>#N/A Requesting Data...3039344758</v>
        <stp/>
        <stp>BDP|3526222128126464412</stp>
        <tr r="D449" s="2"/>
      </tp>
      <tp t="s">
        <v>#N/A Requesting Data...3609220813</v>
        <stp/>
        <stp>BDP|3506986264495540863</stp>
        <tr r="K2451" s="2"/>
      </tp>
      <tp t="s">
        <v>#N/A Requesting Data...4186605476</v>
        <stp/>
        <stp>BDP|2673853545308516792</stp>
        <tr r="T653" s="2"/>
      </tp>
      <tp t="s">
        <v>#N/A Requesting Data...2161828225</v>
        <stp/>
        <stp>BDP|3205837079639034426</stp>
        <tr r="K569" s="2"/>
      </tp>
      <tp t="s">
        <v>#N/A Requesting Data...2929481945</v>
        <stp/>
        <stp>BDP|1975946587775079405</stp>
        <tr r="T1770" s="2"/>
      </tp>
      <tp t="s">
        <v>#N/A Requesting Data...2293839628</v>
        <stp/>
        <stp>BDP|4898137010530675578</stp>
        <tr r="G1278" s="2"/>
      </tp>
      <tp t="s">
        <v>#N/A Requesting Data...3730386623</v>
        <stp/>
        <stp>BDP|6701613503049958862</stp>
        <tr r="F276" s="2"/>
      </tp>
      <tp t="s">
        <v>#N/A Requesting Data...3529596519</v>
        <stp/>
        <stp>BDP|9939237565839596501</stp>
        <tr r="C339" s="2"/>
      </tp>
      <tp t="s">
        <v>#N/A Requesting Data...2717830728</v>
        <stp/>
        <stp>BDP|2236812196670885278</stp>
        <tr r="P1955" s="2"/>
      </tp>
      <tp t="s">
        <v>#N/A Requesting Data...1913778070</v>
        <stp/>
        <stp>BDP|1374358829988614930</stp>
        <tr r="K1407" s="2"/>
      </tp>
      <tp t="s">
        <v>#N/A Requesting Data...3905518541</v>
        <stp/>
        <stp>BDP|2187933377914865973</stp>
        <tr r="E2032" s="2"/>
      </tp>
      <tp t="s">
        <v>#N/A Requesting Data...2597777508</v>
        <stp/>
        <stp>BDP|9028087391993082233</stp>
        <tr r="C1214" s="2"/>
      </tp>
      <tp t="s">
        <v>#N/A Requesting Data...2983561202</v>
        <stp/>
        <stp>BDP|4637770527873954359</stp>
        <tr r="F2438" s="2"/>
      </tp>
      <tp t="s">
        <v>#N/A Requesting Data...2137225348</v>
        <stp/>
        <stp>BDP|1075586846618540914</stp>
        <tr r="K1339" s="2"/>
      </tp>
      <tp t="s">
        <v>#N/A Requesting Data...3517043298</v>
        <stp/>
        <stp>BDP|6841180982536827804</stp>
        <tr r="G1571" s="2"/>
      </tp>
      <tp t="s">
        <v>#N/A Requesting Data...3851606412</v>
        <stp/>
        <stp>BDP|6106438552786204088</stp>
        <tr r="O136" s="2"/>
      </tp>
      <tp t="s">
        <v>#N/A Requesting Data...2893910987</v>
        <stp/>
        <stp>BDP|7464782962232541515</stp>
        <tr r="T2131" s="2"/>
      </tp>
      <tp t="s">
        <v>#N/A Requesting Data...4147512997</v>
        <stp/>
        <stp>BDP|6234623252380916415</stp>
        <tr r="R210" s="2"/>
      </tp>
      <tp t="s">
        <v>#N/A Requesting Data...3213107709</v>
        <stp/>
        <stp>BDP|2397179079650736503</stp>
        <tr r="F416" s="2"/>
      </tp>
      <tp t="s">
        <v>#N/A Requesting Data...4140791210</v>
        <stp/>
        <stp>BDP|8413802632545814741</stp>
        <tr r="A1739" s="2"/>
      </tp>
      <tp t="s">
        <v>#N/A Requesting Data...3656673921</v>
        <stp/>
        <stp>BDP|8726882835506959496</stp>
        <tr r="P2226" s="2"/>
      </tp>
      <tp t="s">
        <v>#N/A Requesting Data...2182787691</v>
        <stp/>
        <stp>BDP|5704080001701594518</stp>
        <tr r="H1046" s="2"/>
      </tp>
      <tp t="b">
        <v>0</v>
        <stp/>
        <stp>BDS|6396006715213509598</stp>
        <tr r="I1705" s="2"/>
      </tp>
      <tp t="s">
        <v>#N/A Requesting Data...4017709533</v>
        <stp/>
        <stp>BDP|4901155561262498038</stp>
        <tr r="S619" s="2"/>
      </tp>
      <tp t="s">
        <v>#N/A Requesting Data...2904416527</v>
        <stp/>
        <stp>BDP|9050931252670831428</stp>
        <tr r="K1568" s="2"/>
      </tp>
      <tp t="s">
        <v>#N/A Requesting Data...2910464079</v>
        <stp/>
        <stp>BDP|9907209798002237183</stp>
        <tr r="H2212" s="2"/>
      </tp>
      <tp t="s">
        <v>#N/A Requesting Data...3593593942</v>
        <stp/>
        <stp>BDP|8881374346049727757</stp>
        <tr r="F729" s="2"/>
      </tp>
      <tp t="s">
        <v>#N/A Requesting Data...3574712727</v>
        <stp/>
        <stp>BDP|5269533343406992301</stp>
        <tr r="J270" s="2"/>
      </tp>
      <tp t="s">
        <v>#N/A Requesting Data...4148001998</v>
        <stp/>
        <stp>BDP|8698338231599956069</stp>
        <tr r="S2388" s="2"/>
      </tp>
      <tp t="s">
        <v>#N/A Requesting Data...2680436780</v>
        <stp/>
        <stp>BDP|5618401316159918828</stp>
        <tr r="N2200" s="2"/>
      </tp>
      <tp t="s">
        <v>#N/A Requesting Data...3180472552</v>
        <stp/>
        <stp>BDP|5433327009174255368</stp>
        <tr r="F1420" s="2"/>
      </tp>
      <tp t="s">
        <v>#N/A Requesting Data...3040328991</v>
        <stp/>
        <stp>BDP|8807972031772392164</stp>
        <tr r="E788" s="2"/>
      </tp>
      <tp t="s">
        <v>#N/A Requesting Data...2011307390</v>
        <stp/>
        <stp>BDP|8516439502298879575</stp>
        <tr r="M298" s="2"/>
      </tp>
      <tp t="s">
        <v>#N/A Requesting Data...2860672381</v>
        <stp/>
        <stp>BDP|5114319588139746646</stp>
        <tr r="T1058" s="2"/>
      </tp>
      <tp t="s">
        <v>#N/A Requesting Data...2295809959</v>
        <stp/>
        <stp>BDP|8323999740040667476</stp>
        <tr r="S1856" s="2"/>
      </tp>
      <tp t="s">
        <v>#N/A Requesting Data...2029359764</v>
        <stp/>
        <stp>BDP|3081131837727625797</stp>
        <tr r="D251" s="2"/>
      </tp>
      <tp t="s">
        <v>#N/A Requesting Data...2549593930</v>
        <stp/>
        <stp>BDP|3548671579954832784</stp>
        <tr r="H1566" s="2"/>
      </tp>
      <tp t="s">
        <v>#N/A Requesting Data...3871881163</v>
        <stp/>
        <stp>BDP|2267074655757890136</stp>
        <tr r="D1375" s="2"/>
      </tp>
      <tp t="s">
        <v>#N/A Requesting Data...3124061320</v>
        <stp/>
        <stp>BDP|5333804481193882714</stp>
        <tr r="E243" s="2"/>
      </tp>
      <tp t="s">
        <v>#N/A Requesting Data...3081880339</v>
        <stp/>
        <stp>BDP|2097467052606609492</stp>
        <tr r="D2333" s="2"/>
      </tp>
      <tp t="s">
        <v>#N/A Requesting Data...2627033833</v>
        <stp/>
        <stp>BDP|7892877444678539251</stp>
        <tr r="H264" s="2"/>
      </tp>
      <tp t="s">
        <v>#N/A Requesting Data...2958941849</v>
        <stp/>
        <stp>BDP|4239760672463543689</stp>
        <tr r="T2374" s="2"/>
      </tp>
      <tp t="s">
        <v>#N/A Requesting Data...3685146538</v>
        <stp/>
        <stp>BDP|5110228151042870113</stp>
        <tr r="J302" s="2"/>
      </tp>
      <tp t="s">
        <v>#N/A Requesting Data...2454104888</v>
        <stp/>
        <stp>BDP|3959020305091095351</stp>
        <tr r="O39" s="2"/>
      </tp>
      <tp t="s">
        <v>#N/A Requesting Data...3285429200</v>
        <stp/>
        <stp>BDP|3421034573406675398</stp>
        <tr r="M2416" s="2"/>
      </tp>
      <tp t="s">
        <v>#N/A Requesting Data...3170553028</v>
        <stp/>
        <stp>BDP|9523956009356727758</stp>
        <tr r="K293" s="2"/>
      </tp>
      <tp t="s">
        <v>#N/A Requesting Data...3402937117</v>
        <stp/>
        <stp>BDP|8235886848154004199</stp>
        <tr r="R343" s="2"/>
      </tp>
      <tp t="s">
        <v>#N/A Requesting Data...4283174263</v>
        <stp/>
        <stp>BDP|1255263449154090262</stp>
        <tr r="O34" s="2"/>
      </tp>
      <tp t="s">
        <v>#N/A Requesting Data...3167729363</v>
        <stp/>
        <stp>BDP|7245420153266034189</stp>
        <tr r="E944" s="2"/>
      </tp>
      <tp t="s">
        <v>#N/A Requesting Data...2889537921</v>
        <stp/>
        <stp>BDP|8962184539233292815</stp>
        <tr r="J363" s="2"/>
      </tp>
      <tp t="b">
        <v>0</v>
        <stp/>
        <stp>BDS|1137709070103957331</stp>
        <tr r="I814" s="2"/>
      </tp>
      <tp t="s">
        <v>#N/A Requesting Data...2677454412</v>
        <stp/>
        <stp>BDP|3094067584209802310</stp>
        <tr r="S1316" s="2"/>
      </tp>
      <tp t="s">
        <v>#N/A Requesting Data...4237710641</v>
        <stp/>
        <stp>BDP|7086365865804081781</stp>
        <tr r="J2363" s="2"/>
      </tp>
      <tp t="s">
        <v>#N/A Requesting Data...2156303845</v>
        <stp/>
        <stp>BDP|2891245616432234234</stp>
        <tr r="J891" s="2"/>
      </tp>
      <tp t="s">
        <v>#N/A Requesting Data...3943068900</v>
        <stp/>
        <stp>BDP|7932094570208229998</stp>
        <tr r="T473" s="2"/>
      </tp>
      <tp t="s">
        <v>#N/A Requesting Data...3718606235</v>
        <stp/>
        <stp>BDP|4787174863134914613</stp>
        <tr r="R1633" s="2"/>
      </tp>
      <tp t="s">
        <v>#N/A Requesting Data...2189898643</v>
        <stp/>
        <stp>BDP|5532704495369895333</stp>
        <tr r="N321" s="2"/>
      </tp>
      <tp t="s">
        <v>#N/A Requesting Data...3660354537</v>
        <stp/>
        <stp>BDP|4212764139407095666</stp>
        <tr r="A1466" s="2"/>
      </tp>
      <tp t="s">
        <v>#N/A Requesting Data...3938987194</v>
        <stp/>
        <stp>BDP|4878854969473991860</stp>
        <tr r="Q1520" s="2"/>
      </tp>
      <tp t="s">
        <v>#N/A Requesting Data...4239776074</v>
        <stp/>
        <stp>BDP|4990635410146737460</stp>
        <tr r="O617" s="2"/>
      </tp>
      <tp t="s">
        <v>#N/A Requesting Data...3046030518</v>
        <stp/>
        <stp>BDP|1240463814410388585</stp>
        <tr r="N143" s="2"/>
      </tp>
      <tp t="s">
        <v>#N/A Requesting Data...4196988354</v>
        <stp/>
        <stp>BDP|2986492469507543675</stp>
        <tr r="E2381" s="2"/>
      </tp>
      <tp t="s">
        <v>#N/A Requesting Data...4116598692</v>
        <stp/>
        <stp>BDP|5632903548718252173</stp>
        <tr r="A189" s="2"/>
      </tp>
      <tp t="s">
        <v>#N/A Requesting Data...3359748327</v>
        <stp/>
        <stp>BDP|7232223046257875754</stp>
        <tr r="P1038" s="2"/>
      </tp>
      <tp t="s">
        <v>#N/A Requesting Data...2272611187</v>
        <stp/>
        <stp>BDP|8973058285057076629</stp>
        <tr r="H201" s="2"/>
      </tp>
      <tp t="s">
        <v>#N/A Requesting Data...4268297508</v>
        <stp/>
        <stp>BDP|8615368166384534888</stp>
        <tr r="E1372" s="2"/>
      </tp>
      <tp t="s">
        <v>#N/A Requesting Data...3214404605</v>
        <stp/>
        <stp>BDP|3131432039635378031</stp>
        <tr r="N781" s="2"/>
      </tp>
      <tp t="s">
        <v>#N/A Requesting Data...3281071844</v>
        <stp/>
        <stp>BDP|4781579202216938600</stp>
        <tr r="M838" s="2"/>
      </tp>
      <tp t="s">
        <v>#N/A Requesting Data...3557661074</v>
        <stp/>
        <stp>BDP|8103430317295639982</stp>
        <tr r="Q1876" s="2"/>
      </tp>
      <tp t="s">
        <v>#N/A Requesting Data...3414681388</v>
        <stp/>
        <stp>BDP|2390479384267327883</stp>
        <tr r="J2435" s="2"/>
      </tp>
      <tp t="s">
        <v>#N/A Requesting Data...3269286629</v>
        <stp/>
        <stp>BDP|6876470961741019452</stp>
        <tr r="D1641" s="2"/>
      </tp>
      <tp t="s">
        <v>#N/A Requesting Data...3309655743</v>
        <stp/>
        <stp>BDP|1086581956538191846</stp>
        <tr r="N2017" s="2"/>
      </tp>
      <tp t="s">
        <v>#N/A Requesting Data...3761618260</v>
        <stp/>
        <stp>BDP|3455765268186420550</stp>
        <tr r="E71" s="2"/>
      </tp>
      <tp t="s">
        <v>#N/A Requesting Data...2777590271</v>
        <stp/>
        <stp>BDP|3884062418990570387</stp>
        <tr r="F1565" s="2"/>
      </tp>
      <tp t="s">
        <v>#N/A Requesting Data...4140228424</v>
        <stp/>
        <stp>BDP|7625440429724927495</stp>
        <tr r="G1729" s="2"/>
      </tp>
      <tp t="s">
        <v>#N/A Requesting Data...2677466201</v>
        <stp/>
        <stp>BDP|5663182237433077525</stp>
        <tr r="P615" s="2"/>
      </tp>
      <tp t="s">
        <v>#N/A Requesting Data...2829233488</v>
        <stp/>
        <stp>BDP|3556452185537632983</stp>
        <tr r="M914" s="2"/>
      </tp>
      <tp t="s">
        <v>#N/A Requesting Data...3413414262</v>
        <stp/>
        <stp>BDP|4221015315507810351</stp>
        <tr r="K785" s="2"/>
      </tp>
      <tp t="s">
        <v>#N/A Requesting Data...3209015905</v>
        <stp/>
        <stp>BDP|1255252758460188759</stp>
        <tr r="P1633" s="2"/>
      </tp>
      <tp t="s">
        <v>#N/A Requesting Data...3732959441</v>
        <stp/>
        <stp>BDP|5778294476616711746</stp>
        <tr r="D639" s="2"/>
      </tp>
      <tp t="s">
        <v>#N/A Requesting Data...3790742935</v>
        <stp/>
        <stp>BDP|8890029486698760902</stp>
        <tr r="D2081" s="2"/>
      </tp>
      <tp t="s">
        <v>#N/A Requesting Data...2691810354</v>
        <stp/>
        <stp>BDP|6531072928556712367</stp>
        <tr r="R2435" s="2"/>
      </tp>
      <tp t="s">
        <v>#N/A Requesting Data...3079179545</v>
        <stp/>
        <stp>BDP|5193764106396252589</stp>
        <tr r="E818" s="2"/>
      </tp>
      <tp t="s">
        <v>#N/A Requesting Data...3572210386</v>
        <stp/>
        <stp>BDP|2199215938806386409</stp>
        <tr r="F1477" s="2"/>
      </tp>
      <tp t="s">
        <v>#N/A Requesting Data...3533652999</v>
        <stp/>
        <stp>BDP|5228700096663809971</stp>
        <tr r="G2240" s="2"/>
      </tp>
      <tp t="b">
        <v>0</v>
        <stp/>
        <stp>BDS|6675854760060174992</stp>
        <tr r="I2515" s="2"/>
      </tp>
      <tp t="s">
        <v>#N/A Requesting Data...3284214201</v>
        <stp/>
        <stp>BDP|2394614529286537159</stp>
        <tr r="S1986" s="2"/>
      </tp>
      <tp t="s">
        <v>#N/A Requesting Data...3112425694</v>
        <stp/>
        <stp>BDP|5402726954277168186</stp>
        <tr r="H2310" s="2"/>
      </tp>
      <tp t="s">
        <v>#N/A Requesting Data...3770065970</v>
        <stp/>
        <stp>BDP|5987017666460464219</stp>
        <tr r="S1538" s="2"/>
      </tp>
      <tp t="s">
        <v>#N/A Requesting Data...3341027177</v>
        <stp/>
        <stp>BDP|8605563384596853277</stp>
        <tr r="F2474" s="2"/>
      </tp>
      <tp t="s">
        <v>#N/A Requesting Data...2266788668</v>
        <stp/>
        <stp>BDP|8109384370775323815</stp>
        <tr r="C577" s="2"/>
      </tp>
      <tp t="s">
        <v>#N/A Requesting Data...2169339169</v>
        <stp/>
        <stp>BDP|6934725876702403525</stp>
        <tr r="D1062" s="2"/>
      </tp>
      <tp t="s">
        <v>#N/A Requesting Data...2863471807</v>
        <stp/>
        <stp>BDP|4836874085284347125</stp>
        <tr r="T621" s="2"/>
      </tp>
      <tp t="s">
        <v>#N/A Requesting Data...3948161733</v>
        <stp/>
        <stp>BDP|1346231653646141190</stp>
        <tr r="G482" s="2"/>
      </tp>
      <tp t="s">
        <v>#N/A Requesting Data...3149906413</v>
        <stp/>
        <stp>BDP|1154085587178071051</stp>
        <tr r="Q1539" s="2"/>
      </tp>
      <tp t="s">
        <v>#N/A Requesting Data...2557834082</v>
        <stp/>
        <stp>BDP|3391702557744987463</stp>
        <tr r="F772" s="2"/>
      </tp>
      <tp t="s">
        <v>#N/A Requesting Data...2472924647</v>
        <stp/>
        <stp>BDP|5246856743450823873</stp>
        <tr r="O2525" s="2"/>
      </tp>
      <tp t="s">
        <v>#N/A Requesting Data...2954435053</v>
        <stp/>
        <stp>BDP|6932203187879473418</stp>
        <tr r="F2318" s="2"/>
      </tp>
      <tp t="s">
        <v>#N/A Requesting Data...4146818046</v>
        <stp/>
        <stp>BDP|9834130941088117505</stp>
        <tr r="S521" s="2"/>
      </tp>
      <tp t="s">
        <v>#N/A Requesting Data...2205526892</v>
        <stp/>
        <stp>BDP|9604980523187704416</stp>
        <tr r="M853" s="2"/>
      </tp>
      <tp t="s">
        <v>#N/A Requesting Data...3678344789</v>
        <stp/>
        <stp>BDP|4760917965902997816</stp>
        <tr r="H499" s="2"/>
      </tp>
      <tp t="s">
        <v>#N/A Requesting Data...3814932806</v>
        <stp/>
        <stp>BDP|9829726414628401615</stp>
        <tr r="S514" s="2"/>
      </tp>
      <tp t="s">
        <v>#N/A Requesting Data...2803246053</v>
        <stp/>
        <stp>BDP|3688340654665901149</stp>
        <tr r="N260" s="2"/>
      </tp>
      <tp t="s">
        <v>#N/A Requesting Data...2694953141</v>
        <stp/>
        <stp>BDP|1609160521687221482</stp>
        <tr r="S1585" s="2"/>
      </tp>
      <tp t="s">
        <v>#N/A Requesting Data...2682321149</v>
        <stp/>
        <stp>BDP|5501521327727825432</stp>
        <tr r="S1888" s="2"/>
      </tp>
      <tp t="s">
        <v>#N/A Requesting Data...3523961122</v>
        <stp/>
        <stp>BDP|6679355335080824756</stp>
        <tr r="S2529" s="2"/>
      </tp>
      <tp t="b">
        <v>0</v>
        <stp/>
        <stp>BDS|8616933425746831433</stp>
        <tr r="I1498" s="2"/>
      </tp>
      <tp t="s">
        <v>#N/A Requesting Data...3855503061</v>
        <stp/>
        <stp>BDP|4466043922085846217</stp>
        <tr r="G1533" s="2"/>
      </tp>
      <tp t="s">
        <v>#N/A Requesting Data...3220028327</v>
        <stp/>
        <stp>BDP|4817773630643514213</stp>
        <tr r="M779" s="2"/>
      </tp>
      <tp t="s">
        <v>#N/A Requesting Data...2701778308</v>
        <stp/>
        <stp>BDP|8491111517758913108</stp>
        <tr r="R1870" s="2"/>
      </tp>
      <tp t="s">
        <v>#N/A Requesting Data...3738866375</v>
        <stp/>
        <stp>BDP|9353580160289003201</stp>
        <tr r="E2015" s="2"/>
      </tp>
      <tp t="s">
        <v>#N/A Requesting Data...3165900430</v>
        <stp/>
        <stp>BDP|2656584257816277537</stp>
        <tr r="A1017" s="2"/>
      </tp>
      <tp t="s">
        <v>#N/A Requesting Data...3410105779</v>
        <stp/>
        <stp>BDP|6589754679742434551</stp>
        <tr r="Q511" s="2"/>
      </tp>
      <tp t="s">
        <v>#N/A Requesting Data...2730856497</v>
        <stp/>
        <stp>BDP|9463897102589545929</stp>
        <tr r="E2392" s="2"/>
      </tp>
      <tp t="s">
        <v>#N/A Requesting Data...2722499604</v>
        <stp/>
        <stp>BDP|9494540263843217898</stp>
        <tr r="K670" s="2"/>
      </tp>
      <tp t="s">
        <v>#N/A Requesting Data...3469052761</v>
        <stp/>
        <stp>BDP|2326279758524635025</stp>
        <tr r="H1974" s="2"/>
      </tp>
      <tp t="s">
        <v>#N/A Requesting Data...3046796614</v>
        <stp/>
        <stp>BDP|8722093504858619140</stp>
        <tr r="K1534" s="2"/>
      </tp>
      <tp t="s">
        <v>#N/A Requesting Data...3033196804</v>
        <stp/>
        <stp>BDP|8511263858038219618</stp>
        <tr r="F1415" s="2"/>
      </tp>
      <tp t="s">
        <v>#N/A Requesting Data...2529422973</v>
        <stp/>
        <stp>BDP|2252030544816518187</stp>
        <tr r="F1195" s="2"/>
      </tp>
      <tp t="s">
        <v>#N/A Requesting Data...3600735947</v>
        <stp/>
        <stp>BDP|7413199156452328005</stp>
        <tr r="Q2428" s="2"/>
      </tp>
      <tp t="s">
        <v>#N/A Requesting Data...3497893033</v>
        <stp/>
        <stp>BDP|2300026149033858488</stp>
        <tr r="G1243" s="2"/>
      </tp>
      <tp t="s">
        <v>#N/A Requesting Data...3571420720</v>
        <stp/>
        <stp>BDP|4417995048248843058</stp>
        <tr r="G1618" s="2"/>
      </tp>
      <tp t="s">
        <v>#N/A Requesting Data...2677022652</v>
        <stp/>
        <stp>BDP|7071076269564096467</stp>
        <tr r="P2013" s="2"/>
      </tp>
      <tp t="s">
        <v>#N/A Requesting Data...2649744601</v>
        <stp/>
        <stp>BDP|8437886376403028529</stp>
        <tr r="R326" s="2"/>
      </tp>
      <tp t="s">
        <v>#N/A Requesting Data...3185749297</v>
        <stp/>
        <stp>BDP|7254663249045397162</stp>
        <tr r="M2023" s="2"/>
      </tp>
      <tp t="s">
        <v>#N/A Requesting Data...2571502021</v>
        <stp/>
        <stp>BDP|7605649008652175235</stp>
        <tr r="O1960" s="2"/>
      </tp>
      <tp t="s">
        <v>#N/A Requesting Data...4006239322</v>
        <stp/>
        <stp>BDP|1410338520736610792</stp>
        <tr r="O1896" s="2"/>
      </tp>
      <tp t="s">
        <v>#N/A Requesting Data...3863968426</v>
        <stp/>
        <stp>BDP|3792214145703205797</stp>
        <tr r="D234" s="2"/>
      </tp>
      <tp t="s">
        <v>#N/A Requesting Data...3765360182</v>
        <stp/>
        <stp>BDP|6596406526372911321</stp>
        <tr r="T2035" s="2"/>
      </tp>
      <tp t="s">
        <v>#N/A Requesting Data...3584417773</v>
        <stp/>
        <stp>BDP|8863624117467721928</stp>
        <tr r="K1597" s="2"/>
      </tp>
      <tp t="s">
        <v>#N/A Requesting Data...3925951786</v>
        <stp/>
        <stp>BDP|2071708048315546554</stp>
        <tr r="P1965" s="2"/>
      </tp>
      <tp t="s">
        <v>#N/A Requesting Data...2643742154</v>
        <stp/>
        <stp>BDP|5785273318340903794</stp>
        <tr r="H1446" s="2"/>
      </tp>
      <tp t="s">
        <v>#N/A Requesting Data...2781092411</v>
        <stp/>
        <stp>BDP|7125052749843737127</stp>
        <tr r="D1344" s="2"/>
      </tp>
      <tp t="s">
        <v>#N/A Requesting Data...4173531278</v>
        <stp/>
        <stp>BDP|2375103341516265088</stp>
        <tr r="C2481" s="2"/>
      </tp>
      <tp t="s">
        <v>#N/A Requesting Data...2991760163</v>
        <stp/>
        <stp>BDP|3889423583077856991</stp>
        <tr r="J1917" s="2"/>
      </tp>
      <tp t="s">
        <v>#N/A Requesting Data...2492334654</v>
        <stp/>
        <stp>BDP|1778504250445687590</stp>
        <tr r="N76" s="2"/>
      </tp>
      <tp t="s">
        <v>#N/A Requesting Data...2968755609</v>
        <stp/>
        <stp>BDP|7850528674225226143</stp>
        <tr r="A1575" s="2"/>
      </tp>
      <tp t="s">
        <v>#N/A Requesting Data...4278464133</v>
        <stp/>
        <stp>BDP|2781456400333259486</stp>
        <tr r="J2072" s="2"/>
      </tp>
      <tp t="s">
        <v>#N/A Requesting Data...2948162921</v>
        <stp/>
        <stp>BDP|7251230026715758389</stp>
        <tr r="D287" s="2"/>
      </tp>
      <tp t="s">
        <v>#N/A Requesting Data...3700796326</v>
        <stp/>
        <stp>BDP|6478452114661484395</stp>
        <tr r="E2073" s="2"/>
      </tp>
      <tp t="s">
        <v>#N/A Requesting Data...2990123347</v>
        <stp/>
        <stp>BDP|1874221405832767009</stp>
        <tr r="F565" s="2"/>
      </tp>
      <tp t="s">
        <v>#N/A Requesting Data...3613046457</v>
        <stp/>
        <stp>BDP|9059297833419127035</stp>
        <tr r="M212" s="2"/>
      </tp>
      <tp t="s">
        <v>#N/A Requesting Data...2897800754</v>
        <stp/>
        <stp>BDP|4971644384503023815</stp>
        <tr r="M319" s="2"/>
      </tp>
      <tp t="s">
        <v>#N/A Requesting Data...2630100644</v>
        <stp/>
        <stp>BDP|8521506371573469886</stp>
        <tr r="A406" s="2"/>
      </tp>
      <tp t="s">
        <v>#N/A Requesting Data...3164044755</v>
        <stp/>
        <stp>BDP|8303843419122542236</stp>
        <tr r="N2355" s="2"/>
      </tp>
      <tp t="s">
        <v>#N/A Requesting Data...4103283642</v>
        <stp/>
        <stp>BDP|6779250580428840527</stp>
        <tr r="C1160" s="2"/>
      </tp>
      <tp t="s">
        <v>#N/A Requesting Data...4144832219</v>
        <stp/>
        <stp>BDP|7231560202682714194</stp>
        <tr r="D1046" s="2"/>
      </tp>
      <tp t="s">
        <v>#N/A Requesting Data...3405784190</v>
        <stp/>
        <stp>BDP|9795714895930327686</stp>
        <tr r="R266" s="2"/>
      </tp>
      <tp t="s">
        <v>#N/A Requesting Data...2883417849</v>
        <stp/>
        <stp>BDP|3932968686970518343</stp>
        <tr r="F1144" s="2"/>
      </tp>
      <tp t="s">
        <v>#N/A Requesting Data...4122667711</v>
        <stp/>
        <stp>BDP|5877563627245953680</stp>
        <tr r="H1946" s="2"/>
      </tp>
      <tp t="s">
        <v>#N/A Requesting Data...3339217252</v>
        <stp/>
        <stp>BDP|9702009270818777785</stp>
        <tr r="C528" s="2"/>
      </tp>
      <tp t="s">
        <v>#N/A Requesting Data...3658663397</v>
        <stp/>
        <stp>BDP|4506192778815982651</stp>
        <tr r="J2067" s="2"/>
      </tp>
      <tp t="s">
        <v>#N/A Requesting Data...3327710397</v>
        <stp/>
        <stp>BDP|1501517223246968160</stp>
        <tr r="D647" s="2"/>
      </tp>
      <tp t="s">
        <v>#N/A Requesting Data...3588678026</v>
        <stp/>
        <stp>BDP|9598471549011734948</stp>
        <tr r="F1850" s="2"/>
      </tp>
      <tp t="s">
        <v>#N/A Requesting Data...3578216649</v>
        <stp/>
        <stp>BDP|9007951734783032196</stp>
        <tr r="C255" s="2"/>
      </tp>
      <tp t="s">
        <v>#N/A Requesting Data...4256170608</v>
        <stp/>
        <stp>BDP|1955629164503721309</stp>
        <tr r="Q1492" s="2"/>
      </tp>
      <tp t="s">
        <v>#N/A Requesting Data...2928189550</v>
        <stp/>
        <stp>BDP|6455391296298719545</stp>
        <tr r="G875" s="2"/>
      </tp>
      <tp t="s">
        <v>#N/A Requesting Data...3546309442</v>
        <stp/>
        <stp>BDP|9728455452440179996</stp>
        <tr r="A2351" s="2"/>
      </tp>
      <tp t="s">
        <v>#N/A Requesting Data...3073036017</v>
        <stp/>
        <stp>BDP|4331298768114895521</stp>
        <tr r="Q1393" s="2"/>
      </tp>
      <tp t="s">
        <v>#N/A Requesting Data...2848018054</v>
        <stp/>
        <stp>BDP|4240504529757438576</stp>
        <tr r="C95" s="2"/>
      </tp>
      <tp t="s">
        <v>#N/A Requesting Data...2839815789</v>
        <stp/>
        <stp>BDP|5874333231741749555</stp>
        <tr r="E972" s="2"/>
      </tp>
      <tp t="s">
        <v>#N/A Requesting Data...3889629758</v>
        <stp/>
        <stp>BDP|2581480509321962658</stp>
        <tr r="M2329" s="2"/>
      </tp>
      <tp t="s">
        <v>#N/A Requesting Data...3923248587</v>
        <stp/>
        <stp>BDP|6219448938761383153</stp>
        <tr r="N1739" s="2"/>
      </tp>
      <tp t="s">
        <v>#N/A Requesting Data...4056916083</v>
        <stp/>
        <stp>BDP|5190095066310732219</stp>
        <tr r="A73" s="2"/>
      </tp>
      <tp t="s">
        <v>#N/A Requesting Data...3658253281</v>
        <stp/>
        <stp>BDP|5893238157135218664</stp>
        <tr r="G1245" s="2"/>
      </tp>
      <tp t="s">
        <v>#N/A Requesting Data...3418256721</v>
        <stp/>
        <stp>BDP|2643099462727381266</stp>
        <tr r="S1824" s="2"/>
      </tp>
      <tp t="s">
        <v>#N/A Requesting Data...2589379305</v>
        <stp/>
        <stp>BDP|4520376500810310699</stp>
        <tr r="Q2032" s="2"/>
      </tp>
      <tp t="s">
        <v>#N/A Requesting Data...2481774700</v>
        <stp/>
        <stp>BDP|6122694991681834997</stp>
        <tr r="C1704" s="2"/>
      </tp>
      <tp t="s">
        <v>#N/A Requesting Data...3497584100</v>
        <stp/>
        <stp>BDP|2947205714034260473</stp>
        <tr r="A157" s="2"/>
      </tp>
      <tp t="s">
        <v>#N/A Requesting Data...4111607231</v>
        <stp/>
        <stp>BDP|2671750845939737999</stp>
        <tr r="K719" s="2"/>
      </tp>
      <tp t="s">
        <v>#N/A Requesting Data...3213059076</v>
        <stp/>
        <stp>BDP|7505169136927419395</stp>
        <tr r="D1098" s="2"/>
      </tp>
      <tp t="s">
        <v>#N/A Requesting Data...2583585235</v>
        <stp/>
        <stp>BDP|3046724136595527393</stp>
        <tr r="T178" s="2"/>
      </tp>
      <tp t="s">
        <v>#N/A Requesting Data...3242493770</v>
        <stp/>
        <stp>BDP|9314491844801069969</stp>
        <tr r="C2201" s="2"/>
      </tp>
      <tp t="s">
        <v>#N/A Requesting Data...2427244348</v>
        <stp/>
        <stp>BDP|5295407218629072828</stp>
        <tr r="M988" s="2"/>
      </tp>
      <tp t="b">
        <v>0</v>
        <stp/>
        <stp>BDS|8549595852398149172</stp>
        <tr r="I659" s="2"/>
      </tp>
      <tp t="s">
        <v>#N/A Requesting Data...3816847082</v>
        <stp/>
        <stp>BDP|2357180275321414420</stp>
        <tr r="N2222" s="2"/>
      </tp>
      <tp t="s">
        <v>#N/A Requesting Data...3818127446</v>
        <stp/>
        <stp>BDP|1448346470615841107</stp>
        <tr r="T1489" s="2"/>
      </tp>
      <tp t="s">
        <v>#N/A Requesting Data...3597015353</v>
        <stp/>
        <stp>BDP|3518447416036680199</stp>
        <tr r="K278" s="2"/>
      </tp>
      <tp t="s">
        <v>#N/A Requesting Data...3197412027</v>
        <stp/>
        <stp>BDP|5753243379492271302</stp>
        <tr r="N1262" s="2"/>
      </tp>
      <tp t="s">
        <v>#N/A Requesting Data...3082037646</v>
        <stp/>
        <stp>BDP|4173723011253900030</stp>
        <tr r="T1199" s="2"/>
      </tp>
      <tp t="s">
        <v>#N/A Requesting Data...3543948054</v>
        <stp/>
        <stp>BDP|7051753608829514809</stp>
        <tr r="S257" s="2"/>
      </tp>
      <tp t="s">
        <v>#N/A Requesting Data...3181026527</v>
        <stp/>
        <stp>BDP|5907350714921880787</stp>
        <tr r="P2426" s="2"/>
      </tp>
      <tp t="s">
        <v>#N/A Requesting Data...3237179436</v>
        <stp/>
        <stp>BDP|2503431969055461431</stp>
        <tr r="S1268" s="2"/>
      </tp>
      <tp t="s">
        <v>#N/A Requesting Data...3344040730</v>
        <stp/>
        <stp>BDP|8662829729987707420</stp>
        <tr r="R1170" s="2"/>
      </tp>
      <tp t="s">
        <v>#N/A Requesting Data...2635309296</v>
        <stp/>
        <stp>BDP|3900004097212184967</stp>
        <tr r="Q853" s="2"/>
      </tp>
      <tp t="s">
        <v>#N/A Requesting Data...3011195991</v>
        <stp/>
        <stp>BDP|6245211714795687183</stp>
        <tr r="G2308" s="2"/>
      </tp>
      <tp t="s">
        <v>#N/A Requesting Data...3800157167</v>
        <stp/>
        <stp>BDP|2862988686887882577</stp>
        <tr r="F1596" s="2"/>
      </tp>
      <tp t="b">
        <v>0</v>
        <stp/>
        <stp>BDS|7929011055751063248</stp>
        <tr r="I696" s="2"/>
      </tp>
      <tp t="s">
        <v>#N/A Requesting Data...3207803576</v>
        <stp/>
        <stp>BDP|8468485345280196910</stp>
        <tr r="O1505" s="2"/>
      </tp>
      <tp t="s">
        <v>#N/A Requesting Data...3939600613</v>
        <stp/>
        <stp>BDP|7360399348976974729</stp>
        <tr r="M892" s="2"/>
      </tp>
      <tp t="s">
        <v>#N/A Requesting Data...2488312717</v>
        <stp/>
        <stp>BDP|6226299507167757227</stp>
        <tr r="A1738" s="2"/>
      </tp>
      <tp t="s">
        <v>#N/A Requesting Data...3804433397</v>
        <stp/>
        <stp>BDP|7536584556176676049</stp>
        <tr r="K939" s="2"/>
      </tp>
      <tp t="s">
        <v>#N/A Requesting Data...3199510544</v>
        <stp/>
        <stp>BDP|5749874141011084980</stp>
        <tr r="T539" s="2"/>
      </tp>
      <tp t="s">
        <v>#N/A Requesting Data...3846992481</v>
        <stp/>
        <stp>BDP|5423143659056598650</stp>
        <tr r="O283" s="2"/>
      </tp>
      <tp t="s">
        <v>#N/A Requesting Data...3914531475</v>
        <stp/>
        <stp>BDP|6917032528747880237</stp>
        <tr r="H931" s="2"/>
      </tp>
      <tp t="s">
        <v>#N/A Requesting Data...2757197183</v>
        <stp/>
        <stp>BDP|1747092048770791483</stp>
        <tr r="F460" s="2"/>
      </tp>
      <tp t="s">
        <v>#N/A Requesting Data...4008960451</v>
        <stp/>
        <stp>BDP|6543089178013967351</stp>
        <tr r="S2438" s="2"/>
      </tp>
      <tp t="s">
        <v>#N/A Requesting Data...3203579755</v>
        <stp/>
        <stp>BDP|8742290937560939898</stp>
        <tr r="C2165" s="2"/>
      </tp>
      <tp t="s">
        <v>#N/A Requesting Data...2796165297</v>
        <stp/>
        <stp>BDP|1397702745225917662</stp>
        <tr r="N1059" s="2"/>
      </tp>
      <tp t="s">
        <v>#N/A Requesting Data...3517101187</v>
        <stp/>
        <stp>BDP|6055067554722282097</stp>
        <tr r="H727" s="2"/>
      </tp>
      <tp t="s">
        <v>#N/A Requesting Data...4267216524</v>
        <stp/>
        <stp>BDP|2567408192289752793</stp>
        <tr r="K1799" s="2"/>
      </tp>
      <tp t="s">
        <v>#N/A Requesting Data...3128970869</v>
        <stp/>
        <stp>BDP|2332023417606859479</stp>
        <tr r="K842" s="2"/>
      </tp>
      <tp t="s">
        <v>#N/A Requesting Data...3136691887</v>
        <stp/>
        <stp>BDP|7515715707523898222</stp>
        <tr r="T1853" s="2"/>
      </tp>
      <tp t="s">
        <v>#N/A Requesting Data...3868583489</v>
        <stp/>
        <stp>BDP|7323664567945819334</stp>
        <tr r="R2457" s="2"/>
      </tp>
      <tp t="s">
        <v>#N/A Requesting Data...3641272066</v>
        <stp/>
        <stp>BDP|8981609584637532019</stp>
        <tr r="M1127" s="2"/>
      </tp>
      <tp t="s">
        <v>#N/A Requesting Data...2659728095</v>
        <stp/>
        <stp>BDP|3805138066952152759</stp>
        <tr r="J2270" s="2"/>
      </tp>
      <tp t="s">
        <v>#N/A Requesting Data...3318186332</v>
        <stp/>
        <stp>BDP|2998568567483396321</stp>
        <tr r="F479" s="2"/>
      </tp>
      <tp t="s">
        <v>#N/A Requesting Data...3684550668</v>
        <stp/>
        <stp>BDP|4199001868702002102</stp>
        <tr r="R881" s="2"/>
      </tp>
      <tp t="s">
        <v>#N/A Requesting Data...2609314131</v>
        <stp/>
        <stp>BDP|5107080833656436178</stp>
        <tr r="H1861" s="2"/>
      </tp>
      <tp t="s">
        <v>#N/A Requesting Data...3075819684</v>
        <stp/>
        <stp>BDP|2270397964861200745</stp>
        <tr r="N447" s="2"/>
      </tp>
      <tp t="s">
        <v>#N/A Requesting Data...2793737315</v>
        <stp/>
        <stp>BDP|6967218784675368863</stp>
        <tr r="H378" s="2"/>
      </tp>
      <tp t="s">
        <v>#N/A Requesting Data...3364896477</v>
        <stp/>
        <stp>BDP|4786102534807988037</stp>
        <tr r="T1497" s="2"/>
      </tp>
      <tp t="s">
        <v>#N/A Requesting Data...2925202702</v>
        <stp/>
        <stp>BDP|1785987782529211867</stp>
        <tr r="M557" s="2"/>
      </tp>
      <tp t="s">
        <v>#N/A Requesting Data...4071031533</v>
        <stp/>
        <stp>BDP|7936720461020386704</stp>
        <tr r="J1858" s="2"/>
      </tp>
      <tp t="s">
        <v>#N/A Requesting Data...3561718253</v>
        <stp/>
        <stp>BDP|8590697557379045326</stp>
        <tr r="R620" s="2"/>
      </tp>
      <tp t="s">
        <v>#N/A Requesting Data...3363293482</v>
        <stp/>
        <stp>BDP|4942008262781609244</stp>
        <tr r="O860" s="2"/>
      </tp>
      <tp t="s">
        <v>#N/A Requesting Data...3112780984</v>
        <stp/>
        <stp>BDP|7925152042425534628</stp>
        <tr r="M942" s="2"/>
      </tp>
      <tp t="b">
        <v>0</v>
        <stp/>
        <stp>BDS|3984482472545937430</stp>
        <tr r="I1625" s="2"/>
      </tp>
      <tp t="s">
        <v>#N/A Requesting Data...4224931771</v>
        <stp/>
        <stp>BDP|8933975154453559668</stp>
        <tr r="D751" s="2"/>
      </tp>
      <tp t="s">
        <v>#N/A Requesting Data...3084697837</v>
        <stp/>
        <stp>BDP|6011860908576687913</stp>
        <tr r="T87" s="2"/>
      </tp>
      <tp t="s">
        <v>#N/A Requesting Data...3749987689</v>
        <stp/>
        <stp>BDP|2775289165464655351</stp>
        <tr r="C6" s="2"/>
      </tp>
      <tp t="s">
        <v>#N/A Requesting Data...3862617413</v>
        <stp/>
        <stp>BDP|3993761201701798408</stp>
        <tr r="A1816" s="2"/>
      </tp>
      <tp t="b">
        <v>0</v>
        <stp/>
        <stp>BDS|9524552645619931057</stp>
        <tr r="I2242" s="2"/>
      </tp>
      <tp t="s">
        <v>#N/A Requesting Data...3837836450</v>
        <stp/>
        <stp>BDP|8089087035773217968</stp>
        <tr r="E2438" s="2"/>
      </tp>
      <tp t="s">
        <v>#N/A Requesting Data...2817425949</v>
        <stp/>
        <stp>BDP|2375104626887821748</stp>
        <tr r="G1949" s="2"/>
      </tp>
      <tp t="s">
        <v>#N/A Requesting Data...3119407773</v>
        <stp/>
        <stp>BDP|8995109397515552420</stp>
        <tr r="J863" s="2"/>
      </tp>
      <tp t="s">
        <v>#N/A Requesting Data...2755052343</v>
        <stp/>
        <stp>BDP|2468310779683530403</stp>
        <tr r="G537" s="2"/>
      </tp>
      <tp t="b">
        <v>0</v>
        <stp/>
        <stp>BDS|9715863865465548381</stp>
        <tr r="I289" s="2"/>
      </tp>
      <tp t="s">
        <v>#N/A Requesting Data...2550582736</v>
        <stp/>
        <stp>BDP|1952162846751591459</stp>
        <tr r="S1077" s="2"/>
      </tp>
      <tp t="s">
        <v>#N/A Requesting Data...3173075823</v>
        <stp/>
        <stp>BDP|3947718863321272208</stp>
        <tr r="N1314" s="2"/>
      </tp>
      <tp t="s">
        <v>#N/A Requesting Data...3651898019</v>
        <stp/>
        <stp>BDP|2746693325440579774</stp>
        <tr r="Q1909" s="2"/>
      </tp>
      <tp t="s">
        <v>#N/A Requesting Data...3634753478</v>
        <stp/>
        <stp>BDP|4481766525355898564</stp>
        <tr r="S1583" s="2"/>
      </tp>
      <tp t="s">
        <v>#N/A Requesting Data...2803618453</v>
        <stp/>
        <stp>BDP|4826681568552242731</stp>
        <tr r="Q1952" s="2"/>
      </tp>
      <tp t="s">
        <v>#N/A Requesting Data...3223333075</v>
        <stp/>
        <stp>BDP|7876543835917288726</stp>
        <tr r="R242" s="2"/>
      </tp>
      <tp t="s">
        <v>#N/A Requesting Data...4161831769</v>
        <stp/>
        <stp>BDP|2256282503219802886</stp>
        <tr r="M458" s="2"/>
      </tp>
      <tp t="s">
        <v>#N/A Requesting Data...2621839663</v>
        <stp/>
        <stp>BDP|6804316236431748615</stp>
        <tr r="F1101" s="2"/>
      </tp>
      <tp t="s">
        <v>#N/A Requesting Data...2771371974</v>
        <stp/>
        <stp>BDP|7670945883461861603</stp>
        <tr r="N701" s="2"/>
      </tp>
      <tp t="s">
        <v>#N/A Requesting Data...3053123689</v>
        <stp/>
        <stp>BDP|1457097915160691179</stp>
        <tr r="H2051" s="2"/>
      </tp>
      <tp t="s">
        <v>#N/A Requesting Data...2717863603</v>
        <stp/>
        <stp>BDP|8531429123286821959</stp>
        <tr r="C979" s="2"/>
      </tp>
      <tp t="s">
        <v>#N/A Requesting Data...3437319580</v>
        <stp/>
        <stp>BDP|4621144799755769854</stp>
        <tr r="G608" s="2"/>
      </tp>
      <tp t="s">
        <v>#N/A Requesting Data...3867947884</v>
        <stp/>
        <stp>BDP|2721911247578861605</stp>
        <tr r="H447" s="2"/>
      </tp>
      <tp t="s">
        <v>#N/A Requesting Data...4067931449</v>
        <stp/>
        <stp>BDP|1625564608251270436</stp>
        <tr r="M2047" s="2"/>
      </tp>
      <tp t="b">
        <v>0</v>
        <stp/>
        <stp>BDS|8836961765564020223</stp>
        <tr r="I1298" s="2"/>
      </tp>
      <tp t="s">
        <v>#N/A Requesting Data...2920521423</v>
        <stp/>
        <stp>BDP|4839543235637258426</stp>
        <tr r="R1061" s="2"/>
      </tp>
      <tp t="s">
        <v>#N/A Requesting Data...3980308185</v>
        <stp/>
        <stp>BDP|9804850677476185129</stp>
        <tr r="C1462" s="2"/>
      </tp>
      <tp t="s">
        <v>#N/A Requesting Data...4236034283</v>
        <stp/>
        <stp>BDP|7226496139415855430</stp>
        <tr r="N2329" s="2"/>
      </tp>
      <tp t="s">
        <v>#N/A Requesting Data...3729764896</v>
        <stp/>
        <stp>BDP|1187597952855507562</stp>
        <tr r="D356" s="2"/>
      </tp>
      <tp t="s">
        <v>#N/A Requesting Data...3715818276</v>
        <stp/>
        <stp>BDP|4906219914265286376</stp>
        <tr r="T268" s="2"/>
      </tp>
      <tp t="s">
        <v>#N/A Requesting Data...2698753368</v>
        <stp/>
        <stp>BDP|5959737352411273734</stp>
        <tr r="D1311" s="2"/>
      </tp>
      <tp t="s">
        <v>#N/A Requesting Data...2593143194</v>
        <stp/>
        <stp>BDP|2331743034546836122</stp>
        <tr r="K1285" s="2"/>
      </tp>
      <tp t="s">
        <v>#N/A Requesting Data...3746381846</v>
        <stp/>
        <stp>BDP|9756657586875999347</stp>
        <tr r="E627" s="2"/>
      </tp>
      <tp t="s">
        <v>#N/A Requesting Data...3451508775</v>
        <stp/>
        <stp>BDP|2803057938363843344</stp>
        <tr r="T2390" s="2"/>
      </tp>
      <tp t="b">
        <v>0</v>
        <stp/>
        <stp>BDS|5928352129006843343</stp>
        <tr r="I1448" s="2"/>
      </tp>
      <tp t="s">
        <v>#N/A Requesting Data...3832984521</v>
        <stp/>
        <stp>BDP|3760272098570835995</stp>
        <tr r="J2177" s="2"/>
      </tp>
      <tp t="s">
        <v>#N/A Requesting Data...3548461779</v>
        <stp/>
        <stp>BDP|8286617824928851564</stp>
        <tr r="E1526" s="2"/>
      </tp>
      <tp t="s">
        <v>#N/A Requesting Data...4124387462</v>
        <stp/>
        <stp>BDP|9070285133291627845</stp>
        <tr r="Q230" s="2"/>
      </tp>
      <tp t="b">
        <v>0</v>
        <stp/>
        <stp>BDS|5550918330827439992</stp>
        <tr r="I1390" s="2"/>
      </tp>
      <tp t="s">
        <v>#N/A Requesting Data...3918338272</v>
        <stp/>
        <stp>BDP|4739974779228736371</stp>
        <tr r="O51" s="2"/>
      </tp>
      <tp t="b">
        <v>0</v>
        <stp/>
        <stp>BDS|9640082013199757037</stp>
        <tr r="I395" s="2"/>
      </tp>
      <tp t="s">
        <v>#N/A Requesting Data...3144133600</v>
        <stp/>
        <stp>BDP|7108893256733526820</stp>
        <tr r="H2216" s="2"/>
      </tp>
      <tp t="s">
        <v>#N/A Requesting Data...2659890736</v>
        <stp/>
        <stp>BDP|7383573940861938639</stp>
        <tr r="F705" s="2"/>
      </tp>
      <tp t="s">
        <v>#N/A Requesting Data...3172848726</v>
        <stp/>
        <stp>BDP|8695691921534859981</stp>
        <tr r="T2222" s="2"/>
      </tp>
      <tp t="s">
        <v>#N/A Requesting Data...3573213215</v>
        <stp/>
        <stp>BDP|7724943566101316888</stp>
        <tr r="R862" s="2"/>
      </tp>
      <tp t="s">
        <v>#N/A Requesting Data...2760718992</v>
        <stp/>
        <stp>BDP|7859719654882555668</stp>
        <tr r="T1057" s="2"/>
      </tp>
      <tp t="s">
        <v>#N/A Requesting Data...3404297668</v>
        <stp/>
        <stp>BDP|2736455754200848209</stp>
        <tr r="O1265" s="2"/>
      </tp>
      <tp t="s">
        <v>#N/A Requesting Data...4136050060</v>
        <stp/>
        <stp>BDP|6586277957212857231</stp>
        <tr r="J1498" s="2"/>
      </tp>
      <tp t="s">
        <v>#N/A Requesting Data...3494308524</v>
        <stp/>
        <stp>BDP|2471939111392802904</stp>
        <tr r="F1586" s="2"/>
      </tp>
      <tp t="b">
        <v>0</v>
        <stp/>
        <stp>BDS|8714778293770927747</stp>
        <tr r="I2016" s="2"/>
      </tp>
      <tp t="s">
        <v>#N/A Requesting Data...3620272161</v>
        <stp/>
        <stp>BDP|8821793758103795801</stp>
        <tr r="N2229" s="2"/>
      </tp>
      <tp t="s">
        <v>#N/A Requesting Data...3806076099</v>
        <stp/>
        <stp>BDP|6675528926343976353</stp>
        <tr r="H1893" s="2"/>
      </tp>
      <tp t="s">
        <v>#N/A Requesting Data...3011380268</v>
        <stp/>
        <stp>BDP|1765029322431003390</stp>
        <tr r="H1699" s="2"/>
      </tp>
      <tp t="b">
        <v>0</v>
        <stp/>
        <stp>BDS|1001415158800653110</stp>
        <tr r="I724" s="2"/>
      </tp>
      <tp t="s">
        <v>#N/A Requesting Data...2827275454</v>
        <stp/>
        <stp>BDP|5831314766831208034</stp>
        <tr r="R1018" s="2"/>
      </tp>
      <tp t="s">
        <v>#N/A Requesting Data...2963615006</v>
        <stp/>
        <stp>BDP|3060278379620266724</stp>
        <tr r="M2354" s="2"/>
      </tp>
      <tp t="s">
        <v>#N/A Requesting Data...3977522770</v>
        <stp/>
        <stp>BDP|7209508629122553306</stp>
        <tr r="F1001" s="2"/>
      </tp>
      <tp t="s">
        <v>#N/A Requesting Data...2825052630</v>
        <stp/>
        <stp>BDP|2959338871730236774</stp>
        <tr r="T2143" s="2"/>
      </tp>
      <tp t="s">
        <v>#N/A Requesting Data...3637446850</v>
        <stp/>
        <stp>BDP|4075213762541980044</stp>
        <tr r="P857" s="2"/>
      </tp>
      <tp t="s">
        <v>#N/A Requesting Data...3617813465</v>
        <stp/>
        <stp>BDP|1836659614647254054</stp>
        <tr r="J616" s="2"/>
      </tp>
      <tp t="s">
        <v>#N/A Requesting Data...2866103686</v>
        <stp/>
        <stp>BDP|7067145409535131228</stp>
        <tr r="Q824" s="2"/>
      </tp>
      <tp t="s">
        <v>#N/A Requesting Data...3884610287</v>
        <stp/>
        <stp>BDP|2163290597789453159</stp>
        <tr r="N887" s="2"/>
      </tp>
      <tp t="s">
        <v>#N/A Requesting Data...3378303805</v>
        <stp/>
        <stp>BDP|6690699367851219644</stp>
        <tr r="R1330" s="2"/>
      </tp>
      <tp t="s">
        <v>#N/A Requesting Data...2786894822</v>
        <stp/>
        <stp>BDP|2875052175573359758</stp>
        <tr r="E2291" s="2"/>
      </tp>
      <tp t="s">
        <v>#N/A Requesting Data...3198780023</v>
        <stp/>
        <stp>BDP|9426838252532362785</stp>
        <tr r="R2072" s="2"/>
      </tp>
      <tp t="s">
        <v>#N/A Requesting Data...3483532192</v>
        <stp/>
        <stp>BDP|5322829031156624984</stp>
        <tr r="S6" s="2"/>
      </tp>
      <tp t="s">
        <v>#N/A Requesting Data...3552395962</v>
        <stp/>
        <stp>BDP|6064789480738400024</stp>
        <tr r="T307" s="2"/>
      </tp>
      <tp t="s">
        <v>#N/A Requesting Data...2895816612</v>
        <stp/>
        <stp>BDP|5805197852944914443</stp>
        <tr r="Q1448" s="2"/>
      </tp>
      <tp t="s">
        <v>#N/A Requesting Data...3701342707</v>
        <stp/>
        <stp>BDP|9746495306788096463</stp>
        <tr r="S1782" s="2"/>
      </tp>
      <tp t="s">
        <v>#N/A Requesting Data...3510180142</v>
        <stp/>
        <stp>BDP|6325740805401519198</stp>
        <tr r="N2528" s="2"/>
      </tp>
      <tp t="s">
        <v>#N/A Requesting Data...2712277929</v>
        <stp/>
        <stp>BDP|1825133857727503379</stp>
        <tr r="S1838" s="2"/>
      </tp>
      <tp t="s">
        <v>#N/A Requesting Data...4153738403</v>
        <stp/>
        <stp>BDP|2496446050510627286</stp>
        <tr r="A2239" s="2"/>
      </tp>
      <tp t="s">
        <v>#N/A Requesting Data...2867394953</v>
        <stp/>
        <stp>BDP|1536333839676908688</stp>
        <tr r="G1548" s="2"/>
      </tp>
      <tp t="s">
        <v>#N/A Requesting Data...2732926483</v>
        <stp/>
        <stp>BDP|5814619582652025852</stp>
        <tr r="D1121" s="2"/>
      </tp>
      <tp t="s">
        <v>#N/A Requesting Data...3003911175</v>
        <stp/>
        <stp>BDP|1128329656024932226</stp>
        <tr r="Q113" s="2"/>
      </tp>
      <tp t="s">
        <v>#N/A Requesting Data...3765191332</v>
        <stp/>
        <stp>BDP|3167770343759289897</stp>
        <tr r="A1079" s="2"/>
      </tp>
      <tp t="s">
        <v>#N/A Requesting Data...3343236727</v>
        <stp/>
        <stp>BDP|6969713684828136030</stp>
        <tr r="E1319" s="2"/>
      </tp>
      <tp t="b">
        <v>0</v>
        <stp/>
        <stp>BDS|7143299746711793171</stp>
        <tr r="I1850" s="2"/>
      </tp>
      <tp t="s">
        <v>#N/A Requesting Data...4209063743</v>
        <stp/>
        <stp>BDP|3628672828547569122</stp>
        <tr r="J2094" s="2"/>
      </tp>
      <tp t="s">
        <v>#N/A Requesting Data...3766734707</v>
        <stp/>
        <stp>BDP|5940840885412090668</stp>
        <tr r="G1423" s="2"/>
      </tp>
      <tp t="s">
        <v>#N/A Requesting Data...2944175036</v>
        <stp/>
        <stp>BDP|2618439313645074388</stp>
        <tr r="C2319" s="2"/>
      </tp>
      <tp t="s">
        <v>#N/A Requesting Data...3533225134</v>
        <stp/>
        <stp>BDP|7820217129304800266</stp>
        <tr r="T2530" s="2"/>
      </tp>
      <tp t="s">
        <v>#N/A Requesting Data...3764647695</v>
        <stp/>
        <stp>BDP|2561249315937252783</stp>
        <tr r="D209" s="2"/>
      </tp>
      <tp t="s">
        <v>#N/A Requesting Data...2749881827</v>
        <stp/>
        <stp>BDP|4883284364302983337</stp>
        <tr r="P1798" s="2"/>
      </tp>
      <tp t="s">
        <v>#N/A Requesting Data...3583629303</v>
        <stp/>
        <stp>BDP|9006759799235231308</stp>
        <tr r="G1025" s="2"/>
      </tp>
      <tp t="s">
        <v>#N/A Requesting Data...3458588441</v>
        <stp/>
        <stp>BDP|3283069674652724796</stp>
        <tr r="D1022" s="2"/>
      </tp>
      <tp t="s">
        <v>#N/A Requesting Data...3019095632</v>
        <stp/>
        <stp>BDP|7677610719119156810</stp>
        <tr r="G489" s="2"/>
      </tp>
      <tp t="s">
        <v>#N/A Requesting Data...2736886627</v>
        <stp/>
        <stp>BDP|4761524152446174382</stp>
        <tr r="G366" s="2"/>
      </tp>
      <tp t="s">
        <v>#N/A Requesting Data...3056471955</v>
        <stp/>
        <stp>BDP|6372677763661133686</stp>
        <tr r="N1616" s="2"/>
      </tp>
      <tp t="s">
        <v>#N/A Requesting Data...3694644207</v>
        <stp/>
        <stp>BDP|2833743010714353111</stp>
        <tr r="G2359" s="2"/>
      </tp>
      <tp t="s">
        <v>#N/A Requesting Data...3736271377</v>
        <stp/>
        <stp>BDP|5510605629520745056</stp>
        <tr r="S683" s="2"/>
      </tp>
      <tp t="s">
        <v>#N/A Requesting Data...3649575433</v>
        <stp/>
        <stp>BDP|5902163701402874783</stp>
        <tr r="G139" s="2"/>
      </tp>
      <tp t="s">
        <v>#N/A Requesting Data...3302830056</v>
        <stp/>
        <stp>BDP|6915240773546554452</stp>
        <tr r="M1823" s="2"/>
      </tp>
      <tp t="s">
        <v>#N/A Requesting Data...3097869462</v>
        <stp/>
        <stp>BDP|4197478451581010596</stp>
        <tr r="Q2463" s="2"/>
      </tp>
      <tp t="s">
        <v>#N/A Requesting Data...2717958029</v>
        <stp/>
        <stp>BDP|9976283690027956463</stp>
        <tr r="T1753" s="2"/>
      </tp>
      <tp t="s">
        <v>#N/A Requesting Data...3397166412</v>
        <stp/>
        <stp>BDP|1535775530632406682</stp>
        <tr r="F823" s="2"/>
      </tp>
      <tp t="s">
        <v>#N/A Requesting Data...3509359046</v>
        <stp/>
        <stp>BDP|3891351475254416229</stp>
        <tr r="T753" s="2"/>
      </tp>
      <tp t="s">
        <v>#N/A Requesting Data...3676011046</v>
        <stp/>
        <stp>BDP|3600896225488559015</stp>
        <tr r="F29" s="2"/>
      </tp>
      <tp t="s">
        <v>#N/A Requesting Data...3202755349</v>
        <stp/>
        <stp>BDP|4232644300784014783</stp>
        <tr r="G2079" s="2"/>
      </tp>
      <tp t="s">
        <v>#N/A Requesting Data...4047089008</v>
        <stp/>
        <stp>BDP|2616914084462416095</stp>
        <tr r="C245" s="2"/>
      </tp>
      <tp t="s">
        <v>#N/A Requesting Data...3276705231</v>
        <stp/>
        <stp>BDP|3664740509240353564</stp>
        <tr r="D794" s="2"/>
      </tp>
      <tp t="s">
        <v>#N/A Requesting Data...3053165756</v>
        <stp/>
        <stp>BDP|7343221159127692608</stp>
        <tr r="E449" s="2"/>
      </tp>
      <tp t="s">
        <v>#N/A Requesting Data...3840849476</v>
        <stp/>
        <stp>BDP|1315844998282929380</stp>
        <tr r="C1554" s="2"/>
      </tp>
      <tp t="s">
        <v>#N/A Requesting Data...3605870090</v>
        <stp/>
        <stp>BDP|4137099730181185776</stp>
        <tr r="G1522" s="2"/>
      </tp>
      <tp t="b">
        <v>0</v>
        <stp/>
        <stp>BDS|3562712903114802113</stp>
        <tr r="I2479" s="2"/>
      </tp>
      <tp t="s">
        <v>#N/A Requesting Data...4257516307</v>
        <stp/>
        <stp>BDP|2914500316775765264</stp>
        <tr r="A1222" s="2"/>
      </tp>
      <tp t="s">
        <v>#N/A Requesting Data...3775244063</v>
        <stp/>
        <stp>BDP|4646692945001668624</stp>
        <tr r="M1619" s="2"/>
      </tp>
      <tp t="s">
        <v>#N/A Requesting Data...3147530509</v>
        <stp/>
        <stp>BDP|4138316611681655692</stp>
        <tr r="D1226" s="2"/>
      </tp>
      <tp t="s">
        <v>#N/A Requesting Data...3091483856</v>
        <stp/>
        <stp>BDP|7809115013281242767</stp>
        <tr r="T322" s="2"/>
      </tp>
      <tp t="s">
        <v>#N/A Requesting Data...3484381831</v>
        <stp/>
        <stp>BDP|8079992054132479777</stp>
        <tr r="R432" s="2"/>
      </tp>
      <tp t="s">
        <v>#N/A Requesting Data...2908705524</v>
        <stp/>
        <stp>BDP|6320758179864053310</stp>
        <tr r="G2295" s="2"/>
      </tp>
      <tp t="s">
        <v>#N/A Requesting Data...3558288786</v>
        <stp/>
        <stp>BDP|7628241941578833852</stp>
        <tr r="R1520" s="2"/>
      </tp>
      <tp t="s">
        <v>#N/A Requesting Data...3677262827</v>
        <stp/>
        <stp>BDP|4603967588564546031</stp>
        <tr r="D749" s="2"/>
      </tp>
      <tp t="s">
        <v>#N/A Requesting Data...4035091927</v>
        <stp/>
        <stp>BDP|4949119747495981586</stp>
        <tr r="T1390" s="2"/>
      </tp>
      <tp t="s">
        <v>#N/A Requesting Data...3511743593</v>
        <stp/>
        <stp>BDP|2343958765934907842</stp>
        <tr r="D2423" s="2"/>
      </tp>
      <tp t="s">
        <v>#N/A Requesting Data...3562331900</v>
        <stp/>
        <stp>BDP|2852758114950424531</stp>
        <tr r="H967" s="2"/>
      </tp>
      <tp t="s">
        <v>#N/A Requesting Data...3752588232</v>
        <stp/>
        <stp>BDP|3920165175566045241</stp>
        <tr r="O1039" s="2"/>
      </tp>
      <tp t="s">
        <v>#N/A Requesting Data...3136317312</v>
        <stp/>
        <stp>BDP|6872904887691310723</stp>
        <tr r="C348" s="2"/>
      </tp>
      <tp t="s">
        <v>#N/A Requesting Data...3713553732</v>
        <stp/>
        <stp>BDP|7993266645114798430</stp>
        <tr r="N1930" s="2"/>
      </tp>
      <tp t="s">
        <v>#N/A Requesting Data...2988476476</v>
        <stp/>
        <stp>BDP|2140190900563611107</stp>
        <tr r="P2405" s="2"/>
      </tp>
      <tp t="s">
        <v>#N/A Requesting Data...3340873120</v>
        <stp/>
        <stp>BDP|8500077005138869117</stp>
        <tr r="H729" s="2"/>
      </tp>
      <tp t="b">
        <v>0</v>
        <stp/>
        <stp>BDS|4690548632280904377</stp>
        <tr r="I51" s="2"/>
      </tp>
      <tp t="s">
        <v>#N/A Requesting Data...3030584821</v>
        <stp/>
        <stp>BDP|4324375708907614149</stp>
        <tr r="O2222" s="2"/>
      </tp>
      <tp t="s">
        <v>#N/A Requesting Data...3382295729</v>
        <stp/>
        <stp>BDP|7245222903225959147</stp>
        <tr r="P71" s="2"/>
      </tp>
      <tp t="s">
        <v>#N/A Requesting Data...3624482675</v>
        <stp/>
        <stp>BDP|2168682911133321751</stp>
        <tr r="H185" s="2"/>
      </tp>
      <tp t="s">
        <v>#N/A Requesting Data...3361405088</v>
        <stp/>
        <stp>BDP|6729368232726883153</stp>
        <tr r="F2107" s="2"/>
      </tp>
      <tp t="s">
        <v>#N/A Requesting Data...2862124256</v>
        <stp/>
        <stp>BDP|7114629119195497406</stp>
        <tr r="N1457" s="2"/>
      </tp>
      <tp t="s">
        <v>#N/A Requesting Data...3387159441</v>
        <stp/>
        <stp>BDP|7342635240695672186</stp>
        <tr r="E2152" s="2"/>
      </tp>
      <tp t="s">
        <v>#N/A Requesting Data...3573840293</v>
        <stp/>
        <stp>BDP|7670484565333593710</stp>
        <tr r="K726" s="2"/>
      </tp>
      <tp t="s">
        <v>#N/A Requesting Data...2920720211</v>
        <stp/>
        <stp>BDP|3890447252967162408</stp>
        <tr r="J51" s="2"/>
      </tp>
      <tp t="s">
        <v>#N/A Requesting Data...3947326804</v>
        <stp/>
        <stp>BDP|2537051721858744997</stp>
        <tr r="R1511" s="2"/>
      </tp>
      <tp t="s">
        <v>#N/A Requesting Data...4051413588</v>
        <stp/>
        <stp>BDP|3339036159775683203</stp>
        <tr r="S417" s="2"/>
      </tp>
      <tp t="s">
        <v>#N/A Requesting Data...2840052654</v>
        <stp/>
        <stp>BDP|1010448029052578477</stp>
        <tr r="Q771" s="2"/>
      </tp>
      <tp t="s">
        <v>#N/A Requesting Data...3683381646</v>
        <stp/>
        <stp>BDP|8849906746504481056</stp>
        <tr r="O2243" s="2"/>
      </tp>
      <tp t="s">
        <v>#N/A Requesting Data...2833065684</v>
        <stp/>
        <stp>BDP|6760693505371383076</stp>
        <tr r="E2214" s="2"/>
      </tp>
      <tp t="s">
        <v>#N/A Requesting Data...4046993886</v>
        <stp/>
        <stp>BDP|3473874106808920231</stp>
        <tr r="D1283" s="2"/>
      </tp>
      <tp t="s">
        <v>#N/A Requesting Data...3322124130</v>
        <stp/>
        <stp>BDP|9678499152229529076</stp>
        <tr r="J2231" s="2"/>
      </tp>
      <tp t="s">
        <v>#N/A Requesting Data...3087378578</v>
        <stp/>
        <stp>BDP|3550042324760316099</stp>
        <tr r="J1028" s="2"/>
      </tp>
      <tp t="s">
        <v>#N/A Requesting Data...3846828391</v>
        <stp/>
        <stp>BDP|6887607996238620077</stp>
        <tr r="D1132" s="2"/>
      </tp>
      <tp t="s">
        <v>#N/A Requesting Data...2841290348</v>
        <stp/>
        <stp>BDP|5433333675036419699</stp>
        <tr r="R612" s="2"/>
      </tp>
      <tp t="s">
        <v>#N/A Requesting Data...3782411515</v>
        <stp/>
        <stp>BDP|1399131544766900327</stp>
        <tr r="A566" s="2"/>
      </tp>
      <tp t="s">
        <v>#N/A Requesting Data...3384832642</v>
        <stp/>
        <stp>BDP|3953410464552524269</stp>
        <tr r="H1499" s="2"/>
      </tp>
      <tp t="s">
        <v>#N/A Requesting Data...3752543969</v>
        <stp/>
        <stp>BDP|2537455476538197881</stp>
        <tr r="E484" s="2"/>
      </tp>
      <tp t="s">
        <v>#N/A Requesting Data...3654601784</v>
        <stp/>
        <stp>BDP|9095998373647395165</stp>
        <tr r="G2070" s="2"/>
      </tp>
      <tp t="s">
        <v>#N/A Requesting Data...3027837465</v>
        <stp/>
        <stp>BDP|9258852107286962668</stp>
        <tr r="C126" s="2"/>
      </tp>
      <tp t="s">
        <v>#N/A Requesting Data...3103093396</v>
        <stp/>
        <stp>BDP|8339582794980708573</stp>
        <tr r="G1712" s="2"/>
      </tp>
      <tp t="s">
        <v>#N/A Requesting Data...4101174424</v>
        <stp/>
        <stp>BDP|2720612514442474699</stp>
        <tr r="P1925" s="2"/>
      </tp>
      <tp t="s">
        <v>#N/A Requesting Data...3958786411</v>
        <stp/>
        <stp>BDP|8563819237575940754</stp>
        <tr r="P156" s="2"/>
      </tp>
      <tp t="s">
        <v>#N/A Requesting Data...3140546911</v>
        <stp/>
        <stp>BDP|5826280480316893872</stp>
        <tr r="N1948" s="2"/>
      </tp>
      <tp t="s">
        <v>#N/A Requesting Data...3448486261</v>
        <stp/>
        <stp>BDP|1125031106828898838</stp>
        <tr r="C2120" s="2"/>
      </tp>
      <tp t="s">
        <v>#N/A Requesting Data...3135817924</v>
        <stp/>
        <stp>BDP|1461978027298277391</stp>
        <tr r="O740" s="2"/>
      </tp>
      <tp t="s">
        <v>#N/A Requesting Data...4206368182</v>
        <stp/>
        <stp>BDP|7753348875603902101</stp>
        <tr r="D789" s="2"/>
      </tp>
      <tp t="s">
        <v>#N/A Requesting Data...3849891131</v>
        <stp/>
        <stp>BDP|3436625758903169204</stp>
        <tr r="K2306" s="2"/>
      </tp>
      <tp t="s">
        <v>#N/A Requesting Data...3579762142</v>
        <stp/>
        <stp>BDP|1090497847068777864</stp>
        <tr r="F1824" s="2"/>
      </tp>
      <tp t="s">
        <v>#N/A Requesting Data...3613960236</v>
        <stp/>
        <stp>BDP|1881812687498144807</stp>
        <tr r="R2464" s="2"/>
      </tp>
      <tp t="s">
        <v>#N/A Requesting Data...3116808531</v>
        <stp/>
        <stp>BDP|2510721942773894323</stp>
        <tr r="Q1170" s="2"/>
      </tp>
      <tp t="s">
        <v>#N/A Requesting Data...4151454265</v>
        <stp/>
        <stp>BDP|2399917654286012991</stp>
        <tr r="J1031" s="2"/>
      </tp>
      <tp t="b">
        <v>0</v>
        <stp/>
        <stp>BDS|3211549625074400187</stp>
        <tr r="I2383" s="2"/>
      </tp>
      <tp t="s">
        <v>#N/A Requesting Data...2928595107</v>
        <stp/>
        <stp>BDP|2514812167024478988</stp>
        <tr r="T2498" s="2"/>
      </tp>
      <tp t="s">
        <v>#N/A Requesting Data...3901198917</v>
        <stp/>
        <stp>BDP|2462699947649755820</stp>
        <tr r="F2197" s="2"/>
      </tp>
      <tp t="s">
        <v>#N/A Requesting Data...3270675838</v>
        <stp/>
        <stp>BDP|6804733032924610704</stp>
        <tr r="C2365" s="2"/>
      </tp>
      <tp t="s">
        <v>#N/A Requesting Data...4077732285</v>
        <stp/>
        <stp>BDP|2037584512872228572</stp>
        <tr r="G1852" s="2"/>
      </tp>
      <tp t="s">
        <v>#N/A Requesting Data...3001244905</v>
        <stp/>
        <stp>BDP|7831853181530628658</stp>
        <tr r="D2447" s="2"/>
      </tp>
      <tp t="s">
        <v>#N/A Requesting Data...3220275927</v>
        <stp/>
        <stp>BDP|5986344285227542824</stp>
        <tr r="O864" s="2"/>
      </tp>
      <tp t="s">
        <v>#N/A Requesting Data...4230453871</v>
        <stp/>
        <stp>BDP|1564699202501467752</stp>
        <tr r="K1164" s="2"/>
      </tp>
      <tp t="s">
        <v>#N/A Requesting Data...3501591586</v>
        <stp/>
        <stp>BDP|1695682856192555121</stp>
        <tr r="Q2087" s="2"/>
      </tp>
      <tp t="s">
        <v>#N/A Requesting Data...3613462528</v>
        <stp/>
        <stp>BDP|9667340329559788035</stp>
        <tr r="E403" s="2"/>
      </tp>
      <tp t="s">
        <v>#N/A Requesting Data...4197073642</v>
        <stp/>
        <stp>BDP|4569965424666190892</stp>
        <tr r="N1342" s="2"/>
      </tp>
      <tp t="s">
        <v>#N/A Requesting Data...4197613102</v>
        <stp/>
        <stp>BDP|4573852296131167583</stp>
        <tr r="C2023" s="2"/>
      </tp>
      <tp t="s">
        <v>#N/A Requesting Data...3865224644</v>
        <stp/>
        <stp>BDP|5142466269704426256</stp>
        <tr r="H1089" s="2"/>
      </tp>
      <tp t="s">
        <v>#N/A Requesting Data...3486363881</v>
        <stp/>
        <stp>BDP|8605213208113561855</stp>
        <tr r="C358" s="2"/>
      </tp>
      <tp t="s">
        <v>#N/A Requesting Data...3919621351</v>
        <stp/>
        <stp>BDP|7450591467243730624</stp>
        <tr r="K1849" s="2"/>
      </tp>
      <tp t="s">
        <v>#N/A Requesting Data...3421838381</v>
        <stp/>
        <stp>BDP|9595901862903902410</stp>
        <tr r="T1886" s="2"/>
      </tp>
      <tp t="s">
        <v>#N/A Requesting Data...3162984882</v>
        <stp/>
        <stp>BDP|7989693089918111072</stp>
        <tr r="E2033" s="2"/>
      </tp>
      <tp t="s">
        <v>#N/A Requesting Data...4294355462</v>
        <stp/>
        <stp>BDP|3624129406434979749</stp>
        <tr r="S1546" s="2"/>
      </tp>
      <tp t="s">
        <v>#N/A Requesting Data...2991019887</v>
        <stp/>
        <stp>BDP|4590146018730589531</stp>
        <tr r="P451" s="2"/>
      </tp>
      <tp t="s">
        <v>#N/A Requesting Data...4119436094</v>
        <stp/>
        <stp>BDP|3365205729054003653</stp>
        <tr r="F36" s="2"/>
      </tp>
      <tp t="s">
        <v>#N/A Requesting Data...3494713086</v>
        <stp/>
        <stp>BDP|7113471119457913495</stp>
        <tr r="T1289" s="2"/>
      </tp>
      <tp t="s">
        <v>#N/A Requesting Data...3346114533</v>
        <stp/>
        <stp>BDP|8137810532363410191</stp>
        <tr r="C1989" s="2"/>
      </tp>
      <tp t="s">
        <v>#N/A Requesting Data...3791596745</v>
        <stp/>
        <stp>BDP|2911791939243759417</stp>
        <tr r="N1347" s="2"/>
      </tp>
      <tp t="s">
        <v>#N/A Requesting Data...3554964902</v>
        <stp/>
        <stp>BDP|8407985215415685409</stp>
        <tr r="S941" s="2"/>
      </tp>
      <tp t="s">
        <v>#N/A Requesting Data...4061978642</v>
        <stp/>
        <stp>BDP|9852585287292154797</stp>
        <tr r="K1124" s="2"/>
      </tp>
      <tp t="s">
        <v>#N/A Requesting Data...3833747165</v>
        <stp/>
        <stp>BDP|1892158978791379791</stp>
        <tr r="N477" s="2"/>
      </tp>
      <tp t="s">
        <v>#N/A Requesting Data...3105784303</v>
        <stp/>
        <stp>BDP|3002160092553311987</stp>
        <tr r="K544" s="2"/>
      </tp>
      <tp t="b">
        <v>0</v>
        <stp/>
        <stp>BDS|7067093915491765647</stp>
        <tr r="I2072" s="2"/>
      </tp>
      <tp t="s">
        <v>#N/A Requesting Data...4258183954</v>
        <stp/>
        <stp>BDP|7848588268240643519</stp>
        <tr r="K599" s="2"/>
      </tp>
      <tp t="s">
        <v>#N/A Requesting Data...3630739446</v>
        <stp/>
        <stp>BDP|5172499595831750851</stp>
        <tr r="P2440" s="2"/>
      </tp>
      <tp t="s">
        <v>#N/A Requesting Data...3416909528</v>
        <stp/>
        <stp>BDP|6361733106861982107</stp>
        <tr r="R2271" s="2"/>
      </tp>
      <tp t="s">
        <v>#N/A Requesting Data...4170011666</v>
        <stp/>
        <stp>BDP|3936604045108200814</stp>
        <tr r="E1422" s="2"/>
      </tp>
      <tp t="s">
        <v>#N/A Requesting Data...4112697420</v>
        <stp/>
        <stp>BDP|2315772169410055220</stp>
        <tr r="R2495" s="2"/>
      </tp>
      <tp t="b">
        <v>0</v>
        <stp/>
        <stp>BDS|8376170991418946936</stp>
        <tr r="I2397" s="2"/>
      </tp>
      <tp t="s">
        <v>#N/A Requesting Data...3653024368</v>
        <stp/>
        <stp>BDP|3079839045209080796</stp>
        <tr r="P503" s="2"/>
      </tp>
      <tp t="s">
        <v>#N/A Requesting Data...3636716997</v>
        <stp/>
        <stp>BDP|8293149534398905341</stp>
        <tr r="P631" s="2"/>
      </tp>
      <tp t="s">
        <v>#N/A Requesting Data...3102918408</v>
        <stp/>
        <stp>BDP|5385121515107944329</stp>
        <tr r="G2351" s="2"/>
      </tp>
      <tp t="s">
        <v>#N/A Requesting Data...4138829750</v>
        <stp/>
        <stp>BDP|6867499539443061378</stp>
        <tr r="N1045" s="2"/>
      </tp>
      <tp t="s">
        <v>#N/A Requesting Data...3047449686</v>
        <stp/>
        <stp>BDP|3246307029532327171</stp>
        <tr r="S1912" s="2"/>
      </tp>
      <tp t="s">
        <v>#N/A Requesting Data...3121591121</v>
        <stp/>
        <stp>BDP|8630611210926079889</stp>
        <tr r="P634" s="2"/>
      </tp>
      <tp t="s">
        <v>#N/A Requesting Data...3410210909</v>
        <stp/>
        <stp>BDP|3025447996696532984</stp>
        <tr r="T1586" s="2"/>
      </tp>
      <tp t="s">
        <v>#N/A Requesting Data...3532489103</v>
        <stp/>
        <stp>BDP|2569548669688357849</stp>
        <tr r="G50" s="2"/>
      </tp>
      <tp t="s">
        <v>#N/A Requesting Data...3519706932</v>
        <stp/>
        <stp>BDP|1404835481765135585</stp>
        <tr r="N2161" s="2"/>
      </tp>
      <tp t="s">
        <v>#N/A Requesting Data...4232300957</v>
        <stp/>
        <stp>BDP|8858254755586459835</stp>
        <tr r="S1101" s="2"/>
      </tp>
      <tp t="s">
        <v>#N/A Requesting Data...3403828122</v>
        <stp/>
        <stp>BDP|1947863583031069135</stp>
        <tr r="N1149" s="2"/>
      </tp>
      <tp t="s">
        <v>#N/A Requesting Data...3746193513</v>
        <stp/>
        <stp>BDP|8895188664908973628</stp>
        <tr r="A1647" s="2"/>
      </tp>
      <tp t="s">
        <v>#N/A Requesting Data...3971201667</v>
        <stp/>
        <stp>BDP|2619519438595789072</stp>
        <tr r="F2462" s="2"/>
      </tp>
      <tp t="b">
        <v>0</v>
        <stp/>
        <stp>BDS|1425358818856125474</stp>
        <tr r="I134" s="2"/>
      </tp>
      <tp t="s">
        <v>#N/A Requesting Data...4047214261</v>
        <stp/>
        <stp>BDP|1847503852624514407</stp>
        <tr r="F555" s="2"/>
      </tp>
      <tp t="s">
        <v>#N/A Requesting Data...3426956058</v>
        <stp/>
        <stp>BDP|4295042038657029118</stp>
        <tr r="K2450" s="2"/>
      </tp>
      <tp t="s">
        <v>#N/A Requesting Data...3133367085</v>
        <stp/>
        <stp>BDP|1132997711320731812</stp>
        <tr r="T189" s="2"/>
      </tp>
      <tp t="s">
        <v>#N/A Requesting Data...4012069358</v>
        <stp/>
        <stp>BDP|5528654348951689711</stp>
        <tr r="E1937" s="2"/>
      </tp>
      <tp t="s">
        <v>#N/A Requesting Data...3328591771</v>
        <stp/>
        <stp>BDP|2125593892669148645</stp>
        <tr r="J2103" s="2"/>
      </tp>
      <tp t="s">
        <v>#N/A Requesting Data...3518943959</v>
        <stp/>
        <stp>BDP|1595170199188172059</stp>
        <tr r="R1478" s="2"/>
      </tp>
      <tp t="s">
        <v>#N/A Requesting Data...3875361507</v>
        <stp/>
        <stp>BDP|2911402653301028354</stp>
        <tr r="A821" s="2"/>
      </tp>
      <tp t="s">
        <v>#N/A Requesting Data...3377335524</v>
        <stp/>
        <stp>BDP|5450510172011809703</stp>
        <tr r="G134" s="2"/>
      </tp>
      <tp t="s">
        <v>#N/A Requesting Data...3908077286</v>
        <stp/>
        <stp>BDP|4320145953450807135</stp>
        <tr r="G936" s="2"/>
      </tp>
      <tp t="s">
        <v>#N/A Requesting Data...3379455686</v>
        <stp/>
        <stp>BDP|6213701009075011578</stp>
        <tr r="R2511" s="2"/>
      </tp>
      <tp t="s">
        <v>#N/A Requesting Data...3622800124</v>
        <stp/>
        <stp>BDP|3879960204739189271</stp>
        <tr r="C969" s="2"/>
      </tp>
      <tp t="s">
        <v>#N/A Requesting Data...3086337095</v>
        <stp/>
        <stp>BDP|4648477992910921861</stp>
        <tr r="C174" s="2"/>
      </tp>
      <tp t="s">
        <v>#N/A Requesting Data...3421753601</v>
        <stp/>
        <stp>BDP|7523473944990221683</stp>
        <tr r="H2154" s="2"/>
      </tp>
      <tp t="s">
        <v>#N/A Requesting Data...4276693422</v>
        <stp/>
        <stp>BDP|3485422274699976872</stp>
        <tr r="K1142" s="2"/>
      </tp>
      <tp t="s">
        <v>#N/A Requesting Data...3705085263</v>
        <stp/>
        <stp>BDP|9979772385252466538</stp>
        <tr r="A1139" s="2"/>
      </tp>
      <tp t="b">
        <v>0</v>
        <stp/>
        <stp>BDS|9164665148849567366</stp>
        <tr r="I440" s="2"/>
      </tp>
      <tp t="s">
        <v>#N/A Requesting Data...3561717607</v>
        <stp/>
        <stp>BDP|7366373479015284735</stp>
        <tr r="P1522" s="2"/>
      </tp>
      <tp t="s">
        <v>#N/A Requesting Data...3945611099</v>
        <stp/>
        <stp>BDP|6075303296645980832</stp>
        <tr r="Q1221" s="2"/>
      </tp>
      <tp t="s">
        <v>#N/A Requesting Data...3837970255</v>
        <stp/>
        <stp>BDP|1405511936805906361</stp>
        <tr r="O2239" s="2"/>
      </tp>
      <tp t="s">
        <v>#N/A Requesting Data...4192757569</v>
        <stp/>
        <stp>BDP|9074088769106514884</stp>
        <tr r="T1649" s="2"/>
      </tp>
      <tp t="s">
        <v>#N/A Requesting Data...3777499093</v>
        <stp/>
        <stp>BDP|5692886600865390915</stp>
        <tr r="E1030" s="2"/>
      </tp>
      <tp t="s">
        <v>#N/A Requesting Data...3762020562</v>
        <stp/>
        <stp>BDP|3224424937253385687</stp>
        <tr r="G2218" s="2"/>
      </tp>
      <tp t="s">
        <v>#N/A Requesting Data...4144195182</v>
        <stp/>
        <stp>BDP|6511884620264789964</stp>
        <tr r="S2297" s="2"/>
      </tp>
      <tp t="s">
        <v>#N/A Requesting Data...3199627086</v>
        <stp/>
        <stp>BDP|2304690433045230379</stp>
        <tr r="N2190" s="2"/>
      </tp>
      <tp t="s">
        <v>#N/A Requesting Data...3590416695</v>
        <stp/>
        <stp>BDP|8114558086291809561</stp>
        <tr r="J1900" s="2"/>
      </tp>
      <tp t="s">
        <v>#N/A Requesting Data...3787803608</v>
        <stp/>
        <stp>BDP|5191522269831096660</stp>
        <tr r="F318" s="2"/>
      </tp>
      <tp t="s">
        <v>#N/A Requesting Data...3718462420</v>
        <stp/>
        <stp>BDP|1241541801173380686</stp>
        <tr r="J375" s="2"/>
      </tp>
      <tp t="s">
        <v>#N/A Requesting Data...4037335617</v>
        <stp/>
        <stp>BDP|1180254550075139295</stp>
        <tr r="T1422" s="2"/>
      </tp>
      <tp t="s">
        <v>#N/A Requesting Data...3094824580</v>
        <stp/>
        <stp>BDP|5181290535276807397</stp>
        <tr r="Q1006" s="2"/>
      </tp>
      <tp t="s">
        <v>#N/A Requesting Data...3785343228</v>
        <stp/>
        <stp>BDP|1486101823797952426</stp>
        <tr r="C1359" s="2"/>
      </tp>
      <tp t="s">
        <v>#N/A Requesting Data...3621325806</v>
        <stp/>
        <stp>BDP|5601565278874594219</stp>
        <tr r="O1123" s="2"/>
      </tp>
      <tp t="s">
        <v>#N/A Requesting Data...4139799049</v>
        <stp/>
        <stp>BDP|6667219929787747051</stp>
        <tr r="E2224" s="2"/>
      </tp>
      <tp t="s">
        <v>#N/A Requesting Data...3425747721</v>
        <stp/>
        <stp>BDP|6608910798080685755</stp>
        <tr r="R1084" s="2"/>
      </tp>
      <tp t="s">
        <v>#N/A Requesting Data...3196418265</v>
        <stp/>
        <stp>BDP|3481023885102915866</stp>
        <tr r="F310" s="2"/>
      </tp>
      <tp t="s">
        <v>#N/A Requesting Data...3971672413</v>
        <stp/>
        <stp>BDP|1518150554675887102</stp>
        <tr r="E2235" s="2"/>
      </tp>
      <tp t="s">
        <v>#N/A Requesting Data...4127273138</v>
        <stp/>
        <stp>BDP|1036053009771728178</stp>
        <tr r="K323" s="2"/>
      </tp>
      <tp t="s">
        <v>#N/A Requesting Data...3882332019</v>
        <stp/>
        <stp>BDP|2047240038867018500</stp>
        <tr r="T906" s="2"/>
      </tp>
      <tp t="s">
        <v>#N/A Requesting Data...3185540221</v>
        <stp/>
        <stp>BDP|5420035837461968659</stp>
        <tr r="Q128" s="2"/>
      </tp>
      <tp t="s">
        <v>#N/A Requesting Data...3979963758</v>
        <stp/>
        <stp>BDP|1796886385922035269</stp>
        <tr r="R766" s="2"/>
      </tp>
      <tp t="s">
        <v>#N/A Requesting Data...3582863672</v>
        <stp/>
        <stp>BDP|8364269166058712582</stp>
        <tr r="K1669" s="2"/>
      </tp>
      <tp t="s">
        <v>#N/A Requesting Data...3579907286</v>
        <stp/>
        <stp>BDP|9703841426101195385</stp>
        <tr r="A1507" s="2"/>
      </tp>
      <tp t="s">
        <v>#N/A Requesting Data...3612093021</v>
        <stp/>
        <stp>BDP|3240589477435304525</stp>
        <tr r="D814" s="2"/>
      </tp>
      <tp t="s">
        <v>#N/A Requesting Data...3305708772</v>
        <stp/>
        <stp>BDP|1923225940046583023</stp>
        <tr r="P118" s="2"/>
      </tp>
      <tp t="s">
        <v>#N/A Requesting Data...4214326475</v>
        <stp/>
        <stp>BDP|6479348247975225598</stp>
        <tr r="O1810" s="2"/>
      </tp>
      <tp t="s">
        <v>#N/A Requesting Data...3372769862</v>
        <stp/>
        <stp>BDP|7058168732482127694</stp>
        <tr r="T1775" s="2"/>
      </tp>
      <tp t="s">
        <v>#N/A Requesting Data...3645573091</v>
        <stp/>
        <stp>BDP|4796597571000540765</stp>
        <tr r="E970" s="2"/>
      </tp>
      <tp t="s">
        <v>#N/A Requesting Data...3838527174</v>
        <stp/>
        <stp>BDP|1107824881244715498</stp>
        <tr r="O788" s="2"/>
      </tp>
      <tp t="s">
        <v>#N/A Requesting Data...3585240144</v>
        <stp/>
        <stp>BDP|4277329878727662620</stp>
        <tr r="M12" s="2"/>
      </tp>
      <tp t="s">
        <v>#N/A Requesting Data...4225133741</v>
        <stp/>
        <stp>BDP|7678169802722679581</stp>
        <tr r="E14" s="2"/>
      </tp>
      <tp t="s">
        <v>#N/A Requesting Data...3571750685</v>
        <stp/>
        <stp>BDP|9144353069878737562</stp>
        <tr r="E2419" s="2"/>
      </tp>
      <tp t="b">
        <v>0</v>
        <stp/>
        <stp>BDS|8794256182217551495</stp>
        <tr r="I885" s="2"/>
      </tp>
      <tp t="s">
        <v>#N/A Requesting Data...3293317220</v>
        <stp/>
        <stp>BDP|4771501582908062097</stp>
        <tr r="H1736" s="2"/>
      </tp>
      <tp t="s">
        <v>#N/A Requesting Data...4174791703</v>
        <stp/>
        <stp>BDP|9842756133748795452</stp>
        <tr r="A1410" s="2"/>
      </tp>
      <tp t="s">
        <v>#N/A Requesting Data...3390746851</v>
        <stp/>
        <stp>BDP|5533135915021628595</stp>
        <tr r="C579" s="2"/>
      </tp>
      <tp t="s">
        <v>#N/A Requesting Data...3783328466</v>
        <stp/>
        <stp>BDP|1958338030020097065</stp>
        <tr r="C1036" s="2"/>
      </tp>
      <tp t="s">
        <v>#N/A Requesting Data...3503490177</v>
        <stp/>
        <stp>BDP|1407393217270014260</stp>
        <tr r="M1860" s="2"/>
      </tp>
      <tp t="s">
        <v>#N/A Requesting Data...3659786526</v>
        <stp/>
        <stp>BDP|8695185180723120339</stp>
        <tr r="E2182" s="2"/>
      </tp>
      <tp t="s">
        <v>#N/A Requesting Data...3963352916</v>
        <stp/>
        <stp>BDP|7673737788219902082</stp>
        <tr r="P2108" s="2"/>
      </tp>
      <tp t="s">
        <v>#N/A Requesting Data...4141671682</v>
        <stp/>
        <stp>BDP|7790298232822307539</stp>
        <tr r="D767" s="2"/>
      </tp>
      <tp t="s">
        <v>#N/A Requesting Data...3209874764</v>
        <stp/>
        <stp>BDP|9831574700005761841</stp>
        <tr r="N1962" s="2"/>
      </tp>
      <tp t="s">
        <v>#N/A Requesting Data...4188438750</v>
        <stp/>
        <stp>BDP|4001192145272006200</stp>
        <tr r="Q1537" s="2"/>
      </tp>
      <tp t="s">
        <v>#N/A Requesting Data...3438951911</v>
        <stp/>
        <stp>BDP|3749529560765081492</stp>
        <tr r="N539" s="2"/>
      </tp>
      <tp t="s">
        <v>#N/A Requesting Data...3989888802</v>
        <stp/>
        <stp>BDP|3001156233107813725</stp>
        <tr r="G1662" s="2"/>
      </tp>
      <tp t="s">
        <v>#N/A Requesting Data...3886564628</v>
        <stp/>
        <stp>BDP|1453200139699238833</stp>
        <tr r="O480" s="2"/>
      </tp>
      <tp t="s">
        <v>#N/A Requesting Data...3190021227</v>
        <stp/>
        <stp>BDP|4177215115112954405</stp>
        <tr r="S992" s="2"/>
      </tp>
      <tp t="b">
        <v>0</v>
        <stp/>
        <stp>BDS|3402417663542323290</stp>
        <tr r="I569" s="2"/>
      </tp>
      <tp t="s">
        <v>#N/A Requesting Data...3382123063</v>
        <stp/>
        <stp>BDP|1812549205893252676</stp>
        <tr r="T2396" s="2"/>
      </tp>
      <tp t="s">
        <v>#N/A Requesting Data...3378338087</v>
        <stp/>
        <stp>BDP|3655731267442965174</stp>
        <tr r="A1573" s="2"/>
      </tp>
      <tp t="s">
        <v>#N/A Requesting Data...3635131983</v>
        <stp/>
        <stp>BDP|4453253729533641625</stp>
        <tr r="T5" s="2"/>
      </tp>
      <tp t="s">
        <v>#N/A Requesting Data...3914003715</v>
        <stp/>
        <stp>BDP|6140207077021924333</stp>
        <tr r="Q429" s="2"/>
      </tp>
      <tp t="s">
        <v>#N/A Requesting Data...4205269430</v>
        <stp/>
        <stp>BDP|7634678821331528398</stp>
        <tr r="C894" s="2"/>
      </tp>
      <tp t="s">
        <v>#N/A Requesting Data...4112288921</v>
        <stp/>
        <stp>BDP|8469887873775676353</stp>
        <tr r="F505" s="2"/>
      </tp>
      <tp t="s">
        <v>#N/A Requesting Data...3849008457</v>
        <stp/>
        <stp>BDP|4723883963332550955</stp>
        <tr r="G2374" s="2"/>
      </tp>
      <tp t="s">
        <v>#N/A Requesting Data...4185428685</v>
        <stp/>
        <stp>BDP|2496507008175886382</stp>
        <tr r="O370" s="2"/>
      </tp>
      <tp t="s">
        <v>#N/A Requesting Data...4273360240</v>
        <stp/>
        <stp>BDP|8801596184711033597</stp>
        <tr r="S2040" s="2"/>
      </tp>
      <tp t="s">
        <v>#N/A Requesting Data...4145695080</v>
        <stp/>
        <stp>BDP|2097581714326061108</stp>
        <tr r="M1604" s="2"/>
      </tp>
      <tp t="s">
        <v>#N/A Requesting Data...4225584818</v>
        <stp/>
        <stp>BDP|3938771220830567779</stp>
        <tr r="A2141" s="2"/>
      </tp>
      <tp t="s">
        <v>#N/A Requesting Data...3423247690</v>
        <stp/>
        <stp>BDP|7507675305244809432</stp>
        <tr r="N1444" s="2"/>
      </tp>
      <tp t="s">
        <v>#N/A Requesting Data...3606334121</v>
        <stp/>
        <stp>BDP|8471820803041116083</stp>
        <tr r="T2050" s="2"/>
      </tp>
      <tp t="s">
        <v>#N/A Requesting Data...3843910400</v>
        <stp/>
        <stp>BDP|1537624218555255213</stp>
        <tr r="K275" s="2"/>
      </tp>
      <tp t="s">
        <v>#N/A Requesting Data...3478146786</v>
        <stp/>
        <stp>BDP|2831201420422171155</stp>
        <tr r="A2281" s="2"/>
      </tp>
      <tp t="s">
        <v>#N/A Requesting Data...3599173362</v>
        <stp/>
        <stp>BDP|5701879580273475788</stp>
        <tr r="T513" s="2"/>
      </tp>
      <tp t="s">
        <v>#N/A Requesting Data...3490274293</v>
        <stp/>
        <stp>BDP|4896783563373648799</stp>
        <tr r="Q2161" s="2"/>
      </tp>
      <tp t="s">
        <v>#N/A Requesting Data...4187623558</v>
        <stp/>
        <stp>BDP|4597507508953208333</stp>
        <tr r="S1083" s="2"/>
      </tp>
      <tp t="s">
        <v>#N/A Requesting Data...3410884261</v>
        <stp/>
        <stp>BDP|9670695211397614844</stp>
        <tr r="J2000" s="2"/>
      </tp>
      <tp t="s">
        <v>#N/A Requesting Data...3437250776</v>
        <stp/>
        <stp>BDP|1281488107407938383</stp>
        <tr r="R194" s="2"/>
      </tp>
      <tp t="s">
        <v>#N/A Requesting Data...4289653043</v>
        <stp/>
        <stp>BDP|8505372699725709601</stp>
        <tr r="R2161" s="2"/>
      </tp>
      <tp t="s">
        <v>#N/A Requesting Data...3693254772</v>
        <stp/>
        <stp>BDP|4644012024002952564</stp>
        <tr r="T2339" s="2"/>
      </tp>
      <tp t="s">
        <v>#N/A Requesting Data...3439974606</v>
        <stp/>
        <stp>BDP|6579745767756258087</stp>
        <tr r="A365" s="2"/>
      </tp>
      <tp t="s">
        <v>#N/A Requesting Data...4287235034</v>
        <stp/>
        <stp>BDP|6835903691794452315</stp>
        <tr r="K313" s="2"/>
      </tp>
      <tp t="s">
        <v>#N/A Requesting Data...4175765925</v>
        <stp/>
        <stp>BDP|5596918733027959923</stp>
        <tr r="G2368" s="2"/>
      </tp>
      <tp t="s">
        <v>#N/A Requesting Data...3773484838</v>
        <stp/>
        <stp>BDP|5741385450597327501</stp>
        <tr r="A1452" s="2"/>
      </tp>
      <tp t="s">
        <v>#N/A Requesting Data...3418316429</v>
        <stp/>
        <stp>BDP|1495197388701980807</stp>
        <tr r="Q1041" s="2"/>
      </tp>
      <tp t="s">
        <v>#N/A Requesting Data...3443609464</v>
        <stp/>
        <stp>BDP|4906228456226655466</stp>
        <tr r="K1118" s="2"/>
      </tp>
      <tp t="s">
        <v>#N/A Requesting Data...3444016127</v>
        <stp/>
        <stp>BDP|5866239266479266924</stp>
        <tr r="S1759" s="2"/>
      </tp>
      <tp t="s">
        <v>#N/A Requesting Data...3479196675</v>
        <stp/>
        <stp>BDP|5771583876496780031</stp>
        <tr r="C751" s="2"/>
      </tp>
      <tp t="s">
        <v>#N/A Requesting Data...3310735939</v>
        <stp/>
        <stp>BDP|7902106619717599181</stp>
        <tr r="S1429" s="2"/>
      </tp>
      <tp t="s">
        <v>#N/A Requesting Data...4097771528</v>
        <stp/>
        <stp>BDP|8778941238907436425</stp>
        <tr r="D350" s="2"/>
      </tp>
      <tp t="s">
        <v>#N/A Requesting Data...3885486840</v>
        <stp/>
        <stp>BDP|7614357939902254453</stp>
        <tr r="M278" s="2"/>
      </tp>
      <tp t="s">
        <v>#N/A Requesting Data...3722443954</v>
        <stp/>
        <stp>BDP|1445787910564569248</stp>
        <tr r="Q1180" s="2"/>
      </tp>
      <tp t="s">
        <v>#N/A Requesting Data...4263314696</v>
        <stp/>
        <stp>BDP|7933028869028621891</stp>
        <tr r="O1203" s="2"/>
      </tp>
      <tp t="s">
        <v>#N/A Requesting Data...3603309138</v>
        <stp/>
        <stp>BDP|4372349712480154797</stp>
        <tr r="T49" s="2"/>
      </tp>
      <tp t="s">
        <v>#N/A Requesting Data...4141568792</v>
        <stp/>
        <stp>BDP|4958545052004301118</stp>
        <tr r="M33" s="2"/>
      </tp>
      <tp t="s">
        <v>#N/A Requesting Data...4221215936</v>
        <stp/>
        <stp>BDP|5998323417724927287</stp>
        <tr r="N836" s="2"/>
      </tp>
      <tp t="s">
        <v>#N/A Requesting Data...4134695155</v>
        <stp/>
        <stp>BDP|3108932073945949954</stp>
        <tr r="S2357" s="2"/>
      </tp>
      <tp t="s">
        <v>#N/A Requesting Data...3750355274</v>
        <stp/>
        <stp>BDP|4035559341116810211</stp>
        <tr r="P502" s="2"/>
      </tp>
      <tp t="s">
        <v>#N/A Requesting Data...3502446311</v>
        <stp/>
        <stp>BDP|8545500575053864859</stp>
        <tr r="D2358" s="2"/>
      </tp>
      <tp t="s">
        <v>#N/A Requesting Data...4046346948</v>
        <stp/>
        <stp>BDP|6923243037696245058</stp>
        <tr r="J2167" s="2"/>
      </tp>
      <tp t="s">
        <v>#N/A Requesting Data...3756466570</v>
        <stp/>
        <stp>BDP|9727868276533909434</stp>
        <tr r="N907" s="2"/>
      </tp>
      <tp t="s">
        <v>#N/A Requesting Data...4061101273</v>
        <stp/>
        <stp>BDP|2344676919043691760</stp>
        <tr r="G62" s="2"/>
      </tp>
      <tp t="s">
        <v>#N/A Requesting Data...3505995705</v>
        <stp/>
        <stp>BDP|5098113374361907312</stp>
        <tr r="C770" s="2"/>
      </tp>
      <tp t="s">
        <v>#N/A Requesting Data...4121405153</v>
        <stp/>
        <stp>BDP|5041051900885028185</stp>
        <tr r="C156" s="2"/>
      </tp>
      <tp t="s">
        <v>#N/A Requesting Data...3672654786</v>
        <stp/>
        <stp>BDP|4336293214241609758</stp>
        <tr r="M1415" s="2"/>
      </tp>
      <tp t="s">
        <v>#N/A Requesting Data...4237804865</v>
        <stp/>
        <stp>BDP|2703456953975577792</stp>
        <tr r="O353" s="2"/>
      </tp>
      <tp t="s">
        <v>#N/A Requesting Data...3752411674</v>
        <stp/>
        <stp>BDP|3118785468722804149</stp>
        <tr r="N2128" s="2"/>
      </tp>
      <tp t="s">
        <v>#N/A Requesting Data...3663169013</v>
        <stp/>
        <stp>BDP|4456234505835817275</stp>
        <tr r="R1219" s="2"/>
      </tp>
      <tp t="s">
        <v>#N/A Requesting Data...4072081198</v>
        <stp/>
        <stp>BDP|4873574842346698264</stp>
        <tr r="Q2164" s="2"/>
      </tp>
      <tp t="s">
        <v>#N/A Requesting Data...3937762466</v>
        <stp/>
        <stp>BDP|1008559551549978906</stp>
        <tr r="C1240" s="2"/>
      </tp>
      <tp t="s">
        <v>#N/A Requesting Data...3896541894</v>
        <stp/>
        <stp>BDP|6157074528347294216</stp>
        <tr r="S893" s="2"/>
      </tp>
      <tp t="s">
        <v>#N/A Requesting Data...3900652566</v>
        <stp/>
        <stp>BDP|2055089609987482480</stp>
        <tr r="A326" s="2"/>
      </tp>
      <tp t="s">
        <v>#N/A Requesting Data...3974168508</v>
        <stp/>
        <stp>BDP|9797748437105859918</stp>
        <tr r="O2443" s="2"/>
      </tp>
      <tp t="s">
        <v>#N/A Requesting Data...3611119217</v>
        <stp/>
        <stp>BDP|8157397355057490847</stp>
        <tr r="C505" s="2"/>
      </tp>
      <tp t="s">
        <v>#N/A Requesting Data...3883205419</v>
        <stp/>
        <stp>BDP|4759878095437966313</stp>
        <tr r="A558" s="2"/>
      </tp>
      <tp t="s">
        <v>#N/A Requesting Data...3632576704</v>
        <stp/>
        <stp>BDP|3584340926675835621</stp>
        <tr r="M1507" s="2"/>
      </tp>
      <tp t="s">
        <v>#N/A Requesting Data...3459292635</v>
        <stp/>
        <stp>BDP|1368251257894849347</stp>
        <tr r="S547" s="2"/>
      </tp>
      <tp t="s">
        <v>#N/A Requesting Data...4222449172</v>
        <stp/>
        <stp>BDP|6052144433160286587</stp>
        <tr r="G104" s="2"/>
      </tp>
      <tp t="s">
        <v>#N/A Requesting Data...3470608915</v>
        <stp/>
        <stp>BDP|6888796629161104340</stp>
        <tr r="D1330" s="2"/>
      </tp>
      <tp t="s">
        <v>#N/A Requesting Data...3422728862</v>
        <stp/>
        <stp>BDP|9245596182381560418</stp>
        <tr r="G1585" s="2"/>
      </tp>
      <tp t="s">
        <v>#N/A Requesting Data...4053509464</v>
        <stp/>
        <stp>BDP|1624198757651538500</stp>
        <tr r="R985" s="2"/>
      </tp>
      <tp t="s">
        <v>#N/A Requesting Data...3683905202</v>
        <stp/>
        <stp>BDP|2556471972848425891</stp>
        <tr r="J1215" s="2"/>
      </tp>
      <tp t="s">
        <v>#N/A Requesting Data...4213734896</v>
        <stp/>
        <stp>BDP|2920553631166978398</stp>
        <tr r="O270" s="2"/>
      </tp>
      <tp t="s">
        <v>#N/A Requesting Data...3540812835</v>
        <stp/>
        <stp>BDP|6378098484077663856</stp>
        <tr r="O691" s="2"/>
      </tp>
      <tp t="s">
        <v>#N/A Requesting Data...4216973210</v>
        <stp/>
        <stp>BDP|8830008137369342312</stp>
        <tr r="C1608" s="2"/>
      </tp>
      <tp t="s">
        <v>#N/A Requesting Data...4082133553</v>
        <stp/>
        <stp>BDP|7173902863058698192</stp>
        <tr r="A1795" s="2"/>
      </tp>
      <tp t="s">
        <v>#N/A Requesting Data...4193807664</v>
        <stp/>
        <stp>BDP|5729142363323956048</stp>
        <tr r="H2244" s="2"/>
      </tp>
      <tp t="s">
        <v>#N/A Requesting Data...4258158106</v>
        <stp/>
        <stp>BDP|6688880691203340510</stp>
        <tr r="P163" s="2"/>
      </tp>
      <tp t="s">
        <v>#N/A Requesting Data...3877939095</v>
        <stp/>
        <stp>BDP|1038395274047807388</stp>
        <tr r="S1756" s="2"/>
      </tp>
      <tp t="s">
        <v>#N/A Requesting Data...3540953050</v>
        <stp/>
        <stp>BDP|2944040540845590254</stp>
        <tr r="Q1667" s="2"/>
      </tp>
      <tp t="s">
        <v>#N/A Requesting Data...3541447349</v>
        <stp/>
        <stp>BDP|1404687042320641251</stp>
        <tr r="D1984" s="2"/>
      </tp>
      <tp t="s">
        <v>#N/A Requesting Data...3703856744</v>
        <stp/>
        <stp>BDP|2252313623743420192</stp>
        <tr r="M348" s="2"/>
      </tp>
      <tp t="s">
        <v>#N/A Requesting Data...4108010563</v>
        <stp/>
        <stp>BDP|6371181606521565754</stp>
        <tr r="D1136" s="2"/>
      </tp>
      <tp t="s">
        <v>#N/A Requesting Data...3481014429</v>
        <stp/>
        <stp>BDP|3161359553334986035</stp>
        <tr r="A1702" s="2"/>
      </tp>
      <tp t="s">
        <v>#N/A Requesting Data...4096775047</v>
        <stp/>
        <stp>BDP|7814740943190605541</stp>
        <tr r="E1640" s="2"/>
      </tp>
      <tp t="s">
        <v>#N/A Requesting Data...4131304831</v>
        <stp/>
        <stp>BDP|3381831058976074956</stp>
        <tr r="R1233" s="2"/>
      </tp>
      <tp t="s">
        <v>#N/A Requesting Data...3646376818</v>
        <stp/>
        <stp>BDP|5413351961171500080</stp>
        <tr r="G1457" s="2"/>
      </tp>
      <tp t="b">
        <v>0</v>
        <stp/>
        <stp>BDS|4493789850564738365</stp>
        <tr r="I10" s="2"/>
      </tp>
      <tp t="s">
        <v>#N/A Requesting Data...3513015563</v>
        <stp/>
        <stp>BDP|5472923395113846761</stp>
        <tr r="K1098" s="2"/>
      </tp>
      <tp t="s">
        <v>#N/A Requesting Data...3440729295</v>
        <stp/>
        <stp>BDP|1566005099301727862</stp>
        <tr r="O1749" s="2"/>
      </tp>
      <tp t="s">
        <v>#N/A Requesting Data...4095799729</v>
        <stp/>
        <stp>BDP|6256099363786520709</stp>
        <tr r="C504" s="2"/>
      </tp>
      <tp t="b">
        <v>0</v>
        <stp/>
        <stp>BDS|3980047967264482036</stp>
        <tr r="I105" s="2"/>
      </tp>
      <tp t="s">
        <v>#N/A Requesting Data...3973149734</v>
        <stp/>
        <stp>BDP|1266794445584732744</stp>
        <tr r="D1772" s="2"/>
      </tp>
      <tp t="s">
        <v>#N/A Requesting Data...4020982141</v>
        <stp/>
        <stp>BDP|8285091721913319841</stp>
        <tr r="F397" s="2"/>
      </tp>
      <tp t="s">
        <v>#N/A Requesting Data...3643283546</v>
        <stp/>
        <stp>BDP|9621614303676960805</stp>
        <tr r="S2083" s="2"/>
      </tp>
      <tp t="s">
        <v>#N/A Requesting Data...4239919433</v>
        <stp/>
        <stp>BDP|1951147833834187621</stp>
        <tr r="Q639" s="2"/>
      </tp>
      <tp t="s">
        <v>#N/A Requesting Data...3545262040</v>
        <stp/>
        <stp>BDP|2694568148261037352</stp>
        <tr r="E85" s="2"/>
      </tp>
      <tp t="s">
        <v>#N/A Requesting Data...3697919903</v>
        <stp/>
        <stp>BDP|2029662223842098583</stp>
        <tr r="J1620" s="2"/>
      </tp>
      <tp t="s">
        <v>#N/A Requesting Data...4107558492</v>
        <stp/>
        <stp>BDP|3563987417513376941</stp>
        <tr r="E1531" s="2"/>
      </tp>
      <tp t="s">
        <v>#N/A Requesting Data...4278448486</v>
        <stp/>
        <stp>BDP|5613081900642361602</stp>
        <tr r="S1579" s="2"/>
      </tp>
      <tp t="s">
        <v>#N/A Requesting Data...3573636272</v>
        <stp/>
        <stp>BDP|7633173550765978752</stp>
        <tr r="N873" s="2"/>
      </tp>
      <tp t="b">
        <v>0</v>
        <stp/>
        <stp>BDS|3712112966413563680</stp>
        <tr r="I400" s="2"/>
      </tp>
      <tp t="s">
        <v>#N/A Requesting Data...3634080907</v>
        <stp/>
        <stp>BDP|6093348308421995589</stp>
        <tr r="C357" s="2"/>
      </tp>
      <tp t="s">
        <v>#N/A Requesting Data...4074642737</v>
        <stp/>
        <stp>BDP|8547924228167203504</stp>
        <tr r="M1526" s="2"/>
      </tp>
      <tp t="s">
        <v>#N/A Requesting Data...3820232797</v>
        <stp/>
        <stp>BDP|1635184100935736448</stp>
        <tr r="Q1813" s="2"/>
      </tp>
      <tp t="s">
        <v>#N/A Requesting Data...4029673310</v>
        <stp/>
        <stp>BDP|7453850319129263677</stp>
        <tr r="T2384" s="2"/>
      </tp>
      <tp t="s">
        <v>#N/A Requesting Data...3620608371</v>
        <stp/>
        <stp>BDP|8872524180702002671</stp>
        <tr r="E460" s="2"/>
      </tp>
      <tp t="s">
        <v>#N/A Requesting Data...4103777903</v>
        <stp/>
        <stp>BDP|3516350808496715721</stp>
        <tr r="P1991" s="2"/>
      </tp>
      <tp t="s">
        <v>#N/A Requesting Data...3710495985</v>
        <stp/>
        <stp>BDP|6199589624914342438</stp>
        <tr r="M657" s="2"/>
      </tp>
      <tp t="s">
        <v>#N/A Requesting Data...4259302327</v>
        <stp/>
        <stp>BDP|3026104437483857322</stp>
        <tr r="M2395" s="2"/>
      </tp>
      <tp t="s">
        <v>#N/A Requesting Data...3565240781</v>
        <stp/>
        <stp>BDP|9935641485780700620</stp>
        <tr r="J631" s="2"/>
      </tp>
      <tp t="s">
        <v>#N/A Requesting Data...3498231976</v>
        <stp/>
        <stp>BDP|1073396555193025517</stp>
        <tr r="G1575" s="2"/>
      </tp>
      <tp t="s">
        <v>#N/A Requesting Data...4173847818</v>
        <stp/>
        <stp>BDP|5333269472526995732</stp>
        <tr r="H2214" s="2"/>
      </tp>
      <tp t="s">
        <v>#N/A Requesting Data...4059607968</v>
        <stp/>
        <stp>BDP|8476925540094378081</stp>
        <tr r="F1308" s="2"/>
      </tp>
      <tp t="s">
        <v>#N/A Requesting Data...3614194864</v>
        <stp/>
        <stp>BDP|4528022141860247198</stp>
        <tr r="G1570" s="2"/>
      </tp>
      <tp t="s">
        <v>#N/A Requesting Data...3798488449</v>
        <stp/>
        <stp>BDP|5675774446121319697</stp>
        <tr r="M1285" s="2"/>
      </tp>
      <tp t="s">
        <v>#N/A Requesting Data...3775795046</v>
        <stp/>
        <stp>BDP|3632407119072702553</stp>
        <tr r="P1262" s="2"/>
      </tp>
      <tp t="s">
        <v>#N/A Requesting Data...4028960407</v>
        <stp/>
        <stp>BDP|1035669023943156791</stp>
        <tr r="N1119" s="2"/>
      </tp>
      <tp t="s">
        <v>#N/A Requesting Data...3537844337</v>
        <stp/>
        <stp>BDP|2504140424698068887</stp>
        <tr r="S1296" s="2"/>
      </tp>
      <tp t="s">
        <v>#N/A Requesting Data...3789577724</v>
        <stp/>
        <stp>BDP|3744591181539055622</stp>
        <tr r="E42" s="2"/>
      </tp>
      <tp t="b">
        <v>0</v>
        <stp/>
        <stp>BDS|4875242641921682260</stp>
        <tr r="I1849" s="2"/>
      </tp>
      <tp t="s">
        <v>#N/A Requesting Data...4198338970</v>
        <stp/>
        <stp>BDP|2520306217745678493</stp>
        <tr r="P1175" s="2"/>
      </tp>
      <tp t="s">
        <v>#N/A Requesting Data...4192814431</v>
        <stp/>
        <stp>BDP|5975421002290335070</stp>
        <tr r="P2463" s="2"/>
      </tp>
      <tp t="s">
        <v>#N/A Requesting Data...4012989284</v>
        <stp/>
        <stp>BDP|9888303784541084210</stp>
        <tr r="C1859" s="2"/>
      </tp>
      <tp t="s">
        <v>#N/A Requesting Data...3791831222</v>
        <stp/>
        <stp>BDP|7034479589413209918</stp>
        <tr r="O2206" s="2"/>
      </tp>
      <tp t="s">
        <v>#N/A Requesting Data...4218670607</v>
        <stp/>
        <stp>BDP|9571130497788547892</stp>
        <tr r="P146" s="2"/>
      </tp>
      <tp t="s">
        <v>#N/A Requesting Data...3913524873</v>
        <stp/>
        <stp>BDP|1187644543000207265</stp>
        <tr r="T746" s="2"/>
      </tp>
      <tp t="s">
        <v>#N/A Requesting Data...4183549405</v>
        <stp/>
        <stp>BDP|4711326357845365630</stp>
        <tr r="H1910" s="2"/>
      </tp>
      <tp t="s">
        <v>#N/A Requesting Data...4225777780</v>
        <stp/>
        <stp>BDP|7423276594664293972</stp>
        <tr r="Q1225" s="2"/>
      </tp>
      <tp t="s">
        <v>#N/A Requesting Data...3882826411</v>
        <stp/>
        <stp>BDP|1603247489499091393</stp>
        <tr r="T2198" s="2"/>
      </tp>
      <tp t="b">
        <v>0</v>
        <stp/>
        <stp>BDS|8605805224811762270</stp>
        <tr r="I1725" s="2"/>
      </tp>
      <tp t="s">
        <v>#N/A Requesting Data...3840160041</v>
        <stp/>
        <stp>BDP|3296490738917987280</stp>
        <tr r="S1400" s="2"/>
      </tp>
      <tp t="s">
        <v>#N/A Requesting Data...4141613272</v>
        <stp/>
        <stp>BDP|4247049194345325934</stp>
        <tr r="M874" s="2"/>
      </tp>
      <tp t="s">
        <v>#N/A Requesting Data...4116568993</v>
        <stp/>
        <stp>BDP|7456473653475328218</stp>
        <tr r="J1609" s="2"/>
      </tp>
      <tp t="s">
        <v>#N/A Requesting Data...4033983287</v>
        <stp/>
        <stp>BDP|4827149378093468026</stp>
        <tr r="R1049" s="2"/>
      </tp>
      <tp t="s">
        <v>#N/A Requesting Data...3906792251</v>
        <stp/>
        <stp>BDP|7890335411574933011</stp>
        <tr r="F39" s="2"/>
      </tp>
      <tp t="s">
        <v>#N/A Requesting Data...3630618743</v>
        <stp/>
        <stp>BDP|9514418507889289532</stp>
        <tr r="E1623" s="2"/>
      </tp>
      <tp t="s">
        <v>#N/A Requesting Data...4203989511</v>
        <stp/>
        <stp>BDP|3017883729418353008</stp>
        <tr r="E425" s="2"/>
      </tp>
      <tp t="s">
        <v>#N/A Requesting Data...3746573449</v>
        <stp/>
        <stp>BDP|5178558656592135612</stp>
        <tr r="M394" s="2"/>
      </tp>
      <tp t="s">
        <v>#N/A Requesting Data...4151631799</v>
        <stp/>
        <stp>BDP|1738905322252483937</stp>
        <tr r="R972" s="2"/>
      </tp>
      <tp t="s">
        <v>#N/A Requesting Data...3821850805</v>
        <stp/>
        <stp>BDP|9451468787090702406</stp>
        <tr r="D682" s="2"/>
      </tp>
      <tp t="s">
        <v>#N/A Requesting Data...4052094578</v>
        <stp/>
        <stp>BDP|3589102745141394619</stp>
        <tr r="N623" s="2"/>
      </tp>
      <tp t="s">
        <v>#N/A Requesting Data...3793453208</v>
        <stp/>
        <stp>BDP|2320525638784327189</stp>
        <tr r="K930" s="2"/>
      </tp>
      <tp t="s">
        <v>#N/A Requesting Data...3592057853</v>
        <stp/>
        <stp>BDP|7156266816182483770</stp>
        <tr r="G304" s="2"/>
      </tp>
      <tp t="s">
        <v>#N/A Requesting Data...3997218262</v>
        <stp/>
        <stp>BDP|1574155177177113148</stp>
        <tr r="N1427" s="2"/>
      </tp>
      <tp t="s">
        <v>#N/A Requesting Data...4016452054</v>
        <stp/>
        <stp>BDP|6984228041936065785</stp>
        <tr r="A2471" s="2"/>
      </tp>
      <tp t="b">
        <v>0</v>
        <stp/>
        <stp>BDS|6118363902293587721</stp>
        <tr r="I1761" s="2"/>
      </tp>
      <tp t="s">
        <v>#N/A Requesting Data...3784247741</v>
        <stp/>
        <stp>BDP|8608133743215136958</stp>
        <tr r="S40" s="2"/>
      </tp>
      <tp t="s">
        <v>#N/A Requesting Data...4281450155</v>
        <stp/>
        <stp>BDP|9783209988576485496</stp>
        <tr r="K1594" s="2"/>
      </tp>
      <tp t="s">
        <v>#N/A Requesting Data...4278327747</v>
        <stp/>
        <stp>BDP|5568788915686369493</stp>
        <tr r="H1290" s="2"/>
      </tp>
      <tp t="s">
        <v>#N/A Requesting Data...3752102425</v>
        <stp/>
        <stp>BDP|6305196743902323080</stp>
        <tr r="T1520" s="2"/>
      </tp>
      <tp t="s">
        <v>#N/A Requesting Data...3706567909</v>
        <stp/>
        <stp>BDP|3961649462490444292</stp>
        <tr r="M1325" s="2"/>
      </tp>
      <tp t="s">
        <v>#N/A Requesting Data...3603489706</v>
        <stp/>
        <stp>BDP|1237683348374566659</stp>
        <tr r="S826" s="2"/>
      </tp>
      <tp t="s">
        <v>#N/A Requesting Data...3627038810</v>
        <stp/>
        <stp>BDP|8627937844273239718</stp>
        <tr r="F2090" s="2"/>
      </tp>
      <tp t="s">
        <v>#N/A Requesting Data...3829911059</v>
        <stp/>
        <stp>BDP|7450358704276722301</stp>
        <tr r="R1431" s="2"/>
      </tp>
      <tp t="s">
        <v>#N/A Requesting Data...3843936717</v>
        <stp/>
        <stp>BDP|6562036441890330367</stp>
        <tr r="T1198" s="2"/>
      </tp>
      <tp t="s">
        <v>#N/A Requesting Data...3748932413</v>
        <stp/>
        <stp>BDP|3982185339357801721</stp>
        <tr r="A2276" s="2"/>
      </tp>
      <tp t="s">
        <v>#N/A Requesting Data...4103021245</v>
        <stp/>
        <stp>BDP|1539726763046139779</stp>
        <tr r="O1446" s="2"/>
      </tp>
      <tp t="s">
        <v>#N/A Requesting Data...3958780850</v>
        <stp/>
        <stp>BDP|2298881149807591846</stp>
        <tr r="C512" s="2"/>
      </tp>
      <tp t="s">
        <v>#N/A Requesting Data...4204938054</v>
        <stp/>
        <stp>BDP|2675511266884356404</stp>
        <tr r="J869" s="2"/>
      </tp>
      <tp t="s">
        <v>#N/A Requesting Data...3930350600</v>
        <stp/>
        <stp>BDP|9705858114564749536</stp>
        <tr r="J914" s="2"/>
      </tp>
      <tp t="b">
        <v>0</v>
        <stp/>
        <stp>BDS|1916824629163003909</stp>
        <tr r="I436" s="2"/>
      </tp>
      <tp t="s">
        <v>#N/A Requesting Data...3799600646</v>
        <stp/>
        <stp>BDP|2508248651112064621</stp>
        <tr r="R1782" s="2"/>
      </tp>
      <tp t="s">
        <v>#N/A Requesting Data...3627005746</v>
        <stp/>
        <stp>BDP|2920624429792271527</stp>
        <tr r="F307" s="2"/>
      </tp>
      <tp t="s">
        <v>#N/A Requesting Data...3923545444</v>
        <stp/>
        <stp>BDP|5734915793042679610</stp>
        <tr r="Q2469" s="2"/>
      </tp>
      <tp t="s">
        <v>#N/A Requesting Data...3873334880</v>
        <stp/>
        <stp>BDP|9964268775585892803</stp>
        <tr r="R135" s="2"/>
      </tp>
      <tp t="s">
        <v>#N/A Requesting Data...4011025110</v>
        <stp/>
        <stp>BDP|8281056148699982441</stp>
        <tr r="T1812" s="2"/>
      </tp>
      <tp t="s">
        <v>#N/A Requesting Data...4152736341</v>
        <stp/>
        <stp>BDP|1786464153809070803</stp>
        <tr r="A2383" s="2"/>
      </tp>
      <tp t="s">
        <v>#N/A Requesting Data...3714110504</v>
        <stp/>
        <stp>BDP|4018270584798215737</stp>
        <tr r="H294" s="2"/>
      </tp>
      <tp t="s">
        <v>#N/A Requesting Data...3700431366</v>
        <stp/>
        <stp>BDP|6127675416721613141</stp>
        <tr r="J1718" s="2"/>
      </tp>
      <tp t="s">
        <v>#N/A Requesting Data...3949777657</v>
        <stp/>
        <stp>BDP|2741436723627607234</stp>
        <tr r="P1562" s="2"/>
      </tp>
      <tp t="s">
        <v>#N/A Requesting Data...4132221189</v>
        <stp/>
        <stp>BDP|6476817280107357044</stp>
        <tr r="C1344" s="2"/>
      </tp>
      <tp t="s">
        <v>#N/A Requesting Data...3719685735</v>
        <stp/>
        <stp>BDP|6958491277175250170</stp>
        <tr r="D1099" s="2"/>
      </tp>
      <tp t="s">
        <v>#N/A Requesting Data...4216773778</v>
        <stp/>
        <stp>BDP|6594269923112194538</stp>
        <tr r="H92" s="2"/>
      </tp>
      <tp t="s">
        <v>#N/A Requesting Data...3810933383</v>
        <stp/>
        <stp>BDP|3900045838271636014</stp>
        <tr r="A1871" s="2"/>
      </tp>
      <tp t="s">
        <v>#N/A Requesting Data...4242189949</v>
        <stp/>
        <stp>BDP|6768599289129272379</stp>
        <tr r="O1561" s="2"/>
      </tp>
      <tp t="s">
        <v>#N/A Requesting Data...3757882768</v>
        <stp/>
        <stp>BDP|9739216481311057353</stp>
        <tr r="A2324" s="2"/>
      </tp>
      <tp t="s">
        <v>#N/A Requesting Data...3711066171</v>
        <stp/>
        <stp>BDP|3736135678006674282</stp>
        <tr r="H436" s="2"/>
      </tp>
      <tp t="b">
        <v>0</v>
        <stp/>
        <stp>BDS|2334242461101054645</stp>
        <tr r="I313" s="2"/>
      </tp>
      <tp t="s">
        <v>#N/A Requesting Data...4112368550</v>
        <stp/>
        <stp>BDP|3541706108135885078</stp>
        <tr r="D2446" s="2"/>
      </tp>
      <tp t="s">
        <v>#N/A Requesting Data...4039376926</v>
        <stp/>
        <stp>BDP|6191208032453755563</stp>
        <tr r="N1197" s="2"/>
      </tp>
      <tp t="s">
        <v>#N/A Requesting Data...3933688292</v>
        <stp/>
        <stp>BDP|1507421422030432631</stp>
        <tr r="C737" s="2"/>
      </tp>
      <tp t="s">
        <v>#N/A Requesting Data...3820811917</v>
        <stp/>
        <stp>BDP|2996363818868354964</stp>
        <tr r="A225" s="2"/>
      </tp>
      <tp t="s">
        <v>#N/A Requesting Data...3737518423</v>
        <stp/>
        <stp>BDP|7164330971753147106</stp>
        <tr r="G2314" s="2"/>
      </tp>
      <tp t="b">
        <v>0</v>
        <stp/>
        <stp>BDS|2501011991323305942</stp>
        <tr r="I109" s="2"/>
      </tp>
      <tp t="s">
        <v>#N/A Requesting Data...3995548006</v>
        <stp/>
        <stp>BDP|1210031204883793302</stp>
        <tr r="K666" s="2"/>
      </tp>
      <tp t="s">
        <v>#N/A Requesting Data...3767062339</v>
        <stp/>
        <stp>BDP|2553758393598320529</stp>
        <tr r="G1403" s="2"/>
      </tp>
      <tp t="s">
        <v>#N/A Requesting Data...4151505577</v>
        <stp/>
        <stp>BDP|9568911310041556131</stp>
        <tr r="A924" s="2"/>
      </tp>
      <tp t="b">
        <v>0</v>
        <stp/>
        <stp>BDS|8710394298215665620</stp>
        <tr r="I906" s="2"/>
      </tp>
      <tp t="s">
        <v>#N/A Requesting Data...4273556002</v>
        <stp/>
        <stp>BDP|2495089666337821203</stp>
        <tr r="A759" s="2"/>
      </tp>
      <tp t="s">
        <v>#N/A Requesting Data...4152100868</v>
        <stp/>
        <stp>BDP|7314002760805880591</stp>
        <tr r="O911" s="2"/>
      </tp>
      <tp t="s">
        <v>#N/A Requesting Data...3775894247</v>
        <stp/>
        <stp>BDP|7378939340903501875</stp>
        <tr r="C1911" s="2"/>
      </tp>
      <tp t="s">
        <v>#N/A Requesting Data...4181861963</v>
        <stp/>
        <stp>BDP|9744563090132361605</stp>
        <tr r="M1365" s="2"/>
      </tp>
      <tp t="s">
        <v>#N/A Requesting Data...3896256863</v>
        <stp/>
        <stp>BDP|4632877053459270122</stp>
        <tr r="E915" s="2"/>
      </tp>
      <tp t="s">
        <v>#N/A Requesting Data...4105555309</v>
        <stp/>
        <stp>BDP|9256840515724316526</stp>
        <tr r="Q1479" s="2"/>
      </tp>
      <tp t="s">
        <v>#N/A Requesting Data...3958863546</v>
        <stp/>
        <stp>BDP|1690366351026121028</stp>
        <tr r="Q815" s="2"/>
      </tp>
      <tp t="s">
        <v>#N/A Requesting Data...3911383942</v>
        <stp/>
        <stp>BDP|4605627267726834396</stp>
        <tr r="C484" s="2"/>
      </tp>
      <tp t="s">
        <v>#N/A Requesting Data...3927523691</v>
        <stp/>
        <stp>BDP|6590365982938573467</stp>
        <tr r="R48" s="2"/>
      </tp>
      <tp t="s">
        <v>#N/A Requesting Data...3736944551</v>
        <stp/>
        <stp>BDP|6765960000287347905</stp>
        <tr r="G1928" s="2"/>
      </tp>
      <tp t="s">
        <v>#N/A Requesting Data...3790441821</v>
        <stp/>
        <stp>BDP|2327218431817167500</stp>
        <tr r="T458" s="2"/>
      </tp>
      <tp t="s">
        <v>#N/A Requesting Data...3922437872</v>
        <stp/>
        <stp>BDP|7762486151001823646</stp>
        <tr r="J192" s="2"/>
      </tp>
      <tp t="s">
        <v>#N/A Requesting Data...3958256261</v>
        <stp/>
        <stp>BDP|9097013262536024819</stp>
        <tr r="E919" s="2"/>
      </tp>
      <tp t="s">
        <v>#N/A Requesting Data...3898920149</v>
        <stp/>
        <stp>BDP|7050243810682239747</stp>
        <tr r="N1268" s="2"/>
      </tp>
      <tp t="s">
        <v>#N/A Requesting Data...3866967379</v>
        <stp/>
        <stp>BDP|2273305431526220532</stp>
        <tr r="D1727" s="2"/>
      </tp>
      <tp t="s">
        <v>#N/A Requesting Data...4069826418</v>
        <stp/>
        <stp>BDP|7718446463015088128</stp>
        <tr r="G891" s="2"/>
      </tp>
      <tp t="s">
        <v>#N/A Requesting Data...3967285364</v>
        <stp/>
        <stp>BDP|4134375636171003420</stp>
        <tr r="C780" s="2"/>
      </tp>
      <tp t="s">
        <v>#N/A Requesting Data...4083068110</v>
        <stp/>
        <stp>BDP|1945021216358865977</stp>
        <tr r="N308" s="2"/>
      </tp>
      <tp t="s">
        <v>#N/A Requesting Data...3841127229</v>
        <stp/>
        <stp>BDP|9685840124020384277</stp>
        <tr r="C360" s="2"/>
      </tp>
      <tp t="s">
        <v>#N/A Requesting Data...3864143142</v>
        <stp/>
        <stp>BDP|5509725464631063412</stp>
        <tr r="G1649" s="2"/>
      </tp>
      <tp t="s">
        <v>#N/A Requesting Data...3888765179</v>
        <stp/>
        <stp>BDP|8336216856128714612</stp>
        <tr r="G1931" s="2"/>
      </tp>
      <tp t="s">
        <v>#N/A Requesting Data...4224807025</v>
        <stp/>
        <stp>BDP|2318179846607409149</stp>
        <tr r="C398" s="2"/>
      </tp>
      <tp t="s">
        <v>#N/A Requesting Data...4013964900</v>
        <stp/>
        <stp>BDP|2377556651662702121</stp>
        <tr r="Q609" s="2"/>
      </tp>
      <tp t="s">
        <v>#N/A Requesting Data...4291390608</v>
        <stp/>
        <stp>BDP|2012021574955265169</stp>
        <tr r="Q1140" s="2"/>
      </tp>
      <tp t="s">
        <v>#N/A Requesting Data...4078964010</v>
        <stp/>
        <stp>BDP|4962766315354063783</stp>
        <tr r="P743" s="2"/>
      </tp>
      <tp t="s">
        <v>#N/A Requesting Data...3894239820</v>
        <stp/>
        <stp>BDP|4301355787159162724</stp>
        <tr r="H836" s="2"/>
      </tp>
      <tp t="s">
        <v>#N/A Requesting Data...4242469319</v>
        <stp/>
        <stp>BDP|1568510645641458073</stp>
        <tr r="A1324" s="2"/>
      </tp>
      <tp t="s">
        <v>#N/A Requesting Data...4142885725</v>
        <stp/>
        <stp>BDP|5165467932434102763</stp>
        <tr r="K2472" s="2"/>
      </tp>
      <tp t="s">
        <v>#N/A Requesting Data...3860901525</v>
        <stp/>
        <stp>BDP|4757166953913647268</stp>
        <tr r="Q1426" s="2"/>
      </tp>
      <tp t="s">
        <v>#N/A Requesting Data...3999406368</v>
        <stp/>
        <stp>BDP|5261224348697851527</stp>
        <tr r="C113" s="2"/>
      </tp>
      <tp t="s">
        <v>#N/A Requesting Data...3837019795</v>
        <stp/>
        <stp>BDP|7220078243506354463</stp>
        <tr r="C393" s="2"/>
      </tp>
      <tp t="s">
        <v>#N/A Requesting Data...3928377539</v>
        <stp/>
        <stp>BDP|2184981764569945571</stp>
        <tr r="F1434" s="2"/>
      </tp>
      <tp t="s">
        <v>#N/A Requesting Data...4166549233</v>
        <stp/>
        <stp>BDP|5951873955440093982</stp>
        <tr r="F239" s="2"/>
      </tp>
      <tp t="s">
        <v>#N/A Requesting Data...3823730664</v>
        <stp/>
        <stp>BDP|2723441481387205839</stp>
        <tr r="D1873" s="2"/>
      </tp>
      <tp t="s">
        <v>#N/A Requesting Data...3985668000</v>
        <stp/>
        <stp>BDP|4560100141108580827</stp>
        <tr r="Q550" s="2"/>
      </tp>
      <tp t="s">
        <v>#N/A Requesting Data...3896386905</v>
        <stp/>
        <stp>BDP|4362269521425368045</stp>
        <tr r="C2139" s="2"/>
      </tp>
      <tp t="s">
        <v>#N/A Requesting Data...4020112693</v>
        <stp/>
        <stp>BDP|7754660210555037428</stp>
        <tr r="S1584" s="2"/>
      </tp>
      <tp t="s">
        <v>#N/A Requesting Data...3879180253</v>
        <stp/>
        <stp>BDP|7500440876804508113</stp>
        <tr r="K1404" s="2"/>
      </tp>
      <tp t="s">
        <v>#N/A Requesting Data...3865305380</v>
        <stp/>
        <stp>BDP|2326888601248807313</stp>
        <tr r="R1957" s="2"/>
      </tp>
      <tp t="s">
        <v>#N/A Requesting Data...3998486714</v>
        <stp/>
        <stp>BDP|2912734869333755178</stp>
        <tr r="K1085" s="2"/>
      </tp>
      <tp t="s">
        <v>#N/A Requesting Data...4292957675</v>
        <stp/>
        <stp>BDP|1287331277095742126</stp>
        <tr r="Q2071" s="2"/>
      </tp>
      <tp t="s">
        <v>#N/A Requesting Data...3845630076</v>
        <stp/>
        <stp>BDP|6118099072162066294</stp>
        <tr r="O747" s="2"/>
      </tp>
      <tp t="s">
        <v>#N/A Requesting Data...4247849538</v>
        <stp/>
        <stp>BDP|7541465835705540409</stp>
        <tr r="O2045" s="2"/>
      </tp>
      <tp t="s">
        <v>#N/A Requesting Data...4110298614</v>
        <stp/>
        <stp>BDP|3608651340502790276</stp>
        <tr r="J1480" s="2"/>
      </tp>
      <tp t="s">
        <v>#N/A Requesting Data...3950676041</v>
        <stp/>
        <stp>BDP|4133419504541257050</stp>
        <tr r="D402" s="2"/>
      </tp>
      <tp t="s">
        <v>#N/A Requesting Data...4173426431</v>
        <stp/>
        <stp>BDP|4378336161176688642</stp>
        <tr r="G2191" s="2"/>
      </tp>
      <tp t="s">
        <v>#N/A Requesting Data...3972051188</v>
        <stp/>
        <stp>BDP|6964547793862553986</stp>
        <tr r="A448" s="2"/>
      </tp>
      <tp t="s">
        <v>#N/A Requesting Data...3931522697</v>
        <stp/>
        <stp>BDP|1292404734912597507</stp>
        <tr r="T1590" s="2"/>
      </tp>
      <tp t="s">
        <v>#N/A Requesting Data...4052516364</v>
        <stp/>
        <stp>BDP|1491850898924824528</stp>
        <tr r="J410" s="2"/>
      </tp>
      <tp t="s">
        <v>#N/A Requesting Data...4281890357</v>
        <stp/>
        <stp>BDP|9547950134376549429</stp>
        <tr r="K484" s="2"/>
      </tp>
      <tp t="s">
        <v>#N/A Requesting Data...4211054868</v>
        <stp/>
        <stp>BDP|3751994908942475915</stp>
        <tr r="C1774" s="2"/>
      </tp>
      <tp t="s">
        <v>#N/A Requesting Data...4175668495</v>
        <stp/>
        <stp>BDP|9229684989447170118</stp>
        <tr r="E447" s="2"/>
      </tp>
      <tp t="s">
        <v>#N/A Requesting Data...4158511211</v>
        <stp/>
        <stp>BDP|4072228166627774603</stp>
        <tr r="D1053" s="2"/>
      </tp>
      <tp t="s">
        <v>#N/A Requesting Data...4071299754</v>
        <stp/>
        <stp>BDP|1482383374117976320</stp>
        <tr r="E595" s="2"/>
      </tp>
      <tp t="s">
        <v>#N/A Requesting Data...4081161550</v>
        <stp/>
        <stp>BDP|4123112600086651258</stp>
        <tr r="E2079" s="2"/>
      </tp>
      <tp t="s">
        <v>#N/A Requesting Data...4023188787</v>
        <stp/>
        <stp>BDP|6564375351145987496</stp>
        <tr r="S2005" s="2"/>
      </tp>
      <tp t="s">
        <v>#N/A Requesting Data...4117701197</v>
        <stp/>
        <stp>BDP|8797345496620655303</stp>
        <tr r="A164" s="2"/>
      </tp>
      <tp t="s">
        <v>#N/A Requesting Data...4208840855</v>
        <stp/>
        <stp>BDP|6964741547474160089</stp>
        <tr r="K687" s="2"/>
      </tp>
      <tp t="s">
        <v>#N/A Requesting Data...4113594349</v>
        <stp/>
        <stp>BDP|4136163806806269202</stp>
        <tr r="C439" s="2"/>
      </tp>
      <tp t="s">
        <v>#N/A Requesting Data...4157738625</v>
        <stp/>
        <stp>BDP|7697168756817646531</stp>
        <tr r="T1135" s="2"/>
      </tp>
      <tp t="s">
        <v>#N/A Requesting Data...4218007629</v>
        <stp/>
        <stp>BDP|6706924104867692949</stp>
        <tr r="C2345" s="2"/>
      </tp>
      <tp t="s">
        <v>#N/A Requesting Data...4278433473</v>
        <stp/>
        <stp>BDP|6576820896632481465</stp>
        <tr r="H1099" s="2"/>
      </tp>
      <tp t="s">
        <v>#N/A Requesting Data...3927701320</v>
        <stp/>
        <stp>BDP|5019335742424456769</stp>
        <tr r="P521" s="2"/>
      </tp>
      <tp t="s">
        <v>#N/A Requesting Data...4205141094</v>
        <stp/>
        <stp>BDP|5195435924213539102</stp>
        <tr r="C926" s="2"/>
      </tp>
      <tp t="s">
        <v>#N/A Requesting Data...4094820494</v>
        <stp/>
        <stp>BDP|6573708426035761776</stp>
        <tr r="R139" s="2"/>
      </tp>
      <tp t="s">
        <v>#N/A Requesting Data...4163106636</v>
        <stp/>
        <stp>BDP|6076735524433781131</stp>
        <tr r="Q413" s="2"/>
      </tp>
      <tp t="s">
        <v>#N/A Requesting Data...4200493390</v>
        <stp/>
        <stp>BDP|9882986503479861883</stp>
        <tr r="M780" s="2"/>
      </tp>
      <tp t="s">
        <v>#N/A Requesting Data...3898807387</v>
        <stp/>
        <stp>BDP|4031551167377579149</stp>
        <tr r="A2079" s="2"/>
      </tp>
      <tp t="b">
        <v>0</v>
        <stp/>
        <stp>BDS|3859717341183987226</stp>
        <tr r="I110" s="2"/>
      </tp>
      <tp t="s">
        <v>#N/A Requesting Data...3998543428</v>
        <stp/>
        <stp>BDP|4353468601557120664</stp>
        <tr r="J1358" s="2"/>
      </tp>
      <tp t="s">
        <v>#N/A Requesting Data...4244412865</v>
        <stp/>
        <stp>BDP|7683974712556540853</stp>
        <tr r="D2479" s="2"/>
      </tp>
      <tp t="s">
        <v>#N/A Requesting Data...4059693946</v>
        <stp/>
        <stp>BDP|7950320147764754589</stp>
        <tr r="J875" s="2"/>
      </tp>
      <tp t="s">
        <v>#N/A Requesting Data...4232974996</v>
        <stp/>
        <stp>BDP|2939528966381834165</stp>
        <tr r="Q472" s="2"/>
      </tp>
      <tp t="s">
        <v>#N/A Requesting Data...4159478570</v>
        <stp/>
        <stp>BDP|1157451856421777069</stp>
        <tr r="N789" s="2"/>
      </tp>
      <tp t="s">
        <v>#N/A Requesting Data...4074996116</v>
        <stp/>
        <stp>BDP|7382184072473892320</stp>
        <tr r="A285" s="2"/>
      </tp>
      <tp t="s">
        <v>#N/A Requesting Data...4236445099</v>
        <stp/>
        <stp>BDP|8649154873878196720</stp>
        <tr r="K1657" s="2"/>
      </tp>
      <tp t="s">
        <v>#N/A Requesting Data...3951794348</v>
        <stp/>
        <stp>BDP|6301076516704618271</stp>
        <tr r="T2335" s="2"/>
      </tp>
      <tp t="s">
        <v>#N/A Requesting Data...4161251521</v>
        <stp/>
        <stp>BDP|1068244224403104327</stp>
        <tr r="K2506" s="2"/>
      </tp>
      <tp t="s">
        <v>#N/A Requesting Data...3975798337</v>
        <stp/>
        <stp>BDP|6917027870313126396</stp>
        <tr r="J1272" s="2"/>
      </tp>
      <tp t="s">
        <v>#N/A Requesting Data...4189677972</v>
        <stp/>
        <stp>BDP|6449700172567495019</stp>
        <tr r="D1010" s="2"/>
      </tp>
      <tp t="s">
        <v>#N/A Requesting Data...4113289083</v>
        <stp/>
        <stp>BDP|4250571703424572407</stp>
        <tr r="G80" s="2"/>
      </tp>
      <tp t="b">
        <v>0</v>
        <stp/>
        <stp>BDS|2570509116781998693</stp>
        <tr r="I123" s="2"/>
      </tp>
      <tp t="s">
        <v>#N/A Requesting Data...4103393388</v>
        <stp/>
        <stp>BDP|7697719600722000347</stp>
        <tr r="N2399" s="2"/>
      </tp>
      <tp t="s">
        <v>#N/A Requesting Data...3986889196</v>
        <stp/>
        <stp>BDP|7148217728707953121</stp>
        <tr r="Q2109" s="2"/>
      </tp>
      <tp t="s">
        <v>#N/A Requesting Data...4054090667</v>
        <stp/>
        <stp>BDP|6114284191495381989</stp>
        <tr r="N1092" s="2"/>
      </tp>
      <tp t="s">
        <v>#N/A Requesting Data...4125250795</v>
        <stp/>
        <stp>BDP|5680194815835813115</stp>
        <tr r="H1471" s="2"/>
      </tp>
      <tp t="s">
        <v>#N/A Requesting Data...4222975469</v>
        <stp/>
        <stp>BDP|3069072061133223777</stp>
        <tr r="N642" s="2"/>
      </tp>
      <tp t="s">
        <v>#N/A Requesting Data...4205294503</v>
        <stp/>
        <stp>BDP|5432193522787936054</stp>
        <tr r="D815" s="2"/>
      </tp>
      <tp t="s">
        <v>#N/A Requesting Data...4145356764</v>
        <stp/>
        <stp>BDP|2775945395155118642</stp>
        <tr r="N1998" s="2"/>
      </tp>
      <tp t="s">
        <v>#N/A Requesting Data...4098989100</v>
        <stp/>
        <stp>BDP|1286764156840667271</stp>
        <tr r="C914" s="2"/>
      </tp>
      <tp t="s">
        <v>#N/A Requesting Data...4216686082</v>
        <stp/>
        <stp>BDP|6623467846267568002</stp>
        <tr r="Q1474" s="2"/>
      </tp>
      <tp t="s">
        <v>#N/A Requesting Data...4230143614</v>
        <stp/>
        <stp>BDP|1559576840631963080</stp>
        <tr r="P2417" s="2"/>
      </tp>
      <tp t="s">
        <v>#N/A Requesting Data...4227790778</v>
        <stp/>
        <stp>BDP|4605224576554514443</stp>
        <tr r="A266" s="2"/>
      </tp>
      <tp t="s">
        <v>#N/A Requesting Data...4121335089</v>
        <stp/>
        <stp>BDP|6513237025243746473</stp>
        <tr r="N234" s="2"/>
      </tp>
      <tp t="s">
        <v>#N/A Requesting Data...4268458680</v>
        <stp/>
        <stp>BDP|8029893850702350690</stp>
        <tr r="F71" s="2"/>
      </tp>
      <tp t="s">
        <v>#N/A Requesting Data...4075296782</v>
        <stp/>
        <stp>BDP|7018804024739448535</stp>
        <tr r="E1494" s="2"/>
      </tp>
      <tp t="b">
        <v>0</v>
        <stp/>
        <stp>BDS|8769477672959986380</stp>
        <tr r="I1367" s="2"/>
      </tp>
      <tp t="s">
        <v>#N/A Requesting Data...4186188402</v>
        <stp/>
        <stp>BDP|3997073863507751399</stp>
        <tr r="J1598" s="2"/>
      </tp>
      <tp t="s">
        <v>#N/A Requesting Data...4144944551</v>
        <stp/>
        <stp>BDP|6582630731183282162</stp>
        <tr r="G1686" s="2"/>
      </tp>
      <tp t="s">
        <v>#N/A Requesting Data...4063008301</v>
        <stp/>
        <stp>BDP|5600357503486647154</stp>
        <tr r="G308" s="2"/>
      </tp>
      <tp t="s">
        <v>#N/A Requesting Data...4068641206</v>
        <stp/>
        <stp>BDP|4150093146141564083</stp>
        <tr r="N50" s="2"/>
      </tp>
      <tp t="s">
        <v>#N/A Requesting Data...4164959288</v>
        <stp/>
        <stp>BDP|7370789349440186500</stp>
        <tr r="Q2239" s="2"/>
      </tp>
      <tp t="s">
        <v>#N/A Requesting Data...4159873409</v>
        <stp/>
        <stp>BDP|3321306670836778079</stp>
        <tr r="H1119" s="2"/>
      </tp>
      <tp t="s">
        <v>#N/A Requesting Data...4126888620</v>
        <stp/>
        <stp>BDP|5129468941854478017</stp>
        <tr r="H2297" s="2"/>
      </tp>
      <tp t="s">
        <v>#N/A Requesting Data...4141508454</v>
        <stp/>
        <stp>BDP|2312485909803970489</stp>
        <tr r="N431" s="2"/>
      </tp>
      <tp t="s">
        <v>#N/A Requesting Data...4281265395</v>
        <stp/>
        <stp>BDP|1018253234292304315</stp>
        <tr r="C2317" s="2"/>
      </tp>
      <tp t="s">
        <v>#N/A Requesting Data...4022277473</v>
        <stp/>
        <stp>BDP|1342089094901922853</stp>
        <tr r="Q1069" s="2"/>
      </tp>
      <tp t="s">
        <v>#N/A Requesting Data...4036075440</v>
        <stp/>
        <stp>BDP|5923684835482013376</stp>
        <tr r="S1127" s="2"/>
      </tp>
      <tp t="s">
        <v>#N/A Requesting Data...4234335529</v>
        <stp/>
        <stp>BDP|7093618137154776722</stp>
        <tr r="G138" s="2"/>
      </tp>
      <tp t="s">
        <v>#N/A Requesting Data...4192132560</v>
        <stp/>
        <stp>BDP|6847204112003175782</stp>
        <tr r="P2206" s="2"/>
      </tp>
      <tp t="s">
        <v>#N/A Requesting Data...4031389017</v>
        <stp/>
        <stp>BDP|9762210821559152153</stp>
        <tr r="T989" s="2"/>
      </tp>
      <tp t="s">
        <v>#N/A Requesting Data...4049011356</v>
        <stp/>
        <stp>BDP|3128525967374638512</stp>
        <tr r="O1073" s="2"/>
      </tp>
      <tp t="s">
        <v>#N/A Requesting Data...4095716748</v>
        <stp/>
        <stp>BDP|1417176671783166503</stp>
        <tr r="A2216" s="2"/>
      </tp>
      <tp t="s">
        <v>#N/A Requesting Data...4220875108</v>
        <stp/>
        <stp>BDP|2391099963414341195</stp>
        <tr r="F898" s="2"/>
      </tp>
      <tp t="s">
        <v>#N/A Requesting Data...4051869590</v>
        <stp/>
        <stp>BDP|2534997135738912136</stp>
        <tr r="R1924" s="2"/>
      </tp>
      <tp t="s">
        <v>#N/A Requesting Data...4061803635</v>
        <stp/>
        <stp>BDP|4862603701612961131</stp>
        <tr r="H2115" s="2"/>
      </tp>
      <tp t="s">
        <v>#N/A Requesting Data...4078081119</v>
        <stp/>
        <stp>BDP|1493821670917762823</stp>
        <tr r="C555" s="2"/>
      </tp>
      <tp t="s">
        <v>#N/A Requesting Data...4242485980</v>
        <stp/>
        <stp>BDP|6514776134700163342</stp>
        <tr r="A2071" s="2"/>
      </tp>
      <tp t="s">
        <v>#N/A Requesting Data...4217141827</v>
        <stp/>
        <stp>BDP|7327550023658642904</stp>
        <tr r="Q1602" s="2"/>
      </tp>
      <tp t="s">
        <v>#N/A Requesting Data...4114067436</v>
        <stp/>
        <stp>BDP|4094239445715773624</stp>
        <tr r="R680" s="2"/>
      </tp>
      <tp t="s">
        <v>#N/A Requesting Data...4142681479</v>
        <stp/>
        <stp>BDP|2307737312202927783</stp>
        <tr r="T2169" s="2"/>
      </tp>
      <tp t="s">
        <v>#N/A Requesting Data...4076950211</v>
        <stp/>
        <stp>BDP|4854395725796277254</stp>
        <tr r="R1744" s="2"/>
      </tp>
      <tp t="s">
        <v>#N/A Requesting Data...4192283714</v>
        <stp/>
        <stp>BDP|8945664883553845475</stp>
        <tr r="S1922" s="2"/>
      </tp>
      <tp t="b">
        <v>0</v>
        <stp/>
        <stp>BDS|7532766225411668230</stp>
        <tr r="I1270" s="2"/>
      </tp>
      <tp t="s">
        <v>#N/A Requesting Data...4241373461</v>
        <stp/>
        <stp>BDP|1838496415364300142</stp>
        <tr r="D652" s="2"/>
      </tp>
      <tp t="b">
        <v>0</v>
        <stp/>
        <stp>BDS|7061450537490056110</stp>
        <tr r="I830" s="2"/>
      </tp>
      <tp t="s">
        <v>#N/A Requesting Data...4080772815</v>
        <stp/>
        <stp>BDP|7363545433286678611</stp>
        <tr r="N252" s="2"/>
      </tp>
      <tp t="s">
        <v>#N/A Requesting Data...4122876639</v>
        <stp/>
        <stp>BDP|4634415867786665150</stp>
        <tr r="E604" s="2"/>
      </tp>
      <tp t="s">
        <v>#N/A Requesting Data...4085272408</v>
        <stp/>
        <stp>BDP|6224701056507595228</stp>
        <tr r="O797" s="2"/>
      </tp>
      <tp t="s">
        <v>#N/A Requesting Data...4274023870</v>
        <stp/>
        <stp>BDP|1917826469976186801</stp>
        <tr r="Q557" s="2"/>
      </tp>
      <tp t="s">
        <v>#N/A Requesting Data...4114374073</v>
        <stp/>
        <stp>BDP|5746244625845067159</stp>
        <tr r="J2164" s="2"/>
      </tp>
      <tp t="s">
        <v>#N/A Requesting Data...4112925588</v>
        <stp/>
        <stp>BDP|2733866353266863897</stp>
        <tr r="D718" s="2"/>
      </tp>
      <tp t="s">
        <v>#N/A Requesting Data...4264240660</v>
        <stp/>
        <stp>BDP|1706201315300033317</stp>
        <tr r="A888" s="2"/>
      </tp>
      <tp t="s">
        <v>#N/A Requesting Data...4151754194</v>
        <stp/>
        <stp>BDP|6255305997635339853</stp>
        <tr r="K1905" s="2"/>
      </tp>
      <tp t="s">
        <v>#N/A Requesting Data...4111750715</v>
        <stp/>
        <stp>BDP|4003253128373622684</stp>
        <tr r="E2355" s="2"/>
      </tp>
      <tp t="s">
        <v>#N/A Requesting Data...4186041674</v>
        <stp/>
        <stp>BDP|7706582589848340368</stp>
        <tr r="N1552" s="2"/>
      </tp>
      <tp t="b">
        <v>0</v>
        <stp/>
        <stp>BDS|1449160658212819612</stp>
        <tr r="I80" s="2"/>
      </tp>
      <tp t="b">
        <v>0</v>
        <stp/>
        <stp>BDS|4255953654200682969</stp>
        <tr r="I96" s="2"/>
      </tp>
      <tp t="s">
        <v>#N/A Requesting Data...4195202960</v>
        <stp/>
        <stp>BDP|8895403531949866723</stp>
        <tr r="M360" s="2"/>
      </tp>
      <tp t="s">
        <v>#N/A Requesting Data...4292117737</v>
        <stp/>
        <stp>BDP|1004033669694833210</stp>
        <tr r="F2527" s="2"/>
      </tp>
      <tp t="s">
        <v>#N/A Requesting Data...4154720830</v>
        <stp/>
        <stp>BDP|4689720211757306459</stp>
        <tr r="F1186" s="2"/>
      </tp>
      <tp t="s">
        <v>#N/A Requesting Data...4160760785</v>
        <stp/>
        <stp>BDP|6825790270325081210</stp>
        <tr r="C2189" s="2"/>
      </tp>
      <tp t="s">
        <v>#N/A Requesting Data...4255806856</v>
        <stp/>
        <stp>BDP|8892368916952008981</stp>
        <tr r="D1471" s="2"/>
      </tp>
      <tp t="s">
        <v>#N/A Requesting Data...4177646143</v>
        <stp/>
        <stp>BDP|1942295824192704239</stp>
        <tr r="Q1133" s="2"/>
      </tp>
      <tp t="s">
        <v>#N/A Requesting Data...4217274035</v>
        <stp/>
        <stp>BDP|6092946115426101902</stp>
        <tr r="H1532" s="2"/>
      </tp>
      <tp t="s">
        <v>#N/A Requesting Data...4217907328</v>
        <stp/>
        <stp>BDP|4191747616542460174</stp>
        <tr r="N1652" s="2"/>
      </tp>
      <tp t="s">
        <v>#N/A Requesting Data...4130820490</v>
        <stp/>
        <stp>BDP|2568212411362687236</stp>
        <tr r="C1610" s="2"/>
      </tp>
      <tp t="s">
        <v>#N/A Requesting Data...4281023498</v>
        <stp/>
        <stp>BDP|7809991789385920218</stp>
        <tr r="M2405" s="2"/>
      </tp>
      <tp t="s">
        <v>#N/A Requesting Data...4207018487</v>
        <stp/>
        <stp>BDP|2577909382033710107</stp>
        <tr r="T1373" s="2"/>
      </tp>
      <tp t="s">
        <v>#N/A Requesting Data...4171405524</v>
        <stp/>
        <stp>BDP|5260655655575086226</stp>
        <tr r="A2391" s="2"/>
      </tp>
      <tp t="s">
        <v>#N/A Requesting Data...4267496787</v>
        <stp/>
        <stp>BDP|1548582960181988247</stp>
        <tr r="T317" s="2"/>
      </tp>
      <tp t="s">
        <v>#N/A Requesting Data...4272034277</v>
        <stp/>
        <stp>BDP|1550668666374522404</stp>
        <tr r="R1106" s="2"/>
      </tp>
      <tp t="s">
        <v>#N/A Requesting Data...4227267859</v>
        <stp/>
        <stp>BDP|6985310306802930678</stp>
        <tr r="O1196" s="2"/>
      </tp>
      <tp t="s">
        <v>#N/A Requesting Data...4180417114</v>
        <stp/>
        <stp>BDP|6019404703050768348</stp>
        <tr r="S502" s="2"/>
      </tp>
      <tp t="s">
        <v>#N/A Requesting Data...4163265505</v>
        <stp/>
        <stp>BDP|8865344785922093099</stp>
        <tr r="F789" s="2"/>
      </tp>
      <tp t="s">
        <v>#N/A Requesting Data...4259386454</v>
        <stp/>
        <stp>BDP|5851493860712385423</stp>
        <tr r="R1700" s="2"/>
      </tp>
      <tp t="b">
        <v>0</v>
        <stp/>
        <stp>BDS|1514620836704765169</stp>
        <tr r="I484" s="2"/>
      </tp>
      <tp t="s">
        <v>#N/A Requesting Data...4222670349</v>
        <stp/>
        <stp>BDP|6460165816572785534</stp>
        <tr r="F223" s="2"/>
      </tp>
      <tp t="s">
        <v>#N/A Requesting Data...4265298208</v>
        <stp/>
        <stp>BDP|2493621806352295728</stp>
        <tr r="F1427" s="2"/>
      </tp>
      <tp t="s">
        <v>#N/A Requesting Data...4182476193</v>
        <stp/>
        <stp>BDP|6882865767570856910</stp>
        <tr r="E2008" s="2"/>
      </tp>
      <tp t="s">
        <v>#N/A Requesting Data...4222729252</v>
        <stp/>
        <stp>BDP|5412418914227908686</stp>
        <tr r="R2088" s="2"/>
      </tp>
      <tp t="s">
        <v>#N/A Requesting Data...4218458261</v>
        <stp/>
        <stp>BDP|4330168065630340234</stp>
        <tr r="J1835" s="2"/>
      </tp>
      <tp t="s">
        <v>#N/A Requesting Data...4190518217</v>
        <stp/>
        <stp>BDP|4395503346637266377</stp>
        <tr r="S1842" s="2"/>
      </tp>
      <tp t="s">
        <v>#N/A Requesting Data...4239305688</v>
        <stp/>
        <stp>BDP|5247107294104396856</stp>
        <tr r="R2338" s="2"/>
      </tp>
      <tp t="s">
        <v>#N/A Requesting Data...4256370593</v>
        <stp/>
        <stp>BDP|8708715564171483961</stp>
        <tr r="G995" s="2"/>
      </tp>
      <tp t="s">
        <v>#N/A Requesting Data...4218062090</v>
        <stp/>
        <stp>BDP|3675434897137578879</stp>
        <tr r="N2364" s="2"/>
      </tp>
      <tp t="s">
        <v>#N/A Requesting Data...4246797149</v>
        <stp/>
        <stp>BDP|5147642659993945457</stp>
        <tr r="O933" s="2"/>
      </tp>
      <tp t="s">
        <v>#N/A Requesting Data...4256603650</v>
        <stp/>
        <stp>BDP|7504964095901559734</stp>
        <tr r="P2445" s="2"/>
      </tp>
      <tp t="s">
        <v>#N/A Requesting Data...4249249238</v>
        <stp/>
        <stp>BDP|4103678203787547407</stp>
        <tr r="A706" s="2"/>
      </tp>
      <tp t="s">
        <v>#N/A Requesting Data...4261540051</v>
        <stp/>
        <stp>BDP|9076345955247966989</stp>
        <tr r="N2467" s="2"/>
      </tp>
      <tp t="b">
        <v>0</v>
        <stp/>
        <stp>BDS|7384462363133349753</stp>
        <tr r="I1738" s="2"/>
      </tp>
      <tp t="s">
        <v>#N/A Requesting Data...4246609104</v>
        <stp/>
        <stp>BDP|4548928443340318870</stp>
        <tr r="M814" s="2"/>
      </tp>
      <tp t="b">
        <v>0</v>
        <stp/>
        <stp>BDS|6991252647814967528</stp>
        <tr r="I2070" s="2"/>
      </tp>
      <tp t="s">
        <v>#N/A Requesting Data...4260168023</v>
        <stp/>
        <stp>BDP|5391545646375023013</stp>
        <tr r="E500" s="2"/>
      </tp>
      <tp t="s">
        <v>#N/A Requesting Data...4251969886</v>
        <stp/>
        <stp>BDP|6611135811200716739</stp>
        <tr r="S56" s="2"/>
      </tp>
      <tp t="s">
        <v>#N/A Requesting Data...4225477441</v>
        <stp/>
        <stp>BDP|5678473011941565055</stp>
        <tr r="M359" s="2"/>
      </tp>
      <tp t="s">
        <v>#N/A Requesting Data...4267832780</v>
        <stp/>
        <stp>BDP|3656364614287143759</stp>
        <tr r="G2281" s="2"/>
      </tp>
      <tp t="s">
        <v>#N/A Requesting Data...4236884931</v>
        <stp/>
        <stp>BDP|6127855484214956391</stp>
        <tr r="Q704" s="2"/>
      </tp>
      <tp t="s">
        <v>#N/A Requesting Data...4276809108</v>
        <stp/>
        <stp>BDP|2891998382270723240</stp>
        <tr r="C612" s="2"/>
      </tp>
      <tp t="s">
        <v>#N/A Requesting Data...4223580683</v>
        <stp/>
        <stp>BDP|6770405470552061670</stp>
        <tr r="D1485" s="2"/>
      </tp>
      <tp t="s">
        <v>#N/A Requesting Data...4238498724</v>
        <stp/>
        <stp>BDP|2334282797851488980</stp>
        <tr r="R1686" s="2"/>
      </tp>
      <tp t="s">
        <v>#N/A Requesting Data...4271392006</v>
        <stp/>
        <stp>BDP|7221962210776630824</stp>
        <tr r="K1750" s="2"/>
      </tp>
      <tp t="s">
        <v>#N/A Requesting Data...4235592682</v>
        <stp/>
        <stp>BDP|3738789918613150769</stp>
        <tr r="P433" s="2"/>
      </tp>
      <tp t="s">
        <v>#N/A Requesting Data...4238908445</v>
        <stp/>
        <stp>BDP|5767883920268648693</stp>
        <tr r="G790" s="2"/>
      </tp>
      <tp t="b">
        <v>0</v>
        <stp/>
        <stp>BDS|9082386709823226837</stp>
        <tr r="I1758" s="2"/>
      </tp>
      <tp t="s">
        <v>#N/A Requesting Data...4272039511</v>
        <stp/>
        <stp>BDP|6857639025662782192</stp>
        <tr r="M1174" s="2"/>
      </tp>
      <tp t="s">
        <v>#N/A Requesting Data...4279185196</v>
        <stp/>
        <stp>BDP|3659759455558304859</stp>
        <tr r="A901" s="2"/>
      </tp>
      <tp t="s">
        <v>#N/A Requesting Data...4257746505</v>
        <stp/>
        <stp>BDP|8332567881324146053</stp>
        <tr r="R692" s="2"/>
      </tp>
      <tp t="s">
        <v>#N/A Requesting Data...4281859836</v>
        <stp/>
        <stp>BDP|2604482418083777515</stp>
        <tr r="A89" s="2"/>
      </tp>
      <tp t="s">
        <v>#N/A Requesting Data...4246829620</v>
        <stp/>
        <stp>BDP|1917901890404915405</stp>
        <tr r="R778" s="2"/>
      </tp>
      <tp t="s">
        <v>#N/A Requesting Data...4273989420</v>
        <stp/>
        <stp>BDP|5667531871123747532</stp>
        <tr r="R1816" s="2"/>
      </tp>
      <tp t="s">
        <v>#N/A Requesting Data...4260183165</v>
        <stp/>
        <stp>BDP|2426396809104065443</stp>
        <tr r="T1977" s="2"/>
      </tp>
      <tp t="s">
        <v>#N/A Requesting Data...4275197660</v>
        <stp/>
        <stp>BDP|9330958623206392563</stp>
        <tr r="A1304" s="2"/>
      </tp>
      <tp t="s">
        <v>#N/A Requesting Data...4268325199</v>
        <stp/>
        <stp>BDP|7829234819045600045</stp>
        <tr r="F2179" s="2"/>
      </tp>
      <tp t="s">
        <v>#N/A Requesting Data...4294707004</v>
        <stp/>
        <stp>BDP|9703188788949106862</stp>
        <tr r="H2206" s="2"/>
      </tp>
      <tp t="s">
        <v>#N/A Requesting Data...4288276981</v>
        <stp/>
        <stp>BDP|2644640307202030756</stp>
        <tr r="K1210" s="2"/>
      </tp>
      <tp t="s">
        <v>#N/A Requesting Data...4280298674</v>
        <stp/>
        <stp>BDP|6467908574738196113</stp>
        <tr r="O2385" s="2"/>
      </tp>
      <tp t="s">
        <v>#N/A Requesting Data...4287153317</v>
        <stp/>
        <stp>BDP|2567191786228300296</stp>
        <tr r="N1013" s="2"/>
      </tp>
      <tp t="s">
        <v>#N/A Requesting Data...4273560623</v>
        <stp/>
        <stp>BDP|6678434364647151203</stp>
        <tr r="R1851" s="2"/>
      </tp>
      <tp t="s">
        <v>#N/A Requesting Data...4284633993</v>
        <stp/>
        <stp>BDP|4384791562764848009</stp>
        <tr r="Q1657" s="2"/>
      </tp>
      <tp t="s">
        <v>#N/A Requesting Data...4286268353</v>
        <stp/>
        <stp>BDP|3216371404529135804</stp>
        <tr r="D1741" s="2"/>
      </tp>
      <tp t="s">
        <v>#N/A Requesting Data...4293771932</v>
        <stp/>
        <stp>BDP|8432283722171655886</stp>
        <tr r="M1248" s="2"/>
      </tp>
      <tp t="s">
        <v>#N/A Requesting Data...4292470567</v>
        <stp/>
        <stp>BDP|8471173605201040960</stp>
        <tr r="A1625" s="2"/>
      </tp>
      <tp t="s">
        <v>#N/A Requesting Data...4290828046</v>
        <stp/>
        <stp>BDP|9132066661149103776</stp>
        <tr r="Q1179" s="2"/>
      </tp>
      <tp t="s">
        <v>#N/A Requesting Data...4291841220</v>
        <stp/>
        <stp>BDP|7674031016500649755</stp>
        <tr r="S246" s="2"/>
      </tp>
      <tp t="s">
        <v>#N/A Requesting Data...4294156101</v>
        <stp/>
        <stp>BDP|6943104464895830559</stp>
        <tr r="A1021" s="2"/>
      </tp>
      <tp t="s">
        <v>#N/A Requesting Data...4294687412</v>
        <stp/>
        <stp>BDP|8399223375278698424</stp>
        <tr r="H45" s="2"/>
      </tp>
      <tp t="s">
        <v>#N/A Requesting Data...209022591</v>
        <stp/>
        <stp>BDP|3671099325479283987</stp>
        <tr r="Q2349" s="2"/>
      </tp>
      <tp t="s">
        <v>#N/A Requesting Data...131335811</v>
        <stp/>
        <stp>BDP|5874601477942932769</stp>
        <tr r="K24" s="2"/>
      </tp>
      <tp t="s">
        <v>#N/A Requesting Data...3481150364</v>
        <stp/>
        <stp>BDP|8985297058008093683</stp>
        <tr r="S123" s="2"/>
      </tp>
      <tp t="s">
        <v>#N/A Requesting Data...2126040421</v>
        <stp/>
        <stp>BDP|1050101628283129091</stp>
        <tr r="J1898" s="2"/>
      </tp>
      <tp t="s">
        <v>#N/A Requesting Data...37678685</v>
        <stp/>
        <stp>BDP|8967025438709404371</stp>
        <tr r="A1513" s="2"/>
      </tp>
      <tp t="s">
        <v>#N/A Requesting Data...2497090780</v>
        <stp/>
        <stp>BDP|1870299774007795222</stp>
        <tr r="F1896" s="2"/>
      </tp>
      <tp t="s">
        <v>#N/A Requesting Data...1520803683</v>
        <stp/>
        <stp>BDP|2121417943581722247</stp>
        <tr r="H265" s="2"/>
      </tp>
      <tp t="s">
        <v>#N/A Requesting Data...783989880</v>
        <stp/>
        <stp>BDP|3696321957391398507</stp>
        <tr r="C2182" s="2"/>
      </tp>
      <tp t="s">
        <v>#N/A Requesting Data...2568890397</v>
        <stp/>
        <stp>BDP|9049396220720926902</stp>
        <tr r="O605" s="2"/>
      </tp>
      <tp t="s">
        <v>#N/A Requesting Data...4161990211</v>
        <stp/>
        <stp>BDP|9311965424180974387</stp>
        <tr r="H38" s="2"/>
      </tp>
      <tp t="s">
        <v>#N/A Requesting Data...664664337</v>
        <stp/>
        <stp>BDP|1787338706331249202</stp>
        <tr r="H157" s="2"/>
      </tp>
      <tp t="s">
        <v>#N/A Requesting Data...4181239522</v>
        <stp/>
        <stp>BDP|3563141918065167784</stp>
        <tr r="G2216" s="2"/>
      </tp>
      <tp t="s">
        <v>#N/A Requesting Data...2836918441</v>
        <stp/>
        <stp>BDP|8252551741790437825</stp>
        <tr r="E1982" s="2"/>
      </tp>
      <tp t="s">
        <v>#N/A Requesting Data...1022904326</v>
        <stp/>
        <stp>BDP|5810062141258621897</stp>
        <tr r="A2241" s="2"/>
      </tp>
      <tp t="s">
        <v>#N/A Requesting Data...4159370458</v>
        <stp/>
        <stp>BDP|8952160296210841117</stp>
        <tr r="S86" s="2"/>
      </tp>
      <tp t="s">
        <v>#N/A Requesting Data...2059161098</v>
        <stp/>
        <stp>BDP|9732001456145251832</stp>
        <tr r="C1374" s="2"/>
      </tp>
      <tp t="s">
        <v>#N/A Requesting Data...2914064834</v>
        <stp/>
        <stp>BDP|3812407069661800197</stp>
        <tr r="G658" s="2"/>
      </tp>
      <tp t="s">
        <v>#N/A Requesting Data...3496249652</v>
        <stp/>
        <stp>BDP|1586302652112544428</stp>
        <tr r="R1272" s="2"/>
      </tp>
      <tp t="s">
        <v>#N/A Requesting Data...1973676454</v>
        <stp/>
        <stp>BDP|7712772551531542545</stp>
        <tr r="N2296" s="2"/>
      </tp>
      <tp t="b">
        <v>0</v>
        <stp/>
        <stp>BDS|1694519293448374477</stp>
        <tr r="I2131" s="2"/>
      </tp>
      <tp t="s">
        <v>#N/A Requesting Data...705098627</v>
        <stp/>
        <stp>BDP|5236141597945144908</stp>
        <tr r="J1008" s="2"/>
      </tp>
      <tp t="s">
        <v>#N/A Requesting Data...1497957547</v>
        <stp/>
        <stp>BDP|4536320844491092338</stp>
        <tr r="R97" s="2"/>
      </tp>
      <tp t="s">
        <v>#N/A Requesting Data...3358428380</v>
        <stp/>
        <stp>BDP|5230203353170671370</stp>
        <tr r="O1192" s="2"/>
      </tp>
      <tp t="s">
        <v>#N/A Requesting Data...3924364224</v>
        <stp/>
        <stp>BDP|8631131882184174462</stp>
        <tr r="N769" s="2"/>
      </tp>
      <tp t="s">
        <v>#N/A Requesting Data...1774704987</v>
        <stp/>
        <stp>BDP|1260139760837456054</stp>
        <tr r="P10" s="2"/>
      </tp>
      <tp t="s">
        <v>#N/A Requesting Data...2951045559</v>
        <stp/>
        <stp>BDP|5391040055814102537</stp>
        <tr r="F1369" s="2"/>
      </tp>
      <tp t="s">
        <v>#N/A Requesting Data...3709854763</v>
        <stp/>
        <stp>BDP|4433537270002302542</stp>
        <tr r="D2263" s="2"/>
      </tp>
      <tp t="s">
        <v>#N/A Requesting Data...2152175980</v>
        <stp/>
        <stp>BDP|6042211782348429572</stp>
        <tr r="F1838" s="2"/>
      </tp>
      <tp t="s">
        <v>#N/A Requesting Data...3026652349</v>
        <stp/>
        <stp>BDP|8325126857174012962</stp>
        <tr r="O88" s="2"/>
      </tp>
      <tp t="s">
        <v>#N/A Requesting Data...4023964306</v>
        <stp/>
        <stp>BDP|8111023400441418871</stp>
        <tr r="D2511" s="2"/>
      </tp>
      <tp t="s">
        <v>#N/A Requesting Data...107268459</v>
        <stp/>
        <stp>BDP|8326693195146618097</stp>
        <tr r="N2389" s="2"/>
      </tp>
      <tp t="s">
        <v>#N/A Requesting Data...2498046870</v>
        <stp/>
        <stp>BDP|3164506156594698605</stp>
        <tr r="N62" s="2"/>
      </tp>
      <tp t="s">
        <v>#N/A Requesting Data...359408255</v>
        <stp/>
        <stp>BDP|2394726465570560205</stp>
        <tr r="S2462" s="2"/>
      </tp>
      <tp t="s">
        <v>#N/A Requesting Data...1962383957</v>
        <stp/>
        <stp>BDP|1522808940434408807</stp>
        <tr r="Q72" s="2"/>
      </tp>
      <tp t="s">
        <v>#N/A Requesting Data...1036268856</v>
        <stp/>
        <stp>BDP|9666726689980407780</stp>
        <tr r="E474" s="2"/>
      </tp>
      <tp t="s">
        <v>#N/A Requesting Data...3642419047</v>
        <stp/>
        <stp>BDP|5373016106722367668</stp>
        <tr r="F1484" s="2"/>
      </tp>
      <tp t="s">
        <v>#N/A Requesting Data...2601616650</v>
        <stp/>
        <stp>BDP|5397126566517631401</stp>
        <tr r="M1396" s="2"/>
      </tp>
      <tp t="s">
        <v>#N/A Requesting Data...4163152665</v>
        <stp/>
        <stp>BDP|9945880477091151669</stp>
        <tr r="E1881" s="2"/>
      </tp>
      <tp t="s">
        <v>#N/A Requesting Data...2282140193</v>
        <stp/>
        <stp>BDP|6335649901318607911</stp>
        <tr r="T1162" s="2"/>
      </tp>
      <tp t="s">
        <v>#N/A Requesting Data...180007114</v>
        <stp/>
        <stp>BDP|2721309644127500371</stp>
        <tr r="H940" s="2"/>
      </tp>
      <tp t="s">
        <v>#N/A Requesting Data...2420696734</v>
        <stp/>
        <stp>BDP|2090549640911557307</stp>
        <tr r="P2193" s="2"/>
      </tp>
      <tp t="s">
        <v>#N/A Requesting Data...1402264593</v>
        <stp/>
        <stp>BDP|7487675271527515062</stp>
        <tr r="G2346" s="2"/>
      </tp>
      <tp t="s">
        <v>#N/A Requesting Data...1585211263</v>
        <stp/>
        <stp>BDP|8296514494782788719</stp>
        <tr r="N239" s="2"/>
      </tp>
      <tp t="s">
        <v>#N/A Requesting Data...916546228</v>
        <stp/>
        <stp>BDP|4294525747780465426</stp>
        <tr r="R918" s="2"/>
      </tp>
      <tp t="s">
        <v>#N/A Requesting Data...410744353</v>
        <stp/>
        <stp>BDP|3248668010001110446</stp>
        <tr r="K649" s="2"/>
      </tp>
      <tp t="s">
        <v>#N/A Requesting Data...174551420</v>
        <stp/>
        <stp>BDP|7449738672874081247</stp>
        <tr r="D1498" s="2"/>
      </tp>
      <tp t="s">
        <v>#N/A Requesting Data...3040876265</v>
        <stp/>
        <stp>BDP|6625851136979289569</stp>
        <tr r="R402" s="2"/>
      </tp>
      <tp t="s">
        <v>#N/A Requesting Data...2031571383</v>
        <stp/>
        <stp>BDP|2406060132145498553</stp>
        <tr r="O476" s="2"/>
      </tp>
      <tp t="s">
        <v>#N/A Requesting Data...2103078875</v>
        <stp/>
        <stp>BDP|6473320041492611209</stp>
        <tr r="D1073" s="2"/>
      </tp>
      <tp t="s">
        <v>#N/A Requesting Data...1519223544</v>
        <stp/>
        <stp>BDP|2215665221577336078</stp>
        <tr r="A2495" s="2"/>
      </tp>
      <tp t="s">
        <v>#N/A Requesting Data...2051243577</v>
        <stp/>
        <stp>BDP|2690727577936155538</stp>
        <tr r="T1727" s="2"/>
      </tp>
      <tp t="s">
        <v>#N/A Requesting Data...2745805768</v>
        <stp/>
        <stp>BDP|3208941095462382017</stp>
        <tr r="O1460" s="2"/>
      </tp>
      <tp t="s">
        <v>#N/A Requesting Data...1317048329</v>
        <stp/>
        <stp>BDP|5296417684441519931</stp>
        <tr r="J2248" s="2"/>
      </tp>
      <tp t="s">
        <v>#N/A Requesting Data...4150912419</v>
        <stp/>
        <stp>BDP|6810555431096882756</stp>
        <tr r="K1745" s="2"/>
      </tp>
      <tp t="s">
        <v>#N/A Requesting Data...753205031</v>
        <stp/>
        <stp>BDP|8540798209456328870</stp>
        <tr r="D1189" s="2"/>
      </tp>
      <tp t="s">
        <v>#N/A Requesting Data...3680430394</v>
        <stp/>
        <stp>BDP|4669152702015598150</stp>
        <tr r="S1657" s="2"/>
      </tp>
      <tp t="s">
        <v>#N/A Requesting Data...3510143435</v>
        <stp/>
        <stp>BDP|7915898795026333177</stp>
        <tr r="T664" s="2"/>
      </tp>
      <tp t="s">
        <v>#N/A Requesting Data...3613594124</v>
        <stp/>
        <stp>BDP|7625270772302058129</stp>
        <tr r="T1416" s="2"/>
      </tp>
      <tp t="s">
        <v>#N/A Requesting Data...4040029065</v>
        <stp/>
        <stp>BDP|1747307087488034319</stp>
        <tr r="N1725" s="2"/>
      </tp>
      <tp t="s">
        <v>#N/A Requesting Data...1834016180</v>
        <stp/>
        <stp>BDP|3596842518018019387</stp>
        <tr r="K956" s="2"/>
      </tp>
      <tp t="s">
        <v>#N/A Requesting Data...4084419823</v>
        <stp/>
        <stp>BDP|3025804010892818993</stp>
        <tr r="G578" s="2"/>
      </tp>
      <tp t="s">
        <v>#N/A Requesting Data...4107099930</v>
        <stp/>
        <stp>BDP|8213509981141639546</stp>
        <tr r="H266" s="2"/>
      </tp>
      <tp t="s">
        <v>#N/A Requesting Data...2065867163</v>
        <stp/>
        <stp>BDP|6443856385827763020</stp>
        <tr r="N2185" s="2"/>
      </tp>
      <tp t="s">
        <v>#N/A Requesting Data...955859329</v>
        <stp/>
        <stp>BDP|2872037226638481982</stp>
        <tr r="T45" s="2"/>
      </tp>
      <tp t="s">
        <v>#N/A Requesting Data...1354142157</v>
        <stp/>
        <stp>BDP|3430907760365522809</stp>
        <tr r="O1686" s="2"/>
      </tp>
      <tp t="s">
        <v>#N/A Requesting Data...1177150655</v>
        <stp/>
        <stp>BDP|2887312409089137905</stp>
        <tr r="P2518" s="2"/>
      </tp>
      <tp t="s">
        <v>#N/A Requesting Data...3198268647</v>
        <stp/>
        <stp>BDP|3646335979101947748</stp>
        <tr r="S462" s="2"/>
      </tp>
      <tp t="s">
        <v>#N/A Requesting Data...3241445616</v>
        <stp/>
        <stp>BDP|8624399587074942600</stp>
        <tr r="K1655" s="2"/>
      </tp>
      <tp t="s">
        <v>#N/A Requesting Data...2585335970</v>
        <stp/>
        <stp>BDP|4145227731910503465</stp>
        <tr r="O1211" s="2"/>
      </tp>
      <tp t="b">
        <v>0</v>
        <stp/>
        <stp>BDS|6018479036101409145</stp>
        <tr r="I1284" s="2"/>
      </tp>
      <tp t="s">
        <v>#N/A Requesting Data...2326809502</v>
        <stp/>
        <stp>BDP|8484070988174279581</stp>
        <tr r="D1027" s="2"/>
      </tp>
      <tp t="s">
        <v>#N/A Requesting Data...637436044</v>
        <stp/>
        <stp>BDP|9656809830075465635</stp>
        <tr r="N1577" s="2"/>
      </tp>
      <tp t="s">
        <v>#N/A Requesting Data...3320239625</v>
        <stp/>
        <stp>BDP|1759334563812030765</stp>
        <tr r="A1062" s="2"/>
      </tp>
      <tp t="s">
        <v>#N/A Requesting Data...973763750</v>
        <stp/>
        <stp>BDP|4381075316672441671</stp>
        <tr r="R2230" s="2"/>
      </tp>
      <tp t="s">
        <v>#N/A Requesting Data...1592275132</v>
        <stp/>
        <stp>BDP|4529901490915429006</stp>
        <tr r="H1541" s="2"/>
      </tp>
      <tp t="s">
        <v>#N/A Requesting Data...4195543853</v>
        <stp/>
        <stp>BDP|7816218408582348636</stp>
        <tr r="F57" s="2"/>
      </tp>
      <tp t="s">
        <v>#N/A Requesting Data...3210888253</v>
        <stp/>
        <stp>BDP|7725868396483633403</stp>
        <tr r="J1508" s="2"/>
      </tp>
      <tp t="s">
        <v>#N/A Requesting Data...3423038690</v>
        <stp/>
        <stp>BDP|7865296442896106636</stp>
        <tr r="E791" s="2"/>
      </tp>
      <tp t="s">
        <v>#N/A Requesting Data...3423961313</v>
        <stp/>
        <stp>BDP|4615271241475234636</stp>
        <tr r="F440" s="2"/>
      </tp>
      <tp t="s">
        <v>#N/A Requesting Data...2178935621</v>
        <stp/>
        <stp>BDP|6742097533733459780</stp>
        <tr r="M969" s="2"/>
      </tp>
      <tp t="s">
        <v>#N/A Requesting Data...988120671</v>
        <stp/>
        <stp>BDP|9617051325348316242</stp>
        <tr r="N1441" s="2"/>
      </tp>
      <tp t="s">
        <v>#N/A Requesting Data...2855418600</v>
        <stp/>
        <stp>BDP|4323616421827046628</stp>
        <tr r="Q633" s="2"/>
      </tp>
      <tp t="s">
        <v>#N/A Requesting Data...2365979525</v>
        <stp/>
        <stp>BDP|6913094054434434611</stp>
        <tr r="O1942" s="2"/>
      </tp>
      <tp t="s">
        <v>#N/A Requesting Data...1913313262</v>
        <stp/>
        <stp>BDP|5511069011727394205</stp>
        <tr r="R1029" s="2"/>
      </tp>
      <tp t="b">
        <v>0</v>
        <stp/>
        <stp>BDS|9011103586614405534</stp>
        <tr r="I795" s="2"/>
      </tp>
      <tp t="s">
        <v>#N/A Requesting Data...3645684296</v>
        <stp/>
        <stp>BDP|2035318305216399663</stp>
        <tr r="Q311" s="2"/>
      </tp>
      <tp t="s">
        <v>#N/A Requesting Data...2868594085</v>
        <stp/>
        <stp>BDP|5988684730435595452</stp>
        <tr r="Q2058" s="2"/>
      </tp>
      <tp t="s">
        <v>#N/A Requesting Data...899769884</v>
        <stp/>
        <stp>BDP|8637368178145087890</stp>
        <tr r="C2103" s="2"/>
      </tp>
      <tp t="s">
        <v>#N/A Requesting Data...2746184263</v>
        <stp/>
        <stp>BDP|8798140722553996997</stp>
        <tr r="T380" s="2"/>
      </tp>
      <tp t="s">
        <v>#N/A Requesting Data...2933339599</v>
        <stp/>
        <stp>BDP|1399243512735377678</stp>
        <tr r="C819" s="2"/>
      </tp>
      <tp t="s">
        <v>#N/A Requesting Data...1485396770</v>
        <stp/>
        <stp>BDP|6028978163951184949</stp>
        <tr r="H1526" s="2"/>
      </tp>
      <tp t="s">
        <v>#N/A Requesting Data...2394609005</v>
        <stp/>
        <stp>BDP|9369129497814628410</stp>
        <tr r="C2153" s="2"/>
      </tp>
      <tp t="s">
        <v>#N/A Requesting Data...3995212847</v>
        <stp/>
        <stp>BDP|3286579673414536423</stp>
        <tr r="Q1119" s="2"/>
      </tp>
      <tp t="s">
        <v>#N/A Requesting Data...625141828</v>
        <stp/>
        <stp>BDP|7072164095116454862</stp>
        <tr r="G571" s="2"/>
      </tp>
      <tp t="s">
        <v>#N/A Requesting Data...2837351891</v>
        <stp/>
        <stp>BDP|6444767646766057254</stp>
        <tr r="P440" s="2"/>
      </tp>
      <tp t="s">
        <v>#N/A Requesting Data...2857477025</v>
        <stp/>
        <stp>BDP|1005543974131441353</stp>
        <tr r="N279" s="2"/>
      </tp>
      <tp t="s">
        <v>#N/A Requesting Data...303087102</v>
        <stp/>
        <stp>BDP|4708971567742577834</stp>
        <tr r="D1556" s="2"/>
      </tp>
      <tp t="s">
        <v>#N/A Requesting Data...1477326114</v>
        <stp/>
        <stp>BDP|9616769759299066389</stp>
        <tr r="K461" s="2"/>
      </tp>
      <tp t="s">
        <v>#N/A Requesting Data...1659098724</v>
        <stp/>
        <stp>BDP|8414746113687722856</stp>
        <tr r="S2448" s="2"/>
      </tp>
      <tp t="s">
        <v>#N/A Requesting Data...1417878302</v>
        <stp/>
        <stp>BDP|4937393325250458402</stp>
        <tr r="F1613" s="2"/>
      </tp>
      <tp t="s">
        <v>#N/A Requesting Data...3265323051</v>
        <stp/>
        <stp>BDP|7139085755712935147</stp>
        <tr r="E280" s="2"/>
      </tp>
      <tp t="s">
        <v>#N/A Requesting Data...1849350980</v>
        <stp/>
        <stp>BDP|8078771634218708550</stp>
        <tr r="H2091" s="2"/>
      </tp>
      <tp t="s">
        <v>#N/A Requesting Data...3734075976</v>
        <stp/>
        <stp>BDP|3122067800280653206</stp>
        <tr r="F794" s="2"/>
      </tp>
      <tp t="s">
        <v>#N/A Requesting Data...572731824</v>
        <stp/>
        <stp>BDP|6135721552637152215</stp>
        <tr r="R275" s="2"/>
      </tp>
      <tp t="s">
        <v>#N/A Requesting Data...1600394322</v>
        <stp/>
        <stp>BDP|7075244571384109754</stp>
        <tr r="S2456" s="2"/>
      </tp>
      <tp t="s">
        <v>#N/A Requesting Data...2656409100</v>
        <stp/>
        <stp>BDP|2815040299443311970</stp>
        <tr r="E1668" s="2"/>
      </tp>
      <tp t="s">
        <v>#N/A Requesting Data...2348656647</v>
        <stp/>
        <stp>BDP|3123469580436187873</stp>
        <tr r="J1889" s="2"/>
      </tp>
      <tp t="s">
        <v>#N/A Requesting Data...1229316614</v>
        <stp/>
        <stp>BDP|8237704220444163821</stp>
        <tr r="F2370" s="2"/>
      </tp>
      <tp t="s">
        <v>#N/A Requesting Data...2072819269</v>
        <stp/>
        <stp>BDP|6018044155335819783</stp>
        <tr r="A1940" s="2"/>
      </tp>
      <tp t="s">
        <v>#N/A Requesting Data...1879475133</v>
        <stp/>
        <stp>BDP|8715754772360278935</stp>
        <tr r="C2377" s="2"/>
      </tp>
      <tp t="s">
        <v>#N/A Requesting Data...1647022269</v>
        <stp/>
        <stp>BDP|1138944080265255464</stp>
        <tr r="H307" s="2"/>
      </tp>
      <tp t="s">
        <v>#N/A Requesting Data...4252226145</v>
        <stp/>
        <stp>BDP|1065847251304050940</stp>
        <tr r="F1678" s="2"/>
      </tp>
      <tp t="s">
        <v>#N/A Requesting Data...1051597469</v>
        <stp/>
        <stp>BDP|2313401030775733153</stp>
        <tr r="E996" s="2"/>
      </tp>
      <tp t="s">
        <v>#N/A Requesting Data...767677008</v>
        <stp/>
        <stp>BDP|4203470390939561118</stp>
        <tr r="O2320" s="2"/>
      </tp>
      <tp t="s">
        <v>#N/A Requesting Data...2685873178</v>
        <stp/>
        <stp>BDP|2352009715103529128</stp>
        <tr r="C385" s="2"/>
      </tp>
      <tp t="s">
        <v>#N/A Requesting Data...660206919</v>
        <stp/>
        <stp>BDP|1963410518192802790</stp>
        <tr r="F494" s="2"/>
      </tp>
      <tp t="s">
        <v>#N/A Requesting Data...3349703092</v>
        <stp/>
        <stp>BDP|1152117172097604155</stp>
        <tr r="E2238" s="2"/>
      </tp>
      <tp t="s">
        <v>#N/A Requesting Data...1167759877</v>
        <stp/>
        <stp>BDP|2431342854667271277</stp>
        <tr r="P944" s="2"/>
      </tp>
      <tp t="s">
        <v>#N/A Requesting Data...528609419</v>
        <stp/>
        <stp>BDP|3375954291092750011</stp>
        <tr r="N731" s="2"/>
      </tp>
      <tp t="s">
        <v>#N/A Requesting Data...1876791500</v>
        <stp/>
        <stp>BDP|9461347393283614145</stp>
        <tr r="T429" s="2"/>
      </tp>
      <tp t="s">
        <v>#N/A Requesting Data...2019060754</v>
        <stp/>
        <stp>BDP|7708141051160436274</stp>
        <tr r="C1833" s="2"/>
      </tp>
      <tp t="s">
        <v>#N/A Requesting Data...1776090235</v>
        <stp/>
        <stp>BDP|6643030777297394708</stp>
        <tr r="R2222" s="2"/>
      </tp>
      <tp t="b">
        <v>0</v>
        <stp/>
        <stp>BDS|9347040220008121273</stp>
        <tr r="I675" s="2"/>
      </tp>
      <tp t="s">
        <v>#N/A Requesting Data...2456808737</v>
        <stp/>
        <stp>BDP|5370537480419120000</stp>
        <tr r="J2151" s="2"/>
      </tp>
      <tp t="s">
        <v>#N/A Requesting Data...2164752558</v>
        <stp/>
        <stp>BDP|7785313658476788681</stp>
        <tr r="P1228" s="2"/>
      </tp>
      <tp t="s">
        <v>#N/A Requesting Data...1132268400</v>
        <stp/>
        <stp>BDP|9869936926594435780</stp>
        <tr r="G383" s="2"/>
      </tp>
      <tp t="s">
        <v>#N/A Requesting Data...3580946406</v>
        <stp/>
        <stp>BDP|3501260555230119565</stp>
        <tr r="E1952" s="2"/>
      </tp>
      <tp t="s">
        <v>#N/A Requesting Data...1482616805</v>
        <stp/>
        <stp>BDP|3507151773477378314</stp>
        <tr r="F469" s="2"/>
      </tp>
      <tp t="s">
        <v>#N/A Requesting Data...1673887121</v>
        <stp/>
        <stp>BDP|5049477055312260710</stp>
        <tr r="N562" s="2"/>
      </tp>
      <tp t="s">
        <v>#N/A Requesting Data...2667360785</v>
        <stp/>
        <stp>BDP|6967881679611938904</stp>
        <tr r="T1553" s="2"/>
      </tp>
      <tp t="s">
        <v>#N/A Requesting Data...3003036351</v>
        <stp/>
        <stp>BDP|7222831898670035780</stp>
        <tr r="K85" s="2"/>
      </tp>
      <tp t="s">
        <v>#N/A Requesting Data...1900477254</v>
        <stp/>
        <stp>BDP|4146600468086051387</stp>
        <tr r="D436" s="2"/>
      </tp>
      <tp t="s">
        <v>#N/A Requesting Data...1496136112</v>
        <stp/>
        <stp>BDP|4883772059500915797</stp>
        <tr r="R2363" s="2"/>
      </tp>
      <tp t="s">
        <v>#N/A Requesting Data...2066288339</v>
        <stp/>
        <stp>BDP|3057047143946545046</stp>
        <tr r="N1234" s="2"/>
      </tp>
      <tp t="s">
        <v>#N/A Requesting Data...3775774997</v>
        <stp/>
        <stp>BDP|6055259354937655719</stp>
        <tr r="S2185" s="2"/>
      </tp>
      <tp t="s">
        <v>#N/A Requesting Data...2519299413</v>
        <stp/>
        <stp>BDP|7651506624751190054</stp>
        <tr r="T2078" s="2"/>
      </tp>
      <tp t="s">
        <v>#N/A Requesting Data...3312020165</v>
        <stp/>
        <stp>BDP|8286191658614773921</stp>
        <tr r="Q39" s="2"/>
      </tp>
      <tp t="s">
        <v>#N/A Requesting Data...3121713038</v>
        <stp/>
        <stp>BDP|3372106298829509380</stp>
        <tr r="P1006" s="2"/>
      </tp>
      <tp t="s">
        <v>#N/A Requesting Data...3685199270</v>
        <stp/>
        <stp>BDP|8174020243895434825</stp>
        <tr r="R1966" s="2"/>
      </tp>
      <tp t="s">
        <v>#N/A Requesting Data...1002472590</v>
        <stp/>
        <stp>BDP|2447548733965042059</stp>
        <tr r="M1345" s="2"/>
      </tp>
      <tp t="s">
        <v>#N/A Requesting Data...1245156300</v>
        <stp/>
        <stp>BDP|9709338743608138705</stp>
        <tr r="N1384" s="2"/>
      </tp>
      <tp t="s">
        <v>#N/A Requesting Data...923935300</v>
        <stp/>
        <stp>BDP|3317240505966789638</stp>
        <tr r="O1140" s="2"/>
      </tp>
      <tp t="s">
        <v>#N/A Requesting Data...3697219671</v>
        <stp/>
        <stp>BDP|7244871796947228076</stp>
        <tr r="E443" s="2"/>
      </tp>
      <tp t="b">
        <v>0</v>
        <stp/>
        <stp>BDS|5383438672873024442</stp>
        <tr r="I217" s="2"/>
      </tp>
      <tp t="s">
        <v>#N/A Requesting Data...682960699</v>
        <stp/>
        <stp>BDP|9888864449235828197</stp>
        <tr r="S1840" s="2"/>
      </tp>
      <tp t="s">
        <v>#N/A Requesting Data...4212490219</v>
        <stp/>
        <stp>BDP|1248666451396284512</stp>
        <tr r="Q174" s="2"/>
      </tp>
      <tp t="s">
        <v>#N/A Requesting Data...3582976793</v>
        <stp/>
        <stp>BDP|6356676617253394363</stp>
        <tr r="O2280" s="2"/>
      </tp>
      <tp t="s">
        <v>#N/A Requesting Data...3998912250</v>
        <stp/>
        <stp>BDP|7981786872882150448</stp>
        <tr r="Q332" s="2"/>
      </tp>
      <tp t="s">
        <v>#N/A Requesting Data...3388244581</v>
        <stp/>
        <stp>BDP|3169353358644202088</stp>
        <tr r="E209" s="2"/>
      </tp>
      <tp t="s">
        <v>#N/A Requesting Data...4249964537</v>
        <stp/>
        <stp>BDP|5578100046027255679</stp>
        <tr r="G1186" s="2"/>
      </tp>
      <tp t="s">
        <v>#N/A Requesting Data...1846021157</v>
        <stp/>
        <stp>BDP|5066739134980946089</stp>
        <tr r="M608" s="2"/>
      </tp>
      <tp t="s">
        <v>#N/A Requesting Data...2057963354</v>
        <stp/>
        <stp>BDP|3636076546900328625</stp>
        <tr r="R1092" s="2"/>
      </tp>
      <tp t="s">
        <v>#N/A Requesting Data...1058320817</v>
        <stp/>
        <stp>BDP|5182743567642508716</stp>
        <tr r="N52" s="2"/>
      </tp>
      <tp t="s">
        <v>#N/A Requesting Data...3143803835</v>
        <stp/>
        <stp>BDP|1265867074946445926</stp>
        <tr r="E1929" s="2"/>
      </tp>
      <tp t="s">
        <v>#N/A Requesting Data...1739312021</v>
        <stp/>
        <stp>BDP|5707823324536542828</stp>
        <tr r="P1993" s="2"/>
      </tp>
      <tp t="s">
        <v>#N/A Requesting Data...599908518</v>
        <stp/>
        <stp>BDP|5679198183379909436</stp>
        <tr r="T2045" s="2"/>
      </tp>
      <tp t="s">
        <v>#N/A Requesting Data...1066451515</v>
        <stp/>
        <stp>BDP|1296374809961268288</stp>
        <tr r="N2019" s="2"/>
      </tp>
      <tp t="s">
        <v>#N/A Requesting Data...1770351681</v>
        <stp/>
        <stp>BDP|4253076030763575569</stp>
        <tr r="D2225" s="2"/>
      </tp>
      <tp t="s">
        <v>#N/A Requesting Data...3959387892</v>
        <stp/>
        <stp>BDP|8596370812799766212</stp>
        <tr r="D2368" s="2"/>
      </tp>
      <tp t="s">
        <v>#N/A Requesting Data...1153310631</v>
        <stp/>
        <stp>BDP|4345380410526991142</stp>
        <tr r="D51" s="2"/>
      </tp>
      <tp t="s">
        <v>#N/A Requesting Data...3785379120</v>
        <stp/>
        <stp>BDP|4990285414443752547</stp>
        <tr r="R1420" s="2"/>
      </tp>
      <tp t="s">
        <v>#N/A Requesting Data...2483552047</v>
        <stp/>
        <stp>BDP|5902150398745747959</stp>
        <tr r="P1509" s="2"/>
      </tp>
      <tp t="s">
        <v>#N/A Requesting Data...2176465219</v>
        <stp/>
        <stp>BDP|3766300967891305654</stp>
        <tr r="A453" s="2"/>
      </tp>
      <tp t="s">
        <v>#N/A Requesting Data...2382736542</v>
        <stp/>
        <stp>BDP|7910592369491747489</stp>
        <tr r="R1298" s="2"/>
      </tp>
      <tp t="s">
        <v>#N/A Requesting Data...1989498766</v>
        <stp/>
        <stp>BDP|2787870927548935184</stp>
        <tr r="A2288" s="2"/>
      </tp>
      <tp t="s">
        <v>#N/A Requesting Data...481763896</v>
        <stp/>
        <stp>BDP|5215088349915538509</stp>
        <tr r="E1159" s="2"/>
      </tp>
      <tp t="s">
        <v>#N/A Requesting Data...3504493972</v>
        <stp/>
        <stp>BDP|6890629447982936720</stp>
        <tr r="T720" s="2"/>
      </tp>
      <tp t="s">
        <v>#N/A Requesting Data...2102505638</v>
        <stp/>
        <stp>BDP|1345113873900131660</stp>
        <tr r="D2407" s="2"/>
      </tp>
      <tp t="s">
        <v>#N/A Requesting Data...1733983121</v>
        <stp/>
        <stp>BDP|4408487096740552898</stp>
        <tr r="S1772" s="2"/>
      </tp>
      <tp t="s">
        <v>#N/A Requesting Data...2074581984</v>
        <stp/>
        <stp>BDP|3706410691789597643</stp>
        <tr r="R2408" s="2"/>
      </tp>
      <tp t="s">
        <v>#N/A Requesting Data...3286261401</v>
        <stp/>
        <stp>BDP|5451692878260587560</stp>
        <tr r="R1582" s="2"/>
      </tp>
      <tp t="s">
        <v>#N/A Requesting Data...3750248459</v>
        <stp/>
        <stp>BDP|7657174834500287411</stp>
        <tr r="N1051" s="2"/>
      </tp>
      <tp t="s">
        <v>#N/A Requesting Data...2453033925</v>
        <stp/>
        <stp>BDP|5658032766407676539</stp>
        <tr r="A1103" s="2"/>
      </tp>
      <tp t="s">
        <v>#N/A Requesting Data...2298419318</v>
        <stp/>
        <stp>BDP|4444471825932625163</stp>
        <tr r="A339" s="2"/>
      </tp>
      <tp t="s">
        <v>#N/A Requesting Data...3523663241</v>
        <stp/>
        <stp>BDP|8697972867547761175</stp>
        <tr r="R397" s="2"/>
      </tp>
      <tp t="s">
        <v>#N/A Requesting Data...2810119981</v>
        <stp/>
        <stp>BDP|2373814865748504549</stp>
        <tr r="S1966" s="2"/>
      </tp>
      <tp t="s">
        <v>#N/A Requesting Data...2626089141</v>
        <stp/>
        <stp>BDP|7189328653858051860</stp>
        <tr r="O1078" s="2"/>
      </tp>
      <tp t="s">
        <v>#N/A Requesting Data...3830538980</v>
        <stp/>
        <stp>BDP|1894319744841316685</stp>
        <tr r="M1952" s="2"/>
      </tp>
      <tp t="s">
        <v>#N/A Requesting Data...4022351043</v>
        <stp/>
        <stp>BDP|4988191352545548417</stp>
        <tr r="R1267" s="2"/>
      </tp>
      <tp t="s">
        <v>#N/A Requesting Data...2284563292</v>
        <stp/>
        <stp>BDP|2082994768149253557</stp>
        <tr r="J2439" s="2"/>
      </tp>
      <tp t="s">
        <v>#N/A Requesting Data...3707404302</v>
        <stp/>
        <stp>BDP|4367751228048103898</stp>
        <tr r="S530" s="2"/>
      </tp>
      <tp t="s">
        <v>#N/A Requesting Data...942513531</v>
        <stp/>
        <stp>BDP|8968034491245495596</stp>
        <tr r="A1119" s="2"/>
      </tp>
      <tp t="s">
        <v>#N/A Requesting Data...1234211151</v>
        <stp/>
        <stp>BDP|3918406218416282154</stp>
        <tr r="C839" s="2"/>
      </tp>
      <tp t="s">
        <v>#N/A Requesting Data...2903456098</v>
        <stp/>
        <stp>BDP|7484150671587133771</stp>
        <tr r="H8" s="2"/>
      </tp>
      <tp t="s">
        <v>#N/A Requesting Data...1828901330</v>
        <stp/>
        <stp>BDP|2816622302650721599</stp>
        <tr r="Q2517" s="2"/>
      </tp>
      <tp t="s">
        <v>#N/A Requesting Data...1127500661</v>
        <stp/>
        <stp>BDP|4639525929842296099</stp>
        <tr r="O435" s="2"/>
      </tp>
      <tp t="b">
        <v>0</v>
        <stp/>
        <stp>BDS|4104048563597924492</stp>
        <tr r="I1192" s="2"/>
      </tp>
      <tp t="s">
        <v>#N/A Requesting Data...3801789187</v>
        <stp/>
        <stp>BDP|5352689964886154280</stp>
        <tr r="M651" s="2"/>
      </tp>
      <tp t="s">
        <v>#N/A Requesting Data...831459237</v>
        <stp/>
        <stp>BDP|7241170702267837094</stp>
        <tr r="A386" s="2"/>
      </tp>
      <tp t="s">
        <v>#N/A Requesting Data...3209726668</v>
        <stp/>
        <stp>BDP|5668906882172657745</stp>
        <tr r="J815" s="2"/>
      </tp>
      <tp t="s">
        <v>#N/A Requesting Data...3193681294</v>
        <stp/>
        <stp>BDP|2413607287704472917</stp>
        <tr r="K297" s="2"/>
      </tp>
      <tp t="s">
        <v>#N/A Requesting Data...1646070446</v>
        <stp/>
        <stp>BDP|2495180639427752649</stp>
        <tr r="N1811" s="2"/>
      </tp>
      <tp t="s">
        <v>#N/A Requesting Data...4009269941</v>
        <stp/>
        <stp>BDP|2354760828617851137</stp>
        <tr r="M2159" s="2"/>
      </tp>
      <tp t="s">
        <v>#N/A Requesting Data...3998867759</v>
        <stp/>
        <stp>BDP|6508352792245457804</stp>
        <tr r="R1154" s="2"/>
      </tp>
      <tp t="s">
        <v>#N/A Requesting Data...4268170300</v>
        <stp/>
        <stp>BDP|4316695979300221474</stp>
        <tr r="H2426" s="2"/>
      </tp>
      <tp t="s">
        <v>#N/A Requesting Data...1370707143</v>
        <stp/>
        <stp>BDP|6672324862561248322</stp>
        <tr r="C1992" s="2"/>
      </tp>
      <tp t="s">
        <v>#N/A Requesting Data...2394167401</v>
        <stp/>
        <stp>BDP|5043644302802895081</stp>
        <tr r="H1090" s="2"/>
      </tp>
      <tp t="s">
        <v>#N/A Requesting Data...2886178905</v>
        <stp/>
        <stp>BDP|6773249426987238014</stp>
        <tr r="T1797" s="2"/>
      </tp>
      <tp t="s">
        <v>#N/A Requesting Data...2978688533</v>
        <stp/>
        <stp>BDP|1972469218873057613</stp>
        <tr r="J2111" s="2"/>
      </tp>
      <tp t="s">
        <v>#N/A Requesting Data...2324484893</v>
        <stp/>
        <stp>BDP|8045923570512510513</stp>
        <tr r="P2304" s="2"/>
      </tp>
      <tp t="s">
        <v>#N/A Requesting Data...3814494184</v>
        <stp/>
        <stp>BDP|7357410120668203863</stp>
        <tr r="Q1630" s="2"/>
      </tp>
      <tp t="s">
        <v>#N/A Requesting Data...4173142200</v>
        <stp/>
        <stp>BDP|1760929583896241723</stp>
        <tr r="G583" s="2"/>
      </tp>
      <tp t="s">
        <v>#N/A Requesting Data...4104124234</v>
        <stp/>
        <stp>BDP|5218145917181014574</stp>
        <tr r="G1197" s="2"/>
      </tp>
      <tp t="s">
        <v>#N/A Requesting Data...2885341399</v>
        <stp/>
        <stp>BDP|3516236261316760061</stp>
        <tr r="A1669" s="2"/>
      </tp>
      <tp t="s">
        <v>#N/A Requesting Data...1166101188</v>
        <stp/>
        <stp>BDP|4212044530254405244</stp>
        <tr r="O2501" s="2"/>
      </tp>
      <tp t="s">
        <v>#N/A Requesting Data...1365846956</v>
        <stp/>
        <stp>BDP|6621223141041223010</stp>
        <tr r="Q2047" s="2"/>
      </tp>
      <tp t="s">
        <v>#N/A Requesting Data...927615408</v>
        <stp/>
        <stp>BDP|2511347043372166650</stp>
        <tr r="J2025" s="2"/>
      </tp>
      <tp t="s">
        <v>#N/A Requesting Data...2589740857</v>
        <stp/>
        <stp>BDP|5556741122466001753</stp>
        <tr r="K825" s="2"/>
      </tp>
      <tp t="s">
        <v>#N/A Requesting Data...728273723</v>
        <stp/>
        <stp>BDP|8499088872626942810</stp>
        <tr r="F1439" s="2"/>
      </tp>
      <tp t="b">
        <v>0</v>
        <stp/>
        <stp>BDS|5015163829564019396</stp>
        <tr r="I1660" s="2"/>
      </tp>
      <tp t="s">
        <v>#N/A Requesting Data...4221741100</v>
        <stp/>
        <stp>BDP|6574185374330658197</stp>
        <tr r="H2104" s="2"/>
      </tp>
      <tp t="s">
        <v>#N/A Requesting Data...1819493087</v>
        <stp/>
        <stp>BDP|1608632046714276671</stp>
        <tr r="R360" s="2"/>
      </tp>
      <tp t="s">
        <v>#N/A Requesting Data...2771532477</v>
        <stp/>
        <stp>BDP|6642515764443149742</stp>
        <tr r="Q1335" s="2"/>
      </tp>
      <tp t="s">
        <v>#N/A Requesting Data...3196301007</v>
        <stp/>
        <stp>BDP|1345047821562362033</stp>
        <tr r="P541" s="2"/>
      </tp>
      <tp t="s">
        <v>#N/A Requesting Data...4167982163</v>
        <stp/>
        <stp>BDP|1713048882419593127</stp>
        <tr r="R2257" s="2"/>
      </tp>
      <tp t="s">
        <v>#N/A Requesting Data...1941389133</v>
        <stp/>
        <stp>BDP|5317715016562408062</stp>
        <tr r="A1478" s="2"/>
      </tp>
      <tp t="s">
        <v>#N/A Requesting Data...2357549678</v>
        <stp/>
        <stp>BDP|9015020115391274836</stp>
        <tr r="G1219" s="2"/>
      </tp>
      <tp t="s">
        <v>#N/A Requesting Data...4264566408</v>
        <stp/>
        <stp>BDP|1215862758708352593</stp>
        <tr r="T2518" s="2"/>
      </tp>
      <tp t="s">
        <v>#N/A Requesting Data...2640389334</v>
        <stp/>
        <stp>BDP|4770620160373777641</stp>
        <tr r="C1752" s="2"/>
      </tp>
      <tp t="s">
        <v>#N/A Requesting Data...3865509539</v>
        <stp/>
        <stp>BDP|6148737812365334451</stp>
        <tr r="G1717" s="2"/>
      </tp>
      <tp t="s">
        <v>#N/A Requesting Data...4105795825</v>
        <stp/>
        <stp>BDP|1786595515571429598</stp>
        <tr r="N1026" s="2"/>
      </tp>
      <tp t="s">
        <v>#N/A Requesting Data...3088662646</v>
        <stp/>
        <stp>BDP|1150628656386791545</stp>
        <tr r="N528" s="2"/>
      </tp>
      <tp t="s">
        <v>#N/A Requesting Data...1516341133</v>
        <stp/>
        <stp>BDP|3010240662354237224</stp>
        <tr r="D378" s="2"/>
      </tp>
      <tp t="s">
        <v>#N/A Requesting Data...3056651122</v>
        <stp/>
        <stp>BDP|6556202261232662146</stp>
        <tr r="R2345" s="2"/>
      </tp>
      <tp t="s">
        <v>#N/A Requesting Data...1841678756</v>
        <stp/>
        <stp>BDP|4291228114813596575</stp>
        <tr r="K2064" s="2"/>
      </tp>
      <tp t="s">
        <v>#N/A Requesting Data...1734023465</v>
        <stp/>
        <stp>BDP|9701702573368650041</stp>
        <tr r="S2256" s="2"/>
      </tp>
      <tp t="s">
        <v>#N/A Requesting Data...2320573329</v>
        <stp/>
        <stp>BDP|6324045337281643504</stp>
        <tr r="E1598" s="2"/>
      </tp>
      <tp t="s">
        <v>#N/A Requesting Data...1099662035</v>
        <stp/>
        <stp>BDP|7354650874207150057</stp>
        <tr r="C2209" s="2"/>
      </tp>
      <tp t="s">
        <v>#N/A Requesting Data...1654175567</v>
        <stp/>
        <stp>BDP|7479051661257375756</stp>
        <tr r="A1102" s="2"/>
      </tp>
      <tp t="s">
        <v>#N/A Requesting Data...3978700715</v>
        <stp/>
        <stp>BDP|4561556039402969167</stp>
        <tr r="F406" s="2"/>
      </tp>
      <tp t="s">
        <v>#N/A Requesting Data...2180071565</v>
        <stp/>
        <stp>BDP|8348914315364375521</stp>
        <tr r="R1174" s="2"/>
      </tp>
      <tp t="s">
        <v>#N/A Requesting Data...3613740670</v>
        <stp/>
        <stp>BDP|8770100894993228279</stp>
        <tr r="M537" s="2"/>
      </tp>
      <tp t="s">
        <v>#N/A Requesting Data...1558754130</v>
        <stp/>
        <stp>BDP|4282042406394395155</stp>
        <tr r="G639" s="2"/>
      </tp>
      <tp t="s">
        <v>#N/A Requesting Data...4064637377</v>
        <stp/>
        <stp>BDP|4283857532667354908</stp>
        <tr r="K107" s="2"/>
      </tp>
      <tp t="s">
        <v>#N/A Requesting Data...3050079406</v>
        <stp/>
        <stp>BDP|9877680327035963985</stp>
        <tr r="T203" s="2"/>
      </tp>
      <tp t="s">
        <v>#N/A Requesting Data...3978954652</v>
        <stp/>
        <stp>BDP|6742355834191875683</stp>
        <tr r="F886" s="2"/>
      </tp>
      <tp t="b">
        <v>0</v>
        <stp/>
        <stp>BDS|3012645016807194252</stp>
        <tr r="I31" s="2"/>
      </tp>
      <tp t="s">
        <v>#N/A Requesting Data...3557490917</v>
        <stp/>
        <stp>BDP|1712724270555452571</stp>
        <tr r="P1525" s="2"/>
      </tp>
      <tp t="s">
        <v>#N/A Requesting Data...2165084042</v>
        <stp/>
        <stp>BDP|2862376202639903922</stp>
        <tr r="N2002" s="2"/>
      </tp>
      <tp t="s">
        <v>#N/A Requesting Data...1120786394</v>
        <stp/>
        <stp>BDP|7299302421204440319</stp>
        <tr r="F1226" s="2"/>
      </tp>
      <tp t="s">
        <v>#N/A Requesting Data...3121745390</v>
        <stp/>
        <stp>BDP|4951341047376529491</stp>
        <tr r="J816" s="2"/>
      </tp>
      <tp t="s">
        <v>#N/A Requesting Data...3139763204</v>
        <stp/>
        <stp>BDP|6523626713330091029</stp>
        <tr r="S2090" s="2"/>
      </tp>
      <tp t="s">
        <v>#N/A Requesting Data...855405594</v>
        <stp/>
        <stp>BDP|3496151723849525815</stp>
        <tr r="R1218" s="2"/>
      </tp>
      <tp t="s">
        <v>#N/A Requesting Data...4285989257</v>
        <stp/>
        <stp>BDP|3955739403741886474</stp>
        <tr r="P106" s="2"/>
      </tp>
      <tp t="s">
        <v>#N/A Requesting Data...1291678060</v>
        <stp/>
        <stp>BDP|3741523861366031720</stp>
        <tr r="C123" s="2"/>
      </tp>
      <tp t="s">
        <v>#N/A Requesting Data...1885140886</v>
        <stp/>
        <stp>BDP|1378503020076774124</stp>
        <tr r="G1000" s="2"/>
      </tp>
      <tp t="s">
        <v>#N/A Requesting Data...2675842208</v>
        <stp/>
        <stp>BDP|4037325072079576837</stp>
        <tr r="E144" s="2"/>
      </tp>
      <tp t="s">
        <v>#N/A Requesting Data...1381804493</v>
        <stp/>
        <stp>BDP|1408334271940089403</stp>
        <tr r="O1145" s="2"/>
      </tp>
      <tp t="s">
        <v>#N/A Requesting Data...909675387</v>
        <stp/>
        <stp>BDP|4410000479853266199</stp>
        <tr r="J1212" s="2"/>
      </tp>
      <tp t="s">
        <v>#N/A Requesting Data...1799663756</v>
        <stp/>
        <stp>BDP|1141463038265809213</stp>
        <tr r="E1796" s="2"/>
      </tp>
      <tp t="s">
        <v>#N/A Requesting Data...2958507722</v>
        <stp/>
        <stp>BDP|9937607783373589599</stp>
        <tr r="M399" s="2"/>
      </tp>
      <tp t="s">
        <v>#N/A Requesting Data...853665504</v>
        <stp/>
        <stp>BDP|4699569832942374167</stp>
        <tr r="R2131" s="2"/>
      </tp>
      <tp t="s">
        <v>#N/A Requesting Data...1088324396</v>
        <stp/>
        <stp>BDP|1746541780469104458</stp>
        <tr r="M668" s="2"/>
      </tp>
      <tp t="s">
        <v>#N/A Requesting Data...1763039029</v>
        <stp/>
        <stp>BDP|4206039858511747191</stp>
        <tr r="T2090" s="2"/>
      </tp>
      <tp t="s">
        <v>#N/A Requesting Data...1376661184</v>
        <stp/>
        <stp>BDP|4633213342125608648</stp>
        <tr r="R215" s="2"/>
      </tp>
      <tp t="s">
        <v>#N/A Requesting Data...2434176907</v>
        <stp/>
        <stp>BDP|2668316248132192691</stp>
        <tr r="J175" s="2"/>
      </tp>
      <tp t="s">
        <v>#N/A Requesting Data...3452840215</v>
        <stp/>
        <stp>BDP|2909554364833762383</stp>
        <tr r="P2467" s="2"/>
      </tp>
      <tp t="b">
        <v>0</v>
        <stp/>
        <stp>BDS|3914279767202781499</stp>
        <tr r="I1653" s="2"/>
      </tp>
      <tp t="s">
        <v>#N/A Requesting Data...1312159509</v>
        <stp/>
        <stp>BDP|7671616780468993094</stp>
        <tr r="T2340" s="2"/>
      </tp>
      <tp t="s">
        <v>#N/A Requesting Data...791753897</v>
        <stp/>
        <stp>BDP|3681473370604738516</stp>
        <tr r="F2161" s="2"/>
      </tp>
      <tp t="s">
        <v>#N/A Requesting Data...2507645685</v>
        <stp/>
        <stp>BDP|1851087975374014328</stp>
        <tr r="H60" s="2"/>
      </tp>
      <tp t="s">
        <v>#N/A Requesting Data...1027276659</v>
        <stp/>
        <stp>BDP|2108381242077588392</stp>
        <tr r="S1351" s="2"/>
      </tp>
      <tp t="s">
        <v>#N/A Requesting Data...2896451063</v>
        <stp/>
        <stp>BDP|3288133747082210531</stp>
        <tr r="A825" s="2"/>
      </tp>
      <tp t="s">
        <v>#N/A Requesting Data...1160816780</v>
        <stp/>
        <stp>BDP|7845473440253884506</stp>
        <tr r="R1897" s="2"/>
      </tp>
      <tp t="s">
        <v>#N/A Requesting Data...3110669252</v>
        <stp/>
        <stp>BDP|5200627923213169358</stp>
        <tr r="J1863" s="2"/>
      </tp>
      <tp t="s">
        <v>#N/A Requesting Data...3980687819</v>
        <stp/>
        <stp>BDP|5502908731126464874</stp>
        <tr r="R8" s="2"/>
      </tp>
      <tp t="s">
        <v>#N/A Requesting Data...2649483207</v>
        <stp/>
        <stp>BDP|7519305036550528619</stp>
        <tr r="O222" s="2"/>
      </tp>
      <tp t="s">
        <v>#N/A Requesting Data...4214929979</v>
        <stp/>
        <stp>BDP|1396706294497808981</stp>
        <tr r="E1689" s="2"/>
      </tp>
      <tp t="s">
        <v>#N/A Requesting Data...1391176098</v>
        <stp/>
        <stp>BDP|7032649929271349396</stp>
        <tr r="N1667" s="2"/>
      </tp>
      <tp t="s">
        <v>#N/A Requesting Data...3025810897</v>
        <stp/>
        <stp>BDP|4660627633761196115</stp>
        <tr r="G702" s="2"/>
      </tp>
      <tp t="s">
        <v>#N/A Requesting Data...3744357687</v>
        <stp/>
        <stp>BDP|2455348112115115447</stp>
        <tr r="J539" s="2"/>
      </tp>
      <tp t="s">
        <v>#N/A Requesting Data...3518596314</v>
        <stp/>
        <stp>BDP|6708379875604151730</stp>
        <tr r="G1804" s="2"/>
      </tp>
      <tp t="s">
        <v>#N/A Requesting Data...923561757</v>
        <stp/>
        <stp>BDP|6594382229191051735</stp>
        <tr r="T1931" s="2"/>
      </tp>
      <tp t="s">
        <v>#N/A Requesting Data...2298072124</v>
        <stp/>
        <stp>BDP|2572328621145979783</stp>
        <tr r="R2062" s="2"/>
      </tp>
      <tp t="s">
        <v>#N/A Requesting Data...2595684437</v>
        <stp/>
        <stp>BDP|9060510494367378318</stp>
        <tr r="P20" s="2"/>
      </tp>
      <tp t="s">
        <v>#N/A Requesting Data...2528561435</v>
        <stp/>
        <stp>BDP|3651935078978863422</stp>
        <tr r="J2287" s="2"/>
      </tp>
      <tp t="s">
        <v>#N/A Requesting Data...2987049434</v>
        <stp/>
        <stp>BDP|9590129072808357610</stp>
        <tr r="F207" s="2"/>
      </tp>
      <tp t="s">
        <v>#N/A Requesting Data...3238745946</v>
        <stp/>
        <stp>BDP|8816298093713148147</stp>
        <tr r="N33" s="2"/>
      </tp>
      <tp t="s">
        <v>#N/A Requesting Data...1977554238</v>
        <stp/>
        <stp>BDP|1238505816852103622</stp>
        <tr r="S2344" s="2"/>
      </tp>
      <tp t="s">
        <v>#N/A Requesting Data...3646988370</v>
        <stp/>
        <stp>BDP|8277142630773566848</stp>
        <tr r="H731" s="2"/>
      </tp>
      <tp t="s">
        <v>#N/A Requesting Data...2173258412</v>
        <stp/>
        <stp>BDP|2185757065395091769</stp>
        <tr r="R1463" s="2"/>
      </tp>
      <tp t="s">
        <v>#N/A Requesting Data...963835997</v>
        <stp/>
        <stp>BDP|8681878323787637438</stp>
        <tr r="R1230" s="2"/>
      </tp>
      <tp t="s">
        <v>#N/A Requesting Data...4194870095</v>
        <stp/>
        <stp>BDP|2239653127701086673</stp>
        <tr r="H1114" s="2"/>
      </tp>
      <tp t="s">
        <v>#N/A Requesting Data...1904874963</v>
        <stp/>
        <stp>BDP|3030427666291537169</stp>
        <tr r="Q2389" s="2"/>
      </tp>
      <tp t="s">
        <v>#N/A Requesting Data...2255791681</v>
        <stp/>
        <stp>BDP|4762441033206636419</stp>
        <tr r="E367" s="2"/>
      </tp>
      <tp t="s">
        <v>#N/A Requesting Data...3784028196</v>
        <stp/>
        <stp>BDP|6797432741563290408</stp>
        <tr r="M1835" s="2"/>
      </tp>
      <tp t="s">
        <v>#N/A Requesting Data...2388305865</v>
        <stp/>
        <stp>BDP|7177635415725837489</stp>
        <tr r="S1959" s="2"/>
      </tp>
      <tp t="s">
        <v>#N/A Requesting Data...2238236211</v>
        <stp/>
        <stp>BDP|7938634910688865958</stp>
        <tr r="E1808" s="2"/>
      </tp>
      <tp t="s">
        <v>#N/A Requesting Data...1022278654</v>
        <stp/>
        <stp>BDP|9538856143307215368</stp>
        <tr r="N882" s="2"/>
      </tp>
      <tp t="s">
        <v>#N/A Requesting Data...3023079753</v>
        <stp/>
        <stp>BDP|4208663333563193310</stp>
        <tr r="M1445" s="2"/>
      </tp>
      <tp t="s">
        <v>#N/A Requesting Data...1160530109</v>
        <stp/>
        <stp>BDP|2340073851547145139</stp>
        <tr r="M1460" s="2"/>
      </tp>
      <tp t="s">
        <v>#N/A Requesting Data...3040418387</v>
        <stp/>
        <stp>BDP|5225793903876651593</stp>
        <tr r="J2132" s="2"/>
      </tp>
      <tp t="s">
        <v>#N/A Requesting Data...2754766504</v>
        <stp/>
        <stp>BDP|2443002598492294894</stp>
        <tr r="G1777" s="2"/>
      </tp>
      <tp t="s">
        <v>#N/A Requesting Data...2204763876</v>
        <stp/>
        <stp>BDP|1937415040700697096</stp>
        <tr r="D1892" s="2"/>
      </tp>
      <tp t="s">
        <v>#N/A Requesting Data...2014977499</v>
        <stp/>
        <stp>BDP|4843731570831409483</stp>
        <tr r="D1076" s="2"/>
      </tp>
      <tp t="s">
        <v>#N/A Requesting Data...3539992768</v>
        <stp/>
        <stp>BDP|7489953693776165044</stp>
        <tr r="T2378" s="2"/>
      </tp>
      <tp t="s">
        <v>#N/A Requesting Data...2781857623</v>
        <stp/>
        <stp>BDP|2359239566265235233</stp>
        <tr r="F770" s="2"/>
      </tp>
      <tp t="b">
        <v>0</v>
        <stp/>
        <stp>BDS|7630032644316140474</stp>
        <tr r="I2364" s="2"/>
      </tp>
      <tp t="s">
        <v>#N/A Requesting Data...1907854267</v>
        <stp/>
        <stp>BDP|3649499476161685085</stp>
        <tr r="N2500" s="2"/>
      </tp>
      <tp t="s">
        <v>#N/A Requesting Data...4110737820</v>
        <stp/>
        <stp>BDP|9821880973607022047</stp>
        <tr r="T1755" s="2"/>
      </tp>
      <tp t="s">
        <v>#N/A Requesting Data...1201777951</v>
        <stp/>
        <stp>BDP|3450395423184089799</stp>
        <tr r="J133" s="2"/>
      </tp>
      <tp t="s">
        <v>#N/A Requesting Data...1817014212</v>
        <stp/>
        <stp>BDP|5621223065867492720</stp>
        <tr r="G436" s="2"/>
      </tp>
      <tp t="s">
        <v>#N/A Requesting Data...1203037066</v>
        <stp/>
        <stp>BDP|4547338034220784526</stp>
        <tr r="D862" s="2"/>
      </tp>
      <tp t="b">
        <v>0</v>
        <stp/>
        <stp>BDS|5772424071684748342</stp>
        <tr r="I1227" s="2"/>
      </tp>
      <tp t="s">
        <v>#N/A Requesting Data...1396246697</v>
        <stp/>
        <stp>BDP|5598750978997964366</stp>
        <tr r="D2009" s="2"/>
      </tp>
      <tp t="s">
        <v>#N/A Requesting Data...1912737187</v>
        <stp/>
        <stp>BDP|5196137411857518317</stp>
        <tr r="J2071" s="2"/>
      </tp>
      <tp t="s">
        <v>#N/A Requesting Data...871846916</v>
        <stp/>
        <stp>BDP|2063423683668777717</stp>
        <tr r="H879" s="2"/>
      </tp>
      <tp t="s">
        <v>#N/A Requesting Data...2035821290</v>
        <stp/>
        <stp>BDP|1024917695102722245</stp>
        <tr r="O2472" s="2"/>
      </tp>
      <tp t="s">
        <v>#N/A Requesting Data...3755724570</v>
        <stp/>
        <stp>BDP|7635427702863774168</stp>
        <tr r="A1643" s="2"/>
      </tp>
      <tp t="s">
        <v>#N/A Requesting Data...3842163159</v>
        <stp/>
        <stp>BDP|6010068775920624021</stp>
        <tr r="H2496" s="2"/>
      </tp>
      <tp t="s">
        <v>#N/A Requesting Data...1591801482</v>
        <stp/>
        <stp>BDP|6654187435274946157</stp>
        <tr r="K1454" s="2"/>
      </tp>
      <tp t="s">
        <v>#N/A Requesting Data...1924220146</v>
        <stp/>
        <stp>BDP|5107158349361888020</stp>
        <tr r="R1399" s="2"/>
      </tp>
      <tp t="b">
        <v>0</v>
        <stp/>
        <stp>BDS|3040143825461474024</stp>
        <tr r="I2185" s="2"/>
      </tp>
      <tp t="s">
        <v>#N/A Requesting Data...1038004809</v>
        <stp/>
        <stp>BDP|2299262870950561666</stp>
        <tr r="P2057" s="2"/>
      </tp>
      <tp t="s">
        <v>#N/A Requesting Data...2420896026</v>
        <stp/>
        <stp>BDP|2960586022601355571</stp>
        <tr r="J2078" s="2"/>
      </tp>
      <tp t="s">
        <v>#N/A Requesting Data...4073467690</v>
        <stp/>
        <stp>BDP|6941429997843879930</stp>
        <tr r="C2443" s="2"/>
      </tp>
      <tp t="s">
        <v>#N/A Requesting Data...909583610</v>
        <stp/>
        <stp>BDP|7231116454205040701</stp>
        <tr r="K1762" s="2"/>
      </tp>
      <tp t="s">
        <v>#N/A Requesting Data...2500945093</v>
        <stp/>
        <stp>BDP|3257645776207606410</stp>
        <tr r="E2354" s="2"/>
      </tp>
      <tp t="s">
        <v>#N/A Requesting Data...2736712848</v>
        <stp/>
        <stp>BDP|6294354354765497401</stp>
        <tr r="J93" s="2"/>
      </tp>
      <tp t="s">
        <v>#N/A Requesting Data...1976483398</v>
        <stp/>
        <stp>BDP|4052535069462848452</stp>
        <tr r="G530" s="2"/>
      </tp>
      <tp t="b">
        <v>0</v>
        <stp/>
        <stp>BDS|7633435380239427360</stp>
        <tr r="I234" s="2"/>
      </tp>
      <tp t="s">
        <v>#N/A Requesting Data...2437280561</v>
        <stp/>
        <stp>BDP|9609975029980901369</stp>
        <tr r="K217" s="2"/>
      </tp>
      <tp t="s">
        <v>#N/A Requesting Data...2715860755</v>
        <stp/>
        <stp>BDP|1472654340137433524</stp>
        <tr r="G38" s="2"/>
      </tp>
      <tp t="s">
        <v>#N/A Requesting Data...3918122380</v>
        <stp/>
        <stp>BDP|9217622014926167929</stp>
        <tr r="K2134" s="2"/>
      </tp>
      <tp t="s">
        <v>#N/A Requesting Data...909464139</v>
        <stp/>
        <stp>BDP|4968701816761955210</stp>
        <tr r="H926" s="2"/>
      </tp>
      <tp t="s">
        <v>#N/A Requesting Data...1268883288</v>
        <stp/>
        <stp>BDP|9400828520923734167</stp>
        <tr r="M1173" s="2"/>
      </tp>
      <tp t="s">
        <v>#N/A Requesting Data...2520982063</v>
        <stp/>
        <stp>BDP|5054255273390163100</stp>
        <tr r="D527" s="2"/>
      </tp>
      <tp t="s">
        <v>#N/A Requesting Data...1093054576</v>
        <stp/>
        <stp>BDP|3758842086165071724</stp>
        <tr r="Q2496" s="2"/>
      </tp>
      <tp t="s">
        <v>#N/A Requesting Data...1670092227</v>
        <stp/>
        <stp>BDP|1434621542614574667</stp>
        <tr r="Q973" s="2"/>
      </tp>
      <tp t="s">
        <v>#N/A Requesting Data...1282717098</v>
        <stp/>
        <stp>BDP|8798599791230008586</stp>
        <tr r="P1739" s="2"/>
      </tp>
      <tp t="s">
        <v>#N/A Requesting Data...2290743072</v>
        <stp/>
        <stp>BDP|7242000431114384179</stp>
        <tr r="N1293" s="2"/>
      </tp>
      <tp t="s">
        <v>#N/A Requesting Data...3901938429</v>
        <stp/>
        <stp>BDP|5498710560705021028</stp>
        <tr r="Q1500" s="2"/>
      </tp>
      <tp t="s">
        <v>#N/A Requesting Data...4072180540</v>
        <stp/>
        <stp>BDP|1382046843804174025</stp>
        <tr r="D1378" s="2"/>
      </tp>
      <tp t="s">
        <v>#N/A Requesting Data...2103688582</v>
        <stp/>
        <stp>BDP|5588110476745091752</stp>
        <tr r="T2337" s="2"/>
      </tp>
      <tp t="s">
        <v>#N/A Requesting Data...1065217248</v>
        <stp/>
        <stp>BDP|7791584602854306792</stp>
        <tr r="G592" s="2"/>
      </tp>
      <tp t="s">
        <v>#N/A Requesting Data...1486091412</v>
        <stp/>
        <stp>BDP|1982935759025132959</stp>
        <tr r="A1696" s="2"/>
      </tp>
      <tp t="s">
        <v>#N/A Requesting Data...3562816435</v>
        <stp/>
        <stp>BDP|2640427216042561402</stp>
        <tr r="G2039" s="2"/>
      </tp>
      <tp t="s">
        <v>#N/A Requesting Data...3184603454</v>
        <stp/>
        <stp>BDP|7287323614943554760</stp>
        <tr r="D1787" s="2"/>
      </tp>
      <tp t="s">
        <v>#N/A Requesting Data...1672340259</v>
        <stp/>
        <stp>BDP|9096479320186251823</stp>
        <tr r="P1203" s="2"/>
      </tp>
      <tp t="s">
        <v>#N/A Requesting Data...3506904712</v>
        <stp/>
        <stp>BDP|2251584675492126390</stp>
        <tr r="H2044" s="2"/>
      </tp>
      <tp t="s">
        <v>#N/A Requesting Data...2391289280</v>
        <stp/>
        <stp>BDP|6567753878624875373</stp>
        <tr r="K868" s="2"/>
      </tp>
      <tp t="s">
        <v>#N/A Requesting Data...3636039236</v>
        <stp/>
        <stp>BDP|6257821186267609071</stp>
        <tr r="O1405" s="2"/>
      </tp>
      <tp t="s">
        <v>#N/A Requesting Data...1271500967</v>
        <stp/>
        <stp>BDP|5676915326078104774</stp>
        <tr r="E2470" s="2"/>
      </tp>
      <tp t="s">
        <v>#N/A Requesting Data...1925532661</v>
        <stp/>
        <stp>BDP|2102051512667276536</stp>
        <tr r="T1369" s="2"/>
      </tp>
      <tp t="b">
        <v>0</v>
        <stp/>
        <stp>BDS|6071934037074337905</stp>
        <tr r="I1730" s="2"/>
      </tp>
      <tp t="s">
        <v>#N/A Requesting Data...1138458410</v>
        <stp/>
        <stp>BDP|7328096745917983513</stp>
        <tr r="N22" s="2"/>
      </tp>
      <tp t="s">
        <v>#N/A Requesting Data...1179377565</v>
        <stp/>
        <stp>BDP|4647136252138629967</stp>
        <tr r="P1520" s="2"/>
      </tp>
      <tp t="s">
        <v>#N/A Requesting Data...3698996243</v>
        <stp/>
        <stp>BDP|8623823216605138542</stp>
        <tr r="K268" s="2"/>
      </tp>
      <tp t="s">
        <v>#N/A Requesting Data...4206616887</v>
        <stp/>
        <stp>BDP|2985056423196982711</stp>
        <tr r="M1134" s="2"/>
      </tp>
      <tp t="b">
        <v>0</v>
        <stp/>
        <stp>BDS|9973716902359415696</stp>
        <tr r="I1369" s="2"/>
      </tp>
      <tp t="s">
        <v>#N/A Requesting Data...1393129083</v>
        <stp/>
        <stp>BDP|1214417248839630994</stp>
        <tr r="Q2414" s="2"/>
      </tp>
      <tp t="s">
        <v>#N/A Requesting Data...2667770297</v>
        <stp/>
        <stp>BDP|7816793343531090467</stp>
        <tr r="O824" s="2"/>
      </tp>
      <tp t="s">
        <v>#N/A Requesting Data...1598192595</v>
        <stp/>
        <stp>BDP|5931383756061712348</stp>
        <tr r="S1050" s="2"/>
      </tp>
      <tp t="s">
        <v>#N/A Requesting Data...2439655411</v>
        <stp/>
        <stp>BDP|4930039409216768307</stp>
        <tr r="F467" s="2"/>
      </tp>
      <tp t="s">
        <v>#N/A Requesting Data...2012079681</v>
        <stp/>
        <stp>BDP|7348342014882438634</stp>
        <tr r="Q1254" s="2"/>
      </tp>
      <tp t="s">
        <v>#N/A Requesting Data...3645864016</v>
        <stp/>
        <stp>BDP|4104170062225080702</stp>
        <tr r="R182" s="2"/>
      </tp>
      <tp t="s">
        <v>#N/A Requesting Data...2536592694</v>
        <stp/>
        <stp>BDP|4737939207145721901</stp>
        <tr r="D819" s="2"/>
      </tp>
      <tp t="s">
        <v>#N/A Requesting Data...3804947890</v>
        <stp/>
        <stp>BDP|7441659867736766054</stp>
        <tr r="T1383" s="2"/>
      </tp>
      <tp t="s">
        <v>#N/A Requesting Data...3125136718</v>
        <stp/>
        <stp>BDP|4221755924901115167</stp>
        <tr r="A866" s="2"/>
      </tp>
      <tp t="s">
        <v>#N/A Requesting Data...1238391269</v>
        <stp/>
        <stp>BDP|3437506461356579749</stp>
        <tr r="R2120" s="2"/>
      </tp>
      <tp t="s">
        <v>#N/A Requesting Data...3762987124</v>
        <stp/>
        <stp>BDP|6812833075809397198</stp>
        <tr r="T993" s="2"/>
      </tp>
      <tp t="s">
        <v>#N/A Requesting Data...3877043660</v>
        <stp/>
        <stp>BDP|8411403501275186803</stp>
        <tr r="E1407" s="2"/>
      </tp>
      <tp t="b">
        <v>0</v>
        <stp/>
        <stp>BDS|7643076109245513399</stp>
        <tr r="I2073" s="2"/>
      </tp>
      <tp t="s">
        <v>#N/A Requesting Data...2346230663</v>
        <stp/>
        <stp>BDP|1771407954802106363</stp>
        <tr r="G1279" s="2"/>
      </tp>
      <tp t="s">
        <v>#N/A Requesting Data...1284417262</v>
        <stp/>
        <stp>BDP|1086984082369604885</stp>
        <tr r="N1807" s="2"/>
      </tp>
      <tp t="s">
        <v>#N/A Requesting Data...3353386588</v>
        <stp/>
        <stp>BDP|2082595380368510685</stp>
        <tr r="E815" s="2"/>
      </tp>
      <tp t="s">
        <v>#N/A Requesting Data...3425197662</v>
        <stp/>
        <stp>BDP|7449392633576398090</stp>
        <tr r="A2530" s="2"/>
      </tp>
      <tp t="s">
        <v>#N/A Requesting Data...3189658497</v>
        <stp/>
        <stp>BDP|7234445433251069018</stp>
        <tr r="P350" s="2"/>
      </tp>
      <tp t="s">
        <v>#N/A Requesting Data...2219817866</v>
        <stp/>
        <stp>BDP|4471055873232727018</stp>
        <tr r="K1577" s="2"/>
      </tp>
      <tp t="s">
        <v>#N/A Requesting Data...3551554516</v>
        <stp/>
        <stp>BDP|9060501793896773202</stp>
        <tr r="J63" s="2"/>
      </tp>
      <tp t="s">
        <v>#N/A Requesting Data...1961464645</v>
        <stp/>
        <stp>BDP|4023016457623163339</stp>
        <tr r="E518" s="2"/>
      </tp>
      <tp t="s">
        <v>#N/A Requesting Data...3372857782</v>
        <stp/>
        <stp>BDP|2964299534762526057</stp>
        <tr r="P30" s="2"/>
      </tp>
      <tp t="s">
        <v>#N/A Requesting Data...3807425015</v>
        <stp/>
        <stp>BDP|4201479785018364172</stp>
        <tr r="D1721" s="2"/>
      </tp>
      <tp t="s">
        <v>#N/A Requesting Data...3526757833</v>
        <stp/>
        <stp>BDP|8146464593720322438</stp>
        <tr r="F2508" s="2"/>
      </tp>
      <tp t="s">
        <v>#N/A Requesting Data...3865365442</v>
        <stp/>
        <stp>BDP|1080636128127708382</stp>
        <tr r="D1657" s="2"/>
      </tp>
      <tp t="s">
        <v>#N/A Requesting Data...2519340622</v>
        <stp/>
        <stp>BDP|8027652033878036427</stp>
        <tr r="P624" s="2"/>
      </tp>
      <tp t="s">
        <v>#N/A Requesting Data...1586791354</v>
        <stp/>
        <stp>BDP|1958190530831119350</stp>
        <tr r="O1176" s="2"/>
      </tp>
      <tp t="s">
        <v>#N/A Requesting Data...1284526156</v>
        <stp/>
        <stp>BDP|1185537780635353850</stp>
        <tr r="K417" s="2"/>
      </tp>
      <tp t="s">
        <v>#N/A Requesting Data...3855735772</v>
        <stp/>
        <stp>BDP|3640801171974394909</stp>
        <tr r="C1403" s="2"/>
      </tp>
      <tp t="s">
        <v>#N/A Requesting Data...4145312428</v>
        <stp/>
        <stp>BDP|5124021736287696074</stp>
        <tr r="A1120" s="2"/>
      </tp>
      <tp t="s">
        <v>#N/A Requesting Data...1292911277</v>
        <stp/>
        <stp>BDP|6321200026144778368</stp>
        <tr r="P2002" s="2"/>
      </tp>
      <tp t="s">
        <v>#N/A Requesting Data...1726732590</v>
        <stp/>
        <stp>BDP|9579262243287717939</stp>
        <tr r="A959" s="2"/>
      </tp>
      <tp t="s">
        <v>#N/A Requesting Data...1763805638</v>
        <stp/>
        <stp>BDP|3960292516920631141</stp>
        <tr r="T302" s="2"/>
      </tp>
      <tp t="s">
        <v>#N/A Requesting Data...3175206480</v>
        <stp/>
        <stp>BDP|7474574714601285312</stp>
        <tr r="S1211" s="2"/>
      </tp>
      <tp t="s">
        <v>#N/A Requesting Data...1849966314</v>
        <stp/>
        <stp>BDP|8706827569892096589</stp>
        <tr r="O1821" s="2"/>
      </tp>
      <tp t="s">
        <v>#N/A Requesting Data...3927609590</v>
        <stp/>
        <stp>BDP|9641279009629907355</stp>
        <tr r="Q655" s="2"/>
      </tp>
      <tp t="s">
        <v>#N/A Requesting Data...2028872164</v>
        <stp/>
        <stp>BDP|3523240524966752460</stp>
        <tr r="O2112" s="2"/>
      </tp>
      <tp t="s">
        <v>#N/A Requesting Data...1823423098</v>
        <stp/>
        <stp>BDP|9919077667606871859</stp>
        <tr r="S785" s="2"/>
      </tp>
      <tp t="s">
        <v>#N/A Requesting Data...1606087905</v>
        <stp/>
        <stp>BDP|4854889588282441784</stp>
        <tr r="G1714" s="2"/>
      </tp>
      <tp t="s">
        <v>#N/A Requesting Data...2636488385</v>
        <stp/>
        <stp>BDP|5499419262335769344</stp>
        <tr r="P648" s="2"/>
      </tp>
      <tp t="s">
        <v>#N/A Requesting Data...2894648387</v>
        <stp/>
        <stp>BDP|6548584829407901795</stp>
        <tr r="K1236" s="2"/>
      </tp>
      <tp t="s">
        <v>#N/A Requesting Data...1624658905</v>
        <stp/>
        <stp>BDP|2377280839427023560</stp>
        <tr r="O181" s="2"/>
      </tp>
      <tp t="s">
        <v>#N/A Requesting Data...3717332419</v>
        <stp/>
        <stp>BDP|7209415733914486505</stp>
        <tr r="H222" s="2"/>
      </tp>
      <tp t="s">
        <v>#N/A Requesting Data...3594837454</v>
        <stp/>
        <stp>BDP|2815890822021355845</stp>
        <tr r="R1266" s="2"/>
      </tp>
      <tp t="s">
        <v>#N/A Requesting Data...3145586208</v>
        <stp/>
        <stp>BDP|1412596118092621674</stp>
        <tr r="R1997" s="2"/>
      </tp>
      <tp t="s">
        <v>#N/A Requesting Data...1990857897</v>
        <stp/>
        <stp>BDP|1425944486094123535</stp>
        <tr r="R175" s="2"/>
      </tp>
      <tp t="s">
        <v>#N/A Requesting Data...2925331576</v>
        <stp/>
        <stp>BDP|9964619356659216288</stp>
        <tr r="K2109" s="2"/>
      </tp>
      <tp t="s">
        <v>#N/A Requesting Data...1759900650</v>
        <stp/>
        <stp>BDP|1874245056495748292</stp>
        <tr r="Q2039" s="2"/>
      </tp>
      <tp t="s">
        <v>#N/A Requesting Data...1131258378</v>
        <stp/>
        <stp>BDP|5136387179750707033</stp>
        <tr r="T93" s="2"/>
      </tp>
      <tp t="s">
        <v>#N/A Requesting Data...3034493454</v>
        <stp/>
        <stp>BDP|1723338977384604019</stp>
        <tr r="J204" s="2"/>
      </tp>
      <tp t="s">
        <v>#N/A Requesting Data...2760414552</v>
        <stp/>
        <stp>BDP|1253117101279715811</stp>
        <tr r="C1764" s="2"/>
      </tp>
      <tp t="s">
        <v>#N/A Requesting Data...2510261902</v>
        <stp/>
        <stp>BDP|3811586103664176366</stp>
        <tr r="E1886" s="2"/>
      </tp>
      <tp t="s">
        <v>#N/A Requesting Data...2126937319</v>
        <stp/>
        <stp>BDP|2898624474085357798</stp>
        <tr r="D300" s="2"/>
      </tp>
      <tp t="s">
        <v>#N/A Requesting Data...1298956247</v>
        <stp/>
        <stp>BDP|8179841361124356332</stp>
        <tr r="A2455" s="2"/>
      </tp>
      <tp t="s">
        <v>#N/A Requesting Data...2189528614</v>
        <stp/>
        <stp>BDP|9724922922437457471</stp>
        <tr r="A1169" s="2"/>
      </tp>
      <tp t="s">
        <v>#N/A Requesting Data...4025599468</v>
        <stp/>
        <stp>BDP|5269540507577061655</stp>
        <tr r="J207" s="2"/>
      </tp>
      <tp t="s">
        <v>#N/A Requesting Data...4052361479</v>
        <stp/>
        <stp>BDP|6353523137140653141</stp>
        <tr r="N896" s="2"/>
      </tp>
      <tp t="s">
        <v>#N/A Requesting Data...1443419902</v>
        <stp/>
        <stp>BDP|2278755152879318828</stp>
        <tr r="M1652" s="2"/>
      </tp>
      <tp t="s">
        <v>#N/A Requesting Data...2692024241</v>
        <stp/>
        <stp>BDP|7477711252977381304</stp>
        <tr r="F809" s="2"/>
      </tp>
      <tp t="s">
        <v>#N/A Requesting Data...2693741841</v>
        <stp/>
        <stp>BDP|7745165165661561052</stp>
        <tr r="O1877" s="2"/>
      </tp>
      <tp t="s">
        <v>#N/A Requesting Data...1486468439</v>
        <stp/>
        <stp>BDP|3466567284097307812</stp>
        <tr r="H1647" s="2"/>
      </tp>
      <tp t="s">
        <v>#N/A Requesting Data...1821907403</v>
        <stp/>
        <stp>BDP|5750624831370104111</stp>
        <tr r="G1178" s="2"/>
      </tp>
      <tp t="s">
        <v>#N/A Requesting Data...2224335906</v>
        <stp/>
        <stp>BDP|8515049755755543959</stp>
        <tr r="F1841" s="2"/>
      </tp>
      <tp t="s">
        <v>#N/A Requesting Data...3475245486</v>
        <stp/>
        <stp>BDP|9730860069843510598</stp>
        <tr r="E1278" s="2"/>
      </tp>
      <tp t="s">
        <v>#N/A Requesting Data...1934231610</v>
        <stp/>
        <stp>BDP|3342958286331356278</stp>
        <tr r="R2349" s="2"/>
      </tp>
      <tp t="s">
        <v>#N/A Requesting Data...2274474487</v>
        <stp/>
        <stp>BDP|2592356324876575452</stp>
        <tr r="G1315" s="2"/>
      </tp>
      <tp t="s">
        <v>#N/A Requesting Data...1408554581</v>
        <stp/>
        <stp>BDP|3162518484046191915</stp>
        <tr r="M639" s="2"/>
      </tp>
      <tp t="s">
        <v>#N/A Requesting Data...2481227393</v>
        <stp/>
        <stp>BDP|6111184379699598818</stp>
        <tr r="M938" s="2"/>
      </tp>
      <tp t="s">
        <v>#N/A Requesting Data...2635640322</v>
        <stp/>
        <stp>BDP|6726330876226750517</stp>
        <tr r="O493" s="2"/>
      </tp>
      <tp t="s">
        <v>#N/A Requesting Data...3962539694</v>
        <stp/>
        <stp>BDP|4095633449967948075</stp>
        <tr r="F1453" s="2"/>
      </tp>
      <tp t="s">
        <v>#N/A Requesting Data...1959663279</v>
        <stp/>
        <stp>BDP|2770003982393939886</stp>
        <tr r="H1542" s="2"/>
      </tp>
      <tp t="s">
        <v>#N/A Requesting Data...3188401330</v>
        <stp/>
        <stp>BDP|4073073677765537715</stp>
        <tr r="Q1554" s="2"/>
      </tp>
      <tp t="s">
        <v>#N/A Requesting Data...3756155306</v>
        <stp/>
        <stp>BDP|7057707392911291947</stp>
        <tr r="M1869" s="2"/>
      </tp>
      <tp t="s">
        <v>#N/A Requesting Data...4291774585</v>
        <stp/>
        <stp>BDP|3471723271824316608</stp>
        <tr r="D1312" s="2"/>
      </tp>
      <tp t="s">
        <v>#N/A Requesting Data...2866529790</v>
        <stp/>
        <stp>BDP|4436611222448317902</stp>
        <tr r="C2132" s="2"/>
      </tp>
      <tp t="s">
        <v>#N/A Requesting Data...3849973475</v>
        <stp/>
        <stp>BDP|4775439085771643838</stp>
        <tr r="D1798" s="2"/>
      </tp>
      <tp t="s">
        <v>#N/A Requesting Data...3557498831</v>
        <stp/>
        <stp>BDP|9122026306171567946</stp>
        <tr r="Q370" s="2"/>
      </tp>
      <tp t="s">
        <v>#N/A Requesting Data...1861789532</v>
        <stp/>
        <stp>BDP|4158296311700547685</stp>
        <tr r="O230" s="2"/>
      </tp>
      <tp t="s">
        <v>#N/A Requesting Data...1596952224</v>
        <stp/>
        <stp>BDP|7347624475486322133</stp>
        <tr r="J559" s="2"/>
      </tp>
      <tp t="s">
        <v>#N/A Requesting Data...3122697859</v>
        <stp/>
        <stp>BDP|5559770506751252222</stp>
        <tr r="M2303" s="2"/>
      </tp>
      <tp t="s">
        <v>#N/A Requesting Data...4192159371</v>
        <stp/>
        <stp>BDP|5728072926774676244</stp>
        <tr r="D621" s="2"/>
      </tp>
      <tp t="s">
        <v>#N/A Requesting Data...3852339107</v>
        <stp/>
        <stp>BDP|6761521757332789518</stp>
        <tr r="R564" s="2"/>
      </tp>
      <tp t="s">
        <v>#N/A Requesting Data...2660284739</v>
        <stp/>
        <stp>BDP|4333707428601838175</stp>
        <tr r="G906" s="2"/>
      </tp>
      <tp t="s">
        <v>#N/A Requesting Data...1444069332</v>
        <stp/>
        <stp>BDP|6039543855385036254</stp>
        <tr r="A1166" s="2"/>
      </tp>
      <tp t="s">
        <v>#N/A Requesting Data...1978779522</v>
        <stp/>
        <stp>BDP|4628034515917280360</stp>
        <tr r="T1749" s="2"/>
      </tp>
      <tp t="s">
        <v>#N/A Requesting Data...2047331053</v>
        <stp/>
        <stp>BDP|7812645518096972794</stp>
        <tr r="F66" s="2"/>
      </tp>
      <tp t="s">
        <v>#N/A Requesting Data...1323085691</v>
        <stp/>
        <stp>BDP|5439724010027412561</stp>
        <tr r="H2319" s="2"/>
      </tp>
      <tp t="s">
        <v>#N/A Requesting Data...4291397541</v>
        <stp/>
        <stp>BDP|9230931022256101566</stp>
        <tr r="F777" s="2"/>
      </tp>
      <tp t="s">
        <v>#N/A Requesting Data...4232353672</v>
        <stp/>
        <stp>BDP|3064766241661115021</stp>
        <tr r="M1318" s="2"/>
      </tp>
      <tp t="s">
        <v>#N/A Requesting Data...2150421976</v>
        <stp/>
        <stp>BDP|4968857598480635460</stp>
        <tr r="Q2304" s="2"/>
      </tp>
      <tp t="s">
        <v>#N/A Requesting Data...3786330642</v>
        <stp/>
        <stp>BDP|5159052850605850482</stp>
        <tr r="G340" s="2"/>
      </tp>
      <tp t="s">
        <v>#N/A Requesting Data...1654320744</v>
        <stp/>
        <stp>BDP|9628265391212237170</stp>
        <tr r="N1554" s="2"/>
      </tp>
      <tp t="s">
        <v>#N/A Requesting Data...3081156307</v>
        <stp/>
        <stp>BDP|3007762216541249565</stp>
        <tr r="O587" s="2"/>
      </tp>
      <tp t="s">
        <v>#N/A Requesting Data...2772654966</v>
        <stp/>
        <stp>BDP|3395851430271602853</stp>
        <tr r="H1207" s="2"/>
      </tp>
      <tp t="s">
        <v>#N/A Requesting Data...1412080384</v>
        <stp/>
        <stp>BDP|2854640009300881587</stp>
        <tr r="T2507" s="2"/>
      </tp>
      <tp t="s">
        <v>#N/A Requesting Data...4100534935</v>
        <stp/>
        <stp>BDP|6135127685706186822</stp>
        <tr r="C1486" s="2"/>
      </tp>
      <tp t="s">
        <v>#N/A Requesting Data...3497715164</v>
        <stp/>
        <stp>BDP|2244830483677426439</stp>
        <tr r="A937" s="2"/>
      </tp>
      <tp t="s">
        <v>#N/A Requesting Data...3837384406</v>
        <stp/>
        <stp>BDP|9530965513125764528</stp>
        <tr r="T1958" s="2"/>
      </tp>
      <tp t="s">
        <v>#N/A Requesting Data...3014461443</v>
        <stp/>
        <stp>BDP|3330964832629695141</stp>
        <tr r="H2350" s="2"/>
      </tp>
      <tp t="s">
        <v>#N/A Requesting Data...1290846937</v>
        <stp/>
        <stp>BDP|6797052736594166001</stp>
        <tr r="C2411" s="2"/>
      </tp>
      <tp t="s">
        <v>#N/A Requesting Data...2111514774</v>
        <stp/>
        <stp>BDP|7763747413579684934</stp>
        <tr r="E2051" s="2"/>
      </tp>
      <tp t="s">
        <v>#N/A Requesting Data...3700320859</v>
        <stp/>
        <stp>BDP|9476592744371873849</stp>
        <tr r="D568" s="2"/>
      </tp>
      <tp t="s">
        <v>#N/A Requesting Data...2258368421</v>
        <stp/>
        <stp>BDP|5604899730036847925</stp>
        <tr r="P2022" s="2"/>
      </tp>
      <tp t="s">
        <v>#N/A Requesting Data...3514088273</v>
        <stp/>
        <stp>BDP|6365797272965956245</stp>
        <tr r="K1863" s="2"/>
      </tp>
      <tp t="s">
        <v>#N/A Requesting Data...2235262083</v>
        <stp/>
        <stp>BDP|6157545135318697932</stp>
        <tr r="T2428" s="2"/>
      </tp>
      <tp t="s">
        <v>#N/A Requesting Data...1675023372</v>
        <stp/>
        <stp>BDP|4374909317549050416</stp>
        <tr r="K1999" s="2"/>
      </tp>
      <tp t="s">
        <v>#N/A Requesting Data...1329849622</v>
        <stp/>
        <stp>BDP|9253880506234966409</stp>
        <tr r="D2004" s="2"/>
      </tp>
      <tp t="s">
        <v>#N/A Requesting Data...2825042526</v>
        <stp/>
        <stp>BDP|9694270510149119251</stp>
        <tr r="N2358" s="2"/>
      </tp>
      <tp t="s">
        <v>#N/A Requesting Data...1466296659</v>
        <stp/>
        <stp>BDP|6045574344407399155</stp>
        <tr r="R563" s="2"/>
      </tp>
      <tp t="s">
        <v>#N/A Requesting Data...3072733250</v>
        <stp/>
        <stp>BDP|5983493707158658847</stp>
        <tr r="C2065" s="2"/>
      </tp>
      <tp t="s">
        <v>#N/A Requesting Data...3139155857</v>
        <stp/>
        <stp>BDP|9592186872157835925</stp>
        <tr r="H1950" s="2"/>
      </tp>
      <tp t="b">
        <v>0</v>
        <stp/>
        <stp>BDS|9274371411022374829</stp>
        <tr r="I690" s="2"/>
      </tp>
      <tp t="s">
        <v>#N/A Requesting Data...1596027804</v>
        <stp/>
        <stp>BDP|1228294984953913935</stp>
        <tr r="P1970" s="2"/>
      </tp>
      <tp t="s">
        <v>#N/A Requesting Data...1396204766</v>
        <stp/>
        <stp>BDP|7243328543384559531</stp>
        <tr r="T1851" s="2"/>
      </tp>
      <tp t="s">
        <v>#N/A Requesting Data...3881551676</v>
        <stp/>
        <stp>BDP|3947216227053993130</stp>
        <tr r="M1721" s="2"/>
      </tp>
      <tp t="s">
        <v>#N/A Requesting Data...1512471641</v>
        <stp/>
        <stp>BDP|4815149251198902912</stp>
        <tr r="H996" s="2"/>
      </tp>
      <tp t="s">
        <v>#N/A Requesting Data...2298291004</v>
        <stp/>
        <stp>BDP|7043412338847529697</stp>
        <tr r="Q411" s="2"/>
      </tp>
      <tp t="s">
        <v>#N/A Requesting Data...2164967834</v>
        <stp/>
        <stp>BDP|1704064061492493412</stp>
        <tr r="D286" s="2"/>
      </tp>
      <tp t="s">
        <v>#N/A Requesting Data...4187839518</v>
        <stp/>
        <stp>BDP|4552312248011899315</stp>
        <tr r="A1371" s="2"/>
      </tp>
      <tp t="s">
        <v>#N/A Requesting Data...3015511976</v>
        <stp/>
        <stp>BDP|7393763212503458361</stp>
        <tr r="Q1244" s="2"/>
      </tp>
      <tp t="s">
        <v>#N/A Requesting Data...3656605122</v>
        <stp/>
        <stp>BDP|4725772368431875559</stp>
        <tr r="S292" s="2"/>
      </tp>
      <tp t="s">
        <v>#N/A Requesting Data...1495414726</v>
        <stp/>
        <stp>BDP|3182760306031603422</stp>
        <tr r="O1079" s="2"/>
      </tp>
      <tp t="b">
        <v>0</v>
        <stp/>
        <stp>BDS|2443556713325797201</stp>
        <tr r="I2064" s="2"/>
      </tp>
      <tp t="s">
        <v>#N/A Requesting Data...3784984202</v>
        <stp/>
        <stp>BDP|9293826513776555730</stp>
        <tr r="H2088" s="2"/>
      </tp>
      <tp t="s">
        <v>#N/A Requesting Data...2973980755</v>
        <stp/>
        <stp>BDP|5311202486678615669</stp>
        <tr r="C1122" s="2"/>
      </tp>
      <tp t="s">
        <v>#N/A Requesting Data...2933653119</v>
        <stp/>
        <stp>BDP|9451484244580505889</stp>
        <tr r="T608" s="2"/>
      </tp>
      <tp t="s">
        <v>#N/A Requesting Data...2068564975</v>
        <stp/>
        <stp>BDP|7029310240170674129</stp>
        <tr r="M1353" s="2"/>
      </tp>
      <tp t="s">
        <v>#N/A Requesting Data...3265588409</v>
        <stp/>
        <stp>BDP|2959738826587970102</stp>
        <tr r="K2223" s="2"/>
      </tp>
      <tp t="s">
        <v>#N/A Requesting Data...4100125604</v>
        <stp/>
        <stp>BDP|6893546259234396338</stp>
        <tr r="Q355" s="2"/>
      </tp>
      <tp t="s">
        <v>#N/A Requesting Data...2621060954</v>
        <stp/>
        <stp>BDP|3776792915621898566</stp>
        <tr r="T296" s="2"/>
      </tp>
      <tp t="s">
        <v>#N/A Requesting Data...3771134290</v>
        <stp/>
        <stp>BDP|4994661209363572060</stp>
        <tr r="N884" s="2"/>
      </tp>
      <tp t="s">
        <v>#N/A Requesting Data...3266551585</v>
        <stp/>
        <stp>BDP|4732070456010779048</stp>
        <tr r="T332" s="2"/>
      </tp>
      <tp t="s">
        <v>#N/A Requesting Data...3785909184</v>
        <stp/>
        <stp>BDP|9926387826519351019</stp>
        <tr r="N1911" s="2"/>
      </tp>
      <tp t="s">
        <v>#N/A Requesting Data...1773538278</v>
        <stp/>
        <stp>BDP|1308722334456697263</stp>
        <tr r="F436" s="2"/>
      </tp>
      <tp t="s">
        <v>#N/A Requesting Data...1783908949</v>
        <stp/>
        <stp>BDP|1018571170950549272</stp>
        <tr r="Q1864" s="2"/>
      </tp>
      <tp t="s">
        <v>#N/A Requesting Data...1838099763</v>
        <stp/>
        <stp>BDP|5757960650658653029</stp>
        <tr r="N605" s="2"/>
      </tp>
      <tp t="s">
        <v>#N/A Requesting Data...2300427805</v>
        <stp/>
        <stp>BDP|8047821120272613119</stp>
        <tr r="M1284" s="2"/>
      </tp>
      <tp t="s">
        <v>#N/A Requesting Data...2085123440</v>
        <stp/>
        <stp>BDP|7231966152952206813</stp>
        <tr r="K319" s="2"/>
      </tp>
      <tp t="s">
        <v>#N/A Requesting Data...2001698476</v>
        <stp/>
        <stp>BDP|7100566738091800129</stp>
        <tr r="F1691" s="2"/>
      </tp>
      <tp t="s">
        <v>#N/A Requesting Data...3134660083</v>
        <stp/>
        <stp>BDP|5754261730984401102</stp>
        <tr r="O1225" s="2"/>
      </tp>
      <tp t="b">
        <v>0</v>
        <stp/>
        <stp>BDS|2463342659171889441</stp>
        <tr r="I1295" s="2"/>
      </tp>
      <tp t="s">
        <v>#N/A Requesting Data...1890198767</v>
        <stp/>
        <stp>BDP|7575008420023087709</stp>
        <tr r="E1446" s="2"/>
      </tp>
      <tp t="s">
        <v>#N/A Requesting Data...2690147035</v>
        <stp/>
        <stp>BDP|7844871486407464189</stp>
        <tr r="R1508" s="2"/>
      </tp>
      <tp t="s">
        <v>#N/A Requesting Data...1463575449</v>
        <stp/>
        <stp>BDP|4493000413497338310</stp>
        <tr r="N1458" s="2"/>
      </tp>
      <tp t="s">
        <v>#N/A Requesting Data...1808803898</v>
        <stp/>
        <stp>BDP|5541007258023086285</stp>
        <tr r="C652" s="2"/>
      </tp>
      <tp t="s">
        <v>#N/A Requesting Data...3959826740</v>
        <stp/>
        <stp>BDP|7514329325374567323</stp>
        <tr r="F2260" s="2"/>
      </tp>
      <tp t="s">
        <v>#N/A Requesting Data...1969109804</v>
        <stp/>
        <stp>BDP|2620781524017985165</stp>
        <tr r="N1681" s="2"/>
      </tp>
      <tp t="s">
        <v>#N/A Requesting Data...4052053565</v>
        <stp/>
        <stp>BDP|1600976763366723909</stp>
        <tr r="S322" s="2"/>
      </tp>
      <tp t="s">
        <v>#N/A Requesting Data...3998909881</v>
        <stp/>
        <stp>BDP|6340129646944720658</stp>
        <tr r="H944" s="2"/>
      </tp>
      <tp t="s">
        <v>#N/A Requesting Data...4196490847</v>
        <stp/>
        <stp>BDP|1299449561286789454</stp>
        <tr r="H1267" s="2"/>
      </tp>
      <tp t="s">
        <v>#N/A Requesting Data...2927209231</v>
        <stp/>
        <stp>BDP|8435399844978595694</stp>
        <tr r="O299" s="2"/>
      </tp>
      <tp t="s">
        <v>#N/A Requesting Data...2678243229</v>
        <stp/>
        <stp>BDP|3638169184142539949</stp>
        <tr r="K1511" s="2"/>
      </tp>
      <tp t="s">
        <v>#N/A Requesting Data...1786818797</v>
        <stp/>
        <stp>BDP|3775547285377446876</stp>
        <tr r="H802" s="2"/>
      </tp>
      <tp t="b">
        <v>0</v>
        <stp/>
        <stp>BDS|6681959066201766977</stp>
        <tr r="I1594" s="2"/>
      </tp>
      <tp t="s">
        <v>#N/A Requesting Data...4263979141</v>
        <stp/>
        <stp>BDP|2043453050302553050</stp>
        <tr r="M2216" s="2"/>
      </tp>
      <tp t="s">
        <v>#N/A Requesting Data...2294103643</v>
        <stp/>
        <stp>BDP|1461037506444151451</stp>
        <tr r="C1645" s="2"/>
      </tp>
      <tp t="s">
        <v>#N/A Requesting Data...2016485986</v>
        <stp/>
        <stp>BDP|4926816066712346986</stp>
        <tr r="P2431" s="2"/>
      </tp>
      <tp t="s">
        <v>#N/A Requesting Data...2471529528</v>
        <stp/>
        <stp>BDP|7860802158493085859</stp>
        <tr r="E952" s="2"/>
      </tp>
      <tp t="s">
        <v>#N/A Requesting Data...3643583187</v>
        <stp/>
        <stp>BDP|1615033806157701712</stp>
        <tr r="P1420" s="2"/>
      </tp>
      <tp t="s">
        <v>#N/A Requesting Data...2411572069</v>
        <stp/>
        <stp>BDP|9911177871647874926</stp>
        <tr r="C2299" s="2"/>
      </tp>
      <tp t="s">
        <v>#N/A Requesting Data...3003009915</v>
        <stp/>
        <stp>BDP|2003522697698826787</stp>
        <tr r="H1222" s="2"/>
      </tp>
      <tp t="s">
        <v>#N/A Requesting Data...3284297232</v>
        <stp/>
        <stp>BDP|4301563304591250162</stp>
        <tr r="O926" s="2"/>
      </tp>
      <tp t="s">
        <v>#N/A Requesting Data...2734382272</v>
        <stp/>
        <stp>BDP|3455791445450951145</stp>
        <tr r="H1045" s="2"/>
      </tp>
      <tp t="s">
        <v>#N/A Requesting Data...2343859932</v>
        <stp/>
        <stp>BDP|4770057111627475321</stp>
        <tr r="D2210" s="2"/>
      </tp>
      <tp t="s">
        <v>#N/A Requesting Data...2699781799</v>
        <stp/>
        <stp>BDP|5161770457756227063</stp>
        <tr r="M673" s="2"/>
      </tp>
      <tp t="s">
        <v>#N/A Requesting Data...2656476740</v>
        <stp/>
        <stp>BDP|6611225249946840709</stp>
        <tr r="Q253" s="2"/>
      </tp>
      <tp t="s">
        <v>#N/A Requesting Data...3070779211</v>
        <stp/>
        <stp>BDP|2536964943576448816</stp>
        <tr r="H1489" s="2"/>
      </tp>
      <tp t="s">
        <v>#N/A Requesting Data...3801787602</v>
        <stp/>
        <stp>BDP|6695393617874565184</stp>
        <tr r="R2046" s="2"/>
      </tp>
      <tp t="s">
        <v>#N/A Requesting Data...3103631607</v>
        <stp/>
        <stp>BDP|7222810155708722347</stp>
        <tr r="D303" s="2"/>
      </tp>
      <tp t="s">
        <v>#N/A Requesting Data...3286617394</v>
        <stp/>
        <stp>BDP|4659614445983016479</stp>
        <tr r="C1985" s="2"/>
      </tp>
      <tp t="s">
        <v>#N/A Requesting Data...3925816732</v>
        <stp/>
        <stp>BDP|5669057153370002152</stp>
        <tr r="G1275" s="2"/>
      </tp>
      <tp t="s">
        <v>#N/A Requesting Data...1842016886</v>
        <stp/>
        <stp>BDP|9237122655238915491</stp>
        <tr r="K1330" s="2"/>
      </tp>
      <tp t="s">
        <v>#N/A Requesting Data...3188755131</v>
        <stp/>
        <stp>BDP|5557328189448833739</stp>
        <tr r="J1960" s="2"/>
      </tp>
      <tp t="s">
        <v>#N/A Requesting Data...2120877527</v>
        <stp/>
        <stp>BDP|9853381196444357606</stp>
        <tr r="K1382" s="2"/>
      </tp>
      <tp t="s">
        <v>#N/A Requesting Data...3906896419</v>
        <stp/>
        <stp>BDP|4983369505614968262</stp>
        <tr r="O2127" s="2"/>
      </tp>
      <tp t="s">
        <v>#N/A Requesting Data...3425716620</v>
        <stp/>
        <stp>BDP|6415480648081222630</stp>
        <tr r="E1001" s="2"/>
      </tp>
      <tp t="s">
        <v>#N/A Requesting Data...3819030236</v>
        <stp/>
        <stp>BDP|9365408121967669912</stp>
        <tr r="F517" s="2"/>
      </tp>
      <tp t="s">
        <v>#N/A Requesting Data...2010559589</v>
        <stp/>
        <stp>BDP|7691119561484069530</stp>
        <tr r="F435" s="2"/>
      </tp>
      <tp t="b">
        <v>0</v>
        <stp/>
        <stp>BDS|4720270014371592749</stp>
        <tr r="I2126" s="2"/>
      </tp>
      <tp t="s">
        <v>#N/A Requesting Data...2089631167</v>
        <stp/>
        <stp>BDP|1968651101237878100</stp>
        <tr r="P513" s="2"/>
      </tp>
      <tp t="s">
        <v>#N/A Requesting Data...3136904436</v>
        <stp/>
        <stp>BDP|7653298566853821145</stp>
        <tr r="A1361" s="2"/>
      </tp>
      <tp t="s">
        <v>#N/A Requesting Data...3846879630</v>
        <stp/>
        <stp>BDP|4184308443040407232</stp>
        <tr r="F407" s="2"/>
      </tp>
      <tp t="s">
        <v>#N/A Requesting Data...1459883436</v>
        <stp/>
        <stp>BDP|5123827363413112942</stp>
        <tr r="C1607" s="2"/>
      </tp>
      <tp t="b">
        <v>0</v>
        <stp/>
        <stp>BDS|9958843536360605384</stp>
        <tr r="I1551" s="2"/>
      </tp>
      <tp t="s">
        <v>#N/A Requesting Data...3447411982</v>
        <stp/>
        <stp>BDP|6830356864513822140</stp>
        <tr r="F606" s="2"/>
      </tp>
      <tp t="s">
        <v>#N/A Requesting Data...4195009679</v>
        <stp/>
        <stp>BDP|6696319570906097525</stp>
        <tr r="R405" s="2"/>
      </tp>
      <tp t="s">
        <v>#N/A Requesting Data...2834013376</v>
        <stp/>
        <stp>BDP|7204943165489279045</stp>
        <tr r="F761" s="2"/>
      </tp>
      <tp t="s">
        <v>#N/A Requesting Data...2784183986</v>
        <stp/>
        <stp>BDP|2735260109240925146</stp>
        <tr r="N2155" s="2"/>
      </tp>
      <tp t="s">
        <v>#N/A Requesting Data...3548648750</v>
        <stp/>
        <stp>BDP|1610830182467136733</stp>
        <tr r="S31" s="2"/>
      </tp>
      <tp t="s">
        <v>#N/A Requesting Data...1488015270</v>
        <stp/>
        <stp>BDP|2935983219529564286</stp>
        <tr r="F2429" s="2"/>
      </tp>
      <tp t="s">
        <v>#N/A Requesting Data...1779274463</v>
        <stp/>
        <stp>BDP|2109062676700307470</stp>
        <tr r="J2174" s="2"/>
      </tp>
      <tp t="s">
        <v>#N/A Requesting Data...3588582400</v>
        <stp/>
        <stp>BDP|4736554924351572366</stp>
        <tr r="C1739" s="2"/>
      </tp>
      <tp t="s">
        <v>#N/A Requesting Data...3985865208</v>
        <stp/>
        <stp>BDP|7849560827018949955</stp>
        <tr r="C2160" s="2"/>
      </tp>
      <tp t="s">
        <v>#N/A Requesting Data...3270015783</v>
        <stp/>
        <stp>BDP|8945421265478279393</stp>
        <tr r="T782" s="2"/>
      </tp>
      <tp t="b">
        <v>0</v>
        <stp/>
        <stp>BDS|6372476633952398217</stp>
        <tr r="I2411" s="2"/>
      </tp>
      <tp t="s">
        <v>#N/A Requesting Data...1854171196</v>
        <stp/>
        <stp>BDP|5845597340485024040</stp>
        <tr r="G451" s="2"/>
      </tp>
      <tp t="s">
        <v>#N/A Requesting Data...2727465447</v>
        <stp/>
        <stp>BDP|1716921796508345855</stp>
        <tr r="G106" s="2"/>
      </tp>
      <tp t="s">
        <v>#N/A Requesting Data...2456421061</v>
        <stp/>
        <stp>BDP|1234154663744301324</stp>
        <tr r="O2326" s="2"/>
      </tp>
      <tp t="s">
        <v>#N/A Requesting Data...4145489446</v>
        <stp/>
        <stp>BDP|8118906846277327313</stp>
        <tr r="D2058" s="2"/>
      </tp>
      <tp t="s">
        <v>#N/A Requesting Data...4082731171</v>
        <stp/>
        <stp>BDP|8803563528647032932</stp>
        <tr r="A1351" s="2"/>
      </tp>
      <tp t="s">
        <v>#N/A Requesting Data...2561497749</v>
        <stp/>
        <stp>BDP|7435215630132143517</stp>
        <tr r="R1845" s="2"/>
      </tp>
      <tp t="s">
        <v>#N/A Requesting Data...3186644087</v>
        <stp/>
        <stp>BDP|5561565013030759022</stp>
        <tr r="T1041" s="2"/>
      </tp>
      <tp t="b">
        <v>0</v>
        <stp/>
        <stp>BDS|8740688224639964478</stp>
        <tr r="I62" s="2"/>
      </tp>
      <tp t="s">
        <v>#N/A Requesting Data...3427535754</v>
        <stp/>
        <stp>BDP|5510214017696509134</stp>
        <tr r="A221" s="2"/>
      </tp>
      <tp t="s">
        <v>#N/A Requesting Data...2226814392</v>
        <stp/>
        <stp>BDP|5657466302345171560</stp>
        <tr r="F1167" s="2"/>
      </tp>
      <tp t="s">
        <v>#N/A Requesting Data...3415569581</v>
        <stp/>
        <stp>BDP|6232027555556253423</stp>
        <tr r="M1045" s="2"/>
      </tp>
      <tp t="s">
        <v>#N/A Requesting Data...2557737808</v>
        <stp/>
        <stp>BDP|7773773046966098333</stp>
        <tr r="E2523" s="2"/>
      </tp>
      <tp t="s">
        <v>#N/A Requesting Data...3407967743</v>
        <stp/>
        <stp>BDP|5946440733182317183</stp>
        <tr r="M2410" s="2"/>
      </tp>
      <tp t="s">
        <v>#N/A Requesting Data...3945384026</v>
        <stp/>
        <stp>BDP|6965696009624869547</stp>
        <tr r="C553" s="2"/>
      </tp>
      <tp t="s">
        <v>#N/A Requesting Data...1728662226</v>
        <stp/>
        <stp>BDP|6079823487553632465</stp>
        <tr r="N385" s="2"/>
      </tp>
      <tp t="s">
        <v>#N/A Requesting Data...3665583032</v>
        <stp/>
        <stp>BDP|5137231213751165655</stp>
        <tr r="S428" s="2"/>
      </tp>
      <tp t="s">
        <v>#N/A Requesting Data...2682886787</v>
        <stp/>
        <stp>BDP|6253753406275673525</stp>
        <tr r="J533" s="2"/>
      </tp>
      <tp t="s">
        <v>#N/A Requesting Data...2902722680</v>
        <stp/>
        <stp>BDP|6442282065843909058</stp>
        <tr r="D2389" s="2"/>
      </tp>
      <tp t="s">
        <v>#N/A Requesting Data...3586761425</v>
        <stp/>
        <stp>BDP|8253435466463249806</stp>
        <tr r="C975" s="2"/>
      </tp>
      <tp t="s">
        <v>#N/A Requesting Data...2313013087</v>
        <stp/>
        <stp>BDP|4167351829833149462</stp>
        <tr r="A2173" s="2"/>
      </tp>
      <tp t="s">
        <v>#N/A Requesting Data...2338142005</v>
        <stp/>
        <stp>BDP|5646855809698692767</stp>
        <tr r="F2277" s="2"/>
      </tp>
      <tp t="s">
        <v>#N/A Requesting Data...2482762513</v>
        <stp/>
        <stp>BDP|5497951631059982439</stp>
        <tr r="K2119" s="2"/>
      </tp>
      <tp t="s">
        <v>#N/A Requesting Data...2818948155</v>
        <stp/>
        <stp>BDP|5844526370651494444</stp>
        <tr r="C1801" s="2"/>
      </tp>
      <tp t="s">
        <v>#N/A Requesting Data...2775199738</v>
        <stp/>
        <stp>BDP|8875971765634991190</stp>
        <tr r="M2417" s="2"/>
      </tp>
      <tp t="s">
        <v>#N/A Requesting Data...2384194394</v>
        <stp/>
        <stp>BDP|1903769415826899381</stp>
        <tr r="H475" s="2"/>
      </tp>
      <tp t="s">
        <v>#N/A Requesting Data...2794455069</v>
        <stp/>
        <stp>BDP|7234118156735858470</stp>
        <tr r="N259" s="2"/>
      </tp>
      <tp t="s">
        <v>#N/A Requesting Data...3501292268</v>
        <stp/>
        <stp>BDP|2411009619195436433</stp>
        <tr r="T707" s="2"/>
      </tp>
      <tp t="s">
        <v>#N/A Requesting Data...3412578067</v>
        <stp/>
        <stp>BDP|2695386015676107401</stp>
        <tr r="N1833" s="2"/>
      </tp>
      <tp t="s">
        <v>#N/A Requesting Data...3917011495</v>
        <stp/>
        <stp>BDP|9343878088283200846</stp>
        <tr r="G2188" s="2"/>
      </tp>
      <tp t="s">
        <v>#N/A Requesting Data...2504374201</v>
        <stp/>
        <stp>BDP|2907010833081631278</stp>
        <tr r="K1746" s="2"/>
      </tp>
      <tp t="s">
        <v>#N/A Requesting Data...3169517888</v>
        <stp/>
        <stp>BDP|1400275461436085182</stp>
        <tr r="J1264" s="2"/>
      </tp>
      <tp t="s">
        <v>#N/A Requesting Data...2546646017</v>
        <stp/>
        <stp>BDP|3000263275905171186</stp>
        <tr r="S74" s="2"/>
      </tp>
      <tp t="s">
        <v>#N/A Requesting Data...1677939165</v>
        <stp/>
        <stp>BDP|1661657092509879538</stp>
        <tr r="G722" s="2"/>
      </tp>
      <tp t="s">
        <v>#N/A Requesting Data...3326792953</v>
        <stp/>
        <stp>BDP|6576277352870265384</stp>
        <tr r="T1292" s="2"/>
      </tp>
      <tp t="s">
        <v>#N/A Requesting Data...1771010078</v>
        <stp/>
        <stp>BDP|7723215139082082655</stp>
        <tr r="D1802" s="2"/>
      </tp>
      <tp t="s">
        <v>#N/A Requesting Data...2818804185</v>
        <stp/>
        <stp>BDP|4157123469269206829</stp>
        <tr r="S2490" s="2"/>
      </tp>
      <tp t="s">
        <v>#N/A Requesting Data...3849684491</v>
        <stp/>
        <stp>BDP|3365259794433875900</stp>
        <tr r="P595" s="2"/>
      </tp>
      <tp t="b">
        <v>0</v>
        <stp/>
        <stp>BDS|4786305034210994609</stp>
        <tr r="I1543" s="2"/>
      </tp>
      <tp t="s">
        <v>#N/A Requesting Data...3808200255</v>
        <stp/>
        <stp>BDP|1581104016756008597</stp>
        <tr r="F1603" s="2"/>
      </tp>
      <tp t="s">
        <v>#N/A Requesting Data...2366267669</v>
        <stp/>
        <stp>BDP|3745278968970387511</stp>
        <tr r="J1269" s="2"/>
      </tp>
      <tp t="s">
        <v>#N/A Requesting Data...1886963136</v>
        <stp/>
        <stp>BDP|1470289807269607870</stp>
        <tr r="S800" s="2"/>
      </tp>
      <tp t="s">
        <v>#N/A Requesting Data...3507444243</v>
        <stp/>
        <stp>BDP|1190359740935661180</stp>
        <tr r="N282" s="2"/>
      </tp>
      <tp t="s">
        <v>#N/A Requesting Data...2317712187</v>
        <stp/>
        <stp>BDP|7088661879925285177</stp>
        <tr r="H770" s="2"/>
      </tp>
      <tp t="s">
        <v>#N/A Requesting Data...3688439768</v>
        <stp/>
        <stp>BDP|6951509805678471922</stp>
        <tr r="T389" s="2"/>
      </tp>
      <tp t="b">
        <v>0</v>
        <stp/>
        <stp>BDS|5648482572910175474</stp>
        <tr r="I741" s="2"/>
      </tp>
      <tp t="s">
        <v>#N/A Requesting Data...3468830763</v>
        <stp/>
        <stp>BDP|8825421552249491266</stp>
        <tr r="N1812" s="2"/>
      </tp>
      <tp t="b">
        <v>0</v>
        <stp/>
        <stp>BDS|2217454968966379466</stp>
        <tr r="I131" s="2"/>
      </tp>
      <tp t="s">
        <v>#N/A Requesting Data...3683204839</v>
        <stp/>
        <stp>BDP|4835578855645731370</stp>
        <tr r="S730" s="2"/>
      </tp>
      <tp t="s">
        <v>#N/A Requesting Data...2440356541</v>
        <stp/>
        <stp>BDP|4912129013854243205</stp>
        <tr r="P2326" s="2"/>
      </tp>
      <tp t="s">
        <v>#N/A Requesting Data...2387692405</v>
        <stp/>
        <stp>BDP|2820827127673765904</stp>
        <tr r="P621" s="2"/>
      </tp>
      <tp t="s">
        <v>#N/A Requesting Data...2869793614</v>
        <stp/>
        <stp>BDP|3280597223721603749</stp>
        <tr r="P662" s="2"/>
      </tp>
      <tp t="s">
        <v>#N/A Requesting Data...2002926612</v>
        <stp/>
        <stp>BDP|7453260609055329226</stp>
        <tr r="H2249" s="2"/>
      </tp>
      <tp t="s">
        <v>#N/A Requesting Data...3016305742</v>
        <stp/>
        <stp>BDP|8961326552459635557</stp>
        <tr r="J1235" s="2"/>
      </tp>
      <tp t="s">
        <v>#N/A Requesting Data...2307804584</v>
        <stp/>
        <stp>BDP|1166726325757402187</stp>
        <tr r="A148" s="2"/>
      </tp>
      <tp t="s">
        <v>#N/A Requesting Data...3109119800</v>
        <stp/>
        <stp>BDP|1663126725061828132</stp>
        <tr r="Q97" s="2"/>
      </tp>
      <tp t="s">
        <v>#N/A Requesting Data...2191016894</v>
        <stp/>
        <stp>BDP|6985777456773582573</stp>
        <tr r="F2007" s="2"/>
      </tp>
      <tp t="s">
        <v>#N/A Requesting Data...3973102594</v>
        <stp/>
        <stp>BDP|1162206723625136696</stp>
        <tr r="Q827" s="2"/>
      </tp>
      <tp t="b">
        <v>0</v>
        <stp/>
        <stp>BDS|8870342086503821282</stp>
        <tr r="I2054" s="2"/>
      </tp>
      <tp t="s">
        <v>#N/A Requesting Data...3377443611</v>
        <stp/>
        <stp>BDP|2511147821573870027</stp>
        <tr r="A1406" s="2"/>
      </tp>
      <tp t="s">
        <v>#N/A Requesting Data...1838015538</v>
        <stp/>
        <stp>BDP|4009576089249232264</stp>
        <tr r="M1117" s="2"/>
      </tp>
      <tp t="s">
        <v>#N/A Requesting Data...3046826892</v>
        <stp/>
        <stp>BDP|5727286535384656260</stp>
        <tr r="S651" s="2"/>
      </tp>
      <tp t="s">
        <v>#N/A Requesting Data...2756544267</v>
        <stp/>
        <stp>BDP|2968851900529429122</stp>
        <tr r="N247" s="2"/>
      </tp>
      <tp t="s">
        <v>#N/A Requesting Data...2700882845</v>
        <stp/>
        <stp>BDP|2924077597768601157</stp>
        <tr r="P1462" s="2"/>
      </tp>
      <tp t="s">
        <v>#N/A Requesting Data...2503088163</v>
        <stp/>
        <stp>BDP|6415349068303283206</stp>
        <tr r="G126" s="2"/>
      </tp>
      <tp t="s">
        <v>#N/A Requesting Data...4084750675</v>
        <stp/>
        <stp>BDP|9886440496420007609</stp>
        <tr r="E2194" s="2"/>
      </tp>
      <tp t="s">
        <v>#N/A Requesting Data...2250957828</v>
        <stp/>
        <stp>BDP|2639234979243754615</stp>
        <tr r="M1609" s="2"/>
      </tp>
      <tp t="s">
        <v>#N/A Requesting Data...2830192024</v>
        <stp/>
        <stp>BDP|1132769668110266278</stp>
        <tr r="S2497" s="2"/>
      </tp>
      <tp t="s">
        <v>#N/A Requesting Data...2929065130</v>
        <stp/>
        <stp>BDP|3458585947233421355</stp>
        <tr r="C16" s="2"/>
      </tp>
      <tp t="s">
        <v>#N/A Requesting Data...4075726881</v>
        <stp/>
        <stp>BDP|7807188818340468568</stp>
        <tr r="J1579" s="2"/>
      </tp>
      <tp t="s">
        <v>#N/A Requesting Data...4026281860</v>
        <stp/>
        <stp>BDP|8919001727870745839</stp>
        <tr r="A2250" s="2"/>
      </tp>
      <tp t="s">
        <v>#N/A Requesting Data...2850817325</v>
        <stp/>
        <stp>BDP|2777777616684947257</stp>
        <tr r="D2032" s="2"/>
      </tp>
      <tp t="s">
        <v>#N/A Requesting Data...3233519745</v>
        <stp/>
        <stp>BDP|5322792521584610671</stp>
        <tr r="E1524" s="2"/>
      </tp>
      <tp t="s">
        <v>#N/A Requesting Data...2000907716</v>
        <stp/>
        <stp>BDP|5459647427251527287</stp>
        <tr r="O910" s="2"/>
      </tp>
      <tp t="s">
        <v>#N/A Requesting Data...2291363006</v>
        <stp/>
        <stp>BDP|7385219919203565540</stp>
        <tr r="H1805" s="2"/>
      </tp>
      <tp t="s">
        <v>#N/A Requesting Data...2722008637</v>
        <stp/>
        <stp>BDP|1415772888744813890</stp>
        <tr r="D1164" s="2"/>
      </tp>
      <tp t="s">
        <v>#N/A Requesting Data...2928842033</v>
        <stp/>
        <stp>BDP|6910686442461846713</stp>
        <tr r="P1593" s="2"/>
      </tp>
      <tp t="s">
        <v>#N/A Requesting Data...1945872621</v>
        <stp/>
        <stp>BDP|5741087506340361702</stp>
        <tr r="F399" s="2"/>
      </tp>
      <tp t="s">
        <v>#N/A Requesting Data...2323838505</v>
        <stp/>
        <stp>BDP|7141411478673513576</stp>
        <tr r="K659" s="2"/>
      </tp>
      <tp t="s">
        <v>#N/A Requesting Data...2672011226</v>
        <stp/>
        <stp>BDP|9822347335799379201</stp>
        <tr r="P838" s="2"/>
      </tp>
      <tp t="s">
        <v>#N/A Requesting Data...1824423210</v>
        <stp/>
        <stp>BDP|7017478770855927347</stp>
        <tr r="H1230" s="2"/>
      </tp>
      <tp t="s">
        <v>#N/A Requesting Data...3187013468</v>
        <stp/>
        <stp>BDP|7585479769935892295</stp>
        <tr r="Q561" s="2"/>
      </tp>
      <tp t="s">
        <v>#N/A Requesting Data...4053484082</v>
        <stp/>
        <stp>BDP|6819433317955281447</stp>
        <tr r="P1737" s="2"/>
      </tp>
      <tp t="s">
        <v>#N/A Requesting Data...3439253553</v>
        <stp/>
        <stp>BDP|9850571757008649344</stp>
        <tr r="M1808" s="2"/>
      </tp>
      <tp t="s">
        <v>#N/A Requesting Data...1766949422</v>
        <stp/>
        <stp>BDP|9294415006098639798</stp>
        <tr r="R2375" s="2"/>
      </tp>
      <tp t="s">
        <v>#N/A Requesting Data...2774386556</v>
        <stp/>
        <stp>BDP|8412864777471752483</stp>
        <tr r="K1729" s="2"/>
      </tp>
      <tp t="s">
        <v>#N/A Requesting Data...2016537431</v>
        <stp/>
        <stp>BDP|6171905521439938632</stp>
        <tr r="R1732" s="2"/>
      </tp>
      <tp t="s">
        <v>#N/A Requesting Data...3482847109</v>
        <stp/>
        <stp>BDP|8598478049902281837</stp>
        <tr r="J644" s="2"/>
      </tp>
      <tp t="s">
        <v>#N/A Requesting Data...3812948517</v>
        <stp/>
        <stp>BDP|8097926337960988069</stp>
        <tr r="G2032" s="2"/>
      </tp>
      <tp t="s">
        <v>#N/A Requesting Data...3668157084</v>
        <stp/>
        <stp>BDP|8917464711139729631</stp>
        <tr r="H715" s="2"/>
      </tp>
      <tp t="s">
        <v>#N/A Requesting Data...2846217833</v>
        <stp/>
        <stp>BDP|6819193366387969440</stp>
        <tr r="T1250" s="2"/>
      </tp>
      <tp t="s">
        <v>#N/A Requesting Data...2128305026</v>
        <stp/>
        <stp>BDP|1353594590307773873</stp>
        <tr r="H205" s="2"/>
      </tp>
      <tp t="s">
        <v>#N/A Requesting Data...3169493413</v>
        <stp/>
        <stp>BDP|6839747770855732119</stp>
        <tr r="K413" s="2"/>
      </tp>
      <tp t="s">
        <v>#N/A Requesting Data...1882945676</v>
        <stp/>
        <stp>BDP|9495827879266390263</stp>
        <tr r="N1161" s="2"/>
      </tp>
      <tp t="s">
        <v>#N/A Requesting Data...2610781832</v>
        <stp/>
        <stp>BDP|9057114321461891935</stp>
        <tr r="P1488" s="2"/>
      </tp>
      <tp t="s">
        <v>#N/A Requesting Data...2779690755</v>
        <stp/>
        <stp>BDP|6066098063415938780</stp>
        <tr r="O2396" s="2"/>
      </tp>
      <tp t="s">
        <v>#N/A Requesting Data...2672360773</v>
        <stp/>
        <stp>BDP|8663258998600315130</stp>
        <tr r="E2052" s="2"/>
      </tp>
      <tp t="s">
        <v>#N/A Requesting Data...2458397436</v>
        <stp/>
        <stp>BDP|3498496943384661532</stp>
        <tr r="H2208" s="2"/>
      </tp>
      <tp t="s">
        <v>#N/A Requesting Data...3841220098</v>
        <stp/>
        <stp>BDP|8286343361599545692</stp>
        <tr r="A2277" s="2"/>
      </tp>
      <tp t="s">
        <v>#N/A Requesting Data...2880810190</v>
        <stp/>
        <stp>BDP|2171034340286190280</stp>
        <tr r="A193" s="2"/>
      </tp>
      <tp t="s">
        <v>#N/A Requesting Data...2237073090</v>
        <stp/>
        <stp>BDP|8868015432151683862</stp>
        <tr r="E1962" s="2"/>
      </tp>
      <tp t="s">
        <v>#N/A Requesting Data...1994569223</v>
        <stp/>
        <stp>BDP|4287230581664962823</stp>
        <tr r="G64" s="2"/>
      </tp>
      <tp t="s">
        <v>#N/A Requesting Data...4067291489</v>
        <stp/>
        <stp>BDP|1854736538236132199</stp>
        <tr r="M1300" s="2"/>
      </tp>
      <tp t="s">
        <v>#N/A Requesting Data...3230690501</v>
        <stp/>
        <stp>BDP|1179517539677747259</stp>
        <tr r="D1198" s="2"/>
      </tp>
      <tp t="s">
        <v>#N/A Requesting Data...3569507160</v>
        <stp/>
        <stp>BDP|5295526548486375007</stp>
        <tr r="S2194" s="2"/>
      </tp>
      <tp t="s">
        <v>#N/A Requesting Data...2611842839</v>
        <stp/>
        <stp>BDP|8416369099086053606</stp>
        <tr r="N2039" s="2"/>
      </tp>
      <tp t="s">
        <v>#N/A Requesting Data...2752771377</v>
        <stp/>
        <stp>BDP|4411722291651871948</stp>
        <tr r="A2444" s="2"/>
      </tp>
      <tp t="s">
        <v>#N/A Requesting Data...3735059878</v>
        <stp/>
        <stp>BDP|2734621205370821639</stp>
        <tr r="M1392" s="2"/>
      </tp>
      <tp t="s">
        <v>#N/A Requesting Data...3370519750</v>
        <stp/>
        <stp>BDP|9527147226549881142</stp>
        <tr r="G1563" s="2"/>
      </tp>
      <tp t="s">
        <v>#N/A Requesting Data...4274527392</v>
        <stp/>
        <stp>BDP|6496840237278980759</stp>
        <tr r="O1506" s="2"/>
      </tp>
      <tp t="s">
        <v>#N/A Requesting Data...3485666668</v>
        <stp/>
        <stp>BDP|9789887677652713642</stp>
        <tr r="S2056" s="2"/>
      </tp>
      <tp t="s">
        <v>#N/A Requesting Data...1988024696</v>
        <stp/>
        <stp>BDP|1196602844078873966</stp>
        <tr r="E903" s="2"/>
      </tp>
      <tp t="s">
        <v>#N/A Requesting Data...2564907438</v>
        <stp/>
        <stp>BDP|8926831404993517106</stp>
        <tr r="C1627" s="2"/>
      </tp>
      <tp t="b">
        <v>0</v>
        <stp/>
        <stp>BDS|7280613038265128515</stp>
        <tr r="I2144" s="2"/>
      </tp>
      <tp t="s">
        <v>#N/A Requesting Data...2927214316</v>
        <stp/>
        <stp>BDP|5165619408404019537</stp>
        <tr r="N1906" s="2"/>
      </tp>
      <tp t="s">
        <v>#N/A Requesting Data...3069837173</v>
        <stp/>
        <stp>BDP|1909335024544144649</stp>
        <tr r="M336" s="2"/>
      </tp>
      <tp t="s">
        <v>#N/A Requesting Data...2556830891</v>
        <stp/>
        <stp>BDP|3616434925600886736</stp>
        <tr r="Q1428" s="2"/>
      </tp>
      <tp t="s">
        <v>#N/A Requesting Data...3318607384</v>
        <stp/>
        <stp>BDP|7222531165904753283</stp>
        <tr r="E992" s="2"/>
      </tp>
      <tp t="s">
        <v>#N/A Requesting Data...2681079890</v>
        <stp/>
        <stp>BDP|1714489662549635802</stp>
        <tr r="F1983" s="2"/>
      </tp>
      <tp t="s">
        <v>#N/A Requesting Data...2914620190</v>
        <stp/>
        <stp>BDP|8466909942661435696</stp>
        <tr r="A1933" s="2"/>
      </tp>
      <tp t="s">
        <v>#N/A Requesting Data...4127072484</v>
        <stp/>
        <stp>BDP|3425189560517009172</stp>
        <tr r="E737" s="2"/>
      </tp>
      <tp t="s">
        <v>#N/A Requesting Data...2376876527</v>
        <stp/>
        <stp>BDP|2773372355323802569</stp>
        <tr r="O1628" s="2"/>
      </tp>
      <tp t="s">
        <v>#N/A Requesting Data...4216369848</v>
        <stp/>
        <stp>BDP|5601384190879354466</stp>
        <tr r="S325" s="2"/>
      </tp>
      <tp t="s">
        <v>#N/A Requesting Data...3284659136</v>
        <stp/>
        <stp>BDP|7944312163768980896</stp>
        <tr r="F2044" s="2"/>
      </tp>
      <tp t="s">
        <v>#N/A Requesting Data...3583878091</v>
        <stp/>
        <stp>BDP|6491837404639078580</stp>
        <tr r="D2218" s="2"/>
      </tp>
      <tp t="s">
        <v>#N/A Requesting Data...3260748214</v>
        <stp/>
        <stp>BDP|3403838651198917447</stp>
        <tr r="Q1093" s="2"/>
      </tp>
      <tp t="s">
        <v>#N/A Requesting Data...2236568337</v>
        <stp/>
        <stp>BDP|5517867797257720188</stp>
        <tr r="G2496" s="2"/>
      </tp>
      <tp t="s">
        <v>#N/A Requesting Data...4024368802</v>
        <stp/>
        <stp>BDP|4802079130565608022</stp>
        <tr r="C2349" s="2"/>
      </tp>
      <tp t="s">
        <v>#N/A Requesting Data...2584854312</v>
        <stp/>
        <stp>BDP|7358640012726794495</stp>
        <tr r="M1651" s="2"/>
      </tp>
      <tp t="s">
        <v>#N/A Requesting Data...3898006840</v>
        <stp/>
        <stp>BDP|2710921911141994966</stp>
        <tr r="P1963" s="2"/>
      </tp>
      <tp t="s">
        <v>#N/A Requesting Data...2268161846</v>
        <stp/>
        <stp>BDP|7688307598758411717</stp>
        <tr r="Q55" s="2"/>
      </tp>
      <tp t="s">
        <v>#N/A Requesting Data...4293326419</v>
        <stp/>
        <stp>BDP|4724527651331916766</stp>
        <tr r="Q1394" s="2"/>
      </tp>
      <tp t="s">
        <v>#N/A Requesting Data...3419945305</v>
        <stp/>
        <stp>BDP|8858585398750130625</stp>
        <tr r="Q1167" s="2"/>
      </tp>
      <tp t="s">
        <v>#N/A Requesting Data...2199348399</v>
        <stp/>
        <stp>BDP|2098542422214584380</stp>
        <tr r="E568" s="2"/>
      </tp>
      <tp t="s">
        <v>#N/A Requesting Data...3487758312</v>
        <stp/>
        <stp>BDP|4003382219322239683</stp>
        <tr r="M701" s="2"/>
      </tp>
      <tp t="s">
        <v>#N/A Requesting Data...2287815502</v>
        <stp/>
        <stp>BDP|5649676105241699099</stp>
        <tr r="D2013" s="2"/>
      </tp>
      <tp t="s">
        <v>#N/A Requesting Data...3477652636</v>
        <stp/>
        <stp>BDP|1435637458152672222</stp>
        <tr r="A965" s="2"/>
      </tp>
      <tp t="s">
        <v>#N/A Requesting Data...2137986871</v>
        <stp/>
        <stp>BDP|2916229702083184130</stp>
        <tr r="H995" s="2"/>
      </tp>
      <tp t="s">
        <v>#N/A Requesting Data...3899402038</v>
        <stp/>
        <stp>BDP|4419605408331746103</stp>
        <tr r="A1539" s="2"/>
      </tp>
      <tp t="s">
        <v>#N/A Requesting Data...2242000130</v>
        <stp/>
        <stp>BDP|4545610192729911041</stp>
        <tr r="O1490" s="2"/>
      </tp>
      <tp t="s">
        <v>#N/A Requesting Data...3206945597</v>
        <stp/>
        <stp>BDP|1666877868194226901</stp>
        <tr r="R1650" s="2"/>
      </tp>
      <tp t="s">
        <v>#N/A Requesting Data...3011452255</v>
        <stp/>
        <stp>BDP|9741987181858787220</stp>
        <tr r="S1932" s="2"/>
      </tp>
      <tp t="s">
        <v>#N/A Requesting Data...3080845231</v>
        <stp/>
        <stp>BDP|5176162573834873579</stp>
        <tr r="N545" s="2"/>
      </tp>
      <tp t="s">
        <v>#N/A Requesting Data...3367938717</v>
        <stp/>
        <stp>BDP|5565591581562725813</stp>
        <tr r="C551" s="2"/>
      </tp>
      <tp t="s">
        <v>#N/A Requesting Data...4176922486</v>
        <stp/>
        <stp>BDP|5058227042715355483</stp>
        <tr r="G1495" s="2"/>
      </tp>
      <tp t="s">
        <v>#N/A Requesting Data...3049659395</v>
        <stp/>
        <stp>BDP|3888350404843062125</stp>
        <tr r="Q1452" s="2"/>
      </tp>
      <tp t="s">
        <v>#N/A Requesting Data...3471929628</v>
        <stp/>
        <stp>BDP|8516853727053891349</stp>
        <tr r="C826" s="2"/>
      </tp>
      <tp t="s">
        <v>#N/A Requesting Data...3225175129</v>
        <stp/>
        <stp>BDP|5306236572651811313</stp>
        <tr r="P2442" s="2"/>
      </tp>
      <tp t="s">
        <v>#N/A Requesting Data...3857336458</v>
        <stp/>
        <stp>BDP|5911863228345857846</stp>
        <tr r="D1545" s="2"/>
      </tp>
      <tp t="s">
        <v>#N/A Requesting Data...3970209878</v>
        <stp/>
        <stp>BDP|9625946779511812482</stp>
        <tr r="Q1258" s="2"/>
      </tp>
      <tp t="s">
        <v>#N/A Requesting Data...2937266174</v>
        <stp/>
        <stp>BDP|2775164000232825321</stp>
        <tr r="N655" s="2"/>
      </tp>
      <tp t="s">
        <v>#N/A Requesting Data...3220612919</v>
        <stp/>
        <stp>BDP|3412343972523805615</stp>
        <tr r="T2067" s="2"/>
      </tp>
      <tp t="s">
        <v>#N/A Requesting Data...3427925433</v>
        <stp/>
        <stp>BDP|9119790321498765656</stp>
        <tr r="C2025" s="2"/>
      </tp>
      <tp t="s">
        <v>#N/A Requesting Data...4084455509</v>
        <stp/>
        <stp>BDP|1990522064561194152</stp>
        <tr r="O930" s="2"/>
      </tp>
      <tp t="s">
        <v>#N/A Requesting Data...2359437386</v>
        <stp/>
        <stp>BDP|2534152599470669846</stp>
        <tr r="D740" s="2"/>
      </tp>
      <tp t="s">
        <v>#N/A Requesting Data...2700406882</v>
        <stp/>
        <stp>BDP|9779589780222405409</stp>
        <tr r="T1592" s="2"/>
      </tp>
      <tp t="s">
        <v>#N/A Requesting Data...3506382992</v>
        <stp/>
        <stp>BDP|9782169113902147988</stp>
        <tr r="C160" s="2"/>
      </tp>
      <tp t="s">
        <v>#N/A Requesting Data...2546824937</v>
        <stp/>
        <stp>BDP|7982225310367281122</stp>
        <tr r="P1833" s="2"/>
      </tp>
      <tp t="s">
        <v>#N/A Requesting Data...4242464389</v>
        <stp/>
        <stp>BDP|9759317418579436010</stp>
        <tr r="S817" s="2"/>
      </tp>
      <tp t="s">
        <v>#N/A Requesting Data...2976955616</v>
        <stp/>
        <stp>BDP|9506898823368165959</stp>
        <tr r="P2241" s="2"/>
      </tp>
      <tp t="s">
        <v>#N/A Requesting Data...3080852987</v>
        <stp/>
        <stp>BDP|9722644081740909505</stp>
        <tr r="J1503" s="2"/>
      </tp>
      <tp t="s">
        <v>#N/A Requesting Data...3842878227</v>
        <stp/>
        <stp>BDP|4726559129791507058</stp>
        <tr r="K1716" s="2"/>
      </tp>
      <tp t="s">
        <v>#N/A Requesting Data...3203384347</v>
        <stp/>
        <stp>BDP|2791075292101989801</stp>
        <tr r="G1256" s="2"/>
      </tp>
      <tp t="s">
        <v>#N/A Requesting Data...2471452231</v>
        <stp/>
        <stp>BDP|6723597011588570813</stp>
        <tr r="M222" s="2"/>
      </tp>
      <tp t="s">
        <v>#N/A Requesting Data...3252462358</v>
        <stp/>
        <stp>BDP|2366909059824763866</stp>
        <tr r="P1738" s="2"/>
      </tp>
      <tp t="s">
        <v>#N/A Requesting Data...2376653455</v>
        <stp/>
        <stp>BDP|9316589060229351139</stp>
        <tr r="N1193" s="2"/>
      </tp>
      <tp t="b">
        <v>0</v>
        <stp/>
        <stp>BDS|7242491617359727901</stp>
        <tr r="I2414" s="2"/>
      </tp>
      <tp t="s">
        <v>#N/A Requesting Data...3353208365</v>
        <stp/>
        <stp>BDP|2255036701949991925</stp>
        <tr r="T1463" s="2"/>
      </tp>
      <tp t="s">
        <v>#N/A Requesting Data...2559706411</v>
        <stp/>
        <stp>BDP|7061426284269422096</stp>
        <tr r="O1547" s="2"/>
      </tp>
      <tp t="s">
        <v>#N/A Requesting Data...2312826655</v>
        <stp/>
        <stp>BDP|7052293342223661064</stp>
        <tr r="Q1658" s="2"/>
      </tp>
      <tp t="s">
        <v>#N/A Requesting Data...2421413410</v>
        <stp/>
        <stp>BDP|9564832789923683823</stp>
        <tr r="P525" s="2"/>
      </tp>
      <tp t="s">
        <v>#N/A Requesting Data...2147172062</v>
        <stp/>
        <stp>BDP|1943233201848151923</stp>
        <tr r="J1991" s="2"/>
      </tp>
      <tp t="s">
        <v>#N/A Requesting Data...2763037980</v>
        <stp/>
        <stp>BDP|6910400477814720312</stp>
        <tr r="R481" s="2"/>
      </tp>
      <tp t="s">
        <v>#N/A Requesting Data...2326673018</v>
        <stp/>
        <stp>BDP|7842403531161883397</stp>
        <tr r="K2246" s="2"/>
      </tp>
      <tp t="s">
        <v>#N/A Requesting Data...3696070595</v>
        <stp/>
        <stp>BDP|9438559922255207991</stp>
        <tr r="K748" s="2"/>
      </tp>
      <tp t="b">
        <v>0</v>
        <stp/>
        <stp>BDS|4095532572727921304</stp>
        <tr r="I702" s="2"/>
      </tp>
      <tp t="s">
        <v>#N/A Requesting Data...3871245592</v>
        <stp/>
        <stp>BDP|4519971152638867209</stp>
        <tr r="E561" s="2"/>
      </tp>
      <tp t="s">
        <v>#N/A Requesting Data...3488372933</v>
        <stp/>
        <stp>BDP|9309219792532946211</stp>
        <tr r="S241" s="2"/>
      </tp>
      <tp t="s">
        <v>#N/A Requesting Data...3712454010</v>
        <stp/>
        <stp>BDP|5104779147677860311</stp>
        <tr r="H2362" s="2"/>
      </tp>
      <tp t="s">
        <v>#N/A Requesting Data...3216353713</v>
        <stp/>
        <stp>BDP|4217447023177968749</stp>
        <tr r="H75" s="2"/>
      </tp>
      <tp t="s">
        <v>#N/A Requesting Data...3427900469</v>
        <stp/>
        <stp>BDP|8361628384787881359</stp>
        <tr r="F1407" s="2"/>
      </tp>
      <tp t="s">
        <v>#N/A Requesting Data...3264920236</v>
        <stp/>
        <stp>BDP|8760177508653356839</stp>
        <tr r="O876" s="2"/>
      </tp>
      <tp t="s">
        <v>#N/A Requesting Data...3414093672</v>
        <stp/>
        <stp>BDP|1011390122155324709</stp>
        <tr r="D315" s="2"/>
      </tp>
      <tp t="s">
        <v>#N/A Requesting Data...4022784007</v>
        <stp/>
        <stp>BDP|7446765632184080583</stp>
        <tr r="M346" s="2"/>
      </tp>
      <tp t="s">
        <v>#N/A Requesting Data...3718518175</v>
        <stp/>
        <stp>BDP|2367348900271623295</stp>
        <tr r="F2482" s="2"/>
      </tp>
      <tp t="s">
        <v>#N/A Requesting Data...3536433306</v>
        <stp/>
        <stp>BDP|2200197759753934739</stp>
        <tr r="D848" s="2"/>
      </tp>
      <tp t="s">
        <v>#N/A Requesting Data...2200214513</v>
        <stp/>
        <stp>BDP|8375083668228297495</stp>
        <tr r="A1022" s="2"/>
      </tp>
      <tp t="s">
        <v>#N/A Requesting Data...3736184022</v>
        <stp/>
        <stp>BDP|8185370189558126965</stp>
        <tr r="J2210" s="2"/>
      </tp>
      <tp t="s">
        <v>#N/A Requesting Data...2970930348</v>
        <stp/>
        <stp>BDP|6600372228102093710</stp>
        <tr r="Q367" s="2"/>
      </tp>
      <tp t="s">
        <v>#N/A Requesting Data...3998931444</v>
        <stp/>
        <stp>BDP|2776798501202721505</stp>
        <tr r="E289" s="2"/>
      </tp>
      <tp t="s">
        <v>#N/A Requesting Data...3962758469</v>
        <stp/>
        <stp>BDP|2070990402941673853</stp>
        <tr r="A844" s="2"/>
      </tp>
      <tp t="s">
        <v>#N/A Requesting Data...3823811237</v>
        <stp/>
        <stp>BDP|2809410483138286403</stp>
        <tr r="D1297" s="2"/>
      </tp>
      <tp t="s">
        <v>#N/A Requesting Data...3115701036</v>
        <stp/>
        <stp>BDP|1340818885503642097</stp>
        <tr r="K1414" s="2"/>
      </tp>
      <tp t="s">
        <v>#N/A Requesting Data...4135231740</v>
        <stp/>
        <stp>BDP|1769279012850946039</stp>
        <tr r="Q1845" s="2"/>
      </tp>
      <tp t="s">
        <v>#N/A Requesting Data...3491488139</v>
        <stp/>
        <stp>BDP|1584469255490619289</stp>
        <tr r="C1030" s="2"/>
      </tp>
      <tp t="s">
        <v>#N/A Requesting Data...2877962972</v>
        <stp/>
        <stp>BDP|9089475597580167693</stp>
        <tr r="C880" s="2"/>
      </tp>
      <tp t="s">
        <v>#N/A Requesting Data...4065037597</v>
        <stp/>
        <stp>BDP|3081883492245746551</stp>
        <tr r="T2167" s="2"/>
      </tp>
      <tp t="s">
        <v>#N/A Requesting Data...3830374857</v>
        <stp/>
        <stp>BDP|5958679665511402675</stp>
        <tr r="O256" s="2"/>
      </tp>
      <tp t="s">
        <v>#N/A Requesting Data...2618696376</v>
        <stp/>
        <stp>BDP|9758426695872951412</stp>
        <tr r="T1870" s="2"/>
      </tp>
      <tp t="s">
        <v>#N/A Requesting Data...3505564343</v>
        <stp/>
        <stp>BDP|2323004548885535161</stp>
        <tr r="H1758" s="2"/>
      </tp>
      <tp t="s">
        <v>#N/A Requesting Data...2113888772</v>
        <stp/>
        <stp>BDP|1035885672058107439</stp>
        <tr r="E2016" s="2"/>
      </tp>
      <tp t="s">
        <v>#N/A Requesting Data...2607488126</v>
        <stp/>
        <stp>BDP|6884391946305876672</stp>
        <tr r="D1955" s="2"/>
      </tp>
      <tp t="s">
        <v>#N/A Requesting Data...2462584613</v>
        <stp/>
        <stp>BDP|4835940376149486164</stp>
        <tr r="A1760" s="2"/>
      </tp>
      <tp t="b">
        <v>0</v>
        <stp/>
        <stp>BDS|6968472553162309768</stp>
        <tr r="I411" s="2"/>
      </tp>
      <tp t="s">
        <v>#N/A Requesting Data...2422253646</v>
        <stp/>
        <stp>BDP|2787091843552712623</stp>
        <tr r="C2311" s="2"/>
      </tp>
      <tp t="s">
        <v>#N/A Requesting Data...3401956743</v>
        <stp/>
        <stp>BDP|1450702229326689032</stp>
        <tr r="K1756" s="2"/>
      </tp>
      <tp t="s">
        <v>#N/A Requesting Data...3486418762</v>
        <stp/>
        <stp>BDP|5440352560450949208</stp>
        <tr r="K656" s="2"/>
      </tp>
      <tp t="s">
        <v>#N/A Requesting Data...3065407662</v>
        <stp/>
        <stp>BDP|8594963897513554994</stp>
        <tr r="G1702" s="2"/>
      </tp>
      <tp t="s">
        <v>#N/A Requesting Data...2889253348</v>
        <stp/>
        <stp>BDP|9788007263548865542</stp>
        <tr r="Q2459" s="2"/>
      </tp>
      <tp t="s">
        <v>#N/A Requesting Data...3474465287</v>
        <stp/>
        <stp>BDP|5266795157370526513</stp>
        <tr r="T948" s="2"/>
      </tp>
      <tp t="s">
        <v>#N/A Requesting Data...2099422423</v>
        <stp/>
        <stp>BDP|7342510670656230180</stp>
        <tr r="G1751" s="2"/>
      </tp>
      <tp t="s">
        <v>#N/A Requesting Data...2893132656</v>
        <stp/>
        <stp>BDP|3868788438880759572</stp>
        <tr r="T784" s="2"/>
      </tp>
      <tp t="s">
        <v>#N/A Requesting Data...4171391256</v>
        <stp/>
        <stp>BDP|3187582076781290255</stp>
        <tr r="J407" s="2"/>
      </tp>
      <tp t="s">
        <v>#N/A Requesting Data...2136436725</v>
        <stp/>
        <stp>BDP|2316498461880007231</stp>
        <tr r="E1421" s="2"/>
      </tp>
      <tp t="s">
        <v>#N/A Requesting Data...2286165169</v>
        <stp/>
        <stp>BDP|3915282941024833300</stp>
        <tr r="C2352" s="2"/>
      </tp>
      <tp t="s">
        <v>#N/A Requesting Data...2674087495</v>
        <stp/>
        <stp>BDP|5019546293459933260</stp>
        <tr r="D1023" s="2"/>
      </tp>
      <tp t="s">
        <v>#N/A Requesting Data...3441302158</v>
        <stp/>
        <stp>BDP|7961246102665338245</stp>
        <tr r="G2271" s="2"/>
      </tp>
      <tp t="s">
        <v>#N/A Requesting Data...4144273815</v>
        <stp/>
        <stp>BDP|2276790393148718677</stp>
        <tr r="D952" s="2"/>
      </tp>
      <tp t="s">
        <v>#N/A Requesting Data...2811259217</v>
        <stp/>
        <stp>BDP|1251688800192695746</stp>
        <tr r="M247" s="2"/>
      </tp>
      <tp t="s">
        <v>#N/A Requesting Data...2744443015</v>
        <stp/>
        <stp>BDP|8300477896647979035</stp>
        <tr r="G1629" s="2"/>
      </tp>
      <tp t="b">
        <v>0</v>
        <stp/>
        <stp>BDS|1696667907842665790</stp>
        <tr r="I445" s="2"/>
      </tp>
      <tp t="s">
        <v>#N/A Requesting Data...2625390124</v>
        <stp/>
        <stp>BDP|1920652832697039166</stp>
        <tr r="G250" s="2"/>
      </tp>
      <tp t="s">
        <v>#N/A Requesting Data...3533573150</v>
        <stp/>
        <stp>BDP|8346803583302018886</stp>
        <tr r="N179" s="2"/>
      </tp>
      <tp t="s">
        <v>#N/A Requesting Data...2303865383</v>
        <stp/>
        <stp>BDP|2587712227437350289</stp>
        <tr r="J243" s="2"/>
      </tp>
      <tp t="s">
        <v>#N/A Requesting Data...4209343251</v>
        <stp/>
        <stp>BDP|1556775667577505587</stp>
        <tr r="A1947" s="2"/>
      </tp>
      <tp t="s">
        <v>#N/A Requesting Data...2352757328</v>
        <stp/>
        <stp>BDP|9836245275126778862</stp>
        <tr r="S740" s="2"/>
      </tp>
      <tp t="s">
        <v>#N/A Requesting Data...3467577275</v>
        <stp/>
        <stp>BDP|6987708801787908495</stp>
        <tr r="S900" s="2"/>
      </tp>
      <tp t="s">
        <v>#N/A Requesting Data...3473249367</v>
        <stp/>
        <stp>BDP|5306152425566934221</stp>
        <tr r="K279" s="2"/>
      </tp>
      <tp t="s">
        <v>#N/A Requesting Data...3264889531</v>
        <stp/>
        <stp>BDP|5364776149266553202</stp>
        <tr r="R691" s="2"/>
      </tp>
      <tp t="s">
        <v>#N/A Requesting Data...2959614550</v>
        <stp/>
        <stp>BDP|7899515957987519231</stp>
        <tr r="H2492" s="2"/>
      </tp>
      <tp t="s">
        <v>#N/A Requesting Data...4008667340</v>
        <stp/>
        <stp>BDP|5355297256317614725</stp>
        <tr r="J1562" s="2"/>
      </tp>
      <tp t="s">
        <v>#N/A Requesting Data...3407004481</v>
        <stp/>
        <stp>BDP|1205830508682114902</stp>
        <tr r="M442" s="2"/>
      </tp>
      <tp t="s">
        <v>#N/A Requesting Data...2761098490</v>
        <stp/>
        <stp>BDP|7770097373052458010</stp>
        <tr r="A1198" s="2"/>
      </tp>
      <tp t="s">
        <v>#N/A Requesting Data...2682881288</v>
        <stp/>
        <stp>BDP|5402414463295840067</stp>
        <tr r="K1735" s="2"/>
      </tp>
      <tp t="s">
        <v>#N/A Requesting Data...3199185726</v>
        <stp/>
        <stp>BDP|2558832182542804247</stp>
        <tr r="C2429" s="2"/>
      </tp>
      <tp t="s">
        <v>#N/A Requesting Data...2431392245</v>
        <stp/>
        <stp>BDP|9512998672142549739</stp>
        <tr r="T2160" s="2"/>
      </tp>
      <tp t="s">
        <v>#N/A Requesting Data...3983133566</v>
        <stp/>
        <stp>BDP|7478708190058597393</stp>
        <tr r="A27" s="2"/>
      </tp>
      <tp t="s">
        <v>#N/A Requesting Data...3249934870</v>
        <stp/>
        <stp>BDP|3277790275910780112</stp>
        <tr r="H1658" s="2"/>
      </tp>
      <tp t="s">
        <v>#N/A Requesting Data...2496562017</v>
        <stp/>
        <stp>BDP|6811281219756970184</stp>
        <tr r="M1167" s="2"/>
      </tp>
      <tp t="s">
        <v>#N/A Requesting Data...2731224704</v>
        <stp/>
        <stp>BDP|5807052130171021555</stp>
        <tr r="S1605" s="2"/>
      </tp>
      <tp t="s">
        <v>#N/A Requesting Data...2982298821</v>
        <stp/>
        <stp>BDP|4519384305426339336</stp>
        <tr r="M783" s="2"/>
      </tp>
      <tp t="s">
        <v>#N/A Requesting Data...3415682348</v>
        <stp/>
        <stp>BDP|6970912997714249052</stp>
        <tr r="F2295" s="2"/>
      </tp>
      <tp t="s">
        <v>#N/A Requesting Data...4034166851</v>
        <stp/>
        <stp>BDP|1056187407034143662</stp>
        <tr r="M233" s="2"/>
      </tp>
      <tp t="s">
        <v>#N/A Requesting Data...3288129216</v>
        <stp/>
        <stp>BDP|2103929197187857749</stp>
        <tr r="R1375" s="2"/>
      </tp>
      <tp t="s">
        <v>#N/A Requesting Data...2793175665</v>
        <stp/>
        <stp>BDP|7027312520090805414</stp>
        <tr r="G2334" s="2"/>
      </tp>
      <tp t="s">
        <v>#N/A Requesting Data...2187890709</v>
        <stp/>
        <stp>BDP|3773286707796462544</stp>
        <tr r="F1588" s="2"/>
      </tp>
      <tp t="s">
        <v>#N/A Requesting Data...3366654889</v>
        <stp/>
        <stp>BDP|6520746589429659262</stp>
        <tr r="E1447" s="2"/>
      </tp>
      <tp t="s">
        <v>#N/A Requesting Data...2358528457</v>
        <stp/>
        <stp>BDP|9256993882738834295</stp>
        <tr r="J1707" s="2"/>
      </tp>
      <tp t="s">
        <v>#N/A Requesting Data...3900082473</v>
        <stp/>
        <stp>BDP|8611798572922309866</stp>
        <tr r="J1826" s="2"/>
      </tp>
      <tp t="s">
        <v>#N/A Requesting Data...3563697799</v>
        <stp/>
        <stp>BDP|3516767250147218490</stp>
        <tr r="F2471" s="2"/>
      </tp>
      <tp t="s">
        <v>#N/A Requesting Data...4001387552</v>
        <stp/>
        <stp>BDP|7070375307847946107</stp>
        <tr r="N1627" s="2"/>
      </tp>
      <tp t="s">
        <v>#N/A Requesting Data...3695525855</v>
        <stp/>
        <stp>BDP|6673024428496371069</stp>
        <tr r="M1831" s="2"/>
      </tp>
      <tp t="s">
        <v>#N/A Requesting Data...2677207627</v>
        <stp/>
        <stp>BDP|9596486194385514354</stp>
        <tr r="G507" s="2"/>
      </tp>
      <tp t="s">
        <v>#N/A Requesting Data...2408709976</v>
        <stp/>
        <stp>BDP|6479329886477021890</stp>
        <tr r="P851" s="2"/>
      </tp>
      <tp t="s">
        <v>#N/A Requesting Data...2972062355</v>
        <stp/>
        <stp>BDP|5512780746111585570</stp>
        <tr r="Q690" s="2"/>
      </tp>
      <tp t="s">
        <v>#N/A Requesting Data...2862370501</v>
        <stp/>
        <stp>BDP|8704439369748761030</stp>
        <tr r="O1520" s="2"/>
      </tp>
      <tp t="s">
        <v>#N/A Requesting Data...3379616812</v>
        <stp/>
        <stp>BDP|7456679944961884666</stp>
        <tr r="F2091" s="2"/>
      </tp>
      <tp t="s">
        <v>#N/A Requesting Data...2880872907</v>
        <stp/>
        <stp>BDP|6591464320442238081</stp>
        <tr r="J1362" s="2"/>
      </tp>
      <tp t="s">
        <v>#N/A Requesting Data...2257120751</v>
        <stp/>
        <stp>BDP|7754537337551956238</stp>
        <tr r="S475" s="2"/>
      </tp>
      <tp t="s">
        <v>#N/A Requesting Data...3100989299</v>
        <stp/>
        <stp>BDP|3215433768845153615</stp>
        <tr r="T2286" s="2"/>
      </tp>
      <tp t="s">
        <v>#N/A Requesting Data...3716106537</v>
        <stp/>
        <stp>BDP|2195227368684018023</stp>
        <tr r="N78" s="2"/>
      </tp>
      <tp t="s">
        <v>#N/A Requesting Data...2979699449</v>
        <stp/>
        <stp>BDP|2590338847877969015</stp>
        <tr r="C288" s="2"/>
      </tp>
      <tp t="s">
        <v>#N/A Requesting Data...2361550195</v>
        <stp/>
        <stp>BDP|8814475462549083143</stp>
        <tr r="S681" s="2"/>
      </tp>
      <tp t="s">
        <v>#N/A Requesting Data...3135076086</v>
        <stp/>
        <stp>BDP|6704739618963224178</stp>
        <tr r="D1282" s="2"/>
      </tp>
      <tp t="s">
        <v>#N/A Requesting Data...2868634449</v>
        <stp/>
        <stp>BDP|3131079571406719095</stp>
        <tr r="H784" s="2"/>
      </tp>
      <tp t="s">
        <v>#N/A Requesting Data...4219641356</v>
        <stp/>
        <stp>BDP|3858535756561694026</stp>
        <tr r="E570" s="2"/>
      </tp>
      <tp t="s">
        <v>#N/A Requesting Data...3161804897</v>
        <stp/>
        <stp>BDP|5509306253918621997</stp>
        <tr r="P1005" s="2"/>
      </tp>
      <tp t="s">
        <v>#N/A Requesting Data...3297614110</v>
        <stp/>
        <stp>BDP|1424684034505075319</stp>
        <tr r="D636" s="2"/>
      </tp>
      <tp t="s">
        <v>#N/A Requesting Data...2707065181</v>
        <stp/>
        <stp>BDP|1824528171671783059</stp>
        <tr r="D1487" s="2"/>
      </tp>
      <tp t="s">
        <v>#N/A Requesting Data...3014875406</v>
        <stp/>
        <stp>BDP|5939417740180798761</stp>
        <tr r="O1418" s="2"/>
      </tp>
      <tp t="s">
        <v>#N/A Requesting Data...2812644538</v>
        <stp/>
        <stp>BDP|5918605392951154935</stp>
        <tr r="D2291" s="2"/>
      </tp>
      <tp t="b">
        <v>0</v>
        <stp/>
        <stp>BDS|3034713318623606469</stp>
        <tr r="I2137" s="2"/>
      </tp>
      <tp t="s">
        <v>#N/A Requesting Data...2967805519</v>
        <stp/>
        <stp>BDP|2058091711736660779</stp>
        <tr r="M2262" s="2"/>
      </tp>
      <tp t="b">
        <v>0</v>
        <stp/>
        <stp>BDS|2403292677625299012</stp>
        <tr r="I875" s="2"/>
      </tp>
      <tp t="s">
        <v>#N/A Requesting Data...2457370299</v>
        <stp/>
        <stp>BDP|7432309824607850315</stp>
        <tr r="A647" s="2"/>
      </tp>
      <tp t="s">
        <v>#N/A Requesting Data...2317773729</v>
        <stp/>
        <stp>BDP|4773181257052180001</stp>
        <tr r="G130" s="2"/>
      </tp>
      <tp t="s">
        <v>#N/A Requesting Data...2363264330</v>
        <stp/>
        <stp>BDP|2231398237156603635</stp>
        <tr r="F1175" s="2"/>
      </tp>
      <tp t="b">
        <v>0</v>
        <stp/>
        <stp>BDS|8951879226561115104</stp>
        <tr r="I1094" s="2"/>
      </tp>
      <tp t="s">
        <v>#N/A Requesting Data...3644013124</v>
        <stp/>
        <stp>BDP|3373270657256821028</stp>
        <tr r="F1247" s="2"/>
      </tp>
      <tp t="s">
        <v>#N/A Requesting Data...3547655632</v>
        <stp/>
        <stp>BDP|4872625220157749548</stp>
        <tr r="P1692" s="2"/>
      </tp>
      <tp t="s">
        <v>#N/A Requesting Data...2436334747</v>
        <stp/>
        <stp>BDP|4257640531797785495</stp>
        <tr r="H1911" s="2"/>
      </tp>
      <tp t="s">
        <v>#N/A Requesting Data...2349762790</v>
        <stp/>
        <stp>BDP|9203385084799085975</stp>
        <tr r="C1070" s="2"/>
      </tp>
      <tp t="s">
        <v>#N/A Requesting Data...3829621189</v>
        <stp/>
        <stp>BDP|1081340438476479514</stp>
        <tr r="Q552" s="2"/>
      </tp>
      <tp t="s">
        <v>#N/A Requesting Data...2312561097</v>
        <stp/>
        <stp>BDP|2170973399340503039</stp>
        <tr r="F2324" s="2"/>
      </tp>
      <tp t="s">
        <v>#N/A Requesting Data...3871213708</v>
        <stp/>
        <stp>BDP|2179696794739118649</stp>
        <tr r="R1876" s="2"/>
      </tp>
      <tp t="s">
        <v>#N/A Requesting Data...2410858887</v>
        <stp/>
        <stp>BDP|5421424389948687309</stp>
        <tr r="N473" s="2"/>
      </tp>
      <tp t="s">
        <v>#N/A Requesting Data...2590244853</v>
        <stp/>
        <stp>BDP|3309301529546080632</stp>
        <tr r="J1225" s="2"/>
      </tp>
      <tp t="s">
        <v>#N/A Requesting Data...3366870332</v>
        <stp/>
        <stp>BDP|7216515456992943757</stp>
        <tr r="Q1467" s="2"/>
      </tp>
      <tp t="s">
        <v>#N/A Requesting Data...3383265364</v>
        <stp/>
        <stp>BDP|3408572735135828270</stp>
        <tr r="H139" s="2"/>
      </tp>
      <tp t="s">
        <v>#N/A Requesting Data...2391667812</v>
        <stp/>
        <stp>BDP|5463592453973184464</stp>
        <tr r="D1465" s="2"/>
      </tp>
      <tp t="s">
        <v>#N/A Requesting Data...3843547813</v>
        <stp/>
        <stp>BDP|5009041829716365370</stp>
        <tr r="M1623" s="2"/>
      </tp>
      <tp t="s">
        <v>#N/A Requesting Data...3802699242</v>
        <stp/>
        <stp>BDP|4517070051584858721</stp>
        <tr r="R2324" s="2"/>
      </tp>
      <tp t="s">
        <v>#N/A Requesting Data...2915589235</v>
        <stp/>
        <stp>BDP|2801633526071549517</stp>
        <tr r="S104" s="2"/>
      </tp>
      <tp t="s">
        <v>#N/A Requesting Data...3967169760</v>
        <stp/>
        <stp>BDP|7336683775034656016</stp>
        <tr r="N1635" s="2"/>
      </tp>
      <tp t="s">
        <v>#N/A Requesting Data...3384559178</v>
        <stp/>
        <stp>BDP|1677790950315049463</stp>
        <tr r="Q1824" s="2"/>
      </tp>
      <tp t="s">
        <v>#N/A Requesting Data...2654284674</v>
        <stp/>
        <stp>BDP|2754560489018227534</stp>
        <tr r="A814" s="2"/>
      </tp>
      <tp t="s">
        <v>#N/A Requesting Data...3704339197</v>
        <stp/>
        <stp>BDP|1356246553160822453</stp>
        <tr r="N2136" s="2"/>
      </tp>
      <tp t="s">
        <v>#N/A Requesting Data...3889155010</v>
        <stp/>
        <stp>BDP|4123774778402335442</stp>
        <tr r="F1576" s="2"/>
      </tp>
      <tp t="s">
        <v>#N/A Requesting Data...2345537306</v>
        <stp/>
        <stp>BDP|2526597916116333204</stp>
        <tr r="T1611" s="2"/>
      </tp>
      <tp t="s">
        <v>#N/A Requesting Data...3540710399</v>
        <stp/>
        <stp>BDP|6002272008655019366</stp>
        <tr r="E2074" s="2"/>
      </tp>
      <tp t="s">
        <v>#N/A Requesting Data...3642999782</v>
        <stp/>
        <stp>BDP|3992199779695044201</stp>
        <tr r="J1481" s="2"/>
      </tp>
      <tp t="s">
        <v>#N/A Requesting Data...3740801456</v>
        <stp/>
        <stp>BDP|3090248215112969015</stp>
        <tr r="A800" s="2"/>
      </tp>
      <tp t="s">
        <v>#N/A Requesting Data...2529629065</v>
        <stp/>
        <stp>BDP|3429368656537547088</stp>
        <tr r="T797" s="2"/>
      </tp>
      <tp t="s">
        <v>#N/A Requesting Data...4106251005</v>
        <stp/>
        <stp>BDP|7162890972328222214</stp>
        <tr r="J561" s="2"/>
      </tp>
      <tp t="s">
        <v>#N/A Requesting Data...3119967583</v>
        <stp/>
        <stp>BDP|2937676820590116463</stp>
        <tr r="E1479" s="2"/>
      </tp>
      <tp t="s">
        <v>#N/A Requesting Data...3984978480</v>
        <stp/>
        <stp>BDP|1992203581190280931</stp>
        <tr r="D2431" s="2"/>
      </tp>
      <tp t="s">
        <v>#N/A Requesting Data...3390073285</v>
        <stp/>
        <stp>BDP|2829235304953091165</stp>
        <tr r="H1277" s="2"/>
      </tp>
      <tp t="s">
        <v>#N/A Requesting Data...4086083662</v>
        <stp/>
        <stp>BDP|6269032528673230523</stp>
        <tr r="E104" s="2"/>
      </tp>
      <tp t="s">
        <v>#N/A Requesting Data...4193472105</v>
        <stp/>
        <stp>BDP|7826430655877082377</stp>
        <tr r="H2168" s="2"/>
      </tp>
      <tp t="s">
        <v>#N/A Requesting Data...2642413901</v>
        <stp/>
        <stp>BDP|6967514291520937891</stp>
        <tr r="Q1502" s="2"/>
      </tp>
      <tp t="s">
        <v>#N/A Requesting Data...3749111457</v>
        <stp/>
        <stp>BDP|2614581027475322233</stp>
        <tr r="S2313" s="2"/>
      </tp>
      <tp t="s">
        <v>#N/A Requesting Data...2658273683</v>
        <stp/>
        <stp>BDP|5022669539352580035</stp>
        <tr r="A1267" s="2"/>
      </tp>
      <tp t="s">
        <v>#N/A Requesting Data...3395782317</v>
        <stp/>
        <stp>BDP|9049983703391605341</stp>
        <tr r="M479" s="2"/>
      </tp>
      <tp t="s">
        <v>#N/A Requesting Data...3590021453</v>
        <stp/>
        <stp>BDP|5969434611851367319</stp>
        <tr r="T1087" s="2"/>
      </tp>
      <tp t="s">
        <v>#N/A Requesting Data...2435048590</v>
        <stp/>
        <stp>BDP|6081088352490456174</stp>
        <tr r="E720" s="2"/>
      </tp>
      <tp t="s">
        <v>#N/A Requesting Data...2977252812</v>
        <stp/>
        <stp>BDP|6885047561663448108</stp>
        <tr r="J1173" s="2"/>
      </tp>
      <tp t="s">
        <v>#N/A Requesting Data...3448825268</v>
        <stp/>
        <stp>BDP|2323655871072948377</stp>
        <tr r="O1384" s="2"/>
      </tp>
      <tp t="s">
        <v>#N/A Requesting Data...3770356954</v>
        <stp/>
        <stp>BDP|4053081706180768607</stp>
        <tr r="E1615" s="2"/>
      </tp>
      <tp t="s">
        <v>#N/A Requesting Data...3196171524</v>
        <stp/>
        <stp>BDP|1977019833369099920</stp>
        <tr r="F442" s="2"/>
      </tp>
      <tp t="s">
        <v>#N/A Requesting Data...3581369133</v>
        <stp/>
        <stp>BDP|3394566977944348786</stp>
        <tr r="S121" s="2"/>
      </tp>
      <tp t="s">
        <v>#N/A Requesting Data...3923076341</v>
        <stp/>
        <stp>BDP|4642770538277332531</stp>
        <tr r="M44" s="2"/>
      </tp>
      <tp t="s">
        <v>#N/A Requesting Data...2622119926</v>
        <stp/>
        <stp>BDP|2728199170196693017</stp>
        <tr r="A1205" s="2"/>
      </tp>
      <tp t="s">
        <v>#N/A Requesting Data...3952074573</v>
        <stp/>
        <stp>BDP|7913303256584337750</stp>
        <tr r="D2467" s="2"/>
      </tp>
      <tp t="s">
        <v>#N/A Requesting Data...2865127883</v>
        <stp/>
        <stp>BDP|1958151524546426657</stp>
        <tr r="D555" s="2"/>
      </tp>
      <tp t="s">
        <v>#N/A Requesting Data...4271049207</v>
        <stp/>
        <stp>BDP|8750207379836086975</stp>
        <tr r="N2437" s="2"/>
      </tp>
      <tp t="s">
        <v>#N/A Requesting Data...3457149600</v>
        <stp/>
        <stp>BDP|1020338767806800055</stp>
        <tr r="M570" s="2"/>
      </tp>
      <tp t="s">
        <v>#N/A Requesting Data...3346669664</v>
        <stp/>
        <stp>BDP|2240356273511944544</stp>
        <tr r="F1625" s="2"/>
      </tp>
      <tp t="s">
        <v>#N/A Requesting Data...3134131024</v>
        <stp/>
        <stp>BDP|2674861173236975934</stp>
        <tr r="Q1929" s="2"/>
      </tp>
      <tp t="s">
        <v>#N/A Requesting Data...4284376614</v>
        <stp/>
        <stp>BDP|4824785302347840637</stp>
        <tr r="F1234" s="2"/>
      </tp>
      <tp t="s">
        <v>#N/A Requesting Data...2508675458</v>
        <stp/>
        <stp>BDP|2961944726998080324</stp>
        <tr r="Q858" s="2"/>
      </tp>
      <tp t="s">
        <v>#N/A Requesting Data...4052316176</v>
        <stp/>
        <stp>BDP|2454782032645665111</stp>
        <tr r="H183" s="2"/>
      </tp>
      <tp t="s">
        <v>#N/A Requesting Data...3309405336</v>
        <stp/>
        <stp>BDP|4857480821026138690</stp>
        <tr r="R1307" s="2"/>
      </tp>
      <tp t="s">
        <v>#N/A Requesting Data...2998528015</v>
        <stp/>
        <stp>BDP|2056371463165475094</stp>
        <tr r="J790" s="2"/>
      </tp>
      <tp t="b">
        <v>0</v>
        <stp/>
        <stp>BDS|4357334948175318424</stp>
        <tr r="I2260" s="2"/>
      </tp>
      <tp t="s">
        <v>#N/A Requesting Data...3184620793</v>
        <stp/>
        <stp>BDP|3463695474613334330</stp>
        <tr r="P2251" s="2"/>
      </tp>
      <tp t="s">
        <v>#N/A Requesting Data...3290236767</v>
        <stp/>
        <stp>BDP|4386159405433233480</stp>
        <tr r="K2460" s="2"/>
      </tp>
      <tp t="s">
        <v>#N/A Requesting Data...3097280828</v>
        <stp/>
        <stp>BDP|1661235314581009180</stp>
        <tr r="E1031" s="2"/>
      </tp>
      <tp t="s">
        <v>#N/A Requesting Data...3942264712</v>
        <stp/>
        <stp>BDP|9577950439325618463</stp>
        <tr r="O632" s="2"/>
      </tp>
      <tp t="s">
        <v>#N/A Requesting Data...3580080222</v>
        <stp/>
        <stp>BDP|9638813574232227686</stp>
        <tr r="C1435" s="2"/>
      </tp>
      <tp t="s">
        <v>#N/A Requesting Data...2532932596</v>
        <stp/>
        <stp>BDP|9409575751658861333</stp>
        <tr r="P1877" s="2"/>
      </tp>
      <tp t="s">
        <v>#N/A Requesting Data...3083637526</v>
        <stp/>
        <stp>BDP|2547231765827875353</stp>
        <tr r="G2361" s="2"/>
      </tp>
      <tp t="b">
        <v>0</v>
        <stp/>
        <stp>BDS|6785826832789139680</stp>
        <tr r="I3" s="2"/>
      </tp>
      <tp t="s">
        <v>#N/A Requesting Data...3863813523</v>
        <stp/>
        <stp>BDP|2859269941327566141</stp>
        <tr r="R457" s="2"/>
      </tp>
      <tp t="s">
        <v>#N/A Requesting Data...4160877867</v>
        <stp/>
        <stp>BDP|8473818837223946251</stp>
        <tr r="T2372" s="2"/>
      </tp>
      <tp t="s">
        <v>#N/A Requesting Data...3039462676</v>
        <stp/>
        <stp>BDP|2738668818201467634</stp>
        <tr r="J2027" s="2"/>
      </tp>
      <tp t="s">
        <v>#N/A Requesting Data...2881250310</v>
        <stp/>
        <stp>BDP|7058371008593486552</stp>
        <tr r="P2446" s="2"/>
      </tp>
      <tp t="s">
        <v>#N/A Requesting Data...2546491544</v>
        <stp/>
        <stp>BDP|5576030718274597257</stp>
        <tr r="P1156" s="2"/>
      </tp>
      <tp t="s">
        <v>#N/A Requesting Data...3116633303</v>
        <stp/>
        <stp>BDP|1876138431369526815</stp>
        <tr r="C834" s="2"/>
      </tp>
      <tp t="s">
        <v>#N/A Requesting Data...4058542409</v>
        <stp/>
        <stp>BDP|1136083313982145056</stp>
        <tr r="J1435" s="2"/>
      </tp>
      <tp t="s">
        <v>#N/A Requesting Data...3780146813</v>
        <stp/>
        <stp>BDP|2996892989103667317</stp>
        <tr r="T249" s="2"/>
      </tp>
      <tp t="s">
        <v>#N/A Requesting Data...4010249534</v>
        <stp/>
        <stp>BDP|5989676262147367012</stp>
        <tr r="P2273" s="2"/>
      </tp>
      <tp t="s">
        <v>#N/A Requesting Data...2545426326</v>
        <stp/>
        <stp>BDP|5249405810546884446</stp>
        <tr r="E419" s="2"/>
      </tp>
      <tp t="s">
        <v>#N/A Requesting Data...3780276873</v>
        <stp/>
        <stp>BDP|6608394863876549772</stp>
        <tr r="F1524" s="2"/>
      </tp>
      <tp t="s">
        <v>#N/A Requesting Data...2902480055</v>
        <stp/>
        <stp>BDP|5921719743281606533</stp>
        <tr r="C1811" s="2"/>
      </tp>
      <tp t="s">
        <v>#N/A Requesting Data...2621663215</v>
        <stp/>
        <stp>BDP|1566686548053283295</stp>
        <tr r="Q801" s="2"/>
      </tp>
      <tp t="s">
        <v>#N/A Requesting Data...3035193451</v>
        <stp/>
        <stp>BDP|2882938584773235239</stp>
        <tr r="K2003" s="2"/>
      </tp>
      <tp t="s">
        <v>#N/A Requesting Data...3598721667</v>
        <stp/>
        <stp>BDP|5793708054961527487</stp>
        <tr r="M2167" s="2"/>
      </tp>
      <tp t="s">
        <v>#N/A Requesting Data...4259091388</v>
        <stp/>
        <stp>BDP|5857793131512792196</stp>
        <tr r="E1882" s="2"/>
      </tp>
      <tp t="s">
        <v>#N/A Requesting Data...3187045858</v>
        <stp/>
        <stp>BDP|5603695905747190657</stp>
        <tr r="R1028" s="2"/>
      </tp>
      <tp t="s">
        <v>#N/A Requesting Data...2820370535</v>
        <stp/>
        <stp>BDP|5429689984268312157</stp>
        <tr r="K2383" s="2"/>
      </tp>
      <tp t="s">
        <v>#N/A Requesting Data...2797382538</v>
        <stp/>
        <stp>BDP|7036963989993922784</stp>
        <tr r="T2006" s="2"/>
      </tp>
      <tp t="s">
        <v>#N/A Requesting Data...3929058915</v>
        <stp/>
        <stp>BDP|2431888410578565177</stp>
        <tr r="Q596" s="2"/>
      </tp>
      <tp t="s">
        <v>#N/A Requesting Data...3502852943</v>
        <stp/>
        <stp>BDP|4405792199590993831</stp>
        <tr r="P185" s="2"/>
      </tp>
      <tp t="s">
        <v>#N/A Requesting Data...3607361906</v>
        <stp/>
        <stp>BDP|3881342024296537634</stp>
        <tr r="K990" s="2"/>
      </tp>
      <tp t="s">
        <v>#N/A Requesting Data...3872274505</v>
        <stp/>
        <stp>BDP|8754980663905348017</stp>
        <tr r="K1136" s="2"/>
      </tp>
      <tp t="s">
        <v>#N/A Requesting Data...3770282809</v>
        <stp/>
        <stp>BDP|1347662206766475398</stp>
        <tr r="C772" s="2"/>
      </tp>
      <tp t="s">
        <v>#N/A Requesting Data...3688450784</v>
        <stp/>
        <stp>BDP|9175115939881532827</stp>
        <tr r="P1787" s="2"/>
      </tp>
      <tp t="s">
        <v>#N/A Requesting Data...2999131887</v>
        <stp/>
        <stp>BDP|6171161638453251539</stp>
        <tr r="S1660" s="2"/>
      </tp>
      <tp t="s">
        <v>#N/A Requesting Data...3396243202</v>
        <stp/>
        <stp>BDP|8380830893719401291</stp>
        <tr r="E1255" s="2"/>
      </tp>
      <tp t="s">
        <v>#N/A Requesting Data...2915893344</v>
        <stp/>
        <stp>BDP|9360821470992987668</stp>
        <tr r="A2518" s="2"/>
      </tp>
      <tp t="s">
        <v>#N/A Requesting Data...3673224375</v>
        <stp/>
        <stp>BDP|3357073729443151026</stp>
        <tr r="J1870" s="2"/>
      </tp>
      <tp t="s">
        <v>#N/A Requesting Data...3106825807</v>
        <stp/>
        <stp>BDP|3941145175733046463</stp>
        <tr r="M1218" s="2"/>
      </tp>
      <tp t="s">
        <v>#N/A Requesting Data...2875278958</v>
        <stp/>
        <stp>BDP|2980848985272708213</stp>
        <tr r="D1748" s="2"/>
      </tp>
      <tp t="s">
        <v>#N/A Requesting Data...3319669933</v>
        <stp/>
        <stp>BDP|9756793791407427251</stp>
        <tr r="K1983" s="2"/>
      </tp>
      <tp t="s">
        <v>#N/A Requesting Data...2700085032</v>
        <stp/>
        <stp>BDP|2547774816474308295</stp>
        <tr r="E148" s="2"/>
      </tp>
      <tp t="s">
        <v>#N/A Requesting Data...2835863256</v>
        <stp/>
        <stp>BDP|3700295163575504061</stp>
        <tr r="F1409" s="2"/>
      </tp>
      <tp t="s">
        <v>#N/A Requesting Data...4289153003</v>
        <stp/>
        <stp>BDP|3259894385427512655</stp>
        <tr r="M2355" s="2"/>
      </tp>
      <tp t="s">
        <v>#N/A Requesting Data...3937335989</v>
        <stp/>
        <stp>BDP|2715160644142342784</stp>
        <tr r="R1912" s="2"/>
      </tp>
      <tp t="s">
        <v>#N/A Requesting Data...3761096532</v>
        <stp/>
        <stp>BDP|1577294753164541046</stp>
        <tr r="J603" s="2"/>
      </tp>
      <tp t="s">
        <v>#N/A Requesting Data...3680072365</v>
        <stp/>
        <stp>BDP|8501062716202811931</stp>
        <tr r="M236" s="2"/>
      </tp>
      <tp t="s">
        <v>#N/A Requesting Data...4161935453</v>
        <stp/>
        <stp>BDP|2997429503444456021</stp>
        <tr r="N981" s="2"/>
      </tp>
      <tp t="s">
        <v>#N/A Requesting Data...3200174951</v>
        <stp/>
        <stp>BDP|1976885438151626911</stp>
        <tr r="C622" s="2"/>
      </tp>
      <tp t="s">
        <v>#N/A Requesting Data...2671940297</v>
        <stp/>
        <stp>BDP|3327892788560534196</stp>
        <tr r="O1393" s="2"/>
      </tp>
      <tp t="s">
        <v>#N/A Requesting Data...4083608868</v>
        <stp/>
        <stp>BDP|4873441543753071516</stp>
        <tr r="F234" s="2"/>
      </tp>
      <tp t="s">
        <v>#N/A Requesting Data...3697429678</v>
        <stp/>
        <stp>BDP|5108389508101610599</stp>
        <tr r="E2131" s="2"/>
      </tp>
      <tp t="s">
        <v>#N/A Requesting Data...3195662978</v>
        <stp/>
        <stp>BDP|9307400474678049092</stp>
        <tr r="T1998" s="2"/>
      </tp>
      <tp t="s">
        <v>#N/A Requesting Data...4189687165</v>
        <stp/>
        <stp>BDP|9278411887695219282</stp>
        <tr r="D1586" s="2"/>
      </tp>
      <tp t="s">
        <v>#N/A Requesting Data...3043294756</v>
        <stp/>
        <stp>BDP|9760747613705975872</stp>
        <tr r="F581" s="2"/>
      </tp>
      <tp t="b">
        <v>0</v>
        <stp/>
        <stp>BDS|4869487209962682010</stp>
        <tr r="I2339" s="2"/>
      </tp>
      <tp t="s">
        <v>#N/A Requesting Data...4067864528</v>
        <stp/>
        <stp>BDP|4902125734576217233</stp>
        <tr r="C1493" s="2"/>
      </tp>
      <tp t="s">
        <v>#N/A Requesting Data...2597663997</v>
        <stp/>
        <stp>BDP|3129180410134113560</stp>
        <tr r="H151" s="2"/>
      </tp>
      <tp t="s">
        <v>#N/A Requesting Data...3214401880</v>
        <stp/>
        <stp>BDP|5769189246477191560</stp>
        <tr r="E1621" s="2"/>
      </tp>
      <tp t="s">
        <v>#N/A Requesting Data...3020813040</v>
        <stp/>
        <stp>BDP|7753078726180164798</stp>
        <tr r="F725" s="2"/>
      </tp>
      <tp t="s">
        <v>#N/A Requesting Data...3292898843</v>
        <stp/>
        <stp>BDP|8534608080834852033</stp>
        <tr r="C2383" s="2"/>
      </tp>
      <tp t="s">
        <v>#N/A Requesting Data...3705047542</v>
        <stp/>
        <stp>BDP|4816996416677935907</stp>
        <tr r="S1425" s="2"/>
      </tp>
      <tp t="s">
        <v>#N/A Requesting Data...3885343132</v>
        <stp/>
        <stp>BDP|1054275514287808757</stp>
        <tr r="N319" s="2"/>
      </tp>
      <tp t="s">
        <v>#N/A Requesting Data...3471217471</v>
        <stp/>
        <stp>BDP|5027374873447809427</stp>
        <tr r="N2414" s="2"/>
      </tp>
      <tp t="s">
        <v>#N/A Requesting Data...3016734427</v>
        <stp/>
        <stp>BDP|4064418740925972365</stp>
        <tr r="Q2450" s="2"/>
      </tp>
      <tp t="s">
        <v>#N/A Requesting Data...2779300029</v>
        <stp/>
        <stp>BDP|5784714765044494290</stp>
        <tr r="E1322" s="2"/>
      </tp>
      <tp t="s">
        <v>#N/A Requesting Data...2750633821</v>
        <stp/>
        <stp>BDP|1320266896650850852</stp>
        <tr r="K797" s="2"/>
      </tp>
      <tp t="s">
        <v>#N/A Requesting Data...3361321826</v>
        <stp/>
        <stp>BDP|7795413874475990352</stp>
        <tr r="T1338" s="2"/>
      </tp>
      <tp t="s">
        <v>#N/A Requesting Data...2617853889</v>
        <stp/>
        <stp>BDP|2782374121167691690</stp>
        <tr r="M547" s="2"/>
      </tp>
      <tp t="s">
        <v>#N/A Requesting Data...3040240011</v>
        <stp/>
        <stp>BDP|5955096514655341395</stp>
        <tr r="N193" s="2"/>
      </tp>
      <tp t="s">
        <v>#N/A Requesting Data...3877505982</v>
        <stp/>
        <stp>BDP|4495687223373491150</stp>
        <tr r="E752" s="2"/>
      </tp>
      <tp t="s">
        <v>#N/A Requesting Data...3998037336</v>
        <stp/>
        <stp>BDP|5921146870502508365</stp>
        <tr r="N1042" s="2"/>
      </tp>
      <tp t="s">
        <v>#N/A Requesting Data...4055301332</v>
        <stp/>
        <stp>BDP|3312447117042945676</stp>
        <tr r="A2044" s="2"/>
      </tp>
      <tp t="s">
        <v>#N/A Requesting Data...4150016780</v>
        <stp/>
        <stp>BDP|2012629252056946578</stp>
        <tr r="T1314" s="2"/>
      </tp>
      <tp t="s">
        <v>#N/A Requesting Data...2698684663</v>
        <stp/>
        <stp>BDP|5730088805096178158</stp>
        <tr r="S1975" s="2"/>
      </tp>
      <tp t="s">
        <v>#N/A Requesting Data...2725876828</v>
        <stp/>
        <stp>BDP|2067800698453712214</stp>
        <tr r="H1259" s="2"/>
      </tp>
      <tp t="s">
        <v>#N/A Requesting Data...4034985480</v>
        <stp/>
        <stp>BDP|6080294274915745446</stp>
        <tr r="S972" s="2"/>
      </tp>
      <tp t="b">
        <v>0</v>
        <stp/>
        <stp>BDS|5724484441523074400</stp>
        <tr r="I421" s="2"/>
      </tp>
      <tp t="s">
        <v>#N/A Requesting Data...3297396100</v>
        <stp/>
        <stp>BDP|7643744028463328371</stp>
        <tr r="Q1411" s="2"/>
      </tp>
      <tp t="s">
        <v>#N/A Requesting Data...2879274843</v>
        <stp/>
        <stp>BDP|5436308603984170082</stp>
        <tr r="Q248" s="2"/>
      </tp>
      <tp t="s">
        <v>#N/A Requesting Data...3557799003</v>
        <stp/>
        <stp>BDP|1582103411280295387</stp>
        <tr r="P2249" s="2"/>
      </tp>
      <tp t="s">
        <v>#N/A Requesting Data...2959303799</v>
        <stp/>
        <stp>BDP|3071611028222327740</stp>
        <tr r="M573" s="2"/>
      </tp>
      <tp t="s">
        <v>#N/A Requesting Data...3501866067</v>
        <stp/>
        <stp>BDP|4824441629561934123</stp>
        <tr r="D1128" s="2"/>
      </tp>
      <tp t="s">
        <v>#N/A Requesting Data...2792914614</v>
        <stp/>
        <stp>BDP|5033474469001357434</stp>
        <tr r="A623" s="2"/>
      </tp>
      <tp t="s">
        <v>#N/A Requesting Data...4001897729</v>
        <stp/>
        <stp>BDP|5452913486785407397</stp>
        <tr r="N415" s="2"/>
      </tp>
      <tp t="s">
        <v>#N/A Requesting Data...3180250062</v>
        <stp/>
        <stp>BDP|8145079239611252827</stp>
        <tr r="Q1650" s="2"/>
      </tp>
      <tp t="s">
        <v>#N/A Requesting Data...3071473736</v>
        <stp/>
        <stp>BDP|8300464637918512585</stp>
        <tr r="Q581" s="2"/>
      </tp>
      <tp t="s">
        <v>#N/A Requesting Data...2805289544</v>
        <stp/>
        <stp>BDP|8689698535158098751</stp>
        <tr r="J1484" s="2"/>
      </tp>
      <tp t="s">
        <v>#N/A Requesting Data...2915551177</v>
        <stp/>
        <stp>BDP|7145010433573404588</stp>
        <tr r="A1464" s="2"/>
      </tp>
      <tp t="s">
        <v>#N/A Requesting Data...4084198142</v>
        <stp/>
        <stp>BDP|8822674404549530519</stp>
        <tr r="O941" s="2"/>
      </tp>
      <tp t="s">
        <v>#N/A Requesting Data...4194577411</v>
        <stp/>
        <stp>BDP|5846874323069205418</stp>
        <tr r="J335" s="2"/>
      </tp>
      <tp t="s">
        <v>#N/A Requesting Data...3753886870</v>
        <stp/>
        <stp>BDP|7952926702554092867</stp>
        <tr r="S553" s="2"/>
      </tp>
      <tp t="s">
        <v>#N/A Requesting Data...3379810365</v>
        <stp/>
        <stp>BDP|8792912649216777176</stp>
        <tr r="F1495" s="2"/>
      </tp>
      <tp t="s">
        <v>#N/A Requesting Data...3722138359</v>
        <stp/>
        <stp>BDP|2056723020870432595</stp>
        <tr r="E151" s="2"/>
      </tp>
      <tp t="s">
        <v>#N/A Requesting Data...4031932089</v>
        <stp/>
        <stp>BDP|3604278321275953467</stp>
        <tr r="K1767" s="2"/>
      </tp>
      <tp t="s">
        <v>#N/A Requesting Data...4286222297</v>
        <stp/>
        <stp>BDP|1194696178603788189</stp>
        <tr r="E10" s="2"/>
      </tp>
      <tp t="s">
        <v>#N/A Requesting Data...2784932257</v>
        <stp/>
        <stp>BDP|1405279379183446514</stp>
        <tr r="E1732" s="2"/>
      </tp>
      <tp t="s">
        <v>#N/A Requesting Data...3166207385</v>
        <stp/>
        <stp>BDP|3105580046074899481</stp>
        <tr r="E825" s="2"/>
      </tp>
      <tp t="s">
        <v>#N/A Requesting Data...2689251945</v>
        <stp/>
        <stp>BDP|4318608805836032699</stp>
        <tr r="K58" s="2"/>
      </tp>
      <tp t="s">
        <v>#N/A Requesting Data...3465788304</v>
        <stp/>
        <stp>BDP|4382482034570039107</stp>
        <tr r="F1968" s="2"/>
      </tp>
      <tp t="s">
        <v>#N/A Requesting Data...2742675537</v>
        <stp/>
        <stp>BDP|3223767033806936314</stp>
        <tr r="G1480" s="2"/>
      </tp>
      <tp t="s">
        <v>#N/A Requesting Data...2946508127</v>
        <stp/>
        <stp>BDP|5282593920218548817</stp>
        <tr r="T1070" s="2"/>
      </tp>
      <tp t="s">
        <v>#N/A Requesting Data...3181880400</v>
        <stp/>
        <stp>BDP|5302540434540470188</stp>
        <tr r="Q979" s="2"/>
      </tp>
      <tp t="s">
        <v>#N/A Requesting Data...3438534050</v>
        <stp/>
        <stp>BDP|9738434475189849168</stp>
        <tr r="R2462" s="2"/>
      </tp>
      <tp t="s">
        <v>#N/A Requesting Data...2896468797</v>
        <stp/>
        <stp>BDP|1259745329860412643</stp>
        <tr r="R633" s="2"/>
      </tp>
      <tp t="s">
        <v>#N/A Requesting Data...3297976553</v>
        <stp/>
        <stp>BDP|4517480933206714768</stp>
        <tr r="A11" s="2"/>
      </tp>
      <tp t="s">
        <v>#N/A Requesting Data...2782334904</v>
        <stp/>
        <stp>BDP|6097055277152895159</stp>
        <tr r="O1134" s="2"/>
      </tp>
      <tp t="s">
        <v>#N/A Requesting Data...3705850048</v>
        <stp/>
        <stp>BDP|3450438617130876476</stp>
        <tr r="A618" s="2"/>
      </tp>
      <tp t="s">
        <v>#N/A Requesting Data...3202028841</v>
        <stp/>
        <stp>BDP|9442894738105259589</stp>
        <tr r="Q1125" s="2"/>
      </tp>
      <tp t="s">
        <v>#N/A Requesting Data...3110245119</v>
        <stp/>
        <stp>BDP|5768852949783497807</stp>
        <tr r="E2047" s="2"/>
      </tp>
      <tp t="s">
        <v>#N/A Requesting Data...3511013048</v>
        <stp/>
        <stp>BDP|7261211014380092680</stp>
        <tr r="R2364" s="2"/>
      </tp>
      <tp t="s">
        <v>#N/A Requesting Data...3395101432</v>
        <stp/>
        <stp>BDP|9449944953866802144</stp>
        <tr r="A1129" s="2"/>
      </tp>
      <tp t="s">
        <v>#N/A Requesting Data...3152863855</v>
        <stp/>
        <stp>BDP|9602909139010614164</stp>
        <tr r="J905" s="2"/>
      </tp>
      <tp t="s">
        <v>#N/A Requesting Data...3669091637</v>
        <stp/>
        <stp>BDP|6985340212413381538</stp>
        <tr r="J1688" s="2"/>
      </tp>
      <tp t="s">
        <v>#N/A Requesting Data...2878292562</v>
        <stp/>
        <stp>BDP|6599590112860294034</stp>
        <tr r="K167" s="2"/>
      </tp>
      <tp t="s">
        <v>#N/A Requesting Data...3639741987</v>
        <stp/>
        <stp>BDP|7477258095186244896</stp>
        <tr r="H812" s="2"/>
      </tp>
      <tp t="s">
        <v>#N/A Requesting Data...3510686939</v>
        <stp/>
        <stp>BDP|3080628914484824219</stp>
        <tr r="S1858" s="2"/>
      </tp>
      <tp t="s">
        <v>#N/A Requesting Data...3225728622</v>
        <stp/>
        <stp>BDP|6748630329638099824</stp>
        <tr r="F1164" s="2"/>
      </tp>
      <tp t="s">
        <v>#N/A Requesting Data...2994471245</v>
        <stp/>
        <stp>BDP|5860477805581138248</stp>
        <tr r="Q1038" s="2"/>
      </tp>
      <tp t="s">
        <v>#N/A Requesting Data...2773602706</v>
        <stp/>
        <stp>BDP|8187417096784907307</stp>
        <tr r="D2336" s="2"/>
      </tp>
      <tp t="s">
        <v>#N/A Requesting Data...3127677141</v>
        <stp/>
        <stp>BDP|9501919768182777640</stp>
        <tr r="P572" s="2"/>
      </tp>
      <tp t="s">
        <v>#N/A Requesting Data...3755788925</v>
        <stp/>
        <stp>BDP|4972009339363852676</stp>
        <tr r="F1080" s="2"/>
      </tp>
      <tp t="s">
        <v>#N/A Requesting Data...3061209191</v>
        <stp/>
        <stp>BDP|6898660432714368506</stp>
        <tr r="E833" s="2"/>
      </tp>
      <tp t="s">
        <v>#N/A Requesting Data...3392091643</v>
        <stp/>
        <stp>BDP|4437528456975992365</stp>
        <tr r="N1034" s="2"/>
      </tp>
      <tp t="s">
        <v>#N/A Requesting Data...3638619464</v>
        <stp/>
        <stp>BDP|7756084469604015798</stp>
        <tr r="H2170" s="2"/>
      </tp>
      <tp t="s">
        <v>#N/A Requesting Data...3508984153</v>
        <stp/>
        <stp>BDP|7862466505058663928</stp>
        <tr r="E271" s="2"/>
      </tp>
      <tp t="s">
        <v>#N/A Requesting Data...4250656989</v>
        <stp/>
        <stp>BDP|8547539886564808376</stp>
        <tr r="D936" s="2"/>
      </tp>
      <tp t="s">
        <v>#N/A Requesting Data...3365299725</v>
        <stp/>
        <stp>BDP|5995916484525271313</stp>
        <tr r="T918" s="2"/>
      </tp>
      <tp t="s">
        <v>#N/A Requesting Data...3182290742</v>
        <stp/>
        <stp>BDP|7681632851161837736</stp>
        <tr r="F2042" s="2"/>
      </tp>
      <tp t="s">
        <v>#N/A Requesting Data...3565548430</v>
        <stp/>
        <stp>BDP|4392745195321474999</stp>
        <tr r="F255" s="2"/>
      </tp>
      <tp t="s">
        <v>#N/A Requesting Data...3063525607</v>
        <stp/>
        <stp>BDP|9609709208924166807</stp>
        <tr r="H428" s="2"/>
      </tp>
      <tp t="b">
        <v>0</v>
        <stp/>
        <stp>BDS|1626746821035807346</stp>
        <tr r="I352" s="2"/>
      </tp>
      <tp t="s">
        <v>#N/A Requesting Data...2924425678</v>
        <stp/>
        <stp>BDP|1469986633018025103</stp>
        <tr r="H1019" s="2"/>
      </tp>
      <tp t="s">
        <v>#N/A Requesting Data...3261328372</v>
        <stp/>
        <stp>BDP|7328042068641737274</stp>
        <tr r="F1073" s="2"/>
      </tp>
      <tp t="s">
        <v>#N/A Requesting Data...3420409155</v>
        <stp/>
        <stp>BDP|4038052348095650744</stp>
        <tr r="P1624" s="2"/>
      </tp>
      <tp t="s">
        <v>#N/A Requesting Data...3657356121</v>
        <stp/>
        <stp>BDP|9089385378777786882</stp>
        <tr r="M1139" s="2"/>
      </tp>
      <tp t="s">
        <v>#N/A Requesting Data...3094528345</v>
        <stp/>
        <stp>BDP|3454039031973906106</stp>
        <tr r="N2042" s="2"/>
      </tp>
      <tp t="s">
        <v>#N/A Requesting Data...3091445496</v>
        <stp/>
        <stp>BDP|4123332528287528003</stp>
        <tr r="P2201" s="2"/>
      </tp>
      <tp t="s">
        <v>#N/A Requesting Data...3273541792</v>
        <stp/>
        <stp>BDP|1627544359303133055</stp>
        <tr r="P1349" s="2"/>
      </tp>
      <tp t="s">
        <v>#N/A Requesting Data...3985068982</v>
        <stp/>
        <stp>BDP|8510384343344108905</stp>
        <tr r="G1814" s="2"/>
      </tp>
      <tp t="s">
        <v>#N/A Requesting Data...3002851956</v>
        <stp/>
        <stp>BDP|6507995949239816025</stp>
        <tr r="T1192" s="2"/>
      </tp>
      <tp t="s">
        <v>#N/A Requesting Data...3951351554</v>
        <stp/>
        <stp>BDP|2895779327013753607</stp>
        <tr r="T1676" s="2"/>
      </tp>
      <tp t="s">
        <v>#N/A Requesting Data...4170848395</v>
        <stp/>
        <stp>BDP|7028719939416794704</stp>
        <tr r="C793" s="2"/>
      </tp>
      <tp t="s">
        <v>#N/A Requesting Data...4059149721</v>
        <stp/>
        <stp>BDP|3696528615104840166</stp>
        <tr r="G2142" s="2"/>
      </tp>
      <tp t="s">
        <v>#N/A Requesting Data...2963019536</v>
        <stp/>
        <stp>BDP|5359167937000959545</stp>
        <tr r="F480" s="2"/>
      </tp>
      <tp t="s">
        <v>#N/A Requesting Data...3985873490</v>
        <stp/>
        <stp>BDP|2641935814381660981</stp>
        <tr r="M2380" s="2"/>
      </tp>
      <tp t="s">
        <v>#N/A Requesting Data...2828697982</v>
        <stp/>
        <stp>BDP|7473998480813237701</stp>
        <tr r="M568" s="2"/>
      </tp>
      <tp t="s">
        <v>#N/A Requesting Data...4158451398</v>
        <stp/>
        <stp>BDP|2475097140484654044</stp>
        <tr r="R1344" s="2"/>
      </tp>
      <tp t="s">
        <v>#N/A Requesting Data...3580158548</v>
        <stp/>
        <stp>BDP|9195939835002107395</stp>
        <tr r="A2152" s="2"/>
      </tp>
      <tp t="s">
        <v>#N/A Requesting Data...3535022613</v>
        <stp/>
        <stp>BDP|5494578227161825136</stp>
        <tr r="O666" s="2"/>
      </tp>
      <tp t="s">
        <v>#N/A Requesting Data...3097019548</v>
        <stp/>
        <stp>BDP|6267282124746164201</stp>
        <tr r="Q781" s="2"/>
      </tp>
      <tp t="s">
        <v>#N/A Requesting Data...3343211750</v>
        <stp/>
        <stp>BDP|6405285773423236226</stp>
        <tr r="Q2102" s="2"/>
      </tp>
      <tp t="s">
        <v>#N/A Requesting Data...4215960991</v>
        <stp/>
        <stp>BDP|7891731619051892255</stp>
        <tr r="R1680" s="2"/>
      </tp>
      <tp t="s">
        <v>#N/A Requesting Data...2978409957</v>
        <stp/>
        <stp>BDP|1537513379528128933</stp>
        <tr r="S2087" s="2"/>
      </tp>
      <tp t="s">
        <v>#N/A Requesting Data...3771879106</v>
        <stp/>
        <stp>BDP|7063984183732609621</stp>
        <tr r="R906" s="2"/>
      </tp>
      <tp t="s">
        <v>#N/A Requesting Data...3673003911</v>
        <stp/>
        <stp>BDP|7272305119757541016</stp>
        <tr r="T869" s="2"/>
      </tp>
      <tp t="s">
        <v>#N/A Requesting Data...2995008610</v>
        <stp/>
        <stp>BDP|7153612668092408731</stp>
        <tr r="J1988" s="2"/>
      </tp>
      <tp t="s">
        <v>#N/A Requesting Data...3562880761</v>
        <stp/>
        <stp>BDP|1065150085243966964</stp>
        <tr r="O708" s="2"/>
      </tp>
      <tp t="s">
        <v>#N/A Requesting Data...4126759695</v>
        <stp/>
        <stp>BDP|3734601513286359083</stp>
        <tr r="D1258" s="2"/>
      </tp>
      <tp t="s">
        <v>#N/A Requesting Data...3735846129</v>
        <stp/>
        <stp>BDP|3176389811886567526</stp>
        <tr r="T206" s="2"/>
      </tp>
      <tp t="s">
        <v>#N/A Requesting Data...3330489736</v>
        <stp/>
        <stp>BDP|5868747354214269153</stp>
        <tr r="T1449" s="2"/>
      </tp>
      <tp t="s">
        <v>#N/A Requesting Data...3659574207</v>
        <stp/>
        <stp>BDP|8221783776808475278</stp>
        <tr r="G2108" s="2"/>
      </tp>
      <tp t="s">
        <v>#N/A Requesting Data...3329426470</v>
        <stp/>
        <stp>BDP|9396899837845566578</stp>
        <tr r="F1826" s="2"/>
      </tp>
      <tp t="s">
        <v>#N/A Requesting Data...4109134736</v>
        <stp/>
        <stp>BDP|2716619509685296321</stp>
        <tr r="M559" s="2"/>
      </tp>
      <tp t="s">
        <v>#N/A Requesting Data...3719111126</v>
        <stp/>
        <stp>BDP|1752163544785901337</stp>
        <tr r="M376" s="2"/>
      </tp>
      <tp t="s">
        <v>#N/A Requesting Data...3542559149</v>
        <stp/>
        <stp>BDP|1981444861516673758</stp>
        <tr r="H1772" s="2"/>
      </tp>
      <tp t="s">
        <v>#N/A Requesting Data...4284916210</v>
        <stp/>
        <stp>BDP|5042707849626298275</stp>
        <tr r="P1154" s="2"/>
      </tp>
      <tp t="s">
        <v>#N/A Requesting Data...3937679848</v>
        <stp/>
        <stp>BDP|7162583970787683033</stp>
        <tr r="K1751" s="2"/>
      </tp>
      <tp t="s">
        <v>#N/A Requesting Data...2904151378</v>
        <stp/>
        <stp>BDP|2896209549622873458</stp>
        <tr r="O1415" s="2"/>
      </tp>
      <tp t="s">
        <v>#N/A Requesting Data...4022957981</v>
        <stp/>
        <stp>BDP|2736697036832146751</stp>
        <tr r="M2077" s="2"/>
      </tp>
      <tp t="s">
        <v>#N/A Requesting Data...3673447782</v>
        <stp/>
        <stp>BDP|5371190816910306737</stp>
        <tr r="H1424" s="2"/>
      </tp>
      <tp t="s">
        <v>#N/A Requesting Data...2967690604</v>
        <stp/>
        <stp>BDP|1861758695429700432</stp>
        <tr r="J1364" s="2"/>
      </tp>
      <tp t="s">
        <v>#N/A Requesting Data...3940249701</v>
        <stp/>
        <stp>BDP|3437408274277923553</stp>
        <tr r="A1151" s="2"/>
      </tp>
      <tp t="s">
        <v>#N/A Requesting Data...3743442862</v>
        <stp/>
        <stp>BDP|6767438921490878215</stp>
        <tr r="T32" s="2"/>
      </tp>
      <tp t="s">
        <v>#N/A Requesting Data...3291142266</v>
        <stp/>
        <stp>BDP|6620893492881974486</stp>
        <tr r="S606" s="2"/>
      </tp>
      <tp t="s">
        <v>#N/A Requesting Data...4119928068</v>
        <stp/>
        <stp>BDP|8216678968778973281</stp>
        <tr r="R93" s="2"/>
      </tp>
      <tp t="s">
        <v>#N/A Requesting Data...2999225178</v>
        <stp/>
        <stp>BDP|8973169083265726675</stp>
        <tr r="C240" s="2"/>
      </tp>
      <tp t="s">
        <v>#N/A Requesting Data...3782852361</v>
        <stp/>
        <stp>BDP|1148829186207975403</stp>
        <tr r="H1686" s="2"/>
      </tp>
      <tp t="s">
        <v>#N/A Requesting Data...3205858992</v>
        <stp/>
        <stp>BDP|4719097099749381682</stp>
        <tr r="F684" s="2"/>
      </tp>
      <tp t="s">
        <v>#N/A Requesting Data...3099542384</v>
        <stp/>
        <stp>BDP|7374603318994510627</stp>
        <tr r="R1662" s="2"/>
      </tp>
      <tp t="s">
        <v>#N/A Requesting Data...4163607110</v>
        <stp/>
        <stp>BDP|3781049181520791997</stp>
        <tr r="R604" s="2"/>
      </tp>
      <tp t="s">
        <v>#N/A Requesting Data...3254642364</v>
        <stp/>
        <stp>BDP|8607281661556677859</stp>
        <tr r="D758" s="2"/>
      </tp>
      <tp t="s">
        <v>#N/A Requesting Data...4165377016</v>
        <stp/>
        <stp>BDP|2281843195487846671</stp>
        <tr r="C1191" s="2"/>
      </tp>
      <tp t="s">
        <v>#N/A Requesting Data...4104420490</v>
        <stp/>
        <stp>BDP|6370567638800318223</stp>
        <tr r="T1643" s="2"/>
      </tp>
      <tp t="s">
        <v>#N/A Requesting Data...4110131714</v>
        <stp/>
        <stp>BDP|4114081806457780146</stp>
        <tr r="S1195" s="2"/>
      </tp>
      <tp t="s">
        <v>#N/A Requesting Data...3517075435</v>
        <stp/>
        <stp>BDP|5891351547143334357</stp>
        <tr r="D894" s="2"/>
      </tp>
      <tp t="s">
        <v>#N/A Requesting Data...3276146150</v>
        <stp/>
        <stp>BDP|3267083756650663468</stp>
        <tr r="D1015" s="2"/>
      </tp>
      <tp t="s">
        <v>#N/A Requesting Data...3975418045</v>
        <stp/>
        <stp>BDP|9754929769432877682</stp>
        <tr r="C436" s="2"/>
      </tp>
      <tp t="s">
        <v>#N/A Requesting Data...3553571600</v>
        <stp/>
        <stp>BDP|3890396329349775936</stp>
        <tr r="S1221" s="2"/>
      </tp>
      <tp t="s">
        <v>#N/A Requesting Data...4099151772</v>
        <stp/>
        <stp>BDP|3162329431635876463</stp>
        <tr r="O1228" s="2"/>
      </tp>
      <tp t="s">
        <v>#N/A Requesting Data...4114443941</v>
        <stp/>
        <stp>BDP|6583919999914536046</stp>
        <tr r="F2236" s="2"/>
      </tp>
      <tp t="b">
        <v>0</v>
        <stp/>
        <stp>BDS|6436089677295446632</stp>
        <tr r="I2525" s="2"/>
      </tp>
      <tp t="s">
        <v>#N/A Requesting Data...3057362921</v>
        <stp/>
        <stp>BDP|7508198853160000135</stp>
        <tr r="C101" s="2"/>
      </tp>
      <tp t="s">
        <v>#N/A Requesting Data...3814949650</v>
        <stp/>
        <stp>BDP|6824310399208597695</stp>
        <tr r="P2144" s="2"/>
      </tp>
      <tp t="s">
        <v>#N/A Requesting Data...3973184943</v>
        <stp/>
        <stp>BDP|1605454400162805579</stp>
        <tr r="T1609" s="2"/>
      </tp>
      <tp t="s">
        <v>#N/A Requesting Data...3256807110</v>
        <stp/>
        <stp>BDP|7324182804444314009</stp>
        <tr r="S865" s="2"/>
      </tp>
      <tp t="s">
        <v>#N/A Requesting Data...3386503907</v>
        <stp/>
        <stp>BDP|6178714466911824424</stp>
        <tr r="G68" s="2"/>
      </tp>
      <tp t="b">
        <v>0</v>
        <stp/>
        <stp>BDS|5743497035240543029</stp>
        <tr r="I2428" s="2"/>
      </tp>
      <tp t="s">
        <v>#N/A Requesting Data...3532957038</v>
        <stp/>
        <stp>BDP|6722344508725093277</stp>
        <tr r="D152" s="2"/>
      </tp>
      <tp t="s">
        <v>#N/A Requesting Data...4259796917</v>
        <stp/>
        <stp>BDP|5081403568851386474</stp>
        <tr r="H1396" s="2"/>
      </tp>
      <tp t="s">
        <v>#N/A Requesting Data...4286031639</v>
        <stp/>
        <stp>BDP|9034156923939221181</stp>
        <tr r="R753" s="2"/>
      </tp>
      <tp t="s">
        <v>#N/A Requesting Data...3528722023</v>
        <stp/>
        <stp>BDP|9063609624296838900</stp>
        <tr r="T1575" s="2"/>
      </tp>
      <tp t="s">
        <v>#N/A Requesting Data...3788267943</v>
        <stp/>
        <stp>BDP|2838364210502549078</stp>
        <tr r="C1599" s="2"/>
      </tp>
      <tp t="s">
        <v>#N/A Requesting Data...4220643962</v>
        <stp/>
        <stp>BDP|5530595156644566338</stp>
        <tr r="K624" s="2"/>
      </tp>
      <tp t="s">
        <v>#N/A Requesting Data...3778764469</v>
        <stp/>
        <stp>BDP|9705090681777717448</stp>
        <tr r="F929" s="2"/>
      </tp>
      <tp t="s">
        <v>#N/A Requesting Data...3717504577</v>
        <stp/>
        <stp>BDP|1538143201377896544</stp>
        <tr r="R2369" s="2"/>
      </tp>
      <tp t="s">
        <v>#N/A Requesting Data...4087178577</v>
        <stp/>
        <stp>BDP|8969223807371133914</stp>
        <tr r="K954" s="2"/>
      </tp>
      <tp t="s">
        <v>#N/A Requesting Data...3768144752</v>
        <stp/>
        <stp>BDP|8965846752203255416</stp>
        <tr r="R1464" s="2"/>
      </tp>
      <tp t="s">
        <v>#N/A Requesting Data...3733634913</v>
        <stp/>
        <stp>BDP|3828705171634624532</stp>
        <tr r="N215" s="2"/>
      </tp>
      <tp t="s">
        <v>#N/A Requesting Data...3244878365</v>
        <stp/>
        <stp>BDP|9056013133389830167</stp>
        <tr r="J961" s="2"/>
      </tp>
      <tp t="s">
        <v>#N/A Requesting Data...3556883633</v>
        <stp/>
        <stp>BDP|7868739850342640518</stp>
        <tr r="E2270" s="2"/>
      </tp>
      <tp t="s">
        <v>#N/A Requesting Data...3500835431</v>
        <stp/>
        <stp>BDP|3003155310459988809</stp>
        <tr r="T145" s="2"/>
      </tp>
      <tp t="s">
        <v>#N/A Requesting Data...3650246299</v>
        <stp/>
        <stp>BDP|9131612778413263960</stp>
        <tr r="R674" s="2"/>
      </tp>
      <tp t="s">
        <v>#N/A Requesting Data...3934457594</v>
        <stp/>
        <stp>BDP|9763689683177480245</stp>
        <tr r="H1097" s="2"/>
      </tp>
      <tp t="s">
        <v>#N/A Requesting Data...4069795765</v>
        <stp/>
        <stp>BDP|1694812619998196238</stp>
        <tr r="O1629" s="2"/>
      </tp>
      <tp t="s">
        <v>#N/A Requesting Data...3003669269</v>
        <stp/>
        <stp>BDP|5557505317420608387</stp>
        <tr r="H56" s="2"/>
      </tp>
      <tp t="s">
        <v>#N/A Requesting Data...3853984057</v>
        <stp/>
        <stp>BDP|4010544851474037291</stp>
        <tr r="R1786" s="2"/>
      </tp>
      <tp t="s">
        <v>#N/A Requesting Data...3255731769</v>
        <stp/>
        <stp>BDP|9096636782812805755</stp>
        <tr r="M819" s="2"/>
      </tp>
      <tp t="s">
        <v>#N/A Requesting Data...3720500399</v>
        <stp/>
        <stp>BDP|5504116729032747660</stp>
        <tr r="P847" s="2"/>
      </tp>
      <tp t="s">
        <v>#N/A Requesting Data...3675635281</v>
        <stp/>
        <stp>BDP|6844022268216737495</stp>
        <tr r="R2036" s="2"/>
      </tp>
      <tp t="s">
        <v>#N/A Requesting Data...4187116597</v>
        <stp/>
        <stp>BDP|4110497011071235277</stp>
        <tr r="J966" s="2"/>
      </tp>
      <tp t="s">
        <v>#N/A Requesting Data...4189605720</v>
        <stp/>
        <stp>BDP|5076891787734640347</stp>
        <tr r="S2134" s="2"/>
      </tp>
      <tp t="s">
        <v>#N/A Requesting Data...4214128088</v>
        <stp/>
        <stp>BDP|2761672268696264666</stp>
        <tr r="G457" s="2"/>
      </tp>
      <tp t="s">
        <v>#N/A Requesting Data...3576875310</v>
        <stp/>
        <stp>BDP|4957241717797226243</stp>
        <tr r="T1295" s="2"/>
      </tp>
      <tp t="s">
        <v>#N/A Requesting Data...3134801731</v>
        <stp/>
        <stp>BDP|6353213576069825801</stp>
        <tr r="J684" s="2"/>
      </tp>
      <tp t="s">
        <v>#N/A Requesting Data...4189178370</v>
        <stp/>
        <stp>BDP|3525152148127420306</stp>
        <tr r="K1802" s="2"/>
      </tp>
      <tp t="s">
        <v>#N/A Requesting Data...4015102616</v>
        <stp/>
        <stp>BDP|1047449670379121999</stp>
        <tr r="S984" s="2"/>
      </tp>
      <tp t="s">
        <v>#N/A Requesting Data...3163866957</v>
        <stp/>
        <stp>BDP|5139197103500339647</stp>
        <tr r="M1803" s="2"/>
      </tp>
      <tp t="s">
        <v>#N/A Requesting Data...3292730461</v>
        <stp/>
        <stp>BDP|8687675340541441999</stp>
        <tr r="K1116" s="2"/>
      </tp>
      <tp t="s">
        <v>#N/A Requesting Data...4282278342</v>
        <stp/>
        <stp>BDP|1724314406756536697</stp>
        <tr r="E660" s="2"/>
      </tp>
      <tp t="s">
        <v>#N/A Requesting Data...3799772404</v>
        <stp/>
        <stp>BDP|1704629907022653789</stp>
        <tr r="O988" s="2"/>
      </tp>
      <tp t="s">
        <v>#N/A Requesting Data...4246133700</v>
        <stp/>
        <stp>BDP|4147697111021178041</stp>
        <tr r="K2296" s="2"/>
      </tp>
      <tp t="s">
        <v>#N/A Requesting Data...4210699770</v>
        <stp/>
        <stp>BDP|5888619077840650649</stp>
        <tr r="P2290" s="2"/>
      </tp>
      <tp t="s">
        <v>#N/A Requesting Data...3851906873</v>
        <stp/>
        <stp>BDP|1627151648793611510</stp>
        <tr r="A430" s="2"/>
      </tp>
      <tp t="s">
        <v>#N/A Requesting Data...4196862760</v>
        <stp/>
        <stp>BDP|5058323009563777701</stp>
        <tr r="Q648" s="2"/>
      </tp>
      <tp t="s">
        <v>#N/A Requesting Data...4277682702</v>
        <stp/>
        <stp>BDP|3194625171858664886</stp>
        <tr r="M516" s="2"/>
      </tp>
      <tp t="s">
        <v>#N/A Requesting Data...3954536472</v>
        <stp/>
        <stp>BDP|2878462331893605459</stp>
        <tr r="N2497" s="2"/>
      </tp>
      <tp t="s">
        <v>#N/A Requesting Data...4251175885</v>
        <stp/>
        <stp>BDP|9793586485051483723</stp>
        <tr r="S2048" s="2"/>
      </tp>
      <tp t="s">
        <v>#N/A Requesting Data...3662056857</v>
        <stp/>
        <stp>BDP|7025415421746469582</stp>
        <tr r="K70" s="2"/>
      </tp>
      <tp t="s">
        <v>#N/A Requesting Data...3584640970</v>
        <stp/>
        <stp>BDP|1898696604944167184</stp>
        <tr r="S2295" s="2"/>
      </tp>
      <tp t="s">
        <v>#N/A Requesting Data...4074791463</v>
        <stp/>
        <stp>BDP|9755362882696669693</stp>
        <tr r="J1940" s="2"/>
      </tp>
      <tp t="s">
        <v>#N/A Requesting Data...4085137921</v>
        <stp/>
        <stp>BDP|7177093618211448586</stp>
        <tr r="E279" s="2"/>
      </tp>
      <tp t="s">
        <v>#N/A Requesting Data...4027608219</v>
        <stp/>
        <stp>BDP|2559505111653067784</stp>
        <tr r="N2068" s="2"/>
      </tp>
      <tp t="s">
        <v>#N/A Requesting Data...3692176062</v>
        <stp/>
        <stp>BDP|7944125520403664514</stp>
        <tr r="H936" s="2"/>
      </tp>
      <tp t="s">
        <v>#N/A Requesting Data...3603116384</v>
        <stp/>
        <stp>BDP|4394614425407867538</stp>
        <tr r="G989" s="2"/>
      </tp>
      <tp t="s">
        <v>#N/A Requesting Data...4253975779</v>
        <stp/>
        <stp>BDP|8900739300145290846</stp>
        <tr r="J543" s="2"/>
      </tp>
      <tp t="b">
        <v>0</v>
        <stp/>
        <stp>BDS|4741384847560548115</stp>
        <tr r="I1068" s="2"/>
      </tp>
      <tp t="s">
        <v>#N/A Requesting Data...3077278902</v>
        <stp/>
        <stp>BDP|5061051239245078105</stp>
        <tr r="E1785" s="2"/>
      </tp>
      <tp t="s">
        <v>#N/A Requesting Data...3249621672</v>
        <stp/>
        <stp>BDP|8393929926149301886</stp>
        <tr r="G959" s="2"/>
      </tp>
      <tp t="s">
        <v>#N/A Requesting Data...3553695357</v>
        <stp/>
        <stp>BDP|3429752438770422512</stp>
        <tr r="J1189" s="2"/>
      </tp>
      <tp t="s">
        <v>#N/A Requesting Data...3229239030</v>
        <stp/>
        <stp>BDP|8665464169459519100</stp>
        <tr r="T847" s="2"/>
      </tp>
      <tp t="s">
        <v>#N/A Requesting Data...3879869924</v>
        <stp/>
        <stp>BDP|6938162762162150102</stp>
        <tr r="A227" s="2"/>
      </tp>
      <tp t="s">
        <v>#N/A Requesting Data...4012964986</v>
        <stp/>
        <stp>BDP|4108134109084625310</stp>
        <tr r="F1863" s="2"/>
      </tp>
      <tp t="s">
        <v>#N/A Requesting Data...3790661471</v>
        <stp/>
        <stp>BDP|4211489402960153252</stp>
        <tr r="H1752" s="2"/>
      </tp>
      <tp t="s">
        <v>#N/A Requesting Data...3311004997</v>
        <stp/>
        <stp>BDP|7014287150052560016</stp>
        <tr r="J1622" s="2"/>
      </tp>
      <tp t="s">
        <v>#N/A Requesting Data...3537042620</v>
        <stp/>
        <stp>BDP|2530740422743721680</stp>
        <tr r="P2389" s="2"/>
      </tp>
      <tp t="s">
        <v>#N/A Requesting Data...3490219695</v>
        <stp/>
        <stp>BDP|7100831386855977018</stp>
        <tr r="K621" s="2"/>
      </tp>
      <tp t="s">
        <v>#N/A Requesting Data...3324435928</v>
        <stp/>
        <stp>BDP|8122914878526475202</stp>
        <tr r="Q1885" s="2"/>
      </tp>
      <tp t="s">
        <v>#N/A Requesting Data...3734962091</v>
        <stp/>
        <stp>BDP|7386164271285114699</stp>
        <tr r="R1764" s="2"/>
      </tp>
      <tp t="s">
        <v>#N/A Requesting Data...3177703499</v>
        <stp/>
        <stp>BDP|6679009909802609650</stp>
        <tr r="H1821" s="2"/>
      </tp>
      <tp t="s">
        <v>#N/A Requesting Data...3687676107</v>
        <stp/>
        <stp>BDP|4551669603306510687</stp>
        <tr r="C1113" s="2"/>
      </tp>
      <tp t="s">
        <v>#N/A Requesting Data...3837393571</v>
        <stp/>
        <stp>BDP|9500344775446190980</stp>
        <tr r="F1977" s="2"/>
      </tp>
      <tp t="s">
        <v>#N/A Requesting Data...3669917352</v>
        <stp/>
        <stp>BDP|1553219620025003694</stp>
        <tr r="O960" s="2"/>
      </tp>
      <tp t="s">
        <v>#N/A Requesting Data...4118240372</v>
        <stp/>
        <stp>BDP|2461228998282032937</stp>
        <tr r="P45" s="2"/>
      </tp>
      <tp t="s">
        <v>#N/A Requesting Data...3880868871</v>
        <stp/>
        <stp>BDP|7149361151430208399</stp>
        <tr r="K1423" s="2"/>
      </tp>
      <tp t="s">
        <v>#N/A Requesting Data...3835121765</v>
        <stp/>
        <stp>BDP|7915150204070683431</stp>
        <tr r="H1896" s="2"/>
      </tp>
      <tp t="s">
        <v>#N/A Requesting Data...3139353713</v>
        <stp/>
        <stp>BDP|5199231530005892379</stp>
        <tr r="Q789" s="2"/>
      </tp>
      <tp t="s">
        <v>#N/A Requesting Data...3185631053</v>
        <stp/>
        <stp>BDP|7894707014081534245</stp>
        <tr r="G2246" s="2"/>
      </tp>
      <tp t="s">
        <v>#N/A Requesting Data...3434189428</v>
        <stp/>
        <stp>BDP|6438679777731145481</stp>
        <tr r="O1750" s="2"/>
      </tp>
      <tp t="s">
        <v>#N/A Requesting Data...3588184929</v>
        <stp/>
        <stp>BDP|6075072041750213098</stp>
        <tr r="R6" s="2"/>
      </tp>
      <tp t="s">
        <v>#N/A Requesting Data...4016248089</v>
        <stp/>
        <stp>BDP|3579291820431703068</stp>
        <tr r="S2192" s="2"/>
      </tp>
      <tp t="s">
        <v>#N/A Requesting Data...3993436206</v>
        <stp/>
        <stp>BDP|1259548647456568495</stp>
        <tr r="A139" s="2"/>
      </tp>
      <tp t="s">
        <v>#N/A Requesting Data...3571290971</v>
        <stp/>
        <stp>BDP|3536821998646264608</stp>
        <tr r="G1711" s="2"/>
      </tp>
      <tp t="s">
        <v>#N/A Requesting Data...3393994984</v>
        <stp/>
        <stp>BDP|7378664037726975669</stp>
        <tr r="R831" s="2"/>
      </tp>
      <tp t="s">
        <v>#N/A Requesting Data...4221455805</v>
        <stp/>
        <stp>BDP|2841617972369537839</stp>
        <tr r="A76" s="2"/>
      </tp>
      <tp t="s">
        <v>#N/A Requesting Data...3775672956</v>
        <stp/>
        <stp>BDP|8648800627149993956</stp>
        <tr r="H1139" s="2"/>
      </tp>
      <tp t="s">
        <v>#N/A Requesting Data...4012895730</v>
        <stp/>
        <stp>BDP|3300799057195342636</stp>
        <tr r="N1462" s="2"/>
      </tp>
      <tp t="s">
        <v>#N/A Requesting Data...3490690837</v>
        <stp/>
        <stp>BDP|2590796836042008672</stp>
        <tr r="P563" s="2"/>
      </tp>
      <tp t="s">
        <v>#N/A Requesting Data...3807497399</v>
        <stp/>
        <stp>BDP|2600229464180858450</stp>
        <tr r="D351" s="2"/>
      </tp>
      <tp t="s">
        <v>#N/A Requesting Data...3473863054</v>
        <stp/>
        <stp>BDP|8326115959429569738</stp>
        <tr r="A501" s="2"/>
      </tp>
      <tp t="s">
        <v>#N/A Requesting Data...4096763892</v>
        <stp/>
        <stp>BDP|8520879977184057182</stp>
        <tr r="D2471" s="2"/>
      </tp>
      <tp t="s">
        <v>#N/A Requesting Data...3291566059</v>
        <stp/>
        <stp>BDP|8735993315330572239</stp>
        <tr r="C65" s="2"/>
      </tp>
      <tp t="s">
        <v>#N/A Requesting Data...4173464146</v>
        <stp/>
        <stp>BDP|6020696278244998152</stp>
        <tr r="D1867" s="2"/>
      </tp>
      <tp t="s">
        <v>#N/A Requesting Data...3889034238</v>
        <stp/>
        <stp>BDP|6892028900147057378</stp>
        <tr r="O1389" s="2"/>
      </tp>
      <tp t="s">
        <v>#N/A Requesting Data...4128801246</v>
        <stp/>
        <stp>BDP|6438457324807172596</stp>
        <tr r="G1414" s="2"/>
      </tp>
      <tp t="s">
        <v>#N/A Requesting Data...3265198777</v>
        <stp/>
        <stp>BDP|1089555178529540851</stp>
        <tr r="N1296" s="2"/>
      </tp>
      <tp t="s">
        <v>#N/A Requesting Data...4254006660</v>
        <stp/>
        <stp>BDP|6800177632791789774</stp>
        <tr r="Q2198" s="2"/>
      </tp>
      <tp t="s">
        <v>#N/A Requesting Data...3460905665</v>
        <stp/>
        <stp>BDP|8717311952298981406</stp>
        <tr r="R372" s="2"/>
      </tp>
      <tp t="s">
        <v>#N/A Requesting Data...4003925127</v>
        <stp/>
        <stp>BDP|8993980448227563011</stp>
        <tr r="T196" s="2"/>
      </tp>
      <tp t="s">
        <v>#N/A Requesting Data...3859255274</v>
        <stp/>
        <stp>BDP|2689651954053815024</stp>
        <tr r="J1468" s="2"/>
      </tp>
      <tp t="s">
        <v>#N/A Requesting Data...3583884205</v>
        <stp/>
        <stp>BDP|7711325468327585753</stp>
        <tr r="O977" s="2"/>
      </tp>
      <tp t="s">
        <v>#N/A Requesting Data...3286050955</v>
        <stp/>
        <stp>BDP|8652037618452292923</stp>
        <tr r="E1284" s="2"/>
      </tp>
      <tp t="s">
        <v>#N/A Requesting Data...4143914025</v>
        <stp/>
        <stp>BDP|8680524089542217524</stp>
        <tr r="C2215" s="2"/>
      </tp>
      <tp t="s">
        <v>#N/A Requesting Data...4178102724</v>
        <stp/>
        <stp>BDP|6686242173021939056</stp>
        <tr r="E335" s="2"/>
      </tp>
      <tp t="b">
        <v>0</v>
        <stp/>
        <stp>BDS|5906646426783792014</stp>
        <tr r="I2159" s="2"/>
      </tp>
      <tp t="s">
        <v>#N/A Requesting Data...4189611115</v>
        <stp/>
        <stp>BDP|4027227107933030781</stp>
        <tr r="M352" s="2"/>
      </tp>
      <tp t="s">
        <v>#N/A Requesting Data...3715392856</v>
        <stp/>
        <stp>BDP|3234660647235770698</stp>
        <tr r="T2101" s="2"/>
      </tp>
      <tp t="s">
        <v>#N/A Requesting Data...4254262175</v>
        <stp/>
        <stp>BDP|6896654108651868303</stp>
        <tr r="G1030" s="2"/>
      </tp>
      <tp t="s">
        <v>#N/A Requesting Data...4100881375</v>
        <stp/>
        <stp>BDP|9812952345414525204</stp>
        <tr r="T920" s="2"/>
      </tp>
      <tp t="s">
        <v>#N/A Requesting Data...3439478626</v>
        <stp/>
        <stp>BDP|7064211311104511286</stp>
        <tr r="Q236" s="2"/>
      </tp>
      <tp t="s">
        <v>#N/A Requesting Data...3673468183</v>
        <stp/>
        <stp>BDP|3522094904033458212</stp>
        <tr r="D2135" s="2"/>
      </tp>
      <tp t="s">
        <v>#N/A Requesting Data...3527149925</v>
        <stp/>
        <stp>BDP|7755107010737253280</stp>
        <tr r="R2530" s="2"/>
      </tp>
      <tp t="s">
        <v>#N/A Requesting Data...4104545845</v>
        <stp/>
        <stp>BDP|2118859874887959845</stp>
        <tr r="C844" s="2"/>
      </tp>
      <tp t="s">
        <v>#N/A Requesting Data...4079922092</v>
        <stp/>
        <stp>BDP|4302595217172715075</stp>
        <tr r="Q379" s="2"/>
      </tp>
      <tp t="s">
        <v>#N/A Requesting Data...3951865265</v>
        <stp/>
        <stp>BDP|5074492921795407412</stp>
        <tr r="H719" s="2"/>
      </tp>
      <tp t="s">
        <v>#N/A Requesting Data...3905689350</v>
        <stp/>
        <stp>BDP|1968132622147333766</stp>
        <tr r="K1895" s="2"/>
      </tp>
      <tp t="s">
        <v>#N/A Requesting Data...4225802207</v>
        <stp/>
        <stp>BDP|9378539586624816239</stp>
        <tr r="H2498" s="2"/>
      </tp>
      <tp t="s">
        <v>#N/A Requesting Data...3364524160</v>
        <stp/>
        <stp>BDP|1170880095494902683</stp>
        <tr r="K865" s="2"/>
      </tp>
      <tp t="s">
        <v>#N/A Requesting Data...3331278536</v>
        <stp/>
        <stp>BDP|8002041000083921903</stp>
        <tr r="D2115" s="2"/>
      </tp>
      <tp t="s">
        <v>#N/A Requesting Data...3955011536</v>
        <stp/>
        <stp>BDP|2483645551521420289</stp>
        <tr r="H2127" s="2"/>
      </tp>
      <tp t="s">
        <v>#N/A Requesting Data...3835575341</v>
        <stp/>
        <stp>BDP|2971456308513867711</stp>
        <tr r="T1578" s="2"/>
      </tp>
      <tp t="s">
        <v>#N/A Requesting Data...3454613379</v>
        <stp/>
        <stp>BDP|3783042575610362689</stp>
        <tr r="C895" s="2"/>
      </tp>
      <tp t="s">
        <v>#N/A Requesting Data...3581846721</v>
        <stp/>
        <stp>BDP|1183258677921935779</stp>
        <tr r="F1879" s="2"/>
      </tp>
      <tp t="s">
        <v>#N/A Requesting Data...3947616720</v>
        <stp/>
        <stp>BDP|1601594021073504767</stp>
        <tr r="M2460" s="2"/>
      </tp>
      <tp t="s">
        <v>#N/A Requesting Data...4184457167</v>
        <stp/>
        <stp>BDP|2518431559706767752</stp>
        <tr r="Q211" s="2"/>
      </tp>
      <tp t="s">
        <v>#N/A Requesting Data...3631684948</v>
        <stp/>
        <stp>BDP|6643706456762445493</stp>
        <tr r="S833" s="2"/>
      </tp>
      <tp t="s">
        <v>#N/A Requesting Data...3972829998</v>
        <stp/>
        <stp>BDP|5345993048048734286</stp>
        <tr r="O231" s="2"/>
      </tp>
      <tp t="s">
        <v>#N/A Requesting Data...3898208796</v>
        <stp/>
        <stp>BDP|5630589073972015700</stp>
        <tr r="M1581" s="2"/>
      </tp>
      <tp t="s">
        <v>#N/A Requesting Data...3562032232</v>
        <stp/>
        <stp>BDP|8306157689755616643</stp>
        <tr r="S494" s="2"/>
      </tp>
      <tp t="s">
        <v>#N/A Requesting Data...3845292910</v>
        <stp/>
        <stp>BDP|7879907950778639136</stp>
        <tr r="K2402" s="2"/>
      </tp>
      <tp t="s">
        <v>#N/A Requesting Data...3792485880</v>
        <stp/>
        <stp>BDP|9611982296112798929</stp>
        <tr r="T459" s="2"/>
      </tp>
      <tp t="s">
        <v>#N/A Requesting Data...3638900882</v>
        <stp/>
        <stp>BDP|1330061110250811204</stp>
        <tr r="S1009" s="2"/>
      </tp>
      <tp t="s">
        <v>#N/A Requesting Data...3677717763</v>
        <stp/>
        <stp>BDP|9109965951072982528</stp>
        <tr r="E1940" s="2"/>
      </tp>
      <tp t="s">
        <v>#N/A Requesting Data...3936944810</v>
        <stp/>
        <stp>BDP|3584880590949467942</stp>
        <tr r="Q802" s="2"/>
      </tp>
      <tp t="s">
        <v>#N/A Requesting Data...4218023338</v>
        <stp/>
        <stp>BDP|7747185820947549179</stp>
        <tr r="T2188" s="2"/>
      </tp>
      <tp t="s">
        <v>#N/A Requesting Data...4016033786</v>
        <stp/>
        <stp>BDP|3869292193599752381</stp>
        <tr r="O1147" s="2"/>
      </tp>
      <tp t="s">
        <v>#N/A Requesting Data...3496888374</v>
        <stp/>
        <stp>BDP|5079099261980340166</stp>
        <tr r="J1853" s="2"/>
      </tp>
      <tp t="s">
        <v>#N/A Requesting Data...3340398035</v>
        <stp/>
        <stp>BDP|4834052649273819117</stp>
        <tr r="D306" s="2"/>
      </tp>
      <tp t="s">
        <v>#N/A Requesting Data...3295951864</v>
        <stp/>
        <stp>BDP|3256174423131208395</stp>
        <tr r="G2156" s="2"/>
      </tp>
      <tp t="s">
        <v>#N/A Requesting Data...3696546256</v>
        <stp/>
        <stp>BDP|5945077885527635800</stp>
        <tr r="K2381" s="2"/>
      </tp>
      <tp t="s">
        <v>#N/A Requesting Data...3846055580</v>
        <stp/>
        <stp>BDP|7589637868331696451</stp>
        <tr r="T963" s="2"/>
      </tp>
      <tp t="s">
        <v>#N/A Requesting Data...3825649955</v>
        <stp/>
        <stp>BDP|2675870654478815506</stp>
        <tr r="H1945" s="2"/>
      </tp>
      <tp t="s">
        <v>#N/A Requesting Data...3307192102</v>
        <stp/>
        <stp>BDP|3356765579724663575</stp>
        <tr r="H654" s="2"/>
      </tp>
      <tp t="s">
        <v>#N/A Requesting Data...3383650881</v>
        <stp/>
        <stp>BDP|6494481170807358021</stp>
        <tr r="Q1603" s="2"/>
      </tp>
      <tp t="s">
        <v>#N/A Requesting Data...3860346980</v>
        <stp/>
        <stp>BDP|6912096968257643535</stp>
        <tr r="E1069" s="2"/>
      </tp>
      <tp t="s">
        <v>#N/A Requesting Data...3397853192</v>
        <stp/>
        <stp>BDP|1395097140393417438</stp>
        <tr r="C1248" s="2"/>
      </tp>
      <tp t="s">
        <v>#N/A Requesting Data...3579073638</v>
        <stp/>
        <stp>BDP|9974135053848356778</stp>
        <tr r="C776" s="2"/>
      </tp>
      <tp t="s">
        <v>#N/A Requesting Data...4190972559</v>
        <stp/>
        <stp>BDP|7901225203062547506</stp>
        <tr r="C1366" s="2"/>
      </tp>
      <tp t="s">
        <v>#N/A Requesting Data...3389891624</v>
        <stp/>
        <stp>BDP|1036598480397571918</stp>
        <tr r="C1866" s="2"/>
      </tp>
      <tp t="s">
        <v>#N/A Requesting Data...4040647097</v>
        <stp/>
        <stp>BDP|3449363827069100991</stp>
        <tr r="N1093" s="2"/>
      </tp>
      <tp t="s">
        <v>#N/A Requesting Data...4139855683</v>
        <stp/>
        <stp>BDP|9865883025853820209</stp>
        <tr r="R1947" s="2"/>
      </tp>
      <tp t="s">
        <v>#N/A Requesting Data...3419733977</v>
        <stp/>
        <stp>BDP|7439381060486800690</stp>
        <tr r="O2473" s="2"/>
      </tp>
      <tp t="s">
        <v>#N/A Requesting Data...3444526253</v>
        <stp/>
        <stp>BDP|2625781040721528260</stp>
        <tr r="E1495" s="2"/>
      </tp>
      <tp t="s">
        <v>#N/A Requesting Data...4004979242</v>
        <stp/>
        <stp>BDP|6899677397463353869</stp>
        <tr r="J1221" s="2"/>
      </tp>
      <tp t="s">
        <v>#N/A Requesting Data...4267599984</v>
        <stp/>
        <stp>BDP|9406939256351405673</stp>
        <tr r="O1588" s="2"/>
      </tp>
      <tp t="s">
        <v>#N/A Requesting Data...3995687563</v>
        <stp/>
        <stp>BDP|2660447642056405668</stp>
        <tr r="K1677" s="2"/>
      </tp>
      <tp t="s">
        <v>#N/A Requesting Data...3850897399</v>
        <stp/>
        <stp>BDP|4494333000445542003</stp>
        <tr r="H102" s="2"/>
      </tp>
      <tp t="s">
        <v>#N/A Requesting Data...4131603931</v>
        <stp/>
        <stp>BDP|4635119930311163546</stp>
        <tr r="H2064" s="2"/>
      </tp>
      <tp t="s">
        <v>#N/A Requesting Data...3562816930</v>
        <stp/>
        <stp>BDP|3421248421886638759</stp>
        <tr r="N778" s="2"/>
      </tp>
      <tp t="s">
        <v>#N/A Requesting Data...4112958935</v>
        <stp/>
        <stp>BDP|7634759410951925289</stp>
        <tr r="H2096" s="2"/>
      </tp>
      <tp t="s">
        <v>#N/A Requesting Data...3365274581</v>
        <stp/>
        <stp>BDP|1121031673864612052</stp>
        <tr r="K2525" s="2"/>
      </tp>
      <tp t="s">
        <v>#N/A Requesting Data...3906288818</v>
        <stp/>
        <stp>BDP|5120312706893132753</stp>
        <tr r="N2220" s="2"/>
      </tp>
      <tp t="s">
        <v>#N/A Requesting Data...3977123476</v>
        <stp/>
        <stp>BDP|6103147172864228675</stp>
        <tr r="J1529" s="2"/>
      </tp>
      <tp t="s">
        <v>#N/A Requesting Data...3564202108</v>
        <stp/>
        <stp>BDP|2942371992823914974</stp>
        <tr r="D1363" s="2"/>
      </tp>
      <tp t="s">
        <v>#N/A Requesting Data...4244878007</v>
        <stp/>
        <stp>BDP|1021385963030980607</stp>
        <tr r="Q216" s="2"/>
      </tp>
      <tp t="s">
        <v>#N/A Requesting Data...3842737000</v>
        <stp/>
        <stp>BDP|1499920785125678774</stp>
        <tr r="A2340" s="2"/>
      </tp>
      <tp t="s">
        <v>#N/A Requesting Data...4042877612</v>
        <stp/>
        <stp>BDP|7431941846451481905</stp>
        <tr r="F461" s="2"/>
      </tp>
      <tp t="s">
        <v>#N/A Requesting Data...4051949022</v>
        <stp/>
        <stp>BDP|8467941277953374763</stp>
        <tr r="G1958" s="2"/>
      </tp>
      <tp t="s">
        <v>#N/A Requesting Data...3450715675</v>
        <stp/>
        <stp>BDP|7365344995198407749</stp>
        <tr r="D793" s="2"/>
      </tp>
      <tp t="s">
        <v>#N/A Requesting Data...4193780351</v>
        <stp/>
        <stp>BDP|2288159100444595506</stp>
        <tr r="H344" s="2"/>
      </tp>
      <tp t="s">
        <v>#N/A Requesting Data...4158195817</v>
        <stp/>
        <stp>BDP|3473542095145683811</stp>
        <tr r="T2061" s="2"/>
      </tp>
      <tp t="s">
        <v>#N/A Requesting Data...4164244175</v>
        <stp/>
        <stp>BDP|3317148001263616327</stp>
        <tr r="E1023" s="2"/>
      </tp>
      <tp t="s">
        <v>#N/A Requesting Data...4224090425</v>
        <stp/>
        <stp>BDP|5029273464880045310</stp>
        <tr r="K1818" s="2"/>
      </tp>
      <tp t="s">
        <v>#N/A Requesting Data...3935519776</v>
        <stp/>
        <stp>BDP|8454837341342551419</stp>
        <tr r="K1412" s="2"/>
      </tp>
      <tp t="s">
        <v>#N/A Requesting Data...4013832791</v>
        <stp/>
        <stp>BDP|5317637023780990385</stp>
        <tr r="P732" s="2"/>
      </tp>
      <tp t="s">
        <v>#N/A Requesting Data...3561470968</v>
        <stp/>
        <stp>BDP|2991737202781823626</stp>
        <tr r="E1659" s="2"/>
      </tp>
      <tp t="b">
        <v>0</v>
        <stp/>
        <stp>BDS|6197606975276062365</stp>
        <tr r="I2096" s="2"/>
      </tp>
      <tp t="s">
        <v>#N/A Requesting Data...3945084153</v>
        <stp/>
        <stp>BDP|1727376377721562609</stp>
        <tr r="N1071" s="2"/>
      </tp>
      <tp t="s">
        <v>#N/A Requesting Data...3646820048</v>
        <stp/>
        <stp>BDP|1383753787089729545</stp>
        <tr r="P2253" s="2"/>
      </tp>
      <tp t="b">
        <v>0</v>
        <stp/>
        <stp>BDS|3765371610133300019</stp>
        <tr r="I651" s="2"/>
      </tp>
      <tp t="s">
        <v>#N/A Requesting Data...4032747730</v>
        <stp/>
        <stp>BDP|6360511947955231051</stp>
        <tr r="A2026" s="2"/>
      </tp>
      <tp t="s">
        <v>#N/A Requesting Data...3491879479</v>
        <stp/>
        <stp>BDP|1813522935880919546</stp>
        <tr r="N555" s="2"/>
      </tp>
      <tp t="s">
        <v>#N/A Requesting Data...4233037042</v>
        <stp/>
        <stp>BDP|1747214716454321419</stp>
        <tr r="R1526" s="2"/>
      </tp>
      <tp t="s">
        <v>#N/A Requesting Data...3701016959</v>
        <stp/>
        <stp>BDP|5934560000346594486</stp>
        <tr r="O2212" s="2"/>
      </tp>
      <tp t="s">
        <v>#N/A Requesting Data...4239557587</v>
        <stp/>
        <stp>BDP|6642375062510883193</stp>
        <tr r="C1824" s="2"/>
      </tp>
      <tp t="s">
        <v>#N/A Requesting Data...3545797105</v>
        <stp/>
        <stp>BDP|9000877023867376657</stp>
        <tr r="F1353" s="2"/>
      </tp>
      <tp t="s">
        <v>#N/A Requesting Data...3653220937</v>
        <stp/>
        <stp>BDP|6793863292686107303</stp>
        <tr r="M1059" s="2"/>
      </tp>
      <tp t="s">
        <v>#N/A Requesting Data...4049869049</v>
        <stp/>
        <stp>BDP|1237093328982559342</stp>
        <tr r="J1021" s="2"/>
      </tp>
      <tp t="s">
        <v>#N/A Requesting Data...3434487627</v>
        <stp/>
        <stp>BDP|9415313555209680446</stp>
        <tr r="E438" s="2"/>
      </tp>
      <tp t="s">
        <v>#N/A Requesting Data...4259208658</v>
        <stp/>
        <stp>BDP|3564702600427271159</stp>
        <tr r="R436" s="2"/>
      </tp>
      <tp t="s">
        <v>#N/A Requesting Data...3731314623</v>
        <stp/>
        <stp>BDP|2363186058763986781</stp>
        <tr r="N1079" s="2"/>
      </tp>
      <tp t="s">
        <v>#N/A Requesting Data...4247285279</v>
        <stp/>
        <stp>BDP|7481920500584054846</stp>
        <tr r="A873" s="2"/>
      </tp>
      <tp t="s">
        <v>#N/A Requesting Data...3761079830</v>
        <stp/>
        <stp>BDP|8301570147329259238</stp>
        <tr r="P2382" s="2"/>
      </tp>
      <tp t="b">
        <v>0</v>
        <stp/>
        <stp>BDS|8146455684523676541</stp>
        <tr r="I1576" s="2"/>
      </tp>
      <tp t="s">
        <v>#N/A Requesting Data...3795192027</v>
        <stp/>
        <stp>BDP|6429067942525714550</stp>
        <tr r="G1572" s="2"/>
      </tp>
      <tp t="s">
        <v>#N/A Requesting Data...4224060699</v>
        <stp/>
        <stp>BDP|8619366985952475338</stp>
        <tr r="N1647" s="2"/>
      </tp>
      <tp t="s">
        <v>#N/A Requesting Data...3601316995</v>
        <stp/>
        <stp>BDP|4513878289242127488</stp>
        <tr r="M257" s="2"/>
      </tp>
      <tp t="s">
        <v>#N/A Requesting Data...4179708200</v>
        <stp/>
        <stp>BDP|1655844632371657946</stp>
        <tr r="D1340" s="2"/>
      </tp>
      <tp t="s">
        <v>#N/A Requesting Data...3679023900</v>
        <stp/>
        <stp>BDP|7634451877006670004</stp>
        <tr r="K2028" s="2"/>
      </tp>
      <tp t="s">
        <v>#N/A Requesting Data...3691749345</v>
        <stp/>
        <stp>BDP|9775441410888584647</stp>
        <tr r="H1382" s="2"/>
      </tp>
      <tp t="s">
        <v>#N/A Requesting Data...4083206255</v>
        <stp/>
        <stp>BDP|9951906705701638386</stp>
        <tr r="E648" s="2"/>
      </tp>
      <tp t="s">
        <v>#N/A Requesting Data...4029141446</v>
        <stp/>
        <stp>BDP|6275141808121466480</stp>
        <tr r="J574" s="2"/>
      </tp>
      <tp t="s">
        <v>#N/A Requesting Data...3734101926</v>
        <stp/>
        <stp>BDP|1285263069724790385</stp>
        <tr r="D332" s="2"/>
      </tp>
      <tp t="s">
        <v>#N/A Requesting Data...3960567104</v>
        <stp/>
        <stp>BDP|8200942727508068931</stp>
        <tr r="Q1913" s="2"/>
      </tp>
      <tp t="s">
        <v>#N/A Requesting Data...3797303731</v>
        <stp/>
        <stp>BDP|8913843439270209140</stp>
        <tr r="F1128" s="2"/>
      </tp>
      <tp t="s">
        <v>#N/A Requesting Data...4233615523</v>
        <stp/>
        <stp>BDP|3915615377694974445</stp>
        <tr r="M2136" s="2"/>
      </tp>
      <tp t="s">
        <v>#N/A Requesting Data...3647670569</v>
        <stp/>
        <stp>BDP|2696398989092561914</stp>
        <tr r="N914" s="2"/>
      </tp>
      <tp t="s">
        <v>#N/A Requesting Data...4148168774</v>
        <stp/>
        <stp>BDP|5537474106361360251</stp>
        <tr r="M653" s="2"/>
      </tp>
      <tp t="s">
        <v>#N/A Requesting Data...3491605982</v>
        <stp/>
        <stp>BDP|1004877745526892988</stp>
        <tr r="D1357" s="2"/>
      </tp>
      <tp t="s">
        <v>#N/A Requesting Data...4270964217</v>
        <stp/>
        <stp>BDP|7269750061043653720</stp>
        <tr r="P2086" s="2"/>
      </tp>
      <tp t="s">
        <v>#N/A Requesting Data...3723492768</v>
        <stp/>
        <stp>BDP|2245257936391241016</stp>
        <tr r="D742" s="2"/>
      </tp>
      <tp t="b">
        <v>0</v>
        <stp/>
        <stp>BDS|1156779484295099906</stp>
        <tr r="I2030" s="2"/>
      </tp>
      <tp t="s">
        <v>#N/A Requesting Data...3736435183</v>
        <stp/>
        <stp>BDP|1640300270283502414</stp>
        <tr r="J1802" s="2"/>
      </tp>
      <tp t="s">
        <v>#N/A Requesting Data...3497704710</v>
        <stp/>
        <stp>BDP|1043448070364291443</stp>
        <tr r="O1469" s="2"/>
      </tp>
      <tp t="s">
        <v>#N/A Requesting Data...4210691799</v>
        <stp/>
        <stp>BDP|4611729674223162539</stp>
        <tr r="O2180" s="2"/>
      </tp>
      <tp t="s">
        <v>#N/A Requesting Data...3878386509</v>
        <stp/>
        <stp>BDP|1347881992570818234</stp>
        <tr r="N2212" s="2"/>
      </tp>
      <tp t="s">
        <v>#N/A Requesting Data...3503451734</v>
        <stp/>
        <stp>BDP|2346894183916988624</stp>
        <tr r="H2501" s="2"/>
      </tp>
      <tp t="s">
        <v>#N/A Requesting Data...3753916948</v>
        <stp/>
        <stp>BDP|9690771190860469573</stp>
        <tr r="E256" s="2"/>
      </tp>
      <tp t="b">
        <v>0</v>
        <stp/>
        <stp>BDS|8291447039679898457</stp>
        <tr r="I1902" s="2"/>
      </tp>
      <tp t="s">
        <v>#N/A Requesting Data...3919377657</v>
        <stp/>
        <stp>BDP|5146348827432954498</stp>
        <tr r="J695" s="2"/>
      </tp>
      <tp t="s">
        <v>#N/A Requesting Data...4212007198</v>
        <stp/>
        <stp>BDP|5498936038294505989</stp>
        <tr r="H159" s="2"/>
      </tp>
      <tp t="s">
        <v>#N/A Requesting Data...3520966126</v>
        <stp/>
        <stp>BDP|9073887250173916534</stp>
        <tr r="S766" s="2"/>
      </tp>
      <tp t="s">
        <v>#N/A Requesting Data...3826334130</v>
        <stp/>
        <stp>BDP|5592141466038789824</stp>
        <tr r="P1450" s="2"/>
      </tp>
      <tp t="s">
        <v>#N/A Requesting Data...3790578046</v>
        <stp/>
        <stp>BDP|1777124857864176318</stp>
        <tr r="O2466" s="2"/>
      </tp>
      <tp t="s">
        <v>#N/A Requesting Data...3791142018</v>
        <stp/>
        <stp>BDP|8586896825762297294</stp>
        <tr r="G1476" s="2"/>
      </tp>
      <tp t="s">
        <v>#N/A Requesting Data...3736131368</v>
        <stp/>
        <stp>BDP|4250192318812588443</stp>
        <tr r="O718" s="2"/>
      </tp>
      <tp t="s">
        <v>#N/A Requesting Data...4255999185</v>
        <stp/>
        <stp>BDP|1875287176013621525</stp>
        <tr r="G2454" s="2"/>
      </tp>
      <tp t="s">
        <v>#N/A Requesting Data...3891295786</v>
        <stp/>
        <stp>BDP|9701383177738972734</stp>
        <tr r="M1504" s="2"/>
      </tp>
      <tp t="s">
        <v>#N/A Requesting Data...3637130025</v>
        <stp/>
        <stp>BDP|3643649167874377545</stp>
        <tr r="O21" s="2"/>
      </tp>
      <tp t="s">
        <v>#N/A Requesting Data...4277494652</v>
        <stp/>
        <stp>BDP|2207045605500102007</stp>
        <tr r="T2110" s="2"/>
      </tp>
      <tp t="s">
        <v>#N/A Requesting Data...3991197862</v>
        <stp/>
        <stp>BDP|3461991508741503927</stp>
        <tr r="J2379" s="2"/>
      </tp>
      <tp t="s">
        <v>#N/A Requesting Data...3958898815</v>
        <stp/>
        <stp>BDP|3210866942535625827</stp>
        <tr r="D30" s="2"/>
      </tp>
      <tp t="s">
        <v>#N/A Requesting Data...4008731775</v>
        <stp/>
        <stp>BDP|1219147004260204223</stp>
        <tr r="E2325" s="2"/>
      </tp>
      <tp t="s">
        <v>#N/A Requesting Data...4182309245</v>
        <stp/>
        <stp>BDP|7521091400464957174</stp>
        <tr r="A1831" s="2"/>
      </tp>
      <tp t="b">
        <v>0</v>
        <stp/>
        <stp>BDS|4640652635237522413</stp>
        <tr r="I697" s="2"/>
      </tp>
      <tp t="s">
        <v>#N/A Requesting Data...3623124655</v>
        <stp/>
        <stp>BDP|2473722266219090828</stp>
        <tr r="F1674" s="2"/>
      </tp>
      <tp t="s">
        <v>#N/A Requesting Data...3809425928</v>
        <stp/>
        <stp>BDP|6396951208919524495</stp>
        <tr r="S1744" s="2"/>
      </tp>
      <tp t="s">
        <v>#N/A Requesting Data...4020382554</v>
        <stp/>
        <stp>BDP|9659623694651347512</stp>
        <tr r="T1246" s="2"/>
      </tp>
      <tp t="s">
        <v>#N/A Requesting Data...3811301692</v>
        <stp/>
        <stp>BDP|9479878878275939108</stp>
        <tr r="D582" s="2"/>
      </tp>
      <tp t="s">
        <v>#N/A Requesting Data...3861699121</v>
        <stp/>
        <stp>BDP|4774081812462852571</stp>
        <tr r="S2247" s="2"/>
      </tp>
      <tp t="s">
        <v>#N/A Requesting Data...4126652597</v>
        <stp/>
        <stp>BDP|2572483913483809646</stp>
        <tr r="N223" s="2"/>
      </tp>
      <tp t="s">
        <v>#N/A Requesting Data...3952677986</v>
        <stp/>
        <stp>BDP|3326535175275091665</stp>
        <tr r="Q361" s="2"/>
      </tp>
      <tp t="s">
        <v>#N/A Requesting Data...4027801685</v>
        <stp/>
        <stp>BDP|7323000625561161648</stp>
        <tr r="A376" s="2"/>
      </tp>
      <tp t="s">
        <v>#N/A Requesting Data...3799166595</v>
        <stp/>
        <stp>BDP|6593065935075601235</stp>
        <tr r="A2234" s="2"/>
      </tp>
      <tp t="s">
        <v>#N/A Requesting Data...4264499676</v>
        <stp/>
        <stp>BDP|2776671224127098377</stp>
        <tr r="K61" s="2"/>
      </tp>
      <tp t="s">
        <v>#N/A Requesting Data...3837632146</v>
        <stp/>
        <stp>BDP|5422084269428027968</stp>
        <tr r="K1235" s="2"/>
      </tp>
      <tp t="s">
        <v>#N/A Requesting Data...4211246430</v>
        <stp/>
        <stp>BDP|2230174060857516036</stp>
        <tr r="F2303" s="2"/>
      </tp>
      <tp t="s">
        <v>#N/A Requesting Data...3730893806</v>
        <stp/>
        <stp>BDP|6252671929561990160</stp>
        <tr r="M57" s="2"/>
      </tp>
      <tp t="s">
        <v>#N/A Requesting Data...3788204030</v>
        <stp/>
        <stp>BDP|7159605133820475057</stp>
        <tr r="T136" s="2"/>
      </tp>
      <tp t="s">
        <v>#N/A Requesting Data...3818747073</v>
        <stp/>
        <stp>BDP|8214691819838500540</stp>
        <tr r="M2174" s="2"/>
      </tp>
      <tp t="s">
        <v>#N/A Requesting Data...4179501833</v>
        <stp/>
        <stp>BDP|2175248239227921664</stp>
        <tr r="H2385" s="2"/>
      </tp>
      <tp t="s">
        <v>#N/A Requesting Data...3692506101</v>
        <stp/>
        <stp>BDP|2239978785896102728</stp>
        <tr r="A77" s="2"/>
      </tp>
      <tp t="s">
        <v>#N/A Requesting Data...3824983305</v>
        <stp/>
        <stp>BDP|2224171641856110361</stp>
        <tr r="H1529" s="2"/>
      </tp>
      <tp t="s">
        <v>#N/A Requesting Data...3713369200</v>
        <stp/>
        <stp>BDP|4169112635884670000</stp>
        <tr r="S867" s="2"/>
      </tp>
      <tp t="s">
        <v>#N/A Requesting Data...4288963805</v>
        <stp/>
        <stp>BDP|3043423036440297651</stp>
        <tr r="J877" s="2"/>
      </tp>
      <tp t="s">
        <v>#N/A Requesting Data...3834980844</v>
        <stp/>
        <stp>BDP|7796602980142398978</stp>
        <tr r="T2356" s="2"/>
      </tp>
      <tp t="s">
        <v>#N/A Requesting Data...4153502456</v>
        <stp/>
        <stp>BDP|7049643600972256150</stp>
        <tr r="C1301" s="2"/>
      </tp>
      <tp t="s">
        <v>#N/A Requesting Data...4227658296</v>
        <stp/>
        <stp>BDP|3890951842675437986</stp>
        <tr r="A1080" s="2"/>
      </tp>
      <tp t="s">
        <v>#N/A Requesting Data...3777731279</v>
        <stp/>
        <stp>BDP|8533259297696242763</stp>
        <tr r="E1457" s="2"/>
      </tp>
      <tp t="s">
        <v>#N/A Requesting Data...4192049539</v>
        <stp/>
        <stp>BDP|3533345001711396302</stp>
        <tr r="T2361" s="2"/>
      </tp>
      <tp t="s">
        <v>#N/A Requesting Data...3730174154</v>
        <stp/>
        <stp>BDP|5636234476033396134</stp>
        <tr r="C105" s="2"/>
      </tp>
      <tp t="s">
        <v>#N/A Requesting Data...3773003105</v>
        <stp/>
        <stp>BDP|8082734765243453811</stp>
        <tr r="G2134" s="2"/>
      </tp>
      <tp t="s">
        <v>#N/A Requesting Data...3790033764</v>
        <stp/>
        <stp>BDP|1030805817832772833</stp>
        <tr r="A1490" s="2"/>
      </tp>
      <tp t="s">
        <v>#N/A Requesting Data...4051693819</v>
        <stp/>
        <stp>BDP|4433627302425383545</stp>
        <tr r="O1261" s="2"/>
      </tp>
      <tp t="s">
        <v>#N/A Requesting Data...3982983616</v>
        <stp/>
        <stp>BDP|5333245626311706658</stp>
        <tr r="M318" s="2"/>
      </tp>
      <tp t="s">
        <v>#N/A Requesting Data...3792762928</v>
        <stp/>
        <stp>BDP|3939343419227760409</stp>
        <tr r="T1892" s="2"/>
      </tp>
      <tp t="s">
        <v>#N/A Requesting Data...4193884900</v>
        <stp/>
        <stp>BDP|7306007400844743177</stp>
        <tr r="N2256" s="2"/>
      </tp>
      <tp t="s">
        <v>#N/A Requesting Data...3713354617</v>
        <stp/>
        <stp>BDP|1058374962922654401</stp>
        <tr r="M2175" s="2"/>
      </tp>
      <tp t="s">
        <v>#N/A Requesting Data...4017899828</v>
        <stp/>
        <stp>BDP|3806606350130991222</stp>
        <tr r="G2416" s="2"/>
      </tp>
      <tp t="s">
        <v>#N/A Requesting Data...4007553023</v>
        <stp/>
        <stp>BDP|5217802330725311929</stp>
        <tr r="R860" s="2"/>
      </tp>
      <tp t="s">
        <v>#N/A Requesting Data...4116714289</v>
        <stp/>
        <stp>BDP|5622327046900225032</stp>
        <tr r="M1905" s="2"/>
      </tp>
      <tp t="s">
        <v>#N/A Requesting Data...3749717133</v>
        <stp/>
        <stp>BDP|3262239900981293203</stp>
        <tr r="P1632" s="2"/>
      </tp>
      <tp t="b">
        <v>0</v>
        <stp/>
        <stp>BDS|3357684742711813228</stp>
        <tr r="I1085" s="2"/>
      </tp>
      <tp t="s">
        <v>#N/A Requesting Data...4185665610</v>
        <stp/>
        <stp>BDP|5506109211617416032</stp>
        <tr r="G1413" s="2"/>
      </tp>
      <tp t="s">
        <v>#N/A Requesting Data...4111968809</v>
        <stp/>
        <stp>BDP|5785543306194417627</stp>
        <tr r="C1043" s="2"/>
      </tp>
      <tp t="s">
        <v>#N/A Requesting Data...4001246367</v>
        <stp/>
        <stp>BDP|9931977888058685230</stp>
        <tr r="M2212" s="2"/>
      </tp>
      <tp t="s">
        <v>#N/A Requesting Data...4260769872</v>
        <stp/>
        <stp>BDP|5585279713950106437</stp>
        <tr r="O312" s="2"/>
      </tp>
      <tp t="s">
        <v>#N/A Requesting Data...4096514700</v>
        <stp/>
        <stp>BDP|1403409445510215302</stp>
        <tr r="E122" s="2"/>
      </tp>
      <tp t="s">
        <v>#N/A Requesting Data...3814984065</v>
        <stp/>
        <stp>BDP|6306546093558250059</stp>
        <tr r="G2292" s="2"/>
      </tp>
      <tp t="b">
        <v>0</v>
        <stp/>
        <stp>BDS|6733662571861706444</stp>
        <tr r="I1329" s="2"/>
      </tp>
      <tp t="s">
        <v>#N/A Requesting Data...4061603848</v>
        <stp/>
        <stp>BDP|2455703110761390746</stp>
        <tr r="S533" s="2"/>
      </tp>
      <tp t="s">
        <v>#N/A Requesting Data...3753571436</v>
        <stp/>
        <stp>BDP|2830974456095202989</stp>
        <tr r="N1608" s="2"/>
      </tp>
      <tp t="s">
        <v>#N/A Requesting Data...4051678098</v>
        <stp/>
        <stp>BDP|4664645366067140166</stp>
        <tr r="Q780" s="2"/>
      </tp>
      <tp t="s">
        <v>#N/A Requesting Data...4156509810</v>
        <stp/>
        <stp>BDP|1562004501392382148</stp>
        <tr r="F75" s="2"/>
      </tp>
      <tp t="s">
        <v>#N/A Requesting Data...4044198039</v>
        <stp/>
        <stp>BDP|7923685573133329725</stp>
        <tr r="S2323" s="2"/>
      </tp>
      <tp t="s">
        <v>#N/A Requesting Data...4138210507</v>
        <stp/>
        <stp>BDP|3240431159275279591</stp>
        <tr r="E1757" s="2"/>
      </tp>
      <tp t="s">
        <v>#N/A Requesting Data...4113985258</v>
        <stp/>
        <stp>BDP|6997000537463990444</stp>
        <tr r="M1811" s="2"/>
      </tp>
      <tp t="s">
        <v>#N/A Requesting Data...4121158175</v>
        <stp/>
        <stp>BDP|3745081430346973451</stp>
        <tr r="J724" s="2"/>
      </tp>
      <tp t="s">
        <v>#N/A Requesting Data...3902710145</v>
        <stp/>
        <stp>BDP|5614365448821945128</stp>
        <tr r="C1287" s="2"/>
      </tp>
      <tp t="s">
        <v>#N/A Requesting Data...3978866251</v>
        <stp/>
        <stp>BDP|6651445611764830584</stp>
        <tr r="C2188" s="2"/>
      </tp>
      <tp t="s">
        <v>#N/A Requesting Data...3939317000</v>
        <stp/>
        <stp>BDP|7101804494022415625</stp>
        <tr r="E2446" s="2"/>
      </tp>
      <tp t="s">
        <v>#N/A Requesting Data...3911183742</v>
        <stp/>
        <stp>BDP|9484490698093597531</stp>
        <tr r="E615" s="2"/>
      </tp>
      <tp t="s">
        <v>#N/A Requesting Data...3796042075</v>
        <stp/>
        <stp>BDP|3026639037984517023</stp>
        <tr r="F97" s="2"/>
      </tp>
      <tp t="s">
        <v>#N/A Requesting Data...4088967703</v>
        <stp/>
        <stp>BDP|4035468553032489523</stp>
        <tr r="P816" s="2"/>
      </tp>
      <tp t="s">
        <v>#N/A Requesting Data...4223328944</v>
        <stp/>
        <stp>BDP|1433462913212330410</stp>
        <tr r="N1500" s="2"/>
      </tp>
      <tp t="s">
        <v>#N/A Requesting Data...3845727230</v>
        <stp/>
        <stp>BDP|2351903479629937700</stp>
        <tr r="N1009" s="2"/>
      </tp>
      <tp t="s">
        <v>#N/A Requesting Data...4249732552</v>
        <stp/>
        <stp>BDP|7632593259021620431</stp>
        <tr r="H2164" s="2"/>
      </tp>
      <tp t="s">
        <v>#N/A Requesting Data...4238850762</v>
        <stp/>
        <stp>BDP|7736635747755128210</stp>
        <tr r="O957" s="2"/>
      </tp>
      <tp t="s">
        <v>#N/A Requesting Data...3868619886</v>
        <stp/>
        <stp>BDP|1588549572393759274</stp>
        <tr r="Q882" s="2"/>
      </tp>
      <tp t="s">
        <v>#N/A Requesting Data...3975725342</v>
        <stp/>
        <stp>BDP|1010511923427744363</stp>
        <tr r="M1979" s="2"/>
      </tp>
      <tp t="s">
        <v>#N/A Requesting Data...4148300219</v>
        <stp/>
        <stp>BDP|5199435415430684223</stp>
        <tr r="F1548" s="2"/>
      </tp>
      <tp t="s">
        <v>#N/A Requesting Data...3977517449</v>
        <stp/>
        <stp>BDP|4250277895994001939</stp>
        <tr r="E962" s="2"/>
      </tp>
      <tp t="s">
        <v>#N/A Requesting Data...3909930239</v>
        <stp/>
        <stp>BDP|1016410910245078326</stp>
        <tr r="Q2440" s="2"/>
      </tp>
      <tp t="s">
        <v>#N/A Requesting Data...3816237169</v>
        <stp/>
        <stp>BDP|4238335110677103332</stp>
        <tr r="Q198" s="2"/>
      </tp>
      <tp t="s">
        <v>#N/A Requesting Data...4236199884</v>
        <stp/>
        <stp>BDP|4609418767485599167</stp>
        <tr r="P1181" s="2"/>
      </tp>
      <tp t="s">
        <v>#N/A Requesting Data...3991793584</v>
        <stp/>
        <stp>BDP|4007178954827364534</stp>
        <tr r="K378" s="2"/>
      </tp>
      <tp t="s">
        <v>#N/A Requesting Data...4222275685</v>
        <stp/>
        <stp>BDP|8217771087990924589</stp>
        <tr r="J227" s="2"/>
      </tp>
      <tp t="b">
        <v>0</v>
        <stp/>
        <stp>BDS|1788744204866127257</stp>
        <tr r="I1675" s="2"/>
      </tp>
      <tp t="s">
        <v>#N/A Requesting Data...4108650986</v>
        <stp/>
        <stp>BDP|8653980674142164687</stp>
        <tr r="G2504" s="2"/>
      </tp>
      <tp t="s">
        <v>#N/A Requesting Data...3858492934</v>
        <stp/>
        <stp>BDP|3769131272384114340</stp>
        <tr r="P2419" s="2"/>
      </tp>
      <tp t="s">
        <v>#N/A Requesting Data...4002914011</v>
        <stp/>
        <stp>BDP|1305445279343432390</stp>
        <tr r="P2274" s="2"/>
      </tp>
      <tp t="s">
        <v>#N/A Requesting Data...3870145023</v>
        <stp/>
        <stp>BDP|4874738177025985362</stp>
        <tr r="N1070" s="2"/>
      </tp>
      <tp t="s">
        <v>#N/A Requesting Data...4010037431</v>
        <stp/>
        <stp>BDP|6038907873168824282</stp>
        <tr r="E2383" s="2"/>
      </tp>
      <tp t="s">
        <v>#N/A Requesting Data...3830595414</v>
        <stp/>
        <stp>BDP|5266936536789113453</stp>
        <tr r="A635" s="2"/>
      </tp>
      <tp t="s">
        <v>#N/A Requesting Data...4294093971</v>
        <stp/>
        <stp>BDP|8334928491382280815</stp>
        <tr r="G620" s="2"/>
      </tp>
      <tp t="s">
        <v>#N/A Requesting Data...4210847735</v>
        <stp/>
        <stp>BDP|7447310092708053742</stp>
        <tr r="J164" s="2"/>
      </tp>
      <tp t="b">
        <v>0</v>
        <stp/>
        <stp>BDS|8568197986051154283</stp>
        <tr r="I2198" s="2"/>
      </tp>
      <tp t="s">
        <v>#N/A Requesting Data...4131065914</v>
        <stp/>
        <stp>BDP|6447402977284727372</stp>
        <tr r="G162" s="2"/>
      </tp>
      <tp t="s">
        <v>#N/A Requesting Data...4085771296</v>
        <stp/>
        <stp>BDP|4273503234614533405</stp>
        <tr r="T815" s="2"/>
      </tp>
      <tp t="s">
        <v>#N/A Requesting Data...4013989273</v>
        <stp/>
        <stp>BDP|7039401328630385388</stp>
        <tr r="G900" s="2"/>
      </tp>
      <tp t="s">
        <v>#N/A Requesting Data...4078671852</v>
        <stp/>
        <stp>BDP|2560578890314587841</stp>
        <tr r="F334" s="2"/>
      </tp>
      <tp t="s">
        <v>#N/A Requesting Data...4199224332</v>
        <stp/>
        <stp>BDP|9628748406849756503</stp>
        <tr r="N1805" s="2"/>
      </tp>
      <tp t="s">
        <v>#N/A Requesting Data...4193550099</v>
        <stp/>
        <stp>BDP|2639520742653022253</stp>
        <tr r="F2404" s="2"/>
      </tp>
      <tp t="s">
        <v>#N/A Requesting Data...4140345281</v>
        <stp/>
        <stp>BDP|7042216055065476732</stp>
        <tr r="K2050" s="2"/>
      </tp>
      <tp t="s">
        <v>#N/A Requesting Data...4223259138</v>
        <stp/>
        <stp>BDP|3503820572638298648</stp>
        <tr r="G2296" s="2"/>
      </tp>
      <tp t="s">
        <v>#N/A Requesting Data...3912246597</v>
        <stp/>
        <stp>BDP|1360044832229074960</stp>
        <tr r="M242" s="2"/>
      </tp>
      <tp t="s">
        <v>#N/A Requesting Data...4195177465</v>
        <stp/>
        <stp>BDP|2274705416060578622</stp>
        <tr r="T2347" s="2"/>
      </tp>
      <tp t="s">
        <v>#N/A Requesting Data...4199347343</v>
        <stp/>
        <stp>BDP|3289750857172678159</stp>
        <tr r="N1312" s="2"/>
      </tp>
      <tp t="s">
        <v>#N/A Requesting Data...4051775636</v>
        <stp/>
        <stp>BDP|4989095246736050458</stp>
        <tr r="G178" s="2"/>
      </tp>
      <tp t="s">
        <v>#N/A Requesting Data...4237880181</v>
        <stp/>
        <stp>BDP|3927707802312877406</stp>
        <tr r="R1074" s="2"/>
      </tp>
      <tp t="s">
        <v>#N/A Requesting Data...3972978575</v>
        <stp/>
        <stp>BDP|9368202917680408834</stp>
        <tr r="S293" s="2"/>
      </tp>
      <tp t="s">
        <v>#N/A Requesting Data...3926530906</v>
        <stp/>
        <stp>BDP|2215561204326258310</stp>
        <tr r="M2098" s="2"/>
      </tp>
      <tp t="s">
        <v>#N/A Requesting Data...3925918325</v>
        <stp/>
        <stp>BDP|9485027613983574937</stp>
        <tr r="G886" s="2"/>
      </tp>
      <tp t="s">
        <v>#N/A Requesting Data...4210968969</v>
        <stp/>
        <stp>BDP|8941944349696013171</stp>
        <tr r="C115" s="2"/>
      </tp>
      <tp t="s">
        <v>#N/A Requesting Data...4001401903</v>
        <stp/>
        <stp>BDP|7606973273682936980</stp>
        <tr r="T1709" s="2"/>
      </tp>
      <tp t="s">
        <v>#N/A Requesting Data...4099115572</v>
        <stp/>
        <stp>BDP|8545811348451749783</stp>
        <tr r="M43" s="2"/>
      </tp>
      <tp t="s">
        <v>#N/A Requesting Data...4218471499</v>
        <stp/>
        <stp>BDP|9647188748029417724</stp>
        <tr r="N870" s="2"/>
      </tp>
      <tp t="s">
        <v>#N/A Requesting Data...4093239945</v>
        <stp/>
        <stp>BDP|1020568513774603334</stp>
        <tr r="N370" s="2"/>
      </tp>
      <tp t="s">
        <v>#N/A Requesting Data...4203625823</v>
        <stp/>
        <stp>BDP|9576672812985065903</stp>
        <tr r="H1464" s="2"/>
      </tp>
      <tp t="s">
        <v>#N/A Requesting Data...4226823851</v>
        <stp/>
        <stp>BDP|2118220653210482742</stp>
        <tr r="R1727" s="2"/>
      </tp>
      <tp t="s">
        <v>#N/A Requesting Data...4111038143</v>
        <stp/>
        <stp>BDP|2735159926116632521</stp>
        <tr r="C1535" s="2"/>
      </tp>
      <tp t="s">
        <v>#N/A Requesting Data...3956609862</v>
        <stp/>
        <stp>BDP|6726347950436213419</stp>
        <tr r="N451" s="2"/>
      </tp>
      <tp t="s">
        <v>#N/A Requesting Data...3965579567</v>
        <stp/>
        <stp>BDP|6124549828585861650</stp>
        <tr r="A2334" s="2"/>
      </tp>
      <tp t="s">
        <v>#N/A Requesting Data...4050279582</v>
        <stp/>
        <stp>BDP|7945697360722883784</stp>
        <tr r="H596" s="2"/>
      </tp>
      <tp t="s">
        <v>#N/A Requesting Data...4076192754</v>
        <stp/>
        <stp>BDP|5241568662852691605</stp>
        <tr r="K1491" s="2"/>
      </tp>
      <tp t="s">
        <v>#N/A Requesting Data...4270557608</v>
        <stp/>
        <stp>BDP|7186437621897394406</stp>
        <tr r="M2343" s="2"/>
      </tp>
      <tp t="s">
        <v>#N/A Requesting Data...4217895258</v>
        <stp/>
        <stp>BDP|9786947324112729204</stp>
        <tr r="M1850" s="2"/>
      </tp>
      <tp t="s">
        <v>#N/A Requesting Data...4051240277</v>
        <stp/>
        <stp>BDP|6525568870422657453</stp>
        <tr r="A562" s="2"/>
      </tp>
      <tp t="s">
        <v>#N/A Requesting Data...4118710284</v>
        <stp/>
        <stp>BDP|3614621425882472757</stp>
        <tr r="Q2411" s="2"/>
      </tp>
      <tp t="s">
        <v>#N/A Requesting Data...4111582019</v>
        <stp/>
        <stp>BDP|6256818134619751605</stp>
        <tr r="N683" s="2"/>
      </tp>
      <tp t="s">
        <v>#N/A Requesting Data...3964811076</v>
        <stp/>
        <stp>BDP|2256389831292214294</stp>
        <tr r="E894" s="2"/>
      </tp>
      <tp t="s">
        <v>#N/A Requesting Data...4005727206</v>
        <stp/>
        <stp>BDP|1664157512482376129</stp>
        <tr r="H1692" s="2"/>
      </tp>
      <tp t="s">
        <v>#N/A Requesting Data...4208369103</v>
        <stp/>
        <stp>BDP|1717481645547283487</stp>
        <tr r="O802" s="2"/>
      </tp>
      <tp t="s">
        <v>#N/A Requesting Data...4116447639</v>
        <stp/>
        <stp>BDP|3300658922691206464</stp>
        <tr r="D1738" s="2"/>
      </tp>
      <tp t="s">
        <v>#N/A Requesting Data...3984817605</v>
        <stp/>
        <stp>BDP|7592172837247518002</stp>
        <tr r="R1488" s="2"/>
      </tp>
      <tp t="s">
        <v>#N/A Requesting Data...4076751418</v>
        <stp/>
        <stp>BDP|8838566395040979628</stp>
        <tr r="R491" s="2"/>
      </tp>
      <tp t="b">
        <v>0</v>
        <stp/>
        <stp>BDS|4893483352461000627</stp>
        <tr r="I419" s="2"/>
      </tp>
      <tp t="s">
        <v>#N/A Requesting Data...4257745849</v>
        <stp/>
        <stp>BDP|9754132791875364663</stp>
        <tr r="P205" s="2"/>
      </tp>
      <tp t="s">
        <v>#N/A Requesting Data...4214153621</v>
        <stp/>
        <stp>BDP|5215912286816505001</stp>
        <tr r="P689" s="2"/>
      </tp>
      <tp t="s">
        <v>#N/A Requesting Data...4073092078</v>
        <stp/>
        <stp>BDP|9891516105397945952</stp>
        <tr r="K1510" s="2"/>
      </tp>
      <tp t="s">
        <v>#N/A Requesting Data...4275404119</v>
        <stp/>
        <stp>BDP|4707146882357987887</stp>
        <tr r="T1603" s="2"/>
      </tp>
      <tp t="s">
        <v>#N/A Requesting Data...4269561112</v>
        <stp/>
        <stp>BDP|7643233354993314125</stp>
        <tr r="H12" s="2"/>
      </tp>
      <tp t="s">
        <v>#N/A Requesting Data...4212730395</v>
        <stp/>
        <stp>BDP|8478748827456618910</stp>
        <tr r="E645" s="2"/>
      </tp>
      <tp t="s">
        <v>#N/A Requesting Data...4034384923</v>
        <stp/>
        <stp>BDP|1985747813316602386</stp>
        <tr r="P290" s="2"/>
      </tp>
      <tp t="b">
        <v>0</v>
        <stp/>
        <stp>BDS|3002621942207835489</stp>
        <tr r="I1349" s="2"/>
      </tp>
      <tp t="s">
        <v>#N/A Requesting Data...4078549580</v>
        <stp/>
        <stp>BDP|3138771658673796097</stp>
        <tr r="T1210" s="2"/>
      </tp>
      <tp t="s">
        <v>#N/A Requesting Data...4170218346</v>
        <stp/>
        <stp>BDP|3364936607040152868</stp>
        <tr r="M2079" s="2"/>
      </tp>
      <tp t="s">
        <v>#N/A Requesting Data...4020170888</v>
        <stp/>
        <stp>BDP|6264668234068064905</stp>
        <tr r="N2255" s="2"/>
      </tp>
      <tp t="s">
        <v>#N/A Requesting Data...4036275799</v>
        <stp/>
        <stp>BDP|4511769203534596559</stp>
        <tr r="F303" s="2"/>
      </tp>
      <tp t="s">
        <v>#N/A Requesting Data...4273942055</v>
        <stp/>
        <stp>BDP|2401638254053041031</stp>
        <tr r="H1931" s="2"/>
      </tp>
      <tp t="s">
        <v>#N/A Requesting Data...4066648354</v>
        <stp/>
        <stp>BDP|2571052620560086205</stp>
        <tr r="S806" s="2"/>
      </tp>
      <tp t="s">
        <v>#N/A Requesting Data...4177586120</v>
        <stp/>
        <stp>BDP|8336608063038054203</stp>
        <tr r="N1745" s="2"/>
      </tp>
      <tp t="s">
        <v>#N/A Requesting Data...4264142969</v>
        <stp/>
        <stp>BDP|4649879760398835090</stp>
        <tr r="O1353" s="2"/>
      </tp>
      <tp t="s">
        <v>#N/A Requesting Data...4282449587</v>
        <stp/>
        <stp>BDP|3449754105833068543</stp>
        <tr r="P2063" s="2"/>
      </tp>
      <tp t="s">
        <v>#N/A Requesting Data...4236768248</v>
        <stp/>
        <stp>BDP|7195506799108051186</stp>
        <tr r="F1580" s="2"/>
      </tp>
      <tp t="s">
        <v>#N/A Requesting Data...4006979488</v>
        <stp/>
        <stp>BDP|7987433934050878261</stp>
        <tr r="P134" s="2"/>
      </tp>
      <tp t="s">
        <v>#N/A Requesting Data...4074116397</v>
        <stp/>
        <stp>BDP|3174901060939838791</stp>
        <tr r="A1056" s="2"/>
      </tp>
      <tp t="s">
        <v>#N/A Requesting Data...4061334336</v>
        <stp/>
        <stp>BDP|4521080906731884730</stp>
        <tr r="S2125" s="2"/>
      </tp>
      <tp t="s">
        <v>#N/A Requesting Data...4177305061</v>
        <stp/>
        <stp>BDP|5078338734185148267</stp>
        <tr r="N1942" s="2"/>
      </tp>
      <tp t="s">
        <v>#N/A Requesting Data...4237871932</v>
        <stp/>
        <stp>BDP|3715007835834474664</stp>
        <tr r="E1295" s="2"/>
      </tp>
      <tp t="s">
        <v>#N/A Requesting Data...4029373530</v>
        <stp/>
        <stp>BDP|1257738424732455413</stp>
        <tr r="E990" s="2"/>
      </tp>
      <tp t="s">
        <v>#N/A Requesting Data...4294487735</v>
        <stp/>
        <stp>BDP|8183652162138068261</stp>
        <tr r="N1100" s="2"/>
      </tp>
      <tp t="s">
        <v>#N/A Requesting Data...4294543189</v>
        <stp/>
        <stp>BDP|4682268340581292120</stp>
        <tr r="F752" s="2"/>
      </tp>
      <tp t="s">
        <v>#N/A Requesting Data...4170265994</v>
        <stp/>
        <stp>BDP|5647888309946094973</stp>
        <tr r="F2104" s="2"/>
      </tp>
      <tp t="s">
        <v>#N/A Requesting Data...4094653806</v>
        <stp/>
        <stp>BDP|4791496804641808326</stp>
        <tr r="O1591" s="2"/>
      </tp>
      <tp t="s">
        <v>#N/A Requesting Data...4023611028</v>
        <stp/>
        <stp>BDP|4650748895718709005</stp>
        <tr r="K1847" s="2"/>
      </tp>
      <tp t="s">
        <v>#N/A Requesting Data...4285080701</v>
        <stp/>
        <stp>BDP|2942914798070660069</stp>
        <tr r="P1404" s="2"/>
      </tp>
      <tp t="s">
        <v>#N/A Requesting Data...4162375494</v>
        <stp/>
        <stp>BDP|6805525677357808159</stp>
        <tr r="Q2022" s="2"/>
      </tp>
      <tp t="s">
        <v>#N/A Requesting Data...4078133623</v>
        <stp/>
        <stp>BDP|6959102608220223538</stp>
        <tr r="T612" s="2"/>
      </tp>
      <tp t="s">
        <v>#N/A Requesting Data...4236542798</v>
        <stp/>
        <stp>BDP|9582094551889994742</stp>
        <tr r="S1254" s="2"/>
      </tp>
      <tp t="s">
        <v>#N/A Requesting Data...4114609279</v>
        <stp/>
        <stp>BDP|2372337740823161410</stp>
        <tr r="E1475" s="2"/>
      </tp>
      <tp t="b">
        <v>0</v>
        <stp/>
        <stp>BDS|1919403867753793291</stp>
        <tr r="I37" s="2"/>
      </tp>
      <tp t="s">
        <v>#N/A Requesting Data...4239377378</v>
        <stp/>
        <stp>BDP|1502149275564775135</stp>
        <tr r="G2342" s="2"/>
      </tp>
      <tp t="s">
        <v>#N/A Requesting Data...4130465213</v>
        <stp/>
        <stp>BDP|3777329731665528414</stp>
        <tr r="Q943" s="2"/>
      </tp>
      <tp t="s">
        <v>#N/A Requesting Data...4106442124</v>
        <stp/>
        <stp>BDP|3093567309586631296</stp>
        <tr r="K1452" s="2"/>
      </tp>
      <tp t="s">
        <v>#N/A Requesting Data...4176207532</v>
        <stp/>
        <stp>BDP|9291353997142725377</stp>
        <tr r="N2016" s="2"/>
      </tp>
      <tp t="s">
        <v>#N/A Requesting Data...4156081796</v>
        <stp/>
        <stp>BDP|6689536448711456492</stp>
        <tr r="A2153" s="2"/>
      </tp>
      <tp t="s">
        <v>#N/A Requesting Data...4071242051</v>
        <stp/>
        <stp>BDP|4058219049445898500</stp>
        <tr r="P1339" s="2"/>
      </tp>
      <tp t="s">
        <v>#N/A Requesting Data...4090846627</v>
        <stp/>
        <stp>BDP|2499303035987876795</stp>
        <tr r="C1755" s="2"/>
      </tp>
      <tp t="s">
        <v>#N/A Requesting Data...4292453887</v>
        <stp/>
        <stp>BDP|2304305874471559525</stp>
        <tr r="E1790" s="2"/>
      </tp>
      <tp t="s">
        <v>#N/A Requesting Data...4213007565</v>
        <stp/>
        <stp>BDP|7633197678894380745</stp>
        <tr r="R1745" s="2"/>
      </tp>
      <tp t="s">
        <v>#N/A Requesting Data...4065223941</v>
        <stp/>
        <stp>BDP|2713931171997586900</stp>
        <tr r="K418" s="2"/>
      </tp>
      <tp t="s">
        <v>#N/A Requesting Data...4125399069</v>
        <stp/>
        <stp>BDP|5126439405737147468</stp>
        <tr r="K1000" s="2"/>
      </tp>
      <tp t="s">
        <v>#N/A Requesting Data...4259642022</v>
        <stp/>
        <stp>BDP|1877186313967080430</stp>
        <tr r="K589" s="2"/>
      </tp>
      <tp t="s">
        <v>#N/A Requesting Data...4231670760</v>
        <stp/>
        <stp>BDP|4416405971913082655</stp>
        <tr r="M1522" s="2"/>
      </tp>
      <tp t="s">
        <v>#N/A Requesting Data...4129295156</v>
        <stp/>
        <stp>BDP|3579530057771623072</stp>
        <tr r="O714" s="2"/>
      </tp>
      <tp t="s">
        <v>#N/A Requesting Data...4166224425</v>
        <stp/>
        <stp>BDP|1492603083245798801</stp>
        <tr r="H566" s="2"/>
      </tp>
      <tp t="s">
        <v>#N/A Requesting Data...4107699175</v>
        <stp/>
        <stp>BDP|8839792304444560903</stp>
        <tr r="D33" s="2"/>
      </tp>
      <tp t="s">
        <v>#N/A Requesting Data...4286677183</v>
        <stp/>
        <stp>BDP|7098501765846593009</stp>
        <tr r="T1858" s="2"/>
      </tp>
      <tp t="s">
        <v>#N/A Requesting Data...4143029147</v>
        <stp/>
        <stp>BDP|8781393923639843259</stp>
        <tr r="G1650" s="2"/>
      </tp>
      <tp t="s">
        <v>#N/A Requesting Data...4224275068</v>
        <stp/>
        <stp>BDP|5839105939657761265</stp>
        <tr r="K216" s="2"/>
      </tp>
      <tp t="s">
        <v>#N/A Requesting Data...4118718088</v>
        <stp/>
        <stp>BDP|6885187434600394673</stp>
        <tr r="T235" s="2"/>
      </tp>
      <tp t="s">
        <v>#N/A Requesting Data...4120979020</v>
        <stp/>
        <stp>BDP|2775144487721675820</stp>
        <tr r="P1244" s="2"/>
      </tp>
      <tp t="s">
        <v>#N/A Requesting Data...4219629779</v>
        <stp/>
        <stp>BDP|3752547544010050074</stp>
        <tr r="G1411" s="2"/>
      </tp>
      <tp t="s">
        <v>#N/A Requesting Data...4212912915</v>
        <stp/>
        <stp>BDP|9923690991093335722</stp>
        <tr r="G1122" s="2"/>
      </tp>
      <tp t="s">
        <v>#N/A Requesting Data...4272641067</v>
        <stp/>
        <stp>BDP|9254701235278421737</stp>
        <tr r="D123" s="2"/>
      </tp>
      <tp t="s">
        <v>#N/A Requesting Data...4209289900</v>
        <stp/>
        <stp>BDP|1990178921205838573</stp>
        <tr r="P1890" s="2"/>
      </tp>
      <tp t="s">
        <v>#N/A Requesting Data...4110736917</v>
        <stp/>
        <stp>BDP|2046134410885438578</stp>
        <tr r="H1965" s="2"/>
      </tp>
      <tp t="s">
        <v>#N/A Requesting Data...4244737193</v>
        <stp/>
        <stp>BDP|7567778453865729267</stp>
        <tr r="E2108" s="2"/>
      </tp>
      <tp t="b">
        <v>0</v>
        <stp/>
        <stp>BDS|5293351778284881772</stp>
        <tr r="I739" s="2"/>
      </tp>
      <tp t="s">
        <v>#N/A Requesting Data...4278876757</v>
        <stp/>
        <stp>BDP|2173275046590855681</stp>
        <tr r="R2085" s="2"/>
      </tp>
      <tp t="b">
        <v>0</v>
        <stp/>
        <stp>BDS|7211313788506213897</stp>
        <tr r="I1567" s="2"/>
      </tp>
      <tp t="s">
        <v>#N/A Requesting Data...4237054313</v>
        <stp/>
        <stp>BDP|9970005232670362880</stp>
        <tr r="O1116" s="2"/>
      </tp>
      <tp t="s">
        <v>#N/A Requesting Data...4251080917</v>
        <stp/>
        <stp>BDP|4211622427822005079</stp>
        <tr r="G1568" s="2"/>
      </tp>
      <tp t="b">
        <v>0</v>
        <stp/>
        <stp>BDS|7644639664883446650</stp>
        <tr r="I1603" s="2"/>
      </tp>
      <tp t="s">
        <v>#N/A Requesting Data...4236150503</v>
        <stp/>
        <stp>BDP|9235939647790270648</stp>
        <tr r="P811" s="2"/>
      </tp>
      <tp t="s">
        <v>#N/A Requesting Data...4156422426</v>
        <stp/>
        <stp>BDP|1380447633804127050</stp>
        <tr r="D2277" s="2"/>
      </tp>
      <tp t="s">
        <v>#N/A Requesting Data...4135348167</v>
        <stp/>
        <stp>BDP|5163916206729012763</stp>
        <tr r="S1122" s="2"/>
      </tp>
      <tp t="s">
        <v>#N/A Requesting Data...4178438648</v>
        <stp/>
        <stp>BDP|1688182029495789503</stp>
        <tr r="E1606" s="2"/>
      </tp>
      <tp t="s">
        <v>#N/A Requesting Data...4278230265</v>
        <stp/>
        <stp>BDP|1679608806716849389</stp>
        <tr r="A1506" s="2"/>
      </tp>
      <tp t="s">
        <v>#N/A Requesting Data...4247189996</v>
        <stp/>
        <stp>BDP|6376230987337549924</stp>
        <tr r="D736" s="2"/>
      </tp>
      <tp t="s">
        <v>#N/A Requesting Data...4286548259</v>
        <stp/>
        <stp>BDP|9123866853087472107</stp>
        <tr r="J2241" s="2"/>
      </tp>
      <tp t="s">
        <v>#N/A Requesting Data...4248169121</v>
        <stp/>
        <stp>BDP|6040563076722840480</stp>
        <tr r="F398" s="2"/>
      </tp>
      <tp t="s">
        <v>#N/A Requesting Data...4201823931</v>
        <stp/>
        <stp>BDP|2990371841651620698</stp>
        <tr r="P1411" s="2"/>
      </tp>
      <tp t="s">
        <v>#N/A Requesting Data...4158344218</v>
        <stp/>
        <stp>BDP|4597438693499686239</stp>
        <tr r="Q36" s="2"/>
      </tp>
      <tp t="s">
        <v>#N/A Requesting Data...4229613600</v>
        <stp/>
        <stp>BDP|5196288539731978795</stp>
        <tr r="M1152" s="2"/>
      </tp>
      <tp t="s">
        <v>#N/A Requesting Data...4211158759</v>
        <stp/>
        <stp>BDP|7368294969682503360</stp>
        <tr r="J725" s="2"/>
      </tp>
      <tp t="s">
        <v>#N/A Requesting Data...4179287718</v>
        <stp/>
        <stp>BDP|7811871124736206990</stp>
        <tr r="K193" s="2"/>
      </tp>
      <tp t="s">
        <v>#N/A Requesting Data...4174635249</v>
        <stp/>
        <stp>BDP|4324032260255315534</stp>
        <tr r="F918" s="2"/>
      </tp>
      <tp t="b">
        <v>0</v>
        <stp/>
        <stp>BDS|8026421761368221016</stp>
        <tr r="I583" s="2"/>
      </tp>
      <tp t="s">
        <v>#N/A Requesting Data...4289105297</v>
        <stp/>
        <stp>BDP|1964476167648883919</stp>
        <tr r="G18" s="2"/>
      </tp>
      <tp t="b">
        <v>0</v>
        <stp/>
        <stp>BDS|5671330056505043432</stp>
        <tr r="I485" s="2"/>
      </tp>
      <tp t="s">
        <v>#N/A Requesting Data...4220123744</v>
        <stp/>
        <stp>BDP|1270351843634013046</stp>
        <tr r="K2440" s="2"/>
      </tp>
      <tp t="s">
        <v>#N/A Requesting Data...4262628136</v>
        <stp/>
        <stp>BDP|2767061753416568372</stp>
        <tr r="P534" s="2"/>
      </tp>
      <tp t="s">
        <v>#N/A Requesting Data...4246230623</v>
        <stp/>
        <stp>BDP|5701364933087415063</stp>
        <tr r="F568" s="2"/>
      </tp>
      <tp t="b">
        <v>0</v>
        <stp/>
        <stp>BDS|1183484272956223692</stp>
        <tr r="I1396" s="2"/>
      </tp>
      <tp t="s">
        <v>#N/A Requesting Data...4214922345</v>
        <stp/>
        <stp>BDP|5696730640945314167</stp>
        <tr r="R1775" s="2"/>
      </tp>
      <tp t="s">
        <v>#N/A Requesting Data...4225110941</v>
        <stp/>
        <stp>BDP|5574276059008935824</stp>
        <tr r="H2453" s="2"/>
      </tp>
      <tp t="s">
        <v>#N/A Requesting Data...4231535095</v>
        <stp/>
        <stp>BDP|2116087614152829353</stp>
        <tr r="A1346" s="2"/>
      </tp>
      <tp t="s">
        <v>#N/A Requesting Data...4231229831</v>
        <stp/>
        <stp>BDP|2719999584138982937</stp>
        <tr r="N1983" s="2"/>
      </tp>
      <tp t="s">
        <v>#N/A Requesting Data...4294548600</v>
        <stp/>
        <stp>BDP|5401648962072681546</stp>
        <tr r="E748" s="2"/>
      </tp>
      <tp t="s">
        <v>#N/A Requesting Data...4282565502</v>
        <stp/>
        <stp>BDP|6188182634404806258</stp>
        <tr r="K67" s="2"/>
      </tp>
      <tp t="s">
        <v>#N/A Requesting Data...4205153583</v>
        <stp/>
        <stp>BDP|4579674340190719455</stp>
        <tr r="Q556" s="2"/>
      </tp>
      <tp t="s">
        <v>#N/A Requesting Data...4291762187</v>
        <stp/>
        <stp>BDP|6054453826232188035</stp>
        <tr r="J1213" s="2"/>
      </tp>
      <tp t="s">
        <v>#N/A Requesting Data...4211977236</v>
        <stp/>
        <stp>BDP|8366210289618386891</stp>
        <tr r="C1238" s="2"/>
      </tp>
      <tp t="s">
        <v>#N/A Requesting Data...4269718984</v>
        <stp/>
        <stp>BDP|9365368390430546117</stp>
        <tr r="N1064" s="2"/>
      </tp>
      <tp t="s">
        <v>#N/A Requesting Data...4227882607</v>
        <stp/>
        <stp>BDP|2314930200930978986</stp>
        <tr r="P910" s="2"/>
      </tp>
      <tp t="s">
        <v>#N/A Requesting Data...4265905906</v>
        <stp/>
        <stp>BDP|2230501059683951338</stp>
        <tr r="T1687" s="2"/>
      </tp>
      <tp t="s">
        <v>#N/A Requesting Data...4280719287</v>
        <stp/>
        <stp>BDP|4391840227594933886</stp>
        <tr r="A818" s="2"/>
      </tp>
      <tp t="s">
        <v>#N/A Requesting Data...4234128990</v>
        <stp/>
        <stp>BDP|7534119214616401354</stp>
        <tr r="H771" s="2"/>
      </tp>
      <tp t="s">
        <v>#N/A Requesting Data...4235416275</v>
        <stp/>
        <stp>BDP|3178127958597246289</stp>
        <tr r="R2274" s="2"/>
      </tp>
      <tp t="b">
        <v>0</v>
        <stp/>
        <stp>BDS|7562727887303694970</stp>
        <tr r="I2009" s="2"/>
      </tp>
      <tp t="s">
        <v>#N/A Requesting Data...4260605666</v>
        <stp/>
        <stp>BDP|1236229641714138116</stp>
        <tr r="O16" s="2"/>
      </tp>
      <tp t="s">
        <v>#N/A Requesting Data...4263827532</v>
        <stp/>
        <stp>BDP|5407657763833627456</stp>
        <tr r="A2329" s="2"/>
      </tp>
      <tp t="s">
        <v>#N/A Requesting Data...4288831529</v>
        <stp/>
        <stp>BDP|5597832718297908962</stp>
        <tr r="P117" s="2"/>
      </tp>
      <tp t="s">
        <v>#N/A Requesting Data...4250301488</v>
        <stp/>
        <stp>BDP|6006198868223910090</stp>
        <tr r="F1756" s="2"/>
      </tp>
      <tp t="s">
        <v>#N/A Requesting Data...4254567013</v>
        <stp/>
        <stp>BDP|6420815554999857080</stp>
        <tr r="E767" s="2"/>
      </tp>
      <tp t="s">
        <v>#N/A Requesting Data...4279049926</v>
        <stp/>
        <stp>BDP|6466844407854180878</stp>
        <tr r="F2255" s="2"/>
      </tp>
      <tp t="s">
        <v>#N/A Requesting Data...4255665131</v>
        <stp/>
        <stp>BDP|1185342624834390631</stp>
        <tr r="J1709" s="2"/>
      </tp>
      <tp t="s">
        <v>#N/A Requesting Data...4291120897</v>
        <stp/>
        <stp>BDP|9802398050165254826</stp>
        <tr r="G2215" s="2"/>
      </tp>
      <tp t="s">
        <v>#N/A Requesting Data...4280221914</v>
        <stp/>
        <stp>BDP|4985384539506172084</stp>
        <tr r="C60" s="2"/>
      </tp>
      <tp t="s">
        <v>#N/A Requesting Data...4283356610</v>
        <stp/>
        <stp>BDP|6044798276022677681</stp>
        <tr r="J605" s="2"/>
      </tp>
      <tp t="s">
        <v>#N/A Requesting Data...4282775720</v>
        <stp/>
        <stp>BDP|7218174386759686540</stp>
        <tr r="O1758" s="2"/>
      </tp>
      <tp t="s">
        <v>#N/A Requesting Data...4253986464</v>
        <stp/>
        <stp>BDP|7905745469161302569</stp>
        <tr r="R659" s="2"/>
      </tp>
      <tp t="s">
        <v>#N/A Requesting Data...4279919042</v>
        <stp/>
        <stp>BDP|9748340983863171306</stp>
        <tr r="M2070" s="2"/>
      </tp>
      <tp t="s">
        <v>#N/A Requesting Data...4267279854</v>
        <stp/>
        <stp>BDP|1463873582104995790</stp>
        <tr r="M1366" s="2"/>
      </tp>
      <tp t="s">
        <v>#N/A Requesting Data...4269457371</v>
        <stp/>
        <stp>BDP|2654664365636739639</stp>
        <tr r="F520" s="2"/>
      </tp>
      <tp t="s">
        <v>#N/A Requesting Data...4293137685</v>
        <stp/>
        <stp>BDP|1323801503513693873</stp>
        <tr r="G2255" s="2"/>
      </tp>
      <tp t="s">
        <v>#N/A Requesting Data...4278985076</v>
        <stp/>
        <stp>BDP|6972743631779576988</stp>
        <tr r="R27" s="2"/>
      </tp>
      <tp t="s">
        <v>#N/A Requesting Data...4279921162</v>
        <stp/>
        <stp>BDP|3072779664434171431</stp>
        <tr r="K504" s="2"/>
      </tp>
      <tp t="s">
        <v>#N/A Requesting Data...4276153236</v>
        <stp/>
        <stp>BDP|8378984477283982745</stp>
        <tr r="T1279" s="2"/>
      </tp>
      <tp t="s">
        <v>#N/A Requesting Data...4281794002</v>
        <stp/>
        <stp>BDP|4766824132934078960</stp>
        <tr r="S1241" s="2"/>
      </tp>
      <tp t="s">
        <v>#N/A Requesting Data...4293984164</v>
        <stp/>
        <stp>BDP|5059386246866943663</stp>
        <tr r="A2201" s="2"/>
      </tp>
      <tp t="s">
        <v>#N/A Requesting Data...4285199553</v>
        <stp/>
        <stp>BDP|5155412363921431462</stp>
        <tr r="R910" s="2"/>
      </tp>
      <tp t="s">
        <v>#N/A Requesting Data...4283306226</v>
        <stp/>
        <stp>BDP|4220748623102240160</stp>
        <tr r="D24" s="2"/>
      </tp>
      <tp t="s">
        <v>#N/A Requesting Data...4293842204</v>
        <stp/>
        <stp>BDP|9707224562528466728</stp>
        <tr r="M2255" s="2"/>
      </tp>
      <tp t="s">
        <v>#N/A Requesting Data...4289633699</v>
        <stp/>
        <stp>BDP|6543039358760668193</stp>
        <tr r="H1223" s="2"/>
      </tp>
      <tp t="s">
        <v>#N/A Requesting Data...4291591976</v>
        <stp/>
        <stp>BDP|9992767828248231640</stp>
        <tr r="E1958" s="2"/>
      </tp>
      <tp t="s">
        <v>#N/A Requesting Data...4294048084</v>
        <stp/>
        <stp>BDP|1407411638592983653</stp>
        <tr r="H1354" s="2"/>
      </tp>
      <tp t="s">
        <v>#N/A Requesting Data...1454295083</v>
        <stp/>
        <stp>BDP|3489010154196044203</stp>
        <tr r="Q1012" s="2"/>
      </tp>
      <tp t="s">
        <v>#N/A Requesting Data...3650067937</v>
        <stp/>
        <stp>BDP|7192794327616837666</stp>
        <tr r="C1534" s="2"/>
      </tp>
      <tp t="s">
        <v>#N/A Requesting Data...3792207461</v>
        <stp/>
        <stp>BDP|9065321460937405970</stp>
        <tr r="O1229" s="2"/>
      </tp>
      <tp t="s">
        <v>#N/A Requesting Data...3782679237</v>
        <stp/>
        <stp>BDP|5742041132025530158</stp>
        <tr r="Q2008" s="2"/>
      </tp>
      <tp t="s">
        <v>#N/A Requesting Data...918935071</v>
        <stp/>
        <stp>BDP|1961473661458870968</stp>
        <tr r="E2471" s="2"/>
      </tp>
      <tp t="s">
        <v>#N/A Requesting Data...1047968252</v>
        <stp/>
        <stp>BDP|5632328606714028030</stp>
        <tr r="G314" s="2"/>
      </tp>
      <tp t="s">
        <v>#N/A Requesting Data...2228581117</v>
        <stp/>
        <stp>BDP|3442538879011665294</stp>
        <tr r="C1784" s="2"/>
      </tp>
      <tp t="s">
        <v>#N/A Requesting Data...3523329313</v>
        <stp/>
        <stp>BDP|1433341073733475463</stp>
        <tr r="F1869" s="2"/>
      </tp>
      <tp t="s">
        <v>#N/A Requesting Data...4167201613</v>
        <stp/>
        <stp>BDP|3844193264321431706</stp>
        <tr r="E1875" s="2"/>
      </tp>
      <tp t="s">
        <v>#N/A Requesting Data...602461023</v>
        <stp/>
        <stp>BDP|2337218332527371628</stp>
        <tr r="R2444" s="2"/>
      </tp>
      <tp t="s">
        <v>#N/A Requesting Data...3807000786</v>
        <stp/>
        <stp>BDP|3420647845776348577</stp>
        <tr r="A1303" s="2"/>
      </tp>
      <tp t="s">
        <v>#N/A Requesting Data...1158152237</v>
        <stp/>
        <stp>BDP|7132736710543573066</stp>
        <tr r="S1717" s="2"/>
      </tp>
      <tp t="b">
        <v>0</v>
        <stp/>
        <stp>BDS|8089961370910767404</stp>
        <tr r="I444" s="2"/>
      </tp>
      <tp t="s">
        <v>#N/A Requesting Data...3535591196</v>
        <stp/>
        <stp>BDP|2083733135535689117</stp>
        <tr r="G2229" s="2"/>
      </tp>
      <tp t="s">
        <v>#N/A Requesting Data...1653555026</v>
        <stp/>
        <stp>BDP|3546564095294046977</stp>
        <tr r="G196" s="2"/>
      </tp>
      <tp t="b">
        <v>0</v>
        <stp/>
        <stp>BDS|6032314327215439034</stp>
        <tr r="I1661" s="2"/>
      </tp>
      <tp t="s">
        <v>#N/A Requesting Data...211247448</v>
        <stp/>
        <stp>BDP|4922314258248531847</stp>
        <tr r="C2233" s="2"/>
      </tp>
      <tp t="s">
        <v>#N/A Requesting Data...901309649</v>
        <stp/>
        <stp>BDP|3722257821482495368</stp>
        <tr r="F173" s="2"/>
      </tp>
      <tp t="s">
        <v>#N/A Requesting Data...4128418554</v>
        <stp/>
        <stp>BDP|9759220933488178266</stp>
        <tr r="J1112" s="2"/>
      </tp>
      <tp t="s">
        <v>#N/A Requesting Data...238181491</v>
        <stp/>
        <stp>BDP|5501784719362311366</stp>
        <tr r="C289" s="2"/>
      </tp>
      <tp t="s">
        <v>#N/A Requesting Data...1485394324</v>
        <stp/>
        <stp>BDP|6621406366296109006</stp>
        <tr r="A2423" s="2"/>
      </tp>
      <tp t="s">
        <v>#N/A Requesting Data...779406300</v>
        <stp/>
        <stp>BDP|3348287432709070983</stp>
        <tr r="J1553" s="2"/>
      </tp>
      <tp t="b">
        <v>0</v>
        <stp/>
        <stp>BDS|9117906841430264636</stp>
        <tr r="I1995" s="2"/>
      </tp>
      <tp t="s">
        <v>#N/A Requesting Data...1675046364</v>
        <stp/>
        <stp>BDP|6819261054367264495</stp>
        <tr r="K1266" s="2"/>
      </tp>
      <tp t="s">
        <v>#N/A Requesting Data...3791565846</v>
        <stp/>
        <stp>BDP|8459382133262968870</stp>
        <tr r="H907" s="2"/>
      </tp>
      <tp t="s">
        <v>#N/A Requesting Data...720950060</v>
        <stp/>
        <stp>BDP|7495043522376020138</stp>
        <tr r="G2222" s="2"/>
      </tp>
      <tp t="s">
        <v>#N/A Requesting Data...606112768</v>
        <stp/>
        <stp>BDP|7941553380221847952</stp>
        <tr r="H464" s="2"/>
      </tp>
      <tp t="s">
        <v>#N/A Requesting Data...942292145</v>
        <stp/>
        <stp>BDP|9482384394971967000</stp>
        <tr r="G1982" s="2"/>
      </tp>
      <tp t="s">
        <v>#N/A Requesting Data...2048497873</v>
        <stp/>
        <stp>BDP|8391561893480493636</stp>
        <tr r="J1814" s="2"/>
      </tp>
      <tp t="s">
        <v>#N/A Requesting Data...3166448486</v>
        <stp/>
        <stp>BDP|7105181779432972181</stp>
        <tr r="Q1882" s="2"/>
      </tp>
      <tp t="s">
        <v>#N/A Requesting Data...420543408</v>
        <stp/>
        <stp>BDP|8331658883127291360</stp>
        <tr r="E763" s="2"/>
      </tp>
      <tp t="s">
        <v>#N/A Requesting Data...777420264</v>
        <stp/>
        <stp>BDP|1111178257164280322</stp>
        <tr r="O1241" s="2"/>
      </tp>
      <tp t="s">
        <v>#N/A Requesting Data...1219231115</v>
        <stp/>
        <stp>BDP|7583628697213516941</stp>
        <tr r="N108" s="2"/>
      </tp>
      <tp t="s">
        <v>#N/A Requesting Data...2130633003</v>
        <stp/>
        <stp>BDP|7796959184695572123</stp>
        <tr r="E513" s="2"/>
      </tp>
      <tp t="s">
        <v>#N/A Requesting Data...1035827940</v>
        <stp/>
        <stp>BDP|6457954596584354053</stp>
        <tr r="G2336" s="2"/>
      </tp>
      <tp t="s">
        <v>#N/A Requesting Data...1625419044</v>
        <stp/>
        <stp>BDP|6028562466410054713</stp>
        <tr r="M661" s="2"/>
      </tp>
      <tp t="s">
        <v>#N/A Requesting Data...2315885062</v>
        <stp/>
        <stp>BDP|7927642316450396298</stp>
        <tr r="M971" s="2"/>
      </tp>
      <tp t="s">
        <v>#N/A Requesting Data...781945083</v>
        <stp/>
        <stp>BDP|3904201544662965554</stp>
        <tr r="G1715" s="2"/>
      </tp>
      <tp t="s">
        <v>#N/A Requesting Data...1500308173</v>
        <stp/>
        <stp>BDP|7180556711630486105</stp>
        <tr r="G2186" s="2"/>
      </tp>
      <tp t="s">
        <v>#N/A Requesting Data...983470958</v>
        <stp/>
        <stp>BDP|6369522056010685409</stp>
        <tr r="T2019" s="2"/>
      </tp>
      <tp t="s">
        <v>#N/A Requesting Data...3558358427</v>
        <stp/>
        <stp>BDP|9436824402334719720</stp>
        <tr r="D1447" s="2"/>
      </tp>
      <tp t="s">
        <v>#N/A Requesting Data...3090649268</v>
        <stp/>
        <stp>BDP|3402833054128119436</stp>
        <tr r="G2252" s="2"/>
      </tp>
      <tp t="s">
        <v>#N/A Requesting Data...1643434303</v>
        <stp/>
        <stp>BDP|2016759664939167813</stp>
        <tr r="N87" s="2"/>
      </tp>
      <tp t="s">
        <v>#N/A Requesting Data...1430450959</v>
        <stp/>
        <stp>BDP|7834608537510734099</stp>
        <tr r="T1588" s="2"/>
      </tp>
      <tp t="s">
        <v>#N/A Requesting Data...3415055660</v>
        <stp/>
        <stp>BDP|2061317170812146619</stp>
        <tr r="D660" s="2"/>
      </tp>
      <tp t="s">
        <v>#N/A Requesting Data...2984829396</v>
        <stp/>
        <stp>BDP|6666670405454116647</stp>
        <tr r="C900" s="2"/>
      </tp>
      <tp t="s">
        <v>#N/A Requesting Data...2832819717</v>
        <stp/>
        <stp>BDP|3744074415162104255</stp>
        <tr r="J1426" s="2"/>
      </tp>
      <tp t="s">
        <v>#N/A Requesting Data...409647958</v>
        <stp/>
        <stp>BDP|1886482677212482224</stp>
        <tr r="F2442" s="2"/>
      </tp>
      <tp t="s">
        <v>#N/A Requesting Data...3454138546</v>
        <stp/>
        <stp>BDP|9487922848593899572</stp>
        <tr r="O2242" s="2"/>
      </tp>
      <tp t="s">
        <v>#N/A Requesting Data...913853254</v>
        <stp/>
        <stp>BDP|4296641101821024165</stp>
        <tr r="P781" s="2"/>
      </tp>
      <tp t="s">
        <v>#N/A Requesting Data...1432231151</v>
        <stp/>
        <stp>BDP|8231603072459249237</stp>
        <tr r="F1338" s="2"/>
      </tp>
      <tp t="s">
        <v>#N/A Requesting Data...1880197192</v>
        <stp/>
        <stp>BDP|6070528356992384669</stp>
        <tr r="R1439" s="2"/>
      </tp>
      <tp t="s">
        <v>#N/A Requesting Data...2250565018</v>
        <stp/>
        <stp>BDP|3708373624337125745</stp>
        <tr r="E319" s="2"/>
      </tp>
      <tp t="s">
        <v>#N/A Requesting Data...3882036271</v>
        <stp/>
        <stp>BDP|1801594774643427206</stp>
        <tr r="J838" s="2"/>
      </tp>
      <tp t="s">
        <v>#N/A Requesting Data...3911631223</v>
        <stp/>
        <stp>BDP|7544317248242905047</stp>
        <tr r="S1455" s="2"/>
      </tp>
      <tp t="s">
        <v>#N/A Requesting Data...2638545986</v>
        <stp/>
        <stp>BDP|9379167721989661139</stp>
        <tr r="G1161" s="2"/>
      </tp>
      <tp t="s">
        <v>#N/A Requesting Data...3175429688</v>
        <stp/>
        <stp>BDP|4390321733473291513</stp>
        <tr r="O1374" s="2"/>
      </tp>
      <tp t="s">
        <v>#N/A Requesting Data...3175977098</v>
        <stp/>
        <stp>BDP|2382594809120737558</stp>
        <tr r="H1876" s="2"/>
      </tp>
      <tp t="s">
        <v>#N/A Requesting Data...2837238287</v>
        <stp/>
        <stp>BDP|6626525567845232275</stp>
        <tr r="P1627" s="2"/>
      </tp>
      <tp t="s">
        <v>#N/A Requesting Data...3449113772</v>
        <stp/>
        <stp>BDP|4591992088806787152</stp>
        <tr r="M1690" s="2"/>
      </tp>
      <tp t="s">
        <v>#N/A Requesting Data...1361232711</v>
        <stp/>
        <stp>BDP|1402175901097683524</stp>
        <tr r="A2082" s="2"/>
      </tp>
      <tp t="s">
        <v>#N/A Requesting Data...1234221684</v>
        <stp/>
        <stp>BDP|3886879608518893194</stp>
        <tr r="P2519" s="2"/>
      </tp>
      <tp t="s">
        <v>#N/A Requesting Data...2926791638</v>
        <stp/>
        <stp>BDP|5996185734262205717</stp>
        <tr r="J1847" s="2"/>
      </tp>
      <tp t="s">
        <v>#N/A Requesting Data...3608122643</v>
        <stp/>
        <stp>BDP|1409666144400724179</stp>
        <tr r="P2084" s="2"/>
      </tp>
      <tp t="b">
        <v>0</v>
        <stp/>
        <stp>BDS|3636328564673708717</stp>
        <tr r="I1072" s="2"/>
      </tp>
      <tp t="s">
        <v>#N/A Requesting Data...2885489858</v>
        <stp/>
        <stp>BDP|5967609620482974165</stp>
        <tr r="F835" s="2"/>
      </tp>
      <tp t="s">
        <v>#N/A Requesting Data...3430393307</v>
        <stp/>
        <stp>BDP|5989403579705732116</stp>
        <tr r="H685" s="2"/>
      </tp>
      <tp t="s">
        <v>#N/A Requesting Data...2037619473</v>
        <stp/>
        <stp>BDP|6798280828482066612</stp>
        <tr r="O996" s="2"/>
      </tp>
      <tp t="s">
        <v>#N/A Requesting Data...3284284683</v>
        <stp/>
        <stp>BDP|8764940804313593045</stp>
        <tr r="G1821" s="2"/>
      </tp>
      <tp t="s">
        <v>#N/A Requesting Data...2987200772</v>
        <stp/>
        <stp>BDP|5697016686467268854</stp>
        <tr r="R2290" s="2"/>
      </tp>
      <tp t="s">
        <v>#N/A Requesting Data...2625633365</v>
        <stp/>
        <stp>BDP|4148235340837580718</stp>
        <tr r="N2036" s="2"/>
      </tp>
      <tp t="s">
        <v>#N/A Requesting Data...3365873173</v>
        <stp/>
        <stp>BDP|5747992968200196814</stp>
        <tr r="H605" s="2"/>
      </tp>
      <tp t="s">
        <v>#N/A Requesting Data...2239507176</v>
        <stp/>
        <stp>BDP|5425547710850611304</stp>
        <tr r="T2249" s="2"/>
      </tp>
      <tp t="s">
        <v>#N/A Requesting Data...1833791434</v>
        <stp/>
        <stp>BDP|3168309024785687558</stp>
        <tr r="T1129" s="2"/>
      </tp>
      <tp t="b">
        <v>0</v>
        <stp/>
        <stp>BDS|5321059383947591860</stp>
        <tr r="I774" s="2"/>
      </tp>
      <tp t="s">
        <v>#N/A Requesting Data...2376133907</v>
        <stp/>
        <stp>BDP|5608649734243749177</stp>
        <tr r="Q724" s="2"/>
      </tp>
      <tp t="s">
        <v>#N/A Requesting Data...3348498352</v>
        <stp/>
        <stp>BDP|8115371887699667818</stp>
        <tr r="G36" s="2"/>
      </tp>
      <tp t="s">
        <v>#N/A Requesting Data...2834818787</v>
        <stp/>
        <stp>BDP|2856280332626628729</stp>
        <tr r="M948" s="2"/>
      </tp>
      <tp t="s">
        <v>#N/A Requesting Data...3657962541</v>
        <stp/>
        <stp>BDP|6974979993263871733</stp>
        <tr r="M503" s="2"/>
      </tp>
      <tp t="s">
        <v>#N/A Requesting Data...1689131498</v>
        <stp/>
        <stp>BDP|2420221815121609239</stp>
        <tr r="P2138" s="2"/>
      </tp>
      <tp t="s">
        <v>#N/A Requesting Data...3227200184</v>
        <stp/>
        <stp>BDP|8805241866766495884</stp>
        <tr r="T715" s="2"/>
      </tp>
      <tp t="s">
        <v>#N/A Requesting Data...3495049072</v>
        <stp/>
        <stp>BDP|9745667666493992885</stp>
        <tr r="N1941" s="2"/>
      </tp>
      <tp t="s">
        <v>#N/A Requesting Data...4225813294</v>
        <stp/>
        <stp>BDP|5833802868809141076</stp>
        <tr r="M109" s="2"/>
      </tp>
      <tp t="s">
        <v>#N/A Requesting Data...2012827893</v>
        <stp/>
        <stp>BDP|1996620855623978312</stp>
        <tr r="K1840" s="2"/>
      </tp>
      <tp t="b">
        <v>0</v>
        <stp/>
        <stp>BDS|2782154511261774120</stp>
        <tr r="I601" s="2"/>
      </tp>
      <tp t="s">
        <v>#N/A Requesting Data...2965152373</v>
        <stp/>
        <stp>BDP|9982942572594078192</stp>
        <tr r="P506" s="2"/>
      </tp>
      <tp t="s">
        <v>#N/A Requesting Data...1491533085</v>
        <stp/>
        <stp>BDP|1513895735831616997</stp>
        <tr r="O1224" s="2"/>
      </tp>
      <tp t="s">
        <v>#N/A Requesting Data...1430452928</v>
        <stp/>
        <stp>BDP|7366772268340951438</stp>
        <tr r="N1063" s="2"/>
      </tp>
      <tp t="s">
        <v>#N/A Requesting Data...4284206910</v>
        <stp/>
        <stp>BDP|8030088475754270991</stp>
        <tr r="G1205" s="2"/>
      </tp>
      <tp t="s">
        <v>#N/A Requesting Data...4240714297</v>
        <stp/>
        <stp>BDP|2246302951541315768</stp>
        <tr r="P1907" s="2"/>
      </tp>
      <tp t="s">
        <v>#N/A Requesting Data...1479269307</v>
        <stp/>
        <stp>BDP|7773605210961729363</stp>
        <tr r="O2357" s="2"/>
      </tp>
      <tp t="s">
        <v>#N/A Requesting Data...4083882819</v>
        <stp/>
        <stp>BDP|6591977451378456015</stp>
        <tr r="N846" s="2"/>
      </tp>
      <tp t="s">
        <v>#N/A Requesting Data...2756821240</v>
        <stp/>
        <stp>BDP|2436916584600070179</stp>
        <tr r="S1862" s="2"/>
      </tp>
      <tp t="s">
        <v>#N/A Requesting Data...4235262650</v>
        <stp/>
        <stp>BDP|3190474338075837303</stp>
        <tr r="H1850" s="2"/>
      </tp>
      <tp t="s">
        <v>#N/A Requesting Data...1883199870</v>
        <stp/>
        <stp>BDP|1667525846546484403</stp>
        <tr r="T755" s="2"/>
      </tp>
      <tp t="s">
        <v>#N/A Requesting Data...3733520447</v>
        <stp/>
        <stp>BDP|1863965352099890627</stp>
        <tr r="N2339" s="2"/>
      </tp>
      <tp t="s">
        <v>#N/A Requesting Data...4244132275</v>
        <stp/>
        <stp>BDP|3849988347139612571</stp>
        <tr r="F873" s="2"/>
      </tp>
      <tp t="s">
        <v>#N/A Requesting Data...1046134852</v>
        <stp/>
        <stp>BDP|9889354593213909212</stp>
        <tr r="C2324" s="2"/>
      </tp>
      <tp t="s">
        <v>#N/A Requesting Data...1119499330</v>
        <stp/>
        <stp>BDP|2011899530303967861</stp>
        <tr r="O2044" s="2"/>
      </tp>
      <tp t="s">
        <v>#N/A Requesting Data...2587442746</v>
        <stp/>
        <stp>BDP|2358506748435597482</stp>
        <tr r="K2091" s="2"/>
      </tp>
      <tp t="s">
        <v>#N/A Requesting Data...811282837</v>
        <stp/>
        <stp>BDP|4598700471033559573</stp>
        <tr r="O1803" s="2"/>
      </tp>
      <tp t="s">
        <v>#N/A Requesting Data...3127282170</v>
        <stp/>
        <stp>BDP|9590552068629831161</stp>
        <tr r="K2332" s="2"/>
      </tp>
      <tp t="s">
        <v>#N/A Requesting Data...508585694</v>
        <stp/>
        <stp>BDP|7153673702956039523</stp>
        <tr r="K2341" s="2"/>
      </tp>
      <tp t="s">
        <v>#N/A Requesting Data...3517161969</v>
        <stp/>
        <stp>BDP|6974459707039554985</stp>
        <tr r="D1246" s="2"/>
      </tp>
      <tp t="s">
        <v>#N/A Requesting Data...1868709814</v>
        <stp/>
        <stp>BDP|8173970437729473939</stp>
        <tr r="F1780" s="2"/>
      </tp>
      <tp t="s">
        <v>#N/A Requesting Data...2473851538</v>
        <stp/>
        <stp>BDP|9367069657008407601</stp>
        <tr r="R763" s="2"/>
      </tp>
      <tp t="s">
        <v>#N/A Requesting Data...2521428422</v>
        <stp/>
        <stp>BDP|5635290079066291424</stp>
        <tr r="Q946" s="2"/>
      </tp>
      <tp t="s">
        <v>#N/A Requesting Data...935158756</v>
        <stp/>
        <stp>BDP|7580263613334476221</stp>
        <tr r="D1698" s="2"/>
      </tp>
      <tp t="s">
        <v>#N/A Requesting Data...2375356503</v>
        <stp/>
        <stp>BDP|3299162163432227433</stp>
        <tr r="C1052" s="2"/>
      </tp>
      <tp t="s">
        <v>#N/A Requesting Data...2878169583</v>
        <stp/>
        <stp>BDP|6290708834930157013</stp>
        <tr r="T492" s="2"/>
      </tp>
      <tp t="s">
        <v>#N/A Requesting Data...2021771732</v>
        <stp/>
        <stp>BDP|6085184652054429480</stp>
        <tr r="T2528" s="2"/>
      </tp>
      <tp t="s">
        <v>#N/A Requesting Data...339442224</v>
        <stp/>
        <stp>BDP|6523462659391993454</stp>
        <tr r="S1276" s="2"/>
      </tp>
      <tp t="s">
        <v>#N/A Requesting Data...1427837276</v>
        <stp/>
        <stp>BDP|7996437062995980271</stp>
        <tr r="E1162" s="2"/>
      </tp>
      <tp t="s">
        <v>#N/A Requesting Data...433453256</v>
        <stp/>
        <stp>BDP|3089023434466081409</stp>
        <tr r="D710" s="2"/>
      </tp>
      <tp t="s">
        <v>#N/A Requesting Data...3027350790</v>
        <stp/>
        <stp>BDP|7242255142642763140</stp>
        <tr r="M615" s="2"/>
      </tp>
      <tp t="s">
        <v>#N/A Requesting Data...550444579</v>
        <stp/>
        <stp>BDP|4142583498023111967</stp>
        <tr r="R2192" s="2"/>
      </tp>
      <tp t="s">
        <v>#N/A Requesting Data...1615172795</v>
        <stp/>
        <stp>BDP|7782087239132061409</stp>
        <tr r="M263" s="2"/>
      </tp>
      <tp t="s">
        <v>#N/A Requesting Data...1716538534</v>
        <stp/>
        <stp>BDP|4523531230498434845</stp>
        <tr r="D323" s="2"/>
      </tp>
      <tp t="s">
        <v>#N/A Requesting Data...2645199921</v>
        <stp/>
        <stp>BDP|5788084177861612184</stp>
        <tr r="F1785" s="2"/>
      </tp>
      <tp t="s">
        <v>#N/A Requesting Data...3864695243</v>
        <stp/>
        <stp>BDP|2471056007719018906</stp>
        <tr r="Q390" s="2"/>
      </tp>
      <tp t="s">
        <v>#N/A Requesting Data...1713033160</v>
        <stp/>
        <stp>BDP|8148453092727792078</stp>
        <tr r="T2491" s="2"/>
      </tp>
      <tp t="s">
        <v>#N/A Requesting Data...1319972473</v>
        <stp/>
        <stp>BDP|1722730089088253496</stp>
        <tr r="G1761" s="2"/>
      </tp>
      <tp t="s">
        <v>#N/A Requesting Data...2206309608</v>
        <stp/>
        <stp>BDP|4167467675202468704</stp>
        <tr r="E76" s="2"/>
      </tp>
      <tp t="s">
        <v>#N/A Requesting Data...3196994097</v>
        <stp/>
        <stp>BDP|4308111688078543794</stp>
        <tr r="G1656" s="2"/>
      </tp>
      <tp t="s">
        <v>#N/A Requesting Data...564467438</v>
        <stp/>
        <stp>BDP|3201168098830394999</stp>
        <tr r="Q1590" s="2"/>
      </tp>
      <tp t="s">
        <v>#N/A Requesting Data...1703969354</v>
        <stp/>
        <stp>BDP|7046055776563410115</stp>
        <tr r="D1190" s="2"/>
      </tp>
      <tp t="s">
        <v>#N/A Requesting Data...3808517181</v>
        <stp/>
        <stp>BDP|7274918270862010956</stp>
        <tr r="K1150" s="2"/>
      </tp>
      <tp t="s">
        <v>#N/A Requesting Data...4166360025</v>
        <stp/>
        <stp>BDP|5449638074911149741</stp>
        <tr r="R562" s="2"/>
      </tp>
      <tp t="s">
        <v>#N/A Requesting Data...681835617</v>
        <stp/>
        <stp>BDP|3657642705746826192</stp>
        <tr r="H321" s="2"/>
      </tp>
      <tp t="s">
        <v>#N/A Requesting Data...2686112729</v>
        <stp/>
        <stp>BDP|6816458468815500361</stp>
        <tr r="K2519" s="2"/>
      </tp>
      <tp t="s">
        <v>#N/A Requesting Data...1654369642</v>
        <stp/>
        <stp>BDP|6425458542375389161</stp>
        <tr r="N803" s="2"/>
      </tp>
      <tp t="s">
        <v>#N/A Requesting Data...4082676807</v>
        <stp/>
        <stp>BDP|7578665704310690378</stp>
        <tr r="K1540" s="2"/>
      </tp>
      <tp t="s">
        <v>#N/A Requesting Data...2333234009</v>
        <stp/>
        <stp>BDP|1094415652894113645</stp>
        <tr r="H796" s="2"/>
      </tp>
      <tp t="s">
        <v>#N/A Requesting Data...2503819503</v>
        <stp/>
        <stp>BDP|9284936920378050878</stp>
        <tr r="Q2334" s="2"/>
      </tp>
      <tp t="s">
        <v>#N/A Requesting Data...502179333</v>
        <stp/>
        <stp>BDP|4329374621836377109</stp>
        <tr r="C1783" s="2"/>
      </tp>
      <tp t="s">
        <v>#N/A Requesting Data...1872412167</v>
        <stp/>
        <stp>BDP|8488823638781862009</stp>
        <tr r="J1675" s="2"/>
      </tp>
      <tp t="s">
        <v>#N/A Requesting Data...1819305202</v>
        <stp/>
        <stp>BDP|3146600498137876971</stp>
        <tr r="P2055" s="2"/>
      </tp>
      <tp t="s">
        <v>#N/A Requesting Data...3555602891</v>
        <stp/>
        <stp>BDP|1145867886536212554</stp>
        <tr r="N2371" s="2"/>
      </tp>
      <tp t="s">
        <v>#N/A Requesting Data...1684294297</v>
        <stp/>
        <stp>BDP|5415176259096420586</stp>
        <tr r="K942" s="2"/>
      </tp>
      <tp t="s">
        <v>#N/A Requesting Data...1371704084</v>
        <stp/>
        <stp>BDP|3151341842137935185</stp>
        <tr r="D2187" s="2"/>
      </tp>
      <tp t="s">
        <v>#N/A Requesting Data...2535264329</v>
        <stp/>
        <stp>BDP|7055194269450248242</stp>
        <tr r="P1867" s="2"/>
      </tp>
      <tp t="s">
        <v>#N/A Requesting Data...1124627311</v>
        <stp/>
        <stp>BDP|9293490277348811029</stp>
        <tr r="F1778" s="2"/>
      </tp>
      <tp t="s">
        <v>#N/A Requesting Data...2818781625</v>
        <stp/>
        <stp>BDP|1622496686669927662</stp>
        <tr r="G1372" s="2"/>
      </tp>
      <tp t="s">
        <v>#N/A Requesting Data...1945253531</v>
        <stp/>
        <stp>BDP|3775859646408794551</stp>
        <tr r="D16" s="2"/>
      </tp>
      <tp t="s">
        <v>#N/A Requesting Data...2579401792</v>
        <stp/>
        <stp>BDP|2512182676162823452</stp>
        <tr r="D1036" s="2"/>
      </tp>
      <tp t="s">
        <v>#N/A Requesting Data...4059599466</v>
        <stp/>
        <stp>BDP|2650644174532540352</stp>
        <tr r="P1252" s="2"/>
      </tp>
      <tp t="s">
        <v>#N/A Requesting Data...889663824</v>
        <stp/>
        <stp>BDP|6245218248670893251</stp>
        <tr r="C93" s="2"/>
      </tp>
      <tp t="s">
        <v>#N/A Requesting Data...878577964</v>
        <stp/>
        <stp>BDP|1274663459158348883</stp>
        <tr r="J1118" s="2"/>
      </tp>
      <tp t="s">
        <v>#N/A Requesting Data...484465439</v>
        <stp/>
        <stp>BDP|7574074620797446002</stp>
        <tr r="H108" s="2"/>
      </tp>
      <tp t="s">
        <v>#N/A Requesting Data...2986725920</v>
        <stp/>
        <stp>BDP|2787533177901599309</stp>
        <tr r="R836" s="2"/>
      </tp>
      <tp t="s">
        <v>#N/A Requesting Data...2328394347</v>
        <stp/>
        <stp>BDP|3323352327502118266</stp>
        <tr r="Q1571" s="2"/>
      </tp>
      <tp t="s">
        <v>#N/A Requesting Data...2268756958</v>
        <stp/>
        <stp>BDP|8782953054825749375</stp>
        <tr r="N1389" s="2"/>
      </tp>
      <tp t="s">
        <v>#N/A Requesting Data...1989452754</v>
        <stp/>
        <stp>BDP|4579295673476862512</stp>
        <tr r="N1198" s="2"/>
      </tp>
      <tp t="s">
        <v>#N/A Requesting Data...2069005912</v>
        <stp/>
        <stp>BDP|4317305058636811656</stp>
        <tr r="R654" s="2"/>
      </tp>
      <tp t="s">
        <v>#N/A Requesting Data...3488359578</v>
        <stp/>
        <stp>BDP|5807256148791238017</stp>
        <tr r="P1928" s="2"/>
      </tp>
      <tp t="s">
        <v>#N/A Requesting Data...2788829170</v>
        <stp/>
        <stp>BDP|5254527661754566026</stp>
        <tr r="P564" s="2"/>
      </tp>
      <tp t="s">
        <v>#N/A Requesting Data...2325777048</v>
        <stp/>
        <stp>BDP|5616479501611680203</stp>
        <tr r="D1924" s="2"/>
      </tp>
      <tp t="s">
        <v>#N/A Requesting Data...584179363</v>
        <stp/>
        <stp>BDP|2271062329391257396</stp>
        <tr r="J1613" s="2"/>
      </tp>
      <tp t="b">
        <v>0</v>
        <stp/>
        <stp>BDS|4524386775181711392</stp>
        <tr r="I1721" s="2"/>
      </tp>
      <tp t="b">
        <v>0</v>
        <stp/>
        <stp>BDS|8689209526603457924</stp>
        <tr r="I473" s="2"/>
      </tp>
      <tp t="s">
        <v>#N/A Requesting Data...2212236869</v>
        <stp/>
        <stp>BDP|1644948186874375617</stp>
        <tr r="R1501" s="2"/>
      </tp>
      <tp t="s">
        <v>#N/A Requesting Data...4248124403</v>
        <stp/>
        <stp>BDP|3635479347403921298</stp>
        <tr r="A1329" s="2"/>
      </tp>
      <tp t="s">
        <v>#N/A Requesting Data...3157191054</v>
        <stp/>
        <stp>BDP|6692642921428238878</stp>
        <tr r="C1687" s="2"/>
      </tp>
      <tp t="s">
        <v>#N/A Requesting Data...2868868519</v>
        <stp/>
        <stp>BDP|7219440533564109620</stp>
        <tr r="S2455" s="2"/>
      </tp>
      <tp t="s">
        <v>#N/A Requesting Data...1318885563</v>
        <stp/>
        <stp>BDP|1339213644341866481</stp>
        <tr r="A473" s="2"/>
      </tp>
      <tp t="s">
        <v>#N/A Requesting Data...4163158038</v>
        <stp/>
        <stp>BDP|2152865132558418370</stp>
        <tr r="O207" s="2"/>
      </tp>
      <tp t="s">
        <v>#N/A Requesting Data...3038614908</v>
        <stp/>
        <stp>BDP|2819586114014277004</stp>
        <tr r="Q1647" s="2"/>
      </tp>
      <tp t="s">
        <v>#N/A Requesting Data...2571413883</v>
        <stp/>
        <stp>BDP|5327487354874189281</stp>
        <tr r="S1074" s="2"/>
      </tp>
      <tp t="s">
        <v>#N/A Requesting Data...3516828930</v>
        <stp/>
        <stp>BDP|4157387639120767612</stp>
        <tr r="D1905" s="2"/>
      </tp>
      <tp t="s">
        <v>#N/A Requesting Data...656612382</v>
        <stp/>
        <stp>BDP|7955732732670702196</stp>
        <tr r="F2099" s="2"/>
      </tp>
      <tp t="b">
        <v>0</v>
        <stp/>
        <stp>BDS|4516756049350743584</stp>
        <tr r="I2063" s="2"/>
      </tp>
      <tp t="s">
        <v>#N/A Requesting Data...2895364254</v>
        <stp/>
        <stp>BDP|9050861738774121496</stp>
        <tr r="S964" s="2"/>
      </tp>
      <tp t="b">
        <v>0</v>
        <stp/>
        <stp>BDS|9530769287560085423</stp>
        <tr r="I479" s="2"/>
      </tp>
      <tp t="s">
        <v>#N/A Requesting Data...1353672245</v>
        <stp/>
        <stp>BDP|6880730250301941748</stp>
        <tr r="H2197" s="2"/>
      </tp>
      <tp t="s">
        <v>#N/A Requesting Data...1717822313</v>
        <stp/>
        <stp>BDP|9066473098181902703</stp>
        <tr r="M2378" s="2"/>
      </tp>
      <tp t="s">
        <v>#N/A Requesting Data...3095084902</v>
        <stp/>
        <stp>BDP|5699236002211827498</stp>
        <tr r="S1303" s="2"/>
      </tp>
      <tp t="s">
        <v>#N/A Requesting Data...2165505347</v>
        <stp/>
        <stp>BDP|9355305197779096828</stp>
        <tr r="F706" s="2"/>
      </tp>
      <tp t="s">
        <v>#N/A Requesting Data...2331488920</v>
        <stp/>
        <stp>BDP|4004076861233769374</stp>
        <tr r="F2307" s="2"/>
      </tp>
      <tp t="s">
        <v>#N/A Requesting Data...2858553824</v>
        <stp/>
        <stp>BDP|1578505014590736702</stp>
        <tr r="P1830" s="2"/>
      </tp>
      <tp t="s">
        <v>#N/A Requesting Data...1932563078</v>
        <stp/>
        <stp>BDP|5800410715433377195</stp>
        <tr r="N1689" s="2"/>
      </tp>
      <tp t="s">
        <v>#N/A Requesting Data...1261330176</v>
        <stp/>
        <stp>BDP|7696626943212992582</stp>
        <tr r="P2495" s="2"/>
      </tp>
      <tp t="s">
        <v>#N/A Requesting Data...537205154</v>
        <stp/>
        <stp>BDP|7053370750985621678</stp>
        <tr r="E581" s="2"/>
      </tp>
      <tp t="s">
        <v>#N/A Requesting Data...585807862</v>
        <stp/>
        <stp>BDP|4258772515850700019</stp>
        <tr r="E1456" s="2"/>
      </tp>
      <tp t="b">
        <v>0</v>
        <stp/>
        <stp>BDS|7661832501449679442</stp>
        <tr r="I2296" s="2"/>
      </tp>
      <tp t="s">
        <v>#N/A Requesting Data...3782555020</v>
        <stp/>
        <stp>BDP|1710328502077063706</stp>
        <tr r="E1168" s="2"/>
      </tp>
      <tp t="s">
        <v>#N/A Requesting Data...2861637143</v>
        <stp/>
        <stp>BDP|8935695085936317217</stp>
        <tr r="P2383" s="2"/>
      </tp>
      <tp t="s">
        <v>#N/A Requesting Data...1143007616</v>
        <stp/>
        <stp>BDP|3205693224906934310</stp>
        <tr r="F1629" s="2"/>
      </tp>
      <tp t="s">
        <v>#N/A Requesting Data...2938306776</v>
        <stp/>
        <stp>BDP|5760476332409689935</stp>
        <tr r="A656" s="2"/>
      </tp>
      <tp t="s">
        <v>#N/A Requesting Data...2447028294</v>
        <stp/>
        <stp>BDP|9068927627714475468</stp>
        <tr r="P871" s="2"/>
      </tp>
      <tp t="s">
        <v>#N/A Requesting Data...1257158586</v>
        <stp/>
        <stp>BDP|7055178655674502503</stp>
        <tr r="J2410" s="2"/>
      </tp>
      <tp t="s">
        <v>#N/A Requesting Data...1220570414</v>
        <stp/>
        <stp>BDP|5770159374101344023</stp>
        <tr r="Q266" s="2"/>
      </tp>
      <tp t="s">
        <v>#N/A Requesting Data...2868028178</v>
        <stp/>
        <stp>BDP|5980803114626222887</stp>
        <tr r="S782" s="2"/>
      </tp>
      <tp t="s">
        <v>#N/A Requesting Data...2072158821</v>
        <stp/>
        <stp>BDP|2029326513550494220</stp>
        <tr r="K765" s="2"/>
      </tp>
      <tp t="s">
        <v>#N/A Requesting Data...1768420134</v>
        <stp/>
        <stp>BDP|9006855539648900828</stp>
        <tr r="C567" s="2"/>
      </tp>
      <tp t="s">
        <v>#N/A Requesting Data...1926265559</v>
        <stp/>
        <stp>BDP|1534926108058183296</stp>
        <tr r="P2170" s="2"/>
      </tp>
      <tp t="s">
        <v>#N/A Requesting Data...4071441107</v>
        <stp/>
        <stp>BDP|4568208654554265546</stp>
        <tr r="K771" s="2"/>
      </tp>
      <tp t="s">
        <v>#N/A Requesting Data...2935603761</v>
        <stp/>
        <stp>BDP|5034272821965532240</stp>
        <tr r="F1539" s="2"/>
      </tp>
      <tp t="s">
        <v>#N/A Requesting Data...2347978489</v>
        <stp/>
        <stp>BDP|6675798630326879600</stp>
        <tr r="O1673" s="2"/>
      </tp>
      <tp t="s">
        <v>#N/A Requesting Data...1623612594</v>
        <stp/>
        <stp>BDP|4003104977604103419</stp>
        <tr r="G1396" s="2"/>
      </tp>
      <tp t="s">
        <v>#N/A Requesting Data...1323890571</v>
        <stp/>
        <stp>BDP|5589907982727445146</stp>
        <tr r="N93" s="2"/>
      </tp>
      <tp t="s">
        <v>#N/A Requesting Data...2676798864</v>
        <stp/>
        <stp>BDP|4782356386688558567</stp>
        <tr r="O1531" s="2"/>
      </tp>
      <tp t="s">
        <v>#N/A Requesting Data...4110442307</v>
        <stp/>
        <stp>BDP|2675558750330039045</stp>
        <tr r="K442" s="2"/>
      </tp>
      <tp t="s">
        <v>#N/A Requesting Data...2686543660</v>
        <stp/>
        <stp>BDP|4979075554030579388</stp>
        <tr r="R1050" s="2"/>
      </tp>
      <tp t="s">
        <v>#N/A Requesting Data...3106533764</v>
        <stp/>
        <stp>BDP|6640705640451093611</stp>
        <tr r="S1123" s="2"/>
      </tp>
      <tp t="s">
        <v>#N/A Requesting Data...1128116136</v>
        <stp/>
        <stp>BDP|1972376731917949411</stp>
        <tr r="C364" s="2"/>
      </tp>
      <tp t="s">
        <v>#N/A Requesting Data...1978605917</v>
        <stp/>
        <stp>BDP|5302307035535168209</stp>
        <tr r="D1408" s="2"/>
      </tp>
      <tp t="s">
        <v>#N/A Requesting Data...3334466313</v>
        <stp/>
        <stp>BDP|3789540173350627314</stp>
        <tr r="N107" s="2"/>
      </tp>
      <tp t="s">
        <v>#N/A Requesting Data...4111684150</v>
        <stp/>
        <stp>BDP|7097631534717107713</stp>
        <tr r="T376" s="2"/>
      </tp>
      <tp t="s">
        <v>#N/A Requesting Data...3205384650</v>
        <stp/>
        <stp>BDP|1052712166554981696</stp>
        <tr r="E1207" s="2"/>
      </tp>
      <tp t="s">
        <v>#N/A Requesting Data...1045293402</v>
        <stp/>
        <stp>BDP|2235323777963173712</stp>
        <tr r="P2441" s="2"/>
      </tp>
      <tp t="s">
        <v>#N/A Requesting Data...3751869192</v>
        <stp/>
        <stp>BDP|3277284026185998427</stp>
        <tr r="P396" s="2"/>
      </tp>
      <tp t="s">
        <v>#N/A Requesting Data...873949471</v>
        <stp/>
        <stp>BDP|9243716634297880884</stp>
        <tr r="E1823" s="2"/>
      </tp>
      <tp t="s">
        <v>#N/A Requesting Data...1610345620</v>
        <stp/>
        <stp>BDP|6104142162287284424</stp>
        <tr r="H1675" s="2"/>
      </tp>
      <tp t="b">
        <v>0</v>
        <stp/>
        <stp>BDS|2947160511998870815</stp>
        <tr r="I1974" s="2"/>
      </tp>
      <tp t="s">
        <v>#N/A Requesting Data...3935119573</v>
        <stp/>
        <stp>BDP|6191773439593068386</stp>
        <tr r="A1522" s="2"/>
      </tp>
      <tp t="s">
        <v>#N/A Requesting Data...3944562326</v>
        <stp/>
        <stp>BDP|2716546027844704340</stp>
        <tr r="D902" s="2"/>
      </tp>
      <tp t="s">
        <v>#N/A Requesting Data...2527989105</v>
        <stp/>
        <stp>BDP|8639666141860558837</stp>
        <tr r="P1638" s="2"/>
      </tp>
      <tp t="s">
        <v>#N/A Requesting Data...2336148821</v>
        <stp/>
        <stp>BDP|5836819846193820806</stp>
        <tr r="N1640" s="2"/>
      </tp>
      <tp t="s">
        <v>#N/A Requesting Data...593145577</v>
        <stp/>
        <stp>BDP|6078523271384400208</stp>
        <tr r="Q2026" s="2"/>
      </tp>
      <tp t="s">
        <v>#N/A Requesting Data...2092481070</v>
        <stp/>
        <stp>BDP|5468781760594255298</stp>
        <tr r="O1141" s="2"/>
      </tp>
      <tp t="s">
        <v>#N/A Requesting Data...2296378105</v>
        <stp/>
        <stp>BDP|1262393634496972519</stp>
        <tr r="R2438" s="2"/>
      </tp>
      <tp t="b">
        <v>0</v>
        <stp/>
        <stp>BDS|6095232386479205702</stp>
        <tr r="I941" s="2"/>
      </tp>
      <tp t="s">
        <v>#N/A Requesting Data...3155559287</v>
        <stp/>
        <stp>BDP|7715509734615252665</stp>
        <tr r="N1241" s="2"/>
      </tp>
      <tp t="s">
        <v>#N/A Requesting Data...4074960385</v>
        <stp/>
        <stp>BDP|4575340152545252569</stp>
        <tr r="A35" s="2"/>
      </tp>
      <tp t="s">
        <v>#N/A Requesting Data...2879199181</v>
        <stp/>
        <stp>BDP|6997128526091867629</stp>
        <tr r="K2486" s="2"/>
      </tp>
      <tp t="s">
        <v>#N/A Requesting Data...825466251</v>
        <stp/>
        <stp>BDP|4105128929115840053</stp>
        <tr r="Q1836" s="2"/>
      </tp>
      <tp t="s">
        <v>#N/A Requesting Data...1506226404</v>
        <stp/>
        <stp>BDP|3377035994260166828</stp>
        <tr r="O1976" s="2"/>
      </tp>
      <tp t="s">
        <v>#N/A Requesting Data...2212189573</v>
        <stp/>
        <stp>BDP|9888875871384126082</stp>
        <tr r="E637" s="2"/>
      </tp>
      <tp t="s">
        <v>#N/A Requesting Data...3549249087</v>
        <stp/>
        <stp>BDP|7739704766844260047</stp>
        <tr r="O891" s="2"/>
      </tp>
      <tp t="s">
        <v>#N/A Requesting Data...1464951545</v>
        <stp/>
        <stp>BDP|2999248029695541562</stp>
        <tr r="S789" s="2"/>
      </tp>
      <tp t="b">
        <v>0</v>
        <stp/>
        <stp>BDS|6603209600802149407</stp>
        <tr r="I889" s="2"/>
      </tp>
      <tp t="s">
        <v>#N/A Requesting Data...925591217</v>
        <stp/>
        <stp>BDP|4731324062096346532</stp>
        <tr r="S839" s="2"/>
      </tp>
      <tp t="s">
        <v>#N/A Requesting Data...3707269763</v>
        <stp/>
        <stp>BDP|6697660057317138018</stp>
        <tr r="M1702" s="2"/>
      </tp>
      <tp t="s">
        <v>#N/A Requesting Data...3820156120</v>
        <stp/>
        <stp>BDP|3724803143265447877</stp>
        <tr r="O1792" s="2"/>
      </tp>
      <tp t="s">
        <v>#N/A Requesting Data...3941153099</v>
        <stp/>
        <stp>BDP|1421550165250684058</stp>
        <tr r="D831" s="2"/>
      </tp>
      <tp t="s">
        <v>#N/A Requesting Data...3208493808</v>
        <stp/>
        <stp>BDP|3005132090179331070</stp>
        <tr r="S2337" s="2"/>
      </tp>
      <tp t="s">
        <v>#N/A Requesting Data...2921777839</v>
        <stp/>
        <stp>BDP|6980988206469777473</stp>
        <tr r="G338" s="2"/>
      </tp>
      <tp t="s">
        <v>#N/A Requesting Data...2631310373</v>
        <stp/>
        <stp>BDP|2698974797485099510</stp>
        <tr r="E1110" s="2"/>
      </tp>
      <tp t="s">
        <v>#N/A Requesting Data...1236505469</v>
        <stp/>
        <stp>BDP|6542751875116300214</stp>
        <tr r="S310" s="2"/>
      </tp>
      <tp t="s">
        <v>#N/A Requesting Data...3323039223</v>
        <stp/>
        <stp>BDP|2675129339847954530</stp>
        <tr r="K1743" s="2"/>
      </tp>
      <tp t="s">
        <v>#N/A Requesting Data...3653739860</v>
        <stp/>
        <stp>BDP|1697963901262028869</stp>
        <tr r="J1286" s="2"/>
      </tp>
      <tp t="s">
        <v>#N/A Requesting Data...2435304270</v>
        <stp/>
        <stp>BDP|5627112612593458463</stp>
        <tr r="G273" s="2"/>
      </tp>
      <tp t="s">
        <v>#N/A Requesting Data...3777928064</v>
        <stp/>
        <stp>BDP|5646596254200948757</stp>
        <tr r="K857" s="2"/>
      </tp>
      <tp t="s">
        <v>#N/A Requesting Data...1789540558</v>
        <stp/>
        <stp>BDP|7148567710136262727</stp>
        <tr r="G2382" s="2"/>
      </tp>
      <tp t="s">
        <v>#N/A Requesting Data...3422249742</v>
        <stp/>
        <stp>BDP|6221800401058198458</stp>
        <tr r="J1239" s="2"/>
      </tp>
      <tp t="s">
        <v>#N/A Requesting Data...2051794249</v>
        <stp/>
        <stp>BDP|3033901722012441814</stp>
        <tr r="N1493" s="2"/>
      </tp>
      <tp t="s">
        <v>#N/A Requesting Data...2597753645</v>
        <stp/>
        <stp>BDP|3617060610509045972</stp>
        <tr r="T913" s="2"/>
      </tp>
      <tp t="s">
        <v>#N/A Requesting Data...3619133419</v>
        <stp/>
        <stp>BDP|7847871961662859914</stp>
        <tr r="O1697" s="2"/>
      </tp>
      <tp t="s">
        <v>#N/A Requesting Data...3729211728</v>
        <stp/>
        <stp>BDP|8903584080455207242</stp>
        <tr r="H1549" s="2"/>
      </tp>
      <tp t="s">
        <v>#N/A Requesting Data...2588909331</v>
        <stp/>
        <stp>BDP|1620793857200834172</stp>
        <tr r="A2315" s="2"/>
      </tp>
      <tp t="s">
        <v>#N/A Requesting Data...2814251316</v>
        <stp/>
        <stp>BDP|5799639963782147511</stp>
        <tr r="S2273" s="2"/>
      </tp>
      <tp t="s">
        <v>#N/A Requesting Data...2708758927</v>
        <stp/>
        <stp>BDP|8931336756785325982</stp>
        <tr r="A1333" s="2"/>
      </tp>
      <tp t="s">
        <v>#N/A Requesting Data...2305955909</v>
        <stp/>
        <stp>BDP|5739073949700704392</stp>
        <tr r="G548" s="2"/>
      </tp>
      <tp t="s">
        <v>#N/A Requesting Data...2687852774</v>
        <stp/>
        <stp>BDP|2269171435331119360</stp>
        <tr r="O555" s="2"/>
      </tp>
      <tp t="s">
        <v>#N/A Requesting Data...3178057870</v>
        <stp/>
        <stp>BDP|4824411371025765080</stp>
        <tr r="K1089" s="2"/>
      </tp>
      <tp t="s">
        <v>#N/A Requesting Data...1127645831</v>
        <stp/>
        <stp>BDP|6691783230822161281</stp>
        <tr r="G1320" s="2"/>
      </tp>
      <tp t="s">
        <v>#N/A Requesting Data...2164084171</v>
        <stp/>
        <stp>BDP|2860678837813848677</stp>
        <tr r="C84" s="2"/>
      </tp>
      <tp t="s">
        <v>#N/A Requesting Data...1942756089</v>
        <stp/>
        <stp>BDP|3899985640814290858</stp>
        <tr r="H670" s="2"/>
      </tp>
      <tp t="s">
        <v>#N/A Requesting Data...1380736016</v>
        <stp/>
        <stp>BDP|2719019161087045108</stp>
        <tr r="S1907" s="2"/>
      </tp>
      <tp t="s">
        <v>#N/A Requesting Data...4081292979</v>
        <stp/>
        <stp>BDP|4412567271010664424</stp>
        <tr r="P21" s="2"/>
      </tp>
      <tp t="s">
        <v>#N/A Requesting Data...2095711851</v>
        <stp/>
        <stp>BDP|3120029905792116309</stp>
        <tr r="Q1280" s="2"/>
      </tp>
      <tp t="s">
        <v>#N/A Requesting Data...2814208526</v>
        <stp/>
        <stp>BDP|5725237250357274715</stp>
        <tr r="G566" s="2"/>
      </tp>
      <tp t="s">
        <v>#N/A Requesting Data...1073953792</v>
        <stp/>
        <stp>BDP|6721650373641231443</stp>
        <tr r="S2390" s="2"/>
      </tp>
      <tp t="b">
        <v>0</v>
        <stp/>
        <stp>BDS|1669035045373649413</stp>
        <tr r="I1128" s="2"/>
      </tp>
      <tp t="s">
        <v>#N/A Requesting Data...1956173271</v>
        <stp/>
        <stp>BDP|6159107002831577419</stp>
        <tr r="O2057" s="2"/>
      </tp>
      <tp t="s">
        <v>#N/A Requesting Data...1726312154</v>
        <stp/>
        <stp>BDP|3591202924845276440</stp>
        <tr r="G949" s="2"/>
      </tp>
      <tp t="s">
        <v>#N/A Requesting Data...3593161380</v>
        <stp/>
        <stp>BDP|5447970797313096439</stp>
        <tr r="T639" s="2"/>
      </tp>
      <tp t="s">
        <v>#N/A Requesting Data...3991382467</v>
        <stp/>
        <stp>BDP|6964394298576956865</stp>
        <tr r="K1902" s="2"/>
      </tp>
      <tp t="s">
        <v>#N/A Requesting Data...3190315704</v>
        <stp/>
        <stp>BDP|3813864776308924663</stp>
        <tr r="M1078" s="2"/>
      </tp>
      <tp t="s">
        <v>#N/A Requesting Data...2260418777</v>
        <stp/>
        <stp>BDP|2963796271055275540</stp>
        <tr r="P1923" s="2"/>
      </tp>
      <tp t="b">
        <v>0</v>
        <stp/>
        <stp>BDS|7854806907185817807</stp>
        <tr r="I210" s="2"/>
      </tp>
      <tp t="s">
        <v>#N/A Requesting Data...2157463184</v>
        <stp/>
        <stp>BDP|7971751311380246386</stp>
        <tr r="N2289" s="2"/>
      </tp>
      <tp t="s">
        <v>#N/A Requesting Data...2004266673</v>
        <stp/>
        <stp>BDP|3445314885028642213</stp>
        <tr r="E1852" s="2"/>
      </tp>
      <tp t="s">
        <v>#N/A Requesting Data...1640421956</v>
        <stp/>
        <stp>BDP|9329973052110925785</stp>
        <tr r="O584" s="2"/>
      </tp>
      <tp t="s">
        <v>#N/A Requesting Data...1663009422</v>
        <stp/>
        <stp>BDP|4048331644515737474</stp>
        <tr r="S1819" s="2"/>
      </tp>
      <tp t="s">
        <v>#N/A Requesting Data...1835490132</v>
        <stp/>
        <stp>BDP|3253467554944499435</stp>
        <tr r="J861" s="2"/>
      </tp>
      <tp t="s">
        <v>#N/A Requesting Data...3292211506</v>
        <stp/>
        <stp>BDP|7611614161560714567</stp>
        <tr r="Q1550" s="2"/>
      </tp>
      <tp t="s">
        <v>#N/A Requesting Data...974278047</v>
        <stp/>
        <stp>BDP|6903256540567185592</stp>
        <tr r="G2451" s="2"/>
      </tp>
      <tp t="s">
        <v>#N/A Requesting Data...2402783470</v>
        <stp/>
        <stp>BDP|7849198623791646706</stp>
        <tr r="O990" s="2"/>
      </tp>
      <tp t="s">
        <v>#N/A Requesting Data...3044716136</v>
        <stp/>
        <stp>BDP|3033446501950122507</stp>
        <tr r="J979" s="2"/>
      </tp>
      <tp t="s">
        <v>#N/A Requesting Data...1978647787</v>
        <stp/>
        <stp>BDP|9296994411206643582</stp>
        <tr r="H711" s="2"/>
      </tp>
      <tp t="s">
        <v>#N/A Requesting Data...2420283293</v>
        <stp/>
        <stp>BDP|1561848507822375918</stp>
        <tr r="R1564" s="2"/>
      </tp>
      <tp t="s">
        <v>#N/A Requesting Data...3178128053</v>
        <stp/>
        <stp>BDP|8012753522326089930</stp>
        <tr r="N692" s="2"/>
      </tp>
      <tp t="s">
        <v>#N/A Requesting Data...2125011979</v>
        <stp/>
        <stp>BDP|8037461865929242156</stp>
        <tr r="F137" s="2"/>
      </tp>
      <tp t="s">
        <v>#N/A Requesting Data...3294138898</v>
        <stp/>
        <stp>BDP|8167424366088723069</stp>
        <tr r="R2276" s="2"/>
      </tp>
      <tp t="s">
        <v>#N/A Requesting Data...4205887633</v>
        <stp/>
        <stp>BDP|2845477254480695197</stp>
        <tr r="H1333" s="2"/>
      </tp>
      <tp t="s">
        <v>#N/A Requesting Data...3863913026</v>
        <stp/>
        <stp>BDP|7705454725661231219</stp>
        <tr r="J2105" s="2"/>
      </tp>
      <tp t="s">
        <v>#N/A Requesting Data...1532914211</v>
        <stp/>
        <stp>BDP|2591235819003804034</stp>
        <tr r="J1682" s="2"/>
      </tp>
      <tp t="s">
        <v>#N/A Requesting Data...3179895548</v>
        <stp/>
        <stp>BDP|2329018624092638041</stp>
        <tr r="P329" s="2"/>
      </tp>
      <tp t="s">
        <v>#N/A Requesting Data...3361779999</v>
        <stp/>
        <stp>BDP|4335330633082185463</stp>
        <tr r="H1421" s="2"/>
      </tp>
      <tp t="s">
        <v>#N/A Requesting Data...4038151159</v>
        <stp/>
        <stp>BDP|8843321806029987015</stp>
        <tr r="O1481" s="2"/>
      </tp>
      <tp t="s">
        <v>#N/A Requesting Data...2904368798</v>
        <stp/>
        <stp>BDP|8890921238870035068</stp>
        <tr r="C2392" s="2"/>
      </tp>
      <tp t="s">
        <v>#N/A Requesting Data...891435970</v>
        <stp/>
        <stp>BDP|3191540046369696918</stp>
        <tr r="O962" s="2"/>
      </tp>
      <tp t="s">
        <v>#N/A Requesting Data...1981161473</v>
        <stp/>
        <stp>BDP|2689117383828256129</stp>
        <tr r="O2316" s="2"/>
      </tp>
      <tp t="s">
        <v>#N/A Requesting Data...1711438945</v>
        <stp/>
        <stp>BDP|2559693388847061903</stp>
        <tr r="Q2343" s="2"/>
      </tp>
      <tp t="s">
        <v>#N/A Requesting Data...998884753</v>
        <stp/>
        <stp>BDP|3228058123282159116</stp>
        <tr r="K592" s="2"/>
      </tp>
      <tp t="s">
        <v>#N/A Requesting Data...2530895621</v>
        <stp/>
        <stp>BDP|9280820976832733658</stp>
        <tr r="E2279" s="2"/>
      </tp>
      <tp t="s">
        <v>#N/A Requesting Data...3513915837</v>
        <stp/>
        <stp>BDP|1195660295348388459</stp>
        <tr r="R259" s="2"/>
      </tp>
      <tp t="s">
        <v>#N/A Requesting Data...1252250214</v>
        <stp/>
        <stp>BDP|7108432079146787080</stp>
        <tr r="A906" s="2"/>
      </tp>
      <tp t="s">
        <v>#N/A Requesting Data...3954979312</v>
        <stp/>
        <stp>BDP|3354250436671197150</stp>
        <tr r="F2116" s="2"/>
      </tp>
      <tp t="s">
        <v>#N/A Requesting Data...2925859599</v>
        <stp/>
        <stp>BDP|4563116604055681222</stp>
        <tr r="A1463" s="2"/>
      </tp>
      <tp t="s">
        <v>#N/A Requesting Data...2422877929</v>
        <stp/>
        <stp>BDP|8776516302816816982</stp>
        <tr r="M1650" s="2"/>
      </tp>
      <tp t="s">
        <v>#N/A Requesting Data...1908087831</v>
        <stp/>
        <stp>BDP|2683432656980591120</stp>
        <tr r="C971" s="2"/>
      </tp>
      <tp t="s">
        <v>#N/A Requesting Data...4231034298</v>
        <stp/>
        <stp>BDP|3267573310887012216</stp>
        <tr r="H1311" s="2"/>
      </tp>
      <tp t="s">
        <v>#N/A Requesting Data...1654869862</v>
        <stp/>
        <stp>BDP|5863904528015718939</stp>
        <tr r="A2453" s="2"/>
      </tp>
      <tp t="s">
        <v>#N/A Requesting Data...3858236126</v>
        <stp/>
        <stp>BDP|9194322188587612795</stp>
        <tr r="M705" s="2"/>
      </tp>
      <tp t="s">
        <v>#N/A Requesting Data...3842123306</v>
        <stp/>
        <stp>BDP|3276021957741582563</stp>
        <tr r="O330" s="2"/>
      </tp>
      <tp t="s">
        <v>#N/A Requesting Data...2895811408</v>
        <stp/>
        <stp>BDP|2188071805776623611</stp>
        <tr r="P1387" s="2"/>
      </tp>
      <tp t="s">
        <v>#N/A Requesting Data...1707253643</v>
        <stp/>
        <stp>BDP|5459658977166296008</stp>
        <tr r="S1430" s="2"/>
      </tp>
      <tp t="s">
        <v>#N/A Requesting Data...4198874758</v>
        <stp/>
        <stp>BDP|5907061167158493984</stp>
        <tr r="P377" s="2"/>
      </tp>
      <tp t="s">
        <v>#N/A Requesting Data...3978002834</v>
        <stp/>
        <stp>BDP|8587009892965339606</stp>
        <tr r="O724" s="2"/>
      </tp>
      <tp t="s">
        <v>#N/A Requesting Data...987786807</v>
        <stp/>
        <stp>BDP|9044618182601738404</stp>
        <tr r="C1640" s="2"/>
      </tp>
      <tp t="b">
        <v>0</v>
        <stp/>
        <stp>BDS|6492857734286204932</stp>
        <tr r="I962" s="2"/>
      </tp>
      <tp t="s">
        <v>#N/A Requesting Data...2998943127</v>
        <stp/>
        <stp>BDP|9820747109519042518</stp>
        <tr r="A1682" s="2"/>
      </tp>
      <tp t="s">
        <v>#N/A Requesting Data...3014148556</v>
        <stp/>
        <stp>BDP|8754337316011475929</stp>
        <tr r="N909" s="2"/>
      </tp>
      <tp t="s">
        <v>#N/A Requesting Data...926260050</v>
        <stp/>
        <stp>BDP|7439762232969255861</stp>
        <tr r="J1197" s="2"/>
      </tp>
      <tp t="s">
        <v>#N/A Requesting Data...3420965864</v>
        <stp/>
        <stp>BDP|5702372531570529709</stp>
        <tr r="H1501" s="2"/>
      </tp>
      <tp t="s">
        <v>#N/A Requesting Data...1313174380</v>
        <stp/>
        <stp>BDP|4750656375184481376</stp>
        <tr r="D2156" s="2"/>
      </tp>
      <tp t="s">
        <v>#N/A Requesting Data...2854695981</v>
        <stp/>
        <stp>BDP|4170737607451527049</stp>
        <tr r="J278" s="2"/>
      </tp>
      <tp t="s">
        <v>#N/A Requesting Data...931000862</v>
        <stp/>
        <stp>BDP|5349038137677459370</stp>
        <tr r="G1489" s="2"/>
      </tp>
      <tp t="s">
        <v>#N/A Requesting Data...2270925429</v>
        <stp/>
        <stp>BDP|7855387505611286733</stp>
        <tr r="Q465" s="2"/>
      </tp>
      <tp t="s">
        <v>#N/A Requesting Data...1532552925</v>
        <stp/>
        <stp>BDP|6740264256965474671</stp>
        <tr r="Q1874" s="2"/>
      </tp>
      <tp t="s">
        <v>#N/A Requesting Data...2150147520</v>
        <stp/>
        <stp>BDP|3156642950681794367</stp>
        <tr r="G1674" s="2"/>
      </tp>
      <tp t="s">
        <v>#N/A Requesting Data...3057265223</v>
        <stp/>
        <stp>BDP|1734228250874297034</stp>
        <tr r="P554" s="2"/>
      </tp>
      <tp t="s">
        <v>#N/A Requesting Data...2541406065</v>
        <stp/>
        <stp>BDP|4280974597712742411</stp>
        <tr r="R2213" s="2"/>
      </tp>
      <tp t="s">
        <v>#N/A Requesting Data...1216925910</v>
        <stp/>
        <stp>BDP|3785643504725635251</stp>
        <tr r="K1904" s="2"/>
      </tp>
      <tp t="s">
        <v>#N/A Requesting Data...1489205774</v>
        <stp/>
        <stp>BDP|3147709253322654105</stp>
        <tr r="H2229" s="2"/>
      </tp>
      <tp t="s">
        <v>#N/A Requesting Data...3020072893</v>
        <stp/>
        <stp>BDP|7059085370730981251</stp>
        <tr r="K1032" s="2"/>
      </tp>
      <tp t="s">
        <v>#N/A Requesting Data...3622437618</v>
        <stp/>
        <stp>BDP|8258954926168113940</stp>
        <tr r="J1637" s="2"/>
      </tp>
      <tp t="s">
        <v>#N/A Requesting Data...2365791124</v>
        <stp/>
        <stp>BDP|5140906125359222522</stp>
        <tr r="A1797" s="2"/>
      </tp>
      <tp t="s">
        <v>#N/A Requesting Data...3689873146</v>
        <stp/>
        <stp>BDP|1783011950727768159</stp>
        <tr r="N146" s="2"/>
      </tp>
      <tp t="b">
        <v>0</v>
        <stp/>
        <stp>BDS|3406536710605151027</stp>
        <tr r="I1318" s="2"/>
      </tp>
      <tp t="s">
        <v>#N/A Requesting Data...1790616992</v>
        <stp/>
        <stp>BDP|2782405742725386523</stp>
        <tr r="F572" s="2"/>
      </tp>
      <tp t="s">
        <v>#N/A Requesting Data...2672863808</v>
        <stp/>
        <stp>BDP|8404218950189797461</stp>
        <tr r="K1253" s="2"/>
      </tp>
      <tp t="s">
        <v>#N/A Requesting Data...3057018454</v>
        <stp/>
        <stp>BDP|2455287657715621296</stp>
        <tr r="A2226" s="2"/>
      </tp>
      <tp t="s">
        <v>#N/A Requesting Data...1535671234</v>
        <stp/>
        <stp>BDP|9096759992546274313</stp>
        <tr r="R125" s="2"/>
      </tp>
      <tp t="s">
        <v>#N/A Requesting Data...2143128555</v>
        <stp/>
        <stp>BDP|2448877180928133868</stp>
        <tr r="K648" s="2"/>
      </tp>
      <tp t="s">
        <v>#N/A Requesting Data...1814422613</v>
        <stp/>
        <stp>BDP|9458906087578439235</stp>
        <tr r="G2464" s="2"/>
      </tp>
      <tp t="s">
        <v>#N/A Requesting Data...3446555251</v>
        <stp/>
        <stp>BDP|6403385479189704964</stp>
        <tr r="A929" s="2"/>
      </tp>
      <tp t="s">
        <v>#N/A Requesting Data...2478989672</v>
        <stp/>
        <stp>BDP|5207405115745146725</stp>
        <tr r="G1314" s="2"/>
      </tp>
      <tp t="s">
        <v>#N/A Requesting Data...3973808283</v>
        <stp/>
        <stp>BDP|7947146019110167516</stp>
        <tr r="A2346" s="2"/>
      </tp>
      <tp t="s">
        <v>#N/A Requesting Data...999497535</v>
        <stp/>
        <stp>BDP|7108235032231663522</stp>
        <tr r="A1414" s="2"/>
      </tp>
      <tp t="b">
        <v>0</v>
        <stp/>
        <stp>BDS|5242150334692220750</stp>
        <tr r="I1775" s="2"/>
      </tp>
      <tp t="s">
        <v>#N/A Requesting Data...1499691656</v>
        <stp/>
        <stp>BDP|8161829103097192555</stp>
        <tr r="K134" s="2"/>
      </tp>
      <tp t="s">
        <v>#N/A Requesting Data...1204669991</v>
        <stp/>
        <stp>BDP|4562866990696714105</stp>
        <tr r="F1847" s="2"/>
      </tp>
      <tp t="s">
        <v>#N/A Requesting Data...2633489909</v>
        <stp/>
        <stp>BDP|3691009605090069174</stp>
        <tr r="J1152" s="2"/>
      </tp>
      <tp t="b">
        <v>0</v>
        <stp/>
        <stp>BDS|6469649613184590726</stp>
        <tr r="I700" s="2"/>
      </tp>
      <tp t="s">
        <v>#N/A Requesting Data...4259505211</v>
        <stp/>
        <stp>BDP|5123232517657111305</stp>
        <tr r="N1446" s="2"/>
      </tp>
      <tp t="s">
        <v>#N/A Requesting Data...3712939034</v>
        <stp/>
        <stp>BDP|5367327844730947080</stp>
        <tr r="N1516" s="2"/>
      </tp>
      <tp t="s">
        <v>#N/A Requesting Data...2348940492</v>
        <stp/>
        <stp>BDP|6692749504567035423</stp>
        <tr r="P2481" s="2"/>
      </tp>
      <tp t="s">
        <v>#N/A Requesting Data...2276014734</v>
        <stp/>
        <stp>BDP|5316511751414530322</stp>
        <tr r="A466" s="2"/>
      </tp>
      <tp t="s">
        <v>#N/A Requesting Data...2054584949</v>
        <stp/>
        <stp>BDP|8095135199150810269</stp>
        <tr r="G817" s="2"/>
      </tp>
      <tp t="s">
        <v>#N/A Requesting Data...2710105973</v>
        <stp/>
        <stp>BDP|2800017281169906153</stp>
        <tr r="O267" s="2"/>
      </tp>
      <tp t="s">
        <v>#N/A Requesting Data...1376731387</v>
        <stp/>
        <stp>BDP|2400304264254244167</stp>
        <tr r="T1804" s="2"/>
      </tp>
      <tp t="s">
        <v>#N/A Requesting Data...2245746740</v>
        <stp/>
        <stp>BDP|1471530956230647334</stp>
        <tr r="Q2481" s="2"/>
      </tp>
      <tp t="s">
        <v>#N/A Requesting Data...3919540990</v>
        <stp/>
        <stp>BDP|9489569480635752317</stp>
        <tr r="M378" s="2"/>
      </tp>
      <tp t="s">
        <v>#N/A Requesting Data...3778225327</v>
        <stp/>
        <stp>BDP|2630117932246905483</stp>
        <tr r="N1565" s="2"/>
      </tp>
      <tp t="s">
        <v>#N/A Requesting Data...2281423169</v>
        <stp/>
        <stp>BDP|4079576343827990095</stp>
        <tr r="D1629" s="2"/>
      </tp>
      <tp t="s">
        <v>#N/A Requesting Data...3050208035</v>
        <stp/>
        <stp>BDP|7320646816103530103</stp>
        <tr r="A86" s="2"/>
      </tp>
      <tp t="s">
        <v>#N/A Requesting Data...1098265366</v>
        <stp/>
        <stp>BDP|2849856170807181887</stp>
        <tr r="E2075" s="2"/>
      </tp>
      <tp t="s">
        <v>#N/A Requesting Data...4144602190</v>
        <stp/>
        <stp>BDP|7332494572251529792</stp>
        <tr r="C425" s="2"/>
      </tp>
      <tp t="s">
        <v>#N/A Requesting Data...4160226395</v>
        <stp/>
        <stp>BDP|8652944965473659654</stp>
        <tr r="T2057" s="2"/>
      </tp>
      <tp t="s">
        <v>#N/A Requesting Data...1494147505</v>
        <stp/>
        <stp>BDP|5097285819811188548</stp>
        <tr r="E2442" s="2"/>
      </tp>
      <tp t="s">
        <v>#N/A Requesting Data...3418518534</v>
        <stp/>
        <stp>BDP|2861602028352344677</stp>
        <tr r="C29" s="2"/>
      </tp>
      <tp t="s">
        <v>#N/A Requesting Data...1659244738</v>
        <stp/>
        <stp>BDP|4375246772187948480</stp>
        <tr r="E769" s="2"/>
      </tp>
      <tp t="s">
        <v>#N/A Requesting Data...4049318346</v>
        <stp/>
        <stp>BDP|3655073436340608251</stp>
        <tr r="N276" s="2"/>
      </tp>
      <tp t="s">
        <v>#N/A Requesting Data...1661503741</v>
        <stp/>
        <stp>BDP|3727717967223134340</stp>
        <tr r="F1591" s="2"/>
      </tp>
      <tp t="s">
        <v>#N/A Requesting Data...3818575786</v>
        <stp/>
        <stp>BDP|4413537924614273553</stp>
        <tr r="T584" s="2"/>
      </tp>
      <tp t="s">
        <v>#N/A Requesting Data...3548756031</v>
        <stp/>
        <stp>BDP|1435753024097446150</stp>
        <tr r="R876" s="2"/>
      </tp>
      <tp t="s">
        <v>#N/A Requesting Data...1658026948</v>
        <stp/>
        <stp>BDP|1972175368981683547</stp>
        <tr r="C2152" s="2"/>
      </tp>
      <tp t="s">
        <v>#N/A Requesting Data...1168747364</v>
        <stp/>
        <stp>BDP|5202143506016356071</stp>
        <tr r="M785" s="2"/>
      </tp>
      <tp t="s">
        <v>#N/A Requesting Data...1675017109</v>
        <stp/>
        <stp>BDP|8403976435279040927</stp>
        <tr r="D370" s="2"/>
      </tp>
      <tp t="s">
        <v>#N/A Requesting Data...1961245536</v>
        <stp/>
        <stp>BDP|6105132132724775235</stp>
        <tr r="H1638" s="2"/>
      </tp>
      <tp t="s">
        <v>#N/A Requesting Data...1865483424</v>
        <stp/>
        <stp>BDP|6562207190069446652</stp>
        <tr r="M1056" s="2"/>
      </tp>
      <tp t="s">
        <v>#N/A Requesting Data...1068505717</v>
        <stp/>
        <stp>BDP|8414137993334022600</stp>
        <tr r="P95" s="2"/>
      </tp>
      <tp t="s">
        <v>#N/A Requesting Data...2104756987</v>
        <stp/>
        <stp>BDP|6248043465605601716</stp>
        <tr r="O1239" s="2"/>
      </tp>
      <tp t="s">
        <v>#N/A Requesting Data...3196833540</v>
        <stp/>
        <stp>BDP|2781611953716687571</stp>
        <tr r="H2184" s="2"/>
      </tp>
      <tp t="s">
        <v>#N/A Requesting Data...1200903222</v>
        <stp/>
        <stp>BDP|7905263119480095629</stp>
        <tr r="C2376" s="2"/>
      </tp>
      <tp t="s">
        <v>#N/A Requesting Data...2180143049</v>
        <stp/>
        <stp>BDP|9119835001210331342</stp>
        <tr r="A776" s="2"/>
      </tp>
      <tp t="s">
        <v>#N/A Requesting Data...1999949952</v>
        <stp/>
        <stp>BDP|3926217332576906676</stp>
        <tr r="E2365" s="2"/>
      </tp>
      <tp t="s">
        <v>#N/A Requesting Data...1296716840</v>
        <stp/>
        <stp>BDP|8112834226748330837</stp>
        <tr r="C752" s="2"/>
      </tp>
      <tp t="s">
        <v>#N/A Requesting Data...3468041160</v>
        <stp/>
        <stp>BDP|1543362534451246210</stp>
        <tr r="J915" s="2"/>
      </tp>
      <tp t="s">
        <v>#N/A Requesting Data...1464627573</v>
        <stp/>
        <stp>BDP|7146837580441562437</stp>
        <tr r="R106" s="2"/>
      </tp>
      <tp t="s">
        <v>#N/A Requesting Data...2721854037</v>
        <stp/>
        <stp>BDP|9077001589562822157</stp>
        <tr r="E1399" s="2"/>
      </tp>
      <tp t="b">
        <v>0</v>
        <stp/>
        <stp>BDS|6443437602738790868</stp>
        <tr r="I2480" s="2"/>
      </tp>
      <tp t="s">
        <v>#N/A Requesting Data...3059979277</v>
        <stp/>
        <stp>BDP|2518656331730404516</stp>
        <tr r="F62" s="2"/>
      </tp>
      <tp t="s">
        <v>#N/A Requesting Data...1638343520</v>
        <stp/>
        <stp>BDP|4340752910613654343</stp>
        <tr r="G2187" s="2"/>
      </tp>
      <tp t="s">
        <v>#N/A Requesting Data...3976860123</v>
        <stp/>
        <stp>BDP|3045819884522971389</stp>
        <tr r="G380" s="2"/>
      </tp>
      <tp t="s">
        <v>#N/A Requesting Data...3276829534</v>
        <stp/>
        <stp>BDP|3463279598668878278</stp>
        <tr r="H613" s="2"/>
      </tp>
      <tp t="s">
        <v>#N/A Requesting Data...2711968013</v>
        <stp/>
        <stp>BDP|2346669163910793044</stp>
        <tr r="K1429" s="2"/>
      </tp>
      <tp t="s">
        <v>#N/A Requesting Data...1717625906</v>
        <stp/>
        <stp>BDP|6912273194956860974</stp>
        <tr r="H83" s="2"/>
      </tp>
      <tp t="s">
        <v>#N/A Requesting Data...2787095362</v>
        <stp/>
        <stp>BDP|6396102275655171723</stp>
        <tr r="D2199" s="2"/>
      </tp>
      <tp t="s">
        <v>#N/A Requesting Data...3994434219</v>
        <stp/>
        <stp>BDP|2998026416203041280</stp>
        <tr r="H1345" s="2"/>
      </tp>
      <tp t="s">
        <v>#N/A Requesting Data...1686093059</v>
        <stp/>
        <stp>BDP|9496331290283401263</stp>
        <tr r="J196" s="2"/>
      </tp>
      <tp t="s">
        <v>#N/A Requesting Data...3478505949</v>
        <stp/>
        <stp>BDP|1913178439652669340</stp>
        <tr r="N1986" s="2"/>
      </tp>
      <tp t="s">
        <v>#N/A Requesting Data...2568146300</v>
        <stp/>
        <stp>BDP|6700606301484390602</stp>
        <tr r="P1137" s="2"/>
      </tp>
      <tp t="b">
        <v>0</v>
        <stp/>
        <stp>BDS|9684393879039214610</stp>
        <tr r="I2412" s="2"/>
      </tp>
      <tp t="s">
        <v>#N/A Requesting Data...1596065821</v>
        <stp/>
        <stp>BDP|6262424464775296334</stp>
        <tr r="E1924" s="2"/>
      </tp>
      <tp t="s">
        <v>#N/A Requesting Data...1094750464</v>
        <stp/>
        <stp>BDP|9268480893452832449</stp>
        <tr r="T980" s="2"/>
      </tp>
      <tp t="s">
        <v>#N/A Requesting Data...4114256499</v>
        <stp/>
        <stp>BDP|8520539101856735958</stp>
        <tr r="P1689" s="2"/>
      </tp>
      <tp t="s">
        <v>#N/A Requesting Data...3240475053</v>
        <stp/>
        <stp>BDP|6253730478063552798</stp>
        <tr r="O1878" s="2"/>
      </tp>
      <tp t="s">
        <v>#N/A Requesting Data...2029945100</v>
        <stp/>
        <stp>BDP|8349093091656792590</stp>
        <tr r="G1215" s="2"/>
      </tp>
      <tp t="s">
        <v>#N/A Requesting Data...1608012022</v>
        <stp/>
        <stp>BDP|9066438446533608863</stp>
        <tr r="J557" s="2"/>
      </tp>
      <tp t="s">
        <v>#N/A Requesting Data...3885626757</v>
        <stp/>
        <stp>BDP|9119799499833615629</stp>
        <tr r="S226" s="2"/>
      </tp>
      <tp t="s">
        <v>#N/A Requesting Data...1574847718</v>
        <stp/>
        <stp>BDP|6231139750628231864</stp>
        <tr r="J1349" s="2"/>
      </tp>
      <tp t="s">
        <v>#N/A Requesting Data...3546949286</v>
        <stp/>
        <stp>BDP|7200979195476773321</stp>
        <tr r="G259" s="2"/>
      </tp>
      <tp t="s">
        <v>#N/A Requesting Data...1106918909</v>
        <stp/>
        <stp>BDP|6046075089949314582</stp>
        <tr r="H113" s="2"/>
      </tp>
      <tp t="s">
        <v>#N/A Requesting Data...3987675330</v>
        <stp/>
        <stp>BDP|1423197352525392292</stp>
        <tr r="K1994" s="2"/>
      </tp>
      <tp t="s">
        <v>#N/A Requesting Data...3280554241</v>
        <stp/>
        <stp>BDP|8666716005838054576</stp>
        <tr r="E1826" s="2"/>
      </tp>
      <tp t="s">
        <v>#N/A Requesting Data...4292192039</v>
        <stp/>
        <stp>BDP|3330469704245711032</stp>
        <tr r="P1573" s="2"/>
      </tp>
      <tp t="s">
        <v>#N/A Requesting Data...3526438581</v>
        <stp/>
        <stp>BDP|6814963692823992708</stp>
        <tr r="C201" s="2"/>
      </tp>
      <tp t="s">
        <v>#N/A Requesting Data...1992308191</v>
        <stp/>
        <stp>BDP|7740017113707462349</stp>
        <tr r="N508" s="2"/>
      </tp>
      <tp t="s">
        <v>#N/A Requesting Data...1743462094</v>
        <stp/>
        <stp>BDP|3048128002555030551</stp>
        <tr r="T2147" s="2"/>
      </tp>
      <tp t="b">
        <v>0</v>
        <stp/>
        <stp>BDS|8572467433454356968</stp>
        <tr r="I897" s="2"/>
      </tp>
      <tp t="s">
        <v>#N/A Requesting Data...1179431702</v>
        <stp/>
        <stp>BDP|7662908094753451636</stp>
        <tr r="D2048" s="2"/>
      </tp>
      <tp t="s">
        <v>#N/A Requesting Data...1531498142</v>
        <stp/>
        <stp>BDP|5810386985984870883</stp>
        <tr r="A598" s="2"/>
      </tp>
      <tp t="s">
        <v>#N/A Requesting Data...3363341823</v>
        <stp/>
        <stp>BDP|1017892835270187883</stp>
        <tr r="G2082" s="2"/>
      </tp>
      <tp t="s">
        <v>#N/A Requesting Data...1189043480</v>
        <stp/>
        <stp>BDP|2781078732494760708</stp>
        <tr r="N1316" s="2"/>
      </tp>
      <tp t="s">
        <v>#N/A Requesting Data...4271546641</v>
        <stp/>
        <stp>BDP|3521141952196565339</stp>
        <tr r="P899" s="2"/>
      </tp>
      <tp t="b">
        <v>0</v>
        <stp/>
        <stp>BDS|7113819916989272518</stp>
        <tr r="I726" s="2"/>
      </tp>
      <tp t="s">
        <v>#N/A Requesting Data...2865313991</v>
        <stp/>
        <stp>BDP|6024512109493493290</stp>
        <tr r="O431" s="2"/>
      </tp>
      <tp t="s">
        <v>#N/A Requesting Data...2626048243</v>
        <stp/>
        <stp>BDP|5406046568829410893</stp>
        <tr r="A1935" s="2"/>
      </tp>
      <tp t="s">
        <v>#N/A Requesting Data...4051449262</v>
        <stp/>
        <stp>BDP|9392369394078449908</stp>
        <tr r="S994" s="2"/>
      </tp>
      <tp t="s">
        <v>#N/A Requesting Data...1862098915</v>
        <stp/>
        <stp>BDP|1129892777635825928</stp>
        <tr r="F690" s="2"/>
      </tp>
      <tp t="s">
        <v>#N/A Requesting Data...2767083257</v>
        <stp/>
        <stp>BDP|2787119300778587961</stp>
        <tr r="R537" s="2"/>
      </tp>
      <tp t="s">
        <v>#N/A Requesting Data...2256815216</v>
        <stp/>
        <stp>BDP|5221755682138691060</stp>
        <tr r="T930" s="2"/>
      </tp>
      <tp t="s">
        <v>#N/A Requesting Data...1464963190</v>
        <stp/>
        <stp>BDP|3216567223840387619</stp>
        <tr r="S1150" s="2"/>
      </tp>
      <tp t="s">
        <v>#N/A Requesting Data...2117329231</v>
        <stp/>
        <stp>BDP|2475369694359266314</stp>
        <tr r="T2441" s="2"/>
      </tp>
      <tp t="s">
        <v>#N/A Requesting Data...3105605377</v>
        <stp/>
        <stp>BDP|3714057611830110070</stp>
        <tr r="T1357" s="2"/>
      </tp>
      <tp t="b">
        <v>0</v>
        <stp/>
        <stp>BDS|8798449898954607385</stp>
        <tr r="I994" s="2"/>
      </tp>
      <tp t="s">
        <v>#N/A Requesting Data...1538363342</v>
        <stp/>
        <stp>BDP|6958438439680557331</stp>
        <tr r="Q955" s="2"/>
      </tp>
      <tp t="s">
        <v>#N/A Requesting Data...3869552606</v>
        <stp/>
        <stp>BDP|2573615396857341840</stp>
        <tr r="Q1660" s="2"/>
      </tp>
      <tp t="b">
        <v>0</v>
        <stp/>
        <stp>BDS|9863878633789928906</stp>
        <tr r="I860" s="2"/>
      </tp>
      <tp t="s">
        <v>#N/A Requesting Data...2524960258</v>
        <stp/>
        <stp>BDP|4501248417443336601</stp>
        <tr r="J640" s="2"/>
      </tp>
      <tp t="s">
        <v>#N/A Requesting Data...2702043775</v>
        <stp/>
        <stp>BDP|4395447235235246456</stp>
        <tr r="M2065" s="2"/>
      </tp>
      <tp t="s">
        <v>#N/A Requesting Data...2596748837</v>
        <stp/>
        <stp>BDP|9972995975602488742</stp>
        <tr r="C1378" s="2"/>
      </tp>
      <tp t="s">
        <v>#N/A Requesting Data...1789679404</v>
        <stp/>
        <stp>BDP|6693442735573462069</stp>
        <tr r="P2293" s="2"/>
      </tp>
      <tp t="s">
        <v>#N/A Requesting Data...3856612762</v>
        <stp/>
        <stp>BDP|3301231755337319132</stp>
        <tr r="J289" s="2"/>
      </tp>
      <tp t="s">
        <v>#N/A Requesting Data...2415686899</v>
        <stp/>
        <stp>BDP|4961312792189803574</stp>
        <tr r="O1851" s="2"/>
      </tp>
      <tp t="s">
        <v>#N/A Requesting Data...3884320798</v>
        <stp/>
        <stp>BDP|9418947544213628576</stp>
        <tr r="S120" s="2"/>
      </tp>
      <tp t="s">
        <v>#N/A Requesting Data...1251890648</v>
        <stp/>
        <stp>BDP|8077670054150674902</stp>
        <tr r="E1582" s="2"/>
      </tp>
      <tp t="s">
        <v>#N/A Requesting Data...1656657286</v>
        <stp/>
        <stp>BDP|2130111476670704647</stp>
        <tr r="K2461" s="2"/>
      </tp>
      <tp t="s">
        <v>#N/A Requesting Data...3280890853</v>
        <stp/>
        <stp>BDP|4243452723758756867</stp>
        <tr r="T300" s="2"/>
      </tp>
      <tp t="s">
        <v>#N/A Requesting Data...1662834272</v>
        <stp/>
        <stp>BDP|3134764073021806094</stp>
        <tr r="M1552" s="2"/>
      </tp>
      <tp t="s">
        <v>#N/A Requesting Data...2944015531</v>
        <stp/>
        <stp>BDP|4356220468713920153</stp>
        <tr r="D264" s="2"/>
      </tp>
      <tp t="s">
        <v>#N/A Requesting Data...1866321547</v>
        <stp/>
        <stp>BDP|5015664087219237067</stp>
        <tr r="S167" s="2"/>
      </tp>
      <tp t="b">
        <v>0</v>
        <stp/>
        <stp>BDS|9763876146272726540</stp>
        <tr r="I1179" s="2"/>
      </tp>
      <tp t="s">
        <v>#N/A Requesting Data...2019435243</v>
        <stp/>
        <stp>BDP|5962317711390904551</stp>
        <tr r="N287" s="2"/>
      </tp>
      <tp t="s">
        <v>#N/A Requesting Data...2190027831</v>
        <stp/>
        <stp>BDP|2155288628592783233</stp>
        <tr r="F2525" s="2"/>
      </tp>
      <tp t="s">
        <v>#N/A Requesting Data...2847178292</v>
        <stp/>
        <stp>BDP|5232679825316192543</stp>
        <tr r="D283" s="2"/>
      </tp>
      <tp t="s">
        <v>#N/A Requesting Data...3449844038</v>
        <stp/>
        <stp>BDP|7202546356604645136</stp>
        <tr r="K2527" s="2"/>
      </tp>
      <tp t="s">
        <v>#N/A Requesting Data...3655517376</v>
        <stp/>
        <stp>BDP|7632410509585849430</stp>
        <tr r="A1328" s="2"/>
      </tp>
      <tp t="b">
        <v>0</v>
        <stp/>
        <stp>BDS|2841311454125947311</stp>
        <tr r="I185" s="2"/>
      </tp>
      <tp t="s">
        <v>#N/A Requesting Data...3402410939</v>
        <stp/>
        <stp>BDP|8533694498437756264</stp>
        <tr r="J109" s="2"/>
      </tp>
      <tp t="s">
        <v>#N/A Requesting Data...1888317297</v>
        <stp/>
        <stp>BDP|8815915154247842100</stp>
        <tr r="T1188" s="2"/>
      </tp>
      <tp t="s">
        <v>#N/A Requesting Data...2954474733</v>
        <stp/>
        <stp>BDP|5319973163189623143</stp>
        <tr r="R1968" s="2"/>
      </tp>
      <tp t="s">
        <v>#N/A Requesting Data...2038819861</v>
        <stp/>
        <stp>BDP|5854246818497806395</stp>
        <tr r="O2305" s="2"/>
      </tp>
      <tp t="b">
        <v>0</v>
        <stp/>
        <stp>BDS|2238273642323461564</stp>
        <tr r="I66" s="2"/>
      </tp>
      <tp t="s">
        <v>#N/A Requesting Data...3517304726</v>
        <stp/>
        <stp>BDP|1398489232513403787</stp>
        <tr r="H2439" s="2"/>
      </tp>
      <tp t="s">
        <v>#N/A Requesting Data...2632016996</v>
        <stp/>
        <stp>BDP|2617436821173530547</stp>
        <tr r="G2137" s="2"/>
      </tp>
      <tp t="s">
        <v>#N/A Requesting Data...2458383806</v>
        <stp/>
        <stp>BDP|2472756875799904983</stp>
        <tr r="K1198" s="2"/>
      </tp>
      <tp t="s">
        <v>#N/A Requesting Data...1691814425</v>
        <stp/>
        <stp>BDP|7762176026894688255</stp>
        <tr r="H2388" s="2"/>
      </tp>
      <tp t="s">
        <v>#N/A Requesting Data...1484579573</v>
        <stp/>
        <stp>BDP|4939367322620946713</stp>
        <tr r="P1235" s="2"/>
      </tp>
      <tp t="s">
        <v>#N/A Requesting Data...3845547938</v>
        <stp/>
        <stp>BDP|7569521700396749655</stp>
        <tr r="K273" s="2"/>
      </tp>
      <tp t="s">
        <v>#N/A Requesting Data...2165678968</v>
        <stp/>
        <stp>BDP|4579070933793036646</stp>
        <tr r="J718" s="2"/>
      </tp>
      <tp t="s">
        <v>#N/A Requesting Data...2568849962</v>
        <stp/>
        <stp>BDP|5152411274490531446</stp>
        <tr r="C431" s="2"/>
      </tp>
      <tp t="s">
        <v>#N/A Requesting Data...4183314588</v>
        <stp/>
        <stp>BDP|6221152986559106450</stp>
        <tr r="R119" s="2"/>
      </tp>
      <tp t="s">
        <v>#N/A Requesting Data...2445631496</v>
        <stp/>
        <stp>BDP|2639739511887820194</stp>
        <tr r="Q1528" s="2"/>
      </tp>
      <tp t="s">
        <v>#N/A Requesting Data...1559043204</v>
        <stp/>
        <stp>BDP|5324505838306928772</stp>
        <tr r="M2407" s="2"/>
      </tp>
      <tp t="s">
        <v>#N/A Requesting Data...3247918440</v>
        <stp/>
        <stp>BDP|5113200296028726457</stp>
        <tr r="T1624" s="2"/>
      </tp>
      <tp t="s">
        <v>#N/A Requesting Data...3026085721</v>
        <stp/>
        <stp>BDP|1754544510192658501</stp>
        <tr r="N2240" s="2"/>
      </tp>
      <tp t="s">
        <v>#N/A Requesting Data...2210671774</v>
        <stp/>
        <stp>BDP|6296778271140572443</stp>
        <tr r="E1553" s="2"/>
      </tp>
      <tp t="s">
        <v>#N/A Requesting Data...3275014064</v>
        <stp/>
        <stp>BDP|5900419912190989264</stp>
        <tr r="T69" s="2"/>
      </tp>
      <tp t="s">
        <v>#N/A Requesting Data...4220437859</v>
        <stp/>
        <stp>BDP|3012225454075044337</stp>
        <tr r="M1386" s="2"/>
      </tp>
      <tp t="s">
        <v>#N/A Requesting Data...1946393292</v>
        <stp/>
        <stp>BDP|4132532332636417611</stp>
        <tr r="E2302" s="2"/>
      </tp>
      <tp t="s">
        <v>#N/A Requesting Data...2674503458</v>
        <stp/>
        <stp>BDP|5531111460169103904</stp>
        <tr r="G1404" s="2"/>
      </tp>
      <tp t="s">
        <v>#N/A Requesting Data...2520693687</v>
        <stp/>
        <stp>BDP|5400602632735644756</stp>
        <tr r="E1805" s="2"/>
      </tp>
      <tp t="s">
        <v>#N/A Requesting Data...1464573914</v>
        <stp/>
        <stp>BDP|5112059657300789214</stp>
        <tr r="R2196" s="2"/>
      </tp>
      <tp t="s">
        <v>#N/A Requesting Data...3703595341</v>
        <stp/>
        <stp>BDP|7799869669892988947</stp>
        <tr r="K668" s="2"/>
      </tp>
      <tp t="s">
        <v>#N/A Requesting Data...2989908403</v>
        <stp/>
        <stp>BDP|2848096609762537281</stp>
        <tr r="N1704" s="2"/>
      </tp>
      <tp t="s">
        <v>#N/A Requesting Data...2266879749</v>
        <stp/>
        <stp>BDP|7497638273887762368</stp>
        <tr r="P1557" s="2"/>
      </tp>
      <tp t="s">
        <v>#N/A Requesting Data...3398152233</v>
        <stp/>
        <stp>BDP|7772220531587100305</stp>
        <tr r="C137" s="2"/>
      </tp>
      <tp t="s">
        <v>#N/A Requesting Data...4264450392</v>
        <stp/>
        <stp>BDP|8520969436866436646</stp>
        <tr r="C1034" s="2"/>
      </tp>
      <tp t="s">
        <v>#N/A Requesting Data...2632207111</v>
        <stp/>
        <stp>BDP|9661955752322571511</stp>
        <tr r="D644" s="2"/>
      </tp>
      <tp t="s">
        <v>#N/A Requesting Data...3434865135</v>
        <stp/>
        <stp>BDP|2616445643604170453</stp>
        <tr r="G791" s="2"/>
      </tp>
      <tp t="s">
        <v>#N/A Requesting Data...3502004717</v>
        <stp/>
        <stp>BDP|9874799225317827999</stp>
        <tr r="S185" s="2"/>
      </tp>
      <tp t="s">
        <v>#N/A Requesting Data...2244688077</v>
        <stp/>
        <stp>BDP|8875250551399138481</stp>
        <tr r="R1475" s="2"/>
      </tp>
      <tp t="s">
        <v>#N/A Requesting Data...2491886157</v>
        <stp/>
        <stp>BDP|4570171316272246436</stp>
        <tr r="A948" s="2"/>
      </tp>
      <tp t="s">
        <v>#N/A Requesting Data...3897436894</v>
        <stp/>
        <stp>BDP|3719333211024465742</stp>
        <tr r="C131" s="2"/>
      </tp>
      <tp t="s">
        <v>#N/A Requesting Data...3567679006</v>
        <stp/>
        <stp>BDP|1001076542731708677</stp>
        <tr r="K1065" s="2"/>
      </tp>
      <tp t="s">
        <v>#N/A Requesting Data...1478597784</v>
        <stp/>
        <stp>BDP|9521199858017842899</stp>
        <tr r="J1203" s="2"/>
      </tp>
      <tp t="s">
        <v>#N/A Requesting Data...3669726711</v>
        <stp/>
        <stp>BDP|3447325117666284496</stp>
        <tr r="O273" s="2"/>
      </tp>
      <tp t="s">
        <v>#N/A Requesting Data...2990141865</v>
        <stp/>
        <stp>BDP|2375377343025892350</stp>
        <tr r="O1370" s="2"/>
      </tp>
      <tp t="b">
        <v>0</v>
        <stp/>
        <stp>BDS|9965117282910239321</stp>
        <tr r="I2127" s="2"/>
      </tp>
      <tp t="s">
        <v>#N/A Requesting Data...3103409758</v>
        <stp/>
        <stp>BDP|1841347425897628451</stp>
        <tr r="M1549" s="2"/>
      </tp>
      <tp t="s">
        <v>#N/A Requesting Data...1536045143</v>
        <stp/>
        <stp>BDP|3560073382741823928</stp>
        <tr r="E773" s="2"/>
      </tp>
      <tp t="s">
        <v>#N/A Requesting Data...3242201928</v>
        <stp/>
        <stp>BDP|1316504856226677498</stp>
        <tr r="O1379" s="2"/>
      </tp>
      <tp t="s">
        <v>#N/A Requesting Data...4065155444</v>
        <stp/>
        <stp>BDP|9387072400069660387</stp>
        <tr r="E1812" s="2"/>
      </tp>
      <tp t="s">
        <v>#N/A Requesting Data...3741494449</v>
        <stp/>
        <stp>BDP|1896706329313803437</stp>
        <tr r="H1537" s="2"/>
      </tp>
      <tp t="s">
        <v>#N/A Requesting Data...3454974991</v>
        <stp/>
        <stp>BDP|7210002134232525598</stp>
        <tr r="A1253" s="2"/>
      </tp>
      <tp t="s">
        <v>#N/A Requesting Data...3908147388</v>
        <stp/>
        <stp>BDP|1766362359455020129</stp>
        <tr r="E1117" s="2"/>
      </tp>
      <tp t="s">
        <v>#N/A Requesting Data...3583552953</v>
        <stp/>
        <stp>BDP|2866186813947077695</stp>
        <tr r="D67" s="2"/>
      </tp>
      <tp t="s">
        <v>#N/A Requesting Data...3072935481</v>
        <stp/>
        <stp>BDP|8209544658808210366</stp>
        <tr r="Q1516" s="2"/>
      </tp>
      <tp t="s">
        <v>#N/A Requesting Data...1822285666</v>
        <stp/>
        <stp>BDP|9717313870059595790</stp>
        <tr r="J1869" s="2"/>
      </tp>
      <tp t="s">
        <v>#N/A Requesting Data...4132919624</v>
        <stp/>
        <stp>BDP|2221708719760008716</stp>
        <tr r="E1653" s="2"/>
      </tp>
      <tp t="s">
        <v>#N/A Requesting Data...3134604622</v>
        <stp/>
        <stp>BDP|4531776209586922689</stp>
        <tr r="A16" s="2"/>
      </tp>
      <tp t="b">
        <v>0</v>
        <stp/>
        <stp>BDS|4888565897572412970</stp>
        <tr r="I1965" s="2"/>
      </tp>
      <tp t="s">
        <v>#N/A Requesting Data...4211531830</v>
        <stp/>
        <stp>BDP|4398193157622217157</stp>
        <tr r="C1722" s="2"/>
      </tp>
      <tp t="s">
        <v>#N/A Requesting Data...3917472320</v>
        <stp/>
        <stp>BDP|4322019600465148291</stp>
        <tr r="O81" s="2"/>
      </tp>
      <tp t="s">
        <v>#N/A Requesting Data...3629372231</v>
        <stp/>
        <stp>BDP|7892607017057051456</stp>
        <tr r="O304" s="2"/>
      </tp>
      <tp t="s">
        <v>#N/A Requesting Data...1426776814</v>
        <stp/>
        <stp>BDP|5301739115618846876</stp>
        <tr r="J513" s="2"/>
      </tp>
      <tp t="s">
        <v>#N/A Requesting Data...2698224910</v>
        <stp/>
        <stp>BDP|7808516933800433240</stp>
        <tr r="P55" s="2"/>
      </tp>
      <tp t="s">
        <v>#N/A Requesting Data...3423721073</v>
        <stp/>
        <stp>BDP|9632432042253868958</stp>
        <tr r="O2067" s="2"/>
      </tp>
      <tp t="s">
        <v>#N/A Requesting Data...3958515182</v>
        <stp/>
        <stp>BDP|5080630865464940254</stp>
        <tr r="R1652" s="2"/>
      </tp>
      <tp t="s">
        <v>#N/A Requesting Data...2294062248</v>
        <stp/>
        <stp>BDP|7926434816165689400</stp>
        <tr r="E2092" s="2"/>
      </tp>
      <tp t="s">
        <v>#N/A Requesting Data...4063186761</v>
        <stp/>
        <stp>BDP|8457336883391897166</stp>
        <tr r="S173" s="2"/>
      </tp>
      <tp t="s">
        <v>#N/A Requesting Data...1559532571</v>
        <stp/>
        <stp>BDP|1057555679900219047</stp>
        <tr r="E81" s="2"/>
      </tp>
      <tp t="s">
        <v>#N/A Requesting Data...2647839813</v>
        <stp/>
        <stp>BDP|5294816848733674970</stp>
        <tr r="D1976" s="2"/>
      </tp>
      <tp t="s">
        <v>#N/A Requesting Data...4289858139</v>
        <stp/>
        <stp>BDP|9318648214495044897</stp>
        <tr r="R448" s="2"/>
      </tp>
      <tp t="s">
        <v>#N/A Requesting Data...2659323061</v>
        <stp/>
        <stp>BDP|6869172301601059549</stp>
        <tr r="F1470" s="2"/>
      </tp>
      <tp t="s">
        <v>#N/A Requesting Data...2123703049</v>
        <stp/>
        <stp>BDP|6829928788355840103</stp>
        <tr r="Q2498" s="2"/>
      </tp>
      <tp t="s">
        <v>#N/A Requesting Data...3550069856</v>
        <stp/>
        <stp>BDP|1503530659347245576</stp>
        <tr r="Q768" s="2"/>
      </tp>
      <tp t="s">
        <v>#N/A Requesting Data...1926247887</v>
        <stp/>
        <stp>BDP|2934302322471351121</stp>
        <tr r="F759" s="2"/>
      </tp>
      <tp t="s">
        <v>#N/A Requesting Data...3564817190</v>
        <stp/>
        <stp>BDP|8343479672481987950</stp>
        <tr r="D2126" s="2"/>
      </tp>
      <tp t="s">
        <v>#N/A Requesting Data...2517549714</v>
        <stp/>
        <stp>BDP|4232963279738405137</stp>
        <tr r="N1275" s="2"/>
      </tp>
      <tp t="s">
        <v>#N/A Requesting Data...3584625879</v>
        <stp/>
        <stp>BDP|1573701417526825201</stp>
        <tr r="E1833" s="2"/>
      </tp>
      <tp t="s">
        <v>#N/A Requesting Data...2038515794</v>
        <stp/>
        <stp>BDP|5946820289667003182</stp>
        <tr r="H2286" s="2"/>
      </tp>
      <tp t="s">
        <v>#N/A Requesting Data...1628999704</v>
        <stp/>
        <stp>BDP|9935994605695843675</stp>
        <tr r="C2332" s="2"/>
      </tp>
      <tp t="s">
        <v>#N/A Requesting Data...2700284478</v>
        <stp/>
        <stp>BDP|3657441648272022207</stp>
        <tr r="E1576" s="2"/>
      </tp>
      <tp t="s">
        <v>#N/A Requesting Data...1781330773</v>
        <stp/>
        <stp>BDP|5968604043472358630</stp>
        <tr r="C472" s="2"/>
      </tp>
      <tp t="s">
        <v>#N/A Requesting Data...2731299366</v>
        <stp/>
        <stp>BDP|1513557070120800024</stp>
        <tr r="K2112" s="2"/>
      </tp>
      <tp t="s">
        <v>#N/A Requesting Data...3419746266</v>
        <stp/>
        <stp>BDP|2988364507171194337</stp>
        <tr r="H1936" s="2"/>
      </tp>
      <tp t="s">
        <v>#N/A Requesting Data...3028180463</v>
        <stp/>
        <stp>BDP|9359953219874198645</stp>
        <tr r="P1170" s="2"/>
      </tp>
      <tp t="s">
        <v>#N/A Requesting Data...2265738006</v>
        <stp/>
        <stp>BDP|4376717138170416342</stp>
        <tr r="K757" s="2"/>
      </tp>
      <tp t="s">
        <v>#N/A Requesting Data...2684651556</v>
        <stp/>
        <stp>BDP|8387586592945071232</stp>
        <tr r="J1537" s="2"/>
      </tp>
      <tp t="s">
        <v>#N/A Requesting Data...1996192779</v>
        <stp/>
        <stp>BDP|2123790765063000370</stp>
        <tr r="G1587" s="2"/>
      </tp>
      <tp t="s">
        <v>#N/A Requesting Data...4080547541</v>
        <stp/>
        <stp>BDP|3756658725012568689</stp>
        <tr r="E2111" s="2"/>
      </tp>
      <tp t="s">
        <v>#N/A Requesting Data...3702065626</v>
        <stp/>
        <stp>BDP|2112602068839095837</stp>
        <tr r="R418" s="2"/>
      </tp>
      <tp t="s">
        <v>#N/A Requesting Data...3381922151</v>
        <stp/>
        <stp>BDP|5672522309935317648</stp>
        <tr r="H1156" s="2"/>
      </tp>
      <tp t="s">
        <v>#N/A Requesting Data...4031155545</v>
        <stp/>
        <stp>BDP|1718982770784046855</stp>
        <tr r="Q714" s="2"/>
      </tp>
      <tp t="s">
        <v>#N/A Requesting Data...2801583719</v>
        <stp/>
        <stp>BDP|4425469949884416357</stp>
        <tr r="M1041" s="2"/>
      </tp>
      <tp t="s">
        <v>#N/A Requesting Data...2660901780</v>
        <stp/>
        <stp>BDP|1415259819680029129</stp>
        <tr r="T2112" s="2"/>
      </tp>
      <tp t="s">
        <v>#N/A Requesting Data...1842729900</v>
        <stp/>
        <stp>BDP|2789478168425103631</stp>
        <tr r="S535" s="2"/>
      </tp>
      <tp t="b">
        <v>0</v>
        <stp/>
        <stp>BDS|8529736869738470213</stp>
        <tr r="I54" s="2"/>
      </tp>
      <tp t="s">
        <v>#N/A Requesting Data...2216581611</v>
        <stp/>
        <stp>BDP|1824580978426026620</stp>
        <tr r="R2206" s="2"/>
      </tp>
      <tp t="s">
        <v>#N/A Requesting Data...2304109021</v>
        <stp/>
        <stp>BDP|5350867739659508430</stp>
        <tr r="H1357" s="2"/>
      </tp>
      <tp t="s">
        <v>#N/A Requesting Data...2225127444</v>
        <stp/>
        <stp>BDP|1501634106643863723</stp>
        <tr r="T2412" s="2"/>
      </tp>
      <tp t="s">
        <v>#N/A Requesting Data...1871079034</v>
        <stp/>
        <stp>BDP|5113466582759644393</stp>
        <tr r="S970" s="2"/>
      </tp>
      <tp t="s">
        <v>#N/A Requesting Data...3424035509</v>
        <stp/>
        <stp>BDP|6986772802810558230</stp>
        <tr r="P1167" s="2"/>
      </tp>
      <tp t="s">
        <v>#N/A Requesting Data...1749288969</v>
        <stp/>
        <stp>BDP|5987248210807684217</stp>
        <tr r="D200" s="2"/>
      </tp>
      <tp t="s">
        <v>#N/A Requesting Data...2875961431</v>
        <stp/>
        <stp>BDP|3923305083168700370</stp>
        <tr r="T1256" s="2"/>
      </tp>
      <tp t="s">
        <v>#N/A Requesting Data...2113073841</v>
        <stp/>
        <stp>BDP|8127807508552752143</stp>
        <tr r="E1359" s="2"/>
      </tp>
      <tp t="b">
        <v>0</v>
        <stp/>
        <stp>BDS|5410554713145936712</stp>
        <tr r="I1736" s="2"/>
      </tp>
      <tp t="s">
        <v>#N/A Requesting Data...3210504915</v>
        <stp/>
        <stp>BDP|7112239644301492384</stp>
        <tr r="J112" s="2"/>
      </tp>
      <tp t="s">
        <v>#N/A Requesting Data...3149637862</v>
        <stp/>
        <stp>BDP|4007727079132553545</stp>
        <tr r="Q1506" s="2"/>
      </tp>
      <tp t="s">
        <v>#N/A Requesting Data...2556404096</v>
        <stp/>
        <stp>BDP|7641712680363860855</stp>
        <tr r="F2267" s="2"/>
      </tp>
      <tp t="s">
        <v>#N/A Requesting Data...2349078733</v>
        <stp/>
        <stp>BDP|2553132170262919552</stp>
        <tr r="S871" s="2"/>
      </tp>
      <tp t="s">
        <v>#N/A Requesting Data...3815381901</v>
        <stp/>
        <stp>BDP|4195778907627850734</stp>
        <tr r="C2066" s="2"/>
      </tp>
      <tp t="s">
        <v>#N/A Requesting Data...2993181604</v>
        <stp/>
        <stp>BDP|8062784901219013537</stp>
        <tr r="F1336" s="2"/>
      </tp>
      <tp t="s">
        <v>#N/A Requesting Data...4253936124</v>
        <stp/>
        <stp>BDP|8472813899148024261</stp>
        <tr r="M1805" s="2"/>
      </tp>
      <tp t="s">
        <v>#N/A Requesting Data...1898412542</v>
        <stp/>
        <stp>BDP|9874754745211219806</stp>
        <tr r="E1037" s="2"/>
      </tp>
      <tp t="s">
        <v>#N/A Requesting Data...2861986399</v>
        <stp/>
        <stp>BDP|7555391300855553220</stp>
        <tr r="S170" s="2"/>
      </tp>
      <tp t="s">
        <v>#N/A Requesting Data...1896706989</v>
        <stp/>
        <stp>BDP|6553979154578979147</stp>
        <tr r="Q803" s="2"/>
      </tp>
      <tp t="s">
        <v>#N/A Requesting Data...3599546063</v>
        <stp/>
        <stp>BDP|2702406663990804376</stp>
        <tr r="J2017" s="2"/>
      </tp>
      <tp t="s">
        <v>#N/A Requesting Data...2978079179</v>
        <stp/>
        <stp>BDP|6928470691108027048</stp>
        <tr r="K2036" s="2"/>
      </tp>
      <tp t="s">
        <v>#N/A Requesting Data...2055965156</v>
        <stp/>
        <stp>BDP|9362277693547596695</stp>
        <tr r="Q644" s="2"/>
      </tp>
      <tp t="s">
        <v>#N/A Requesting Data...3319506517</v>
        <stp/>
        <stp>BDP|6471339944467009582</stp>
        <tr r="T2267" s="2"/>
      </tp>
      <tp t="s">
        <v>#N/A Requesting Data...2883620210</v>
        <stp/>
        <stp>BDP|1996636052067748643</stp>
        <tr r="O1888" s="2"/>
      </tp>
      <tp t="s">
        <v>#N/A Requesting Data...2249402213</v>
        <stp/>
        <stp>BDP|2282582976472077171</stp>
        <tr r="O1422" s="2"/>
      </tp>
      <tp t="s">
        <v>#N/A Requesting Data...2034079515</v>
        <stp/>
        <stp>BDP|7119365444304886707</stp>
        <tr r="G2401" s="2"/>
      </tp>
      <tp t="s">
        <v>#N/A Requesting Data...2476824937</v>
        <stp/>
        <stp>BDP|2670696584627993895</stp>
        <tr r="O847" s="2"/>
      </tp>
      <tp t="s">
        <v>#N/A Requesting Data...3885567391</v>
        <stp/>
        <stp>BDP|9052666511184419988</stp>
        <tr r="T2137" s="2"/>
      </tp>
      <tp t="s">
        <v>#N/A Requesting Data...1696135460</v>
        <stp/>
        <stp>BDP|4081554269397567322</stp>
        <tr r="Q376" s="2"/>
      </tp>
      <tp t="s">
        <v>#N/A Requesting Data...1815368067</v>
        <stp/>
        <stp>BDP|3095824368618076616</stp>
        <tr r="K2056" s="2"/>
      </tp>
      <tp t="s">
        <v>#N/A Requesting Data...3093586923</v>
        <stp/>
        <stp>BDP|8874210736708599213</stp>
        <tr r="D438" s="2"/>
      </tp>
      <tp t="s">
        <v>#N/A Requesting Data...2878667412</v>
        <stp/>
        <stp>BDP|9016377019751442918</stp>
        <tr r="N26" s="2"/>
      </tp>
      <tp t="s">
        <v>#N/A Requesting Data...2350096662</v>
        <stp/>
        <stp>BDP|4424196082856503811</stp>
        <tr r="F1158" s="2"/>
      </tp>
      <tp t="s">
        <v>#N/A Requesting Data...3443272124</v>
        <stp/>
        <stp>BDP|7248105712061955529</stp>
        <tr r="O1467" s="2"/>
      </tp>
      <tp t="s">
        <v>#N/A Requesting Data...3473850063</v>
        <stp/>
        <stp>BDP|8994676894741536546</stp>
        <tr r="O1150" s="2"/>
      </tp>
      <tp t="s">
        <v>#N/A Requesting Data...2815106904</v>
        <stp/>
        <stp>BDP|5808169972079006975</stp>
        <tr r="H383" s="2"/>
      </tp>
      <tp t="s">
        <v>#N/A Requesting Data...3030854223</v>
        <stp/>
        <stp>BDP|5980443852304749330</stp>
        <tr r="J893" s="2"/>
      </tp>
      <tp t="s">
        <v>#N/A Requesting Data...3191971993</v>
        <stp/>
        <stp>BDP|1714154269140100518</stp>
        <tr r="J1328" s="2"/>
      </tp>
      <tp t="s">
        <v>#N/A Requesting Data...2597065552</v>
        <stp/>
        <stp>BDP|9563910128802001372</stp>
        <tr r="N1494" s="2"/>
      </tp>
      <tp t="s">
        <v>#N/A Requesting Data...2120091851</v>
        <stp/>
        <stp>BDP|1089017472265006081</stp>
        <tr r="O1466" s="2"/>
      </tp>
      <tp t="s">
        <v>#N/A Requesting Data...3371729251</v>
        <stp/>
        <stp>BDP|5049329568753936085</stp>
        <tr r="C219" s="2"/>
      </tp>
      <tp t="s">
        <v>#N/A Requesting Data...2907518649</v>
        <stp/>
        <stp>BDP|3400328063331659482</stp>
        <tr r="P261" s="2"/>
      </tp>
      <tp t="s">
        <v>#N/A Requesting Data...4241782810</v>
        <stp/>
        <stp>BDP|7186604279470766541</stp>
        <tr r="F414" s="2"/>
      </tp>
      <tp t="s">
        <v>#N/A Requesting Data...3559904834</v>
        <stp/>
        <stp>BDP|1672472048667142538</stp>
        <tr r="M264" s="2"/>
      </tp>
      <tp t="s">
        <v>#N/A Requesting Data...4053109472</v>
        <stp/>
        <stp>BDP|1985288467972857453</stp>
        <tr r="E1333" s="2"/>
      </tp>
      <tp t="s">
        <v>#N/A Requesting Data...2948158477</v>
        <stp/>
        <stp>BDP|1686489936840706546</stp>
        <tr r="T1762" s="2"/>
      </tp>
      <tp t="s">
        <v>#N/A Requesting Data...2268315629</v>
        <stp/>
        <stp>BDP|9912528113376439876</stp>
        <tr r="F661" s="2"/>
      </tp>
      <tp t="s">
        <v>#N/A Requesting Data...4216494418</v>
        <stp/>
        <stp>BDP|6840062510130288470</stp>
        <tr r="G1285" s="2"/>
      </tp>
      <tp t="b">
        <v>0</v>
        <stp/>
        <stp>BDS|2574212665772371798</stp>
        <tr r="I36" s="2"/>
      </tp>
      <tp t="b">
        <v>0</v>
        <stp/>
        <stp>BDS|6762071965867918473</stp>
        <tr r="I1981" s="2"/>
      </tp>
      <tp t="s">
        <v>#N/A Requesting Data...3534982561</v>
        <stp/>
        <stp>BDP|7311618238001114006</stp>
        <tr r="D2477" s="2"/>
      </tp>
      <tp t="s">
        <v>#N/A Requesting Data...2854513054</v>
        <stp/>
        <stp>BDP|6256696634004148459</stp>
        <tr r="M721" s="2"/>
      </tp>
      <tp t="s">
        <v>#N/A Requesting Data...2732412215</v>
        <stp/>
        <stp>BDP|8014089955008254643</stp>
        <tr r="M184" s="2"/>
      </tp>
      <tp t="s">
        <v>#N/A Requesting Data...1716050942</v>
        <stp/>
        <stp>BDP|4889213407425225073</stp>
        <tr r="Q473" s="2"/>
      </tp>
      <tp t="s">
        <v>#N/A Requesting Data...2205507212</v>
        <stp/>
        <stp>BDP|4472117968308080865</stp>
        <tr r="R2405" s="2"/>
      </tp>
      <tp t="s">
        <v>#N/A Requesting Data...3121861494</v>
        <stp/>
        <stp>BDP|8372710798643737663</stp>
        <tr r="A2386" s="2"/>
      </tp>
      <tp t="s">
        <v>#N/A Requesting Data...3029038292</v>
        <stp/>
        <stp>BDP|6293496534511390373</stp>
        <tr r="A2399" s="2"/>
      </tp>
      <tp t="s">
        <v>#N/A Requesting Data...4226618508</v>
        <stp/>
        <stp>BDP|9331690706559513527</stp>
        <tr r="S605" s="2"/>
      </tp>
      <tp t="s">
        <v>#N/A Requesting Data...2394663387</v>
        <stp/>
        <stp>BDP|2713649460935067487</stp>
        <tr r="C738" s="2"/>
      </tp>
      <tp t="s">
        <v>#N/A Requesting Data...2640691739</v>
        <stp/>
        <stp>BDP|4041783135575064664</stp>
        <tr r="C344" s="2"/>
      </tp>
      <tp t="s">
        <v>#N/A Requesting Data...2698969665</v>
        <stp/>
        <stp>BDP|9375815070711067493</stp>
        <tr r="T173" s="2"/>
      </tp>
      <tp t="s">
        <v>#N/A Requesting Data...2460864376</v>
        <stp/>
        <stp>BDP|4458466857115859367</stp>
        <tr r="Q558" s="2"/>
      </tp>
      <tp t="s">
        <v>#N/A Requesting Data...2962345223</v>
        <stp/>
        <stp>BDP|5584398892759041553</stp>
        <tr r="P1472" s="2"/>
      </tp>
      <tp t="s">
        <v>#N/A Requesting Data...2815682657</v>
        <stp/>
        <stp>BDP|6212477458540307450</stp>
        <tr r="P428" s="2"/>
      </tp>
      <tp t="s">
        <v>#N/A Requesting Data...3523312771</v>
        <stp/>
        <stp>BDP|8981757397872160712</stp>
        <tr r="D693" s="2"/>
      </tp>
      <tp t="s">
        <v>#N/A Requesting Data...3179775658</v>
        <stp/>
        <stp>BDP|3303681707342236452</stp>
        <tr r="J1666" s="2"/>
      </tp>
      <tp t="s">
        <v>#N/A Requesting Data...2096443032</v>
        <stp/>
        <stp>BDP|5670353616651823563</stp>
        <tr r="F1431" s="2"/>
      </tp>
      <tp t="b">
        <v>0</v>
        <stp/>
        <stp>BDS|7346015345451521197</stp>
        <tr r="I1472" s="2"/>
      </tp>
      <tp t="s">
        <v>#N/A Requesting Data...3890070847</v>
        <stp/>
        <stp>BDP|6986452514878187829</stp>
        <tr r="Q270" s="2"/>
      </tp>
      <tp t="s">
        <v>#N/A Requesting Data...2478862516</v>
        <stp/>
        <stp>BDP|4203580729981092183</stp>
        <tr r="H2396" s="2"/>
      </tp>
      <tp t="s">
        <v>#N/A Requesting Data...1779829795</v>
        <stp/>
        <stp>BDP|6915099918332090631</stp>
        <tr r="S1025" s="2"/>
      </tp>
      <tp t="b">
        <v>0</v>
        <stp/>
        <stp>BDS|4014086596138710626</stp>
        <tr r="I2028" s="2"/>
      </tp>
      <tp t="b">
        <v>0</v>
        <stp/>
        <stp>BDS|7827430483498567061</stp>
        <tr r="I1252" s="2"/>
      </tp>
      <tp t="s">
        <v>#N/A Requesting Data...3081193440</v>
        <stp/>
        <stp>BDP|5321478918806527522</stp>
        <tr r="J1491" s="2"/>
      </tp>
      <tp t="s">
        <v>#N/A Requesting Data...4171688611</v>
        <stp/>
        <stp>BDP|8057106751686200987</stp>
        <tr r="D1957" s="2"/>
      </tp>
      <tp t="s">
        <v>#N/A Requesting Data...2385697186</v>
        <stp/>
        <stp>BDP|7266769879964161072</stp>
        <tr r="J2184" s="2"/>
      </tp>
      <tp t="s">
        <v>#N/A Requesting Data...4285267440</v>
        <stp/>
        <stp>BDP|1196481188497274989</stp>
        <tr r="R2139" s="2"/>
      </tp>
      <tp t="s">
        <v>#N/A Requesting Data...3564624798</v>
        <stp/>
        <stp>BDP|5726506245305121280</stp>
        <tr r="K2279" s="2"/>
      </tp>
      <tp t="s">
        <v>#N/A Requesting Data...2484863033</v>
        <stp/>
        <stp>BDP|7082380751971075323</stp>
        <tr r="K1725" s="2"/>
      </tp>
      <tp t="s">
        <v>#N/A Requesting Data...4184817854</v>
        <stp/>
        <stp>BDP|6106360111115977243</stp>
        <tr r="A2289" s="2"/>
      </tp>
      <tp t="s">
        <v>#N/A Requesting Data...3895593417</v>
        <stp/>
        <stp>BDP|2754091094108107000</stp>
        <tr r="G2210" s="2"/>
      </tp>
      <tp t="s">
        <v>#N/A Requesting Data...3167941043</v>
        <stp/>
        <stp>BDP|8714682500965169859</stp>
        <tr r="D971" s="2"/>
      </tp>
      <tp t="s">
        <v>#N/A Requesting Data...3536778184</v>
        <stp/>
        <stp>BDP|8647893053794551220</stp>
        <tr r="R1343" s="2"/>
      </tp>
      <tp t="s">
        <v>#N/A Requesting Data...2059924685</v>
        <stp/>
        <stp>BDP|3082044868267784103</stp>
        <tr r="S198" s="2"/>
      </tp>
      <tp t="s">
        <v>#N/A Requesting Data...2683685765</v>
        <stp/>
        <stp>BDP|3850056810179419827</stp>
        <tr r="K432" s="2"/>
      </tp>
      <tp t="s">
        <v>#N/A Requesting Data...3292957000</v>
        <stp/>
        <stp>BDP|2708325566263167795</stp>
        <tr r="C2515" s="2"/>
      </tp>
      <tp t="s">
        <v>#N/A Requesting Data...4101184074</v>
        <stp/>
        <stp>BDP|2170620237354608090</stp>
        <tr r="K1614" s="2"/>
      </tp>
      <tp t="s">
        <v>#N/A Requesting Data...2718197607</v>
        <stp/>
        <stp>BDP|9490970565184479198</stp>
        <tr r="J1920" s="2"/>
      </tp>
      <tp t="b">
        <v>0</v>
        <stp/>
        <stp>BDS|4941653347007416242</stp>
        <tr r="I2231" s="2"/>
      </tp>
      <tp t="b">
        <v>0</v>
        <stp/>
        <stp>BDS|1767589340334519719</stp>
        <tr r="I147" s="2"/>
      </tp>
      <tp t="s">
        <v>#N/A Requesting Data...2587154100</v>
        <stp/>
        <stp>BDP|1277291667595607314</stp>
        <tr r="K169" s="2"/>
      </tp>
      <tp t="s">
        <v>#N/A Requesting Data...4250841355</v>
        <stp/>
        <stp>BDP|5674035206611938710</stp>
        <tr r="M1603" s="2"/>
      </tp>
      <tp t="s">
        <v>#N/A Requesting Data...4028968850</v>
        <stp/>
        <stp>BDP|2469697092069605726</stp>
        <tr r="M730" s="2"/>
      </tp>
      <tp t="s">
        <v>#N/A Requesting Data...3546294714</v>
        <stp/>
        <stp>BDP|3909606791629369600</stp>
        <tr r="C264" s="2"/>
      </tp>
      <tp t="s">
        <v>#N/A Requesting Data...1750312409</v>
        <stp/>
        <stp>BDP|8987933055240366779</stp>
        <tr r="Q2117" s="2"/>
      </tp>
      <tp t="s">
        <v>#N/A Requesting Data...2833894249</v>
        <stp/>
        <stp>BDP|4841206373426326432</stp>
        <tr r="S34" s="2"/>
      </tp>
      <tp t="s">
        <v>#N/A Requesting Data...2029243638</v>
        <stp/>
        <stp>BDP|8501673880283846613</stp>
        <tr r="N378" s="2"/>
      </tp>
      <tp t="s">
        <v>#N/A Requesting Data...3675970924</v>
        <stp/>
        <stp>BDP|6157095669053264080</stp>
        <tr r="T874" s="2"/>
      </tp>
      <tp t="s">
        <v>#N/A Requesting Data...4094980096</v>
        <stp/>
        <stp>BDP|6877375822794336050</stp>
        <tr r="F2041" s="2"/>
      </tp>
      <tp t="b">
        <v>0</v>
        <stp/>
        <stp>BDS|9870105450749610751</stp>
        <tr r="I75" s="2"/>
      </tp>
      <tp t="s">
        <v>#N/A Requesting Data...2848246942</v>
        <stp/>
        <stp>BDP|9182853969015394154</stp>
        <tr r="R1613" s="2"/>
      </tp>
      <tp t="s">
        <v>#N/A Requesting Data...4144059996</v>
        <stp/>
        <stp>BDP|1818237880639397100</stp>
        <tr r="R1809" s="2"/>
      </tp>
      <tp t="s">
        <v>#N/A Requesting Data...2749263996</v>
        <stp/>
        <stp>BDP|4056188615811144648</stp>
        <tr r="N298" s="2"/>
      </tp>
      <tp t="s">
        <v>#N/A Requesting Data...3273341622</v>
        <stp/>
        <stp>BDP|6884545153755302043</stp>
        <tr r="R490" s="2"/>
      </tp>
      <tp t="s">
        <v>#N/A Requesting Data...3916880232</v>
        <stp/>
        <stp>BDP|9295731601195195899</stp>
        <tr r="O644" s="2"/>
      </tp>
      <tp t="s">
        <v>#N/A Requesting Data...2869052672</v>
        <stp/>
        <stp>BDP|2640485974180019228</stp>
        <tr r="R1220" s="2"/>
      </tp>
      <tp t="s">
        <v>#N/A Requesting Data...1893885583</v>
        <stp/>
        <stp>BDP|5608277262092275098</stp>
        <tr r="J2131" s="2"/>
      </tp>
      <tp t="s">
        <v>#N/A Requesting Data...1970380791</v>
        <stp/>
        <stp>BDP|5565064374954803573</stp>
        <tr r="G86" s="2"/>
      </tp>
      <tp t="s">
        <v>#N/A Requesting Data...3736754710</v>
        <stp/>
        <stp>BDP|5037184221725715069</stp>
        <tr r="G2143" s="2"/>
      </tp>
      <tp t="s">
        <v>#N/A Requesting Data...4212242569</v>
        <stp/>
        <stp>BDP|8414181907078098231</stp>
        <tr r="Q1009" s="2"/>
      </tp>
      <tp t="s">
        <v>#N/A Requesting Data...3965759964</v>
        <stp/>
        <stp>BDP|8702040616038895251</stp>
        <tr r="C228" s="2"/>
      </tp>
      <tp t="s">
        <v>#N/A Requesting Data...3710983620</v>
        <stp/>
        <stp>BDP|7084710740466925105</stp>
        <tr r="E1809" s="2"/>
      </tp>
      <tp t="s">
        <v>#N/A Requesting Data...2864545163</v>
        <stp/>
        <stp>BDP|8829944536788439969</stp>
        <tr r="J1756" s="2"/>
      </tp>
      <tp t="s">
        <v>#N/A Requesting Data...2929140412</v>
        <stp/>
        <stp>BDP|1603788123530275770</stp>
        <tr r="K1478" s="2"/>
      </tp>
      <tp t="s">
        <v>#N/A Requesting Data...3428874626</v>
        <stp/>
        <stp>BDP|5389745018578549826</stp>
        <tr r="G1308" s="2"/>
      </tp>
      <tp t="s">
        <v>#N/A Requesting Data...3343879481</v>
        <stp/>
        <stp>BDP|3561000380209862158</stp>
        <tr r="M610" s="2"/>
      </tp>
      <tp t="s">
        <v>#N/A Requesting Data...1814593571</v>
        <stp/>
        <stp>BDP|4283332758404434557</stp>
        <tr r="F965" s="2"/>
      </tp>
      <tp t="s">
        <v>#N/A Requesting Data...2297338612</v>
        <stp/>
        <stp>BDP|6534261762323821219</stp>
        <tr r="A1430" s="2"/>
      </tp>
      <tp t="s">
        <v>#N/A Requesting Data...3097710356</v>
        <stp/>
        <stp>BDP|8448829254407306193</stp>
        <tr r="G396" s="2"/>
      </tp>
      <tp t="s">
        <v>#N/A Requesting Data...2870645271</v>
        <stp/>
        <stp>BDP|4257465863515671098</stp>
        <tr r="H2422" s="2"/>
      </tp>
      <tp t="s">
        <v>#N/A Requesting Data...3368475769</v>
        <stp/>
        <stp>BDP|7602086482885556911</stp>
        <tr r="T266" s="2"/>
      </tp>
      <tp t="s">
        <v>#N/A Requesting Data...3113051348</v>
        <stp/>
        <stp>BDP|3260628828923090704</stp>
        <tr r="M1282" s="2"/>
      </tp>
      <tp t="s">
        <v>#N/A Requesting Data...2762163698</v>
        <stp/>
        <stp>BDP|3426332856307085191</stp>
        <tr r="M114" s="2"/>
      </tp>
      <tp t="s">
        <v>#N/A Requesting Data...1919271696</v>
        <stp/>
        <stp>BDP|8566498284756924196</stp>
        <tr r="E1245" s="2"/>
      </tp>
      <tp t="s">
        <v>#N/A Requesting Data...1886417393</v>
        <stp/>
        <stp>BDP|1884211097521300851</stp>
        <tr r="Q1557" s="2"/>
      </tp>
      <tp t="s">
        <v>#N/A Requesting Data...3249355179</v>
        <stp/>
        <stp>BDP|8117114549828413651</stp>
        <tr r="T673" s="2"/>
      </tp>
      <tp t="s">
        <v>#N/A Requesting Data...3238966558</v>
        <stp/>
        <stp>BDP|6018739129149051921</stp>
        <tr r="D599" s="2"/>
      </tp>
      <tp t="s">
        <v>#N/A Requesting Data...3330817097</v>
        <stp/>
        <stp>BDP|5133687957125082060</stp>
        <tr r="N897" s="2"/>
      </tp>
      <tp t="s">
        <v>#N/A Requesting Data...3825988614</v>
        <stp/>
        <stp>BDP|4946886719976830884</stp>
        <tr r="J653" s="2"/>
      </tp>
      <tp t="b">
        <v>0</v>
        <stp/>
        <stp>BDS|3706417756730984117</stp>
        <tr r="I1588" s="2"/>
      </tp>
      <tp t="s">
        <v>#N/A Requesting Data...2502400261</v>
        <stp/>
        <stp>BDP|1255378309030177156</stp>
        <tr r="T1331" s="2"/>
      </tp>
      <tp t="s">
        <v>#N/A Requesting Data...4094942971</v>
        <stp/>
        <stp>BDP|5380627232253915020</stp>
        <tr r="O399" s="2"/>
      </tp>
      <tp t="s">
        <v>#N/A Requesting Data...3314615397</v>
        <stp/>
        <stp>BDP|6302163847033967339</stp>
        <tr r="Q1446" s="2"/>
      </tp>
      <tp t="s">
        <v>#N/A Requesting Data...2102297511</v>
        <stp/>
        <stp>BDP|8275668890011953556</stp>
        <tr r="F361" s="2"/>
      </tp>
      <tp t="s">
        <v>#N/A Requesting Data...2177478490</v>
        <stp/>
        <stp>BDP|3104907352778958429</stp>
        <tr r="C523" s="2"/>
      </tp>
      <tp t="s">
        <v>#N/A Requesting Data...4109587511</v>
        <stp/>
        <stp>BDP|7407361955973731187</stp>
        <tr r="E2112" s="2"/>
      </tp>
      <tp t="s">
        <v>#N/A Requesting Data...3347671817</v>
        <stp/>
        <stp>BDP|4078585324905732534</stp>
        <tr r="A503" s="2"/>
      </tp>
      <tp t="s">
        <v>#N/A Requesting Data...2152695237</v>
        <stp/>
        <stp>BDP|6514580577610399712</stp>
        <tr r="O1714" s="2"/>
      </tp>
      <tp t="s">
        <v>#N/A Requesting Data...1882680023</v>
        <stp/>
        <stp>BDP|9468658034028451797</stp>
        <tr r="C2419" s="2"/>
      </tp>
      <tp t="s">
        <v>#N/A Requesting Data...3590819940</v>
        <stp/>
        <stp>BDP|5927400654944161342</stp>
        <tr r="J2414" s="2"/>
      </tp>
      <tp t="s">
        <v>#N/A Requesting Data...1982004625</v>
        <stp/>
        <stp>BDP|5766344352066095694</stp>
        <tr r="H683" s="2"/>
      </tp>
      <tp t="s">
        <v>#N/A Requesting Data...2319917753</v>
        <stp/>
        <stp>BDP|1982665520347323143</stp>
        <tr r="E2011" s="2"/>
      </tp>
      <tp t="s">
        <v>#N/A Requesting Data...2612984789</v>
        <stp/>
        <stp>BDP|7773491452547691225</stp>
        <tr r="O805" s="2"/>
      </tp>
      <tp t="s">
        <v>#N/A Requesting Data...3536614428</v>
        <stp/>
        <stp>BDP|2473957827278694284</stp>
        <tr r="T1272" s="2"/>
      </tp>
      <tp t="s">
        <v>#N/A Requesting Data...2294216766</v>
        <stp/>
        <stp>BDP|9965213873548263719</stp>
        <tr r="S1179" s="2"/>
      </tp>
      <tp t="s">
        <v>#N/A Requesting Data...3526167360</v>
        <stp/>
        <stp>BDP|6522289714965095315</stp>
        <tr r="P340" s="2"/>
      </tp>
      <tp t="s">
        <v>#N/A Requesting Data...4141163428</v>
        <stp/>
        <stp>BDP|7250991293665388134</stp>
        <tr r="F1510" s="2"/>
      </tp>
      <tp t="s">
        <v>#N/A Requesting Data...3681191438</v>
        <stp/>
        <stp>BDP|5913945082251099671</stp>
        <tr r="G704" s="2"/>
      </tp>
      <tp t="s">
        <v>#N/A Requesting Data...3821721017</v>
        <stp/>
        <stp>BDP|6805172377964558750</stp>
        <tr r="F1623" s="2"/>
      </tp>
      <tp t="s">
        <v>#N/A Requesting Data...2213148467</v>
        <stp/>
        <stp>BDP|3164094703527215717</stp>
        <tr r="A2032" s="2"/>
      </tp>
      <tp t="s">
        <v>#N/A Requesting Data...2837154749</v>
        <stp/>
        <stp>BDP|5977911333018600457</stp>
        <tr r="M708" s="2"/>
      </tp>
      <tp t="s">
        <v>#N/A Requesting Data...4171119535</v>
        <stp/>
        <stp>BDP|8797931322118715899</stp>
        <tr r="H839" s="2"/>
      </tp>
      <tp t="b">
        <v>0</v>
        <stp/>
        <stp>BDS|9248263984470866007</stp>
        <tr r="I1819" s="2"/>
      </tp>
      <tp t="s">
        <v>#N/A Requesting Data...3677107197</v>
        <stp/>
        <stp>BDP|4027216256632837270</stp>
        <tr r="F1053" s="2"/>
      </tp>
      <tp t="b">
        <v>0</v>
        <stp/>
        <stp>BDS|8276855928596327747</stp>
        <tr r="I1496" s="2"/>
      </tp>
      <tp t="s">
        <v>#N/A Requesting Data...3047822248</v>
        <stp/>
        <stp>BDP|7896274447972116014</stp>
        <tr r="T655" s="2"/>
      </tp>
      <tp t="s">
        <v>#N/A Requesting Data...3364736322</v>
        <stp/>
        <stp>BDP|1302115868974480165</stp>
        <tr r="G610" s="2"/>
      </tp>
      <tp t="s">
        <v>#N/A Requesting Data...4127162647</v>
        <stp/>
        <stp>BDP|7328154128400477724</stp>
        <tr r="H271" s="2"/>
      </tp>
      <tp t="s">
        <v>#N/A Requesting Data...3135065326</v>
        <stp/>
        <stp>BDP|3419393661560603526</stp>
        <tr r="K1747" s="2"/>
      </tp>
      <tp t="s">
        <v>#N/A Requesting Data...3170206612</v>
        <stp/>
        <stp>BDP|5523808184810177685</stp>
        <tr r="N2083" s="2"/>
      </tp>
      <tp t="s">
        <v>#N/A Requesting Data...3588412556</v>
        <stp/>
        <stp>BDP|7983441312721594027</stp>
        <tr r="T534" s="2"/>
      </tp>
      <tp t="s">
        <v>#N/A Requesting Data...3266988895</v>
        <stp/>
        <stp>BDP|2181619658796262420</stp>
        <tr r="F1725" s="2"/>
      </tp>
      <tp t="s">
        <v>#N/A Requesting Data...2911116132</v>
        <stp/>
        <stp>BDP|7394599123170188309</stp>
        <tr r="R1935" s="2"/>
      </tp>
      <tp t="s">
        <v>#N/A Requesting Data...3835007626</v>
        <stp/>
        <stp>BDP|7767886386506540242</stp>
        <tr r="O2349" s="2"/>
      </tp>
      <tp t="s">
        <v>#N/A Requesting Data...2713102504</v>
        <stp/>
        <stp>BDP|3982827081002694245</stp>
        <tr r="R1221" s="2"/>
      </tp>
      <tp t="s">
        <v>#N/A Requesting Data...3459026121</v>
        <stp/>
        <stp>BDP|8047786156600160971</stp>
        <tr r="F424" s="2"/>
      </tp>
      <tp t="s">
        <v>#N/A Requesting Data...2123623607</v>
        <stp/>
        <stp>BDP|4089681034372309079</stp>
        <tr r="K1961" s="2"/>
      </tp>
      <tp t="s">
        <v>#N/A Requesting Data...2649208839</v>
        <stp/>
        <stp>BDP|8045990134934395567</stp>
        <tr r="F893" s="2"/>
      </tp>
      <tp t="s">
        <v>#N/A Requesting Data...3739163504</v>
        <stp/>
        <stp>BDP|8925420251793572971</stp>
        <tr r="Q2123" s="2"/>
      </tp>
      <tp t="s">
        <v>#N/A Requesting Data...3688634639</v>
        <stp/>
        <stp>BDP|1359961813512708892</stp>
        <tr r="D700" s="2"/>
      </tp>
      <tp t="s">
        <v>#N/A Requesting Data...2479436747</v>
        <stp/>
        <stp>BDP|6830674852097225177</stp>
        <tr r="O1333" s="2"/>
      </tp>
      <tp t="s">
        <v>#N/A Requesting Data...2554068176</v>
        <stp/>
        <stp>BDP|2226112713903087283</stp>
        <tr r="F869" s="2"/>
      </tp>
      <tp t="s">
        <v>#N/A Requesting Data...3236121798</v>
        <stp/>
        <stp>BDP|7802174769633781098</stp>
        <tr r="M1639" s="2"/>
      </tp>
      <tp t="s">
        <v>#N/A Requesting Data...4040762809</v>
        <stp/>
        <stp>BDP|2746577497519736480</stp>
        <tr r="F577" s="2"/>
      </tp>
      <tp t="s">
        <v>#N/A Requesting Data...3035654350</v>
        <stp/>
        <stp>BDP|4323136078108930993</stp>
        <tr r="O261" s="2"/>
      </tp>
      <tp t="s">
        <v>#N/A Requesting Data...3959632979</v>
        <stp/>
        <stp>BDP|1910380092490313881</stp>
        <tr r="H1516" s="2"/>
      </tp>
      <tp t="s">
        <v>#N/A Requesting Data...3356073334</v>
        <stp/>
        <stp>BDP|8929673573793224970</stp>
        <tr r="T1404" s="2"/>
      </tp>
      <tp t="s">
        <v>#N/A Requesting Data...4237127168</v>
        <stp/>
        <stp>BDP|9911425104697665910</stp>
        <tr r="P1922" s="2"/>
      </tp>
      <tp t="s">
        <v>#N/A Requesting Data...2568756416</v>
        <stp/>
        <stp>BDP|5941858198005409288</stp>
        <tr r="D1518" s="2"/>
      </tp>
      <tp t="s">
        <v>#N/A Requesting Data...2353095390</v>
        <stp/>
        <stp>BDP|8014992601381930397</stp>
        <tr r="A644" s="2"/>
      </tp>
      <tp t="s">
        <v>#N/A Requesting Data...2831396961</v>
        <stp/>
        <stp>BDP|3051015659930271529</stp>
        <tr r="T1513" s="2"/>
      </tp>
      <tp t="s">
        <v>#N/A Requesting Data...2990261462</v>
        <stp/>
        <stp>BDP|4459913629619679520</stp>
        <tr r="Q1361" s="2"/>
      </tp>
      <tp t="s">
        <v>#N/A Requesting Data...3914782934</v>
        <stp/>
        <stp>BDP|5514626336242941106</stp>
        <tr r="F1980" s="2"/>
      </tp>
      <tp t="s">
        <v>#N/A Requesting Data...3202172335</v>
        <stp/>
        <stp>BDP|6392688399593231980</stp>
        <tr r="D1299" s="2"/>
      </tp>
      <tp t="s">
        <v>#N/A Requesting Data...3052723802</v>
        <stp/>
        <stp>BDP|4206532438764503543</stp>
        <tr r="P455" s="2"/>
      </tp>
      <tp t="s">
        <v>#N/A Requesting Data...3057089375</v>
        <stp/>
        <stp>BDP|3870849135198914388</stp>
        <tr r="F2004" s="2"/>
      </tp>
      <tp t="s">
        <v>#N/A Requesting Data...2998159324</v>
        <stp/>
        <stp>BDP|3286242805954275692</stp>
        <tr r="P312" s="2"/>
      </tp>
      <tp t="s">
        <v>#N/A Requesting Data...2514148546</v>
        <stp/>
        <stp>BDP|3254203193699024294</stp>
        <tr r="A1668" s="2"/>
      </tp>
      <tp t="s">
        <v>#N/A Requesting Data...4012179543</v>
        <stp/>
        <stp>BDP|5342521235054540488</stp>
        <tr r="S1398" s="2"/>
      </tp>
      <tp t="s">
        <v>#N/A Requesting Data...3140966235</v>
        <stp/>
        <stp>BDP|5795376471872193097</stp>
        <tr r="A1799" s="2"/>
      </tp>
      <tp t="b">
        <v>0</v>
        <stp/>
        <stp>BDS|5300331022902816533</stp>
        <tr r="I2477" s="2"/>
      </tp>
      <tp t="s">
        <v>#N/A Requesting Data...3010769803</v>
        <stp/>
        <stp>BDP|3643561002661389482</stp>
        <tr r="J672" s="2"/>
      </tp>
      <tp t="s">
        <v>#N/A Requesting Data...4213388304</v>
        <stp/>
        <stp>BDP|4227244659421799112</stp>
        <tr r="S1728" s="2"/>
      </tp>
      <tp t="s">
        <v>#N/A Requesting Data...3368443561</v>
        <stp/>
        <stp>BDP|6833968994304496179</stp>
        <tr r="E1810" s="2"/>
      </tp>
      <tp t="s">
        <v>#N/A Requesting Data...3450956138</v>
        <stp/>
        <stp>BDP|6957245690906668827</stp>
        <tr r="P2335" s="2"/>
      </tp>
      <tp t="s">
        <v>#N/A Requesting Data...2980322214</v>
        <stp/>
        <stp>BDP|4309342901066603299</stp>
        <tr r="D1668" s="2"/>
      </tp>
      <tp t="s">
        <v>#N/A Requesting Data...2111197870</v>
        <stp/>
        <stp>BDP|6059307193298330798</stp>
        <tr r="P1741" s="2"/>
      </tp>
      <tp t="s">
        <v>#N/A Requesting Data...3200330446</v>
        <stp/>
        <stp>BDP|5026617919715312428</stp>
        <tr r="K880" s="2"/>
      </tp>
      <tp t="b">
        <v>0</v>
        <stp/>
        <stp>BDS|7910364597278176609</stp>
        <tr r="I706" s="2"/>
      </tp>
      <tp t="s">
        <v>#N/A Requesting Data...3747776960</v>
        <stp/>
        <stp>BDP|4838768184250479874</stp>
        <tr r="S2376" s="2"/>
      </tp>
      <tp t="s">
        <v>#N/A Requesting Data...2879175337</v>
        <stp/>
        <stp>BDP|2021701915860579796</stp>
        <tr r="G2116" s="2"/>
      </tp>
      <tp t="s">
        <v>#N/A Requesting Data...3152638676</v>
        <stp/>
        <stp>BDP|9417699496477574271</stp>
        <tr r="F1499" s="2"/>
      </tp>
      <tp t="s">
        <v>#N/A Requesting Data...3637134000</v>
        <stp/>
        <stp>BDP|4618167677474815569</stp>
        <tr r="J2458" s="2"/>
      </tp>
      <tp t="s">
        <v>#N/A Requesting Data...3836176834</v>
        <stp/>
        <stp>BDP|9186981247692253550</stp>
        <tr r="C1831" s="2"/>
      </tp>
      <tp t="s">
        <v>#N/A Requesting Data...2947150208</v>
        <stp/>
        <stp>BDP|7712247269192596264</stp>
        <tr r="C533" s="2"/>
      </tp>
      <tp t="s">
        <v>#N/A Requesting Data...2849560723</v>
        <stp/>
        <stp>BDP|2220709822696891219</stp>
        <tr r="K1051" s="2"/>
      </tp>
      <tp t="s">
        <v>#N/A Requesting Data...2979095350</v>
        <stp/>
        <stp>BDP|7872758354540177610</stp>
        <tr r="A536" s="2"/>
      </tp>
      <tp t="s">
        <v>#N/A Requesting Data...3600036347</v>
        <stp/>
        <stp>BDP|7389156936125111383</stp>
        <tr r="P2262" s="2"/>
      </tp>
      <tp t="s">
        <v>#N/A Requesting Data...2973193726</v>
        <stp/>
        <stp>BDP|4544368512180924512</stp>
        <tr r="N2098" s="2"/>
      </tp>
      <tp t="s">
        <v>#N/A Requesting Data...3318791084</v>
        <stp/>
        <stp>BDP|1020843774184180985</stp>
        <tr r="C1247" s="2"/>
      </tp>
      <tp t="s">
        <v>#N/A Requesting Data...3803496315</v>
        <stp/>
        <stp>BDP|5022529976713435792</stp>
        <tr r="P888" s="2"/>
      </tp>
      <tp t="s">
        <v>#N/A Requesting Data...4086990848</v>
        <stp/>
        <stp>BDP|2168637464151842079</stp>
        <tr r="C1937" s="2"/>
      </tp>
      <tp t="s">
        <v>#N/A Requesting Data...2115723088</v>
        <stp/>
        <stp>BDP|2750447221833205496</stp>
        <tr r="N2326" s="2"/>
      </tp>
      <tp t="s">
        <v>#N/A Requesting Data...3967405321</v>
        <stp/>
        <stp>BDP|3389575050094972446</stp>
        <tr r="C802" s="2"/>
      </tp>
      <tp t="s">
        <v>#N/A Requesting Data...2721470532</v>
        <stp/>
        <stp>BDP|3531731145997931434</stp>
        <tr r="A885" s="2"/>
      </tp>
      <tp t="s">
        <v>#N/A Requesting Data...3503045774</v>
        <stp/>
        <stp>BDP|2039595230291508658</stp>
        <tr r="H816" s="2"/>
      </tp>
      <tp t="s">
        <v>#N/A Requesting Data...3768095166</v>
        <stp/>
        <stp>BDP|8862964573941556411</stp>
        <tr r="R1285" s="2"/>
      </tp>
      <tp t="s">
        <v>#N/A Requesting Data...4272697431</v>
        <stp/>
        <stp>BDP|8441863199532695844</stp>
        <tr r="O2002" s="2"/>
      </tp>
      <tp t="s">
        <v>#N/A Requesting Data...4021378891</v>
        <stp/>
        <stp>BDP|3725688441767027570</stp>
        <tr r="J660" s="2"/>
      </tp>
      <tp t="s">
        <v>#N/A Requesting Data...3257116031</v>
        <stp/>
        <stp>BDP|6532868542470901910</stp>
        <tr r="C747" s="2"/>
      </tp>
      <tp t="s">
        <v>#N/A Requesting Data...3353261900</v>
        <stp/>
        <stp>BDP|2257118354436614387</stp>
        <tr r="R265" s="2"/>
      </tp>
      <tp t="s">
        <v>#N/A Requesting Data...4022878331</v>
        <stp/>
        <stp>BDP|3773243048875548377</stp>
        <tr r="A1294" s="2"/>
      </tp>
      <tp t="s">
        <v>#N/A Requesting Data...4005327424</v>
        <stp/>
        <stp>BDP|4645048731186355297</stp>
        <tr r="E2203" s="2"/>
      </tp>
      <tp t="s">
        <v>#N/A Requesting Data...3341146435</v>
        <stp/>
        <stp>BDP|1656817481791722388</stp>
        <tr r="J1022" s="2"/>
      </tp>
      <tp t="s">
        <v>#N/A Requesting Data...4062963386</v>
        <stp/>
        <stp>BDP|9880759316598133438</stp>
        <tr r="R1993" s="2"/>
      </tp>
      <tp t="s">
        <v>#N/A Requesting Data...3293224367</v>
        <stp/>
        <stp>BDP|5881738967646016158</stp>
        <tr r="D2500" s="2"/>
      </tp>
      <tp t="s">
        <v>#N/A Requesting Data...3560041036</v>
        <stp/>
        <stp>BDP|9665911639169690911</stp>
        <tr r="T247" s="2"/>
      </tp>
      <tp t="s">
        <v>#N/A Requesting Data...4227177549</v>
        <stp/>
        <stp>BDP|8371157328931476930</stp>
        <tr r="P1077" s="2"/>
      </tp>
      <tp t="s">
        <v>#N/A Requesting Data...4103225282</v>
        <stp/>
        <stp>BDP|5525770896921500985</stp>
        <tr r="T453" s="2"/>
      </tp>
      <tp t="s">
        <v>#N/A Requesting Data...3708424565</v>
        <stp/>
        <stp>BDP|4134299670453276138</stp>
        <tr r="F1786" s="2"/>
      </tp>
      <tp t="s">
        <v>#N/A Requesting Data...3410293724</v>
        <stp/>
        <stp>BDP|6075796634373308273</stp>
        <tr r="T949" s="2"/>
      </tp>
      <tp t="s">
        <v>#N/A Requesting Data...3653340321</v>
        <stp/>
        <stp>BDP|1169612926437906160</stp>
        <tr r="T1888" s="2"/>
      </tp>
      <tp t="s">
        <v>#N/A Requesting Data...3281390995</v>
        <stp/>
        <stp>BDP|8770332593856986775</stp>
        <tr r="H2519" s="2"/>
      </tp>
      <tp t="s">
        <v>#N/A Requesting Data...3694860274</v>
        <stp/>
        <stp>BDP|6767634609796768533</stp>
        <tr r="H1907" s="2"/>
      </tp>
      <tp t="s">
        <v>#N/A Requesting Data...2864603902</v>
        <stp/>
        <stp>BDP|3083515308520501558</stp>
        <tr r="C45" s="2"/>
      </tp>
      <tp t="s">
        <v>#N/A Requesting Data...2849471490</v>
        <stp/>
        <stp>BDP|8951137591120745357</stp>
        <tr r="Q2321" s="2"/>
      </tp>
      <tp t="s">
        <v>#N/A Requesting Data...4073378462</v>
        <stp/>
        <stp>BDP|5850368541280365159</stp>
        <tr r="O122" s="2"/>
      </tp>
      <tp t="s">
        <v>#N/A Requesting Data...3004718075</v>
        <stp/>
        <stp>BDP|6969031513405955196</stp>
        <tr r="C72" s="2"/>
      </tp>
      <tp t="s">
        <v>#N/A Requesting Data...3293642600</v>
        <stp/>
        <stp>BDP|9754364032249921332</stp>
        <tr r="D1374" s="2"/>
      </tp>
      <tp t="s">
        <v>#N/A Requesting Data...2674265722</v>
        <stp/>
        <stp>BDP|1845113963371339404</stp>
        <tr r="H1118" s="2"/>
      </tp>
      <tp t="b">
        <v>0</v>
        <stp/>
        <stp>BDS|7093891584685583116</stp>
        <tr r="I1280" s="2"/>
      </tp>
      <tp t="s">
        <v>#N/A Requesting Data...3482463775</v>
        <stp/>
        <stp>BDP|9039214129453515941</stp>
        <tr r="H2400" s="2"/>
      </tp>
      <tp t="s">
        <v>#N/A Requesting Data...3911712398</v>
        <stp/>
        <stp>BDP|7960661244320227604</stp>
        <tr r="A97" s="2"/>
      </tp>
      <tp t="s">
        <v>#N/A Requesting Data...2919557641</v>
        <stp/>
        <stp>BDP|6423515373224761381</stp>
        <tr r="H1553" s="2"/>
      </tp>
      <tp t="s">
        <v>#N/A Requesting Data...3808597318</v>
        <stp/>
        <stp>BDP|4718603870682906476</stp>
        <tr r="O9" s="2"/>
      </tp>
      <tp t="s">
        <v>#N/A Requesting Data...3127264293</v>
        <stp/>
        <stp>BDP|2181413950305090593</stp>
        <tr r="C1524" s="2"/>
      </tp>
      <tp t="b">
        <v>0</v>
        <stp/>
        <stp>BDS|7401157317273862775</stp>
        <tr r="I2174" s="2"/>
      </tp>
      <tp t="s">
        <v>#N/A Requesting Data...3648012232</v>
        <stp/>
        <stp>BDP|4835362680705049977</stp>
        <tr r="E1533" s="2"/>
      </tp>
      <tp t="s">
        <v>#N/A Requesting Data...3019411180</v>
        <stp/>
        <stp>BDP|8113087391192143006</stp>
        <tr r="A1252" s="2"/>
      </tp>
      <tp t="s">
        <v>#N/A Requesting Data...2230305146</v>
        <stp/>
        <stp>BDP|2361573778822790120</stp>
        <tr r="P951" s="2"/>
      </tp>
      <tp t="s">
        <v>#N/A Requesting Data...2990699931</v>
        <stp/>
        <stp>BDP|8467283325223212822</stp>
        <tr r="E1248" s="2"/>
      </tp>
      <tp t="s">
        <v>#N/A Requesting Data...2201253996</v>
        <stp/>
        <stp>BDP|1540051535458915954</stp>
        <tr r="J2325" s="2"/>
      </tp>
      <tp t="s">
        <v>#N/A Requesting Data...3938413043</v>
        <stp/>
        <stp>BDP|2820860525139776250</stp>
        <tr r="M2313" s="2"/>
      </tp>
      <tp t="s">
        <v>#N/A Requesting Data...2265447234</v>
        <stp/>
        <stp>BDP|2563775322965867118</stp>
        <tr r="J303" s="2"/>
      </tp>
      <tp t="s">
        <v>#N/A Requesting Data...3315109491</v>
        <stp/>
        <stp>BDP|4468430141940618799</stp>
        <tr r="E1547" s="2"/>
      </tp>
      <tp t="s">
        <v>#N/A Requesting Data...3860928552</v>
        <stp/>
        <stp>BDP|1792565704270880741</stp>
        <tr r="R1762" s="2"/>
      </tp>
      <tp t="s">
        <v>#N/A Requesting Data...3278718106</v>
        <stp/>
        <stp>BDP|7632927094363139783</stp>
        <tr r="S2201" s="2"/>
      </tp>
      <tp t="s">
        <v>#N/A Requesting Data...2340641255</v>
        <stp/>
        <stp>BDP|2228915011270904922</stp>
        <tr r="P1602" s="2"/>
      </tp>
      <tp t="s">
        <v>#N/A Requesting Data...2349095196</v>
        <stp/>
        <stp>BDP|3318555852636925646</stp>
        <tr r="D125" s="2"/>
      </tp>
      <tp t="b">
        <v>0</v>
        <stp/>
        <stp>BDS|2579226984343313896</stp>
        <tr r="I538" s="2"/>
      </tp>
      <tp t="s">
        <v>#N/A Requesting Data...2460354337</v>
        <stp/>
        <stp>BDP|9300777709578301574</stp>
        <tr r="A550" s="2"/>
      </tp>
      <tp t="s">
        <v>#N/A Requesting Data...3597138388</v>
        <stp/>
        <stp>BDP|8520026919712266853</stp>
        <tr r="N1156" s="2"/>
      </tp>
      <tp t="b">
        <v>0</v>
        <stp/>
        <stp>BDS|6559207545404972704</stp>
        <tr r="I1885" s="2"/>
      </tp>
      <tp t="s">
        <v>#N/A Requesting Data...2663627687</v>
        <stp/>
        <stp>BDP|1925164524370093155</stp>
        <tr r="M2522" s="2"/>
      </tp>
      <tp t="s">
        <v>#N/A Requesting Data...4107451763</v>
        <stp/>
        <stp>BDP|2730289254502577401</stp>
        <tr r="M2469" s="2"/>
      </tp>
      <tp t="s">
        <v>#N/A Requesting Data...3266220821</v>
        <stp/>
        <stp>BDP|7338562115540798094</stp>
        <tr r="C973" s="2"/>
      </tp>
      <tp t="s">
        <v>#N/A Requesting Data...2599751152</v>
        <stp/>
        <stp>BDP|4237791010403566209</stp>
        <tr r="C1744" s="2"/>
      </tp>
      <tp t="s">
        <v>#N/A Requesting Data...2573282635</v>
        <stp/>
        <stp>BDP|7343989414718047417</stp>
        <tr r="J2476" s="2"/>
      </tp>
      <tp t="s">
        <v>#N/A Requesting Data...2932184955</v>
        <stp/>
        <stp>BDP|4996344261127415564</stp>
        <tr r="N976" s="2"/>
      </tp>
      <tp t="s">
        <v>#N/A Requesting Data...2712117235</v>
        <stp/>
        <stp>BDP|7783821298321160425</stp>
        <tr r="C742" s="2"/>
      </tp>
      <tp t="s">
        <v>#N/A Requesting Data...3843237442</v>
        <stp/>
        <stp>BDP|3812306480339448229</stp>
        <tr r="G74" s="2"/>
      </tp>
      <tp t="s">
        <v>#N/A Requesting Data...4230975536</v>
        <stp/>
        <stp>BDP|6685801878142543855</stp>
        <tr r="R1349" s="2"/>
      </tp>
      <tp t="s">
        <v>#N/A Requesting Data...4185575103</v>
        <stp/>
        <stp>BDP|9854220424978503254</stp>
        <tr r="A49" s="2"/>
      </tp>
      <tp t="b">
        <v>0</v>
        <stp/>
        <stp>BDS|1059784245591390006</stp>
        <tr r="I1677" s="2"/>
      </tp>
      <tp t="s">
        <v>#N/A Requesting Data...3810864834</v>
        <stp/>
        <stp>BDP|2772685663003197233</stp>
        <tr r="R421" s="2"/>
      </tp>
      <tp t="s">
        <v>#N/A Requesting Data...3811231501</v>
        <stp/>
        <stp>BDP|9545900029947242601</stp>
        <tr r="S300" s="2"/>
      </tp>
      <tp t="s">
        <v>#N/A Requesting Data...2690480257</v>
        <stp/>
        <stp>BDP|3102848184741908167</stp>
        <tr r="F1582" s="2"/>
      </tp>
      <tp t="s">
        <v>#N/A Requesting Data...4051892890</v>
        <stp/>
        <stp>BDP|4720387827642384453</stp>
        <tr r="A69" s="2"/>
      </tp>
      <tp t="s">
        <v>#N/A Requesting Data...3814310465</v>
        <stp/>
        <stp>BDP|9577298153915541849</stp>
        <tr r="P985" s="2"/>
      </tp>
      <tp t="s">
        <v>#N/A Requesting Data...2474439142</v>
        <stp/>
        <stp>BDP|6037833233229810768</stp>
        <tr r="C1855" s="2"/>
      </tp>
      <tp t="s">
        <v>#N/A Requesting Data...2950747679</v>
        <stp/>
        <stp>BDP|4524499616252357077</stp>
        <tr r="Q1846" s="2"/>
      </tp>
      <tp t="b">
        <v>0</v>
        <stp/>
        <stp>BDS|4834964091535836299</stp>
        <tr r="I1205" s="2"/>
      </tp>
      <tp t="s">
        <v>#N/A Requesting Data...2886951965</v>
        <stp/>
        <stp>BDP|3517368346726804135</stp>
        <tr r="G1303" s="2"/>
      </tp>
      <tp t="s">
        <v>#N/A Requesting Data...3372627922</v>
        <stp/>
        <stp>BDP|3071945689889582869</stp>
        <tr r="E935" s="2"/>
      </tp>
      <tp t="s">
        <v>#N/A Requesting Data...3864271781</v>
        <stp/>
        <stp>BDP|4685428751283900529</stp>
        <tr r="J800" s="2"/>
      </tp>
      <tp t="s">
        <v>#N/A Requesting Data...3619114216</v>
        <stp/>
        <stp>BDP|1897076379650014582</stp>
        <tr r="Q1395" s="2"/>
      </tp>
      <tp t="s">
        <v>#N/A Requesting Data...3610470843</v>
        <stp/>
        <stp>BDP|4731714292649324099</stp>
        <tr r="P529" s="2"/>
      </tp>
      <tp t="s">
        <v>#N/A Requesting Data...4280493009</v>
        <stp/>
        <stp>BDP|9154886343032675429</stp>
        <tr r="E1910" s="2"/>
      </tp>
      <tp t="b">
        <v>0</v>
        <stp/>
        <stp>BDS|6505219063164020594</stp>
        <tr r="I753" s="2"/>
      </tp>
      <tp t="s">
        <v>#N/A Requesting Data...4136181640</v>
        <stp/>
        <stp>BDP|7673206660200869008</stp>
        <tr r="T2366" s="2"/>
      </tp>
      <tp t="s">
        <v>#N/A Requesting Data...3328467176</v>
        <stp/>
        <stp>BDP|3933057777892696538</stp>
        <tr r="A632" s="2"/>
      </tp>
      <tp t="s">
        <v>#N/A Requesting Data...4187850787</v>
        <stp/>
        <stp>BDP|9755488691110679766</stp>
        <tr r="O1985" s="2"/>
      </tp>
      <tp t="s">
        <v>#N/A Requesting Data...2577901698</v>
        <stp/>
        <stp>BDP|1615589663604125520</stp>
        <tr r="J1482" s="2"/>
      </tp>
      <tp t="s">
        <v>#N/A Requesting Data...4032125119</v>
        <stp/>
        <stp>BDP|8843986360277941378</stp>
        <tr r="D1016" s="2"/>
      </tp>
      <tp t="s">
        <v>#N/A Requesting Data...2511902488</v>
        <stp/>
        <stp>BDP|3496429218932057700</stp>
        <tr r="G780" s="2"/>
      </tp>
      <tp t="b">
        <v>0</v>
        <stp/>
        <stp>BDS|7070468179411131607</stp>
        <tr r="I199" s="2"/>
      </tp>
      <tp t="s">
        <v>#N/A Requesting Data...2922873418</v>
        <stp/>
        <stp>BDP|1396200238111759221</stp>
        <tr r="T1792" s="2"/>
      </tp>
      <tp t="s">
        <v>#N/A Requesting Data...2680072090</v>
        <stp/>
        <stp>BDP|5791146877762854221</stp>
        <tr r="H828" s="2"/>
      </tp>
      <tp t="s">
        <v>#N/A Requesting Data...3691830837</v>
        <stp/>
        <stp>BDP|1553281120951246316</stp>
        <tr r="T559" s="2"/>
      </tp>
      <tp t="s">
        <v>#N/A Requesting Data...2567036208</v>
        <stp/>
        <stp>BDP|8469586894521691603</stp>
        <tr r="Q1596" s="2"/>
      </tp>
      <tp t="s">
        <v>#N/A Requesting Data...3542968608</v>
        <stp/>
        <stp>BDP|2860219871221336551</stp>
        <tr r="C799" s="2"/>
      </tp>
      <tp t="s">
        <v>#N/A Requesting Data...3241030886</v>
        <stp/>
        <stp>BDP|7746717471482106688</stp>
        <tr r="S961" s="2"/>
      </tp>
      <tp t="s">
        <v>#N/A Requesting Data...3190612481</v>
        <stp/>
        <stp>BDP|9681676680414848071</stp>
        <tr r="P892" s="2"/>
      </tp>
      <tp t="s">
        <v>#N/A Requesting Data...3531592884</v>
        <stp/>
        <stp>BDP|2842153726783376168</stp>
        <tr r="R1240" s="2"/>
      </tp>
      <tp t="s">
        <v>#N/A Requesting Data...3121063388</v>
        <stp/>
        <stp>BDP|1271756478922300026</stp>
        <tr r="Q2028" s="2"/>
      </tp>
      <tp t="s">
        <v>#N/A Requesting Data...2353086301</v>
        <stp/>
        <stp>BDP|1336987022138724109</stp>
        <tr r="P302" s="2"/>
      </tp>
      <tp t="s">
        <v>#N/A Requesting Data...4133871204</v>
        <stp/>
        <stp>BDP|4030690436263661179</stp>
        <tr r="J873" s="2"/>
      </tp>
      <tp t="s">
        <v>#N/A Requesting Data...2860319046</v>
        <stp/>
        <stp>BDP|6179046870954367680</stp>
        <tr r="N2244" s="2"/>
      </tp>
      <tp t="s">
        <v>#N/A Requesting Data...3338536355</v>
        <stp/>
        <stp>BDP|7385912382207828264</stp>
        <tr r="K574" s="2"/>
      </tp>
      <tp t="s">
        <v>#N/A Requesting Data...3400968216</v>
        <stp/>
        <stp>BDP|3098166409118735963</stp>
        <tr r="P1363" s="2"/>
      </tp>
      <tp t="b">
        <v>0</v>
        <stp/>
        <stp>BDS|8404865100083405088</stp>
        <tr r="I1832" s="2"/>
      </tp>
      <tp t="s">
        <v>#N/A Requesting Data...3736366656</v>
        <stp/>
        <stp>BDP|5082468220004934412</stp>
        <tr r="C927" s="2"/>
      </tp>
      <tp t="b">
        <v>0</v>
        <stp/>
        <stp>BDS|6802625589268804355</stp>
        <tr r="I1864" s="2"/>
      </tp>
      <tp t="s">
        <v>#N/A Requesting Data...3160774496</v>
        <stp/>
        <stp>BDP|1955355394739363150</stp>
        <tr r="Q2265" s="2"/>
      </tp>
      <tp t="s">
        <v>#N/A Requesting Data...3934918027</v>
        <stp/>
        <stp>BDP|2641897712788668053</stp>
        <tr r="H1742" s="2"/>
      </tp>
      <tp t="s">
        <v>#N/A Requesting Data...3190129058</v>
        <stp/>
        <stp>BDP|5943372906496534330</stp>
        <tr r="N783" s="2"/>
      </tp>
      <tp t="s">
        <v>#N/A Requesting Data...4152961971</v>
        <stp/>
        <stp>BDP|3401198000593348208</stp>
        <tr r="O2437" s="2"/>
      </tp>
      <tp t="s">
        <v>#N/A Requesting Data...3061807108</v>
        <stp/>
        <stp>BDP|1012585516191516755</stp>
        <tr r="A1557" s="2"/>
      </tp>
      <tp t="s">
        <v>#N/A Requesting Data...3657393740</v>
        <stp/>
        <stp>BDP|1551982909809262288</stp>
        <tr r="S168" s="2"/>
      </tp>
      <tp t="s">
        <v>#N/A Requesting Data...3723639468</v>
        <stp/>
        <stp>BDP|5393425578946236356</stp>
        <tr r="Q807" s="2"/>
      </tp>
      <tp t="s">
        <v>#N/A Requesting Data...2950643022</v>
        <stp/>
        <stp>BDP|5908166863241652041</stp>
        <tr r="A2162" s="2"/>
      </tp>
      <tp t="s">
        <v>#N/A Requesting Data...2371673362</v>
        <stp/>
        <stp>BDP|5904030931022613731</stp>
        <tr r="A2159" s="2"/>
      </tp>
      <tp t="s">
        <v>#N/A Requesting Data...3187198527</v>
        <stp/>
        <stp>BDP|8059159495577686481</stp>
        <tr r="K190" s="2"/>
      </tp>
      <tp t="s">
        <v>#N/A Requesting Data...3773843915</v>
        <stp/>
        <stp>BDP|1045175029105838483</stp>
        <tr r="T2116" s="2"/>
      </tp>
      <tp t="s">
        <v>#N/A Requesting Data...3038752958</v>
        <stp/>
        <stp>BDP|6558000799369540572</stp>
        <tr r="T714" s="2"/>
      </tp>
      <tp t="s">
        <v>#N/A Requesting Data...2404671501</v>
        <stp/>
        <stp>BDP|6361144219023707671</stp>
        <tr r="Q2296" s="2"/>
      </tp>
      <tp t="s">
        <v>#N/A Requesting Data...3385210821</v>
        <stp/>
        <stp>BDP|3843016747751732575</stp>
        <tr r="S641" s="2"/>
      </tp>
      <tp t="b">
        <v>0</v>
        <stp/>
        <stp>BDS|1873503154172022026</stp>
        <tr r="I1248" s="2"/>
      </tp>
      <tp t="s">
        <v>#N/A Requesting Data...3903457224</v>
        <stp/>
        <stp>BDP|1344667929981208708</stp>
        <tr r="J2483" s="2"/>
      </tp>
      <tp t="s">
        <v>#N/A Requesting Data...2659408094</v>
        <stp/>
        <stp>BDP|3902456026957149159</stp>
        <tr r="E2525" s="2"/>
      </tp>
      <tp t="s">
        <v>#N/A Requesting Data...3427598706</v>
        <stp/>
        <stp>BDP|1917865411138260326</stp>
        <tr r="A1734" s="2"/>
      </tp>
      <tp t="s">
        <v>#N/A Requesting Data...2755920345</v>
        <stp/>
        <stp>BDP|2925080166015006297</stp>
        <tr r="T1889" s="2"/>
      </tp>
      <tp t="s">
        <v>#N/A Requesting Data...3572571279</v>
        <stp/>
        <stp>BDP|8319363632559070295</stp>
        <tr r="K125" s="2"/>
      </tp>
      <tp t="s">
        <v>#N/A Requesting Data...3324916459</v>
        <stp/>
        <stp>BDP|3853313360127456236</stp>
        <tr r="O2360" s="2"/>
      </tp>
      <tp t="s">
        <v>#N/A Requesting Data...4159348783</v>
        <stp/>
        <stp>BDP|6502865346558262192</stp>
        <tr r="Q242" s="2"/>
      </tp>
      <tp t="b">
        <v>0</v>
        <stp/>
        <stp>BDS|2157276422649959837</stp>
        <tr r="I2089" s="2"/>
      </tp>
      <tp t="s">
        <v>#N/A Requesting Data...3711518127</v>
        <stp/>
        <stp>BDP|5632405729472667273</stp>
        <tr r="P2375" s="2"/>
      </tp>
      <tp t="s">
        <v>#N/A Requesting Data...3000407312</v>
        <stp/>
        <stp>BDP|4131984381056291049</stp>
        <tr r="A2168" s="2"/>
      </tp>
      <tp t="s">
        <v>#N/A Requesting Data...2633954408</v>
        <stp/>
        <stp>BDP|6034268209914476352</stp>
        <tr r="S2071" s="2"/>
      </tp>
      <tp t="s">
        <v>#N/A Requesting Data...4055902639</v>
        <stp/>
        <stp>BDP|6548310074698963973</stp>
        <tr r="K2092" s="2"/>
      </tp>
      <tp t="s">
        <v>#N/A Requesting Data...3440759199</v>
        <stp/>
        <stp>BDP|7674932556708443091</stp>
        <tr r="J2201" s="2"/>
      </tp>
      <tp t="s">
        <v>#N/A Requesting Data...2479825687</v>
        <stp/>
        <stp>BDP|7465260403591965762</stp>
        <tr r="G842" s="2"/>
      </tp>
      <tp t="s">
        <v>#N/A Requesting Data...3280928633</v>
        <stp/>
        <stp>BDP|6779771637141085098</stp>
        <tr r="G1346" s="2"/>
      </tp>
      <tp t="s">
        <v>#N/A Requesting Data...3218498683</v>
        <stp/>
        <stp>BDP|3963913492653709334</stp>
        <tr r="T632" s="2"/>
      </tp>
      <tp t="s">
        <v>#N/A Requesting Data...2560363128</v>
        <stp/>
        <stp>BDP|8474780507045012950</stp>
        <tr r="H300" s="2"/>
      </tp>
      <tp t="s">
        <v>#N/A Requesting Data...2515215421</v>
        <stp/>
        <stp>BDP|5930675305118023853</stp>
        <tr r="J896" s="2"/>
      </tp>
      <tp t="s">
        <v>#N/A Requesting Data...2771172936</v>
        <stp/>
        <stp>BDP|8942747917389700436</stp>
        <tr r="O721" s="2"/>
      </tp>
      <tp t="b">
        <v>0</v>
        <stp/>
        <stp>BDS|9917803664676483266</stp>
        <tr r="I1618" s="2"/>
      </tp>
      <tp t="b">
        <v>0</v>
        <stp/>
        <stp>BDS|7119425450121973458</stp>
        <tr r="I1672" s="2"/>
      </tp>
      <tp t="s">
        <v>#N/A Requesting Data...3767818950</v>
        <stp/>
        <stp>BDP|2821841915348381051</stp>
        <tr r="A2065" s="2"/>
      </tp>
      <tp t="s">
        <v>#N/A Requesting Data...3969473905</v>
        <stp/>
        <stp>BDP|7424597142894462142</stp>
        <tr r="C254" s="2"/>
      </tp>
      <tp t="s">
        <v>#N/A Requesting Data...4025888271</v>
        <stp/>
        <stp>BDP|4116121866549295985</stp>
        <tr r="J33" s="2"/>
      </tp>
      <tp t="s">
        <v>#N/A Requesting Data...3257084541</v>
        <stp/>
        <stp>BDP|1477796052975798578</stp>
        <tr r="P24" s="2"/>
      </tp>
      <tp t="s">
        <v>#N/A Requesting Data...2667717497</v>
        <stp/>
        <stp>BDP|7105076550384851519</stp>
        <tr r="M210" s="2"/>
      </tp>
      <tp t="b">
        <v>0</v>
        <stp/>
        <stp>BDS|7957517630383593122</stp>
        <tr r="I816" s="2"/>
      </tp>
      <tp t="s">
        <v>#N/A Requesting Data...3314936050</v>
        <stp/>
        <stp>BDP|1592490597249034640</stp>
        <tr r="C90" s="2"/>
      </tp>
      <tp t="s">
        <v>#N/A Requesting Data...2454584613</v>
        <stp/>
        <stp>BDP|4981576822792717240</stp>
        <tr r="M1320" s="2"/>
      </tp>
      <tp t="s">
        <v>#N/A Requesting Data...3140811393</v>
        <stp/>
        <stp>BDP|3944422733942115566</stp>
        <tr r="T1065" s="2"/>
      </tp>
      <tp t="s">
        <v>#N/A Requesting Data...3596772131</v>
        <stp/>
        <stp>BDP|1914232171034739338</stp>
        <tr r="M927" s="2"/>
      </tp>
      <tp t="s">
        <v>#N/A Requesting Data...3815594479</v>
        <stp/>
        <stp>BDP|8127138740936599882</stp>
        <tr r="H137" s="2"/>
      </tp>
      <tp t="s">
        <v>#N/A Requesting Data...2520524455</v>
        <stp/>
        <stp>BDP|2444186796948583108</stp>
        <tr r="M1573" s="2"/>
      </tp>
      <tp t="s">
        <v>#N/A Requesting Data...3354994815</v>
        <stp/>
        <stp>BDP|8363894665305383032</stp>
        <tr r="C668" s="2"/>
      </tp>
      <tp t="b">
        <v>0</v>
        <stp/>
        <stp>BDS|3108078349185894188</stp>
        <tr r="I2327" s="2"/>
      </tp>
      <tp t="s">
        <v>#N/A Requesting Data...3504980374</v>
        <stp/>
        <stp>BDP|6223590463684182267</stp>
        <tr r="A1673" s="2"/>
      </tp>
      <tp t="s">
        <v>#N/A Requesting Data...4192679603</v>
        <stp/>
        <stp>BDP|2064704616152002599</stp>
        <tr r="F33" s="2"/>
      </tp>
      <tp t="s">
        <v>#N/A Requesting Data...2671241451</v>
        <stp/>
        <stp>BDP|4869910320558708419</stp>
        <tr r="Q2158" s="2"/>
      </tp>
      <tp t="s">
        <v>#N/A Requesting Data...2784301540</v>
        <stp/>
        <stp>BDP|2031049059351304513</stp>
        <tr r="S2514" s="2"/>
      </tp>
      <tp t="s">
        <v>#N/A Requesting Data...3728480971</v>
        <stp/>
        <stp>BDP|6831520125681079308</stp>
        <tr r="F433" s="2"/>
      </tp>
      <tp t="s">
        <v>#N/A Requesting Data...2949954745</v>
        <stp/>
        <stp>BDP|7123742056194827249</stp>
        <tr r="M996" s="2"/>
      </tp>
      <tp t="s">
        <v>#N/A Requesting Data...4269187058</v>
        <stp/>
        <stp>BDP|2977375476827656212</stp>
        <tr r="D1037" s="2"/>
      </tp>
      <tp t="s">
        <v>#N/A Requesting Data...3651351087</v>
        <stp/>
        <stp>BDP|8073912636884119590</stp>
        <tr r="H980" s="2"/>
      </tp>
      <tp t="b">
        <v>0</v>
        <stp/>
        <stp>BDS|9260609717438372593</stp>
        <tr r="I2298" s="2"/>
      </tp>
      <tp t="s">
        <v>#N/A Requesting Data...3332409652</v>
        <stp/>
        <stp>BDP|5455159707903995400</stp>
        <tr r="F582" s="2"/>
      </tp>
      <tp t="s">
        <v>#N/A Requesting Data...3346305627</v>
        <stp/>
        <stp>BDP|7233088277476656546</stp>
        <tr r="A850" s="2"/>
      </tp>
      <tp t="b">
        <v>0</v>
        <stp/>
        <stp>BDS|4794676562435872253</stp>
        <tr r="I2390" s="2"/>
      </tp>
      <tp t="s">
        <v>#N/A Requesting Data...3744480407</v>
        <stp/>
        <stp>BDP|3228249939775397439</stp>
        <tr r="A1579" s="2"/>
      </tp>
      <tp t="s">
        <v>#N/A Requesting Data...3164204265</v>
        <stp/>
        <stp>BDP|4489390034243104476</stp>
        <tr r="N767" s="2"/>
      </tp>
      <tp t="s">
        <v>#N/A Requesting Data...2720164954</v>
        <stp/>
        <stp>BDP|6834188946591155184</stp>
        <tr r="D1097" s="2"/>
      </tp>
      <tp t="s">
        <v>#N/A Requesting Data...3088578780</v>
        <stp/>
        <stp>BDP|8966328483159429932</stp>
        <tr r="C2129" s="2"/>
      </tp>
      <tp t="s">
        <v>#N/A Requesting Data...3738109470</v>
        <stp/>
        <stp>BDP|3498711578529760954</stp>
        <tr r="N960" s="2"/>
      </tp>
      <tp t="s">
        <v>#N/A Requesting Data...3330467919</v>
        <stp/>
        <stp>BDP|9516823870907106294</stp>
        <tr r="F1639" s="2"/>
      </tp>
      <tp t="s">
        <v>#N/A Requesting Data...3695431260</v>
        <stp/>
        <stp>BDP|9478296373917040813</stp>
        <tr r="E1750" s="2"/>
      </tp>
      <tp t="s">
        <v>#N/A Requesting Data...3592991767</v>
        <stp/>
        <stp>BDP|4834390915816868333</stp>
        <tr r="M417" s="2"/>
      </tp>
      <tp t="s">
        <v>#N/A Requesting Data...2987793261</v>
        <stp/>
        <stp>BDP|5371163735300602499</stp>
        <tr r="S2482" s="2"/>
      </tp>
      <tp t="s">
        <v>#N/A Requesting Data...2852388888</v>
        <stp/>
        <stp>BDP|9412839241762121483</stp>
        <tr r="N529" s="2"/>
      </tp>
      <tp t="s">
        <v>#N/A Requesting Data...4152925448</v>
        <stp/>
        <stp>BDP|5952689056900180593</stp>
        <tr r="Q2468" s="2"/>
      </tp>
      <tp t="s">
        <v>#N/A Requesting Data...3194220710</v>
        <stp/>
        <stp>BDP|3088642236710537580</stp>
        <tr r="P1012" s="2"/>
      </tp>
      <tp t="s">
        <v>#N/A Requesting Data...4291608362</v>
        <stp/>
        <stp>BDP|3922882887416980602</stp>
        <tr r="O2227" s="2"/>
      </tp>
      <tp t="b">
        <v>0</v>
        <stp/>
        <stp>BDS|7368059239477126014</stp>
        <tr r="I596" s="2"/>
      </tp>
      <tp t="s">
        <v>#N/A Requesting Data...4011292251</v>
        <stp/>
        <stp>BDP|7762057939685350273</stp>
        <tr r="N157" s="2"/>
      </tp>
      <tp t="s">
        <v>#N/A Requesting Data...2828567984</v>
        <stp/>
        <stp>BDP|7773686229430121086</stp>
        <tr r="D1398" s="2"/>
      </tp>
      <tp t="s">
        <v>#N/A Requesting Data...3103916037</v>
        <stp/>
        <stp>BDP|9916607890553546636</stp>
        <tr r="T2333" s="2"/>
      </tp>
      <tp t="s">
        <v>#N/A Requesting Data...4013764405</v>
        <stp/>
        <stp>BDP|7537687870355313017</stp>
        <tr r="D196" s="2"/>
      </tp>
      <tp t="s">
        <v>#N/A Requesting Data...2737385322</v>
        <stp/>
        <stp>BDP|4598084946366371579</stp>
        <tr r="N2086" s="2"/>
      </tp>
      <tp t="s">
        <v>#N/A Requesting Data...4144853303</v>
        <stp/>
        <stp>BDP|7383902092264793091</stp>
        <tr r="K1308" s="2"/>
      </tp>
      <tp t="s">
        <v>#N/A Requesting Data...3322000208</v>
        <stp/>
        <stp>BDP|9727054443059837765</stp>
        <tr r="O157" s="2"/>
      </tp>
      <tp t="s">
        <v>#N/A Requesting Data...2740417519</v>
        <stp/>
        <stp>BDP|7178828543079660199</stp>
        <tr r="K1022" s="2"/>
      </tp>
      <tp t="s">
        <v>#N/A Requesting Data...3736042136</v>
        <stp/>
        <stp>BDP|2262294182173247844</stp>
        <tr r="Q1706" s="2"/>
      </tp>
      <tp t="s">
        <v>#N/A Requesting Data...3356355483</v>
        <stp/>
        <stp>BDP|6561393216415778225</stp>
        <tr r="N1114" s="2"/>
      </tp>
      <tp t="s">
        <v>#N/A Requesting Data...3742883878</v>
        <stp/>
        <stp>BDP|4989361816713294645</stp>
        <tr r="R1477" s="2"/>
      </tp>
      <tp t="s">
        <v>#N/A Requesting Data...3505869016</v>
        <stp/>
        <stp>BDP|6129315829943593735</stp>
        <tr r="Q2301" s="2"/>
      </tp>
      <tp t="s">
        <v>#N/A Requesting Data...2764586688</v>
        <stp/>
        <stp>BDP|7867240710367470070</stp>
        <tr r="K972" s="2"/>
      </tp>
      <tp t="s">
        <v>#N/A Requesting Data...3099071861</v>
        <stp/>
        <stp>BDP|7796584312403735358</stp>
        <tr r="M1314" s="2"/>
      </tp>
      <tp t="s">
        <v>#N/A Requesting Data...2771694779</v>
        <stp/>
        <stp>BDP|1741108952091290787</stp>
        <tr r="O2115" s="2"/>
      </tp>
      <tp t="s">
        <v>#N/A Requesting Data...2784480646</v>
        <stp/>
        <stp>BDP|5735602630251025283</stp>
        <tr r="J1803" s="2"/>
      </tp>
      <tp t="s">
        <v>#N/A Requesting Data...3537013705</v>
        <stp/>
        <stp>BDP|7072300212245500380</stp>
        <tr r="C746" s="2"/>
      </tp>
      <tp t="s">
        <v>#N/A Requesting Data...3457895623</v>
        <stp/>
        <stp>BDP|3452171422063910070</stp>
        <tr r="F1374" s="2"/>
      </tp>
      <tp t="s">
        <v>#N/A Requesting Data...2672745069</v>
        <stp/>
        <stp>BDP|9723458119769295661</stp>
        <tr r="R2119" s="2"/>
      </tp>
      <tp t="b">
        <v>0</v>
        <stp/>
        <stp>BDS|3236508176306264498</stp>
        <tr r="I1019" s="2"/>
      </tp>
      <tp t="s">
        <v>#N/A Requesting Data...4056433661</v>
        <stp/>
        <stp>BDP|5198968507166924967</stp>
        <tr r="C1778" s="2"/>
      </tp>
      <tp t="s">
        <v>#N/A Requesting Data...3732397825</v>
        <stp/>
        <stp>BDP|6661611221296925702</stp>
        <tr r="H280" s="2"/>
      </tp>
      <tp t="s">
        <v>#N/A Requesting Data...4241942710</v>
        <stp/>
        <stp>BDP|6539490822041321225</stp>
        <tr r="H923" s="2"/>
      </tp>
      <tp t="s">
        <v>#N/A Requesting Data...3643080509</v>
        <stp/>
        <stp>BDP|3425986855804018869</stp>
        <tr r="C1619" s="2"/>
      </tp>
      <tp t="s">
        <v>#N/A Requesting Data...3277110279</v>
        <stp/>
        <stp>BDP|3786745721971963446</stp>
        <tr r="H1562" s="2"/>
      </tp>
      <tp t="s">
        <v>#N/A Requesting Data...3333309959</v>
        <stp/>
        <stp>BDP|8267042798267707562</stp>
        <tr r="T2529" s="2"/>
      </tp>
      <tp t="s">
        <v>#N/A Requesting Data...3003256112</v>
        <stp/>
        <stp>BDP|7933150267522300172</stp>
        <tr r="G2020" s="2"/>
      </tp>
      <tp t="b">
        <v>0</v>
        <stp/>
        <stp>BDS|5659513527186748784</stp>
        <tr r="I854" s="2"/>
      </tp>
      <tp t="s">
        <v>#N/A Requesting Data...3433419614</v>
        <stp/>
        <stp>BDP|6541398763865288528</stp>
        <tr r="G1116" s="2"/>
      </tp>
      <tp t="s">
        <v>#N/A Requesting Data...2826336383</v>
        <stp/>
        <stp>BDP|7611567237076875406</stp>
        <tr r="G776" s="2"/>
      </tp>
      <tp t="s">
        <v>#N/A Requesting Data...2998037358</v>
        <stp/>
        <stp>BDP|3511951578046232854</stp>
        <tr r="N1883" s="2"/>
      </tp>
      <tp t="s">
        <v>#N/A Requesting Data...4182609675</v>
        <stp/>
        <stp>BDP|3884915950964265845</stp>
        <tr r="C2034" s="2"/>
      </tp>
      <tp t="s">
        <v>#N/A Requesting Data...3121154123</v>
        <stp/>
        <stp>BDP|5575250858333740207</stp>
        <tr r="P429" s="2"/>
      </tp>
      <tp t="s">
        <v>#N/A Requesting Data...4112510234</v>
        <stp/>
        <stp>BDP|9660678218918149574</stp>
        <tr r="S2076" s="2"/>
      </tp>
      <tp t="s">
        <v>#N/A Requesting Data...3594353128</v>
        <stp/>
        <stp>BDP|5573193720513750642</stp>
        <tr r="A575" s="2"/>
      </tp>
      <tp t="s">
        <v>#N/A Requesting Data...2889981247</v>
        <stp/>
        <stp>BDP|8358736107589810501</stp>
        <tr r="C111" s="2"/>
      </tp>
      <tp t="s">
        <v>#N/A Requesting Data...4089779670</v>
        <stp/>
        <stp>BDP|6940054253992989297</stp>
        <tr r="M1427" s="2"/>
      </tp>
      <tp t="s">
        <v>#N/A Requesting Data...4074745612</v>
        <stp/>
        <stp>BDP|7175152610403340783</stp>
        <tr r="G882" s="2"/>
      </tp>
      <tp t="s">
        <v>#N/A Requesting Data...3465147533</v>
        <stp/>
        <stp>BDP|7251619387699353389</stp>
        <tr r="G1617" s="2"/>
      </tp>
      <tp t="s">
        <v>#N/A Requesting Data...2823491806</v>
        <stp/>
        <stp>BDP|7332684257250751779</stp>
        <tr r="N2324" s="2"/>
      </tp>
      <tp t="s">
        <v>#N/A Requesting Data...2759737503</v>
        <stp/>
        <stp>BDP|3132315155765800318</stp>
        <tr r="T4" s="2"/>
      </tp>
      <tp t="s">
        <v>#N/A Requesting Data...3056849039</v>
        <stp/>
        <stp>BDP|1822256915734789532</stp>
        <tr r="J1460" s="2"/>
      </tp>
      <tp t="b">
        <v>0</v>
        <stp/>
        <stp>BDS|7360612123485496593</stp>
        <tr r="I1464" s="2"/>
      </tp>
      <tp t="s">
        <v>#N/A Requesting Data...2745475542</v>
        <stp/>
        <stp>BDP|9616487961348492074</stp>
        <tr r="T475" s="2"/>
      </tp>
      <tp t="s">
        <v>#N/A Requesting Data...3240566673</v>
        <stp/>
        <stp>BDP|4806197019647009049</stp>
        <tr r="H608" s="2"/>
      </tp>
      <tp t="s">
        <v>#N/A Requesting Data...4267765522</v>
        <stp/>
        <stp>BDP|3656098116632380368</stp>
        <tr r="N375" s="2"/>
      </tp>
      <tp t="s">
        <v>#N/A Requesting Data...3586947252</v>
        <stp/>
        <stp>BDP|4740400558375387304</stp>
        <tr r="D474" s="2"/>
      </tp>
      <tp t="s">
        <v>#N/A Requesting Data...3842048323</v>
        <stp/>
        <stp>BDP|5802964741348754349</stp>
        <tr r="K2365" s="2"/>
      </tp>
      <tp t="s">
        <v>#N/A Requesting Data...3632268589</v>
        <stp/>
        <stp>BDP|9217069349326753865</stp>
        <tr r="K1714" s="2"/>
      </tp>
      <tp t="s">
        <v>#N/A Requesting Data...3508642691</v>
        <stp/>
        <stp>BDP|2351699905491540667</stp>
        <tr r="O585" s="2"/>
      </tp>
      <tp t="s">
        <v>#N/A Requesting Data...2968570570</v>
        <stp/>
        <stp>BDP|7295523720140435383</stp>
        <tr r="D711" s="2"/>
      </tp>
      <tp t="s">
        <v>#N/A Requesting Data...3739766061</v>
        <stp/>
        <stp>BDP|4993439943747083054</stp>
        <tr r="P1647" s="2"/>
      </tp>
      <tp t="s">
        <v>#N/A Requesting Data...4041868402</v>
        <stp/>
        <stp>BDP|7466856371119599293</stp>
        <tr r="O1152" s="2"/>
      </tp>
      <tp t="s">
        <v>#N/A Requesting Data...2949730825</v>
        <stp/>
        <stp>BDP|9349046166979921542</stp>
        <tr r="H2484" s="2"/>
      </tp>
      <tp t="s">
        <v>#N/A Requesting Data...4096556152</v>
        <stp/>
        <stp>BDP|4445453719867150550</stp>
        <tr r="K984" s="2"/>
      </tp>
      <tp t="s">
        <v>#N/A Requesting Data...2895689729</v>
        <stp/>
        <stp>BDP|9826104576958260403</stp>
        <tr r="T452" s="2"/>
      </tp>
      <tp t="s">
        <v>#N/A Requesting Data...3309584216</v>
        <stp/>
        <stp>BDP|1415264819925142462</stp>
        <tr r="S2238" s="2"/>
      </tp>
      <tp t="s">
        <v>#N/A Requesting Data...4051919766</v>
        <stp/>
        <stp>BDP|5851452156831509625</stp>
        <tr r="O2434" s="2"/>
      </tp>
      <tp t="s">
        <v>#N/A Requesting Data...3541353421</v>
        <stp/>
        <stp>BDP|8446947750330457788</stp>
        <tr r="F309" s="2"/>
      </tp>
      <tp t="s">
        <v>#N/A Requesting Data...3639204745</v>
        <stp/>
        <stp>BDP|4434889456019012366</stp>
        <tr r="D927" s="2"/>
      </tp>
      <tp t="s">
        <v>#N/A Requesting Data...3636510575</v>
        <stp/>
        <stp>BDP|5715256838251691601</stp>
        <tr r="G1038" s="2"/>
      </tp>
      <tp t="s">
        <v>#N/A Requesting Data...3274964670</v>
        <stp/>
        <stp>BDP|6794604838298042837</stp>
        <tr r="Q209" s="2"/>
      </tp>
      <tp t="s">
        <v>#N/A Requesting Data...2718257690</v>
        <stp/>
        <stp>BDP|1232048462824865009</stp>
        <tr r="T1318" s="2"/>
      </tp>
      <tp t="s">
        <v>#N/A Requesting Data...3543856084</v>
        <stp/>
        <stp>BDP|9030699503678761416</stp>
        <tr r="F1690" s="2"/>
      </tp>
      <tp t="s">
        <v>#N/A Requesting Data...4116990804</v>
        <stp/>
        <stp>BDP|2475370321879659986</stp>
        <tr r="O1427" s="2"/>
      </tp>
      <tp t="s">
        <v>#N/A Requesting Data...3853196047</v>
        <stp/>
        <stp>BDP|5649482784788776219</stp>
        <tr r="N2330" s="2"/>
      </tp>
      <tp t="s">
        <v>#N/A Requesting Data...3389067514</v>
        <stp/>
        <stp>BDP|9912261150935371801</stp>
        <tr r="K1043" s="2"/>
      </tp>
      <tp t="s">
        <v>#N/A Requesting Data...3693470167</v>
        <stp/>
        <stp>BDP|9306975221943122281</stp>
        <tr r="S2417" s="2"/>
      </tp>
      <tp t="b">
        <v>0</v>
        <stp/>
        <stp>BDS|9087237163326897849</stp>
        <tr r="I1992" s="2"/>
      </tp>
      <tp t="s">
        <v>#N/A Requesting Data...3919331416</v>
        <stp/>
        <stp>BDP|6019482864371788677</stp>
        <tr r="P655" s="2"/>
      </tp>
      <tp t="b">
        <v>0</v>
        <stp/>
        <stp>BDS|5856759142904309109</stp>
        <tr r="I1471" s="2"/>
      </tp>
      <tp t="s">
        <v>#N/A Requesting Data...2894986387</v>
        <stp/>
        <stp>BDP|3032188431773405112</stp>
        <tr r="K451" s="2"/>
      </tp>
      <tp t="s">
        <v>#N/A Requesting Data...3360024744</v>
        <stp/>
        <stp>BDP|6900035007244880191</stp>
        <tr r="A24" s="2"/>
      </tp>
      <tp t="s">
        <v>#N/A Requesting Data...4142495923</v>
        <stp/>
        <stp>BDP|8764480391900123633</stp>
        <tr r="P1125" s="2"/>
      </tp>
      <tp t="s">
        <v>#N/A Requesting Data...3976983788</v>
        <stp/>
        <stp>BDP|4080042033342322685</stp>
        <tr r="C448" s="2"/>
      </tp>
      <tp t="s">
        <v>#N/A Requesting Data...3649461092</v>
        <stp/>
        <stp>BDP|1405361032847811546</stp>
        <tr r="O1274" s="2"/>
      </tp>
      <tp t="s">
        <v>#N/A Requesting Data...3031096800</v>
        <stp/>
        <stp>BDP|3580714819755221337</stp>
        <tr r="K1440" s="2"/>
      </tp>
      <tp t="s">
        <v>#N/A Requesting Data...2782407773</v>
        <stp/>
        <stp>BDP|5062588482922798910</stp>
        <tr r="S1589" s="2"/>
      </tp>
      <tp t="s">
        <v>#N/A Requesting Data...4046232934</v>
        <stp/>
        <stp>BDP|1419232111846835726</stp>
        <tr r="D1694" s="2"/>
      </tp>
      <tp t="s">
        <v>#N/A Requesting Data...3821166539</v>
        <stp/>
        <stp>BDP|5742086470760129129</stp>
        <tr r="N358" s="2"/>
      </tp>
      <tp t="b">
        <v>0</v>
        <stp/>
        <stp>BDS|8865828053483457512</stp>
        <tr r="I2279" s="2"/>
      </tp>
      <tp t="s">
        <v>#N/A Requesting Data...3019564408</v>
        <stp/>
        <stp>BDP|3833362691008283218</stp>
        <tr r="C516" s="2"/>
      </tp>
      <tp t="s">
        <v>#N/A Requesting Data...4189923375</v>
        <stp/>
        <stp>BDP|1209470962458214894</stp>
        <tr r="J1067" s="2"/>
      </tp>
      <tp t="s">
        <v>#N/A Requesting Data...3266082999</v>
        <stp/>
        <stp>BDP|4935705690098676130</stp>
        <tr r="K334" s="2"/>
      </tp>
      <tp t="s">
        <v>#N/A Requesting Data...3960884523</v>
        <stp/>
        <stp>BDP|2676102653086065392</stp>
        <tr r="R1299" s="2"/>
      </tp>
      <tp t="s">
        <v>#N/A Requesting Data...4152228530</v>
        <stp/>
        <stp>BDP|6449501749401613571</stp>
        <tr r="P439" s="2"/>
      </tp>
      <tp t="s">
        <v>#N/A Requesting Data...4081831777</v>
        <stp/>
        <stp>BDP|3644351908121260253</stp>
        <tr r="H178" s="2"/>
      </tp>
      <tp t="s">
        <v>#N/A Requesting Data...3161262095</v>
        <stp/>
        <stp>BDP|8130722897121981419</stp>
        <tr r="A1812" s="2"/>
      </tp>
      <tp t="s">
        <v>#N/A Requesting Data...3356363606</v>
        <stp/>
        <stp>BDP|8869206241204440917</stp>
        <tr r="R2426" s="2"/>
      </tp>
      <tp t="s">
        <v>#N/A Requesting Data...3973223056</v>
        <stp/>
        <stp>BDP|6626043543002801351</stp>
        <tr r="H479" s="2"/>
      </tp>
      <tp t="s">
        <v>#N/A Requesting Data...4140208296</v>
        <stp/>
        <stp>BDP|9166468228618097431</stp>
        <tr r="Q2106" s="2"/>
      </tp>
      <tp t="s">
        <v>#N/A Requesting Data...3461936437</v>
        <stp/>
        <stp>BDP|7678925419418535445</stp>
        <tr r="M2459" s="2"/>
      </tp>
      <tp t="s">
        <v>#N/A Requesting Data...3441016607</v>
        <stp/>
        <stp>BDP|6998032683005535808</stp>
        <tr r="F2052" s="2"/>
      </tp>
      <tp t="s">
        <v>#N/A Requesting Data...3766482545</v>
        <stp/>
        <stp>BDP|8748922184688864255</stp>
        <tr r="H1077" s="2"/>
      </tp>
      <tp t="s">
        <v>#N/A Requesting Data...4149626401</v>
        <stp/>
        <stp>BDP|7700943580537827277</stp>
        <tr r="N854" s="2"/>
      </tp>
      <tp t="s">
        <v>#N/A Requesting Data...3715809665</v>
        <stp/>
        <stp>BDP|9926831054771030624</stp>
        <tr r="K2532" s="2"/>
      </tp>
      <tp t="s">
        <v>#N/A Requesting Data...3274567653</v>
        <stp/>
        <stp>BDP|5424016273600355194</stp>
        <tr r="M2069" s="2"/>
      </tp>
      <tp t="s">
        <v>#N/A Requesting Data...4035878136</v>
        <stp/>
        <stp>BDP|8399999426078646867</stp>
        <tr r="T411" s="2"/>
      </tp>
      <tp t="s">
        <v>#N/A Requesting Data...3742191179</v>
        <stp/>
        <stp>BDP|7309129336811243796</stp>
        <tr r="N1179" s="2"/>
      </tp>
      <tp t="s">
        <v>#N/A Requesting Data...2801973467</v>
        <stp/>
        <stp>BDP|8941846365024369177</stp>
        <tr r="C1489" s="2"/>
      </tp>
      <tp t="s">
        <v>#N/A Requesting Data...3528085977</v>
        <stp/>
        <stp>BDP|2383088556397354325</stp>
        <tr r="N1794" s="2"/>
      </tp>
      <tp t="s">
        <v>#N/A Requesting Data...3721692278</v>
        <stp/>
        <stp>BDP|3007418938621248678</stp>
        <tr r="N1656" s="2"/>
      </tp>
      <tp t="s">
        <v>#N/A Requesting Data...4286272633</v>
        <stp/>
        <stp>BDP|1987205730116274579</stp>
        <tr r="R838" s="2"/>
      </tp>
      <tp t="s">
        <v>#N/A Requesting Data...2877066879</v>
        <stp/>
        <stp>BDP|5433007238771077406</stp>
        <tr r="D858" s="2"/>
      </tp>
      <tp t="s">
        <v>#N/A Requesting Data...3340041259</v>
        <stp/>
        <stp>BDP|5760095440542221006</stp>
        <tr r="O870" s="2"/>
      </tp>
      <tp t="s">
        <v>#N/A Requesting Data...3242850662</v>
        <stp/>
        <stp>BDP|2980667977328798837</stp>
        <tr r="G2477" s="2"/>
      </tp>
      <tp t="s">
        <v>#N/A Requesting Data...3227576762</v>
        <stp/>
        <stp>BDP|9840337942758340562</stp>
        <tr r="R2268" s="2"/>
      </tp>
      <tp t="s">
        <v>#N/A Requesting Data...3694082946</v>
        <stp/>
        <stp>BDP|6570098053504418479</stp>
        <tr r="G1140" s="2"/>
      </tp>
      <tp t="s">
        <v>#N/A Requesting Data...2913024263</v>
        <stp/>
        <stp>BDP|3888453267414082665</stp>
        <tr r="J1496" s="2"/>
      </tp>
      <tp t="s">
        <v>#N/A Requesting Data...3063290752</v>
        <stp/>
        <stp>BDP|4753143238004436130</stp>
        <tr r="R1388" s="2"/>
      </tp>
      <tp t="s">
        <v>#N/A Requesting Data...3521759755</v>
        <stp/>
        <stp>BDP|2943391460315906153</stp>
        <tr r="H690" s="2"/>
      </tp>
      <tp t="s">
        <v>#N/A Requesting Data...3454336303</v>
        <stp/>
        <stp>BDP|1499399126133439037</stp>
        <tr r="E393" s="2"/>
      </tp>
      <tp t="s">
        <v>#N/A Requesting Data...4286457353</v>
        <stp/>
        <stp>BDP|7759591702249916892</stp>
        <tr r="O2205" s="2"/>
      </tp>
      <tp t="s">
        <v>#N/A Requesting Data...3404188728</v>
        <stp/>
        <stp>BDP|5741954499496553024</stp>
        <tr r="E1911" s="2"/>
      </tp>
      <tp t="s">
        <v>#N/A Requesting Data...3949515706</v>
        <stp/>
        <stp>BDP|1176548234253804759</stp>
        <tr r="R1248" s="2"/>
      </tp>
      <tp t="s">
        <v>#N/A Requesting Data...3616503816</v>
        <stp/>
        <stp>BDP|1155787514353073712</stp>
        <tr r="Q1871" s="2"/>
      </tp>
      <tp t="s">
        <v>#N/A Requesting Data...4002097865</v>
        <stp/>
        <stp>BDP|2432084660836095102</stp>
        <tr r="E2428" s="2"/>
      </tp>
      <tp t="s">
        <v>#N/A Requesting Data...3612065058</v>
        <stp/>
        <stp>BDP|2131952899246646773</stp>
        <tr r="A1544" s="2"/>
      </tp>
      <tp t="s">
        <v>#N/A Requesting Data...3300755358</v>
        <stp/>
        <stp>BDP|2164700056297349487</stp>
        <tr r="R1944" s="2"/>
      </tp>
      <tp t="s">
        <v>#N/A Requesting Data...3810243748</v>
        <stp/>
        <stp>BDP|5702963349223157853</stp>
        <tr r="E1567" s="2"/>
      </tp>
      <tp t="s">
        <v>#N/A Requesting Data...3018690335</v>
        <stp/>
        <stp>BDP|5433135372054903401</stp>
        <tr r="K2368" s="2"/>
      </tp>
      <tp t="s">
        <v>#N/A Requesting Data...3518675462</v>
        <stp/>
        <stp>BDP|9837262527118453212</stp>
        <tr r="M1858" s="2"/>
      </tp>
      <tp t="s">
        <v>#N/A Requesting Data...4055738462</v>
        <stp/>
        <stp>BDP|3711284364354436032</stp>
        <tr r="P652" s="2"/>
      </tp>
      <tp t="s">
        <v>#N/A Requesting Data...3908597262</v>
        <stp/>
        <stp>BDP|9852909330936403602</stp>
        <tr r="H1102" s="2"/>
      </tp>
      <tp t="s">
        <v>#N/A Requesting Data...4124322361</v>
        <stp/>
        <stp>BDP|9093186025390297932</stp>
        <tr r="A2304" s="2"/>
      </tp>
      <tp t="s">
        <v>#N/A Requesting Data...4219018316</v>
        <stp/>
        <stp>BDP|5049293146098118821</stp>
        <tr r="O711" s="2"/>
      </tp>
      <tp t="s">
        <v>#N/A Requesting Data...3320496051</v>
        <stp/>
        <stp>BDP|4080468600024342792</stp>
        <tr r="S70" s="2"/>
      </tp>
      <tp t="s">
        <v>#N/A Requesting Data...3567816486</v>
        <stp/>
        <stp>BDP|7691388362543870285</stp>
        <tr r="C23" s="2"/>
      </tp>
      <tp t="s">
        <v>#N/A Requesting Data...3985514526</v>
        <stp/>
        <stp>BDP|6947350706716653000</stp>
        <tr r="H1920" s="2"/>
      </tp>
      <tp t="s">
        <v>#N/A Requesting Data...3372093800</v>
        <stp/>
        <stp>BDP|1217690375000318316</stp>
        <tr r="A1635" s="2"/>
      </tp>
      <tp t="s">
        <v>#N/A Requesting Data...3100106940</v>
        <stp/>
        <stp>BDP|7821330863009775833</stp>
        <tr r="T371" s="2"/>
      </tp>
      <tp t="s">
        <v>#N/A Requesting Data...2928351567</v>
        <stp/>
        <stp>BDP|7818844781877321329</stp>
        <tr r="C2390" s="2"/>
      </tp>
      <tp t="s">
        <v>#N/A Requesting Data...3628689653</v>
        <stp/>
        <stp>BDP|1725084031302747348</stp>
        <tr r="H2263" s="2"/>
      </tp>
      <tp t="s">
        <v>#N/A Requesting Data...3806528581</v>
        <stp/>
        <stp>BDP|5672719551275819134</stp>
        <tr r="T1944" s="2"/>
      </tp>
      <tp t="s">
        <v>#N/A Requesting Data...3170070565</v>
        <stp/>
        <stp>BDP|4809368291059314410</stp>
        <tr r="S1903" s="2"/>
      </tp>
      <tp t="s">
        <v>#N/A Requesting Data...4203549099</v>
        <stp/>
        <stp>BDP|1990265259015345080</stp>
        <tr r="N2524" s="2"/>
      </tp>
      <tp t="s">
        <v>#N/A Requesting Data...3288380251</v>
        <stp/>
        <stp>BDP|3493690863296304603</stp>
        <tr r="O1177" s="2"/>
      </tp>
      <tp t="s">
        <v>#N/A Requesting Data...3509352612</v>
        <stp/>
        <stp>BDP|2554389369296019297</stp>
        <tr r="E859" s="2"/>
      </tp>
      <tp t="s">
        <v>#N/A Requesting Data...3713932569</v>
        <stp/>
        <stp>BDP|1399145789488367306</stp>
        <tr r="C109" s="2"/>
      </tp>
      <tp t="b">
        <v>0</v>
        <stp/>
        <stp>BDS|3641189480049170021</stp>
        <tr r="I205" s="2"/>
      </tp>
      <tp t="s">
        <v>#N/A Requesting Data...3335927191</v>
        <stp/>
        <stp>BDP|3313402222661988755</stp>
        <tr r="K1728" s="2"/>
      </tp>
      <tp t="s">
        <v>#N/A Requesting Data...3259504108</v>
        <stp/>
        <stp>BDP|7540943298516038249</stp>
        <tr r="J2006" s="2"/>
      </tp>
      <tp t="s">
        <v>#N/A Requesting Data...4186774592</v>
        <stp/>
        <stp>BDP|5104836535569915439</stp>
        <tr r="T33" s="2"/>
      </tp>
      <tp t="s">
        <v>#N/A Requesting Data...3472503950</v>
        <stp/>
        <stp>BDP|8881152986625321755</stp>
        <tr r="K2066" s="2"/>
      </tp>
      <tp t="b">
        <v>0</v>
        <stp/>
        <stp>BDS|1977509247501623250</stp>
        <tr r="I1559" s="2"/>
      </tp>
      <tp t="s">
        <v>#N/A Requesting Data...3898016893</v>
        <stp/>
        <stp>BDP|7537211913914368397</stp>
        <tr r="P54" s="2"/>
      </tp>
      <tp t="s">
        <v>#N/A Requesting Data...4258032893</v>
        <stp/>
        <stp>BDP|6750670227367345698</stp>
        <tr r="E281" s="2"/>
      </tp>
      <tp t="s">
        <v>#N/A Requesting Data...3327413345</v>
        <stp/>
        <stp>BDP|7489907520769167684</stp>
        <tr r="K2242" s="2"/>
      </tp>
      <tp t="b">
        <v>0</v>
        <stp/>
        <stp>BDS|6450963394446328389</stp>
        <tr r="I1917" s="2"/>
      </tp>
      <tp t="b">
        <v>0</v>
        <stp/>
        <stp>BDS|2335940750469383491</stp>
        <tr r="I239" s="2"/>
      </tp>
      <tp t="s">
        <v>#N/A Requesting Data...4249581914</v>
        <stp/>
        <stp>BDP|1492292148794869007</stp>
        <tr r="R477" s="2"/>
      </tp>
      <tp t="s">
        <v>#N/A Requesting Data...3242985526</v>
        <stp/>
        <stp>BDP|4420008540795866616</stp>
        <tr r="R447" s="2"/>
      </tp>
      <tp t="s">
        <v>#N/A Requesting Data...3978878675</v>
        <stp/>
        <stp>BDP|4620985233529661468</stp>
        <tr r="N1125" s="2"/>
      </tp>
      <tp t="s">
        <v>#N/A Requesting Data...3808940637</v>
        <stp/>
        <stp>BDP|8559840916354884622</stp>
        <tr r="T796" s="2"/>
      </tp>
      <tp t="s">
        <v>#N/A Requesting Data...4257035809</v>
        <stp/>
        <stp>BDP|4934673964971528627</stp>
        <tr r="K211" s="2"/>
      </tp>
      <tp t="s">
        <v>#N/A Requesting Data...3919174578</v>
        <stp/>
        <stp>BDP|8663877972816768293</stp>
        <tr r="P854" s="2"/>
      </tp>
      <tp t="s">
        <v>#N/A Requesting Data...3032446567</v>
        <stp/>
        <stp>BDP|8295974478993601668</stp>
        <tr r="M731" s="2"/>
      </tp>
      <tp t="s">
        <v>#N/A Requesting Data...3095704941</v>
        <stp/>
        <stp>BDP|2647834806038869169</stp>
        <tr r="T1748" s="2"/>
      </tp>
      <tp t="s">
        <v>#N/A Requesting Data...3960046375</v>
        <stp/>
        <stp>BDP|2640052098818721013</stp>
        <tr r="F1408" s="2"/>
      </tp>
      <tp t="s">
        <v>#N/A Requesting Data...3201050629</v>
        <stp/>
        <stp>BDP|2651613960862321393</stp>
        <tr r="Q1048" s="2"/>
      </tp>
      <tp t="s">
        <v>#N/A Requesting Data...4054085793</v>
        <stp/>
        <stp>BDP|4827544606213199162</stp>
        <tr r="H357" s="2"/>
      </tp>
      <tp t="s">
        <v>#N/A Requesting Data...3247922040</v>
        <stp/>
        <stp>BDP|1598319965692412588</stp>
        <tr r="K2514" s="2"/>
      </tp>
      <tp t="s">
        <v>#N/A Requesting Data...3445288740</v>
        <stp/>
        <stp>BDP|3747225855812548583</stp>
        <tr r="O349" s="2"/>
      </tp>
      <tp t="s">
        <v>#N/A Requesting Data...3213444800</v>
        <stp/>
        <stp>BDP|9279156868669616448</stp>
        <tr r="G1350" s="2"/>
      </tp>
      <tp t="s">
        <v>#N/A Requesting Data...3268438934</v>
        <stp/>
        <stp>BDP|6847841277128228248</stp>
        <tr r="K896" s="2"/>
      </tp>
      <tp t="s">
        <v>#N/A Requesting Data...3736779244</v>
        <stp/>
        <stp>BDP|3371297663476228268</stp>
        <tr r="H874" s="2"/>
      </tp>
      <tp t="s">
        <v>#N/A Requesting Data...3531789585</v>
        <stp/>
        <stp>BDP|5595509855976422095</stp>
        <tr r="G397" s="2"/>
      </tp>
      <tp t="s">
        <v>#N/A Requesting Data...3962283502</v>
        <stp/>
        <stp>BDP|6774338102136982027</stp>
        <tr r="M865" s="2"/>
      </tp>
      <tp t="s">
        <v>#N/A Requesting Data...3988591194</v>
        <stp/>
        <stp>BDP|4813789240340890453</stp>
        <tr r="N1046" s="2"/>
      </tp>
      <tp t="s">
        <v>#N/A Requesting Data...3114212142</v>
        <stp/>
        <stp>BDP|4378396679412628186</stp>
        <tr r="P942" s="2"/>
      </tp>
      <tp t="b">
        <v>0</v>
        <stp/>
        <stp>BDS|8250298707981028814</stp>
        <tr r="I1860" s="2"/>
      </tp>
      <tp t="s">
        <v>#N/A Requesting Data...3471337464</v>
        <stp/>
        <stp>BDP|7782114028601282613</stp>
        <tr r="N1560" s="2"/>
      </tp>
      <tp t="s">
        <v>#N/A Requesting Data...4282697090</v>
        <stp/>
        <stp>BDP|5803711435012619071</stp>
        <tr r="D1310" s="2"/>
      </tp>
      <tp t="s">
        <v>#N/A Requesting Data...4070024158</v>
        <stp/>
        <stp>BDP|7235716783142419994</stp>
        <tr r="K923" s="2"/>
      </tp>
      <tp t="b">
        <v>0</v>
        <stp/>
        <stp>BDS|5224434719904497715</stp>
        <tr r="I736" s="2"/>
      </tp>
      <tp t="s">
        <v>#N/A Requesting Data...3453724212</v>
        <stp/>
        <stp>BDP|1822850693353037032</stp>
        <tr r="F549" s="2"/>
      </tp>
      <tp t="s">
        <v>#N/A Requesting Data...3506916167</v>
        <stp/>
        <stp>BDP|2142725442804817648</stp>
        <tr r="P1567" s="2"/>
      </tp>
      <tp t="s">
        <v>#N/A Requesting Data...3742978644</v>
        <stp/>
        <stp>BDP|9591381278948834602</stp>
        <tr r="C1516" s="2"/>
      </tp>
      <tp t="s">
        <v>#N/A Requesting Data...3043944438</v>
        <stp/>
        <stp>BDP|1809150610336732470</stp>
        <tr r="E1692" s="2"/>
      </tp>
      <tp t="s">
        <v>#N/A Requesting Data...4121997748</v>
        <stp/>
        <stp>BDP|2481134971003887434</stp>
        <tr r="T2460" s="2"/>
      </tp>
      <tp t="s">
        <v>#N/A Requesting Data...3262729657</v>
        <stp/>
        <stp>BDP|7090067935591628689</stp>
        <tr r="F2130" s="2"/>
      </tp>
      <tp t="s">
        <v>#N/A Requesting Data...3157511456</v>
        <stp/>
        <stp>BDP|1377230895221014884</stp>
        <tr r="T2480" s="2"/>
      </tp>
      <tp t="s">
        <v>#N/A Requesting Data...3946566220</v>
        <stp/>
        <stp>BDP|3954510376442478076</stp>
        <tr r="J355" s="2"/>
      </tp>
      <tp t="s">
        <v>#N/A Requesting Data...3661951517</v>
        <stp/>
        <stp>BDP|6620105412552907701</stp>
        <tr r="N1839" s="2"/>
      </tp>
      <tp t="s">
        <v>#N/A Requesting Data...4199723597</v>
        <stp/>
        <stp>BDP|3977039345275474168</stp>
        <tr r="J755" s="2"/>
      </tp>
      <tp t="s">
        <v>#N/A Requesting Data...3357826877</v>
        <stp/>
        <stp>BDP|1168456299329296629</stp>
        <tr r="M490" s="2"/>
      </tp>
      <tp t="s">
        <v>#N/A Requesting Data...3490556037</v>
        <stp/>
        <stp>BDP|3059530843966489797</stp>
        <tr r="T1652" s="2"/>
      </tp>
      <tp t="s">
        <v>#N/A Requesting Data...4242895415</v>
        <stp/>
        <stp>BDP|8777480740719468265</stp>
        <tr r="S122" s="2"/>
      </tp>
      <tp t="s">
        <v>#N/A Requesting Data...3694243390</v>
        <stp/>
        <stp>BDP|4113794603041753112</stp>
        <tr r="A851" s="2"/>
      </tp>
      <tp t="s">
        <v>#N/A Requesting Data...3414884153</v>
        <stp/>
        <stp>BDP|5938771305262229347</stp>
        <tr r="O418" s="2"/>
      </tp>
      <tp t="s">
        <v>#N/A Requesting Data...4273686256</v>
        <stp/>
        <stp>BDP|3887299336420820122</stp>
        <tr r="F1423" s="2"/>
      </tp>
      <tp t="s">
        <v>#N/A Requesting Data...3656924508</v>
        <stp/>
        <stp>BDP|5861877772171240821</stp>
        <tr r="Q2341" s="2"/>
      </tp>
      <tp t="s">
        <v>#N/A Requesting Data...3752663528</v>
        <stp/>
        <stp>BDP|5196028644502933032</stp>
        <tr r="A1193" s="2"/>
      </tp>
      <tp t="s">
        <v>#N/A Requesting Data...3530463052</v>
        <stp/>
        <stp>BDP|4639549334777293691</stp>
        <tr r="H782" s="2"/>
      </tp>
      <tp t="s">
        <v>#N/A Requesting Data...4279544681</v>
        <stp/>
        <stp>BDP|9728817621520372092</stp>
        <tr r="C1509" s="2"/>
      </tp>
      <tp t="s">
        <v>#N/A Requesting Data...3251319665</v>
        <stp/>
        <stp>BDP|1226161816650933263</stp>
        <tr r="S180" s="2"/>
      </tp>
      <tp t="s">
        <v>#N/A Requesting Data...4086307539</v>
        <stp/>
        <stp>BDP|3738676653426735597</stp>
        <tr r="H1982" s="2"/>
      </tp>
      <tp t="b">
        <v>0</v>
        <stp/>
        <stp>BDS|9223240365848642689</stp>
        <tr r="I671" s="2"/>
      </tp>
      <tp t="s">
        <v>#N/A Requesting Data...3704794462</v>
        <stp/>
        <stp>BDP|9354892509595747792</stp>
        <tr r="T1566" s="2"/>
      </tp>
      <tp t="s">
        <v>#N/A Requesting Data...4052838589</v>
        <stp/>
        <stp>BDP|5770277060513414193</stp>
        <tr r="J1581" s="2"/>
      </tp>
      <tp t="s">
        <v>#N/A Requesting Data...3754047527</v>
        <stp/>
        <stp>BDP|8504042939181645930</stp>
        <tr r="P1931" s="2"/>
      </tp>
      <tp t="s">
        <v>#N/A Requesting Data...4247403342</v>
        <stp/>
        <stp>BDP|4554437616553946144</stp>
        <tr r="A518" s="2"/>
      </tp>
      <tp t="s">
        <v>#N/A Requesting Data...4068489280</v>
        <stp/>
        <stp>BDP|1777726067292770183</stp>
        <tr r="D864" s="2"/>
      </tp>
      <tp t="s">
        <v>#N/A Requesting Data...3227568398</v>
        <stp/>
        <stp>BDP|6981336218325689292</stp>
        <tr r="F1902" s="2"/>
      </tp>
      <tp t="s">
        <v>#N/A Requesting Data...3137831826</v>
        <stp/>
        <stp>BDP|7602338618841048703</stp>
        <tr r="A1496" s="2"/>
      </tp>
      <tp t="s">
        <v>#N/A Requesting Data...3824218233</v>
        <stp/>
        <stp>BDP|3795225124999969955</stp>
        <tr r="F1991" s="2"/>
      </tp>
      <tp t="b">
        <v>0</v>
        <stp/>
        <stp>BDS|6931221763017372660</stp>
        <tr r="I2427" s="2"/>
      </tp>
      <tp t="s">
        <v>#N/A Requesting Data...3505168388</v>
        <stp/>
        <stp>BDP|1730493817382077542</stp>
        <tr r="H2293" s="2"/>
      </tp>
      <tp t="s">
        <v>#N/A Requesting Data...4135730372</v>
        <stp/>
        <stp>BDP|7468874816314846903</stp>
        <tr r="A1761" s="2"/>
      </tp>
      <tp t="s">
        <v>#N/A Requesting Data...3543242614</v>
        <stp/>
        <stp>BDP|7381194742354192540</stp>
        <tr r="S901" s="2"/>
      </tp>
      <tp t="s">
        <v>#N/A Requesting Data...3701030072</v>
        <stp/>
        <stp>BDP|6836619332506106679</stp>
        <tr r="H905" s="2"/>
      </tp>
      <tp t="s">
        <v>#N/A Requesting Data...3893417372</v>
        <stp/>
        <stp>BDP|9673076228731381978</stp>
        <tr r="N1714" s="2"/>
      </tp>
      <tp t="s">
        <v>#N/A Requesting Data...3209255522</v>
        <stp/>
        <stp>BDP|6003093820304514317</stp>
        <tr r="M1239" s="2"/>
      </tp>
      <tp t="s">
        <v>#N/A Requesting Data...3111637844</v>
        <stp/>
        <stp>BDP|3041781310594262270</stp>
        <tr r="M1021" s="2"/>
      </tp>
      <tp t="s">
        <v>#N/A Requesting Data...3123157752</v>
        <stp/>
        <stp>BDP|2642232024098784947</stp>
        <tr r="K2391" s="2"/>
      </tp>
      <tp t="s">
        <v>#N/A Requesting Data...4262055648</v>
        <stp/>
        <stp>BDP|4302125649437398591</stp>
        <tr r="H678" s="2"/>
      </tp>
      <tp t="s">
        <v>#N/A Requesting Data...4143894501</v>
        <stp/>
        <stp>BDP|8573528383862399457</stp>
        <tr r="J2218" s="2"/>
      </tp>
      <tp t="s">
        <v>#N/A Requesting Data...3750672724</v>
        <stp/>
        <stp>BDP|8552470115618299673</stp>
        <tr r="T2316" s="2"/>
      </tp>
      <tp t="s">
        <v>#N/A Requesting Data...4229961126</v>
        <stp/>
        <stp>BDP|9801545427089896415</stp>
        <tr r="P114" s="2"/>
      </tp>
      <tp t="s">
        <v>#N/A Requesting Data...4116905707</v>
        <stp/>
        <stp>BDP|7962742475590309499</stp>
        <tr r="S131" s="2"/>
      </tp>
      <tp t="s">
        <v>#N/A Requesting Data...4166698477</v>
        <stp/>
        <stp>BDP|4274249251465250577</stp>
        <tr r="H571" s="2"/>
      </tp>
      <tp t="s">
        <v>#N/A Requesting Data...3222629738</v>
        <stp/>
        <stp>BDP|5600856117099275649</stp>
        <tr r="F637" s="2"/>
      </tp>
      <tp t="s">
        <v>#N/A Requesting Data...3934888390</v>
        <stp/>
        <stp>BDP|6189076034753653564</stp>
        <tr r="T1987" s="2"/>
      </tp>
      <tp t="s">
        <v>#N/A Requesting Data...4109463606</v>
        <stp/>
        <stp>BDP|6039358420642173662</stp>
        <tr r="M2267" s="2"/>
      </tp>
      <tp t="s">
        <v>#N/A Requesting Data...4291794592</v>
        <stp/>
        <stp>BDP|3628731356066596442</stp>
        <tr r="C2389" s="2"/>
      </tp>
      <tp t="s">
        <v>#N/A Requesting Data...3835239538</v>
        <stp/>
        <stp>BDP|5065627877021789602</stp>
        <tr r="K2444" s="2"/>
      </tp>
      <tp t="s">
        <v>#N/A Requesting Data...3585307441</v>
        <stp/>
        <stp>BDP|2463559854093332247</stp>
        <tr r="F1465" s="2"/>
      </tp>
      <tp t="s">
        <v>#N/A Requesting Data...3529023018</v>
        <stp/>
        <stp>BDP|4861600248313772659</stp>
        <tr r="C437" s="2"/>
      </tp>
      <tp t="s">
        <v>#N/A Requesting Data...3487518139</v>
        <stp/>
        <stp>BDP|7396133631426143021</stp>
        <tr r="G1309" s="2"/>
      </tp>
      <tp t="s">
        <v>#N/A Requesting Data...3215490621</v>
        <stp/>
        <stp>BDP|7698257618086907105</stp>
        <tr r="E2393" s="2"/>
      </tp>
      <tp t="s">
        <v>#N/A Requesting Data...3355985302</v>
        <stp/>
        <stp>BDP|2656877173276832888</stp>
        <tr r="Q1867" s="2"/>
      </tp>
      <tp t="s">
        <v>#N/A Requesting Data...3434491032</v>
        <stp/>
        <stp>BDP|7226127077215245778</stp>
        <tr r="E120" s="2"/>
      </tp>
      <tp t="s">
        <v>#N/A Requesting Data...3197429049</v>
        <stp/>
        <stp>BDP|5249756099579990155</stp>
        <tr r="T604" s="2"/>
      </tp>
      <tp t="s">
        <v>#N/A Requesting Data...3360012233</v>
        <stp/>
        <stp>BDP|7422296818210584725</stp>
        <tr r="E2105" s="2"/>
      </tp>
      <tp t="b">
        <v>0</v>
        <stp/>
        <stp>BDS|1766805383967029560</stp>
        <tr r="I1550" s="2"/>
      </tp>
      <tp t="s">
        <v>#N/A Requesting Data...4143723905</v>
        <stp/>
        <stp>BDP|5194596227756837751</stp>
        <tr r="J1658" s="2"/>
      </tp>
      <tp t="s">
        <v>#N/A Requesting Data...4109553367</v>
        <stp/>
        <stp>BDP|2901739912346229182</stp>
        <tr r="N1243" s="2"/>
      </tp>
      <tp t="s">
        <v>#N/A Requesting Data...3281822794</v>
        <stp/>
        <stp>BDP|2902795400472494462</stp>
        <tr r="H1709" s="2"/>
      </tp>
      <tp t="s">
        <v>#N/A Requesting Data...4194540265</v>
        <stp/>
        <stp>BDP|3259997492746997626</stp>
        <tr r="K2262" s="2"/>
      </tp>
      <tp t="s">
        <v>#N/A Requesting Data...3820040296</v>
        <stp/>
        <stp>BDP|8796191969848683432</stp>
        <tr r="M2382" s="2"/>
      </tp>
      <tp t="s">
        <v>#N/A Requesting Data...3752947953</v>
        <stp/>
        <stp>BDP|8862413929344647948</stp>
        <tr r="Q199" s="2"/>
      </tp>
      <tp t="s">
        <v>#N/A Requesting Data...4209710951</v>
        <stp/>
        <stp>BDP|4264079460188340947</stp>
        <tr r="T1056" s="2"/>
      </tp>
      <tp t="s">
        <v>#N/A Requesting Data...3470647412</v>
        <stp/>
        <stp>BDP|3284644211245209273</stp>
        <tr r="H1111" s="2"/>
      </tp>
      <tp t="b">
        <v>0</v>
        <stp/>
        <stp>BDS|6902511394359641089</stp>
        <tr r="I2041" s="2"/>
      </tp>
      <tp t="s">
        <v>#N/A Requesting Data...3800412719</v>
        <stp/>
        <stp>BDP|8972974444367996115</stp>
        <tr r="K185" s="2"/>
      </tp>
      <tp t="s">
        <v>#N/A Requesting Data...4067131311</v>
        <stp/>
        <stp>BDP|9783923006144356723</stp>
        <tr r="C187" s="2"/>
      </tp>
      <tp t="s">
        <v>#N/A Requesting Data...3585825377</v>
        <stp/>
        <stp>BDP|5944497321958420874</stp>
        <tr r="S2206" s="2"/>
      </tp>
      <tp t="s">
        <v>#N/A Requesting Data...4280749162</v>
        <stp/>
        <stp>BDP|3096554560160478337</stp>
        <tr r="P2221" s="2"/>
      </tp>
      <tp t="s">
        <v>#N/A Requesting Data...3806156344</v>
        <stp/>
        <stp>BDP|7989368066715920429</stp>
        <tr r="E606" s="2"/>
      </tp>
      <tp t="s">
        <v>#N/A Requesting Data...3777054379</v>
        <stp/>
        <stp>BDP|3193608862263496356</stp>
        <tr r="E1424" s="2"/>
      </tp>
      <tp t="s">
        <v>#N/A Requesting Data...4134543726</v>
        <stp/>
        <stp>BDP|2797536243904305469</stp>
        <tr r="C304" s="2"/>
      </tp>
      <tp t="s">
        <v>#N/A Requesting Data...4203037430</v>
        <stp/>
        <stp>BDP|6246398259647912494</stp>
        <tr r="N2532" s="2"/>
      </tp>
      <tp t="s">
        <v>#N/A Requesting Data...3598065593</v>
        <stp/>
        <stp>BDP|9419023596583107038</stp>
        <tr r="R1913" s="2"/>
      </tp>
      <tp t="s">
        <v>#N/A Requesting Data...3558077738</v>
        <stp/>
        <stp>BDP|3375346968386889355</stp>
        <tr r="N540" s="2"/>
      </tp>
      <tp t="s">
        <v>#N/A Requesting Data...3722932694</v>
        <stp/>
        <stp>BDP|8205345603178529029</stp>
        <tr r="O163" s="2"/>
      </tp>
      <tp t="s">
        <v>#N/A Requesting Data...4229459710</v>
        <stp/>
        <stp>BDP|2113657167416356729</stp>
        <tr r="F1609" s="2"/>
      </tp>
      <tp t="s">
        <v>#N/A Requesting Data...3317949079</v>
        <stp/>
        <stp>BDP|2077567324537090102</stp>
        <tr r="T1990" s="2"/>
      </tp>
      <tp t="s">
        <v>#N/A Requesting Data...3250871376</v>
        <stp/>
        <stp>BDP|7826755029823018260</stp>
        <tr r="A1657" s="2"/>
      </tp>
      <tp t="s">
        <v>#N/A Requesting Data...3384011510</v>
        <stp/>
        <stp>BDP|6719629210233223156</stp>
        <tr r="K2288" s="2"/>
      </tp>
      <tp t="s">
        <v>#N/A Requesting Data...3833554819</v>
        <stp/>
        <stp>BDP|6517367062252672252</stp>
        <tr r="T1042" s="2"/>
      </tp>
      <tp t="s">
        <v>#N/A Requesting Data...3245605955</v>
        <stp/>
        <stp>BDP|5942430775756971345</stp>
        <tr r="J1664" s="2"/>
      </tp>
      <tp t="s">
        <v>#N/A Requesting Data...4216986478</v>
        <stp/>
        <stp>BDP|2968398231091570068</stp>
        <tr r="P1498" s="2"/>
      </tp>
      <tp t="s">
        <v>#N/A Requesting Data...3506891739</v>
        <stp/>
        <stp>BDP|1458319802863720226</stp>
        <tr r="R1139" s="2"/>
      </tp>
      <tp t="s">
        <v>#N/A Requesting Data...4235563929</v>
        <stp/>
        <stp>BDP|7297373151237403528</stp>
        <tr r="G1176" s="2"/>
      </tp>
      <tp t="s">
        <v>#N/A Requesting Data...3460646173</v>
        <stp/>
        <stp>BDP|8600647492632001621</stp>
        <tr r="G1469" s="2"/>
      </tp>
      <tp t="s">
        <v>#N/A Requesting Data...3649817746</v>
        <stp/>
        <stp>BDP|9188861814034095710</stp>
        <tr r="F441" s="2"/>
      </tp>
      <tp t="s">
        <v>#N/A Requesting Data...4080481695</v>
        <stp/>
        <stp>BDP|3511116315827777748</stp>
        <tr r="G874" s="2"/>
      </tp>
      <tp t="s">
        <v>#N/A Requesting Data...4147321967</v>
        <stp/>
        <stp>BDP|9074227196502405325</stp>
        <tr r="T1091" s="2"/>
      </tp>
      <tp t="s">
        <v>#N/A Requesting Data...3352266605</v>
        <stp/>
        <stp>BDP|3754042352130515567</stp>
        <tr r="G2064" s="2"/>
      </tp>
      <tp t="b">
        <v>0</v>
        <stp/>
        <stp>BDS|6084865786732181731</stp>
        <tr r="I2513" s="2"/>
      </tp>
      <tp t="s">
        <v>#N/A Requesting Data...3299082293</v>
        <stp/>
        <stp>BDP|9687765884816153370</stp>
        <tr r="F889" s="2"/>
      </tp>
      <tp t="s">
        <v>#N/A Requesting Data...3544012807</v>
        <stp/>
        <stp>BDP|1741283066676829033</stp>
        <tr r="C104" s="2"/>
      </tp>
      <tp t="s">
        <v>#N/A Requesting Data...4013194174</v>
        <stp/>
        <stp>BDP|8115402929025874824</stp>
        <tr r="C2452" s="2"/>
      </tp>
      <tp t="s">
        <v>#N/A Requesting Data...3394444305</v>
        <stp/>
        <stp>BDP|1777164371756150232</stp>
        <tr r="E1677" s="2"/>
      </tp>
      <tp t="s">
        <v>#N/A Requesting Data...4040552164</v>
        <stp/>
        <stp>BDP|5273585611265172784</stp>
        <tr r="A1903" s="2"/>
      </tp>
      <tp t="s">
        <v>#N/A Requesting Data...4163062543</v>
        <stp/>
        <stp>BDP|5308506036121278153</stp>
        <tr r="N1144" s="2"/>
      </tp>
      <tp t="s">
        <v>#N/A Requesting Data...3503332463</v>
        <stp/>
        <stp>BDP|1501228173661645609</stp>
        <tr r="S384" s="2"/>
      </tp>
      <tp t="s">
        <v>#N/A Requesting Data...3311468320</v>
        <stp/>
        <stp>BDP|1051510642547717463</stp>
        <tr r="A407" s="2"/>
      </tp>
      <tp t="s">
        <v>#N/A Requesting Data...3356096381</v>
        <stp/>
        <stp>BDP|1010903437461617935</stp>
        <tr r="A1726" s="2"/>
      </tp>
      <tp t="s">
        <v>#N/A Requesting Data...3650823715</v>
        <stp/>
        <stp>BDP|9673327920093556837</stp>
        <tr r="D66" s="2"/>
      </tp>
      <tp t="s">
        <v>#N/A Requesting Data...3607757023</v>
        <stp/>
        <stp>BDP|1538271411386134700</stp>
        <tr r="C97" s="2"/>
      </tp>
      <tp t="s">
        <v>#N/A Requesting Data...3425960284</v>
        <stp/>
        <stp>BDP|5620748315516741629</stp>
        <tr r="Q1978" s="2"/>
      </tp>
      <tp t="s">
        <v>#N/A Requesting Data...3345833393</v>
        <stp/>
        <stp>BDP|7986160365512187197</stp>
        <tr r="R849" s="2"/>
      </tp>
      <tp t="s">
        <v>#N/A Requesting Data...3888901501</v>
        <stp/>
        <stp>BDP|4372459979452512689</stp>
        <tr r="D1443" s="2"/>
      </tp>
      <tp t="s">
        <v>#N/A Requesting Data...3761987596</v>
        <stp/>
        <stp>BDP|5244422937022230377</stp>
        <tr r="K2067" s="2"/>
      </tp>
      <tp t="s">
        <v>#N/A Requesting Data...3947363976</v>
        <stp/>
        <stp>BDP|7773023206484261034</stp>
        <tr r="C613" s="2"/>
      </tp>
      <tp t="b">
        <v>0</v>
        <stp/>
        <stp>BDS|2313556834305401245</stp>
        <tr r="I1526" s="2"/>
      </tp>
      <tp t="s">
        <v>#N/A Requesting Data...3339419991</v>
        <stp/>
        <stp>BDP|2624480844196971711</stp>
        <tr r="N1411" s="2"/>
      </tp>
      <tp t="s">
        <v>#N/A Requesting Data...3870780938</v>
        <stp/>
        <stp>BDP|1208846540536048842</stp>
        <tr r="A190" s="2"/>
      </tp>
      <tp t="s">
        <v>#N/A Requesting Data...3611521064</v>
        <stp/>
        <stp>BDP|1453613106565810196</stp>
        <tr r="Q175" s="2"/>
      </tp>
      <tp t="s">
        <v>#N/A Requesting Data...3377415161</v>
        <stp/>
        <stp>BDP|4461689239561764308</stp>
        <tr r="S135" s="2"/>
      </tp>
      <tp t="s">
        <v>#N/A Requesting Data...3327039637</v>
        <stp/>
        <stp>BDP|4032026430893003709</stp>
        <tr r="T1670" s="2"/>
      </tp>
      <tp t="s">
        <v>#N/A Requesting Data...3749156036</v>
        <stp/>
        <stp>BDP|4867422124627848642</stp>
        <tr r="J295" s="2"/>
      </tp>
      <tp t="s">
        <v>#N/A Requesting Data...3808101252</v>
        <stp/>
        <stp>BDP|2131164013453609207</stp>
        <tr r="D2371" s="2"/>
      </tp>
      <tp t="s">
        <v>#N/A Requesting Data...4020456838</v>
        <stp/>
        <stp>BDP|8372894218294832686</stp>
        <tr r="M1192" s="2"/>
      </tp>
      <tp t="s">
        <v>#N/A Requesting Data...3806808182</v>
        <stp/>
        <stp>BDP|1304607755228704932</stp>
        <tr r="Q1050" s="2"/>
      </tp>
      <tp t="s">
        <v>#N/A Requesting Data...3762744470</v>
        <stp/>
        <stp>BDP|6477781359112463536</stp>
        <tr r="Q102" s="2"/>
      </tp>
      <tp t="s">
        <v>#N/A Requesting Data...4182013134</v>
        <stp/>
        <stp>BDP|8046217495430282048</stp>
        <tr r="P1817" s="2"/>
      </tp>
      <tp t="s">
        <v>#N/A Requesting Data...3519057795</v>
        <stp/>
        <stp>BDP|1398073653016092154</stp>
        <tr r="O1601" s="2"/>
      </tp>
      <tp t="s">
        <v>#N/A Requesting Data...3535400923</v>
        <stp/>
        <stp>BDP|4068472833611709115</stp>
        <tr r="K511" s="2"/>
      </tp>
      <tp t="s">
        <v>#N/A Requesting Data...3695120162</v>
        <stp/>
        <stp>BDP|4871580922331721171</stp>
        <tr r="T1862" s="2"/>
      </tp>
      <tp t="s">
        <v>#N/A Requesting Data...3442244854</v>
        <stp/>
        <stp>BDP|5161381535082916471</stp>
        <tr r="R2096" s="2"/>
      </tp>
      <tp t="s">
        <v>#N/A Requesting Data...3934698958</v>
        <stp/>
        <stp>BDP|6462244115465030373</stp>
        <tr r="R2162" s="2"/>
      </tp>
      <tp t="s">
        <v>#N/A Requesting Data...3934626873</v>
        <stp/>
        <stp>BDP|6536485148527750200</stp>
        <tr r="R440" s="2"/>
      </tp>
      <tp t="s">
        <v>#N/A Requesting Data...3581925343</v>
        <stp/>
        <stp>BDP|1746260905580341053</stp>
        <tr r="Q170" s="2"/>
      </tp>
      <tp t="s">
        <v>#N/A Requesting Data...3404688030</v>
        <stp/>
        <stp>BDP|3920022056020924564</stp>
        <tr r="P2069" s="2"/>
      </tp>
      <tp t="s">
        <v>#N/A Requesting Data...3653799268</v>
        <stp/>
        <stp>BDP|4090440572366794235</stp>
        <tr r="Q1508" s="2"/>
      </tp>
      <tp t="s">
        <v>#N/A Requesting Data...3877147386</v>
        <stp/>
        <stp>BDP|1986054386509175398</stp>
        <tr r="T2488" s="2"/>
      </tp>
      <tp t="s">
        <v>#N/A Requesting Data...4066429097</v>
        <stp/>
        <stp>BDP|1210963065708232510</stp>
        <tr r="R1903" s="2"/>
      </tp>
      <tp t="s">
        <v>#N/A Requesting Data...3845306442</v>
        <stp/>
        <stp>BDP|9415873912605333601</stp>
        <tr r="H694" s="2"/>
      </tp>
      <tp t="s">
        <v>#N/A Requesting Data...3990047190</v>
        <stp/>
        <stp>BDP|9963508627068819549</stp>
        <tr r="R1315" s="2"/>
      </tp>
      <tp t="s">
        <v>#N/A Requesting Data...3933077980</v>
        <stp/>
        <stp>BDP|2747695074841996109</stp>
        <tr r="P482" s="2"/>
      </tp>
      <tp t="s">
        <v>#N/A Requesting Data...3687323178</v>
        <stp/>
        <stp>BDP|7035935502809345413</stp>
        <tr r="M105" s="2"/>
      </tp>
      <tp t="s">
        <v>#N/A Requesting Data...4228853743</v>
        <stp/>
        <stp>BDP|4772069113446047017</stp>
        <tr r="R688" s="2"/>
      </tp>
      <tp t="s">
        <v>#N/A Requesting Data...3770671902</v>
        <stp/>
        <stp>BDP|5027987495777985173</stp>
        <tr r="E2041" s="2"/>
      </tp>
      <tp t="s">
        <v>#N/A Requesting Data...3898681898</v>
        <stp/>
        <stp>BDP|3738730645767245409</stp>
        <tr r="C1310" s="2"/>
      </tp>
      <tp t="s">
        <v>#N/A Requesting Data...3706199805</v>
        <stp/>
        <stp>BDP|1691441767375719513</stp>
        <tr r="C1669" s="2"/>
      </tp>
      <tp t="s">
        <v>#N/A Requesting Data...4116821323</v>
        <stp/>
        <stp>BDP|1809951777625064998</stp>
        <tr r="O1183" s="2"/>
      </tp>
      <tp t="s">
        <v>#N/A Requesting Data...4095327836</v>
        <stp/>
        <stp>BDP|3622642005694082247</stp>
        <tr r="D2245" s="2"/>
      </tp>
      <tp t="s">
        <v>#N/A Requesting Data...3501146334</v>
        <stp/>
        <stp>BDP|8270976753866047155</stp>
        <tr r="T326" s="2"/>
      </tp>
      <tp t="s">
        <v>#N/A Requesting Data...3780618923</v>
        <stp/>
        <stp>BDP|3214860699802665387</stp>
        <tr r="E1695" s="2"/>
      </tp>
      <tp t="s">
        <v>#N/A Requesting Data...4188409180</v>
        <stp/>
        <stp>BDP|1594267664646615021</stp>
        <tr r="R539" s="2"/>
      </tp>
      <tp t="s">
        <v>#N/A Requesting Data...3723574419</v>
        <stp/>
        <stp>BDP|7647184198659080556</stp>
        <tr r="D663" s="2"/>
      </tp>
      <tp t="s">
        <v>#N/A Requesting Data...3556472698</v>
        <stp/>
        <stp>BDP|3068771887997357803</stp>
        <tr r="H391" s="2"/>
      </tp>
      <tp t="s">
        <v>#N/A Requesting Data...3942067279</v>
        <stp/>
        <stp>BDP|5866678477692933523</stp>
        <tr r="R738" s="2"/>
      </tp>
      <tp t="s">
        <v>#N/A Requesting Data...3991266214</v>
        <stp/>
        <stp>BDP|3144090018520526168</stp>
        <tr r="E1646" s="2"/>
      </tp>
      <tp t="b">
        <v>0</v>
        <stp/>
        <stp>BDS|6424336730982379772</stp>
        <tr r="I283" s="2"/>
      </tp>
      <tp t="s">
        <v>#N/A Requesting Data...3940794950</v>
        <stp/>
        <stp>BDP|8063718695395155063</stp>
        <tr r="Q1383" s="2"/>
      </tp>
      <tp t="s">
        <v>#N/A Requesting Data...4206060219</v>
        <stp/>
        <stp>BDP|4807019448372575177</stp>
        <tr r="E1074" s="2"/>
      </tp>
      <tp t="s">
        <v>#N/A Requesting Data...4232803409</v>
        <stp/>
        <stp>BDP|1670060633387384636</stp>
        <tr r="R1244" s="2"/>
      </tp>
      <tp t="s">
        <v>#N/A Requesting Data...3948549547</v>
        <stp/>
        <stp>BDP|8510168183420786248</stp>
        <tr r="S265" s="2"/>
      </tp>
      <tp t="s">
        <v>#N/A Requesting Data...3483603394</v>
        <stp/>
        <stp>BDP|9144878241826199050</stp>
        <tr r="R2453" s="2"/>
      </tp>
      <tp t="b">
        <v>0</v>
        <stp/>
        <stp>BDS|3453624272794505528</stp>
        <tr r="I1841" s="2"/>
      </tp>
      <tp t="s">
        <v>#N/A Requesting Data...4123563797</v>
        <stp/>
        <stp>BDP|6422755906735391774</stp>
        <tr r="A919" s="2"/>
      </tp>
      <tp t="s">
        <v>#N/A Requesting Data...4287113913</v>
        <stp/>
        <stp>BDP|6786975942668903086</stp>
        <tr r="J1092" s="2"/>
      </tp>
      <tp t="s">
        <v>#N/A Requesting Data...3782888260</v>
        <stp/>
        <stp>BDP|8150441758869847364</stp>
        <tr r="H1891" s="2"/>
      </tp>
      <tp t="b">
        <v>0</v>
        <stp/>
        <stp>BDS|3873222529288193811</stp>
        <tr r="I341" s="2"/>
      </tp>
      <tp t="b">
        <v>0</v>
        <stp/>
        <stp>BDS|8892903848243347503</stp>
        <tr r="I1039" s="2"/>
      </tp>
      <tp t="s">
        <v>#N/A Requesting Data...3718938859</v>
        <stp/>
        <stp>BDP|6753713875602350739</stp>
        <tr r="M592" s="2"/>
      </tp>
      <tp t="s">
        <v>#N/A Requesting Data...4217123996</v>
        <stp/>
        <stp>BDP|9912462208428407608</stp>
        <tr r="D724" s="2"/>
      </tp>
      <tp t="s">
        <v>#N/A Requesting Data...4079182093</v>
        <stp/>
        <stp>BDP|1644778234564246242</stp>
        <tr r="Q1782" s="2"/>
      </tp>
      <tp t="s">
        <v>#N/A Requesting Data...4102608822</v>
        <stp/>
        <stp>BDP|6015216606892008540</stp>
        <tr r="J745" s="2"/>
      </tp>
      <tp t="s">
        <v>#N/A Requesting Data...3569573854</v>
        <stp/>
        <stp>BDP|2709470956619682931</stp>
        <tr r="J52" s="2"/>
      </tp>
      <tp t="s">
        <v>#N/A Requesting Data...3663702264</v>
        <stp/>
        <stp>BDP|3357448391985283873</stp>
        <tr r="A2144" s="2"/>
      </tp>
      <tp t="s">
        <v>#N/A Requesting Data...3903820006</v>
        <stp/>
        <stp>BDP|1596096799172582938</stp>
        <tr r="S388" s="2"/>
      </tp>
      <tp t="s">
        <v>#N/A Requesting Data...3642738978</v>
        <stp/>
        <stp>BDP|4192719228941971320</stp>
        <tr r="E671" s="2"/>
      </tp>
      <tp t="s">
        <v>#N/A Requesting Data...4126280131</v>
        <stp/>
        <stp>BDP|9099585884550902767</stp>
        <tr r="H237" s="2"/>
      </tp>
      <tp t="s">
        <v>#N/A Requesting Data...3586847764</v>
        <stp/>
        <stp>BDP|7818822349931509954</stp>
        <tr r="K444" s="2"/>
      </tp>
      <tp t="s">
        <v>#N/A Requesting Data...4157191200</v>
        <stp/>
        <stp>BDP|2501618564540133120</stp>
        <tr r="H2079" s="2"/>
      </tp>
      <tp t="s">
        <v>#N/A Requesting Data...3947223377</v>
        <stp/>
        <stp>BDP|5982175848131276275</stp>
        <tr r="E1694" s="2"/>
      </tp>
      <tp t="s">
        <v>#N/A Requesting Data...3760313362</v>
        <stp/>
        <stp>BDP|6328586419207183600</stp>
        <tr r="T777" s="2"/>
      </tp>
      <tp t="b">
        <v>0</v>
        <stp/>
        <stp>BDS|7153105585918518525</stp>
        <tr r="I1636" s="2"/>
      </tp>
      <tp t="s">
        <v>#N/A Requesting Data...3700573675</v>
        <stp/>
        <stp>BDP|5666602625977952599</stp>
        <tr r="D176" s="2"/>
      </tp>
      <tp t="s">
        <v>#N/A Requesting Data...3862348660</v>
        <stp/>
        <stp>BDP|9943506473321893919</stp>
        <tr r="S378" s="2"/>
      </tp>
      <tp t="s">
        <v>#N/A Requesting Data...3691270515</v>
        <stp/>
        <stp>BDP|5625332505576250311</stp>
        <tr r="N429" s="2"/>
      </tp>
      <tp t="s">
        <v>#N/A Requesting Data...3938541136</v>
        <stp/>
        <stp>BDP|4999343038916779115</stp>
        <tr r="T1388" s="2"/>
      </tp>
      <tp t="s">
        <v>#N/A Requesting Data...4280389433</v>
        <stp/>
        <stp>BDP|7453526634090201232</stp>
        <tr r="H2427" s="2"/>
      </tp>
      <tp t="s">
        <v>#N/A Requesting Data...3648266699</v>
        <stp/>
        <stp>BDP|9600312781077008653</stp>
        <tr r="J65" s="2"/>
      </tp>
      <tp t="s">
        <v>#N/A Requesting Data...4030764671</v>
        <stp/>
        <stp>BDP|2833298283838757366</stp>
        <tr r="M1034" s="2"/>
      </tp>
      <tp t="s">
        <v>#N/A Requesting Data...4231190429</v>
        <stp/>
        <stp>BDP|2857984528758834235</stp>
        <tr r="M2094" s="2"/>
      </tp>
      <tp t="s">
        <v>#N/A Requesting Data...4150524165</v>
        <stp/>
        <stp>BDP|9394591045808459385</stp>
        <tr r="N790" s="2"/>
      </tp>
      <tp t="s">
        <v>#N/A Requesting Data...3716370157</v>
        <stp/>
        <stp>BDP|3729306415023311125</stp>
        <tr r="Q1536" s="2"/>
      </tp>
      <tp t="s">
        <v>#N/A Requesting Data...4107613862</v>
        <stp/>
        <stp>BDP|5279111044016647522</stp>
        <tr r="G51" s="2"/>
      </tp>
      <tp t="s">
        <v>#N/A Requesting Data...4008178288</v>
        <stp/>
        <stp>BDP|9943939527589911879</stp>
        <tr r="G480" s="2"/>
      </tp>
      <tp t="s">
        <v>#N/A Requesting Data...3859215485</v>
        <stp/>
        <stp>BDP|4506423064453374633</stp>
        <tr r="F607" s="2"/>
      </tp>
      <tp t="s">
        <v>#N/A Requesting Data...3965239220</v>
        <stp/>
        <stp>BDP|7585398149566711517</stp>
        <tr r="P1705" s="2"/>
      </tp>
      <tp t="s">
        <v>#N/A Requesting Data...4110382315</v>
        <stp/>
        <stp>BDP|6485898923519855653</stp>
        <tr r="G2331" s="2"/>
      </tp>
      <tp t="s">
        <v>#N/A Requesting Data...4243236581</v>
        <stp/>
        <stp>BDP|4742275069610958331</stp>
        <tr r="G34" s="2"/>
      </tp>
      <tp t="s">
        <v>#N/A Requesting Data...3680424585</v>
        <stp/>
        <stp>BDP|4702779072732752569</stp>
        <tr r="Q1182" s="2"/>
      </tp>
      <tp t="s">
        <v>#N/A Requesting Data...3927565070</v>
        <stp/>
        <stp>BDP|2233516938503847406</stp>
        <tr r="M1809" s="2"/>
      </tp>
      <tp t="s">
        <v>#N/A Requesting Data...3741341282</v>
        <stp/>
        <stp>BDP|2944581989934270899</stp>
        <tr r="N969" s="2"/>
      </tp>
      <tp t="s">
        <v>#N/A Requesting Data...3900761071</v>
        <stp/>
        <stp>BDP|7369077066877830598</stp>
        <tr r="R2164" s="2"/>
      </tp>
      <tp t="s">
        <v>#N/A Requesting Data...4209123114</v>
        <stp/>
        <stp>BDP|4306521537280173146</stp>
        <tr r="O1323" s="2"/>
      </tp>
      <tp t="b">
        <v>0</v>
        <stp/>
        <stp>BDS|5217325659985891525</stp>
        <tr r="I2208" s="2"/>
      </tp>
      <tp t="s">
        <v>#N/A Requesting Data...4196375219</v>
        <stp/>
        <stp>BDP|4568532121898379879</stp>
        <tr r="S1437" s="2"/>
      </tp>
      <tp t="s">
        <v>#N/A Requesting Data...4133684163</v>
        <stp/>
        <stp>BDP|3570773845255779634</stp>
        <tr r="C1661" s="2"/>
      </tp>
      <tp t="s">
        <v>#N/A Requesting Data...3934437429</v>
        <stp/>
        <stp>BDP|1930774462166832570</stp>
        <tr r="S1290" s="2"/>
      </tp>
      <tp t="s">
        <v>#N/A Requesting Data...4088720461</v>
        <stp/>
        <stp>BDP|7752264375071067072</stp>
        <tr r="F11" s="2"/>
      </tp>
      <tp t="s">
        <v>#N/A Requesting Data...4161259521</v>
        <stp/>
        <stp>BDP|4815187853506761570</stp>
        <tr r="G562" s="2"/>
      </tp>
      <tp t="b">
        <v>0</v>
        <stp/>
        <stp>BDS|4358011345112326171</stp>
        <tr r="I2319" s="2"/>
      </tp>
      <tp t="s">
        <v>#N/A Requesting Data...3949635921</v>
        <stp/>
        <stp>BDP|6206360335114039127</stp>
        <tr r="S1352" s="2"/>
      </tp>
      <tp t="s">
        <v>#N/A Requesting Data...3756100548</v>
        <stp/>
        <stp>BDP|3009053472760325773</stp>
        <tr r="T1911" s="2"/>
      </tp>
      <tp t="s">
        <v>#N/A Requesting Data...3669595475</v>
        <stp/>
        <stp>BDP|6839396433456856391</stp>
        <tr r="G1200" s="2"/>
      </tp>
      <tp t="s">
        <v>#N/A Requesting Data...4267069170</v>
        <stp/>
        <stp>BDP|1352204424685161754</stp>
        <tr r="C1962" s="2"/>
      </tp>
      <tp t="s">
        <v>#N/A Requesting Data...4284305206</v>
        <stp/>
        <stp>BDP|8638647540770962980</stp>
        <tr r="M55" s="2"/>
      </tp>
      <tp t="s">
        <v>#N/A Requesting Data...3675941021</v>
        <stp/>
        <stp>BDP|4115170126261342503</stp>
        <tr r="T760" s="2"/>
      </tp>
      <tp t="s">
        <v>#N/A Requesting Data...4036180966</v>
        <stp/>
        <stp>BDP|6847716879443129620</stp>
        <tr r="R1794" s="2"/>
      </tp>
      <tp t="s">
        <v>#N/A Requesting Data...3996698963</v>
        <stp/>
        <stp>BDP|2209525586145067956</stp>
        <tr r="N1804" s="2"/>
      </tp>
      <tp t="s">
        <v>#N/A Requesting Data...3951796509</v>
        <stp/>
        <stp>BDP|6414470384048249161</stp>
        <tr r="A1731" s="2"/>
      </tp>
      <tp t="s">
        <v>#N/A Requesting Data...4241343803</v>
        <stp/>
        <stp>BDP|6410677033513325306</stp>
        <tr r="J2362" s="2"/>
      </tp>
      <tp t="s">
        <v>#N/A Requesting Data...4247972171</v>
        <stp/>
        <stp>BDP|7507038064240844299</stp>
        <tr r="N2165" s="2"/>
      </tp>
      <tp t="s">
        <v>#N/A Requesting Data...4142988290</v>
        <stp/>
        <stp>BDP|6555663660204531150</stp>
        <tr r="T1315" s="2"/>
      </tp>
      <tp t="s">
        <v>#N/A Requesting Data...3679893659</v>
        <stp/>
        <stp>BDP|6913995006549324564</stp>
        <tr r="A1435" s="2"/>
      </tp>
      <tp t="b">
        <v>0</v>
        <stp/>
        <stp>BDS|7065666672897350249</stp>
        <tr r="I575" s="2"/>
      </tp>
      <tp t="s">
        <v>#N/A Requesting Data...4071387423</v>
        <stp/>
        <stp>BDP|1910471771622951355</stp>
        <tr r="O1536" s="2"/>
      </tp>
      <tp t="s">
        <v>#N/A Requesting Data...3774751040</v>
        <stp/>
        <stp>BDP|9009920311296015405</stp>
        <tr r="N293" s="2"/>
      </tp>
      <tp t="s">
        <v>#N/A Requesting Data...4146199435</v>
        <stp/>
        <stp>BDP|6121017263024345708</stp>
        <tr r="D2059" s="2"/>
      </tp>
      <tp t="s">
        <v>#N/A Requesting Data...3766566380</v>
        <stp/>
        <stp>BDP|3931106016044897475</stp>
        <tr r="H498" s="2"/>
      </tp>
      <tp t="s">
        <v>#N/A Requesting Data...3827916047</v>
        <stp/>
        <stp>BDP|4892839628239680452</stp>
        <tr r="K2229" s="2"/>
      </tp>
      <tp t="s">
        <v>#N/A Requesting Data...4116637045</v>
        <stp/>
        <stp>BDP|6034282326801794498</stp>
        <tr r="N177" s="2"/>
      </tp>
      <tp t="s">
        <v>#N/A Requesting Data...4099507298</v>
        <stp/>
        <stp>BDP|6321309154367455435</stp>
        <tr r="H2078" s="2"/>
      </tp>
      <tp t="s">
        <v>#N/A Requesting Data...4272644811</v>
        <stp/>
        <stp>BDP|2689554710702362705</stp>
        <tr r="O116" s="2"/>
      </tp>
      <tp t="s">
        <v>#N/A Requesting Data...3762374648</v>
        <stp/>
        <stp>BDP|9083190260935188881</stp>
        <tr r="S1309" s="2"/>
      </tp>
      <tp t="s">
        <v>#N/A Requesting Data...4146125689</v>
        <stp/>
        <stp>BDP|6211609585202114960</stp>
        <tr r="H1462" s="2"/>
      </tp>
      <tp t="b">
        <v>0</v>
        <stp/>
        <stp>BDS|5673746534836784419</stp>
        <tr r="I2000" s="2"/>
      </tp>
      <tp t="s">
        <v>#N/A Requesting Data...3658634524</v>
        <stp/>
        <stp>BDP|6641059908435949026</stp>
        <tr r="M1955" s="2"/>
      </tp>
      <tp t="s">
        <v>#N/A Requesting Data...4205183844</v>
        <stp/>
        <stp>BDP|5153353665821234236</stp>
        <tr r="E2085" s="2"/>
      </tp>
      <tp t="s">
        <v>#N/A Requesting Data...3659840616</v>
        <stp/>
        <stp>BDP|2633615809040952778</stp>
        <tr r="T1580" s="2"/>
      </tp>
      <tp t="s">
        <v>#N/A Requesting Data...4008291263</v>
        <stp/>
        <stp>BDP|4338293682329912419</stp>
        <tr r="F933" s="2"/>
      </tp>
      <tp t="s">
        <v>#N/A Requesting Data...4091599659</v>
        <stp/>
        <stp>BDP|5912785470887270130</stp>
        <tr r="F991" s="2"/>
      </tp>
      <tp t="s">
        <v>#N/A Requesting Data...4152141653</v>
        <stp/>
        <stp>BDP|7578716874976520250</stp>
        <tr r="G1993" s="2"/>
      </tp>
      <tp t="s">
        <v>#N/A Requesting Data...4115811600</v>
        <stp/>
        <stp>BDP|6502088100773855650</stp>
        <tr r="P849" s="2"/>
      </tp>
      <tp t="s">
        <v>#N/A Requesting Data...3827991203</v>
        <stp/>
        <stp>BDP|9054867744722383417</stp>
        <tr r="C974" s="2"/>
      </tp>
      <tp t="b">
        <v>0</v>
        <stp/>
        <stp>BDS|6744122402967464330</stp>
        <tr r="I525" s="2"/>
      </tp>
      <tp t="s">
        <v>#N/A Requesting Data...3920213076</v>
        <stp/>
        <stp>BDP|5370995748632288906</stp>
        <tr r="F1209" s="2"/>
      </tp>
      <tp t="s">
        <v>#N/A Requesting Data...3889722874</v>
        <stp/>
        <stp>BDP|8100748930316446915</stp>
        <tr r="P1255" s="2"/>
      </tp>
      <tp t="s">
        <v>#N/A Requesting Data...4097511168</v>
        <stp/>
        <stp>BDP|8472602138289980755</stp>
        <tr r="T1413" s="2"/>
      </tp>
      <tp t="s">
        <v>#N/A Requesting Data...4155604075</v>
        <stp/>
        <stp>BDP|9082347630403312977</stp>
        <tr r="E2357" s="2"/>
      </tp>
      <tp t="s">
        <v>#N/A Requesting Data...3766730169</v>
        <stp/>
        <stp>BDP|4503678173483837592</stp>
        <tr r="H472" s="2"/>
      </tp>
      <tp t="s">
        <v>#N/A Requesting Data...3897649018</v>
        <stp/>
        <stp>BDP|5943939450093893929</stp>
        <tr r="S1515" s="2"/>
      </tp>
      <tp t="s">
        <v>#N/A Requesting Data...3763162154</v>
        <stp/>
        <stp>BDP|2990726754222621193</stp>
        <tr r="Q897" s="2"/>
      </tp>
      <tp t="s">
        <v>#N/A Requesting Data...4292943763</v>
        <stp/>
        <stp>BDP|2904801249514781970</stp>
        <tr r="E1018" s="2"/>
      </tp>
      <tp t="s">
        <v>#N/A Requesting Data...3863667655</v>
        <stp/>
        <stp>BDP|9889570984775931220</stp>
        <tr r="A1345" s="2"/>
      </tp>
      <tp t="s">
        <v>#N/A Requesting Data...4184768443</v>
        <stp/>
        <stp>BDP|3599301334126239636</stp>
        <tr r="M2527" s="2"/>
      </tp>
      <tp t="s">
        <v>#N/A Requesting Data...3903549613</v>
        <stp/>
        <stp>BDP|3216277001354511618</stp>
        <tr r="A1025" s="2"/>
      </tp>
      <tp t="s">
        <v>#N/A Requesting Data...4128881401</v>
        <stp/>
        <stp>BDP|8135545185410986696</stp>
        <tr r="D508" s="2"/>
      </tp>
      <tp t="s">
        <v>#N/A Requesting Data...3785224694</v>
        <stp/>
        <stp>BDP|3789496747404101486</stp>
        <tr r="E415" s="2"/>
      </tp>
      <tp t="s">
        <v>#N/A Requesting Data...4021573138</v>
        <stp/>
        <stp>BDP|2893307958430951793</stp>
        <tr r="Q2096" s="2"/>
      </tp>
      <tp t="s">
        <v>#N/A Requesting Data...3902999815</v>
        <stp/>
        <stp>BDP|5327186486958537781</stp>
        <tr r="O1544" s="2"/>
      </tp>
      <tp t="s">
        <v>#N/A Requesting Data...3722975805</v>
        <stp/>
        <stp>BDP|7542786619863363173</stp>
        <tr r="A346" s="2"/>
      </tp>
      <tp t="s">
        <v>#N/A Requesting Data...4110543274</v>
        <stp/>
        <stp>BDP|5663523523939016872</stp>
        <tr r="P936" s="2"/>
      </tp>
      <tp t="s">
        <v>#N/A Requesting Data...4097363658</v>
        <stp/>
        <stp>BDP|5045687263183883535</stp>
        <tr r="J1975" s="2"/>
      </tp>
      <tp t="s">
        <v>#N/A Requesting Data...4137394636</v>
        <stp/>
        <stp>BDP|8654653820549054639</stp>
        <tr r="Q2043" s="2"/>
      </tp>
      <tp t="s">
        <v>#N/A Requesting Data...3916575328</v>
        <stp/>
        <stp>BDP|6455355637882420725</stp>
        <tr r="J2085" s="2"/>
      </tp>
      <tp t="s">
        <v>#N/A Requesting Data...4021437832</v>
        <stp/>
        <stp>BDP|9665320293211622118</stp>
        <tr r="E235" s="2"/>
      </tp>
      <tp t="s">
        <v>#N/A Requesting Data...3827538708</v>
        <stp/>
        <stp>BDP|3613720607014372308</stp>
        <tr r="D530" s="2"/>
      </tp>
      <tp t="b">
        <v>0</v>
        <stp/>
        <stp>BDS|3385206643371609760</stp>
        <tr r="I1291" s="2"/>
      </tp>
      <tp t="s">
        <v>#N/A Requesting Data...3822060898</v>
        <stp/>
        <stp>BDP|8157972755961098639</stp>
        <tr r="R1740" s="2"/>
      </tp>
      <tp t="s">
        <v>#N/A Requesting Data...4230178514</v>
        <stp/>
        <stp>BDP|3878474250843876272</stp>
        <tr r="M983" s="2"/>
      </tp>
      <tp t="s">
        <v>#N/A Requesting Data...3843757349</v>
        <stp/>
        <stp>BDP|7673639196292723940</stp>
        <tr r="S1870" s="2"/>
      </tp>
      <tp t="s">
        <v>#N/A Requesting Data...3926999081</v>
        <stp/>
        <stp>BDP|4403719467981679746</stp>
        <tr r="F222" s="2"/>
      </tp>
      <tp t="s">
        <v>#N/A Requesting Data...3851014518</v>
        <stp/>
        <stp>BDP|8377830553977463179</stp>
        <tr r="G292" s="2"/>
      </tp>
      <tp t="s">
        <v>#N/A Requesting Data...3893718333</v>
        <stp/>
        <stp>BDP|8812311591551825006</stp>
        <tr r="M1942" s="2"/>
      </tp>
      <tp t="s">
        <v>#N/A Requesting Data...3925526307</v>
        <stp/>
        <stp>BDP|8267730922047024935</stp>
        <tr r="O106" s="2"/>
      </tp>
      <tp t="s">
        <v>#N/A Requesting Data...4204173501</v>
        <stp/>
        <stp>BDP|5507267420193771540</stp>
        <tr r="M989" s="2"/>
      </tp>
      <tp t="s">
        <v>#N/A Requesting Data...4074493477</v>
        <stp/>
        <stp>BDP|8260884277452813657</stp>
        <tr r="O2064" s="2"/>
      </tp>
      <tp t="s">
        <v>#N/A Requesting Data...3956784068</v>
        <stp/>
        <stp>BDP|6295200155623163169</stp>
        <tr r="A1330" s="2"/>
      </tp>
      <tp t="s">
        <v>#N/A Requesting Data...3806190325</v>
        <stp/>
        <stp>BDP|2070632163139973893</stp>
        <tr r="J2451" s="2"/>
      </tp>
      <tp t="s">
        <v>#N/A Requesting Data...3909422559</v>
        <stp/>
        <stp>BDP|2345737220663622767</stp>
        <tr r="P1029" s="2"/>
      </tp>
      <tp t="s">
        <v>#N/A Requesting Data...3828247317</v>
        <stp/>
        <stp>BDP|7699518304889091830</stp>
        <tr r="F367" s="2"/>
      </tp>
      <tp t="s">
        <v>#N/A Requesting Data...3919125823</v>
        <stp/>
        <stp>BDP|2163306905050582218</stp>
        <tr r="F1074" s="2"/>
      </tp>
      <tp t="s">
        <v>#N/A Requesting Data...3886032909</v>
        <stp/>
        <stp>BDP|1523264547476248266</stp>
        <tr r="A1768" s="2"/>
      </tp>
      <tp t="s">
        <v>#N/A Requesting Data...3786183124</v>
        <stp/>
        <stp>BDP|4369219462936415547</stp>
        <tr r="A2411" s="2"/>
      </tp>
      <tp t="s">
        <v>#N/A Requesting Data...4252920803</v>
        <stp/>
        <stp>BDP|2254169707826675651</stp>
        <tr r="H392" s="2"/>
      </tp>
      <tp t="s">
        <v>#N/A Requesting Data...3821403132</v>
        <stp/>
        <stp>BDP|3804020779154004333</stp>
        <tr r="C2285" s="2"/>
      </tp>
      <tp t="b">
        <v>0</v>
        <stp/>
        <stp>BDS|6165717114921794230</stp>
        <tr r="I1991" s="2"/>
      </tp>
      <tp t="s">
        <v>#N/A Requesting Data...4160773231</v>
        <stp/>
        <stp>BDP|8187273937138803298</stp>
        <tr r="E1672" s="2"/>
      </tp>
      <tp t="s">
        <v>#N/A Requesting Data...4202586646</v>
        <stp/>
        <stp>BDP|5003662106429574954</stp>
        <tr r="E2379" s="2"/>
      </tp>
      <tp t="s">
        <v>#N/A Requesting Data...4179017942</v>
        <stp/>
        <stp>BDP|8133544090417437015</stp>
        <tr r="E435" s="2"/>
      </tp>
      <tp t="b">
        <v>0</v>
        <stp/>
        <stp>BDS|6749136633516788109</stp>
        <tr r="I1253" s="2"/>
      </tp>
      <tp t="s">
        <v>#N/A Requesting Data...3803120991</v>
        <stp/>
        <stp>BDP|5557261168521274393</stp>
        <tr r="O376" s="2"/>
      </tp>
      <tp t="s">
        <v>#N/A Requesting Data...3833666851</v>
        <stp/>
        <stp>BDP|1344309678497396185</stp>
        <tr r="K2160" s="2"/>
      </tp>
      <tp t="s">
        <v>#N/A Requesting Data...4260221861</v>
        <stp/>
        <stp>BDP|6043157847054600446</stp>
        <tr r="S2152" s="2"/>
      </tp>
      <tp t="s">
        <v>#N/A Requesting Data...4178404319</v>
        <stp/>
        <stp>BDP|5010136027767259260</stp>
        <tr r="T482" s="2"/>
      </tp>
      <tp t="s">
        <v>#N/A Requesting Data...4249551407</v>
        <stp/>
        <stp>BDP|5726792779073549521</stp>
        <tr r="S305" s="2"/>
      </tp>
      <tp t="s">
        <v>#N/A Requesting Data...4099469581</v>
        <stp/>
        <stp>BDP|6049528210823181239</stp>
        <tr r="R243" s="2"/>
      </tp>
      <tp t="s">
        <v>#N/A Requesting Data...3883647100</v>
        <stp/>
        <stp>BDP|9198886131590898106</stp>
        <tr r="A2402" s="2"/>
      </tp>
      <tp t="s">
        <v>#N/A Requesting Data...3971602297</v>
        <stp/>
        <stp>BDP|7355801921776772851</stp>
        <tr r="T623" s="2"/>
      </tp>
      <tp t="s">
        <v>#N/A Requesting Data...4290704515</v>
        <stp/>
        <stp>BDP|5191632832532531158</stp>
        <tr r="H1383" s="2"/>
      </tp>
      <tp t="s">
        <v>#N/A Requesting Data...3857519507</v>
        <stp/>
        <stp>BDP|4069402727206219753</stp>
        <tr r="H1944" s="2"/>
      </tp>
      <tp t="s">
        <v>#N/A Requesting Data...4158339188</v>
        <stp/>
        <stp>BDP|7899424940106292281</stp>
        <tr r="R821" s="2"/>
      </tp>
      <tp t="b">
        <v>0</v>
        <stp/>
        <stp>BDS|9268757318704929863</stp>
        <tr r="I1895" s="2"/>
      </tp>
      <tp t="s">
        <v>#N/A Requesting Data...3907862497</v>
        <stp/>
        <stp>BDP|2798980280329884976</stp>
        <tr r="N2084" s="2"/>
      </tp>
      <tp t="s">
        <v>#N/A Requesting Data...4041470973</v>
        <stp/>
        <stp>BDP|4761058986877753837</stp>
        <tr r="O837" s="2"/>
      </tp>
      <tp t="s">
        <v>#N/A Requesting Data...4223018649</v>
        <stp/>
        <stp>BDP|4926387464360528200</stp>
        <tr r="N2370" s="2"/>
      </tp>
      <tp t="s">
        <v>#N/A Requesting Data...4046461772</v>
        <stp/>
        <stp>BDP|9285424910569056608</stp>
        <tr r="D1302" s="2"/>
      </tp>
      <tp t="s">
        <v>#N/A Requesting Data...3849306798</v>
        <stp/>
        <stp>BDP|3308862646668085438</stp>
        <tr r="Q1108" s="2"/>
      </tp>
      <tp t="s">
        <v>#N/A Requesting Data...4006629421</v>
        <stp/>
        <stp>BDP|4738224107432165731</stp>
        <tr r="E1201" s="2"/>
      </tp>
      <tp t="s">
        <v>#N/A Requesting Data...3930120557</v>
        <stp/>
        <stp>BDP|2479170172182168504</stp>
        <tr r="M2341" s="2"/>
      </tp>
      <tp t="s">
        <v>#N/A Requesting Data...4193528438</v>
        <stp/>
        <stp>BDP|7048040223002473437</stp>
        <tr r="S1775" s="2"/>
      </tp>
      <tp t="s">
        <v>#N/A Requesting Data...3881525496</v>
        <stp/>
        <stp>BDP|5236803876669022040</stp>
        <tr r="T1746" s="2"/>
      </tp>
      <tp t="s">
        <v>#N/A Requesting Data...3899394679</v>
        <stp/>
        <stp>BDP|7308618213352059119</stp>
        <tr r="T224" s="2"/>
      </tp>
      <tp t="s">
        <v>#N/A Requesting Data...4012561950</v>
        <stp/>
        <stp>BDP|7471408461614064258</stp>
        <tr r="A144" s="2"/>
      </tp>
      <tp t="s">
        <v>#N/A Requesting Data...3912175433</v>
        <stp/>
        <stp>BDP|8647957631141214004</stp>
        <tr r="S2384" s="2"/>
      </tp>
      <tp t="s">
        <v>#N/A Requesting Data...3913749910</v>
        <stp/>
        <stp>BDP|4773126325795136112</stp>
        <tr r="R1160" s="2"/>
      </tp>
      <tp t="s">
        <v>#N/A Requesting Data...4032527697</v>
        <stp/>
        <stp>BDP|5363118686167116858</stp>
        <tr r="P470" s="2"/>
      </tp>
      <tp t="s">
        <v>#N/A Requesting Data...3932424932</v>
        <stp/>
        <stp>BDP|4448130110377139062</stp>
        <tr r="G9" s="2"/>
      </tp>
      <tp t="s">
        <v>#N/A Requesting Data...4095626704</v>
        <stp/>
        <stp>BDP|6490364621971610553</stp>
        <tr r="T1579" s="2"/>
      </tp>
      <tp t="s">
        <v>#N/A Requesting Data...4130104122</v>
        <stp/>
        <stp>BDP|5016067005195193328</stp>
        <tr r="R1445" s="2"/>
      </tp>
      <tp t="s">
        <v>#N/A Requesting Data...3966413249</v>
        <stp/>
        <stp>BDP|7841815428719849794</stp>
        <tr r="F2164" s="2"/>
      </tp>
      <tp t="s">
        <v>#N/A Requesting Data...3967224676</v>
        <stp/>
        <stp>BDP|8912273878536674806</stp>
        <tr r="S932" s="2"/>
      </tp>
      <tp t="s">
        <v>#N/A Requesting Data...4088291095</v>
        <stp/>
        <stp>BDP|5220850897250053703</stp>
        <tr r="C508" s="2"/>
      </tp>
      <tp t="s">
        <v>#N/A Requesting Data...3911170846</v>
        <stp/>
        <stp>BDP|2062426546908113941</stp>
        <tr r="Q1778" s="2"/>
      </tp>
      <tp t="s">
        <v>#N/A Requesting Data...4016636830</v>
        <stp/>
        <stp>BDP|5720033141371292362</stp>
        <tr r="P619" s="2"/>
      </tp>
      <tp t="s">
        <v>#N/A Requesting Data...3992935843</v>
        <stp/>
        <stp>BDP|1764460704953674521</stp>
        <tr r="T1712" s="2"/>
      </tp>
      <tp t="s">
        <v>#N/A Requesting Data...3914402995</v>
        <stp/>
        <stp>BDP|5384290308737627354</stp>
        <tr r="N2156" s="2"/>
      </tp>
      <tp t="s">
        <v>#N/A Requesting Data...4194864018</v>
        <stp/>
        <stp>BDP|5499146275708796838</stp>
        <tr r="D2241" s="2"/>
      </tp>
      <tp t="s">
        <v>#N/A Requesting Data...4207107420</v>
        <stp/>
        <stp>BDP|4188451745501860683</stp>
        <tr r="N1332" s="2"/>
      </tp>
      <tp t="s">
        <v>#N/A Requesting Data...4083563833</v>
        <stp/>
        <stp>BDP|8345835171034218029</stp>
        <tr r="A1359" s="2"/>
      </tp>
      <tp t="s">
        <v>#N/A Requesting Data...4197720586</v>
        <stp/>
        <stp>BDP|8589654486122360742</stp>
        <tr r="K40" s="2"/>
      </tp>
      <tp t="s">
        <v>#N/A Requesting Data...4195849939</v>
        <stp/>
        <stp>BDP|1554105975730396427</stp>
        <tr r="H486" s="2"/>
      </tp>
      <tp t="s">
        <v>#N/A Requesting Data...4194544908</v>
        <stp/>
        <stp>BDP|5195257943113105376</stp>
        <tr r="M466" s="2"/>
      </tp>
      <tp t="s">
        <v>#N/A Requesting Data...4185271265</v>
        <stp/>
        <stp>BDP|6195038052883794369</stp>
        <tr r="E2335" s="2"/>
      </tp>
      <tp t="s">
        <v>#N/A Requesting Data...4252748216</v>
        <stp/>
        <stp>BDP|2534530491804103973</stp>
        <tr r="F1985" s="2"/>
      </tp>
      <tp t="s">
        <v>#N/A Requesting Data...3927613664</v>
        <stp/>
        <stp>BDP|3632898082660468083</stp>
        <tr r="N2250" s="2"/>
      </tp>
      <tp t="s">
        <v>#N/A Requesting Data...4093192267</v>
        <stp/>
        <stp>BDP|1077111626996725715</stp>
        <tr r="G1953" s="2"/>
      </tp>
      <tp t="s">
        <v>#N/A Requesting Data...4273981677</v>
        <stp/>
        <stp>BDP|5978686160841640765</stp>
        <tr r="K1605" s="2"/>
      </tp>
      <tp t="s">
        <v>#N/A Requesting Data...4223805950</v>
        <stp/>
        <stp>BDP|5841542878272784624</stp>
        <tr r="G564" s="2"/>
      </tp>
      <tp t="s">
        <v>#N/A Requesting Data...4244157309</v>
        <stp/>
        <stp>BDP|5419066831227797257</stp>
        <tr r="R2498" s="2"/>
      </tp>
      <tp t="s">
        <v>#N/A Requesting Data...4250859601</v>
        <stp/>
        <stp>BDP|3823595090874955891</stp>
        <tr r="E2251" s="2"/>
      </tp>
      <tp t="s">
        <v>#N/A Requesting Data...4085126314</v>
        <stp/>
        <stp>BDP|3111545867976043532</stp>
        <tr r="M311" s="2"/>
      </tp>
      <tp t="s">
        <v>#N/A Requesting Data...4209906959</v>
        <stp/>
        <stp>BDP|2298960793017171675</stp>
        <tr r="J189" s="2"/>
      </tp>
      <tp t="s">
        <v>#N/A Requesting Data...4081806581</v>
        <stp/>
        <stp>BDP|8866407940612154989</stp>
        <tr r="Q800" s="2"/>
      </tp>
      <tp t="s">
        <v>#N/A Requesting Data...3973204249</v>
        <stp/>
        <stp>BDP|2207232407990401330</stp>
        <tr r="R1088" s="2"/>
      </tp>
      <tp t="s">
        <v>#N/A Requesting Data...4280701653</v>
        <stp/>
        <stp>BDP|6806625428583091232</stp>
        <tr r="P2357" s="2"/>
      </tp>
      <tp t="s">
        <v>#N/A Requesting Data...3968557633</v>
        <stp/>
        <stp>BDP|7538662270337792250</stp>
        <tr r="M1468" s="2"/>
      </tp>
      <tp t="s">
        <v>#N/A Requesting Data...4004833863</v>
        <stp/>
        <stp>BDP|8128880329360099112</stp>
        <tr r="M2230" s="2"/>
      </tp>
      <tp t="s">
        <v>#N/A Requesting Data...4140216223</v>
        <stp/>
        <stp>BDP|1165262666531636768</stp>
        <tr r="S876" s="2"/>
      </tp>
      <tp t="s">
        <v>#N/A Requesting Data...4007943606</v>
        <stp/>
        <stp>BDP|1090664977101018207</stp>
        <tr r="S286" s="2"/>
      </tp>
      <tp t="s">
        <v>#N/A Requesting Data...4239249239</v>
        <stp/>
        <stp>BDP|5911898496551602616</stp>
        <tr r="M1622" s="2"/>
      </tp>
      <tp t="s">
        <v>#N/A Requesting Data...4018710708</v>
        <stp/>
        <stp>BDP|7064500656310380447</stp>
        <tr r="G1338" s="2"/>
      </tp>
      <tp t="s">
        <v>#N/A Requesting Data...4046360112</v>
        <stp/>
        <stp>BDP|9067528299965399394</stp>
        <tr r="C2440" s="2"/>
      </tp>
      <tp t="s">
        <v>#N/A Requesting Data...4159041253</v>
        <stp/>
        <stp>BDP|3794923119661886959</stp>
        <tr r="K2512" s="2"/>
      </tp>
      <tp t="s">
        <v>#N/A Requesting Data...4230977556</v>
        <stp/>
        <stp>BDP|5045094227244975068</stp>
        <tr r="M1913" s="2"/>
      </tp>
      <tp t="s">
        <v>#N/A Requesting Data...4183954218</v>
        <stp/>
        <stp>BDP|8847195589961815314</stp>
        <tr r="S21" s="2"/>
      </tp>
      <tp t="s">
        <v>#N/A Requesting Data...4247895812</v>
        <stp/>
        <stp>BDP|4037575015823426071</stp>
        <tr r="R2071" s="2"/>
      </tp>
      <tp t="s">
        <v>#N/A Requesting Data...4033167741</v>
        <stp/>
        <stp>BDP|5066479194688272303</stp>
        <tr r="A445" s="2"/>
      </tp>
      <tp t="s">
        <v>#N/A Requesting Data...4144295386</v>
        <stp/>
        <stp>BDP|3899882173567300813</stp>
        <tr r="G2383" s="2"/>
      </tp>
      <tp t="s">
        <v>#N/A Requesting Data...4044883589</v>
        <stp/>
        <stp>BDP|9151923240585664248</stp>
        <tr r="S2309" s="2"/>
      </tp>
      <tp t="s">
        <v>#N/A Requesting Data...4272017769</v>
        <stp/>
        <stp>BDP|2348077351151697526</stp>
        <tr r="D780" s="2"/>
      </tp>
      <tp t="s">
        <v>#N/A Requesting Data...4234840195</v>
        <stp/>
        <stp>BDP|5644592327548076998</stp>
        <tr r="H1481" s="2"/>
      </tp>
      <tp t="s">
        <v>#N/A Requesting Data...4068144423</v>
        <stp/>
        <stp>BDP|1486205507877002729</stp>
        <tr r="K2376" s="2"/>
      </tp>
      <tp t="s">
        <v>#N/A Requesting Data...4145351836</v>
        <stp/>
        <stp>BDP|7381418607229572919</stp>
        <tr r="O1043" s="2"/>
      </tp>
      <tp t="s">
        <v>#N/A Requesting Data...4150203713</v>
        <stp/>
        <stp>BDP|2005245421867459604</stp>
        <tr r="O1154" s="2"/>
      </tp>
      <tp t="s">
        <v>#N/A Requesting Data...4019056761</v>
        <stp/>
        <stp>BDP|2615841261816419965</stp>
        <tr r="T456" s="2"/>
      </tp>
      <tp t="s">
        <v>#N/A Requesting Data...4075535325</v>
        <stp/>
        <stp>BDP|4969908480502874400</stp>
        <tr r="E1933" s="2"/>
      </tp>
      <tp t="s">
        <v>#N/A Requesting Data...4143074048</v>
        <stp/>
        <stp>BDP|3995122048484169136</stp>
        <tr r="G1747" s="2"/>
      </tp>
      <tp t="s">
        <v>#N/A Requesting Data...4067230598</v>
        <stp/>
        <stp>BDP|9163943308970874344</stp>
        <tr r="M111" s="2"/>
      </tp>
      <tp t="s">
        <v>#N/A Requesting Data...4055065938</v>
        <stp/>
        <stp>BDP|7070338892777132914</stp>
        <tr r="G1139" s="2"/>
      </tp>
      <tp t="s">
        <v>#N/A Requesting Data...4123594218</v>
        <stp/>
        <stp>BDP|8353124923930726845</stp>
        <tr r="J42" s="2"/>
      </tp>
      <tp t="s">
        <v>#N/A Requesting Data...4111899258</v>
        <stp/>
        <stp>BDP|7789602337603510242</stp>
        <tr r="D2518" s="2"/>
      </tp>
      <tp t="s">
        <v>#N/A Requesting Data...4260879133</v>
        <stp/>
        <stp>BDP|6374515492930607975</stp>
        <tr r="P878" s="2"/>
      </tp>
      <tp t="s">
        <v>#N/A Requesting Data...4108851785</v>
        <stp/>
        <stp>BDP|9602120092850245252</stp>
        <tr r="O947" s="2"/>
      </tp>
      <tp t="s">
        <v>#N/A Requesting Data...4159023405</v>
        <stp/>
        <stp>BDP|8905382003781721949</stp>
        <tr r="M2240" s="2"/>
      </tp>
      <tp t="s">
        <v>#N/A Requesting Data...4259672120</v>
        <stp/>
        <stp>BDP|1725914283192706139</stp>
        <tr r="E337" s="2"/>
      </tp>
      <tp t="s">
        <v>#N/A Requesting Data...4233491182</v>
        <stp/>
        <stp>BDP|6409060982734515947</stp>
        <tr r="N668" s="2"/>
      </tp>
      <tp t="s">
        <v>#N/A Requesting Data...4107840759</v>
        <stp/>
        <stp>BDP|7805396321163146602</stp>
        <tr r="E2117" s="2"/>
      </tp>
      <tp t="b">
        <v>0</v>
        <stp/>
        <stp>BDS|7455285408372420413</stp>
        <tr r="I2519" s="2"/>
      </tp>
      <tp t="s">
        <v>#N/A Requesting Data...4175494727</v>
        <stp/>
        <stp>BDP|9851881227521070167</stp>
        <tr r="N2283" s="2"/>
      </tp>
      <tp t="s">
        <v>#N/A Requesting Data...4103010852</v>
        <stp/>
        <stp>BDP|8634306881369659902</stp>
        <tr r="A2407" s="2"/>
      </tp>
      <tp t="s">
        <v>#N/A Requesting Data...4292687019</v>
        <stp/>
        <stp>BDP|7828593064275546216</stp>
        <tr r="Q1674" s="2"/>
      </tp>
      <tp t="s">
        <v>#N/A Requesting Data...4118927983</v>
        <stp/>
        <stp>BDP|7709231234966097310</stp>
        <tr r="J1285" s="2"/>
      </tp>
      <tp t="s">
        <v>#N/A Requesting Data...4152574879</v>
        <stp/>
        <stp>BDP|8920379391409767899</stp>
        <tr r="M162" s="2"/>
      </tp>
      <tp t="s">
        <v>#N/A Requesting Data...4068151923</v>
        <stp/>
        <stp>BDP|3075835794039540836</stp>
        <tr r="E1345" s="2"/>
      </tp>
      <tp t="s">
        <v>#N/A Requesting Data...4241025344</v>
        <stp/>
        <stp>BDP|1970606641255151586</stp>
        <tr r="M46" s="2"/>
      </tp>
      <tp t="s">
        <v>#N/A Requesting Data...4267114201</v>
        <stp/>
        <stp>BDP|9858150447469886639</stp>
        <tr r="J420" s="2"/>
      </tp>
      <tp t="s">
        <v>#N/A Requesting Data...4262858614</v>
        <stp/>
        <stp>BDP|5956279978907005475</stp>
        <tr r="F2245" s="2"/>
      </tp>
      <tp t="s">
        <v>#N/A Requesting Data...4207712103</v>
        <stp/>
        <stp>BDP|1787958286230650334</stp>
        <tr r="C1982" s="2"/>
      </tp>
      <tp t="s">
        <v>#N/A Requesting Data...4131290133</v>
        <stp/>
        <stp>BDP|4948206205113915641</stp>
        <tr r="R1127" s="2"/>
      </tp>
      <tp t="s">
        <v>#N/A Requesting Data...4112209964</v>
        <stp/>
        <stp>BDP|2251065829885583692</stp>
        <tr r="G1652" s="2"/>
      </tp>
      <tp t="s">
        <v>#N/A Requesting Data...4249509452</v>
        <stp/>
        <stp>BDP|8043938643980162601</stp>
        <tr r="N2527" s="2"/>
      </tp>
      <tp t="s">
        <v>#N/A Requesting Data...4119689385</v>
        <stp/>
        <stp>BDP|6027799408300499243</stp>
        <tr r="R422" s="2"/>
      </tp>
      <tp t="s">
        <v>#N/A Requesting Data...4147527977</v>
        <stp/>
        <stp>BDP|1751620066433124136</stp>
        <tr r="D1829" s="2"/>
      </tp>
      <tp t="s">
        <v>#N/A Requesting Data...4122565270</v>
        <stp/>
        <stp>BDP|3400060104073217354</stp>
        <tr r="R1057" s="2"/>
      </tp>
      <tp t="s">
        <v>#N/A Requesting Data...4186283039</v>
        <stp/>
        <stp>BDP|7496696833864615593</stp>
        <tr r="E1448" s="2"/>
      </tp>
      <tp t="s">
        <v>#N/A Requesting Data...4212052274</v>
        <stp/>
        <stp>BDP|3500540976014777612</stp>
        <tr r="S433" s="2"/>
      </tp>
      <tp t="s">
        <v>#N/A Requesting Data...4156742778</v>
        <stp/>
        <stp>BDP|3211044275083763456</stp>
        <tr r="E156" s="2"/>
      </tp>
      <tp t="s">
        <v>#N/A Requesting Data...4274115333</v>
        <stp/>
        <stp>BDP|5768472912784173721</stp>
        <tr r="T1247" s="2"/>
      </tp>
      <tp t="s">
        <v>#N/A Requesting Data...4289229078</v>
        <stp/>
        <stp>BDP|2312997395379793898</stp>
        <tr r="E2377" s="2"/>
      </tp>
      <tp t="s">
        <v>#N/A Requesting Data...4268967486</v>
        <stp/>
        <stp>BDP|3984264137797189687</stp>
        <tr r="Q543" s="2"/>
      </tp>
      <tp t="s">
        <v>#N/A Requesting Data...4254898817</v>
        <stp/>
        <stp>BDP|4661552627331673134</stp>
        <tr r="K1170" s="2"/>
      </tp>
      <tp t="s">
        <v>#N/A Requesting Data...4253783644</v>
        <stp/>
        <stp>BDP|3582282338978757932</stp>
        <tr r="D804" s="2"/>
      </tp>
      <tp t="s">
        <v>#N/A Requesting Data...4285246430</v>
        <stp/>
        <stp>BDP|3642317247012770560</stp>
        <tr r="J166" s="2"/>
      </tp>
      <tp t="s">
        <v>#N/A Requesting Data...4167248573</v>
        <stp/>
        <stp>BDP|2893363349964425225</stp>
        <tr r="C624" s="2"/>
      </tp>
      <tp t="s">
        <v>#N/A Requesting Data...4136896963</v>
        <stp/>
        <stp>BDP|7009616760291089508</stp>
        <tr r="K1590" s="2"/>
      </tp>
      <tp t="s">
        <v>#N/A Requesting Data...4204142192</v>
        <stp/>
        <stp>BDP|8024404880465263230</stp>
        <tr r="E1562" s="2"/>
      </tp>
      <tp t="s">
        <v>#N/A Requesting Data...4283022553</v>
        <stp/>
        <stp>BDP|3513763250773662144</stp>
        <tr r="O78" s="2"/>
      </tp>
      <tp t="s">
        <v>#N/A Requesting Data...4180517430</v>
        <stp/>
        <stp>BDP|7448147694829789524</stp>
        <tr r="C1300" s="2"/>
      </tp>
      <tp t="s">
        <v>#N/A Requesting Data...4247014225</v>
        <stp/>
        <stp>BDP|1734206652211380478</stp>
        <tr r="P532" s="2"/>
      </tp>
      <tp t="s">
        <v>#N/A Requesting Data...4117958799</v>
        <stp/>
        <stp>BDP|3861687858114006797</stp>
        <tr r="H671" s="2"/>
      </tp>
      <tp t="s">
        <v>#N/A Requesting Data...4225715983</v>
        <stp/>
        <stp>BDP|5050831296272201560</stp>
        <tr r="J2036" s="2"/>
      </tp>
      <tp t="s">
        <v>#N/A Requesting Data...4195669678</v>
        <stp/>
        <stp>BDP|5356432556117576027</stp>
        <tr r="D250" s="2"/>
      </tp>
      <tp t="s">
        <v>#N/A Requesting Data...4189582652</v>
        <stp/>
        <stp>BDP|3709675193598224704</stp>
        <tr r="A33" s="2"/>
      </tp>
      <tp t="s">
        <v>#N/A Requesting Data...4184711891</v>
        <stp/>
        <stp>BDP|7396393399809470763</stp>
        <tr r="E1464" s="2"/>
      </tp>
      <tp t="s">
        <v>#N/A Requesting Data...4288349859</v>
        <stp/>
        <stp>BDP|1734853422309426157</stp>
        <tr r="K381" s="2"/>
      </tp>
      <tp t="s">
        <v>#N/A Requesting Data...4273537166</v>
        <stp/>
        <stp>BDP|8343036917532409821</stp>
        <tr r="N29" s="2"/>
      </tp>
      <tp t="s">
        <v>#N/A Requesting Data...4277348769</v>
        <stp/>
        <stp>BDP|5013686627496934476</stp>
        <tr r="A511" s="2"/>
      </tp>
      <tp t="s">
        <v>#N/A Requesting Data...4189206418</v>
        <stp/>
        <stp>BDP|8948633509759231405</stp>
        <tr r="S327" s="2"/>
      </tp>
      <tp t="b">
        <v>0</v>
        <stp/>
        <stp>BDS|3348912186862196342</stp>
        <tr r="I300" s="2"/>
      </tp>
      <tp t="s">
        <v>#N/A Requesting Data...4171012620</v>
        <stp/>
        <stp>BDP|5635729536726344470</stp>
        <tr r="G2010" s="2"/>
      </tp>
      <tp t="s">
        <v>#N/A Requesting Data...4286459459</v>
        <stp/>
        <stp>BDP|1450705017910231473</stp>
        <tr r="J761" s="2"/>
      </tp>
      <tp t="s">
        <v>#N/A Requesting Data...4216378716</v>
        <stp/>
        <stp>BDP|6193100916044062116</stp>
        <tr r="E1019" s="2"/>
      </tp>
      <tp t="s">
        <v>#N/A Requesting Data...4195501636</v>
        <stp/>
        <stp>BDP|2150024162996046175</stp>
        <tr r="C729" s="2"/>
      </tp>
      <tp t="s">
        <v>#N/A Requesting Data...4202606652</v>
        <stp/>
        <stp>BDP|7074531273426393053</stp>
        <tr r="N1121" s="2"/>
      </tp>
      <tp t="s">
        <v>#N/A Requesting Data...4200998790</v>
        <stp/>
        <stp>BDP|3086179011763981396</stp>
        <tr r="T536" s="2"/>
      </tp>
      <tp t="s">
        <v>#N/A Requesting Data...4201393199</v>
        <stp/>
        <stp>BDP|8919257690656308698</stp>
        <tr r="K1676" s="2"/>
      </tp>
      <tp t="s">
        <v>#N/A Requesting Data...4206908534</v>
        <stp/>
        <stp>BDP|6276611955190975698</stp>
        <tr r="F1646" s="2"/>
      </tp>
      <tp t="s">
        <v>#N/A Requesting Data...4242475822</v>
        <stp/>
        <stp>BDP|9608187387945613697</stp>
        <tr r="Q1939" s="2"/>
      </tp>
      <tp t="s">
        <v>#N/A Requesting Data...4207763161</v>
        <stp/>
        <stp>BDP|4941822327395895824</stp>
        <tr r="Q923" s="2"/>
      </tp>
      <tp t="s">
        <v>#N/A Requesting Data...4243387739</v>
        <stp/>
        <stp>BDP|8194223627742259900</stp>
        <tr r="G2067" s="2"/>
      </tp>
      <tp t="s">
        <v>#N/A Requesting Data...4236579436</v>
        <stp/>
        <stp>BDP|5305542176936583228</stp>
        <tr r="R962" s="2"/>
      </tp>
      <tp t="s">
        <v>#N/A Requesting Data...4188041100</v>
        <stp/>
        <stp>BDP|8789168960869772504</stp>
        <tr r="M761" s="2"/>
      </tp>
      <tp t="s">
        <v>#N/A Requesting Data...4280222182</v>
        <stp/>
        <stp>BDP|6683513663203362514</stp>
        <tr r="A1549" s="2"/>
      </tp>
      <tp t="s">
        <v>#N/A Requesting Data...4197809808</v>
        <stp/>
        <stp>BDP|2584064039432847047</stp>
        <tr r="J577" s="2"/>
      </tp>
      <tp t="s">
        <v>#N/A Requesting Data...4249596148</v>
        <stp/>
        <stp>BDP|3081551855324178476</stp>
        <tr r="T1863" s="2"/>
      </tp>
      <tp t="s">
        <v>#N/A Requesting Data...4257672165</v>
        <stp/>
        <stp>BDP|1903345084680707988</stp>
        <tr r="F647" s="2"/>
      </tp>
      <tp t="s">
        <v>#N/A Requesting Data...4276970475</v>
        <stp/>
        <stp>BDP|1084523100632337574</stp>
        <tr r="Q2012" s="2"/>
      </tp>
      <tp t="s">
        <v>#N/A Requesting Data...4248153885</v>
        <stp/>
        <stp>BDP|5797003867687176771</stp>
        <tr r="S2011" s="2"/>
      </tp>
      <tp t="s">
        <v>#N/A Requesting Data...4248671970</v>
        <stp/>
        <stp>BDP|6432740600651014369</stp>
        <tr r="D2285" s="2"/>
      </tp>
      <tp t="s">
        <v>#N/A Requesting Data...4210112743</v>
        <stp/>
        <stp>BDP|4964590741756180064</stp>
        <tr r="R1729" s="2"/>
      </tp>
      <tp t="s">
        <v>#N/A Requesting Data...4212697815</v>
        <stp/>
        <stp>BDP|2779030637800408212</stp>
        <tr r="F715" s="2"/>
      </tp>
      <tp t="s">
        <v>#N/A Requesting Data...4287294338</v>
        <stp/>
        <stp>BDP|2448150775790397717</stp>
        <tr r="D1919" s="2"/>
      </tp>
      <tp t="s">
        <v>#N/A Requesting Data...4270254834</v>
        <stp/>
        <stp>BDP|5112370608141851408</stp>
        <tr r="F618" s="2"/>
      </tp>
      <tp t="s">
        <v>#N/A Requesting Data...4252734090</v>
        <stp/>
        <stp>BDP|9487409440488213209</stp>
        <tr r="O369" s="2"/>
      </tp>
      <tp t="s">
        <v>#N/A Requesting Data...4230624962</v>
        <stp/>
        <stp>BDP|3347118705484468552</stp>
        <tr r="O685" s="2"/>
      </tp>
      <tp t="s">
        <v>#N/A Requesting Data...4251129395</v>
        <stp/>
        <stp>BDP|7417057677873066004</stp>
        <tr r="P1597" s="2"/>
      </tp>
      <tp t="s">
        <v>#N/A Requesting Data...4273501978</v>
        <stp/>
        <stp>BDP|2736263376963612774</stp>
        <tr r="T503" s="2"/>
      </tp>
      <tp t="s">
        <v>#N/A Requesting Data...4265233874</v>
        <stp/>
        <stp>BDP|2613046196980069824</stp>
        <tr r="E157" s="2"/>
      </tp>
      <tp t="s">
        <v>#N/A Requesting Data...4223545032</v>
        <stp/>
        <stp>BDP|2100613070256748619</stp>
        <tr r="T1474" s="2"/>
      </tp>
      <tp t="s">
        <v>#N/A Requesting Data...4292395099</v>
        <stp/>
        <stp>BDP|4034371913105275008</stp>
        <tr r="Q739" s="2"/>
      </tp>
      <tp t="s">
        <v>#N/A Requesting Data...4226758014</v>
        <stp/>
        <stp>BDP|7375801306555678958</stp>
        <tr r="R2229" s="2"/>
      </tp>
      <tp t="s">
        <v>#N/A Requesting Data...4243643126</v>
        <stp/>
        <stp>BDP|3377528011544103075</stp>
        <tr r="K1589" s="2"/>
      </tp>
      <tp t="s">
        <v>#N/A Requesting Data...4287233346</v>
        <stp/>
        <stp>BDP|8082673640768522141</stp>
        <tr r="E577" s="2"/>
      </tp>
      <tp t="s">
        <v>#N/A Requesting Data...4246059936</v>
        <stp/>
        <stp>BDP|5044996849132483924</stp>
        <tr r="R2278" s="2"/>
      </tp>
      <tp t="s">
        <v>#N/A Requesting Data...4260320436</v>
        <stp/>
        <stp>BDP|7427016111666559378</stp>
        <tr r="P2112" s="2"/>
      </tp>
      <tp t="s">
        <v>#N/A Requesting Data...4242821191</v>
        <stp/>
        <stp>BDP|7357550703636498775</stp>
        <tr r="M1706" s="2"/>
      </tp>
      <tp t="s">
        <v>#N/A Requesting Data...4261766215</v>
        <stp/>
        <stp>BDP|4097081549134105767</stp>
        <tr r="S2285" s="2"/>
      </tp>
      <tp t="s">
        <v>#N/A Requesting Data...4270976754</v>
        <stp/>
        <stp>BDP|8580846621037571637</stp>
        <tr r="P2217" s="2"/>
      </tp>
      <tp t="s">
        <v>#N/A Requesting Data...4247968401</v>
        <stp/>
        <stp>BDP|9787110285077137445</stp>
        <tr r="T553" s="2"/>
      </tp>
      <tp t="s">
        <v>#N/A Requesting Data...4272452730</v>
        <stp/>
        <stp>BDP|8592625134356340865</stp>
        <tr r="D437" s="2"/>
      </tp>
      <tp t="b">
        <v>0</v>
        <stp/>
        <stp>BDS|1397578615021155769</stp>
        <tr r="I1330" s="2"/>
      </tp>
      <tp t="s">
        <v>#N/A Requesting Data...4260008167</v>
        <stp/>
        <stp>BDP|7525360350005545708</stp>
        <tr r="S627" s="2"/>
      </tp>
      <tp t="s">
        <v>#N/A Requesting Data...4282162656</v>
        <stp/>
        <stp>BDP|6534474943893129663</stp>
        <tr r="N360" s="2"/>
      </tp>
      <tp t="s">
        <v>#N/A Requesting Data...4260300111</v>
        <stp/>
        <stp>BDP|8796740653750318951</stp>
        <tr r="D1788" s="2"/>
      </tp>
      <tp t="s">
        <v>#N/A Requesting Data...4284116804</v>
        <stp/>
        <stp>BDP|7889522850590516490</stp>
        <tr r="M2287" s="2"/>
      </tp>
      <tp t="s">
        <v>#N/A Requesting Data...4279460747</v>
        <stp/>
        <stp>BDP|7065355340337251414</stp>
        <tr r="A2454" s="2"/>
      </tp>
      <tp t="s">
        <v>#N/A Requesting Data...4269678032</v>
        <stp/>
        <stp>BDP|2184616361287042679</stp>
        <tr r="R169" s="2"/>
      </tp>
      <tp t="s">
        <v>#N/A Requesting Data...4286425986</v>
        <stp/>
        <stp>BDP|2380072957413296776</stp>
        <tr r="K900" s="2"/>
      </tp>
      <tp t="s">
        <v>#N/A Requesting Data...4291854817</v>
        <stp/>
        <stp>BDP|5827470898173170805</stp>
        <tr r="K2287" s="2"/>
      </tp>
      <tp t="s">
        <v>#N/A Requesting Data...4275888521</v>
        <stp/>
        <stp>BDP|8972255828888624348</stp>
        <tr r="D1086" s="2"/>
      </tp>
      <tp t="s">
        <v>#N/A Requesting Data...4288180720</v>
        <stp/>
        <stp>BDP|2805019729324380752</stp>
        <tr r="G1695" s="2"/>
      </tp>
      <tp t="s">
        <v>#N/A Requesting Data...4292554677</v>
        <stp/>
        <stp>BDP|9219002820169134151</stp>
        <tr r="T279" s="2"/>
      </tp>
      <tp t="s">
        <v>#N/A Requesting Data...4289999832</v>
        <stp/>
        <stp>BDP|5238062376685267462</stp>
        <tr r="O2039" s="2"/>
      </tp>
      <tp t="s">
        <v>#N/A Requesting Data...4291403346</v>
        <stp/>
        <stp>BDP|1385444889988153693</stp>
        <tr r="R92" s="2"/>
      </tp>
      <tp t="s">
        <v>#N/A Requesting Data...4294884843</v>
        <stp/>
        <stp>BDP|4472416693362224823</stp>
        <tr r="S2151" s="2"/>
      </tp>
      <tp t="s">
        <v>#N/A Requesting Data...4293537420</v>
        <stp/>
        <stp>BDP|6238340261815209538</stp>
        <tr r="P902" s="2"/>
      </tp>
      <tp t="s">
        <v>#N/A Requesting Data...4294492032</v>
        <stp/>
        <stp>BDP|7139003925153749556</stp>
        <tr r="J217" s="2"/>
      </tp>
      <tp t="s">
        <v>#N/A Requesting Data...3542622194</v>
        <stp/>
        <stp>BDP|1632834114198655310</stp>
        <tr r="E1347" s="2"/>
      </tp>
      <tp t="s">
        <v>#N/A Requesting Data...1415304859</v>
        <stp/>
        <stp>BDP|6340989255928178190</stp>
        <tr r="K1582" s="2"/>
      </tp>
      <tp t="s">
        <v>#N/A Requesting Data...2629896425</v>
        <stp/>
        <stp>BDP|6936092916943222729</stp>
        <tr r="P486" s="2"/>
      </tp>
      <tp t="s">
        <v>#N/A Requesting Data...472016721</v>
        <stp/>
        <stp>BDP|7909083554406655751</stp>
        <tr r="J1476" s="2"/>
      </tp>
      <tp t="s">
        <v>#N/A Requesting Data...3167612539</v>
        <stp/>
        <stp>BDP|5039403616325736673</stp>
        <tr r="M741" s="2"/>
      </tp>
      <tp t="s">
        <v>#N/A Requesting Data...2568265444</v>
        <stp/>
        <stp>BDP|7874790361460533532</stp>
        <tr r="K215" s="2"/>
      </tp>
      <tp t="s">
        <v>#N/A Requesting Data...3834049362</v>
        <stp/>
        <stp>BDP|8433603377069035351</stp>
        <tr r="R1663" s="2"/>
      </tp>
      <tp t="s">
        <v>#N/A Requesting Data...2041549119</v>
        <stp/>
        <stp>BDP|2565406172302199008</stp>
        <tr r="Q1869" s="2"/>
      </tp>
      <tp t="s">
        <v>#N/A Requesting Data...3548229984</v>
        <stp/>
        <stp>BDP|3802494754045638455</stp>
        <tr r="A1686" s="2"/>
      </tp>
      <tp t="b">
        <v>0</v>
        <stp/>
        <stp>BDS|3820854285493842367</stp>
        <tr r="I614" s="2"/>
      </tp>
      <tp t="s">
        <v>#N/A Requesting Data...2577622039</v>
        <stp/>
        <stp>BDP|9407622690180203521</stp>
        <tr r="E1486" s="2"/>
      </tp>
      <tp t="s">
        <v>#N/A Requesting Data...1904508106</v>
        <stp/>
        <stp>BDP|5766722276593218575</stp>
        <tr r="J1944" s="2"/>
      </tp>
      <tp t="s">
        <v>#N/A Requesting Data...982517873</v>
        <stp/>
        <stp>BDP|6773722551637640042</stp>
        <tr r="C2269" s="2"/>
      </tp>
      <tp t="s">
        <v>#N/A Requesting Data...2938833879</v>
        <stp/>
        <stp>BDP|1314663250335222416</stp>
        <tr r="Q486" s="2"/>
      </tp>
      <tp t="s">
        <v>#N/A Requesting Data...1508012071</v>
        <stp/>
        <stp>BDP|2933541154166973761</stp>
        <tr r="R1309" s="2"/>
      </tp>
      <tp t="s">
        <v>#N/A Requesting Data...2023140286</v>
        <stp/>
        <stp>BDP|5275315202240054570</stp>
        <tr r="E1138" s="2"/>
      </tp>
      <tp t="s">
        <v>#N/A Requesting Data...1455251696</v>
        <stp/>
        <stp>BDP|5816755018144581468</stp>
        <tr r="K376" s="2"/>
      </tp>
      <tp t="s">
        <v>#N/A Requesting Data...2963523524</v>
        <stp/>
        <stp>BDP|5472078887076382812</stp>
        <tr r="Q349" s="2"/>
      </tp>
      <tp t="s">
        <v>#N/A Requesting Data...3962176953</v>
        <stp/>
        <stp>BDP|5202617804636233637</stp>
        <tr r="M987" s="2"/>
      </tp>
      <tp t="s">
        <v>#N/A Requesting Data...1948734589</v>
        <stp/>
        <stp>BDP|8586670076919603345</stp>
        <tr r="S2325" s="2"/>
      </tp>
      <tp t="s">
        <v>#N/A Requesting Data...289836276</v>
        <stp/>
        <stp>BDP|6507543005936161638</stp>
        <tr r="R2327" s="2"/>
      </tp>
      <tp t="s">
        <v>#N/A Requesting Data...2786453116</v>
        <stp/>
        <stp>BDP|2254120955595262012</stp>
        <tr r="Q1748" s="2"/>
      </tp>
      <tp t="b">
        <v>0</v>
        <stp/>
        <stp>BDS|4373471689042887939</stp>
        <tr r="I1984" s="2"/>
      </tp>
      <tp t="s">
        <v>#N/A Requesting Data...3671868649</v>
        <stp/>
        <stp>BDP|4611145060615620524</stp>
        <tr r="T1838" s="2"/>
      </tp>
      <tp t="s">
        <v>#N/A Requesting Data...72116358</v>
        <stp/>
        <stp>BDP|9207412584551707763</stp>
        <tr r="T155" s="2"/>
      </tp>
      <tp t="b">
        <v>0</v>
        <stp/>
        <stp>BDS|7209559204186572708</stp>
        <tr r="I138" s="2"/>
      </tp>
      <tp t="s">
        <v>#N/A Requesting Data...2906181771</v>
        <stp/>
        <stp>BDP|2674348957743285414</stp>
        <tr r="K602" s="2"/>
      </tp>
      <tp t="s">
        <v>#N/A Requesting Data...3388516879</v>
        <stp/>
        <stp>BDP|1620038235641318059</stp>
        <tr r="A872" s="2"/>
      </tp>
      <tp t="s">
        <v>#N/A Requesting Data...4009390352</v>
        <stp/>
        <stp>BDP|4856198860932446234</stp>
        <tr r="S2429" s="2"/>
      </tp>
      <tp t="s">
        <v>#N/A Requesting Data...3982928259</v>
        <stp/>
        <stp>BDP|5750147426694416171</stp>
        <tr r="P1460" s="2"/>
      </tp>
      <tp t="s">
        <v>#N/A Requesting Data...293431672</v>
        <stp/>
        <stp>BDP|7605961232549434700</stp>
        <tr r="T1915" s="2"/>
      </tp>
      <tp t="s">
        <v>#N/A Requesting Data...578416952</v>
        <stp/>
        <stp>BDP|7616629540901353713</stp>
        <tr r="S1408" s="2"/>
      </tp>
      <tp t="s">
        <v>#N/A Requesting Data...1696328722</v>
        <stp/>
        <stp>BDP|4436254319060869466</stp>
        <tr r="A2037" s="2"/>
      </tp>
      <tp t="s">
        <v>#N/A Requesting Data...1156278201</v>
        <stp/>
        <stp>BDP|4793598708170707276</stp>
        <tr r="M13" s="2"/>
      </tp>
      <tp t="s">
        <v>#N/A Requesting Data...3623180665</v>
        <stp/>
        <stp>BDP|5756255174565423641</stp>
        <tr r="N1112" s="2"/>
      </tp>
      <tp t="s">
        <v>#N/A Requesting Data...3192656881</v>
        <stp/>
        <stp>BDP|9864790313639027544</stp>
        <tr r="R599" s="2"/>
      </tp>
      <tp t="s">
        <v>#N/A Requesting Data...924559806</v>
        <stp/>
        <stp>BDP|9914496156778911397</stp>
        <tr r="F1109" s="2"/>
      </tp>
      <tp t="s">
        <v>#N/A Requesting Data...2550244524</v>
        <stp/>
        <stp>BDP|2478638777833251344</stp>
        <tr r="C2071" s="2"/>
      </tp>
      <tp t="s">
        <v>#N/A Requesting Data...2731108266</v>
        <stp/>
        <stp>BDP|8025994907374862605</stp>
        <tr r="A1984" s="2"/>
      </tp>
      <tp t="s">
        <v>#N/A Requesting Data...3483614350</v>
        <stp/>
        <stp>BDP|9275910931544521416</stp>
        <tr r="T2121" s="2"/>
      </tp>
      <tp t="s">
        <v>#N/A Requesting Data...843511588</v>
        <stp/>
        <stp>BDP|4401241909282990773</stp>
        <tr r="H2489" s="2"/>
      </tp>
      <tp t="s">
        <v>#N/A Requesting Data...3689168429</v>
        <stp/>
        <stp>BDP|8338061644966706912</stp>
        <tr r="J1009" s="2"/>
      </tp>
      <tp t="s">
        <v>#N/A Requesting Data...2864328911</v>
        <stp/>
        <stp>BDP|4739399119024153116</stp>
        <tr r="N949" s="2"/>
      </tp>
      <tp t="s">
        <v>#N/A Requesting Data...1062753644</v>
        <stp/>
        <stp>BDP|9090448472850558945</stp>
        <tr r="E2070" s="2"/>
      </tp>
      <tp t="s">
        <v>#N/A Requesting Data...2151213555</v>
        <stp/>
        <stp>BDP|9253136680770552339</stp>
        <tr r="N79" s="2"/>
      </tp>
      <tp t="s">
        <v>#N/A Requesting Data...862643489</v>
        <stp/>
        <stp>BDP|7082805381776267244</stp>
        <tr r="P596" s="2"/>
      </tp>
      <tp t="s">
        <v>#N/A Requesting Data...2249896453</v>
        <stp/>
        <stp>BDP|4459540985839251300</stp>
        <tr r="S1456" s="2"/>
      </tp>
      <tp t="s">
        <v>#N/A Requesting Data...819477313</v>
        <stp/>
        <stp>BDP|5251703871837328174</stp>
        <tr r="S1458" s="2"/>
      </tp>
      <tp t="s">
        <v>#N/A Requesting Data...750527513</v>
        <stp/>
        <stp>BDP|6160948291707270216</stp>
        <tr r="D1450" s="2"/>
      </tp>
      <tp t="s">
        <v>#N/A Requesting Data...876821030</v>
        <stp/>
        <stp>BDP|9065728897661459565</stp>
        <tr r="R601" s="2"/>
      </tp>
      <tp t="s">
        <v>#N/A Requesting Data...3521455455</v>
        <stp/>
        <stp>BDP|2675844682352218359</stp>
        <tr r="O377" s="2"/>
      </tp>
      <tp t="s">
        <v>#N/A Requesting Data...339309395</v>
        <stp/>
        <stp>BDP|9806348540764361982</stp>
        <tr r="F311" s="2"/>
      </tp>
      <tp t="s">
        <v>#N/A Requesting Data...659610922</v>
        <stp/>
        <stp>BDP|7969909838626146876</stp>
        <tr r="M676" s="2"/>
      </tp>
      <tp t="s">
        <v>#N/A Requesting Data...2921444148</v>
        <stp/>
        <stp>BDP|8209093451189990740</stp>
        <tr r="N614" s="2"/>
      </tp>
      <tp t="s">
        <v>#N/A Requesting Data...3463486906</v>
        <stp/>
        <stp>BDP|8537249481368105962</stp>
        <tr r="H1257" s="2"/>
      </tp>
      <tp t="s">
        <v>#N/A Requesting Data...475310902</v>
        <stp/>
        <stp>BDP|3701719672631776143</stp>
        <tr r="F542" s="2"/>
      </tp>
      <tp t="s">
        <v>#N/A Requesting Data...2103663422</v>
        <stp/>
        <stp>BDP|1227357768392985515</stp>
        <tr r="J634" s="2"/>
      </tp>
      <tp t="s">
        <v>#N/A Requesting Data...4294307928</v>
        <stp/>
        <stp>BDP|1280094824323855301</stp>
        <tr r="R111" s="2"/>
      </tp>
      <tp t="s">
        <v>#N/A Requesting Data...3332758639</v>
        <stp/>
        <stp>BDP|9318988929829536808</stp>
        <tr r="E933" s="2"/>
      </tp>
      <tp t="s">
        <v>#N/A Requesting Data...2925519847</v>
        <stp/>
        <stp>BDP|3240328644361460673</stp>
        <tr r="J2220" s="2"/>
      </tp>
      <tp t="b">
        <v>0</v>
        <stp/>
        <stp>BDS|4676248302783611610</stp>
        <tr r="I160" s="2"/>
      </tp>
      <tp t="s">
        <v>#N/A Requesting Data...2148370209</v>
        <stp/>
        <stp>BDP|5986357876846483495</stp>
        <tr r="A1057" s="2"/>
      </tp>
      <tp t="s">
        <v>#N/A Requesting Data...1096252024</v>
        <stp/>
        <stp>BDP|1687866456588820793</stp>
        <tr r="C253" s="2"/>
      </tp>
      <tp t="s">
        <v>#N/A Requesting Data...3631261800</v>
        <stp/>
        <stp>BDP|4261259352110646047</stp>
        <tr r="H1448" s="2"/>
      </tp>
      <tp t="s">
        <v>#N/A Requesting Data...3550895317</v>
        <stp/>
        <stp>BDP|1836042359440192731</stp>
        <tr r="E1558" s="2"/>
      </tp>
      <tp t="s">
        <v>#N/A Requesting Data...2367920861</v>
        <stp/>
        <stp>BDP|5036935265889070014</stp>
        <tr r="J1260" s="2"/>
      </tp>
      <tp t="s">
        <v>#N/A Requesting Data...1578007886</v>
        <stp/>
        <stp>BDP|6649059830190641625</stp>
        <tr r="A1569" s="2"/>
      </tp>
      <tp t="b">
        <v>0</v>
        <stp/>
        <stp>BDS|3427419147719560905</stp>
        <tr r="I2359" s="2"/>
      </tp>
      <tp t="s">
        <v>#N/A Requesting Data...3158524150</v>
        <stp/>
        <stp>BDP|1405965319052483881</stp>
        <tr r="N1580" s="2"/>
      </tp>
      <tp t="s">
        <v>#N/A Requesting Data...2730862627</v>
        <stp/>
        <stp>BDP|4240565636377561608</stp>
        <tr r="O55" s="2"/>
      </tp>
      <tp t="s">
        <v>#N/A Requesting Data...1398133883</v>
        <stp/>
        <stp>BDP|5210570844993021466</stp>
        <tr r="H1124" s="2"/>
      </tp>
      <tp t="s">
        <v>#N/A Requesting Data...1956458637</v>
        <stp/>
        <stp>BDP|7181545221613423075</stp>
        <tr r="J1997" s="2"/>
      </tp>
      <tp t="s">
        <v>#N/A Requesting Data...906732002</v>
        <stp/>
        <stp>BDP|1009777742597184636</stp>
        <tr r="K1324" s="2"/>
      </tp>
      <tp t="s">
        <v>#N/A Requesting Data...307638883</v>
        <stp/>
        <stp>BDP|5600368215580047425</stp>
        <tr r="C1419" s="2"/>
      </tp>
      <tp t="s">
        <v>#N/A Requesting Data...4014449036</v>
        <stp/>
        <stp>BDP|6926642158816008024</stp>
        <tr r="O351" s="2"/>
      </tp>
      <tp t="s">
        <v>#N/A Requesting Data...702025614</v>
        <stp/>
        <stp>BDP|5242799946791304494</stp>
        <tr r="D1810" s="2"/>
      </tp>
      <tp t="s">
        <v>#N/A Requesting Data...3737496156</v>
        <stp/>
        <stp>BDP|7392204811034728321</stp>
        <tr r="O968" s="2"/>
      </tp>
      <tp t="b">
        <v>0</v>
        <stp/>
        <stp>BDS|6230730760666413229</stp>
        <tr r="I1017" s="2"/>
      </tp>
      <tp t="s">
        <v>#N/A Requesting Data...3693083354</v>
        <stp/>
        <stp>BDP|8579998164224626091</stp>
        <tr r="O2498" s="2"/>
      </tp>
      <tp t="s">
        <v>#N/A Requesting Data...1898519798</v>
        <stp/>
        <stp>BDP|4566988812169096688</stp>
        <tr r="F959" s="2"/>
      </tp>
      <tp t="s">
        <v>#N/A Requesting Data...3323853781</v>
        <stp/>
        <stp>BDP|3297533526214248322</stp>
        <tr r="H2128" s="2"/>
      </tp>
      <tp t="s">
        <v>#N/A Requesting Data...3339019582</v>
        <stp/>
        <stp>BDP|6411205276413237372</stp>
        <tr r="J747" s="2"/>
      </tp>
      <tp t="s">
        <v>#N/A Requesting Data...4024077945</v>
        <stp/>
        <stp>BDP|6463137512024731153</stp>
        <tr r="K383" s="2"/>
      </tp>
      <tp t="s">
        <v>#N/A Requesting Data...1941296186</v>
        <stp/>
        <stp>BDP|2872505667035050786</stp>
        <tr r="M2465" s="2"/>
      </tp>
      <tp t="s">
        <v>#N/A Requesting Data...3452600923</v>
        <stp/>
        <stp>BDP|7829409513932428381</stp>
        <tr r="K2000" s="2"/>
      </tp>
      <tp t="s">
        <v>#N/A Requesting Data...1515597323</v>
        <stp/>
        <stp>BDP|6416826487747435222</stp>
        <tr r="T2431" s="2"/>
      </tp>
      <tp t="s">
        <v>#N/A Requesting Data...2683786221</v>
        <stp/>
        <stp>BDP|3307663470982497362</stp>
        <tr r="A956" s="2"/>
      </tp>
      <tp t="s">
        <v>#N/A Requesting Data...4186133628</v>
        <stp/>
        <stp>BDP|2402122518186936701</stp>
        <tr r="C22" s="2"/>
      </tp>
      <tp t="s">
        <v>#N/A Requesting Data...520264288</v>
        <stp/>
        <stp>BDP|7126441911911327009</stp>
        <tr r="K214" s="2"/>
      </tp>
      <tp t="s">
        <v>#N/A Requesting Data...4175830982</v>
        <stp/>
        <stp>BDP|2208102706716774643</stp>
        <tr r="H2502" s="2"/>
      </tp>
      <tp t="s">
        <v>#N/A Requesting Data...3154076133</v>
        <stp/>
        <stp>BDP|3947001207139052991</stp>
        <tr r="T2523" s="2"/>
      </tp>
      <tp t="s">
        <v>#N/A Requesting Data...3661522667</v>
        <stp/>
        <stp>BDP|6154719123244777439</stp>
        <tr r="G1441" s="2"/>
      </tp>
      <tp t="s">
        <v>#N/A Requesting Data...1140957068</v>
        <stp/>
        <stp>BDP|6333613980299175245</stp>
        <tr r="P460" s="2"/>
      </tp>
      <tp t="s">
        <v>#N/A Requesting Data...3188495393</v>
        <stp/>
        <stp>BDP|2375338462601000559</stp>
        <tr r="H97" s="2"/>
      </tp>
      <tp t="s">
        <v>#N/A Requesting Data...4083021463</v>
        <stp/>
        <stp>BDP|5237110577630113024</stp>
        <tr r="G2054" s="2"/>
      </tp>
      <tp t="s">
        <v>#N/A Requesting Data...286301286</v>
        <stp/>
        <stp>BDP|8809174384601578395</stp>
        <tr r="N85" s="2"/>
      </tp>
      <tp t="s">
        <v>#N/A Requesting Data...3189481629</v>
        <stp/>
        <stp>BDP|8764915133357753655</stp>
        <tr r="A1826" s="2"/>
      </tp>
      <tp t="s">
        <v>#N/A Requesting Data...2006221375</v>
        <stp/>
        <stp>BDP|3434546224092713544</stp>
        <tr r="A1542" s="2"/>
      </tp>
      <tp t="s">
        <v>#N/A Requesting Data...1356680781</v>
        <stp/>
        <stp>BDP|8064319940234087865</stp>
        <tr r="E2410" s="2"/>
      </tp>
      <tp t="s">
        <v>#N/A Requesting Data...2193290677</v>
        <stp/>
        <stp>BDP|2468398014634891761</stp>
        <tr r="R739" s="2"/>
      </tp>
      <tp t="s">
        <v>#N/A Requesting Data...3064657060</v>
        <stp/>
        <stp>BDP|2501640004685152233</stp>
        <tr r="K1040" s="2"/>
      </tp>
      <tp t="s">
        <v>#N/A Requesting Data...2769221874</v>
        <stp/>
        <stp>BDP|4729185755427868456</stp>
        <tr r="J2183" s="2"/>
      </tp>
      <tp t="s">
        <v>#N/A Requesting Data...1476047857</v>
        <stp/>
        <stp>BDP|8415709686901676535</stp>
        <tr r="E1274" s="2"/>
      </tp>
      <tp t="s">
        <v>#N/A Requesting Data...808445155</v>
        <stp/>
        <stp>BDP|3099087994849835036</stp>
        <tr r="P809" s="2"/>
      </tp>
      <tp t="s">
        <v>#N/A Requesting Data...1198974271</v>
        <stp/>
        <stp>BDP|9093965047723313459</stp>
        <tr r="H285" s="2"/>
      </tp>
      <tp t="s">
        <v>#N/A Requesting Data...3925421963</v>
        <stp/>
        <stp>BDP|1087220110720497115</stp>
        <tr r="T2150" s="2"/>
      </tp>
      <tp t="s">
        <v>#N/A Requesting Data...907018865</v>
        <stp/>
        <stp>BDP|6201355935277511205</stp>
        <tr r="N294" s="2"/>
      </tp>
      <tp t="s">
        <v>#N/A Requesting Data...2280538605</v>
        <stp/>
        <stp>BDP|3262209754850944781</stp>
        <tr r="S1656" s="2"/>
      </tp>
      <tp t="s">
        <v>#N/A Requesting Data...3548938955</v>
        <stp/>
        <stp>BDP|9463728058758192082</stp>
        <tr r="T1464" s="2"/>
      </tp>
      <tp t="s">
        <v>#N/A Requesting Data...1832911610</v>
        <stp/>
        <stp>BDP|1614906330901351929</stp>
        <tr r="O65" s="2"/>
      </tp>
      <tp t="s">
        <v>#N/A Requesting Data...1706409931</v>
        <stp/>
        <stp>BDP|3454744552437404517</stp>
        <tr r="P1320" s="2"/>
      </tp>
      <tp t="s">
        <v>#N/A Requesting Data...1547871709</v>
        <stp/>
        <stp>BDP|6701817052778226010</stp>
        <tr r="Q1283" s="2"/>
      </tp>
      <tp t="s">
        <v>#N/A Requesting Data...3351267994</v>
        <stp/>
        <stp>BDP|3410634268307823706</stp>
        <tr r="R2527" s="2"/>
      </tp>
      <tp t="s">
        <v>#N/A Requesting Data...2962073106</v>
        <stp/>
        <stp>BDP|4549516674346756306</stp>
        <tr r="M2371" s="2"/>
      </tp>
      <tp t="s">
        <v>#N/A Requesting Data...1139868530</v>
        <stp/>
        <stp>BDP|2991273658802239433</stp>
        <tr r="M797" s="2"/>
      </tp>
      <tp t="s">
        <v>#N/A Requesting Data...3147543419</v>
        <stp/>
        <stp>BDP|7329461532832211128</stp>
        <tr r="N1288" s="2"/>
      </tp>
      <tp t="s">
        <v>#N/A Requesting Data...1763075920</v>
        <stp/>
        <stp>BDP|2001244920652362306</stp>
        <tr r="H22" s="2"/>
      </tp>
      <tp t="s">
        <v>#N/A Requesting Data...4284434614</v>
        <stp/>
        <stp>BDP|4756818576099165169</stp>
        <tr r="P510" s="2"/>
      </tp>
      <tp t="s">
        <v>#N/A Requesting Data...1441584435</v>
        <stp/>
        <stp>BDP|1336237321874699607</stp>
        <tr r="R528" s="2"/>
      </tp>
      <tp t="s">
        <v>#N/A Requesting Data...2035029422</v>
        <stp/>
        <stp>BDP|8579966967390312401</stp>
        <tr r="J650" s="2"/>
      </tp>
      <tp t="s">
        <v>#N/A Requesting Data...851866723</v>
        <stp/>
        <stp>BDP|5650984481237131095</stp>
        <tr r="S877" s="2"/>
      </tp>
      <tp t="s">
        <v>#N/A Requesting Data...4280852210</v>
        <stp/>
        <stp>BDP|5712943494000811686</stp>
        <tr r="N557" s="2"/>
      </tp>
      <tp t="s">
        <v>#N/A Requesting Data...1174965273</v>
        <stp/>
        <stp>BDP|5166549787162687933</stp>
        <tr r="F1461" s="2"/>
      </tp>
      <tp t="s">
        <v>#N/A Requesting Data...3868296596</v>
        <stp/>
        <stp>BDP|2476466130417734123</stp>
        <tr r="C922" s="2"/>
      </tp>
      <tp t="s">
        <v>#N/A Requesting Data...1184362931</v>
        <stp/>
        <stp>BDP|2903550617500857545</stp>
        <tr r="N2333" s="2"/>
      </tp>
      <tp t="s">
        <v>#N/A Requesting Data...2445870802</v>
        <stp/>
        <stp>BDP|4605923431675045824</stp>
        <tr r="Q1175" s="2"/>
      </tp>
      <tp t="s">
        <v>#N/A Requesting Data...1557431689</v>
        <stp/>
        <stp>BDP|5751510076443669712</stp>
        <tr r="O513" s="2"/>
      </tp>
      <tp t="s">
        <v>#N/A Requesting Data...2584647338</v>
        <stp/>
        <stp>BDP|1059108426405355429</stp>
        <tr r="C1657" s="2"/>
      </tp>
      <tp t="s">
        <v>#N/A Requesting Data...3428351440</v>
        <stp/>
        <stp>BDP|9367823930314647507</stp>
        <tr r="M1028" s="2"/>
      </tp>
      <tp t="s">
        <v>#N/A Requesting Data...2843197933</v>
        <stp/>
        <stp>BDP|2625481691828084487</stp>
        <tr r="S2434" s="2"/>
      </tp>
      <tp t="s">
        <v>#N/A Requesting Data...1635096679</v>
        <stp/>
        <stp>BDP|5084548213000243220</stp>
        <tr r="O2389" s="2"/>
      </tp>
      <tp t="s">
        <v>#N/A Requesting Data...3950246984</v>
        <stp/>
        <stp>BDP|9044817563257131346</stp>
        <tr r="R1242" s="2"/>
      </tp>
      <tp t="s">
        <v>#N/A Requesting Data...3989293886</v>
        <stp/>
        <stp>BDP|3117163740511638460</stp>
        <tr r="N2100" s="2"/>
      </tp>
      <tp t="s">
        <v>#N/A Requesting Data...2281639983</v>
        <stp/>
        <stp>BDP|4646231973211877394</stp>
        <tr r="D2144" s="2"/>
      </tp>
      <tp t="s">
        <v>#N/A Requesting Data...3624501196</v>
        <stp/>
        <stp>BDP|1835177430927926718</stp>
        <tr r="O2085" s="2"/>
      </tp>
      <tp t="s">
        <v>#N/A Requesting Data...1369360830</v>
        <stp/>
        <stp>BDP|2672007580631416850</stp>
        <tr r="H766" s="2"/>
      </tp>
      <tp t="s">
        <v>#N/A Requesting Data...2334650930</v>
        <stp/>
        <stp>BDP|7802725849103068445</stp>
        <tr r="A1922" s="2"/>
      </tp>
      <tp t="b">
        <v>0</v>
        <stp/>
        <stp>BDS|6946855621049279682</stp>
        <tr r="I1815" s="2"/>
      </tp>
      <tp t="s">
        <v>#N/A Requesting Data...1835552346</v>
        <stp/>
        <stp>BDP|7836586634466759443</stp>
        <tr r="A1164" s="2"/>
      </tp>
      <tp t="s">
        <v>#N/A Requesting Data...744712474</v>
        <stp/>
        <stp>BDP|8353949605397414519</stp>
        <tr r="N1588" s="2"/>
      </tp>
      <tp t="s">
        <v>#N/A Requesting Data...1580150287</v>
        <stp/>
        <stp>BDP|1026018259451908669</stp>
        <tr r="R905" s="2"/>
      </tp>
      <tp t="s">
        <v>#N/A Requesting Data...4222439886</v>
        <stp/>
        <stp>BDP|7384419900764449414</stp>
        <tr r="Q1145" s="2"/>
      </tp>
      <tp t="s">
        <v>#N/A Requesting Data...1427356920</v>
        <stp/>
        <stp>BDP|7747134584978497536</stp>
        <tr r="T1432" s="2"/>
      </tp>
      <tp t="s">
        <v>#N/A Requesting Data...3909802233</v>
        <stp/>
        <stp>BDP|6132952364853667919</stp>
        <tr r="N400" s="2"/>
      </tp>
      <tp t="s">
        <v>#N/A Requesting Data...2053618732</v>
        <stp/>
        <stp>BDP|1539637796178224551</stp>
        <tr r="A2331" s="2"/>
      </tp>
      <tp t="s">
        <v>#N/A Requesting Data...2292618075</v>
        <stp/>
        <stp>BDP|4397719538646499599</stp>
        <tr r="Q750" s="2"/>
      </tp>
      <tp t="b">
        <v>0</v>
        <stp/>
        <stp>BDS|9816588483056631110</stp>
        <tr r="I613" s="2"/>
      </tp>
      <tp t="s">
        <v>#N/A Requesting Data...843150971</v>
        <stp/>
        <stp>BDP|5211964632045591975</stp>
        <tr r="C641" s="2"/>
      </tp>
      <tp t="s">
        <v>#N/A Requesting Data...1979823112</v>
        <stp/>
        <stp>BDP|9267337786832347305</stp>
        <tr r="H1067" s="2"/>
      </tp>
      <tp t="s">
        <v>#N/A Requesting Data...831500515</v>
        <stp/>
        <stp>BDP|1303403363464466409</stp>
        <tr r="T336" s="2"/>
      </tp>
      <tp t="s">
        <v>#N/A Requesting Data...1689959057</v>
        <stp/>
        <stp>BDP|1769689239227248001</stp>
        <tr r="A1841" s="2"/>
      </tp>
      <tp t="s">
        <v>#N/A Requesting Data...610110048</v>
        <stp/>
        <stp>BDP|3114052079853043497</stp>
        <tr r="H101" s="2"/>
      </tp>
      <tp t="b">
        <v>0</v>
        <stp/>
        <stp>BDS|2015096778466209078</stp>
        <tr r="I1136" s="2"/>
      </tp>
      <tp t="s">
        <v>#N/A Requesting Data...895607743</v>
        <stp/>
        <stp>BDP|4800214997988249481</stp>
        <tr r="S405" s="2"/>
      </tp>
      <tp t="s">
        <v>#N/A Requesting Data...3850358329</v>
        <stp/>
        <stp>BDP|4543737234941781219</stp>
        <tr r="T2059" s="2"/>
      </tp>
      <tp t="s">
        <v>#N/A Requesting Data...2073463342</v>
        <stp/>
        <stp>BDP|3954731323551995443</stp>
        <tr r="F1497" s="2"/>
      </tp>
      <tp t="s">
        <v>#N/A Requesting Data...3524415194</v>
        <stp/>
        <stp>BDP|5169050776282764319</stp>
        <tr r="E2498" s="2"/>
      </tp>
      <tp t="s">
        <v>#N/A Requesting Data...1671860906</v>
        <stp/>
        <stp>BDP|4040956807916575837</stp>
        <tr r="C1215" s="2"/>
      </tp>
      <tp t="s">
        <v>#N/A Requesting Data...2823498417</v>
        <stp/>
        <stp>BDP|3831009039013228073</stp>
        <tr r="O2310" s="2"/>
      </tp>
      <tp t="s">
        <v>#N/A Requesting Data...3934514623</v>
        <stp/>
        <stp>BDP|9295732226787705847</stp>
        <tr r="H1894" s="2"/>
      </tp>
      <tp t="s">
        <v>#N/A Requesting Data...1737778170</v>
        <stp/>
        <stp>BDP|3186036244977352318</stp>
        <tr r="Q2329" s="2"/>
      </tp>
      <tp t="s">
        <v>#N/A Requesting Data...2492478124</v>
        <stp/>
        <stp>BDP|5757193419985408375</stp>
        <tr r="E1222" s="2"/>
      </tp>
      <tp t="s">
        <v>#N/A Requesting Data...2961599886</v>
        <stp/>
        <stp>BDP|5960659544607958356</stp>
        <tr r="P1666" s="2"/>
      </tp>
      <tp t="b">
        <v>0</v>
        <stp/>
        <stp>BDS|1439556806491281610</stp>
        <tr r="I229" s="2"/>
      </tp>
      <tp t="s">
        <v>#N/A Requesting Data...2721594373</v>
        <stp/>
        <stp>BDP|4335799111525660494</stp>
        <tr r="H2188" s="2"/>
      </tp>
      <tp t="s">
        <v>#N/A Requesting Data...1463045528</v>
        <stp/>
        <stp>BDP|7809179829555242205</stp>
        <tr r="D1591" s="2"/>
      </tp>
      <tp t="s">
        <v>#N/A Requesting Data...1328271923</v>
        <stp/>
        <stp>BDP|7397013487019241533</stp>
        <tr r="Q296" s="2"/>
      </tp>
      <tp t="s">
        <v>#N/A Requesting Data...3767621977</v>
        <stp/>
        <stp>BDP|6872418711489861940</stp>
        <tr r="J2073" s="2"/>
      </tp>
      <tp t="s">
        <v>#N/A Requesting Data...507142844</v>
        <stp/>
        <stp>BDP|9537262586991166103</stp>
        <tr r="A6" s="2"/>
      </tp>
      <tp t="s">
        <v>#N/A Requesting Data...4242322500</v>
        <stp/>
        <stp>BDP|8471911720195825598</stp>
        <tr r="M1196" s="2"/>
      </tp>
      <tp t="s">
        <v>#N/A Requesting Data...3606831272</v>
        <stp/>
        <stp>BDP|5271620671357697031</stp>
        <tr r="T2200" s="2"/>
      </tp>
      <tp t="s">
        <v>#N/A Requesting Data...4098224686</v>
        <stp/>
        <stp>BDP|2267218991209768316</stp>
        <tr r="J310" s="2"/>
      </tp>
      <tp t="s">
        <v>#N/A Requesting Data...2230715279</v>
        <stp/>
        <stp>BDP|3355919245258311503</stp>
        <tr r="M1116" s="2"/>
      </tp>
      <tp t="s">
        <v>#N/A Requesting Data...3090064010</v>
        <stp/>
        <stp>BDP|8362689499133666704</stp>
        <tr r="A1199" s="2"/>
      </tp>
      <tp t="s">
        <v>#N/A Requesting Data...2400706558</v>
        <stp/>
        <stp>BDP|6095357567075409522</stp>
        <tr r="P1952" s="2"/>
      </tp>
      <tp t="s">
        <v>#N/A Requesting Data...1090358580</v>
        <stp/>
        <stp>BDP|3795640129394712097</stp>
        <tr r="J1161" s="2"/>
      </tp>
      <tp t="s">
        <v>#N/A Requesting Data...4163925435</v>
        <stp/>
        <stp>BDP|7028018773293309054</stp>
        <tr r="A1862" s="2"/>
      </tp>
      <tp t="s">
        <v>#N/A Requesting Data...2528100425</v>
        <stp/>
        <stp>BDP|1195784849157220662</stp>
        <tr r="D2274" s="2"/>
      </tp>
      <tp t="s">
        <v>#N/A Requesting Data...3360452532</v>
        <stp/>
        <stp>BDP|8676765305408580441</stp>
        <tr r="E2496" s="2"/>
      </tp>
      <tp t="s">
        <v>#N/A Requesting Data...1583863637</v>
        <stp/>
        <stp>BDP|1764169375206161214</stp>
        <tr r="S2435" s="2"/>
      </tp>
      <tp t="s">
        <v>#N/A Requesting Data...2698711176</v>
        <stp/>
        <stp>BDP|2788215106236777537</stp>
        <tr r="H1591" s="2"/>
      </tp>
      <tp t="s">
        <v>#N/A Requesting Data...2227117546</v>
        <stp/>
        <stp>BDP|2244602604994714351</stp>
        <tr r="J872" s="2"/>
      </tp>
      <tp t="s">
        <v>#N/A Requesting Data...2483434655</v>
        <stp/>
        <stp>BDP|3387535405582233734</stp>
        <tr r="E2173" s="2"/>
      </tp>
      <tp t="s">
        <v>#N/A Requesting Data...1506428210</v>
        <stp/>
        <stp>BDP|2736156604601384115</stp>
        <tr r="A1271" s="2"/>
      </tp>
      <tp t="b">
        <v>0</v>
        <stp/>
        <stp>BDS|2790460943046568732</stp>
        <tr r="I1420" s="2"/>
      </tp>
      <tp t="s">
        <v>#N/A Requesting Data...2792933883</v>
        <stp/>
        <stp>BDP|1702822383992269003</stp>
        <tr r="D1916" s="2"/>
      </tp>
      <tp t="s">
        <v>#N/A Requesting Data...4148809244</v>
        <stp/>
        <stp>BDP|5875248518617340233</stp>
        <tr r="A637" s="2"/>
      </tp>
      <tp t="b">
        <v>0</v>
        <stp/>
        <stp>BDS|5694254956598818994</stp>
        <tr r="I1706" s="2"/>
      </tp>
      <tp t="s">
        <v>#N/A Requesting Data...2319430524</v>
        <stp/>
        <stp>BDP|9588136095782208057</stp>
        <tr r="S2299" s="2"/>
      </tp>
      <tp t="b">
        <v>0</v>
        <stp/>
        <stp>BDS|9941245529138400242</stp>
        <tr r="I388" s="2"/>
      </tp>
      <tp t="s">
        <v>#N/A Requesting Data...2152944554</v>
        <stp/>
        <stp>BDP|4355554635123160267</stp>
        <tr r="G1037" s="2"/>
      </tp>
      <tp t="s">
        <v>#N/A Requesting Data...986300614</v>
        <stp/>
        <stp>BDP|5738446730780126161</stp>
        <tr r="G1560" s="2"/>
      </tp>
      <tp t="s">
        <v>#N/A Requesting Data...1656869424</v>
        <stp/>
        <stp>BDP|7670607006022339072</stp>
        <tr r="T2178" s="2"/>
      </tp>
      <tp t="s">
        <v>#N/A Requesting Data...4234055419</v>
        <stp/>
        <stp>BDP|4475496041475165293</stp>
        <tr r="Q2133" s="2"/>
      </tp>
      <tp t="s">
        <v>#N/A Requesting Data...4017592632</v>
        <stp/>
        <stp>BDP|6758191974184753790</stp>
        <tr r="S879" s="2"/>
      </tp>
      <tp t="s">
        <v>#N/A Requesting Data...1705008314</v>
        <stp/>
        <stp>BDP|1120945494941097354</stp>
        <tr r="K173" s="2"/>
      </tp>
      <tp t="s">
        <v>#N/A Requesting Data...681935365</v>
        <stp/>
        <stp>BDP|9801336182413981249</stp>
        <tr r="D1702" s="2"/>
      </tp>
      <tp t="b">
        <v>0</v>
        <stp/>
        <stp>BDS|1187042780842044816</stp>
        <tr r="I1301" s="2"/>
      </tp>
      <tp t="b">
        <v>0</v>
        <stp/>
        <stp>BDS|3907073309421427175</stp>
        <tr r="I288" s="2"/>
      </tp>
      <tp t="s">
        <v>#N/A Requesting Data...2452659714</v>
        <stp/>
        <stp>BDP|1768877843309062777</stp>
        <tr r="H651" s="2"/>
      </tp>
      <tp t="s">
        <v>#N/A Requesting Data...3071771828</v>
        <stp/>
        <stp>BDP|9920246105281565993</stp>
        <tr r="O1613" s="2"/>
      </tp>
      <tp t="s">
        <v>#N/A Requesting Data...2688018856</v>
        <stp/>
        <stp>BDP|8352505658289941265</stp>
        <tr r="Q2264" s="2"/>
      </tp>
      <tp t="s">
        <v>#N/A Requesting Data...3422829824</v>
        <stp/>
        <stp>BDP|4117543990563056811</stp>
        <tr r="K2462" s="2"/>
      </tp>
      <tp t="s">
        <v>#N/A Requesting Data...3148478899</v>
        <stp/>
        <stp>BDP|3177540866922646119</stp>
        <tr r="S830" s="2"/>
      </tp>
      <tp t="s">
        <v>#N/A Requesting Data...1206016149</v>
        <stp/>
        <stp>BDP|9669120599582809011</stp>
        <tr r="R1073" s="2"/>
      </tp>
      <tp t="s">
        <v>#N/A Requesting Data...3920861416</v>
        <stp/>
        <stp>BDP|2683248967610125506</stp>
        <tr r="A695" s="2"/>
      </tp>
      <tp t="b">
        <v>0</v>
        <stp/>
        <stp>BDS|9343838232880206145</stp>
        <tr r="I1646" s="2"/>
      </tp>
      <tp t="s">
        <v>#N/A Requesting Data...3732454897</v>
        <stp/>
        <stp>BDP|2034878796741193140</stp>
        <tr r="J311" s="2"/>
      </tp>
      <tp t="s">
        <v>#N/A Requesting Data...597663554</v>
        <stp/>
        <stp>BDP|3464539360450482376</stp>
        <tr r="E2526" s="2"/>
      </tp>
      <tp t="s">
        <v>#N/A Requesting Data...3761642109</v>
        <stp/>
        <stp>BDP|5267528837816012632</stp>
        <tr r="S658" s="2"/>
      </tp>
      <tp t="s">
        <v>#N/A Requesting Data...2634813119</v>
        <stp/>
        <stp>BDP|3398727236222005639</stp>
        <tr r="P2460" s="2"/>
      </tp>
      <tp t="s">
        <v>#N/A Requesting Data...1449484454</v>
        <stp/>
        <stp>BDP|6401352906263001535</stp>
        <tr r="C1376" s="2"/>
      </tp>
      <tp t="s">
        <v>#N/A Requesting Data...1702239621</v>
        <stp/>
        <stp>BDP|6311767811223810080</stp>
        <tr r="K1406" s="2"/>
      </tp>
      <tp t="s">
        <v>#N/A Requesting Data...2350771504</v>
        <stp/>
        <stp>BDP|6441645506462236102</stp>
        <tr r="M1862" s="2"/>
      </tp>
      <tp t="s">
        <v>#N/A Requesting Data...3100234131</v>
        <stp/>
        <stp>BDP|7046327624283139636</stp>
        <tr r="F2351" s="2"/>
      </tp>
      <tp t="s">
        <v>#N/A Requesting Data...2907661326</v>
        <stp/>
        <stp>BDP|5972204698655738822</stp>
        <tr r="A2279" s="2"/>
      </tp>
      <tp t="s">
        <v>#N/A Requesting Data...1447248335</v>
        <stp/>
        <stp>BDP|5701686438684069731</stp>
        <tr r="J1996" s="2"/>
      </tp>
      <tp t="s">
        <v>#N/A Requesting Data...2025119984</v>
        <stp/>
        <stp>BDP|7922085017100227503</stp>
        <tr r="E1118" s="2"/>
      </tp>
      <tp t="s">
        <v>#N/A Requesting Data...4154310400</v>
        <stp/>
        <stp>BDP|7716056871747679410</stp>
        <tr r="A1132" s="2"/>
      </tp>
      <tp t="s">
        <v>#N/A Requesting Data...3003164302</v>
        <stp/>
        <stp>BDP|6498313739813872602</stp>
        <tr r="D484" s="2"/>
      </tp>
      <tp t="s">
        <v>#N/A Requesting Data...3556716374</v>
        <stp/>
        <stp>BDP|9014726914205063924</stp>
        <tr r="F1849" s="2"/>
      </tp>
      <tp t="s">
        <v>#N/A Requesting Data...1198529417</v>
        <stp/>
        <stp>BDP|4508224327141400602</stp>
        <tr r="C2092" s="2"/>
      </tp>
      <tp t="s">
        <v>#N/A Requesting Data...2911056792</v>
        <stp/>
        <stp>BDP|8837053787656801560</stp>
        <tr r="O2338" s="2"/>
      </tp>
      <tp t="s">
        <v>#N/A Requesting Data...2479057846</v>
        <stp/>
        <stp>BDP|9354886979014038166</stp>
        <tr r="S1748" s="2"/>
      </tp>
      <tp t="s">
        <v>#N/A Requesting Data...2103170245</v>
        <stp/>
        <stp>BDP|3122453754674637522</stp>
        <tr r="T1560" s="2"/>
      </tp>
      <tp t="s">
        <v>#N/A Requesting Data...1863948398</v>
        <stp/>
        <stp>BDP|3451647524045061102</stp>
        <tr r="G509" s="2"/>
      </tp>
      <tp t="s">
        <v>#N/A Requesting Data...1384411331</v>
        <stp/>
        <stp>BDP|2450757875475171417</stp>
        <tr r="R2291" s="2"/>
      </tp>
      <tp t="s">
        <v>#N/A Requesting Data...2859849379</v>
        <stp/>
        <stp>BDP|3637966430099665325</stp>
        <tr r="J54" s="2"/>
      </tp>
      <tp t="s">
        <v>#N/A Requesting Data...3898830899</v>
        <stp/>
        <stp>BDP|4866026935133315786</stp>
        <tr r="J41" s="2"/>
      </tp>
      <tp t="s">
        <v>#N/A Requesting Data...4212443675</v>
        <stp/>
        <stp>BDP|7530579159121836561</stp>
        <tr r="R225" s="2"/>
      </tp>
      <tp t="s">
        <v>#N/A Requesting Data...1796891287</v>
        <stp/>
        <stp>BDP|5807902878708689034</stp>
        <tr r="A2058" s="2"/>
      </tp>
      <tp t="s">
        <v>#N/A Requesting Data...2130142546</v>
        <stp/>
        <stp>BDP|7969686441952688438</stp>
        <tr r="S1727" s="2"/>
      </tp>
      <tp t="s">
        <v>#N/A Requesting Data...3135515762</v>
        <stp/>
        <stp>BDP|1854734130885681388</stp>
        <tr r="C1061" s="2"/>
      </tp>
      <tp t="s">
        <v>#N/A Requesting Data...1129395112</v>
        <stp/>
        <stp>BDP|2577573933356096147</stp>
        <tr r="T2435" s="2"/>
      </tp>
      <tp t="s">
        <v>#N/A Requesting Data...1525944723</v>
        <stp/>
        <stp>BDP|2782550764411019334</stp>
        <tr r="A2136" s="2"/>
      </tp>
      <tp t="s">
        <v>#N/A Requesting Data...1563974208</v>
        <stp/>
        <stp>BDP|1605472066253319318</stp>
        <tr r="G232" s="2"/>
      </tp>
      <tp t="s">
        <v>#N/A Requesting Data...2268094541</v>
        <stp/>
        <stp>BDP|4626716458370860529</stp>
        <tr r="G1199" s="2"/>
      </tp>
      <tp t="s">
        <v>#N/A Requesting Data...985203847</v>
        <stp/>
        <stp>BDP|8121999689542106856</stp>
        <tr r="D1896" s="2"/>
      </tp>
      <tp t="s">
        <v>#N/A Requesting Data...3808788514</v>
        <stp/>
        <stp>BDP|9289890482683815947</stp>
        <tr r="H1523" s="2"/>
      </tp>
      <tp t="s">
        <v>#N/A Requesting Data...3417727511</v>
        <stp/>
        <stp>BDP|8057369844444799809</stp>
        <tr r="S1747" s="2"/>
      </tp>
      <tp t="s">
        <v>#N/A Requesting Data...3699915512</v>
        <stp/>
        <stp>BDP|2165759811962467548</stp>
        <tr r="H1738" s="2"/>
      </tp>
      <tp t="s">
        <v>#N/A Requesting Data...1589072962</v>
        <stp/>
        <stp>BDP|6542968370553429823</stp>
        <tr r="H757" s="2"/>
      </tp>
      <tp t="s">
        <v>#N/A Requesting Data...2797809724</v>
        <stp/>
        <stp>BDP|6565459243464427122</stp>
        <tr r="F2419" s="2"/>
      </tp>
      <tp t="s">
        <v>#N/A Requesting Data...1597999059</v>
        <stp/>
        <stp>BDP|6798253827516920396</stp>
        <tr r="S1808" s="2"/>
      </tp>
      <tp t="s">
        <v>#N/A Requesting Data...1057029148</v>
        <stp/>
        <stp>BDP|2863312420194473489</stp>
        <tr r="D226" s="2"/>
      </tp>
      <tp t="s">
        <v>#N/A Requesting Data...1627923633</v>
        <stp/>
        <stp>BDP|1366330463303796416</stp>
        <tr r="D1952" s="2"/>
      </tp>
      <tp t="s">
        <v>#N/A Requesting Data...1705061242</v>
        <stp/>
        <stp>BDP|1756164544844412342</stp>
        <tr r="C2121" s="2"/>
      </tp>
      <tp t="s">
        <v>#N/A Requesting Data...1530819327</v>
        <stp/>
        <stp>BDP|9731088690337241486</stp>
        <tr r="G333" s="2"/>
      </tp>
      <tp t="s">
        <v>#N/A Requesting Data...3911957818</v>
        <stp/>
        <stp>BDP|9947135820310789980</stp>
        <tr r="M220" s="2"/>
      </tp>
      <tp t="s">
        <v>#N/A Requesting Data...2208107259</v>
        <stp/>
        <stp>BDP|4909669004777760692</stp>
        <tr r="J2135" s="2"/>
      </tp>
      <tp t="s">
        <v>#N/A Requesting Data...1162802981</v>
        <stp/>
        <stp>BDP|4143364722394515258</stp>
        <tr r="M2025" s="2"/>
      </tp>
      <tp t="s">
        <v>#N/A Requesting Data...3327354561</v>
        <stp/>
        <stp>BDP|4088427702550003350</stp>
        <tr r="N1249" s="2"/>
      </tp>
      <tp t="s">
        <v>#N/A Requesting Data...4072867741</v>
        <stp/>
        <stp>BDP|7099978841981633851</stp>
        <tr r="S1783" s="2"/>
      </tp>
      <tp t="s">
        <v>#N/A Requesting Data...1359502409</v>
        <stp/>
        <stp>BDP|7992523655403321781</stp>
        <tr r="M435" s="2"/>
      </tp>
      <tp t="s">
        <v>#N/A Requesting Data...2170495778</v>
        <stp/>
        <stp>BDP|2706919684190159060</stp>
        <tr r="F328" s="2"/>
      </tp>
      <tp t="s">
        <v>#N/A Requesting Data...2383914126</v>
        <stp/>
        <stp>BDP|8743576352123793807</stp>
        <tr r="M1848" s="2"/>
      </tp>
      <tp t="s">
        <v>#N/A Requesting Data...1801831950</v>
        <stp/>
        <stp>BDP|2304930830993558801</stp>
        <tr r="F995" s="2"/>
      </tp>
      <tp t="s">
        <v>#N/A Requesting Data...3017845557</v>
        <stp/>
        <stp>BDP|5643552551425084376</stp>
        <tr r="R1041" s="2"/>
      </tp>
      <tp t="b">
        <v>0</v>
        <stp/>
        <stp>BDS|5510749712621255144</stp>
        <tr r="I1050" s="2"/>
      </tp>
      <tp t="s">
        <v>#N/A Requesting Data...2711509176</v>
        <stp/>
        <stp>BDP|1556622390538687546</stp>
        <tr r="O381" s="2"/>
      </tp>
      <tp t="s">
        <v>#N/A Requesting Data...1110256038</v>
        <stp/>
        <stp>BDP|5766772531101202369</stp>
        <tr r="C1302" s="2"/>
      </tp>
      <tp t="s">
        <v>#N/A Requesting Data...3561301039</v>
        <stp/>
        <stp>BDP|9086778480940238506</stp>
        <tr r="C390" s="2"/>
      </tp>
      <tp t="s">
        <v>#N/A Requesting Data...1687161076</v>
        <stp/>
        <stp>BDP|8401479814206532874</stp>
        <tr r="D136" s="2"/>
      </tp>
      <tp t="s">
        <v>#N/A Requesting Data...2352603758</v>
        <stp/>
        <stp>BDP|2507842796871172132</stp>
        <tr r="P1142" s="2"/>
      </tp>
      <tp t="s">
        <v>#N/A Requesting Data...1754610970</v>
        <stp/>
        <stp>BDP|7359427929872942041</stp>
        <tr r="P1094" s="2"/>
      </tp>
      <tp t="s">
        <v>#N/A Requesting Data...3604060244</v>
        <stp/>
        <stp>BDP|4334758960087515165</stp>
        <tr r="Q2503" s="2"/>
      </tp>
      <tp t="s">
        <v>#N/A Requesting Data...2113659426</v>
        <stp/>
        <stp>BDP|6323506846905313133</stp>
        <tr r="A1362" s="2"/>
      </tp>
      <tp t="s">
        <v>#N/A Requesting Data...2743686415</v>
        <stp/>
        <stp>BDP|5764665578286960158</stp>
        <tr r="F2380" s="2"/>
      </tp>
      <tp t="s">
        <v>#N/A Requesting Data...3263750809</v>
        <stp/>
        <stp>BDP|3481225405003710112</stp>
        <tr r="Q1008" s="2"/>
      </tp>
      <tp t="s">
        <v>#N/A Requesting Data...3990107033</v>
        <stp/>
        <stp>BDP|7892550054327436387</stp>
        <tr r="A183" s="2"/>
      </tp>
      <tp t="s">
        <v>#N/A Requesting Data...2558820232</v>
        <stp/>
        <stp>BDP|4572089412616320094</stp>
        <tr r="S872" s="2"/>
      </tp>
      <tp t="s">
        <v>#N/A Requesting Data...1096779815</v>
        <stp/>
        <stp>BDP|2422659500500707730</stp>
        <tr r="H2119" s="2"/>
      </tp>
      <tp t="s">
        <v>#N/A Requesting Data...4230354719</v>
        <stp/>
        <stp>BDP|9116258678388119785</stp>
        <tr r="M20" s="2"/>
      </tp>
      <tp t="s">
        <v>#N/A Requesting Data...1965245282</v>
        <stp/>
        <stp>BDP|1343705153467538708</stp>
        <tr r="Q25" s="2"/>
      </tp>
      <tp t="s">
        <v>#N/A Requesting Data...2305673246</v>
        <stp/>
        <stp>BDP|1516565448002899163</stp>
        <tr r="T927" s="2"/>
      </tp>
      <tp t="s">
        <v>#N/A Requesting Data...2465513726</v>
        <stp/>
        <stp>BDP|6843719907581369380</stp>
        <tr r="D2257" s="2"/>
      </tp>
      <tp t="s">
        <v>#N/A Requesting Data...3849266064</v>
        <stp/>
        <stp>BDP|4074737846905019109</stp>
        <tr r="A1713" s="2"/>
      </tp>
      <tp t="s">
        <v>#N/A Requesting Data...2019664464</v>
        <stp/>
        <stp>BDP|5713346538022665480</stp>
        <tr r="T2477" s="2"/>
      </tp>
      <tp t="s">
        <v>#N/A Requesting Data...4209560491</v>
        <stp/>
        <stp>BDP|4595475436797391723</stp>
        <tr r="A978" s="2"/>
      </tp>
      <tp t="s">
        <v>#N/A Requesting Data...1951143463</v>
        <stp/>
        <stp>BDP|7454450518712414383</stp>
        <tr r="R1599" s="2"/>
      </tp>
      <tp t="s">
        <v>#N/A Requesting Data...781572262</v>
        <stp/>
        <stp>BDP|1262116260366540337</stp>
        <tr r="N1892" s="2"/>
      </tp>
      <tp t="s">
        <v>#N/A Requesting Data...931974881</v>
        <stp/>
        <stp>BDP|7221437670766467104</stp>
        <tr r="O1263" s="2"/>
      </tp>
      <tp t="s">
        <v>#N/A Requesting Data...1018176519</v>
        <stp/>
        <stp>BDP|9245096694723352090</stp>
        <tr r="M1187" s="2"/>
      </tp>
      <tp t="s">
        <v>#N/A Requesting Data...3745917613</v>
        <stp/>
        <stp>BDP|6535564908015960571</stp>
        <tr r="C547" s="2"/>
      </tp>
      <tp t="s">
        <v>#N/A Requesting Data...2592831937</v>
        <stp/>
        <stp>BDP|7431616965442378665</stp>
        <tr r="D1180" s="2"/>
      </tp>
      <tp t="s">
        <v>#N/A Requesting Data...845192892</v>
        <stp/>
        <stp>BDP|4243942273251551852</stp>
        <tr r="A954" s="2"/>
      </tp>
      <tp t="s">
        <v>#N/A Requesting Data...3442648895</v>
        <stp/>
        <stp>BDP|9527811022760414076</stp>
        <tr r="F743" s="2"/>
      </tp>
      <tp t="s">
        <v>#N/A Requesting Data...1053212380</v>
        <stp/>
        <stp>BDP|2412498341855165484</stp>
        <tr r="T1131" s="2"/>
      </tp>
      <tp t="s">
        <v>#N/A Requesting Data...1174632593</v>
        <stp/>
        <stp>BDP|8231362226338603211</stp>
        <tr r="M423" s="2"/>
      </tp>
      <tp t="s">
        <v>#N/A Requesting Data...2354456917</v>
        <stp/>
        <stp>BDP|3109964230178070221</stp>
        <tr r="J91" s="2"/>
      </tp>
      <tp t="s">
        <v>#N/A Requesting Data...1705316519</v>
        <stp/>
        <stp>BDP|7731034369997855508</stp>
        <tr r="J443" s="2"/>
      </tp>
      <tp t="s">
        <v>#N/A Requesting Data...2127669963</v>
        <stp/>
        <stp>BDP|5958674069472630445</stp>
        <tr r="K2248" s="2"/>
      </tp>
      <tp t="s">
        <v>#N/A Requesting Data...3003761144</v>
        <stp/>
        <stp>BDP|5672603364442061474</stp>
        <tr r="T387" s="2"/>
      </tp>
      <tp t="s">
        <v>#N/A Requesting Data...2850767679</v>
        <stp/>
        <stp>BDP|8164691775572940814</stp>
        <tr r="F1476" s="2"/>
      </tp>
      <tp t="s">
        <v>#N/A Requesting Data...3088352873</v>
        <stp/>
        <stp>BDP|4207181326231946505</stp>
        <tr r="A1650" s="2"/>
      </tp>
      <tp t="s">
        <v>#N/A Requesting Data...3875743551</v>
        <stp/>
        <stp>BDP|9536372016210396828</stp>
        <tr r="O543" s="2"/>
      </tp>
      <tp t="s">
        <v>#N/A Requesting Data...2353613895</v>
        <stp/>
        <stp>BDP|5456304605024511112</stp>
        <tr r="N448" s="2"/>
      </tp>
      <tp t="s">
        <v>#N/A Requesting Data...2670608048</v>
        <stp/>
        <stp>BDP|9914897774613141606</stp>
        <tr r="P246" s="2"/>
      </tp>
      <tp t="s">
        <v>#N/A Requesting Data...1250445399</v>
        <stp/>
        <stp>BDP|6362025763193751005</stp>
        <tr r="O2505" s="2"/>
      </tp>
      <tp t="s">
        <v>#N/A Requesting Data...1236763525</v>
        <stp/>
        <stp>BDP|8155949016533038068</stp>
        <tr r="D1272" s="2"/>
      </tp>
      <tp t="s">
        <v>#N/A Requesting Data...3258210177</v>
        <stp/>
        <stp>BDP|9664812608180875220</stp>
        <tr r="Q382" s="2"/>
      </tp>
      <tp t="s">
        <v>#N/A Requesting Data...1344482604</v>
        <stp/>
        <stp>BDP|4171477571763056727</stp>
        <tr r="R1636" s="2"/>
      </tp>
      <tp t="s">
        <v>#N/A Requesting Data...3602400146</v>
        <stp/>
        <stp>BDP|7444077320012773411</stp>
        <tr r="P348" s="2"/>
      </tp>
      <tp t="s">
        <v>#N/A Requesting Data...3298139003</v>
        <stp/>
        <stp>BDP|4511317665485619726</stp>
        <tr r="D1052" s="2"/>
      </tp>
      <tp t="b">
        <v>0</v>
        <stp/>
        <stp>BDS|6317276006720363740</stp>
        <tr r="I637" s="2"/>
      </tp>
      <tp t="s">
        <v>#N/A Requesting Data...3830197222</v>
        <stp/>
        <stp>BDP|3074030851473029674</stp>
        <tr r="E48" s="2"/>
      </tp>
      <tp t="s">
        <v>#N/A Requesting Data...1524933610</v>
        <stp/>
        <stp>BDP|9204927800002370165</stp>
        <tr r="J1090" s="2"/>
      </tp>
      <tp t="s">
        <v>#N/A Requesting Data...4157907546</v>
        <stp/>
        <stp>BDP|2800461256795914542</stp>
        <tr r="Q404" s="2"/>
      </tp>
      <tp t="s">
        <v>#N/A Requesting Data...977518985</v>
        <stp/>
        <stp>BDP|7446677386792823883</stp>
        <tr r="P843" s="2"/>
      </tp>
      <tp t="s">
        <v>#N/A Requesting Data...3757202736</v>
        <stp/>
        <stp>BDP|9030860232149559842</stp>
        <tr r="D746" s="2"/>
      </tp>
      <tp t="s">
        <v>#N/A Requesting Data...3608498946</v>
        <stp/>
        <stp>BDP|2627268570056272279</stp>
        <tr r="Q688" s="2"/>
      </tp>
      <tp t="b">
        <v>0</v>
        <stp/>
        <stp>BDS|2894082761811150651</stp>
        <tr r="I33" s="2"/>
      </tp>
      <tp t="s">
        <v>#N/A Requesting Data...3527316414</v>
        <stp/>
        <stp>BDP|4049335873604002753</stp>
        <tr r="A1441" s="2"/>
      </tp>
      <tp t="s">
        <v>#N/A Requesting Data...3938201277</v>
        <stp/>
        <stp>BDP|4976204992119923574</stp>
        <tr r="E1789" s="2"/>
      </tp>
      <tp t="s">
        <v>#N/A Requesting Data...2684121804</v>
        <stp/>
        <stp>BDP|7375454473557669064</stp>
        <tr r="R541" s="2"/>
      </tp>
      <tp t="s">
        <v>#N/A Requesting Data...1595072303</v>
        <stp/>
        <stp>BDP|2686723647273749119</stp>
        <tr r="K616" s="2"/>
      </tp>
      <tp t="s">
        <v>#N/A Requesting Data...1137774901</v>
        <stp/>
        <stp>BDP|4115261419416819231</stp>
        <tr r="C2492" s="2"/>
      </tp>
      <tp t="s">
        <v>#N/A Requesting Data...1113013938</v>
        <stp/>
        <stp>BDP|7152231630983485631</stp>
        <tr r="C2100" s="2"/>
      </tp>
      <tp t="s">
        <v>#N/A Requesting Data...3690376229</v>
        <stp/>
        <stp>BDP|2587143212195197477</stp>
        <tr r="Q1085" s="2"/>
      </tp>
      <tp t="s">
        <v>#N/A Requesting Data...1612145554</v>
        <stp/>
        <stp>BDP|8082747190262082712</stp>
        <tr r="T1512" s="2"/>
      </tp>
      <tp t="s">
        <v>#N/A Requesting Data...1180533083</v>
        <stp/>
        <stp>BDP|6957386558746535590</stp>
        <tr r="E799" s="2"/>
      </tp>
      <tp t="s">
        <v>#N/A Requesting Data...961696478</v>
        <stp/>
        <stp>BDP|9712133500413405851</stp>
        <tr r="R807" s="2"/>
      </tp>
      <tp t="b">
        <v>0</v>
        <stp/>
        <stp>BDS|7914936429086504933</stp>
        <tr r="I98" s="2"/>
      </tp>
      <tp t="s">
        <v>#N/A Requesting Data...3817592735</v>
        <stp/>
        <stp>BDP|1531044714006529552</stp>
        <tr r="N2274" s="2"/>
      </tp>
      <tp t="s">
        <v>#N/A Requesting Data...1626099334</v>
        <stp/>
        <stp>BDP|4115057515932119459</stp>
        <tr r="G1090" s="2"/>
      </tp>
      <tp t="s">
        <v>#N/A Requesting Data...2669259697</v>
        <stp/>
        <stp>BDP|4419011105490515703</stp>
        <tr r="H937" s="2"/>
      </tp>
      <tp t="s">
        <v>#N/A Requesting Data...4077568159</v>
        <stp/>
        <stp>BDP|1867683048774830457</stp>
        <tr r="R2284" s="2"/>
      </tp>
      <tp t="s">
        <v>#N/A Requesting Data...1356384016</v>
        <stp/>
        <stp>BDP|3435346985298545355</stp>
        <tr r="S1484" s="2"/>
      </tp>
      <tp t="s">
        <v>#N/A Requesting Data...1930258748</v>
        <stp/>
        <stp>BDP|3132560343162406354</stp>
        <tr r="N2051" s="2"/>
      </tp>
      <tp t="s">
        <v>#N/A Requesting Data...2783270971</v>
        <stp/>
        <stp>BDP|6703815371939621348</stp>
        <tr r="S2501" s="2"/>
      </tp>
      <tp t="s">
        <v>#N/A Requesting Data...2803413119</v>
        <stp/>
        <stp>BDP|9658879553474076379</stp>
        <tr r="G733" s="2"/>
      </tp>
      <tp t="s">
        <v>#N/A Requesting Data...1338255204</v>
        <stp/>
        <stp>BDP|8715726695144029152</stp>
        <tr r="E2129" s="2"/>
      </tp>
      <tp t="s">
        <v>#N/A Requesting Data...1148848270</v>
        <stp/>
        <stp>BDP|4628113621517026330</stp>
        <tr r="C1827" s="2"/>
      </tp>
      <tp t="s">
        <v>#N/A Requesting Data...4126881889</v>
        <stp/>
        <stp>BDP|7617126326362219553</stp>
        <tr r="F2006" s="2"/>
      </tp>
    </main>
    <main first="bofaddin.rtdserver">
      <tp t="s">
        <v>#N/A Requesting Data...1239693129</v>
        <stp/>
        <stp>BDP|42846434000171270</stp>
        <tr r="C349" s="2"/>
      </tp>
      <tp t="s">
        <v>#N/A Requesting Data...2317658368</v>
        <stp/>
        <stp>BDP|29842072534574248</stp>
        <tr r="K714" s="2"/>
      </tp>
      <tp t="s">
        <v>#N/A Requesting Data...3657976536</v>
        <stp/>
        <stp>BDP|65290096331079386</stp>
        <tr r="E442" s="2"/>
      </tp>
      <tp t="s">
        <v>#N/A Requesting Data...1523227282</v>
        <stp/>
        <stp>BDP|45903110381496005</stp>
        <tr r="J1924" s="2"/>
      </tp>
      <tp t="b">
        <v>0</v>
        <stp/>
        <stp>BDS|86274049258833424</stp>
        <tr r="I2186" s="2"/>
      </tp>
      <tp t="s">
        <v>#N/A Requesting Data...3058436884</v>
        <stp/>
        <stp>BDP|67318286264017652</stp>
        <tr r="S1269" s="2"/>
      </tp>
      <tp t="s">
        <v>#N/A Requesting Data...3480512238</v>
        <stp/>
        <stp>BDP|50909577556318175</stp>
        <tr r="D1409" s="2"/>
      </tp>
      <tp t="s">
        <v>#N/A Requesting Data...1208756680</v>
        <stp/>
        <stp>BDP|32228081016659557</stp>
        <tr r="O791" s="2"/>
      </tp>
      <tp t="s">
        <v>#N/A Requesting Data...2320714325</v>
        <stp/>
        <stp>BDP|40232826310303961</stp>
        <tr r="D920" s="2"/>
      </tp>
      <tp t="s">
        <v>#N/A Requesting Data...1645810986</v>
        <stp/>
        <stp>BDP|62012812501753958</stp>
        <tr r="A1412" s="2"/>
      </tp>
      <tp t="s">
        <v>#N/A Requesting Data...3945809302</v>
        <stp/>
        <stp>BDP|48830240094116136</stp>
        <tr r="N1211" s="2"/>
      </tp>
      <tp t="s">
        <v>#N/A Requesting Data...2778612316</v>
        <stp/>
        <stp>BDP|33540386893899748</stp>
        <tr r="N412" s="2"/>
      </tp>
      <tp t="b">
        <v>0</v>
        <stp/>
        <stp>BDS|12665759271398836</stp>
        <tr r="I253" s="2"/>
      </tp>
      <tp t="s">
        <v>#N/A Requesting Data...3325753220</v>
        <stp/>
        <stp>BDP|72142918191699865</stp>
        <tr r="S869" s="2"/>
      </tp>
      <tp t="s">
        <v>#N/A Requesting Data...3347812650</v>
        <stp/>
        <stp>BDP|73385665378723472</stp>
        <tr r="S1948" s="2"/>
      </tp>
      <tp t="s">
        <v>#N/A Requesting Data...4073345757</v>
        <stp/>
        <stp>BDP|15307605183664985</stp>
        <tr r="H933" s="2"/>
      </tp>
      <tp t="s">
        <v>#N/A Requesting Data...1491308795</v>
        <stp/>
        <stp>BDP|58216499583747179</stp>
        <tr r="S701" s="2"/>
      </tp>
      <tp t="s">
        <v>#N/A Requesting Data...1546074936</v>
        <stp/>
        <stp>BDP|67915422585324796</stp>
        <tr r="R2190" s="2"/>
      </tp>
      <tp t="b">
        <v>0</v>
        <stp/>
        <stp>BDS|74608676852572842</stp>
        <tr r="I213" s="2"/>
      </tp>
      <tp t="s">
        <v>#N/A Requesting Data...2898738019</v>
        <stp/>
        <stp>BDP|50210385894312634</stp>
        <tr r="A2055" s="2"/>
      </tp>
      <tp t="s">
        <v>#N/A Requesting Data...3460478957</v>
        <stp/>
        <stp>BDP|56854844103426717</stp>
        <tr r="P1481" s="2"/>
      </tp>
      <tp t="s">
        <v>#N/A Requesting Data...2203935403</v>
        <stp/>
        <stp>BDP|37399256398933633</stp>
        <tr r="A111" s="2"/>
      </tp>
      <tp t="s">
        <v>#N/A Requesting Data...3008368074</v>
        <stp/>
        <stp>BDP|69210444197383934</stp>
        <tr r="Q165" s="2"/>
      </tp>
      <tp t="s">
        <v>#N/A Requesting Data...1454665081</v>
        <stp/>
        <stp>BDP|63444242760025831</stp>
        <tr r="Q2192" s="2"/>
      </tp>
      <tp t="s">
        <v>#N/A Requesting Data...3622140742</v>
        <stp/>
        <stp>BDP|78524821797501836</stp>
        <tr r="E1181" s="2"/>
      </tp>
      <tp t="s">
        <v>#N/A Requesting Data...1473698798</v>
        <stp/>
        <stp>BDP|68377227940315936</stp>
        <tr r="K814" s="2"/>
      </tp>
      <tp t="s">
        <v>#N/A Requesting Data...2908092436</v>
        <stp/>
        <stp>BDP|36853031580353360</stp>
        <tr r="P861" s="2"/>
      </tp>
      <tp t="s">
        <v>#N/A Requesting Data...2205856399</v>
        <stp/>
        <stp>BDP|17360427619623099</stp>
        <tr r="O2518" s="2"/>
      </tp>
      <tp t="s">
        <v>#N/A Requesting Data...3821296549</v>
        <stp/>
        <stp>BDP|65118848374223949</stp>
        <tr r="G1266" s="2"/>
      </tp>
      <tp t="s">
        <v>#N/A Requesting Data...3312664318</v>
        <stp/>
        <stp>BDP|13912307024832530</stp>
        <tr r="G631" s="2"/>
      </tp>
      <tp t="s">
        <v>#N/A Requesting Data...3278999372</v>
        <stp/>
        <stp>BDP|85600568978139039</stp>
        <tr r="S221" s="2"/>
      </tp>
      <tp t="s">
        <v>#N/A Requesting Data...3056884714</v>
        <stp/>
        <stp>BDP|85897327111429319</stp>
        <tr r="K1607" s="2"/>
      </tp>
      <tp t="s">
        <v>#N/A Requesting Data...1498114006</v>
        <stp/>
        <stp>BDP|83046648668101450</stp>
        <tr r="A2047" s="2"/>
      </tp>
      <tp t="s">
        <v>#N/A Requesting Data...4189512537</v>
        <stp/>
        <stp>BDP|29371232918446094</stp>
        <tr r="S1194" s="2"/>
      </tp>
      <tp t="s">
        <v>#N/A Requesting Data...1142213431</v>
        <stp/>
        <stp>BDP|19573527186817912</stp>
        <tr r="J468" s="2"/>
      </tp>
      <tp t="b">
        <v>0</v>
        <stp/>
        <stp>BDS|77410752597351</stp>
        <tr r="I1656" s="2"/>
      </tp>
      <tp t="s">
        <v>#N/A Requesting Data...2951061902</v>
        <stp/>
        <stp>BDP|48532221948219466</stp>
        <tr r="F191" s="2"/>
      </tp>
      <tp t="s">
        <v>#N/A Requesting Data...1596958142</v>
        <stp/>
        <stp>BDP|65538047923554978</stp>
        <tr r="O932" s="2"/>
      </tp>
      <tp t="s">
        <v>#N/A Requesting Data...3163557994</v>
        <stp/>
        <stp>BDP|10370949899159599</stp>
        <tr r="K2490" s="2"/>
      </tp>
      <tp t="s">
        <v>#N/A Requesting Data...1867008390</v>
        <stp/>
        <stp>BDP|61445681766467160</stp>
        <tr r="O2246" s="2"/>
      </tp>
      <tp t="s">
        <v>#N/A Requesting Data...4223311315</v>
        <stp/>
        <stp>BDP|54113377465478869</stp>
        <tr r="D2174" s="2"/>
      </tp>
      <tp t="s">
        <v>#N/A Requesting Data...2186051715</v>
        <stp/>
        <stp>BDP|14762156001303865</stp>
        <tr r="S18" s="2"/>
      </tp>
      <tp t="s">
        <v>#N/A Requesting Data...2829284661</v>
        <stp/>
        <stp>BDP|16931446411569721</stp>
        <tr r="D976" s="2"/>
      </tp>
      <tp t="s">
        <v>#N/A Requesting Data...3994438588</v>
        <stp/>
        <stp>BDP|93928879707888203</stp>
        <tr r="E2265" s="2"/>
      </tp>
      <tp t="s">
        <v>#N/A Requesting Data...3386099861</v>
        <stp/>
        <stp>BDP|23749281832657609</stp>
        <tr r="O2342" s="2"/>
      </tp>
      <tp t="s">
        <v>#N/A Requesting Data...1111727006</v>
        <stp/>
        <stp>BDP|67809152837152100</stp>
        <tr r="E2518" s="2"/>
      </tp>
      <tp t="s">
        <v>#N/A Requesting Data...2477392177</v>
        <stp/>
        <stp>BDP|64587738834127911</stp>
        <tr r="T1382" s="2"/>
      </tp>
      <tp t="s">
        <v>#N/A Requesting Data...3961675362</v>
        <stp/>
        <stp>BDP|98998977684164113</stp>
        <tr r="D1102" s="2"/>
      </tp>
      <tp t="s">
        <v>#N/A Requesting Data...3701919266</v>
        <stp/>
        <stp>BDP|58402435884824813</stp>
        <tr r="F1590" s="2"/>
      </tp>
      <tp t="s">
        <v>#N/A Requesting Data...1969890068</v>
        <stp/>
        <stp>BDP|21706143399952178</stp>
        <tr r="R1173" s="2"/>
      </tp>
      <tp t="s">
        <v>#N/A Requesting Data...1777754439</v>
        <stp/>
        <stp>BDP|79698547069286012</stp>
        <tr r="F2345" s="2"/>
      </tp>
      <tp t="s">
        <v>#N/A Requesting Data...1342873519</v>
        <stp/>
        <stp>BDP|41314159958412547</stp>
        <tr r="E2250" s="2"/>
      </tp>
      <tp t="s">
        <v>#N/A Requesting Data...1952625887</v>
        <stp/>
        <stp>BDP|68911340303928512</stp>
        <tr r="M1161" s="2"/>
      </tp>
      <tp t="s">
        <v>#N/A Requesting Data...2808819766</v>
        <stp/>
        <stp>BDP|87238947724459992</stp>
        <tr r="H716" s="2"/>
      </tp>
      <tp t="s">
        <v>#N/A Requesting Data...3479920356</v>
        <stp/>
        <stp>BDP|56278761697530950</stp>
        <tr r="O1227" s="2"/>
      </tp>
      <tp t="s">
        <v>#N/A Requesting Data...3779637845</v>
        <stp/>
        <stp>BDP|48912173886528202</stp>
        <tr r="H2213" s="2"/>
      </tp>
      <tp t="s">
        <v>#N/A Requesting Data...2932154399</v>
        <stp/>
        <stp>BDP|82521479211455981</stp>
        <tr r="N1410" s="2"/>
      </tp>
      <tp t="s">
        <v>#N/A Requesting Data...4047031344</v>
        <stp/>
        <stp>BDP|19332589512682399</stp>
        <tr r="M1421" s="2"/>
      </tp>
      <tp t="s">
        <v>#N/A Requesting Data...1803645835</v>
        <stp/>
        <stp>BDP|83275706068389074</stp>
        <tr r="K850" s="2"/>
      </tp>
      <tp t="s">
        <v>#N/A Requesting Data...1345413236</v>
        <stp/>
        <stp>BDP|68169371794341870</stp>
        <tr r="O1489" s="2"/>
      </tp>
      <tp t="s">
        <v>#N/A Requesting Data...4031046877</v>
        <stp/>
        <stp>BDP|85827542071874786</stp>
        <tr r="J2200" s="2"/>
      </tp>
      <tp t="s">
        <v>#N/A Requesting Data...2509306481</v>
        <stp/>
        <stp>BDP|22410171858485195</stp>
        <tr r="H72" s="2"/>
      </tp>
      <tp t="s">
        <v>#N/A Requesting Data...3805767026</v>
        <stp/>
        <stp>BDP|69014818398558369</stp>
        <tr r="G2027" s="2"/>
      </tp>
      <tp t="s">
        <v>#N/A Requesting Data...2987414787</v>
        <stp/>
        <stp>BDP|10620386843656059</stp>
        <tr r="R1720" s="2"/>
      </tp>
      <tp t="s">
        <v>#N/A Requesting Data...1578786874</v>
        <stp/>
        <stp>BDP|25992010006532384</stp>
        <tr r="A2217" s="2"/>
      </tp>
      <tp t="s">
        <v>#N/A Requesting Data...2207172201</v>
        <stp/>
        <stp>BDP|70327580146753069</stp>
        <tr r="J218" s="2"/>
      </tp>
      <tp t="s">
        <v>#N/A Requesting Data...2611114160</v>
        <stp/>
        <stp>BDP|90456629428683390</stp>
        <tr r="C2463" s="2"/>
      </tp>
      <tp t="s">
        <v>#N/A Requesting Data...1305049683</v>
        <stp/>
        <stp>BDP|54675462874558900</stp>
        <tr r="M2115" s="2"/>
      </tp>
      <tp t="s">
        <v>#N/A Requesting Data...1853571925</v>
        <stp/>
        <stp>BDP|24618311569396337</stp>
        <tr r="M268" s="2"/>
      </tp>
      <tp t="s">
        <v>#N/A Requesting Data...3511226866</v>
        <stp/>
        <stp>BDP|55525673216910997</stp>
        <tr r="E768" s="2"/>
      </tp>
      <tp t="s">
        <v>#N/A Requesting Data...4006401144</v>
        <stp/>
        <stp>BDP|77924661661180339</stp>
        <tr r="K848" s="2"/>
      </tp>
      <tp t="s">
        <v>#N/A Requesting Data...3008700453</v>
        <stp/>
        <stp>BDP|41485767246361923</stp>
        <tr r="J762" s="2"/>
      </tp>
      <tp t="s">
        <v>#N/A Requesting Data...1890885751</v>
        <stp/>
        <stp>BDP|27823439534047275</stp>
        <tr r="H1057" s="2"/>
      </tp>
      <tp t="s">
        <v>#N/A Requesting Data...2467048357</v>
        <stp/>
        <stp>BDP|51193082564454030</stp>
        <tr r="C1590" s="2"/>
      </tp>
      <tp t="s">
        <v>#N/A Requesting Data...4186211022</v>
        <stp/>
        <stp>BDP|59528897246542781</stp>
        <tr r="J1584" s="2"/>
      </tp>
      <tp t="s">
        <v>#N/A Requesting Data...2232510357</v>
        <stp/>
        <stp>BDP|79994672626663558</stp>
        <tr r="E1724" s="2"/>
      </tp>
      <tp t="s">
        <v>#N/A Requesting Data...2150340491</v>
        <stp/>
        <stp>BDP|16714814303300914</stp>
        <tr r="M844" s="2"/>
      </tp>
      <tp t="s">
        <v>#N/A Requesting Data...3584372267</v>
        <stp/>
        <stp>BDP|96178884485373059</stp>
        <tr r="P2355" s="2"/>
      </tp>
      <tp t="s">
        <v>#N/A Requesting Data...2143381618</v>
        <stp/>
        <stp>BDP|57456412690942928</stp>
        <tr r="F2463" s="2"/>
      </tp>
      <tp t="s">
        <v>#N/A Requesting Data...3974301936</v>
        <stp/>
        <stp>BDP|76889505955181104</stp>
        <tr r="O965" s="2"/>
      </tp>
      <tp t="s">
        <v>#N/A Requesting Data...2365592596</v>
        <stp/>
        <stp>BDP|71956255918874851</stp>
        <tr r="M473" s="2"/>
      </tp>
      <tp t="s">
        <v>#N/A Requesting Data...3236525070</v>
        <stp/>
        <stp>BDP|93966232612817418</stp>
        <tr r="D1295" s="2"/>
      </tp>
      <tp t="s">
        <v>#N/A Requesting Data...1629296457</v>
        <stp/>
        <stp>BDP|26831249555405558</stp>
        <tr r="P1832" s="2"/>
      </tp>
      <tp t="s">
        <v>#N/A Requesting Data...1618479908</v>
        <stp/>
        <stp>BDP|39241706455665827</stp>
        <tr r="H484" s="2"/>
      </tp>
      <tp t="s">
        <v>#N/A Requesting Data...1552962803</v>
        <stp/>
        <stp>BDP|14624981310288166</stp>
        <tr r="N1331" s="2"/>
      </tp>
      <tp t="s">
        <v>#N/A Requesting Data...4061518062</v>
        <stp/>
        <stp>BDP|33073087504303302</stp>
        <tr r="C347" s="2"/>
      </tp>
      <tp t="b">
        <v>0</v>
        <stp/>
        <stp>BDS|59398324029730440</stp>
        <tr r="I2441" s="2"/>
      </tp>
      <tp t="s">
        <v>#N/A Requesting Data...4147920441</v>
        <stp/>
        <stp>BDP|25754263129338796</stp>
        <tr r="Q851" s="2"/>
      </tp>
      <tp t="s">
        <v>#N/A Requesting Data...4139967940</v>
        <stp/>
        <stp>BDP|11485445546703962</stp>
        <tr r="T1126" s="2"/>
      </tp>
      <tp t="s">
        <v>#N/A Requesting Data...1513856714</v>
        <stp/>
        <stp>BDP|86889036972070657</stp>
        <tr r="Q2384" s="2"/>
      </tp>
      <tp t="s">
        <v>#N/A Requesting Data...3859755442</v>
        <stp/>
        <stp>BDP|12902255101484293</stp>
        <tr r="N1204" s="2"/>
      </tp>
      <tp t="s">
        <v>#N/A Requesting Data...2614186414</v>
        <stp/>
        <stp>BDP|16601320788941319</stp>
        <tr r="M524" s="2"/>
      </tp>
      <tp t="s">
        <v>#N/A Requesting Data...3297484876</v>
        <stp/>
        <stp>BDP|81652093533987297</stp>
        <tr r="P2113" s="2"/>
      </tp>
      <tp t="s">
        <v>#N/A Requesting Data...2495629819</v>
        <stp/>
        <stp>BDP|16432675619894491</stp>
        <tr r="Q1616" s="2"/>
      </tp>
      <tp t="s">
        <v>#N/A Requesting Data...1406466152</v>
        <stp/>
        <stp>BDP|76154515647035943</stp>
        <tr r="F1954" s="2"/>
      </tp>
      <tp t="s">
        <v>#N/A Requesting Data...3230706833</v>
        <stp/>
        <stp>BDP|67365763768733377</stp>
        <tr r="T794" s="2"/>
      </tp>
      <tp t="s">
        <v>#N/A Requesting Data...3929115296</v>
        <stp/>
        <stp>BDP|27058252243222861</stp>
        <tr r="F1601" s="2"/>
      </tp>
      <tp t="s">
        <v>#N/A Requesting Data...3587269860</v>
        <stp/>
        <stp>BDP|30369012278648421</stp>
        <tr r="K970" s="2"/>
      </tp>
      <tp t="s">
        <v>#N/A Requesting Data...2429405895</v>
        <stp/>
        <stp>BDP|84964966368586957</stp>
        <tr r="T897" s="2"/>
      </tp>
      <tp t="s">
        <v>#N/A Requesting Data...1393963610</v>
        <stp/>
        <stp>BDP|54967214025045337</stp>
        <tr r="F824" s="2"/>
      </tp>
      <tp t="s">
        <v>#N/A Requesting Data...2741970149</v>
        <stp/>
        <stp>BDP|89375698995391133</stp>
        <tr r="J2155" s="2"/>
      </tp>
      <tp t="s">
        <v>#N/A Requesting Data...2648923972</v>
        <stp/>
        <stp>BDP|14959875148909810</stp>
        <tr r="T2068" s="2"/>
      </tp>
      <tp t="s">
        <v>#N/A Requesting Data...3303009681</v>
        <stp/>
        <stp>BDP|30983320003291628</stp>
        <tr r="O2302" s="2"/>
      </tp>
      <tp t="s">
        <v>#N/A Requesting Data...3441695838</v>
        <stp/>
        <stp>BDP|46790389362197384</stp>
        <tr r="P2102" s="2"/>
      </tp>
      <tp t="s">
        <v>#N/A Requesting Data...4251334662</v>
        <stp/>
        <stp>BDP|81192506672975204</stp>
        <tr r="C1848" s="2"/>
      </tp>
      <tp t="s">
        <v>#N/A Requesting Data...3862415733</v>
        <stp/>
        <stp>BDP|56791003894911273</stp>
        <tr r="F353" s="2"/>
      </tp>
      <tp t="s">
        <v>#N/A Requesting Data...2765537054</v>
        <stp/>
        <stp>BDP|79130110802534329</stp>
        <tr r="Q1264" s="2"/>
      </tp>
      <tp t="s">
        <v>#N/A Requesting Data...3630312150</v>
        <stp/>
        <stp>BDP|50729103187327169</stp>
        <tr r="T2427" s="2"/>
      </tp>
      <tp t="s">
        <v>#N/A Requesting Data...3516812255</v>
        <stp/>
        <stp>BDP|52985391920491192</stp>
        <tr r="K1262" s="2"/>
      </tp>
      <tp t="s">
        <v>#N/A Requesting Data...3040723591</v>
        <stp/>
        <stp>BDP|45357044321272713</stp>
        <tr r="J2434" s="2"/>
      </tp>
      <tp t="s">
        <v>#N/A Requesting Data...3368333227</v>
        <stp/>
        <stp>BDP|35442191724506834</stp>
        <tr r="R1163" s="2"/>
      </tp>
      <tp t="s">
        <v>#N/A Requesting Data...4000439897</v>
        <stp/>
        <stp>BDP|41401463245295601</stp>
        <tr r="D207" s="2"/>
      </tp>
      <tp t="s">
        <v>#N/A Requesting Data...2169543962</v>
        <stp/>
        <stp>BDP|60864760448442736</stp>
        <tr r="A1600" s="2"/>
      </tp>
      <tp t="s">
        <v>#N/A Requesting Data...2752094436</v>
        <stp/>
        <stp>BDP|93036435902916013</stp>
        <tr r="O263" s="2"/>
      </tp>
      <tp t="s">
        <v>#N/A Requesting Data...2919411871</v>
        <stp/>
        <stp>BDP|54021500535616499</stp>
        <tr r="S2035" s="2"/>
      </tp>
      <tp t="s">
        <v>#N/A Requesting Data...2299585965</v>
        <stp/>
        <stp>BDP|27196326273640141</stp>
        <tr r="O1011" s="2"/>
      </tp>
      <tp t="s">
        <v>#N/A Requesting Data...2020601329</v>
        <stp/>
        <stp>BDP|81589461360274213</stp>
        <tr r="K2292" s="2"/>
      </tp>
      <tp t="s">
        <v>#N/A Requesting Data...1649577769</v>
        <stp/>
        <stp>BDP|32047141981677487</stp>
        <tr r="G834" s="2"/>
      </tp>
      <tp t="s">
        <v>#N/A Requesting Data...2242839125</v>
        <stp/>
        <stp>BDP|14416009261069412</stp>
        <tr r="C1087" s="2"/>
      </tp>
      <tp t="s">
        <v>#N/A Requesting Data...1947927784</v>
        <stp/>
        <stp>BDP|95097892319556082</stp>
        <tr r="C568" s="2"/>
      </tp>
      <tp t="s">
        <v>#N/A Requesting Data...2900753933</v>
        <stp/>
        <stp>BDP|14121453315362150</stp>
        <tr r="F2184" s="2"/>
      </tp>
      <tp t="s">
        <v>#N/A Requesting Data...2006667072</v>
        <stp/>
        <stp>BDP|67365123801736065</stp>
        <tr r="Q1804" s="2"/>
      </tp>
      <tp t="s">
        <v>#N/A Requesting Data...3164950734</v>
        <stp/>
        <stp>BDP|49603237746088324</stp>
        <tr r="C1316" s="2"/>
      </tp>
      <tp t="s">
        <v>#N/A Requesting Data...4239695761</v>
        <stp/>
        <stp>BDP|42756441596478555</stp>
        <tr r="M2145" s="2"/>
      </tp>
      <tp t="s">
        <v>#N/A Requesting Data...3314320354</v>
        <stp/>
        <stp>BDP|45627871648974999</stp>
        <tr r="J1697" s="2"/>
      </tp>
      <tp t="s">
        <v>#N/A Requesting Data...3048639260</v>
        <stp/>
        <stp>BDP|84710465904532523</stp>
        <tr r="R851" s="2"/>
      </tp>
      <tp t="s">
        <v>#N/A Requesting Data...2134495201</v>
        <stp/>
        <stp>BDP|61704466422705314</stp>
        <tr r="G1241" s="2"/>
      </tp>
      <tp t="s">
        <v>#N/A Requesting Data...2864989714</v>
        <stp/>
        <stp>BDP|24834476298178755</stp>
        <tr r="A1880" s="2"/>
      </tp>
      <tp t="s">
        <v>#N/A Requesting Data...2030918370</v>
        <stp/>
        <stp>BDP|41935207439817022</stp>
        <tr r="C223" s="2"/>
      </tp>
      <tp t="s">
        <v>#N/A Requesting Data...1444375907</v>
        <stp/>
        <stp>BDP|71218534071913015</stp>
        <tr r="G1195" s="2"/>
      </tp>
      <tp t="s">
        <v>#N/A Requesting Data...2757151194</v>
        <stp/>
        <stp>BDP|97776414302182497</stp>
        <tr r="H986" s="2"/>
      </tp>
      <tp t="s">
        <v>#N/A Requesting Data...1741087657</v>
        <stp/>
        <stp>BDP|48228066267538394</stp>
        <tr r="T2371" s="2"/>
      </tp>
      <tp t="b">
        <v>0</v>
        <stp/>
        <stp>BDS|42819549968996797</stp>
        <tr r="I297" s="2"/>
      </tp>
      <tp t="s">
        <v>#N/A Requesting Data...2283665132</v>
        <stp/>
        <stp>BDP|34938182432119388</stp>
        <tr r="E2290" s="2"/>
      </tp>
      <tp t="s">
        <v>#N/A Requesting Data...2795726380</v>
        <stp/>
        <stp>BDP|60084562206507077</stp>
        <tr r="T582" s="2"/>
      </tp>
      <tp t="s">
        <v>#N/A Requesting Data...1572175820</v>
        <stp/>
        <stp>BDP|66762497026059892</stp>
        <tr r="Q2215" s="2"/>
      </tp>
      <tp t="s">
        <v>#N/A Requesting Data...1652645469</v>
        <stp/>
        <stp>BDP|69866086513565037</stp>
        <tr r="R543" s="2"/>
      </tp>
      <tp t="s">
        <v>#N/A Requesting Data...2304746266</v>
        <stp/>
        <stp>BDP|71513583929149744</stp>
        <tr r="S2329" s="2"/>
      </tp>
      <tp t="s">
        <v>#N/A Requesting Data...1843692404</v>
        <stp/>
        <stp>BDP|13810145798711747</stp>
        <tr r="T2173" s="2"/>
      </tp>
      <tp t="s">
        <v>#N/A Requesting Data...1879993213</v>
        <stp/>
        <stp>BDP|84965807529553311</stp>
        <tr r="S25" s="2"/>
      </tp>
      <tp t="s">
        <v>#N/A Requesting Data...3176356738</v>
        <stp/>
        <stp>BDP|63977869509371586</stp>
        <tr r="D881" s="2"/>
      </tp>
      <tp t="s">
        <v>#N/A Requesting Data...1721830148</v>
        <stp/>
        <stp>BDP|91564756503045025</stp>
        <tr r="K2263" s="2"/>
      </tp>
      <tp t="s">
        <v>#N/A Requesting Data...4010485918</v>
        <stp/>
        <stp>BDP|93407907265172296</stp>
        <tr r="S1911" s="2"/>
      </tp>
      <tp t="s">
        <v>#N/A Requesting Data...1612068822</v>
        <stp/>
        <stp>BDP|84778439201668672</stp>
        <tr r="D2250" s="2"/>
      </tp>
      <tp t="s">
        <v>#N/A Requesting Data...2481465587</v>
        <stp/>
        <stp>BDP|64343275143245490</stp>
        <tr r="P1874" s="2"/>
      </tp>
      <tp t="s">
        <v>#N/A Requesting Data...1494709209</v>
        <stp/>
        <stp>BDP|18744106054999036</stp>
        <tr r="R803" s="2"/>
      </tp>
      <tp t="s">
        <v>#N/A Requesting Data...1743422427</v>
        <stp/>
        <stp>BDP|22829667918260411</stp>
        <tr r="E1658" s="2"/>
      </tp>
      <tp t="s">
        <v>#N/A Requesting Data...3264394438</v>
        <stp/>
        <stp>BDP|25258855285680018</stp>
        <tr r="G624" s="2"/>
      </tp>
      <tp t="s">
        <v>#N/A Requesting Data...1946851714</v>
        <stp/>
        <stp>BDP|30229279715483285</stp>
        <tr r="K2045" s="2"/>
      </tp>
      <tp t="s">
        <v>#N/A Requesting Data...2503528633</v>
        <stp/>
        <stp>BDP|34398833206739496</stp>
        <tr r="A126" s="2"/>
      </tp>
      <tp t="s">
        <v>#N/A Requesting Data...1868373266</v>
        <stp/>
        <stp>BDP|92557450207443547</stp>
        <tr r="O782" s="2"/>
      </tp>
      <tp t="s">
        <v>#N/A Requesting Data...2983747092</v>
        <stp/>
        <stp>BDP|93498428336233265</stp>
        <tr r="J428" s="2"/>
      </tp>
      <tp t="s">
        <v>#N/A Requesting Data...3066600424</v>
        <stp/>
        <stp>BDP|39457886717325950</stp>
        <tr r="H1795" s="2"/>
      </tp>
      <tp t="b">
        <v>0</v>
        <stp/>
        <stp>BDS|17973177757510871</stp>
        <tr r="I6" s="2"/>
      </tp>
      <tp t="s">
        <v>#N/A Requesting Data...3239871910</v>
        <stp/>
        <stp>BDP|10132883022283914</stp>
        <tr r="P78" s="2"/>
      </tp>
      <tp t="s">
        <v>#N/A Requesting Data...2817032500</v>
        <stp/>
        <stp>BDP|70977337598326038</stp>
        <tr r="J633" s="2"/>
      </tp>
      <tp t="s">
        <v>#N/A Requesting Data...2268106687</v>
        <stp/>
        <stp>BDP|39745723101345645</stp>
        <tr r="F1650" s="2"/>
      </tp>
      <tp t="s">
        <v>#N/A Requesting Data...4067507667</v>
        <stp/>
        <stp>BDP|33143821674234575</stp>
        <tr r="D48" s="2"/>
      </tp>
      <tp t="s">
        <v>#N/A Requesting Data...1908614738</v>
        <stp/>
        <stp>BDP|64498309183758599</stp>
        <tr r="N2030" s="2"/>
      </tp>
      <tp t="s">
        <v>#N/A Requesting Data...3188053130</v>
        <stp/>
        <stp>BDP|64395736394430642</stp>
        <tr r="H362" s="2"/>
      </tp>
      <tp t="s">
        <v>#N/A Requesting Data...2180926781</v>
        <stp/>
        <stp>BDP|79017526145363581</stp>
        <tr r="T2272" s="2"/>
      </tp>
      <tp t="s">
        <v>#N/A Requesting Data...2482293907</v>
        <stp/>
        <stp>BDP|60392732274408630</stp>
        <tr r="D921" s="2"/>
      </tp>
      <tp t="s">
        <v>#N/A Requesting Data...3032801651</v>
        <stp/>
        <stp>BDP|77785215814315028</stp>
        <tr r="H898" s="2"/>
      </tp>
      <tp t="s">
        <v>#N/A Requesting Data...2455400669</v>
        <stp/>
        <stp>BDP|64378218306456665</stp>
        <tr r="O599" s="2"/>
      </tp>
      <tp t="s">
        <v>#N/A Requesting Data...2328729715</v>
        <stp/>
        <stp>BDP|54368500878427986</stp>
        <tr r="D906" s="2"/>
      </tp>
      <tp t="s">
        <v>#N/A Requesting Data...3343383442</v>
        <stp/>
        <stp>BDP|15113059571713745</stp>
        <tr r="F2111" s="2"/>
      </tp>
      <tp t="s">
        <v>#N/A Requesting Data...1939771149</v>
        <stp/>
        <stp>BDP|58940227319209086</stp>
        <tr r="C1037" s="2"/>
      </tp>
      <tp t="s">
        <v>#N/A Requesting Data...2848848750</v>
        <stp/>
        <stp>BDP|54676550231241734</stp>
        <tr r="S1346" s="2"/>
      </tp>
      <tp t="b">
        <v>0</v>
        <stp/>
        <stp>BDS|77172426170490520</stp>
        <tr r="I1565" s="2"/>
      </tp>
      <tp t="s">
        <v>#N/A Requesting Data...2831111635</v>
        <stp/>
        <stp>BDP|20759534092518335</stp>
        <tr r="O2190" s="2"/>
      </tp>
      <tp t="s">
        <v>#N/A Requesting Data...3603320148</v>
        <stp/>
        <stp>BDP|33427610807700725</stp>
        <tr r="A832" s="2"/>
      </tp>
      <tp t="s">
        <v>#N/A Requesting Data...3198965794</v>
        <stp/>
        <stp>BDP|86571666754534239</stp>
        <tr r="C1066" s="2"/>
      </tp>
      <tp t="s">
        <v>#N/A Requesting Data...2455039519</v>
        <stp/>
        <stp>BDP|55777200861439361</stp>
        <tr r="T1285" s="2"/>
      </tp>
      <tp t="s">
        <v>#N/A Requesting Data...3894309657</v>
        <stp/>
        <stp>BDP|80035625644382303</stp>
        <tr r="E37" s="2"/>
      </tp>
      <tp t="s">
        <v>#N/A Requesting Data...2702296734</v>
        <stp/>
        <stp>BDP|75109204624020069</stp>
        <tr r="Q929" s="2"/>
      </tp>
      <tp t="s">
        <v>#N/A Requesting Data...1577104155</v>
        <stp/>
        <stp>BDP|72473375667796166</stp>
        <tr r="J1054" s="2"/>
      </tp>
      <tp t="s">
        <v>#N/A Requesting Data...3563393295</v>
        <stp/>
        <stp>BDP|22409012721442151</stp>
        <tr r="Q1719" s="2"/>
      </tp>
      <tp t="s">
        <v>#N/A Requesting Data...3448906372</v>
        <stp/>
        <stp>BDP|29591753202262789</stp>
        <tr r="F613" s="2"/>
      </tp>
      <tp t="s">
        <v>#N/A Requesting Data...3814496612</v>
        <stp/>
        <stp>BDP|81017463024147735</stp>
        <tr r="N2456" s="2"/>
      </tp>
      <tp t="s">
        <v>#N/A Requesting Data...2755511180</v>
        <stp/>
        <stp>BDP|68947657571119831</stp>
        <tr r="F595" s="2"/>
      </tp>
      <tp t="s">
        <v>#N/A Requesting Data...3196108035</v>
        <stp/>
        <stp>BDP|33724456545337293</stp>
        <tr r="S1488" s="2"/>
      </tp>
      <tp t="s">
        <v>#N/A Requesting Data...3200139572</v>
        <stp/>
        <stp>BDP|53482416566040612</stp>
        <tr r="S1096" s="2"/>
      </tp>
      <tp t="s">
        <v>#N/A Requesting Data...3000027954</v>
        <stp/>
        <stp>BDP|76871778109354318</stp>
        <tr r="K925" s="2"/>
      </tp>
      <tp t="s">
        <v>#N/A Requesting Data...4112115275</v>
        <stp/>
        <stp>BDP|60627009814303738</stp>
        <tr r="Q1384" s="2"/>
      </tp>
      <tp t="s">
        <v>#N/A Requesting Data...3604691169</v>
        <stp/>
        <stp>BDP|45992610294880995</stp>
        <tr r="J1530" s="2"/>
      </tp>
      <tp t="s">
        <v>#N/A Requesting Data...3764236613</v>
        <stp/>
        <stp>BDP|40001908304223122</stp>
        <tr r="M197" s="2"/>
      </tp>
      <tp t="s">
        <v>#N/A Requesting Data...3745463179</v>
        <stp/>
        <stp>BDP|24894400504300921</stp>
        <tr r="O1612" s="2"/>
      </tp>
      <tp t="s">
        <v>#N/A Requesting Data...3438087589</v>
        <stp/>
        <stp>BDP|32154300731594590</stp>
        <tr r="R31" s="2"/>
      </tp>
      <tp t="s">
        <v>#N/A Requesting Data...3590728860</v>
        <stp/>
        <stp>BDP|56875639739393745</stp>
        <tr r="M972" s="2"/>
      </tp>
      <tp t="s">
        <v>#N/A Requesting Data...3058595703</v>
        <stp/>
        <stp>BDP|51751720136474682</stp>
        <tr r="A1214" s="2"/>
      </tp>
      <tp t="s">
        <v>#N/A Requesting Data...4206377205</v>
        <stp/>
        <stp>BDP|55017394738140525</stp>
        <tr r="Q1750" s="2"/>
      </tp>
      <tp t="s">
        <v>#N/A Requesting Data...4023862582</v>
        <stp/>
        <stp>BDP|81735131726077652</stp>
        <tr r="G975" s="2"/>
      </tp>
      <tp t="s">
        <v>#N/A Requesting Data...2649571560</v>
        <stp/>
        <stp>BDP|64840482202898696</stp>
        <tr r="R889" s="2"/>
      </tp>
      <tp t="s">
        <v>#N/A Requesting Data...3624549095</v>
        <stp/>
        <stp>BDP|48731542204340355</stp>
        <tr r="E1568" s="2"/>
      </tp>
      <tp t="s">
        <v>#N/A Requesting Data...1812702151</v>
        <stp/>
        <stp>BDP|78117477411131339</stp>
        <tr r="K1487" s="2"/>
      </tp>
      <tp t="s">
        <v>#N/A Requesting Data...1922956521</v>
        <stp/>
        <stp>BDP|68305403694442328</stp>
        <tr r="J1194" s="2"/>
      </tp>
      <tp t="b">
        <v>0</v>
        <stp/>
        <stp>BDS|94564162884465054</stp>
        <tr r="I1212" s="2"/>
      </tp>
      <tp t="s">
        <v>#N/A Requesting Data...3792515956</v>
        <stp/>
        <stp>BDP|62419171550439774</stp>
        <tr r="R1226" s="2"/>
      </tp>
      <tp t="s">
        <v>#N/A Requesting Data...2016390089</v>
        <stp/>
        <stp>BDP|93414247676789210</stp>
        <tr r="Q123" s="2"/>
      </tp>
      <tp t="s">
        <v>#N/A Requesting Data...3752191919</v>
        <stp/>
        <stp>BDP|14688576354790172</stp>
        <tr r="R1783" s="2"/>
      </tp>
      <tp t="s">
        <v>#N/A Requesting Data...4214155476</v>
        <stp/>
        <stp>BDP|39734783949925253</stp>
        <tr r="S1188" s="2"/>
      </tp>
      <tp t="b">
        <v>0</v>
        <stp/>
        <stp>BDS|99918214549800660</stp>
        <tr r="I2139" s="2"/>
      </tp>
      <tp t="s">
        <v>#N/A Requesting Data...2190419758</v>
        <stp/>
        <stp>BDP|81798274310045460</stp>
        <tr r="P1858" s="2"/>
      </tp>
      <tp t="s">
        <v>#N/A Requesting Data...2857980744</v>
        <stp/>
        <stp>BDP|22301528001259426</stp>
        <tr r="N1810" s="2"/>
      </tp>
      <tp t="b">
        <v>0</v>
        <stp/>
        <stp>BDS|18679596239256244</stp>
        <tr r="I1417" s="2"/>
      </tp>
      <tp t="s">
        <v>#N/A Requesting Data...2739206079</v>
        <stp/>
        <stp>BDP|40374657008757901</stp>
        <tr r="M1338" s="2"/>
      </tp>
      <tp t="s">
        <v>#N/A Requesting Data...3850929478</v>
        <stp/>
        <stp>BDP|89518658572541589</stp>
        <tr r="P409" s="2"/>
      </tp>
      <tp t="s">
        <v>#N/A Requesting Data...3347085310</v>
        <stp/>
        <stp>BDP|23998241149445388</stp>
        <tr r="Q417" s="2"/>
      </tp>
      <tp t="s">
        <v>#N/A Requesting Data...1645100560</v>
        <stp/>
        <stp>BDP|77038730262527641</stp>
        <tr r="D2297" s="2"/>
      </tp>
      <tp t="s">
        <v>#N/A Requesting Data...2159987726</v>
        <stp/>
        <stp>BDP|49761960883690538</stp>
        <tr r="E1266" s="2"/>
      </tp>
      <tp t="s">
        <v>#N/A Requesting Data...4004981935</v>
        <stp/>
        <stp>BDP|19477767082355707</stp>
        <tr r="J317" s="2"/>
      </tp>
      <tp t="s">
        <v>#N/A Requesting Data...3906570651</v>
        <stp/>
        <stp>BDP|66411765244410104</stp>
        <tr r="R974" s="2"/>
      </tp>
      <tp t="s">
        <v>#N/A Requesting Data...2870569559</v>
        <stp/>
        <stp>BDP|94064300423140462</stp>
        <tr r="M358" s="2"/>
      </tp>
      <tp t="s">
        <v>#N/A Requesting Data...3139495538</v>
        <stp/>
        <stp>BDP|46141989236220803</stp>
        <tr r="S1238" s="2"/>
      </tp>
      <tp t="s">
        <v>#N/A Requesting Data...3255638424</v>
        <stp/>
        <stp>BDP|40844466171500883</stp>
        <tr r="J2012" s="2"/>
      </tp>
      <tp t="s">
        <v>#N/A Requesting Data...3233331742</v>
        <stp/>
        <stp>BDP|87782622974350656</stp>
        <tr r="A879" s="2"/>
      </tp>
      <tp t="b">
        <v>0</v>
        <stp/>
        <stp>BDS|79681346347659120</stp>
        <tr r="I1423" s="2"/>
      </tp>
      <tp t="s">
        <v>#N/A Requesting Data...3453563779</v>
        <stp/>
        <stp>BDP|47421133420306098</stp>
        <tr r="R1977" s="2"/>
      </tp>
      <tp t="s">
        <v>#N/A Requesting Data...1752971681</v>
        <stp/>
        <stp>BDP|59880750322684859</stp>
        <tr r="A1131" s="2"/>
      </tp>
    </main>
    <main first="bofaddin.rtdserver">
      <tp t="s">
        <v>#N/A Requesting Data...4273206492</v>
        <stp/>
        <stp>BDP|40629795450346933</stp>
        <tr r="H1737" s="2"/>
      </tp>
      <tp t="s">
        <v>#N/A Requesting Data...2827938549</v>
        <stp/>
        <stp>BDP|73749225600235377</stp>
        <tr r="M1629" s="2"/>
      </tp>
      <tp t="s">
        <v>#N/A Requesting Data...3984810320</v>
        <stp/>
        <stp>BDP|54491209015642720</stp>
        <tr r="E867" s="2"/>
      </tp>
      <tp t="s">
        <v>#N/A Requesting Data...2716850740</v>
        <stp/>
        <stp>BDP|12836841822520820</stp>
        <tr r="A141" s="2"/>
      </tp>
      <tp t="s">
        <v>#N/A Requesting Data...2308744466</v>
        <stp/>
        <stp>BDP|22483945963877579</stp>
        <tr r="J2485" s="2"/>
      </tp>
      <tp t="s">
        <v>#N/A Requesting Data...3694850622</v>
        <stp/>
        <stp>BDP|99735643061677464</stp>
        <tr r="Q1956" s="2"/>
      </tp>
      <tp t="s">
        <v>#N/A Requesting Data...2168888191</v>
        <stp/>
        <stp>BDP|47978594405583361</stp>
        <tr r="A2434" s="2"/>
      </tp>
      <tp t="s">
        <v>#N/A Requesting Data...1894635611</v>
        <stp/>
        <stp>BDP|90416311470204330</stp>
        <tr r="F2269" s="2"/>
      </tp>
      <tp t="s">
        <v>#N/A Requesting Data...3011896491</v>
        <stp/>
        <stp>BDP|46467930441805024</stp>
        <tr r="T864" s="2"/>
      </tp>
      <tp t="s">
        <v>#N/A Requesting Data...3699971557</v>
        <stp/>
        <stp>BDP|30884560150423862</stp>
        <tr r="K438" s="2"/>
      </tp>
      <tp t="s">
        <v>#N/A Requesting Data...3266232271</v>
        <stp/>
        <stp>BDP|77182241002176138</stp>
        <tr r="G2350" s="2"/>
      </tp>
      <tp t="s">
        <v>#N/A Requesting Data...2019324821</v>
        <stp/>
        <stp>BDP|81934998086773049</stp>
        <tr r="K1952" s="2"/>
      </tp>
      <tp t="s">
        <v>#N/A Requesting Data...3552160669</v>
        <stp/>
        <stp>BDP|74074019443053470</stp>
        <tr r="T875" s="2"/>
      </tp>
      <tp t="s">
        <v>#N/A Requesting Data...3371870030</v>
        <stp/>
        <stp>BDP|230473780019076099</stp>
        <tr r="O169" s="2"/>
      </tp>
      <tp t="s">
        <v>#N/A Requesting Data...3217886623</v>
        <stp/>
        <stp>BDP|886653311542934092</stp>
        <tr r="C229" s="2"/>
      </tp>
      <tp t="s">
        <v>#N/A Requesting Data...1920373077</v>
        <stp/>
        <stp>BDP|627470668466378163</stp>
        <tr r="S630" s="2"/>
      </tp>
      <tp t="s">
        <v>#N/A Requesting Data...4257585536</v>
        <stp/>
        <stp>BDP|591662652231887752</stp>
        <tr r="E1060" s="2"/>
      </tp>
      <tp t="b">
        <v>0</v>
        <stp/>
        <stp>BDS|357984135108540775</stp>
        <tr r="I136" s="2"/>
      </tp>
      <tp t="s">
        <v>#N/A Requesting Data...3171140249</v>
        <stp/>
        <stp>BDP|118006884798825514</stp>
        <tr r="Q2185" s="2"/>
      </tp>
      <tp t="s">
        <v>#N/A Requesting Data...2735983288</v>
        <stp/>
        <stp>BDP|165783339148829941</stp>
        <tr r="G297" s="2"/>
      </tp>
      <tp t="s">
        <v>#N/A Requesting Data...1732010375</v>
        <stp/>
        <stp>BDP|854554133767057424</stp>
        <tr r="K1099" s="2"/>
      </tp>
      <tp t="b">
        <v>0</v>
        <stp/>
        <stp>BDS|357465663375961231</stp>
        <tr r="I1405" s="2"/>
      </tp>
      <tp t="s">
        <v>#N/A Requesting Data...4144937515</v>
        <stp/>
        <stp>BDP|437527800170372089</stp>
        <tr r="J1311" s="2"/>
      </tp>
      <tp t="s">
        <v>#N/A Requesting Data...3823500680</v>
        <stp/>
        <stp>BDP|371050094628764481</stp>
        <tr r="P1465" s="2"/>
      </tp>
      <tp t="s">
        <v>#N/A Requesting Data...3279492502</v>
        <stp/>
        <stp>BDP|365898367922384938</stp>
        <tr r="F194" s="2"/>
      </tp>
      <tp t="s">
        <v>#N/A Requesting Data...3199621816</v>
        <stp/>
        <stp>BDP|666921205704555890</stp>
        <tr r="M160" s="2"/>
      </tp>
      <tp t="s">
        <v>#N/A Requesting Data...3191418082</v>
        <stp/>
        <stp>BDP|829457264760488730</stp>
        <tr r="F773" s="2"/>
      </tp>
      <tp t="s">
        <v>#N/A Requesting Data...4266408624</v>
        <stp/>
        <stp>BDP|165109433000550797</stp>
        <tr r="F427" s="2"/>
      </tp>
      <tp t="s">
        <v>#N/A Requesting Data...2772863984</v>
        <stp/>
        <stp>BDP|175074868426376534</stp>
        <tr r="J622" s="2"/>
      </tp>
      <tp t="s">
        <v>#N/A Requesting Data...2143498263</v>
        <stp/>
        <stp>BDP|928709649090698699</stp>
        <tr r="E1720" s="2"/>
      </tp>
      <tp t="s">
        <v>#N/A Requesting Data...3213002922</v>
        <stp/>
        <stp>BDP|491941748780513820</stp>
        <tr r="O1559" s="2"/>
      </tp>
      <tp t="s">
        <v>#N/A Requesting Data...3261716190</v>
        <stp/>
        <stp>BDP|764585102078622843</stp>
        <tr r="T2213" s="2"/>
      </tp>
      <tp t="s">
        <v>#N/A Requesting Data...3387074135</v>
        <stp/>
        <stp>BDP|233227370750655097</stp>
        <tr r="J1976" s="2"/>
      </tp>
      <tp t="s">
        <v>#N/A Requesting Data...1990756235</v>
        <stp/>
        <stp>BDP|619273712586999058</stp>
        <tr r="C730" s="2"/>
      </tp>
      <tp t="s">
        <v>#N/A Requesting Data...3484430548</v>
        <stp/>
        <stp>BDP|917552693479164016</stp>
        <tr r="G712" s="2"/>
      </tp>
      <tp t="s">
        <v>#N/A Requesting Data...3157871161</v>
        <stp/>
        <stp>BDP|762669769626371349</stp>
        <tr r="C1713" s="2"/>
      </tp>
      <tp t="s">
        <v>#N/A Requesting Data...4080721417</v>
        <stp/>
        <stp>BDP|972307785599393708</stp>
        <tr r="D1795" s="2"/>
      </tp>
      <tp t="s">
        <v>#N/A Requesting Data...2718885212</v>
        <stp/>
        <stp>BDP|817936711049627431</stp>
        <tr r="P931" s="2"/>
      </tp>
      <tp t="s">
        <v>#N/A Requesting Data...4100248436</v>
        <stp/>
        <stp>BDP|561721760287116391</stp>
        <tr r="E738" s="2"/>
      </tp>
      <tp t="s">
        <v>#N/A Requesting Data...2986299492</v>
        <stp/>
        <stp>BDP|647058886625399896</stp>
        <tr r="K1295" s="2"/>
      </tp>
      <tp t="s">
        <v>#N/A Requesting Data...1922970849</v>
        <stp/>
        <stp>BDP|331342048840271254</stp>
        <tr r="E2326" s="2"/>
      </tp>
      <tp t="s">
        <v>#N/A Requesting Data...2260686072</v>
        <stp/>
        <stp>BDP|329253530923645782</stp>
        <tr r="P1032" s="2"/>
      </tp>
      <tp t="s">
        <v>#N/A Requesting Data...3530903487</v>
        <stp/>
        <stp>BDP|735797767295811199</stp>
        <tr r="A2302" s="2"/>
      </tp>
      <tp t="s">
        <v>#N/A Requesting Data...2609926392</v>
        <stp/>
        <stp>BDP|832955602965197961</stp>
        <tr r="J307" s="2"/>
      </tp>
      <tp t="b">
        <v>0</v>
        <stp/>
        <stp>BDS|271617474662685684</stp>
        <tr r="I241" s="2"/>
      </tp>
      <tp t="s">
        <v>#N/A Requesting Data...4031477832</v>
        <stp/>
        <stp>BDP|774419379545474323</stp>
        <tr r="T600" s="2"/>
      </tp>
      <tp t="s">
        <v>#N/A Requesting Data...3547167139</v>
        <stp/>
        <stp>BDP|735652363411084480</stp>
        <tr r="M124" s="2"/>
      </tp>
      <tp t="s">
        <v>#N/A Requesting Data...3834515696</v>
        <stp/>
        <stp>BDP|316369148296130459</stp>
        <tr r="G2330" s="2"/>
      </tp>
      <tp t="s">
        <v>#N/A Requesting Data...3444240696</v>
        <stp/>
        <stp>BDP|522024523772583588</stp>
        <tr r="S902" s="2"/>
      </tp>
      <tp t="s">
        <v>#N/A Requesting Data...3939867582</v>
        <stp/>
        <stp>BDP|263533290830983912</stp>
        <tr r="M224" s="2"/>
      </tp>
      <tp t="s">
        <v>#N/A Requesting Data...2039842346</v>
        <stp/>
        <stp>BDP|786765726691884167</stp>
        <tr r="S1325" s="2"/>
      </tp>
      <tp t="s">
        <v>#N/A Requesting Data...3441662289</v>
        <stp/>
        <stp>BDP|759838280443908672</stp>
        <tr r="J998" s="2"/>
      </tp>
      <tp t="s">
        <v>#N/A Requesting Data...4248078194</v>
        <stp/>
        <stp>BDP|455376257796636588</stp>
        <tr r="O229" s="2"/>
      </tp>
      <tp t="s">
        <v>#N/A Requesting Data...3984452452</v>
        <stp/>
        <stp>BDP|374583819929885808</stp>
        <tr r="E2156" s="2"/>
      </tp>
      <tp t="s">
        <v>#N/A Requesting Data...4218197112</v>
        <stp/>
        <stp>BDP|342047604951910409</stp>
        <tr r="P164" s="2"/>
      </tp>
      <tp t="s">
        <v>#N/A Requesting Data...2478917786</v>
        <stp/>
        <stp>BDP|625001555264015492</stp>
        <tr r="E129" s="2"/>
      </tp>
      <tp t="s">
        <v>#N/A Requesting Data...2213981574</v>
        <stp/>
        <stp>BDP|544530412200712194</stp>
        <tr r="Q34" s="2"/>
      </tp>
      <tp t="s">
        <v>#N/A Requesting Data...2356096554</v>
        <stp/>
        <stp>BDP|602809253868886078</stp>
        <tr r="A1107" s="2"/>
      </tp>
      <tp t="s">
        <v>#N/A Requesting Data...2982174450</v>
        <stp/>
        <stp>BDP|872793969383637743</stp>
        <tr r="M1344" s="2"/>
      </tp>
      <tp t="s">
        <v>#N/A Requesting Data...1909114967</v>
        <stp/>
        <stp>BDP|579539211439932857</stp>
        <tr r="D1085" s="2"/>
      </tp>
      <tp t="s">
        <v>#N/A Requesting Data...2371803039</v>
        <stp/>
        <stp>BDP|387618213314390694</stp>
        <tr r="K2046" s="2"/>
      </tp>
      <tp t="s">
        <v>#N/A Requesting Data...2941994389</v>
        <stp/>
        <stp>BDP|568713219935285648</stp>
        <tr r="M106" s="2"/>
      </tp>
      <tp t="s">
        <v>#N/A Requesting Data...3867372525</v>
        <stp/>
        <stp>BDP|793289649382419193</stp>
        <tr r="P2289" s="2"/>
      </tp>
      <tp t="s">
        <v>#N/A Requesting Data...1856272885</v>
        <stp/>
        <stp>BDP|805620728287823614</stp>
        <tr r="A799" s="2"/>
      </tp>
      <tp t="s">
        <v>#N/A Requesting Data...1992149646</v>
        <stp/>
        <stp>BDP|911210164818549929</stp>
        <tr r="G849" s="2"/>
      </tp>
      <tp t="s">
        <v>#N/A Requesting Data...2347945897</v>
        <stp/>
        <stp>BDP|200165230363927460</stp>
        <tr r="K1348" s="2"/>
      </tp>
      <tp t="s">
        <v>#N/A Requesting Data...1846836734</v>
        <stp/>
        <stp>BDP|586818597705144197</stp>
        <tr r="T515" s="2"/>
      </tp>
      <tp t="s">
        <v>#N/A Requesting Data...4006182706</v>
        <stp/>
        <stp>BDP|993760607326573494</stp>
        <tr r="K847" s="2"/>
      </tp>
      <tp t="s">
        <v>#N/A Requesting Data...3020131679</v>
        <stp/>
        <stp>BDP|417609027285553421</stp>
        <tr r="S2212" s="2"/>
      </tp>
      <tp t="s">
        <v>#N/A Requesting Data...3490575160</v>
        <stp/>
        <stp>BDP|651198631776343192</stp>
        <tr r="T484" s="2"/>
      </tp>
      <tp t="s">
        <v>#N/A Requesting Data...3319004229</v>
        <stp/>
        <stp>BDP|669179082374558829</stp>
        <tr r="P251" s="2"/>
      </tp>
      <tp t="s">
        <v>#N/A Requesting Data...3719912445</v>
        <stp/>
        <stp>BDP|540150671480280379</stp>
        <tr r="Q2339" s="2"/>
      </tp>
      <tp t="s">
        <v>#N/A Requesting Data...2603537113</v>
        <stp/>
        <stp>BDP|872404635956137488</stp>
        <tr r="M1401" s="2"/>
      </tp>
      <tp t="s">
        <v>#N/A Requesting Data...3078145168</v>
        <stp/>
        <stp>BDP|309739156256765159</stp>
        <tr r="R1737" s="2"/>
      </tp>
      <tp t="s">
        <v>#N/A Requesting Data...2383616299</v>
        <stp/>
        <stp>BDP|452188393259236484</stp>
        <tr r="Q754" s="2"/>
      </tp>
      <tp t="b">
        <v>0</v>
        <stp/>
        <stp>BDS|646167984385093911</stp>
        <tr r="I1855" s="2"/>
      </tp>
      <tp t="b">
        <v>0</v>
        <stp/>
        <stp>BDS|671845010878442436</stp>
        <tr r="I1921" s="2"/>
      </tp>
      <tp t="s">
        <v>#N/A Requesting Data...2905958056</v>
        <stp/>
        <stp>BDP|458691944562454589</stp>
        <tr r="H956" s="2"/>
      </tp>
      <tp t="s">
        <v>#N/A Requesting Data...3097162014</v>
        <stp/>
        <stp>BDP|613531907399761908</stp>
        <tr r="S2167" s="2"/>
      </tp>
      <tp t="s">
        <v>#N/A Requesting Data...2612208401</v>
        <stp/>
        <stp>BDP|657669420494501508</stp>
        <tr r="T22" s="2"/>
      </tp>
      <tp t="s">
        <v>#N/A Requesting Data...3609879981</v>
        <stp/>
        <stp>BDP|838285152243427130</stp>
        <tr r="D1278" s="2"/>
      </tp>
      <tp t="s">
        <v>#N/A Requesting Data...2593899014</v>
        <stp/>
        <stp>BDP|193234405840390718</stp>
        <tr r="A1438" s="2"/>
      </tp>
      <tp t="s">
        <v>#N/A Requesting Data...2281041055</v>
        <stp/>
        <stp>BDP|770177467906090418</stp>
        <tr r="E2137" s="2"/>
      </tp>
      <tp t="s">
        <v>#N/A Requesting Data...3683740389</v>
        <stp/>
        <stp>BDP|602605761350792560</stp>
        <tr r="D2457" s="2"/>
      </tp>
      <tp t="s">
        <v>#N/A Requesting Data...3327717338</v>
        <stp/>
        <stp>BDP|393511245750051416</stp>
        <tr r="P364" s="2"/>
      </tp>
      <tp t="s">
        <v>#N/A Requesting Data...3661831686</v>
        <stp/>
        <stp>BDP|627358355470227320</stp>
        <tr r="P574" s="2"/>
      </tp>
      <tp t="s">
        <v>#N/A Requesting Data...3001412843</v>
        <stp/>
        <stp>BDP|397332472743793238</stp>
        <tr r="R948" s="2"/>
      </tp>
      <tp t="s">
        <v>#N/A Requesting Data...2839083511</v>
        <stp/>
        <stp>BDP|508602276815782120</stp>
        <tr r="N1871" s="2"/>
      </tp>
      <tp t="s">
        <v>#N/A Requesting Data...2234339303</v>
        <stp/>
        <stp>BDP|208383115215104283</stp>
        <tr r="S448" s="2"/>
      </tp>
      <tp t="s">
        <v>#N/A Requesting Data...4076724556</v>
        <stp/>
        <stp>BDP|378000463361025264</stp>
        <tr r="E1539" s="2"/>
      </tp>
      <tp t="s">
        <v>#N/A Requesting Data...3283088649</v>
        <stp/>
        <stp>BDP|753716502713170131</stp>
        <tr r="M1068" s="2"/>
      </tp>
      <tp t="s">
        <v>#N/A Requesting Data...3624655820</v>
        <stp/>
        <stp>BDP|498393799128301718</stp>
        <tr r="K2061" s="2"/>
      </tp>
      <tp t="s">
        <v>#N/A Requesting Data...3372646070</v>
        <stp/>
        <stp>BDP|711514002486750654</stp>
        <tr r="T574" s="2"/>
      </tp>
      <tp t="s">
        <v>#N/A Requesting Data...2179732270</v>
        <stp/>
        <stp>BDP|429506642940554458</stp>
        <tr r="M2058" s="2"/>
      </tp>
      <tp t="s">
        <v>#N/A Requesting Data...2456759422</v>
        <stp/>
        <stp>BDP|960694637082946280</stp>
        <tr r="Q1086" s="2"/>
      </tp>
      <tp t="s">
        <v>#N/A Requesting Data...3009180137</v>
        <stp/>
        <stp>BDP|255590856007831230</stp>
        <tr r="O2088" s="2"/>
      </tp>
      <tp t="s">
        <v>#N/A Requesting Data...2420012422</v>
        <stp/>
        <stp>BDP|239479865935171270</stp>
        <tr r="A1645" s="2"/>
      </tp>
      <tp t="s">
        <v>#N/A Requesting Data...3643420136</v>
        <stp/>
        <stp>BDP|608508112979200804</stp>
        <tr r="O1156" s="2"/>
      </tp>
      <tp t="s">
        <v>#N/A Requesting Data...2250735640</v>
        <stp/>
        <stp>BDP|580783672604803118</stp>
        <tr r="N601" s="2"/>
      </tp>
      <tp t="s">
        <v>#N/A Requesting Data...3335925789</v>
        <stp/>
        <stp>BDP|262241466492688310</stp>
        <tr r="D341" s="2"/>
      </tp>
      <tp t="s">
        <v>#N/A Requesting Data...2999151080</v>
        <stp/>
        <stp>BDP|641397100992077484</stp>
        <tr r="Q2346" s="2"/>
      </tp>
      <tp t="s">
        <v>#N/A Requesting Data...4199399160</v>
        <stp/>
        <stp>BDP|707429511149204911</stp>
        <tr r="H1227" s="2"/>
      </tp>
      <tp t="b">
        <v>0</v>
        <stp/>
        <stp>BDS|932734605970101290</stp>
        <tr r="I2077" s="2"/>
      </tp>
      <tp t="s">
        <v>#N/A Requesting Data...4258110595</v>
        <stp/>
        <stp>BDP|803157160324380690</stp>
        <tr r="G359" s="2"/>
      </tp>
      <tp t="b">
        <v>0</v>
        <stp/>
        <stp>BDS|628458486581404863</stp>
        <tr r="I269" s="2"/>
      </tp>
      <tp t="s">
        <v>#N/A Requesting Data...2255451937</v>
        <stp/>
        <stp>BDP|998547237400960341</stp>
        <tr r="M2211" s="2"/>
      </tp>
      <tp t="s">
        <v>#N/A Requesting Data...3998409299</v>
        <stp/>
        <stp>BDP|594321634566454305</stp>
        <tr r="T2379" s="2"/>
      </tp>
      <tp t="s">
        <v>#N/A Requesting Data...3716488792</v>
        <stp/>
        <stp>BDP|144274154333757124</stp>
        <tr r="M1319" s="2"/>
      </tp>
      <tp t="s">
        <v>#N/A Requesting Data...4138793050</v>
        <stp/>
        <stp>BDP|261695475741125585</stp>
        <tr r="E103" s="2"/>
      </tp>
      <tp t="s">
        <v>#N/A Requesting Data...2402853621</v>
        <stp/>
        <stp>BDP|482527856134662118</stp>
        <tr r="F2459" s="2"/>
      </tp>
      <tp t="s">
        <v>#N/A Requesting Data...3015281078</v>
        <stp/>
        <stp>BDP|943097056585545542</stp>
        <tr r="F1776" s="2"/>
      </tp>
      <tp t="s">
        <v>#N/A Requesting Data...3151098297</v>
        <stp/>
        <stp>BDP|152212262256217774</stp>
        <tr r="S1076" s="2"/>
      </tp>
      <tp t="s">
        <v>#N/A Requesting Data...2990318957</v>
        <stp/>
        <stp>BDP|153475593540230806</stp>
        <tr r="G1897" s="2"/>
      </tp>
      <tp t="s">
        <v>#N/A Requesting Data...2644089325</v>
        <stp/>
        <stp>BDP|147057973732575052</stp>
        <tr r="G1848" s="2"/>
      </tp>
      <tp t="s">
        <v>#N/A Requesting Data...3350129781</v>
        <stp/>
        <stp>BDP|414932504108544411</stp>
        <tr r="D1959" s="2"/>
      </tp>
      <tp t="b">
        <v>0</v>
        <stp/>
        <stp>BDS|873419409212593322</stp>
        <tr r="I898" s="2"/>
      </tp>
      <tp t="s">
        <v>#N/A Requesting Data...2185365964</v>
        <stp/>
        <stp>BDP|409157773012265108</stp>
        <tr r="N130" s="2"/>
      </tp>
      <tp t="s">
        <v>#N/A Requesting Data...1963514801</v>
        <stp/>
        <stp>BDP|326601822701726068</stp>
        <tr r="K2041" s="2"/>
      </tp>
      <tp t="s">
        <v>#N/A Requesting Data...2729825971</v>
        <stp/>
        <stp>BDP|691170023432673446</stp>
        <tr r="G1977" s="2"/>
      </tp>
      <tp t="s">
        <v>#N/A Requesting Data...3146327395</v>
        <stp/>
        <stp>BDP|260568810182019343</stp>
        <tr r="R1929" s="2"/>
      </tp>
      <tp t="s">
        <v>#N/A Requesting Data...3896026037</v>
        <stp/>
        <stp>BDP|755583502732474295</stp>
        <tr r="S529" s="2"/>
      </tp>
      <tp t="s">
        <v>#N/A Requesting Data...4028636305</v>
        <stp/>
        <stp>BDP|448702114543973094</stp>
        <tr r="O1290" s="2"/>
      </tp>
      <tp t="s">
        <v>#N/A Requesting Data...3521939642</v>
        <stp/>
        <stp>BDP|116132871392412170</stp>
        <tr r="F1512" s="2"/>
      </tp>
      <tp t="s">
        <v>#N/A Requesting Data...2432592068</v>
        <stp/>
        <stp>BDP|974438933923149187</stp>
        <tr r="F2333" s="2"/>
      </tp>
      <tp t="s">
        <v>#N/A Requesting Data...2970673608</v>
        <stp/>
        <stp>BDP|412242350634551648</stp>
        <tr r="Q1974" s="2"/>
      </tp>
      <tp t="s">
        <v>#N/A Requesting Data...2799231247</v>
        <stp/>
        <stp>BDP|810607835041811148</stp>
        <tr r="N1106" s="2"/>
      </tp>
      <tp t="s">
        <v>#N/A Requesting Data...4162619740</v>
        <stp/>
        <stp>BDP|124667244653050429</stp>
        <tr r="D1539" s="2"/>
      </tp>
      <tp t="s">
        <v>#N/A Requesting Data...3279218262</v>
        <stp/>
        <stp>BDP|714637964687042213</stp>
        <tr r="P441" s="2"/>
      </tp>
      <tp t="s">
        <v>#N/A Requesting Data...3749979780</v>
        <stp/>
        <stp>BDP|179367458716887554</stp>
        <tr r="H302" s="2"/>
      </tp>
      <tp t="s">
        <v>#N/A Requesting Data...3870990482</v>
        <stp/>
        <stp>BDP|257391808817445153</stp>
        <tr r="R1425" s="2"/>
      </tp>
      <tp t="s">
        <v>#N/A Requesting Data...3979272148</v>
        <stp/>
        <stp>BDP|659314550472140148</stp>
        <tr r="Q1768" s="2"/>
      </tp>
      <tp t="s">
        <v>#N/A Requesting Data...4175611852</v>
        <stp/>
        <stp>BDP|912277291126515889</stp>
        <tr r="M2372" s="2"/>
      </tp>
      <tp t="s">
        <v>#N/A Requesting Data...2063630901</v>
        <stp/>
        <stp>BDP|840102145116783683</stp>
        <tr r="Q1724" s="2"/>
      </tp>
      <tp t="b">
        <v>0</v>
        <stp/>
        <stp>BDS|695685663074662198</stp>
        <tr r="I621" s="2"/>
      </tp>
      <tp t="s">
        <v>#N/A Requesting Data...2728231815</v>
        <stp/>
        <stp>BDP|642246810271773774</stp>
        <tr r="E205" s="2"/>
      </tp>
      <tp t="s">
        <v>#N/A Requesting Data...3236949164</v>
        <stp/>
        <stp>BDP|722130427017789169</stp>
        <tr r="G1787" s="2"/>
      </tp>
      <tp t="b">
        <v>0</v>
        <stp/>
        <stp>BDS|654442008060823105</stp>
        <tr r="I1091" s="2"/>
      </tp>
      <tp t="s">
        <v>#N/A Requesting Data...3608698304</v>
        <stp/>
        <stp>BDP|672318554151390221</stp>
        <tr r="H1023" s="2"/>
      </tp>
      <tp t="s">
        <v>#N/A Requesting Data...4121385010</v>
        <stp/>
        <stp>BDP|967299516923269567</stp>
        <tr r="F970" s="2"/>
      </tp>
      <tp t="s">
        <v>#N/A Requesting Data...2999163424</v>
        <stp/>
        <stp>BDP|697318309597503193</stp>
        <tr r="P204" s="2"/>
      </tp>
      <tp t="s">
        <v>#N/A Requesting Data...2679957518</v>
        <stp/>
        <stp>BDP|704140914667272275</stp>
        <tr r="F1915" s="2"/>
      </tp>
      <tp t="s">
        <v>#N/A Requesting Data...3828221278</v>
        <stp/>
        <stp>BDP|615003821461227671</stp>
        <tr r="H2435" s="2"/>
      </tp>
      <tp t="s">
        <v>#N/A Requesting Data...2374005292</v>
        <stp/>
        <stp>BDP|116395098628136734</stp>
        <tr r="A2401" s="2"/>
      </tp>
      <tp t="s">
        <v>#N/A Requesting Data...4036967572</v>
        <stp/>
        <stp>BDP|953084595049707514</stp>
        <tr r="P215" s="2"/>
      </tp>
      <tp t="s">
        <v>#N/A Requesting Data...2901109621</v>
        <stp/>
        <stp>BDP|303260255997136520</stp>
        <tr r="J884" s="2"/>
      </tp>
      <tp t="s">
        <v>#N/A Requesting Data...4191430633</v>
        <stp/>
        <stp>BDP|385850597221216501</stp>
        <tr r="O2404" s="2"/>
      </tp>
      <tp t="s">
        <v>#N/A Requesting Data...3523465644</v>
        <stp/>
        <stp>BDP|929627254235454389</stp>
        <tr r="S898" s="2"/>
      </tp>
      <tp t="s">
        <v>#N/A Requesting Data...4114481895</v>
        <stp/>
        <stp>BDP|588513342644745021</stp>
        <tr r="E2145" s="2"/>
      </tp>
      <tp t="s">
        <v>#N/A Requesting Data...2316201730</v>
        <stp/>
        <stp>BDP|238503255480138554</stp>
        <tr r="H982" s="2"/>
      </tp>
      <tp t="s">
        <v>#N/A Requesting Data...4274243537</v>
        <stp/>
        <stp>BDP|782414828757437498</stp>
        <tr r="E1503" s="2"/>
      </tp>
      <tp t="s">
        <v>#N/A Requesting Data...2987509783</v>
        <stp/>
        <stp>BDP|513262500116760172</stp>
        <tr r="J81" s="2"/>
      </tp>
      <tp t="s">
        <v>#N/A Requesting Data...2948774937</v>
        <stp/>
        <stp>BDP|727101635735291239</stp>
        <tr r="P2137" s="2"/>
      </tp>
      <tp t="s">
        <v>#N/A Requesting Data...3400782213</v>
        <stp/>
        <stp>BDP|907221103597399089</stp>
        <tr r="A2440" s="2"/>
      </tp>
      <tp t="s">
        <v>#N/A Requesting Data...2782356898</v>
        <stp/>
        <stp>BDP|608403843041179471</stp>
        <tr r="K2437" s="2"/>
      </tp>
      <tp t="s">
        <v>#N/A Requesting Data...4149328334</v>
        <stp/>
        <stp>BDP|396983306909664580</stp>
        <tr r="M549" s="2"/>
      </tp>
      <tp t="s">
        <v>#N/A Requesting Data...2847798861</v>
        <stp/>
        <stp>BDP|986634653655258273</stp>
        <tr r="F2373" s="2"/>
      </tp>
      <tp t="s">
        <v>#N/A Requesting Data...2790120859</v>
        <stp/>
        <stp>BDP|610009514535999078</stp>
        <tr r="T1277" s="2"/>
      </tp>
      <tp t="s">
        <v>#N/A Requesting Data...3534822985</v>
        <stp/>
        <stp>BDP|897501260133597413</stp>
        <tr r="K733" s="2"/>
      </tp>
      <tp t="s">
        <v>#N/A Requesting Data...2821206785</v>
        <stp/>
        <stp>BDP|318790837110924081</stp>
        <tr r="T1458" s="2"/>
      </tp>
      <tp t="s">
        <v>#N/A Requesting Data...2792733914</v>
        <stp/>
        <stp>BDP|485041777541857239</stp>
        <tr r="Q2316" s="2"/>
      </tp>
      <tp t="s">
        <v>#N/A Requesting Data...2183950842</v>
        <stp/>
        <stp>BDP|597480841123394730</stp>
        <tr r="K1111" s="2"/>
      </tp>
      <tp t="s">
        <v>#N/A Requesting Data...2775730204</v>
        <stp/>
        <stp>BDP|723619307875530787</stp>
        <tr r="G1103" s="2"/>
      </tp>
      <tp t="s">
        <v>#N/A Requesting Data...2786919907</v>
        <stp/>
        <stp>BDP|754600285072682889</stp>
        <tr r="S201" s="2"/>
      </tp>
      <tp t="s">
        <v>#N/A Requesting Data...3565465040</v>
        <stp/>
        <stp>BDP|921368403892913596</stp>
        <tr r="Q2169" s="2"/>
      </tp>
      <tp t="s">
        <v>#N/A Requesting Data...4016239661</v>
        <stp/>
        <stp>BDP|609640659752707519</stp>
        <tr r="M606" s="2"/>
      </tp>
      <tp t="s">
        <v>#N/A Requesting Data...2436567441</v>
        <stp/>
        <stp>BDP|110609544762131492</stp>
        <tr r="H371" s="2"/>
      </tp>
      <tp t="s">
        <v>#N/A Requesting Data...2793471452</v>
        <stp/>
        <stp>BDP|935146947796689715</stp>
        <tr r="E1341" s="2"/>
      </tp>
      <tp t="s">
        <v>#N/A Requesting Data...3774392424</v>
        <stp/>
        <stp>BDP|645189137560643623</stp>
        <tr r="D1003" s="2"/>
      </tp>
      <tp t="s">
        <v>#N/A Requesting Data...3890971506</v>
        <stp/>
        <stp>BDP|214225750556448598</stp>
        <tr r="F212" s="2"/>
      </tp>
      <tp t="s">
        <v>#N/A Requesting Data...2296449946</v>
        <stp/>
        <stp>BDP|959378383928653763</stp>
        <tr r="H276" s="2"/>
      </tp>
      <tp t="s">
        <v>#N/A Requesting Data...3961594997</v>
        <stp/>
        <stp>BDP|544921923698173787</stp>
        <tr r="R30" s="2"/>
      </tp>
      <tp t="s">
        <v>#N/A Requesting Data...2296760723</v>
        <stp/>
        <stp>BDP|673664236233925220</stp>
        <tr r="H1968" s="2"/>
      </tp>
      <tp t="s">
        <v>#N/A Requesting Data...3024183265</v>
        <stp/>
        <stp>BDP|450951019885493910</stp>
        <tr r="T1920" s="2"/>
      </tp>
      <tp t="s">
        <v>#N/A Requesting Data...3326974759</v>
        <stp/>
        <stp>BDP|136382771790489020</stp>
        <tr r="H2125" s="2"/>
      </tp>
      <tp t="s">
        <v>#N/A Requesting Data...2493782523</v>
        <stp/>
        <stp>BDP|330428923797434580</stp>
        <tr r="Q1494" s="2"/>
      </tp>
      <tp t="s">
        <v>#N/A Requesting Data...3914966084</v>
        <stp/>
        <stp>BDP|960348371266388617</stp>
        <tr r="O1294" s="2"/>
      </tp>
      <tp t="s">
        <v>#N/A Requesting Data...3819922142</v>
        <stp/>
        <stp>BDP|341571979021477773</stp>
        <tr r="R1719" s="2"/>
      </tp>
      <tp t="s">
        <v>#N/A Requesting Data...4262162687</v>
        <stp/>
        <stp>BDP|164606267425868104</stp>
        <tr r="Q1252" s="2"/>
      </tp>
      <tp t="s">
        <v>#N/A Requesting Data...2853368202</v>
        <stp/>
        <stp>BDP|993604622515697537</stp>
        <tr r="D1327" s="2"/>
      </tp>
      <tp t="s">
        <v>#N/A Requesting Data...2900212773</v>
        <stp/>
        <stp>BDP|686690272984072131</stp>
        <tr r="D2298" s="2"/>
      </tp>
      <tp t="s">
        <v>#N/A Requesting Data...4031178843</v>
        <stp/>
        <stp>BDP|464273671228943957</stp>
        <tr r="H1164" s="2"/>
      </tp>
      <tp t="s">
        <v>#N/A Requesting Data...2489951790</v>
        <stp/>
        <stp>BDP|968711644195004222</stp>
        <tr r="P2082" s="2"/>
      </tp>
      <tp t="s">
        <v>#N/A Requesting Data...3014837458</v>
        <stp/>
        <stp>BDP|483523554396589294</stp>
        <tr r="D1122" s="2"/>
      </tp>
      <tp t="b">
        <v>0</v>
        <stp/>
        <stp>BDS|839902690875114163</stp>
        <tr r="I1786" s="2"/>
      </tp>
      <tp t="s">
        <v>#N/A Requesting Data...3106550550</v>
        <stp/>
        <stp>BDP|237594340917541215</stp>
        <tr r="N1945" s="2"/>
      </tp>
      <tp t="b">
        <v>0</v>
        <stp/>
        <stp>BDS|835654042300082603</stp>
        <tr r="I2278" s="2"/>
      </tp>
      <tp t="s">
        <v>#N/A Requesting Data...3891649158</v>
        <stp/>
        <stp>BDP|356875662112882815</stp>
        <tr r="F2022" s="2"/>
      </tp>
      <tp t="s">
        <v>#N/A Requesting Data...3198014728</v>
        <stp/>
        <stp>BDP|793407410668176993</stp>
        <tr r="O1719" s="2"/>
      </tp>
      <tp t="s">
        <v>#N/A Requesting Data...3992921549</v>
        <stp/>
        <stp>BDP|867732417634363609</stp>
        <tr r="G230" s="2"/>
      </tp>
      <tp t="s">
        <v>#N/A Requesting Data...2408625208</v>
        <stp/>
        <stp>BDP|318234095246948931</stp>
        <tr r="T356" s="2"/>
      </tp>
      <tp t="b">
        <v>0</v>
        <stp/>
        <stp>BDS|650725052767056192</stp>
        <tr r="I1335" s="2"/>
      </tp>
      <tp t="s">
        <v>#N/A Requesting Data...2644418795</v>
        <stp/>
        <stp>BDP|845217663975281575</stp>
        <tr r="T1412" s="2"/>
      </tp>
      <tp t="s">
        <v>#N/A Requesting Data...4003630588</v>
        <stp/>
        <stp>BDP|524514518523378300</stp>
        <tr r="J1588" s="2"/>
      </tp>
      <tp t="s">
        <v>#N/A Requesting Data...3310416496</v>
        <stp/>
        <stp>BDP|879253378576952731</stp>
        <tr r="M78" s="2"/>
      </tp>
      <tp t="s">
        <v>#N/A Requesting Data...2669367163</v>
        <stp/>
        <stp>BDP|235466846946841222</stp>
        <tr r="N843" s="2"/>
      </tp>
      <tp t="s">
        <v>#N/A Requesting Data...3358021592</v>
        <stp/>
        <stp>BDP|736613154190926739</stp>
        <tr r="C2068" s="2"/>
      </tp>
      <tp t="s">
        <v>#N/A Requesting Data...2757851875</v>
        <stp/>
        <stp>BDP|483501224405971610</stp>
        <tr r="E1745" s="2"/>
      </tp>
      <tp t="b">
        <v>0</v>
        <stp/>
        <stp>BDS|259569558274503010</stp>
        <tr r="I2087" s="2"/>
      </tp>
      <tp t="s">
        <v>#N/A Requesting Data...2554000036</v>
        <stp/>
        <stp>BDP|388189122200998784</stp>
        <tr r="R64" s="2"/>
      </tp>
      <tp t="s">
        <v>#N/A Requesting Data...2762922999</v>
        <stp/>
        <stp>BDP|725525088688089157</stp>
        <tr r="O612" s="2"/>
      </tp>
      <tp t="s">
        <v>#N/A Requesting Data...2622748379</v>
        <stp/>
        <stp>BDP|602206186176095881</stp>
        <tr r="K1639" s="2"/>
      </tp>
      <tp t="s">
        <v>#N/A Requesting Data...2716062169</v>
        <stp/>
        <stp>BDP|314639449422020413</stp>
        <tr r="O900" s="2"/>
      </tp>
      <tp t="s">
        <v>#N/A Requesting Data...2724102985</v>
        <stp/>
        <stp>BDP|499853609144617869</stp>
        <tr r="G1755" s="2"/>
      </tp>
      <tp t="s">
        <v>#N/A Requesting Data...2510851336</v>
        <stp/>
        <stp>BDP|384276576101388096</stp>
        <tr r="K657" s="2"/>
      </tp>
      <tp t="s">
        <v>#N/A Requesting Data...4128091056</v>
        <stp/>
        <stp>BDP|540200099119244660</stp>
        <tr r="P1010" s="2"/>
      </tp>
      <tp t="s">
        <v>#N/A Requesting Data...3155809589</v>
        <stp/>
        <stp>BDP|324841762559452396</stp>
        <tr r="P1027" s="2"/>
      </tp>
      <tp t="s">
        <v>#N/A Requesting Data...4044549998</v>
        <stp/>
        <stp>BDP|505728736090875005</stp>
        <tr r="K1786" s="2"/>
      </tp>
      <tp t="s">
        <v>#N/A Requesting Data...3251260231</v>
        <stp/>
        <stp>BDP|485598839683987145</stp>
        <tr r="J1051" s="2"/>
      </tp>
      <tp t="s">
        <v>#N/A Requesting Data...2627115348</v>
        <stp/>
        <stp>BDP|372541515934816437</stp>
        <tr r="A1465" s="2"/>
      </tp>
      <tp t="s">
        <v>#N/A Requesting Data...3012584336</v>
        <stp/>
        <stp>BDP|357665238288661928</stp>
        <tr r="O211" s="2"/>
      </tp>
      <tp t="s">
        <v>#N/A Requesting Data...2951529195</v>
        <stp/>
        <stp>BDP|790467443635296193</stp>
        <tr r="D762" s="2"/>
      </tp>
      <tp t="s">
        <v>#N/A Requesting Data...3687492134</v>
        <stp/>
        <stp>BDP|996546383061444839</stp>
        <tr r="D2301" s="2"/>
      </tp>
      <tp t="s">
        <v>#N/A Requesting Data...4174350462</v>
        <stp/>
        <stp>BDP|943028858971324094</stp>
        <tr r="P1369" s="2"/>
      </tp>
      <tp t="s">
        <v>#N/A Requesting Data...2696945202</v>
        <stp/>
        <stp>BDP|789417041675983172</stp>
        <tr r="R2116" s="2"/>
      </tp>
      <tp t="s">
        <v>#N/A Requesting Data...3275289264</v>
        <stp/>
        <stp>BDP|602464919882955399</stp>
        <tr r="G1875" s="2"/>
      </tp>
      <tp t="s">
        <v>#N/A Requesting Data...2807350738</v>
        <stp/>
        <stp>BDP|420302588167178847</stp>
        <tr r="F1262" s="2"/>
      </tp>
      <tp t="s">
        <v>#N/A Requesting Data...3611378827</v>
        <stp/>
        <stp>BDP|378610727739857942</stp>
        <tr r="E644" s="2"/>
      </tp>
      <tp t="s">
        <v>#N/A Requesting Data...3982217657</v>
        <stp/>
        <stp>BDP|418573629344148721</stp>
        <tr r="A257" s="2"/>
      </tp>
      <tp t="s">
        <v>#N/A Requesting Data...2947023889</v>
        <stp/>
        <stp>BDP|583752858477429158</stp>
        <tr r="F1395" s="2"/>
      </tp>
      <tp t="s">
        <v>#N/A Requesting Data...3983767958</v>
        <stp/>
        <stp>BDP|539708275242349696</stp>
        <tr r="A2158" s="2"/>
      </tp>
      <tp t="s">
        <v>#N/A Requesting Data...3394180323</v>
        <stp/>
        <stp>BDP|976166814646495256</stp>
        <tr r="A1727" s="2"/>
      </tp>
      <tp t="s">
        <v>#N/A Requesting Data...4069235408</v>
        <stp/>
        <stp>BDP|811717770392191625</stp>
        <tr r="C337" s="2"/>
      </tp>
      <tp t="s">
        <v>#N/A Requesting Data...4266693897</v>
        <stp/>
        <stp>BDP|338659048203519510</stp>
        <tr r="N153" s="2"/>
      </tp>
      <tp t="s">
        <v>#N/A Requesting Data...3710348827</v>
        <stp/>
        <stp>BDP|808343585248690757</stp>
        <tr r="D1092" s="2"/>
      </tp>
      <tp t="s">
        <v>#N/A Requesting Data...3560921210</v>
        <stp/>
        <stp>BDP|705235570166917779</stp>
        <tr r="O2331" s="2"/>
      </tp>
      <tp t="s">
        <v>#N/A Requesting Data...3075969406</v>
        <stp/>
        <stp>BDP|372551200672894345</stp>
        <tr r="M2370" s="2"/>
      </tp>
      <tp t="s">
        <v>#N/A Requesting Data...3820727643</v>
        <stp/>
        <stp>BDP|741158219431516544</stp>
        <tr r="A277" s="2"/>
      </tp>
      <tp t="b">
        <v>0</v>
        <stp/>
        <stp>BDS|292053019695369079</stp>
        <tr r="I835" s="2"/>
      </tp>
      <tp t="s">
        <v>#N/A Requesting Data...3003115726</v>
        <stp/>
        <stp>BDP|715324108183559421</stp>
        <tr r="N652" s="2"/>
      </tp>
      <tp t="s">
        <v>#N/A Requesting Data...3173504652</v>
        <stp/>
        <stp>BDP|160982272612130807</stp>
        <tr r="T2003" s="2"/>
      </tp>
      <tp t="s">
        <v>#N/A Requesting Data...2775351121</v>
        <stp/>
        <stp>BDP|146014013936893316</stp>
        <tr r="G695" s="2"/>
      </tp>
      <tp t="s">
        <v>#N/A Requesting Data...2973814574</v>
        <stp/>
        <stp>BDP|199295569186984620</stp>
        <tr r="E2207" s="2"/>
      </tp>
      <tp t="s">
        <v>#N/A Requesting Data...3375986386</v>
        <stp/>
        <stp>BDP|688815870178917357</stp>
        <tr r="A994" s="2"/>
      </tp>
      <tp t="s">
        <v>#N/A Requesting Data...3857497610</v>
        <stp/>
        <stp>BDP|897033223621247717</stp>
        <tr r="O2211" s="2"/>
      </tp>
      <tp t="s">
        <v>#N/A Requesting Data...3136283483</v>
        <stp/>
        <stp>BDP|734188515682778667</stp>
        <tr r="R2048" s="2"/>
      </tp>
      <tp t="s">
        <v>#N/A Requesting Data...3696775186</v>
        <stp/>
        <stp>BDP|436523319884085441</stp>
        <tr r="R2112" s="2"/>
      </tp>
      <tp t="s">
        <v>#N/A Requesting Data...3316089263</v>
        <stp/>
        <stp>BDP|316061676653064087</stp>
        <tr r="R1326" s="2"/>
      </tp>
      <tp t="s">
        <v>#N/A Requesting Data...2880266282</v>
        <stp/>
        <stp>BDP|443273040615186763</stp>
        <tr r="T1311" s="2"/>
      </tp>
      <tp t="s">
        <v>#N/A Requesting Data...3945143367</v>
        <stp/>
        <stp>BDP|118116006585602049</stp>
        <tr r="P2266" s="2"/>
      </tp>
      <tp t="s">
        <v>#N/A Requesting Data...4062104048</v>
        <stp/>
        <stp>BDP|731638233813353209</stp>
        <tr r="N1558" s="2"/>
      </tp>
      <tp t="s">
        <v>#N/A Requesting Data...3977840569</v>
        <stp/>
        <stp>BDP|141753539948982804</stp>
        <tr r="C2186" s="2"/>
      </tp>
      <tp t="s">
        <v>#N/A Requesting Data...3021681507</v>
        <stp/>
        <stp>BDP|853224499886689913</stp>
        <tr r="K1699" s="2"/>
      </tp>
      <tp t="s">
        <v>#N/A Requesting Data...2478555410</v>
        <stp/>
        <stp>BDP|500865893504274164</stp>
        <tr r="F2259" s="2"/>
      </tp>
      <tp t="s">
        <v>#N/A Requesting Data...2510942701</v>
        <stp/>
        <stp>BDP|165767984452456930</stp>
        <tr r="F864" s="2"/>
      </tp>
      <tp t="s">
        <v>#N/A Requesting Data...2626609719</v>
        <stp/>
        <stp>BDP|524045865467973592</stp>
        <tr r="K807" s="2"/>
      </tp>
      <tp t="s">
        <v>#N/A Requesting Data...3009238697</v>
        <stp/>
        <stp>BDP|190223867070684064</stp>
        <tr r="Q2259" s="2"/>
      </tp>
      <tp t="b">
        <v>0</v>
        <stp/>
        <stp>BDS|799158005840341515</stp>
        <tr r="I224" s="2"/>
      </tp>
      <tp t="b">
        <v>0</v>
        <stp/>
        <stp>BDS|610651273372456719</stp>
        <tr r="I108" s="2"/>
      </tp>
      <tp t="s">
        <v>#N/A Requesting Data...3952607247</v>
        <stp/>
        <stp>BDP|902487846023382713</stp>
        <tr r="D2204" s="2"/>
      </tp>
      <tp t="s">
        <v>#N/A Requesting Data...3587747725</v>
        <stp/>
        <stp>BDP|119339700907780005</stp>
        <tr r="C1671" s="2"/>
      </tp>
      <tp t="s">
        <v>#N/A Requesting Data...3474671119</v>
        <stp/>
        <stp>BDP|497859953108538120</stp>
        <tr r="A1194" s="2"/>
      </tp>
      <tp t="s">
        <v>#N/A Requesting Data...3004256542</v>
        <stp/>
        <stp>BDP|915024179680685318</stp>
        <tr r="K129" s="2"/>
      </tp>
      <tp t="s">
        <v>#N/A Requesting Data...4272200289</v>
        <stp/>
        <stp>BDP|417250814066264127</stp>
        <tr r="T878" s="2"/>
      </tp>
      <tp t="s">
        <v>#N/A Requesting Data...2627897973</v>
        <stp/>
        <stp>BDP|140747625772503305</stp>
        <tr r="P1224" s="2"/>
      </tp>
      <tp t="s">
        <v>#N/A Requesting Data...4050220868</v>
        <stp/>
        <stp>BDP|852000925320950614</stp>
        <tr r="E2408" s="2"/>
      </tp>
      <tp t="s">
        <v>#N/A Requesting Data...3962960614</v>
        <stp/>
        <stp>BDP|838444314913516288</stp>
        <tr r="A1284" s="2"/>
      </tp>
      <tp t="s">
        <v>#N/A Requesting Data...3085629680</v>
        <stp/>
        <stp>BDP|642412873574270330</stp>
        <tr r="R1335" s="2"/>
      </tp>
      <tp t="s">
        <v>#N/A Requesting Data...3206956550</v>
        <stp/>
        <stp>BDP|238563605046106754</stp>
        <tr r="Q1797" s="2"/>
      </tp>
      <tp t="s">
        <v>#N/A Requesting Data...3655083492</v>
        <stp/>
        <stp>BDP|611787465910933578</stp>
        <tr r="F1999" s="2"/>
      </tp>
      <tp t="s">
        <v>#N/A Requesting Data...2445503664</v>
        <stp/>
        <stp>BDP|328164212283456764</stp>
        <tr r="K13" s="2"/>
      </tp>
      <tp t="s">
        <v>#N/A Requesting Data...2930523784</v>
        <stp/>
        <stp>BDP|988715221627934662</stp>
        <tr r="N1111" s="2"/>
      </tp>
      <tp t="s">
        <v>#N/A Requesting Data...2941242634</v>
        <stp/>
        <stp>BDP|780104785144117954</stp>
        <tr r="E562" s="2"/>
      </tp>
      <tp t="s">
        <v>#N/A Requesting Data...3101337678</v>
        <stp/>
        <stp>BDP|637620218415902638</stp>
        <tr r="T679" s="2"/>
      </tp>
      <tp t="s">
        <v>#N/A Requesting Data...3450242741</v>
        <stp/>
        <stp>BDP|405602637763619236</stp>
        <tr r="K1779" s="2"/>
      </tp>
      <tp t="s">
        <v>#N/A Requesting Data...2968653314</v>
        <stp/>
        <stp>BDP|165456647657304364</stp>
        <tr r="T1745" s="2"/>
      </tp>
      <tp t="s">
        <v>#N/A Requesting Data...3214863940</v>
        <stp/>
        <stp>BDP|348192710207455384</stp>
        <tr r="T761" s="2"/>
      </tp>
      <tp t="s">
        <v>#N/A Requesting Data...3349673337</v>
        <stp/>
        <stp>BDP|458836749998968006</stp>
        <tr r="T1323" s="2"/>
      </tp>
      <tp t="s">
        <v>#N/A Requesting Data...3890174124</v>
        <stp/>
        <stp>BDP|310015604180684476</stp>
        <tr r="R216" s="2"/>
      </tp>
      <tp t="s">
        <v>#N/A Requesting Data...3443903585</v>
        <stp/>
        <stp>BDP|578156339564681287</stp>
        <tr r="Q892" s="2"/>
      </tp>
      <tp t="s">
        <v>#N/A Requesting Data...3238438213</v>
        <stp/>
        <stp>BDP|312459320761716366</stp>
        <tr r="H703" s="2"/>
      </tp>
      <tp t="s">
        <v>#N/A Requesting Data...2914064477</v>
        <stp/>
        <stp>BDP|395314443001476223</stp>
        <tr r="A2017" s="2"/>
      </tp>
      <tp t="s">
        <v>#N/A Requesting Data...3398832402</v>
        <stp/>
        <stp>BDP|607616013296234519</stp>
        <tr r="E525" s="2"/>
      </tp>
      <tp t="s">
        <v>#N/A Requesting Data...4140840483</v>
        <stp/>
        <stp>BDP|226094121966564086</stp>
        <tr r="P197" s="2"/>
      </tp>
      <tp t="s">
        <v>#N/A Requesting Data...4018307033</v>
        <stp/>
        <stp>BDP|334877095497349257</stp>
        <tr r="N38" s="2"/>
      </tp>
      <tp t="s">
        <v>#N/A Requesting Data...3019179232</v>
        <stp/>
        <stp>BDP|413415794641229841</stp>
        <tr r="G665" s="2"/>
      </tp>
      <tp t="s">
        <v>#N/A Requesting Data...2694735804</v>
        <stp/>
        <stp>BDP|777037132797392055</stp>
        <tr r="J1875" s="2"/>
      </tp>
      <tp t="s">
        <v>#N/A Requesting Data...3423165297</v>
        <stp/>
        <stp>BDP|622404514249292806</stp>
        <tr r="N753" s="2"/>
      </tp>
      <tp t="s">
        <v>#N/A Requesting Data...3052094954</v>
        <stp/>
        <stp>BDP|284908427449380667</stp>
        <tr r="O848" s="2"/>
      </tp>
      <tp t="s">
        <v>#N/A Requesting Data...3149258505</v>
        <stp/>
        <stp>BDP|229971565522777979</stp>
        <tr r="S397" s="2"/>
      </tp>
      <tp t="s">
        <v>#N/A Requesting Data...3194973991</v>
        <stp/>
        <stp>BDP|598785473490730493</stp>
        <tr r="K1273" s="2"/>
      </tp>
      <tp t="s">
        <v>#N/A Requesting Data...2500185601</v>
        <stp/>
        <stp>BDP|137091139040959789</stp>
        <tr r="J898" s="2"/>
      </tp>
      <tp t="s">
        <v>#N/A Requesting Data...2762497763</v>
        <stp/>
        <stp>BDP|518625782468083254</stp>
        <tr r="S1667" s="2"/>
      </tp>
      <tp t="s">
        <v>#N/A Requesting Data...3868005173</v>
        <stp/>
        <stp>BDP|237776724352738368</stp>
        <tr r="D1446" s="2"/>
      </tp>
      <tp t="s">
        <v>#N/A Requesting Data...4076769133</v>
        <stp/>
        <stp>BDP|364075974225544656</stp>
        <tr r="S134" s="2"/>
      </tp>
      <tp t="s">
        <v>#N/A Requesting Data...2722324569</v>
        <stp/>
        <stp>BDP|956219939975560042</stp>
        <tr r="G1093" s="2"/>
      </tp>
      <tp t="s">
        <v>#N/A Requesting Data...2912572457</v>
        <stp/>
        <stp>BDP|136960404095067831</stp>
        <tr r="M421" s="2"/>
      </tp>
      <tp t="s">
        <v>#N/A Requesting Data...3857005332</v>
        <stp/>
        <stp>BDP|916088399069933403</stp>
        <tr r="T1332" s="2"/>
      </tp>
      <tp t="s">
        <v>#N/A Requesting Data...3373452988</v>
        <stp/>
        <stp>BDP|475075444274660409</stp>
        <tr r="P1476" s="2"/>
      </tp>
      <tp t="s">
        <v>#N/A Requesting Data...3625999014</v>
        <stp/>
        <stp>BDP|427652400106996495</stp>
        <tr r="E2188" s="2"/>
      </tp>
      <tp t="s">
        <v>#N/A Requesting Data...2748695277</v>
        <stp/>
        <stp>BDP|991698805087702533</stp>
        <tr r="G346" s="2"/>
      </tp>
      <tp t="s">
        <v>#N/A Requesting Data...2577885293</v>
        <stp/>
        <stp>BDP|423249401344013209</stp>
        <tr r="K1931" s="2"/>
      </tp>
      <tp t="s">
        <v>#N/A Requesting Data...4020372463</v>
        <stp/>
        <stp>BDP|386734151506491040</stp>
        <tr r="A66" s="2"/>
      </tp>
      <tp t="s">
        <v>#N/A Requesting Data...3101132363</v>
        <stp/>
        <stp>BDP|401164431450594678</stp>
        <tr r="K1143" s="2"/>
      </tp>
      <tp t="s">
        <v>#N/A Requesting Data...2749118326</v>
        <stp/>
        <stp>BDP|343912627386316972</stp>
        <tr r="M202" s="2"/>
      </tp>
      <tp t="s">
        <v>#N/A Requesting Data...3880479807</v>
        <stp/>
        <stp>BDP|893012039896417154</stp>
        <tr r="F727" s="2"/>
      </tp>
      <tp t="s">
        <v>#N/A Requesting Data...2647011277</v>
        <stp/>
        <stp>BDP|647567931827180515</stp>
        <tr r="J799" s="2"/>
      </tp>
      <tp t="s">
        <v>#N/A Requesting Data...4289860801</v>
        <stp/>
        <stp>BDP|532782573794890079</stp>
        <tr r="P712" s="2"/>
      </tp>
      <tp t="s">
        <v>#N/A Requesting Data...2865986222</v>
        <stp/>
        <stp>BDP|548500843470136564</stp>
        <tr r="T744" s="2"/>
      </tp>
      <tp t="s">
        <v>#N/A Requesting Data...2733055093</v>
        <stp/>
        <stp>BDP|677733076966473251</stp>
        <tr r="T171" s="2"/>
      </tp>
      <tp t="s">
        <v>#N/A Requesting Data...3264844396</v>
        <stp/>
        <stp>BDP|871874162213892970</stp>
        <tr r="P2320" s="2"/>
      </tp>
      <tp t="s">
        <v>#N/A Requesting Data...3404049961</v>
        <stp/>
        <stp>BDP|987480526114313661</stp>
        <tr r="P1422" s="2"/>
      </tp>
      <tp t="s">
        <v>#N/A Requesting Data...3223223182</v>
        <stp/>
        <stp>BDP|951644016160862319</stp>
        <tr r="K573" s="2"/>
      </tp>
      <tp t="s">
        <v>#N/A Requesting Data...3358293845</v>
        <stp/>
        <stp>BDP|313003544990105047</stp>
        <tr r="G2202" s="2"/>
      </tp>
      <tp t="s">
        <v>#N/A Requesting Data...3538367399</v>
        <stp/>
        <stp>BDP|544098148555105575</stp>
        <tr r="R899" s="2"/>
      </tp>
      <tp t="b">
        <v>0</v>
        <stp/>
        <stp>BDS|756260867512454208</stp>
        <tr r="I829" s="2"/>
      </tp>
      <tp t="s">
        <v>#N/A Requesting Data...4230341042</v>
        <stp/>
        <stp>BDP|731604670681223470</stp>
        <tr r="P1543" s="2"/>
      </tp>
      <tp t="s">
        <v>#N/A Requesting Data...3389214876</v>
        <stp/>
        <stp>BDP|345070614574644144</stp>
        <tr r="P1544" s="2"/>
      </tp>
      <tp t="s">
        <v>#N/A Requesting Data...3627145632</v>
        <stp/>
        <stp>BDP|116379645666663579</stp>
        <tr r="R300" s="2"/>
      </tp>
      <tp t="s">
        <v>#N/A Requesting Data...2559686871</v>
        <stp/>
        <stp>BDP|882299422330354421</stp>
        <tr r="K1936" s="2"/>
      </tp>
      <tp t="s">
        <v>#N/A Requesting Data...3922569755</v>
        <stp/>
        <stp>BDP|887379013453840566</stp>
        <tr r="M477" s="2"/>
      </tp>
      <tp t="s">
        <v>#N/A Requesting Data...2768817975</v>
        <stp/>
        <stp>BDP|115539714106519600</stp>
        <tr r="N512" s="2"/>
      </tp>
      <tp t="s">
        <v>#N/A Requesting Data...3313544473</v>
        <stp/>
        <stp>BDP|229108542806697753</stp>
        <tr r="E602" s="2"/>
      </tp>
      <tp t="s">
        <v>#N/A Requesting Data...3138129462</v>
        <stp/>
        <stp>BDP|778127105883734646</stp>
        <tr r="J1411" s="2"/>
      </tp>
      <tp t="s">
        <v>#N/A Requesting Data...2884156556</v>
        <stp/>
        <stp>BDP|215005463941163336</stp>
        <tr r="O313" s="2"/>
      </tp>
      <tp t="s">
        <v>#N/A Requesting Data...3028059314</v>
        <stp/>
        <stp>BDP|382752436306697650</stp>
        <tr r="D331" s="2"/>
      </tp>
      <tp t="b">
        <v>0</v>
        <stp/>
        <stp>BDS|615396608034152352</stp>
        <tr r="I1361" s="2"/>
      </tp>
      <tp t="s">
        <v>#N/A Requesting Data...2813173750</v>
        <stp/>
        <stp>BDP|354682728831472148</stp>
        <tr r="S852" s="2"/>
      </tp>
      <tp t="s">
        <v>#N/A Requesting Data...3619433754</v>
        <stp/>
        <stp>BDP|382414715048696925</stp>
        <tr r="A1468" s="2"/>
      </tp>
      <tp t="s">
        <v>#N/A Requesting Data...4243982511</v>
        <stp/>
        <stp>BDP|653881517045365892</stp>
        <tr r="Q1423" s="2"/>
      </tp>
      <tp t="s">
        <v>#N/A Requesting Data...2996180841</v>
        <stp/>
        <stp>BDP|272755354314724275</stp>
        <tr r="F2501" s="2"/>
      </tp>
      <tp t="s">
        <v>#N/A Requesting Data...4241640038</v>
        <stp/>
        <stp>BDP|705324545803304009</stp>
        <tr r="F2098" s="2"/>
      </tp>
      <tp t="s">
        <v>#N/A Requesting Data...2563331085</v>
        <stp/>
        <stp>BDP|331690188888972176</stp>
        <tr r="M2427" s="2"/>
      </tp>
      <tp t="s">
        <v>#N/A Requesting Data...3085201148</v>
        <stp/>
        <stp>BDP|362181292488611739</stp>
        <tr r="J434" s="2"/>
      </tp>
      <tp t="s">
        <v>#N/A Requesting Data...3986066879</v>
        <stp/>
        <stp>BDP|933134670418203948</stp>
        <tr r="G2406" s="2"/>
      </tp>
      <tp t="b">
        <v>0</v>
        <stp/>
        <stp>BDS|452459108145238677</stp>
        <tr r="I2476" s="2"/>
      </tp>
      <tp t="s">
        <v>#N/A Requesting Data...3580402617</v>
        <stp/>
        <stp>BDP|177720020751786386</stp>
        <tr r="S2232" s="2"/>
      </tp>
      <tp t="s">
        <v>#N/A Requesting Data...3019083675</v>
        <stp/>
        <stp>BDP|956798739606116548</stp>
        <tr r="K1868" s="2"/>
      </tp>
      <tp t="b">
        <v>0</v>
        <stp/>
        <stp>BDS|984928163008405006</stp>
        <tr r="I663" s="2"/>
      </tp>
      <tp t="b">
        <v>0</v>
        <stp/>
        <stp>BDS|647798418824330580</stp>
        <tr r="I965" s="2"/>
      </tp>
      <tp t="s">
        <v>#N/A Requesting Data...3047638272</v>
        <stp/>
        <stp>BDP|377464151777844118</stp>
        <tr r="J2289" s="2"/>
      </tp>
      <tp t="s">
        <v>#N/A Requesting Data...4282651999</v>
        <stp/>
        <stp>BDP|932429274780368415</stp>
        <tr r="R839" s="2"/>
      </tp>
      <tp t="s">
        <v>#N/A Requesting Data...3526437815</v>
        <stp/>
        <stp>BDP|826390038214175359</stp>
        <tr r="K2386" s="2"/>
      </tp>
      <tp t="s">
        <v>#N/A Requesting Data...3652528718</v>
        <stp/>
        <stp>BDP|802219734150866680</stp>
        <tr r="R1753" s="2"/>
      </tp>
      <tp t="s">
        <v>#N/A Requesting Data...3016702098</v>
        <stp/>
        <stp>BDP|684327708705458152</stp>
        <tr r="F25" s="2"/>
      </tp>
      <tp t="s">
        <v>#N/A Requesting Data...3598960756</v>
        <stp/>
        <stp>BDP|925334378082866172</stp>
        <tr r="S1852" s="2"/>
      </tp>
      <tp t="s">
        <v>#N/A Requesting Data...3624681913</v>
        <stp/>
        <stp>BDP|545380126377600105</stp>
        <tr r="K2428" s="2"/>
      </tp>
      <tp t="s">
        <v>#N/A Requesting Data...2708068676</v>
        <stp/>
        <stp>BDP|635010720313983638</stp>
        <tr r="R1736" s="2"/>
      </tp>
      <tp t="s">
        <v>#N/A Requesting Data...3062604113</v>
        <stp/>
        <stp>BDP|478184191979799674</stp>
        <tr r="J2478" s="2"/>
      </tp>
      <tp t="s">
        <v>#N/A Requesting Data...3369027355</v>
        <stp/>
        <stp>BDP|663426123980850128</stp>
        <tr r="H1510" s="2"/>
      </tp>
      <tp t="s">
        <v>#N/A Requesting Data...3572802644</v>
        <stp/>
        <stp>BDP|783745063293728594</stp>
        <tr r="O1046" s="2"/>
      </tp>
      <tp t="s">
        <v>#N/A Requesting Data...3195727410</v>
        <stp/>
        <stp>BDP|563344045695299582</stp>
        <tr r="H2509" s="2"/>
      </tp>
      <tp t="s">
        <v>#N/A Requesting Data...2662869090</v>
        <stp/>
        <stp>BDP|421199673160671160</stp>
        <tr r="O1698" s="2"/>
      </tp>
      <tp t="s">
        <v>#N/A Requesting Data...3958229705</v>
        <stp/>
        <stp>BDP|223770269624210206</stp>
        <tr r="T241" s="2"/>
      </tp>
      <tp t="s">
        <v>#N/A Requesting Data...2677590618</v>
        <stp/>
        <stp>BDP|427305141319352982</stp>
        <tr r="K1906" s="2"/>
      </tp>
      <tp t="s">
        <v>#N/A Requesting Data...2794538949</v>
        <stp/>
        <stp>BDP|499425619827676572</stp>
        <tr r="M1682" s="2"/>
      </tp>
      <tp t="s">
        <v>#N/A Requesting Data...3477663139</v>
        <stp/>
        <stp>BDP|669151419326138150</stp>
        <tr r="D996" s="2"/>
      </tp>
      <tp t="s">
        <v>#N/A Requesting Data...3685844530</v>
        <stp/>
        <stp>BDP|750911219457219835</stp>
        <tr r="P2036" s="2"/>
      </tp>
      <tp t="s">
        <v>#N/A Requesting Data...2879863062</v>
        <stp/>
        <stp>BDP|527463516614203692</stp>
        <tr r="C2060" s="2"/>
      </tp>
      <tp t="s">
        <v>#N/A Requesting Data...2847908157</v>
        <stp/>
        <stp>BDP|772440923207968676</stp>
        <tr r="T573" s="2"/>
      </tp>
      <tp t="s">
        <v>#N/A Requesting Data...2673189293</v>
        <stp/>
        <stp>BDP|732241268847560416</stp>
        <tr r="K1130" s="2"/>
      </tp>
      <tp t="s">
        <v>#N/A Requesting Data...3460337677</v>
        <stp/>
        <stp>BDP|270709219217455602</stp>
        <tr r="H1341" s="2"/>
      </tp>
      <tp t="s">
        <v>#N/A Requesting Data...3692554383</v>
        <stp/>
        <stp>BDP|433892335088320441</stp>
        <tr r="K144" s="2"/>
      </tp>
      <tp t="s">
        <v>#N/A Requesting Data...3914083024</v>
        <stp/>
        <stp>BDP|129455909384514776</stp>
        <tr r="G2287" s="2"/>
      </tp>
      <tp t="s">
        <v>#N/A Requesting Data...4142523968</v>
        <stp/>
        <stp>BDP|109130618201191648</stp>
        <tr r="A1676" s="2"/>
      </tp>
      <tp t="s">
        <v>#N/A Requesting Data...3242939187</v>
        <stp/>
        <stp>BDP|436009105475882261</stp>
        <tr r="P1066" s="2"/>
      </tp>
      <tp t="s">
        <v>#N/A Requesting Data...3544987143</v>
        <stp/>
        <stp>BDP|885963894366595105</stp>
        <tr r="T414" s="2"/>
      </tp>
      <tp t="s">
        <v>#N/A Requesting Data...3205169478</v>
        <stp/>
        <stp>BDP|960951093936023108</stp>
        <tr r="C606" s="2"/>
      </tp>
      <tp t="s">
        <v>#N/A Requesting Data...2930751821</v>
        <stp/>
        <stp>BDP|949859081676642134</stp>
        <tr r="D1883" s="2"/>
      </tp>
      <tp t="s">
        <v>#N/A Requesting Data...2862428113</v>
        <stp/>
        <stp>BDP|884323523372156406</stp>
        <tr r="J1016" s="2"/>
      </tp>
      <tp t="s">
        <v>#N/A Requesting Data...3073833873</v>
        <stp/>
        <stp>BDP|703613368155022268</stp>
        <tr r="D1742" s="2"/>
      </tp>
      <tp t="s">
        <v>#N/A Requesting Data...3916888211</v>
        <stp/>
        <stp>BDP|592606478780585609</stp>
        <tr r="J1210" s="2"/>
      </tp>
      <tp t="s">
        <v>#N/A Requesting Data...2867995047</v>
        <stp/>
        <stp>BDP|443256808954118103</stp>
        <tr r="Q532" s="2"/>
      </tp>
      <tp t="s">
        <v>#N/A Requesting Data...2699053712</v>
        <stp/>
        <stp>BDP|625939098857336069</stp>
        <tr r="K62" s="2"/>
      </tp>
      <tp t="s">
        <v>#N/A Requesting Data...2957041139</v>
        <stp/>
        <stp>BDP|695936407179369797</stp>
        <tr r="J2055" s="2"/>
      </tp>
      <tp t="s">
        <v>#N/A Requesting Data...2969409804</v>
        <stp/>
        <stp>BDP|202423019842121005</stp>
        <tr r="O687" s="2"/>
      </tp>
      <tp t="s">
        <v>#N/A Requesting Data...4287469256</v>
        <stp/>
        <stp>BDP|886208120454678362</stp>
        <tr r="C58" s="2"/>
      </tp>
      <tp t="s">
        <v>#N/A Requesting Data...3676000867</v>
        <stp/>
        <stp>BDP|870791584690983849</stp>
        <tr r="K2308" s="2"/>
      </tp>
      <tp t="s">
        <v>#N/A Requesting Data...4154546032</v>
        <stp/>
        <stp>BDP|115377995015346885</stp>
        <tr r="C2480" s="2"/>
      </tp>
      <tp t="b">
        <v>0</v>
        <stp/>
        <stp>BDS|706196293259406613</stp>
        <tr r="I1865" s="2"/>
      </tp>
      <tp t="s">
        <v>#N/A Requesting Data...3362046368</v>
        <stp/>
        <stp>BDP|674063923392282798</stp>
        <tr r="C1116" s="2"/>
      </tp>
      <tp t="b">
        <v>0</v>
        <stp/>
        <stp>BDS|962136355260106366</stp>
        <tr r="I2375" s="2"/>
      </tp>
      <tp t="s">
        <v>#N/A Requesting Data...4038622434</v>
        <stp/>
        <stp>BDP|406805198472777432</stp>
        <tr r="K560" s="2"/>
      </tp>
      <tp t="s">
        <v>#N/A Requesting Data...3995121351</v>
        <stp/>
        <stp>BDP|778548837543893247</stp>
        <tr r="J1685" s="2"/>
      </tp>
      <tp t="s">
        <v>#N/A Requesting Data...3319246994</v>
        <stp/>
        <stp>BDP|532774622062999004</stp>
        <tr r="A2424" s="2"/>
      </tp>
      <tp t="s">
        <v>#N/A Requesting Data...4141513158</v>
        <stp/>
        <stp>BDP|923708053081695458</stp>
        <tr r="F1022" s="2"/>
      </tp>
      <tp t="s">
        <v>#N/A Requesting Data...2819854720</v>
        <stp/>
        <stp>BDP|658252728642661541</stp>
        <tr r="F1861" s="2"/>
      </tp>
      <tp t="s">
        <v>#N/A Requesting Data...3292609384</v>
        <stp/>
        <stp>BDP|188946490887934053</stp>
        <tr r="D1882" s="2"/>
      </tp>
      <tp t="s">
        <v>#N/A Requesting Data...3400082141</v>
        <stp/>
        <stp>BDP|361221272483912136</stp>
        <tr r="A1708" s="2"/>
      </tp>
      <tp t="s">
        <v>#N/A Requesting Data...4048064133</v>
        <stp/>
        <stp>BDP|922373909325887150</stp>
        <tr r="O1198" s="2"/>
      </tp>
      <tp t="s">
        <v>#N/A Requesting Data...4019203279</v>
        <stp/>
        <stp>BDP|382678244902965732</stp>
        <tr r="R1773" s="2"/>
      </tp>
      <tp t="s">
        <v>#N/A Requesting Data...4057430199</v>
        <stp/>
        <stp>BDP|814439881449493246</stp>
        <tr r="S2518" s="2"/>
      </tp>
      <tp t="s">
        <v>#N/A Requesting Data...3529754420</v>
        <stp/>
        <stp>BDP|988193648284787652</stp>
        <tr r="M1891" s="2"/>
      </tp>
      <tp t="s">
        <v>#N/A Requesting Data...3308815287</v>
        <stp/>
        <stp>BDP|265345078301268262</stp>
        <tr r="S2409" s="2"/>
      </tp>
      <tp t="s">
        <v>#N/A Requesting Data...2716798041</v>
        <stp/>
        <stp>BDP|144665508574356565</stp>
        <tr r="D2373" s="2"/>
      </tp>
      <tp t="s">
        <v>#N/A Requesting Data...3199018172</v>
        <stp/>
        <stp>BDP|320196446955375742</stp>
        <tr r="Q1241" s="2"/>
      </tp>
      <tp t="s">
        <v>#N/A Requesting Data...3643498553</v>
        <stp/>
        <stp>BDP|148367607581998521</stp>
        <tr r="D2440" s="2"/>
      </tp>
      <tp t="s">
        <v>#N/A Requesting Data...3640922644</v>
        <stp/>
        <stp>BDP|767210856106334688</stp>
        <tr r="E2002" s="2"/>
      </tp>
      <tp t="s">
        <v>#N/A Requesting Data...3011996468</v>
        <stp/>
        <stp>BDP|942681724913915071</stp>
        <tr r="N1459" s="2"/>
      </tp>
      <tp t="s">
        <v>#N/A Requesting Data...3765758197</v>
        <stp/>
        <stp>BDP|626497921659547805</stp>
        <tr r="P132" s="2"/>
      </tp>
      <tp t="s">
        <v>#N/A Requesting Data...3453795307</v>
        <stp/>
        <stp>BDP|779976676031521881</stp>
        <tr r="T1245" s="2"/>
      </tp>
      <tp t="s">
        <v>#N/A Requesting Data...3115558160</v>
        <stp/>
        <stp>BDP|961938622078481475</stp>
        <tr r="K1042" s="2"/>
      </tp>
      <tp t="s">
        <v>#N/A Requesting Data...3450745840</v>
        <stp/>
        <stp>BDP|247789995818124157</stp>
        <tr r="E24" s="2"/>
      </tp>
      <tp t="s">
        <v>#N/A Requesting Data...3383392356</v>
        <stp/>
        <stp>BDP|921163967060753043</stp>
        <tr r="C1392" s="2"/>
      </tp>
      <tp t="s">
        <v>#N/A Requesting Data...4109009549</v>
        <stp/>
        <stp>BDP|158764521295382711</stp>
        <tr r="F944" s="2"/>
      </tp>
      <tp t="s">
        <v>#N/A Requesting Data...4066557562</v>
        <stp/>
        <stp>BDP|443010479893127396</stp>
        <tr r="O803" s="2"/>
      </tp>
      <tp t="s">
        <v>#N/A Requesting Data...4219858873</v>
        <stp/>
        <stp>BDP|583827401367077823</stp>
        <tr r="K88" s="2"/>
      </tp>
      <tp t="s">
        <v>#N/A Requesting Data...2823493423</v>
        <stp/>
        <stp>BDP|345045714061217759</stp>
        <tr r="M1473" s="2"/>
      </tp>
      <tp t="s">
        <v>#N/A Requesting Data...3020141563</v>
        <stp/>
        <stp>BDP|371359148149376991</stp>
        <tr r="F1929" s="2"/>
      </tp>
      <tp t="s">
        <v>#N/A Requesting Data...3265339258</v>
        <stp/>
        <stp>BDP|357903867248490043</stp>
        <tr r="P818" s="2"/>
      </tp>
      <tp t="s">
        <v>#N/A Requesting Data...2884817585</v>
        <stp/>
        <stp>BDP|720744325896437463</stp>
        <tr r="R545" s="2"/>
      </tp>
      <tp t="s">
        <v>#N/A Requesting Data...2839034447</v>
        <stp/>
        <stp>BDP|449237146112195344</stp>
        <tr r="H1971" s="2"/>
      </tp>
      <tp t="s">
        <v>#N/A Requesting Data...3388666250</v>
        <stp/>
        <stp>BDP|691064240152434103</stp>
        <tr r="E488" s="2"/>
      </tp>
      <tp t="s">
        <v>#N/A Requesting Data...4051201992</v>
        <stp/>
        <stp>BDP|513581508045858798</stp>
        <tr r="T1124" s="2"/>
      </tp>
      <tp t="s">
        <v>#N/A Requesting Data...3858379872</v>
        <stp/>
        <stp>BDP|905541027921959170</stp>
        <tr r="F421" s="2"/>
      </tp>
      <tp t="s">
        <v>#N/A Requesting Data...3615131921</v>
        <stp/>
        <stp>BDP|327530466413779753</stp>
        <tr r="J606" s="2"/>
      </tp>
      <tp t="s">
        <v>#N/A Requesting Data...2953234280</v>
        <stp/>
        <stp>BDP|512595790092142990</stp>
        <tr r="F2434" s="2"/>
      </tp>
      <tp t="s">
        <v>#N/A Requesting Data...3590044105</v>
        <stp/>
        <stp>BDP|578035646811444208</stp>
        <tr r="A1066" s="2"/>
      </tp>
      <tp t="s">
        <v>#N/A Requesting Data...3662216659</v>
        <stp/>
        <stp>BDP|568154407110501665</stp>
        <tr r="T2241" s="2"/>
      </tp>
      <tp t="s">
        <v>#N/A Requesting Data...3282809853</v>
        <stp/>
        <stp>BDP|663238615817762335</stp>
        <tr r="N1208" s="2"/>
      </tp>
      <tp t="s">
        <v>#N/A Requesting Data...4124073203</v>
        <stp/>
        <stp>BDP|117606109995863453</stp>
        <tr r="G2475" s="2"/>
      </tp>
      <tp t="s">
        <v>#N/A Requesting Data...3856747254</v>
        <stp/>
        <stp>BDP|585714871172028504</stp>
        <tr r="K2161" s="2"/>
      </tp>
      <tp t="s">
        <v>#N/A Requesting Data...3677904791</v>
        <stp/>
        <stp>BDP|588771405718438865</stp>
        <tr r="T1326" s="2"/>
      </tp>
      <tp t="s">
        <v>#N/A Requesting Data...4240245774</v>
        <stp/>
        <stp>BDP|513213765750314376</stp>
        <tr r="R1022" s="2"/>
      </tp>
      <tp t="s">
        <v>#N/A Requesting Data...3017771001</v>
        <stp/>
        <stp>BDP|503440408366825540</stp>
        <tr r="O150" s="2"/>
      </tp>
      <tp t="s">
        <v>#N/A Requesting Data...3846783611</v>
        <stp/>
        <stp>BDP|200920155712010901</stp>
        <tr r="R550" s="2"/>
      </tp>
      <tp t="s">
        <v>#N/A Requesting Data...4180804660</v>
        <stp/>
        <stp>BDP|383100645270308230</stp>
        <tr r="G2509" s="2"/>
      </tp>
      <tp t="s">
        <v>#N/A Requesting Data...2952623921</v>
        <stp/>
        <stp>BDP|953965814547581887</stp>
        <tr r="O54" s="2"/>
      </tp>
      <tp t="s">
        <v>#N/A Requesting Data...2995158412</v>
        <stp/>
        <stp>BDP|133774807102701208</stp>
        <tr r="M321" s="2"/>
      </tp>
      <tp t="s">
        <v>#N/A Requesting Data...3093952303</v>
        <stp/>
        <stp>BDP|306455049202114589</stp>
        <tr r="G582" s="2"/>
      </tp>
      <tp t="s">
        <v>#N/A Requesting Data...3602936909</v>
        <stp/>
        <stp>BDP|339050859930917204</stp>
        <tr r="F732" s="2"/>
      </tp>
      <tp t="s">
        <v>#N/A Requesting Data...4011871130</v>
        <stp/>
        <stp>BDP|281661914485665508</stp>
        <tr r="F2354" s="2"/>
      </tp>
      <tp t="s">
        <v>#N/A Requesting Data...3723842609</v>
        <stp/>
        <stp>BDP|114844476339736125</stp>
        <tr r="G1041" s="2"/>
      </tp>
      <tp t="s">
        <v>#N/A Requesting Data...3894781903</v>
        <stp/>
        <stp>BDP|563640654522020637</stp>
        <tr r="M1379" s="2"/>
      </tp>
      <tp t="b">
        <v>0</v>
        <stp/>
        <stp>BDS|616979712346187946</stp>
        <tr r="I2239" s="2"/>
      </tp>
      <tp t="s">
        <v>#N/A Requesting Data...3805792518</v>
        <stp/>
        <stp>BDP|942529687913274999</stp>
        <tr r="N1412" s="2"/>
      </tp>
      <tp t="s">
        <v>#N/A Requesting Data...4189255507</v>
        <stp/>
        <stp>BDP|905965036848739596</stp>
        <tr r="A92" s="2"/>
      </tp>
      <tp t="s">
        <v>#N/A Requesting Data...4233540315</v>
        <stp/>
        <stp>BDP|220967981742598472</stp>
        <tr r="S546" s="2"/>
      </tp>
      <tp t="s">
        <v>#N/A Requesting Data...2926806434</v>
        <stp/>
        <stp>BDP|719546236875402460</stp>
        <tr r="F1632" s="2"/>
      </tp>
      <tp t="s">
        <v>#N/A Requesting Data...3371966899</v>
        <stp/>
        <stp>BDP|998187740610183272</stp>
        <tr r="P870" s="2"/>
      </tp>
      <tp t="s">
        <v>#N/A Requesting Data...4167749944</v>
        <stp/>
        <stp>BDP|302771033316436541</stp>
        <tr r="P2123" s="2"/>
      </tp>
      <tp t="s">
        <v>#N/A Requesting Data...3636591873</v>
        <stp/>
        <stp>BDP|540931285696534011</stp>
        <tr r="A250" s="2"/>
      </tp>
      <tp t="s">
        <v>#N/A Requesting Data...3120130406</v>
        <stp/>
        <stp>BDP|557561412501320252</stp>
        <tr r="F218" s="2"/>
      </tp>
      <tp t="s">
        <v>#N/A Requesting Data...3684717013</v>
        <stp/>
        <stp>BDP|974673991300002881</stp>
        <tr r="R1950" s="2"/>
      </tp>
      <tp t="s">
        <v>#N/A Requesting Data...3735642218</v>
        <stp/>
        <stp>BDP|444866630635570979</stp>
        <tr r="E2308" s="2"/>
      </tp>
      <tp t="s">
        <v>#N/A Requesting Data...4259005161</v>
        <stp/>
        <stp>BDP|840535255856723191</stp>
        <tr r="G2189" s="2"/>
      </tp>
      <tp t="s">
        <v>#N/A Requesting Data...4166086862</v>
        <stp/>
        <stp>BDP|536593378131098440</stp>
        <tr r="E749" s="2"/>
      </tp>
      <tp t="s">
        <v>#N/A Requesting Data...3369568382</v>
        <stp/>
        <stp>BDP|359759619295984468</stp>
        <tr r="H2008" s="2"/>
      </tp>
      <tp t="s">
        <v>#N/A Requesting Data...3347046051</v>
        <stp/>
        <stp>BDP|578470136247128759</stp>
        <tr r="F1797" s="2"/>
      </tp>
      <tp t="b">
        <v>0</v>
        <stp/>
        <stp>BDS|719597933311897052</stp>
        <tr r="I639" s="2"/>
      </tp>
      <tp t="s">
        <v>#N/A Requesting Data...3520091149</v>
        <stp/>
        <stp>BDP|563591925350998002</stp>
        <tr r="J184" s="2"/>
      </tp>
      <tp t="s">
        <v>#N/A Requesting Data...4234973031</v>
        <stp/>
        <stp>BDP|198009842535154623</stp>
        <tr r="S465" s="2"/>
      </tp>
      <tp t="s">
        <v>#N/A Requesting Data...3192593298</v>
        <stp/>
        <stp>BDP|698016224562487772</stp>
        <tr r="E1712" s="2"/>
      </tp>
      <tp t="s">
        <v>#N/A Requesting Data...3626967837</v>
        <stp/>
        <stp>BDP|803477919774527632</stp>
        <tr r="J1520" s="2"/>
      </tp>
      <tp t="s">
        <v>#N/A Requesting Data...3702554647</v>
        <stp/>
        <stp>BDP|372137360962197210</stp>
        <tr r="M2113" s="2"/>
      </tp>
      <tp t="s">
        <v>#N/A Requesting Data...3274941116</v>
        <stp/>
        <stp>BDP|275996168350069833</stp>
        <tr r="A1798" s="2"/>
      </tp>
      <tp t="s">
        <v>#N/A Requesting Data...3824358002</v>
        <stp/>
        <stp>BDP|956754134792850107</stp>
        <tr r="G1184" s="2"/>
      </tp>
      <tp t="s">
        <v>#N/A Requesting Data...3165335150</v>
        <stp/>
        <stp>BDP|277966330378767531</stp>
        <tr r="G970" s="2"/>
      </tp>
      <tp t="s">
        <v>#N/A Requesting Data...3777417132</v>
        <stp/>
        <stp>BDP|297140100227540127</stp>
        <tr r="E2080" s="2"/>
      </tp>
      <tp t="s">
        <v>#N/A Requesting Data...4063282341</v>
        <stp/>
        <stp>BDP|344471922985652411</stp>
        <tr r="G2114" s="2"/>
      </tp>
      <tp t="b">
        <v>0</v>
        <stp/>
        <stp>BDS|771079464668587908</stp>
        <tr r="I451" s="2"/>
      </tp>
      <tp t="s">
        <v>#N/A Requesting Data...3339041495</v>
        <stp/>
        <stp>BDP|809350471830450393</stp>
        <tr r="T699" s="2"/>
      </tp>
      <tp t="s">
        <v>#N/A Requesting Data...3791257496</v>
        <stp/>
        <stp>BDP|381701530634166737</stp>
        <tr r="F1203" s="2"/>
      </tp>
      <tp t="s">
        <v>#N/A Requesting Data...3154752318</v>
        <stp/>
        <stp>BDP|398435168717912206</stp>
        <tr r="E1613" s="2"/>
      </tp>
      <tp t="s">
        <v>#N/A Requesting Data...3583291722</v>
        <stp/>
        <stp>BDP|389623335632209071</stp>
        <tr r="P6" s="2"/>
      </tp>
      <tp t="s">
        <v>#N/A Requesting Data...4053731736</v>
        <stp/>
        <stp>BDP|170131761424093427</stp>
        <tr r="P611" s="2"/>
      </tp>
      <tp t="s">
        <v>#N/A Requesting Data...4014209352</v>
        <stp/>
        <stp>BDP|419217849238921944</stp>
        <tr r="M1185" s="2"/>
      </tp>
      <tp t="s">
        <v>#N/A Requesting Data...3902150804</v>
        <stp/>
        <stp>BDP|997359260270916241</stp>
        <tr r="D2335" s="2"/>
      </tp>
      <tp t="s">
        <v>#N/A Requesting Data...3080901410</v>
        <stp/>
        <stp>BDP|723426881092235975</stp>
        <tr r="D553" s="2"/>
      </tp>
      <tp t="s">
        <v>#N/A Requesting Data...3431290022</v>
        <stp/>
        <stp>BDP|524276311033745751</stp>
        <tr r="E717" s="2"/>
      </tp>
      <tp t="s">
        <v>#N/A Requesting Data...4024246926</v>
        <stp/>
        <stp>BDP|695753052776139319</stp>
        <tr r="P1900" s="2"/>
      </tp>
      <tp t="s">
        <v>#N/A Requesting Data...3546558629</v>
        <stp/>
        <stp>BDP|273804820398133524</stp>
        <tr r="J1344" s="2"/>
      </tp>
      <tp t="s">
        <v>#N/A Requesting Data...4173274647</v>
        <stp/>
        <stp>BDP|127044294056109828</stp>
        <tr r="C545" s="2"/>
      </tp>
      <tp t="s">
        <v>#N/A Requesting Data...2902697133</v>
        <stp/>
        <stp>BDP|750250560037631468</stp>
        <tr r="G69" s="2"/>
      </tp>
      <tp t="s">
        <v>#N/A Requesting Data...3949861577</v>
        <stp/>
        <stp>BDP|690787524101897309</stp>
        <tr r="E1215" s="2"/>
      </tp>
      <tp t="s">
        <v>#N/A Requesting Data...3881089058</v>
        <stp/>
        <stp>BDP|178756553947715225</stp>
        <tr r="P178" s="2"/>
      </tp>
      <tp t="s">
        <v>#N/A Requesting Data...3234741520</v>
        <stp/>
        <stp>BDP|957290970334329618</stp>
        <tr r="D1538" s="2"/>
      </tp>
      <tp t="s">
        <v>#N/A Requesting Data...3986624076</v>
        <stp/>
        <stp>BDP|128476520978655925</stp>
        <tr r="C397" s="2"/>
      </tp>
      <tp t="b">
        <v>0</v>
        <stp/>
        <stp>BDS|703561147126092044</stp>
        <tr r="I1884" s="2"/>
      </tp>
      <tp t="s">
        <v>#N/A Requesting Data...4194401428</v>
        <stp/>
        <stp>BDP|644964673849360023</stp>
        <tr r="D712" s="2"/>
      </tp>
      <tp t="b">
        <v>0</v>
        <stp/>
        <stp>BDS|425229870351028349</stp>
        <tr r="I995" s="2"/>
      </tp>
      <tp t="b">
        <v>0</v>
        <stp/>
        <stp>BDS|886754958892761701</stp>
        <tr r="I1322" s="2"/>
      </tp>
      <tp t="s">
        <v>#N/A Requesting Data...4093197641</v>
        <stp/>
        <stp>BDP|473203725747221011</stp>
        <tr r="T1835" s="2"/>
      </tp>
      <tp t="s">
        <v>#N/A Requesting Data...3483740277</v>
        <stp/>
        <stp>BDP|938204868346255510</stp>
        <tr r="N2505" s="2"/>
      </tp>
      <tp t="s">
        <v>#N/A Requesting Data...3243522133</v>
        <stp/>
        <stp>BDP|237780756697876264</stp>
        <tr r="Q782" s="2"/>
      </tp>
      <tp t="s">
        <v>#N/A Requesting Data...2968218121</v>
        <stp/>
        <stp>BDP|764644579950991608</stp>
        <tr r="J1653" s="2"/>
      </tp>
      <tp t="s">
        <v>#N/A Requesting Data...3312521762</v>
        <stp/>
        <stp>BDP|387103179630929104</stp>
        <tr r="A2470" s="2"/>
      </tp>
      <tp t="s">
        <v>#N/A Requesting Data...3844123038</v>
        <stp/>
        <stp>BDP|904668461116401191</stp>
        <tr r="D409" s="2"/>
      </tp>
      <tp t="s">
        <v>#N/A Requesting Data...4153192932</v>
        <stp/>
        <stp>BDP|784159871463592250</stp>
        <tr r="D1346" s="2"/>
      </tp>
      <tp t="s">
        <v>#N/A Requesting Data...3819552720</v>
        <stp/>
        <stp>BDP|932091953857859583</stp>
        <tr r="N77" s="2"/>
      </tp>
      <tp t="s">
        <v>#N/A Requesting Data...3367713587</v>
        <stp/>
        <stp>BDP|969430804805967644</stp>
        <tr r="P1410" s="2"/>
      </tp>
      <tp t="s">
        <v>#N/A Requesting Data...3221065693</v>
        <stp/>
        <stp>BDP|500998568118010075</stp>
        <tr r="S1225" s="2"/>
      </tp>
      <tp t="s">
        <v>#N/A Requesting Data...3881842646</v>
        <stp/>
        <stp>BDP|241376258088812960</stp>
        <tr r="A1638" s="2"/>
      </tp>
      <tp t="s">
        <v>#N/A Requesting Data...3622106313</v>
        <stp/>
        <stp>BDP|144763434231802286</stp>
        <tr r="T2204" s="2"/>
      </tp>
      <tp t="s">
        <v>#N/A Requesting Data...4062075649</v>
        <stp/>
        <stp>BDP|642628351926153273</stp>
        <tr r="A760" s="2"/>
      </tp>
      <tp t="s">
        <v>#N/A Requesting Data...3879875833</v>
        <stp/>
        <stp>BDP|507825324115567853</stp>
        <tr r="E1381" s="2"/>
      </tp>
      <tp t="b">
        <v>0</v>
        <stp/>
        <stp>BDS|132052162476648737</stp>
        <tr r="I1668" s="2"/>
      </tp>
      <tp t="s">
        <v>#N/A Requesting Data...3598400025</v>
        <stp/>
        <stp>BDP|872139609037396121</stp>
        <tr r="P2475" s="2"/>
      </tp>
      <tp t="s">
        <v>#N/A Requesting Data...3972341173</v>
        <stp/>
        <stp>BDP|569213412156107240</stp>
        <tr r="T817" s="2"/>
      </tp>
      <tp t="s">
        <v>#N/A Requesting Data...3272359443</v>
        <stp/>
        <stp>BDP|413955710346364915</stp>
        <tr r="C1440" s="2"/>
      </tp>
      <tp t="s">
        <v>#N/A Requesting Data...2970682247</v>
        <stp/>
        <stp>BDP|655905936518727542</stp>
        <tr r="A600" s="2"/>
      </tp>
      <tp t="s">
        <v>#N/A Requesting Data...3212126898</v>
        <stp/>
        <stp>BDP|410216707943391622</stp>
        <tr r="D743" s="2"/>
      </tp>
      <tp t="s">
        <v>#N/A Requesting Data...3844486777</v>
        <stp/>
        <stp>BDP|874148405981689634</stp>
        <tr r="P2409" s="2"/>
      </tp>
      <tp t="s">
        <v>#N/A Requesting Data...2981281602</v>
        <stp/>
        <stp>BDP|930612994699983097</stp>
        <tr r="Q945" s="2"/>
      </tp>
      <tp t="s">
        <v>#N/A Requesting Data...4252588676</v>
        <stp/>
        <stp>BDP|599961181746743192</stp>
        <tr r="G131" s="2"/>
      </tp>
      <tp t="s">
        <v>#N/A Requesting Data...3701172666</v>
        <stp/>
        <stp>BDP|170340637212884461</stp>
        <tr r="Q314" s="2"/>
      </tp>
      <tp t="b">
        <v>0</v>
        <stp/>
        <stp>BDS|226727679324560202</stp>
        <tr r="I2056" s="2"/>
      </tp>
      <tp t="s">
        <v>#N/A Requesting Data...4200331441</v>
        <stp/>
        <stp>BDP|388251207951554584</stp>
        <tr r="F2026" s="2"/>
      </tp>
      <tp t="s">
        <v>#N/A Requesting Data...3317284295</v>
        <stp/>
        <stp>BDP|393938218387233967</stp>
        <tr r="G1793" s="2"/>
      </tp>
      <tp t="s">
        <v>#N/A Requesting Data...3640717074</v>
        <stp/>
        <stp>BDP|125599333605380542</stp>
        <tr r="F2060" s="2"/>
      </tp>
      <tp t="s">
        <v>#N/A Requesting Data...3587060424</v>
        <stp/>
        <stp>BDP|156094935686308323</stp>
        <tr r="M698" s="2"/>
      </tp>
      <tp t="s">
        <v>#N/A Requesting Data...4082346170</v>
        <stp/>
        <stp>BDP|187310788428162542</stp>
        <tr r="D1348" s="2"/>
      </tp>
      <tp t="s">
        <v>#N/A Requesting Data...4098015430</v>
        <stp/>
        <stp>BDP|831303955190771075</stp>
        <tr r="Q500" s="2"/>
      </tp>
      <tp t="b">
        <v>0</v>
        <stp/>
        <stp>BDS|234780621935099663</stp>
        <tr r="I1933" s="2"/>
      </tp>
      <tp t="b">
        <v>0</v>
        <stp/>
        <stp>BDS|114880187283345501</stp>
        <tr r="I1808" s="2"/>
      </tp>
      <tp t="s">
        <v>#N/A Requesting Data...3057989572</v>
        <stp/>
        <stp>BDP|502375953317927750</stp>
        <tr r="T259" s="2"/>
      </tp>
      <tp t="s">
        <v>#N/A Requesting Data...4216742078</v>
        <stp/>
        <stp>BDP|219173975607665789</stp>
        <tr r="F1283" s="2"/>
      </tp>
      <tp t="s">
        <v>#N/A Requesting Data...3371995030</v>
        <stp/>
        <stp>BDP|535046842792439099</stp>
        <tr r="M2268" s="2"/>
      </tp>
      <tp t="s">
        <v>#N/A Requesting Data...3206658698</v>
        <stp/>
        <stp>BDP|188247339490142736</stp>
        <tr r="E1437" s="2"/>
      </tp>
      <tp t="s">
        <v>#N/A Requesting Data...4067006278</v>
        <stp/>
        <stp>BDP|770495446245599335</stp>
        <tr r="G1745" s="2"/>
      </tp>
      <tp t="s">
        <v>#N/A Requesting Data...3932344400</v>
        <stp/>
        <stp>BDP|380457965454586080</stp>
        <tr r="K915" s="2"/>
      </tp>
      <tp t="s">
        <v>#N/A Requesting Data...3997178272</v>
        <stp/>
        <stp>BDP|340416648755404302</stp>
        <tr r="C1318" s="2"/>
      </tp>
      <tp t="s">
        <v>#N/A Requesting Data...4004613286</v>
        <stp/>
        <stp>BDP|487337723154931322</stp>
        <tr r="Q1027" s="2"/>
      </tp>
      <tp t="s">
        <v>#N/A Requesting Data...3602168424</v>
        <stp/>
        <stp>BDP|885416609793862173</stp>
        <tr r="N694" s="2"/>
      </tp>
      <tp t="s">
        <v>#N/A Requesting Data...3962938273</v>
        <stp/>
        <stp>BDP|240479729445302505</stp>
        <tr r="R522" s="2"/>
      </tp>
      <tp t="s">
        <v>#N/A Requesting Data...4206478552</v>
        <stp/>
        <stp>BDP|883877285293032553</stp>
        <tr r="O2405" s="2"/>
      </tp>
      <tp t="b">
        <v>0</v>
        <stp/>
        <stp>BDS|384271046496929642</stp>
        <tr r="I744" s="2"/>
      </tp>
      <tp t="s">
        <v>#N/A Requesting Data...3635684467</v>
        <stp/>
        <stp>BDP|385329539721443732</stp>
        <tr r="P353" s="2"/>
      </tp>
      <tp t="s">
        <v>#N/A Requesting Data...4156166613</v>
        <stp/>
        <stp>BDP|651807698911994683</stp>
        <tr r="J1981" s="2"/>
      </tp>
      <tp t="s">
        <v>#N/A Requesting Data...3877156587</v>
        <stp/>
        <stp>BDP|408400108352609052</stp>
        <tr r="P2029" s="2"/>
      </tp>
      <tp t="s">
        <v>#N/A Requesting Data...3188645594</v>
        <stp/>
        <stp>BDP|680035438346075328</stp>
        <tr r="K1275" s="2"/>
      </tp>
      <tp t="s">
        <v>#N/A Requesting Data...3124057803</v>
        <stp/>
        <stp>BDP|158338792309698591</stp>
        <tr r="K2032" s="2"/>
      </tp>
      <tp t="s">
        <v>#N/A Requesting Data...4013091841</v>
        <stp/>
        <stp>BDP|911889116868119795</stp>
        <tr r="E1339" s="2"/>
      </tp>
      <tp t="s">
        <v>#N/A Requesting Data...3590488122</v>
        <stp/>
        <stp>BDP|821039993357088874</stp>
        <tr r="R2333" s="2"/>
      </tp>
      <tp t="s">
        <v>#N/A Requesting Data...4273463531</v>
        <stp/>
        <stp>BDP|709404379393174604</stp>
        <tr r="R321" s="2"/>
      </tp>
      <tp t="s">
        <v>#N/A Requesting Data...3351755273</v>
        <stp/>
        <stp>BDP|392528059543785509</stp>
        <tr r="K1857" s="2"/>
      </tp>
      <tp t="s">
        <v>#N/A Requesting Data...3250891907</v>
        <stp/>
        <stp>BDP|519140075771442188</stp>
        <tr r="K611" s="2"/>
      </tp>
      <tp t="s">
        <v>#N/A Requesting Data...3567083145</v>
        <stp/>
        <stp>BDP|839927503736490952</stp>
        <tr r="H1423" s="2"/>
      </tp>
      <tp t="b">
        <v>0</v>
        <stp/>
        <stp>BDS|739630246367987336</stp>
        <tr r="I228" s="2"/>
      </tp>
      <tp t="s">
        <v>#N/A Requesting Data...3856208719</v>
        <stp/>
        <stp>BDP|496558365117575298</stp>
        <tr r="J626" s="2"/>
      </tp>
      <tp t="b">
        <v>0</v>
        <stp/>
        <stp>BDS|892248571537210477</stp>
        <tr r="I2329" s="2"/>
      </tp>
      <tp t="s">
        <v>#N/A Requesting Data...4043347194</v>
        <stp/>
        <stp>BDP|551551239516541645</stp>
        <tr r="H1680" s="2"/>
      </tp>
      <tp t="s">
        <v>#N/A Requesting Data...3194155308</v>
        <stp/>
        <stp>BDP|540123659565117773</stp>
        <tr r="S2218" s="2"/>
      </tp>
      <tp t="s">
        <v>#N/A Requesting Data...4011424839</v>
        <stp/>
        <stp>BDP|904288078476918596</stp>
        <tr r="E1599" s="2"/>
      </tp>
      <tp t="s">
        <v>#N/A Requesting Data...3371392967</v>
        <stp/>
        <stp>BDP|819779322425002647</stp>
        <tr r="P426" s="2"/>
      </tp>
      <tp t="s">
        <v>#N/A Requesting Data...3782857949</v>
        <stp/>
        <stp>BDP|126997513129780750</stp>
        <tr r="N2003" s="2"/>
      </tp>
      <tp t="s">
        <v>#N/A Requesting Data...3376446767</v>
        <stp/>
        <stp>BDP|588087972817326659</stp>
        <tr r="D2259" s="2"/>
      </tp>
      <tp t="s">
        <v>#N/A Requesting Data...3638348257</v>
        <stp/>
        <stp>BDP|465285414460154500</stp>
        <tr r="C1315" s="2"/>
      </tp>
      <tp t="s">
        <v>#N/A Requesting Data...4287906711</v>
        <stp/>
        <stp>BDP|110692114047351664</stp>
        <tr r="A1479" s="2"/>
      </tp>
      <tp t="s">
        <v>#N/A Requesting Data...3162703275</v>
        <stp/>
        <stp>BDP|641807337169952415</stp>
        <tr r="A1605" s="2"/>
      </tp>
      <tp t="s">
        <v>#N/A Requesting Data...3624410751</v>
        <stp/>
        <stp>BDP|848903257979497327</stp>
        <tr r="S1121" s="2"/>
      </tp>
      <tp t="s">
        <v>#N/A Requesting Data...4180440982</v>
        <stp/>
        <stp>BDP|992443624532675269</stp>
        <tr r="C1945" s="2"/>
      </tp>
      <tp t="s">
        <v>#N/A Requesting Data...4010890713</v>
        <stp/>
        <stp>BDP|985679315591057025</stp>
        <tr r="N2234" s="2"/>
      </tp>
      <tp t="s">
        <v>#N/A Requesting Data...4099535468</v>
        <stp/>
        <stp>BDP|800253006987565378</stp>
        <tr r="Q142" s="2"/>
      </tp>
      <tp t="s">
        <v>#N/A Requesting Data...3435870367</v>
        <stp/>
        <stp>BDP|716609328431678333</stp>
        <tr r="K1168" s="2"/>
      </tp>
      <tp t="b">
        <v>0</v>
        <stp/>
        <stp>BDS|882889585910725682</stp>
        <tr r="I1886" s="2"/>
      </tp>
      <tp t="s">
        <v>#N/A Requesting Data...3981176838</v>
        <stp/>
        <stp>BDP|151127821996039384</stp>
        <tr r="E2309" s="2"/>
      </tp>
      <tp t="b">
        <v>0</v>
        <stp/>
        <stp>BDS|366865940952843872</stp>
        <tr r="I1665" s="2"/>
      </tp>
      <tp t="s">
        <v>#N/A Requesting Data...3367457554</v>
        <stp/>
        <stp>BDP|130360458494631437</stp>
        <tr r="J1980" s="2"/>
      </tp>
      <tp t="s">
        <v>#N/A Requesting Data...3804267004</v>
        <stp/>
        <stp>BDP|825536498043174983</stp>
        <tr r="D277" s="2"/>
      </tp>
      <tp t="s">
        <v>#N/A Requesting Data...4105704898</v>
        <stp/>
        <stp>BDP|860141441851712209</stp>
        <tr r="O2368" s="2"/>
      </tp>
      <tp t="s">
        <v>#N/A Requesting Data...3311076744</v>
        <stp/>
        <stp>BDP|480348870444200680</stp>
        <tr r="S445" s="2"/>
      </tp>
      <tp t="s">
        <v>#N/A Requesting Data...3987290672</v>
        <stp/>
        <stp>BDP|665575937924586488</stp>
        <tr r="H331" s="2"/>
      </tp>
      <tp t="s">
        <v>#N/A Requesting Data...3977520444</v>
        <stp/>
        <stp>BDP|312986592086441068</stp>
        <tr r="A1551" s="2"/>
      </tp>
      <tp t="s">
        <v>#N/A Requesting Data...3168470738</v>
        <stp/>
        <stp>BDP|969075665839212929</stp>
        <tr r="N1283" s="2"/>
      </tp>
      <tp t="s">
        <v>#N/A Requesting Data...4245621939</v>
        <stp/>
        <stp>BDP|531585474534526071</stp>
        <tr r="F1212" s="2"/>
      </tp>
      <tp t="s">
        <v>#N/A Requesting Data...4114210153</v>
        <stp/>
        <stp>BDP|726119916971807736</stp>
        <tr r="J451" s="2"/>
      </tp>
      <tp t="s">
        <v>#N/A Requesting Data...3400218518</v>
        <stp/>
        <stp>BDP|937485747735192332</stp>
        <tr r="A2045" s="2"/>
      </tp>
      <tp t="s">
        <v>#N/A Requesting Data...4157152592</v>
        <stp/>
        <stp>BDP|840303529120592705</stp>
        <tr r="C1763" s="2"/>
      </tp>
      <tp t="s">
        <v>#N/A Requesting Data...3868556439</v>
        <stp/>
        <stp>BDP|908242284408493496</stp>
        <tr r="P64" s="2"/>
      </tp>
      <tp t="s">
        <v>#N/A Requesting Data...3756066651</v>
        <stp/>
        <stp>BDP|620215373811655263</stp>
        <tr r="G785" s="2"/>
      </tp>
      <tp t="s">
        <v>#N/A Requesting Data...3894684050</v>
        <stp/>
        <stp>BDP|330962466228199166</stp>
        <tr r="F899" s="2"/>
      </tp>
      <tp t="s">
        <v>#N/A Requesting Data...3424009936</v>
        <stp/>
        <stp>BDP|624268723506780007</stp>
        <tr r="D110" s="2"/>
      </tp>
      <tp t="s">
        <v>#N/A Requesting Data...4118546857</v>
        <stp/>
        <stp>BDP|564676816202316335</stp>
        <tr r="N397" s="2"/>
      </tp>
      <tp t="s">
        <v>#N/A Requesting Data...3849645408</v>
        <stp/>
        <stp>BDP|371939669118489191</stp>
        <tr r="J1335" s="2"/>
      </tp>
      <tp t="s">
        <v>#N/A Requesting Data...3574227176</v>
        <stp/>
        <stp>BDP|620155019707844162</stp>
        <tr r="G1510" s="2"/>
      </tp>
      <tp t="s">
        <v>#N/A Requesting Data...3351276416</v>
        <stp/>
        <stp>BDP|746712925913498030</stp>
        <tr r="M520" s="2"/>
      </tp>
      <tp t="s">
        <v>#N/A Requesting Data...3450348152</v>
        <stp/>
        <stp>BDP|508363766704925781</stp>
        <tr r="A670" s="2"/>
      </tp>
      <tp t="s">
        <v>#N/A Requesting Data...3833754104</v>
        <stp/>
        <stp>BDP|546276237597022011</stp>
        <tr r="R1971" s="2"/>
      </tp>
      <tp t="s">
        <v>#N/A Requesting Data...3698439820</v>
        <stp/>
        <stp>BDP|415233753750883189</stp>
        <tr r="H1493" s="2"/>
      </tp>
      <tp t="s">
        <v>#N/A Requesting Data...3466748872</v>
        <stp/>
        <stp>BDP|514713721984897788</stp>
        <tr r="R380" s="2"/>
      </tp>
      <tp t="s">
        <v>#N/A Requesting Data...3612909512</v>
        <stp/>
        <stp>BDP|776568271652422613</stp>
        <tr r="G112" s="2"/>
      </tp>
      <tp t="s">
        <v>#N/A Requesting Data...3346312338</v>
        <stp/>
        <stp>BDP|506100191949152703</stp>
        <tr r="E485" s="2"/>
      </tp>
      <tp t="s">
        <v>#N/A Requesting Data...4176084844</v>
        <stp/>
        <stp>BDP|992700458181309574</stp>
        <tr r="M1157" s="2"/>
      </tp>
      <tp t="s">
        <v>#N/A Requesting Data...4186697150</v>
        <stp/>
        <stp>BDP|567147710477711138</stp>
        <tr r="R756" s="2"/>
      </tp>
      <tp t="s">
        <v>#N/A Requesting Data...3662988010</v>
        <stp/>
        <stp>BDP|463615886430531839</stp>
        <tr r="S2304" s="2"/>
      </tp>
      <tp t="s">
        <v>#N/A Requesting Data...4029880648</v>
        <stp/>
        <stp>BDP|633623201142428240</stp>
        <tr r="E1387" s="2"/>
      </tp>
      <tp t="s">
        <v>#N/A Requesting Data...3511156624</v>
        <stp/>
        <stp>BDP|798986574738913079</stp>
        <tr r="S1699" s="2"/>
      </tp>
      <tp t="s">
        <v>#N/A Requesting Data...3305889000</v>
        <stp/>
        <stp>BDP|193261593858846594</stp>
        <tr r="F2156" s="2"/>
      </tp>
      <tp t="s">
        <v>#N/A Requesting Data...3739108578</v>
        <stp/>
        <stp>BDP|795510952161899797</stp>
        <tr r="P1810" s="2"/>
      </tp>
      <tp t="s">
        <v>#N/A Requesting Data...4006095240</v>
        <stp/>
        <stp>BDP|722895837144683994</stp>
        <tr r="T1140" s="2"/>
      </tp>
      <tp t="s">
        <v>#N/A Requesting Data...3807403811</v>
        <stp/>
        <stp>BDP|575013076286569719</stp>
        <tr r="N368" s="2"/>
      </tp>
      <tp t="s">
        <v>#N/A Requesting Data...3705289665</v>
        <stp/>
        <stp>BDP|250188919435176341</stp>
        <tr r="Q1286" s="2"/>
      </tp>
      <tp t="s">
        <v>#N/A Requesting Data...3831217445</v>
        <stp/>
        <stp>BDP|142046837290084547</stp>
        <tr r="K1163" s="2"/>
      </tp>
      <tp t="s">
        <v>#N/A Requesting Data...4206656793</v>
        <stp/>
        <stp>BDP|926791535665333709</stp>
        <tr r="Q273" s="2"/>
      </tp>
      <tp t="s">
        <v>#N/A Requesting Data...3823345693</v>
        <stp/>
        <stp>BDP|586493328393264302</stp>
        <tr r="C1391" s="2"/>
      </tp>
      <tp t="s">
        <v>#N/A Requesting Data...3560606954</v>
        <stp/>
        <stp>BDP|521303397945125957</stp>
        <tr r="O322" s="2"/>
      </tp>
      <tp t="s">
        <v>#N/A Requesting Data...3502552517</v>
        <stp/>
        <stp>BDP|623886489463444556</stp>
        <tr r="C1229" s="2"/>
      </tp>
      <tp t="s">
        <v>#N/A Requesting Data...3280878874</v>
        <stp/>
        <stp>BDP|463512146252265571</stp>
        <tr r="A2223" s="2"/>
      </tp>
      <tp t="s">
        <v>#N/A Requesting Data...3509177873</v>
        <stp/>
        <stp>BDP|402620811611564046</stp>
        <tr r="M1382" s="2"/>
      </tp>
      <tp t="s">
        <v>#N/A Requesting Data...3710308198</v>
        <stp/>
        <stp>BDP|554027566459196968</stp>
        <tr r="M1658" s="2"/>
      </tp>
      <tp t="s">
        <v>#N/A Requesting Data...3307711365</v>
        <stp/>
        <stp>BDP|211823625705331902</stp>
        <tr r="Q2027" s="2"/>
      </tp>
      <tp t="b">
        <v>0</v>
        <stp/>
        <stp>BDS|296932326224196905</stp>
        <tr r="I2381" s="2"/>
      </tp>
      <tp t="s">
        <v>#N/A Requesting Data...3455126127</v>
        <stp/>
        <stp>BDP|484043065673129330</stp>
        <tr r="H1108" s="2"/>
      </tp>
      <tp t="s">
        <v>#N/A Requesting Data...4234792360</v>
        <stp/>
        <stp>BDP|164475331717809688</stp>
        <tr r="K1241" s="2"/>
      </tp>
      <tp t="s">
        <v>#N/A Requesting Data...3280765445</v>
        <stp/>
        <stp>BDP|650128763082648365</stp>
        <tr r="H1147" s="2"/>
      </tp>
      <tp t="s">
        <v>#N/A Requesting Data...4052836946</v>
        <stp/>
        <stp>BDP|443265897325391819</stp>
        <tr r="F214" s="2"/>
      </tp>
      <tp t="s">
        <v>#N/A Requesting Data...3365560517</v>
        <stp/>
        <stp>BDP|846819498805359253</stp>
        <tr r="J2484" s="2"/>
      </tp>
      <tp t="s">
        <v>#N/A Requesting Data...3669172000</v>
        <stp/>
        <stp>BDP|138860858043807805</stp>
        <tr r="T2203" s="2"/>
      </tp>
      <tp t="s">
        <v>#N/A Requesting Data...3343524865</v>
        <stp/>
        <stp>BDP|415588643160187796</stp>
        <tr r="C897" s="2"/>
      </tp>
      <tp t="s">
        <v>#N/A Requesting Data...4002562356</v>
        <stp/>
        <stp>BDP|693477720952552235</stp>
        <tr r="H529" s="2"/>
      </tp>
      <tp t="s">
        <v>#N/A Requesting Data...3748905606</v>
        <stp/>
        <stp>BDP|580780504756780792</stp>
        <tr r="G2311" s="2"/>
      </tp>
      <tp t="s">
        <v>#N/A Requesting Data...4213545419</v>
        <stp/>
        <stp>BDP|478428025767386709</stp>
        <tr r="K1819" s="2"/>
      </tp>
      <tp t="s">
        <v>#N/A Requesting Data...3540462891</v>
        <stp/>
        <stp>BDP|785611033680590304</stp>
        <tr r="J566" s="2"/>
      </tp>
      <tp t="s">
        <v>#N/A Requesting Data...4084666939</v>
        <stp/>
        <stp>BDP|135653096530702955</stp>
        <tr r="D228" s="2"/>
      </tp>
      <tp t="s">
        <v>#N/A Requesting Data...3306760381</v>
        <stp/>
        <stp>BDP|313746853240471403</stp>
        <tr r="C394" s="2"/>
      </tp>
      <tp t="s">
        <v>#N/A Requesting Data...4202528203</v>
        <stp/>
        <stp>BDP|341617763464194209</stp>
        <tr r="Q1076" s="2"/>
      </tp>
      <tp t="b">
        <v>0</v>
        <stp/>
        <stp>BDS|405394145689074881</stp>
        <tr r="I847" s="2"/>
      </tp>
      <tp t="s">
        <v>#N/A Requesting Data...3607631626</v>
        <stp/>
        <stp>BDP|710958496516353063</stp>
        <tr r="K1635" s="2"/>
      </tp>
      <tp t="s">
        <v>#N/A Requesting Data...4182037460</v>
        <stp/>
        <stp>BDP|544924184326023129</stp>
        <tr r="K1019" s="2"/>
      </tp>
      <tp t="s">
        <v>#N/A Requesting Data...3873555259</v>
        <stp/>
        <stp>BDP|119219625520074643</stp>
        <tr r="F1267" s="2"/>
      </tp>
      <tp t="s">
        <v>#N/A Requesting Data...3733480749</v>
        <stp/>
        <stp>BDP|605279260997592554</stp>
        <tr r="T853" s="2"/>
      </tp>
      <tp t="s">
        <v>#N/A Requesting Data...3535923266</v>
        <stp/>
        <stp>BDP|587687701615994541</stp>
        <tr r="M890" s="2"/>
      </tp>
      <tp t="s">
        <v>#N/A Requesting Data...4062063079</v>
        <stp/>
        <stp>BDP|692533527784082532</stp>
        <tr r="G310" s="2"/>
      </tp>
      <tp t="b">
        <v>0</v>
        <stp/>
        <stp>BDS|463357641612284301</stp>
        <tr r="I1067" s="2"/>
      </tp>
      <tp t="s">
        <v>#N/A Requesting Data...4118682430</v>
        <stp/>
        <stp>BDP|177309152442320226</stp>
        <tr r="H1915" s="2"/>
      </tp>
      <tp t="b">
        <v>0</v>
        <stp/>
        <stp>BDS|588094368351548137</stp>
        <tr r="I1953" s="2"/>
      </tp>
      <tp t="s">
        <v>#N/A Requesting Data...3985901771</v>
        <stp/>
        <stp>BDP|463226424185352339</stp>
        <tr r="P1971" s="2"/>
      </tp>
      <tp t="s">
        <v>#N/A Requesting Data...3551227776</v>
        <stp/>
        <stp>BDP|868137840896169582</stp>
        <tr r="T1066" s="2"/>
      </tp>
      <tp t="s">
        <v>#N/A Requesting Data...3641533900</v>
        <stp/>
        <stp>BDP|139647260304411235</stp>
        <tr r="E596" s="2"/>
      </tp>
      <tp t="s">
        <v>#N/A Requesting Data...3836358852</v>
        <stp/>
        <stp>BDP|475194828552026774</stp>
        <tr r="A1972" s="2"/>
      </tp>
      <tp t="s">
        <v>#N/A Requesting Data...3504170631</v>
        <stp/>
        <stp>BDP|650316962416118560</stp>
        <tr r="Q1100" s="2"/>
      </tp>
      <tp t="s">
        <v>#N/A Requesting Data...3900866071</v>
        <stp/>
        <stp>BDP|677123254695214704</stp>
        <tr r="R1600" s="2"/>
      </tp>
      <tp t="s">
        <v>#N/A Requesting Data...4084316430</v>
        <stp/>
        <stp>BDP|387610690648027109</stp>
        <tr r="T595" s="2"/>
      </tp>
      <tp t="s">
        <v>#N/A Requesting Data...3953459230</v>
        <stp/>
        <stp>BDP|340679344237655350</stp>
        <tr r="J1876" s="2"/>
      </tp>
      <tp t="s">
        <v>#N/A Requesting Data...3942945892</v>
        <stp/>
        <stp>BDP|789675682210575843</stp>
        <tr r="Q380" s="2"/>
      </tp>
      <tp t="s">
        <v>#N/A Requesting Data...3639677226</v>
        <stp/>
        <stp>BDP|455132977931158123</stp>
        <tr r="P1475" s="2"/>
      </tp>
      <tp t="s">
        <v>#N/A Requesting Data...3838386282</v>
        <stp/>
        <stp>BDP|181279255130783171</stp>
        <tr r="A769" s="2"/>
      </tp>
      <tp t="s">
        <v>#N/A Requesting Data...4020908706</v>
        <stp/>
        <stp>BDP|492964686652254551</stp>
        <tr r="S1443" s="2"/>
      </tp>
      <tp t="s">
        <v>#N/A Requesting Data...3441019147</v>
        <stp/>
        <stp>BDP|867306420263963429</stp>
        <tr r="Q1543" s="2"/>
      </tp>
      <tp t="s">
        <v>#N/A Requesting Data...3435140352</v>
        <stp/>
        <stp>BDP|160351950174770401</stp>
        <tr r="R999" s="2"/>
      </tp>
      <tp t="s">
        <v>#N/A Requesting Data...4270692287</v>
        <stp/>
        <stp>BDP|363021514962364558</stp>
        <tr r="T1844" s="2"/>
      </tp>
      <tp t="s">
        <v>#N/A Requesting Data...3736985836</v>
        <stp/>
        <stp>BDP|760780507591235091</stp>
        <tr r="N181" s="2"/>
      </tp>
      <tp t="s">
        <v>#N/A Requesting Data...3925456044</v>
        <stp/>
        <stp>BDP|410105710680113665</stp>
        <tr r="N2023" s="2"/>
      </tp>
      <tp t="s">
        <v>#N/A Requesting Data...4112991788</v>
        <stp/>
        <stp>BDP|594189452352450081</stp>
        <tr r="D1044" s="2"/>
      </tp>
      <tp t="s">
        <v>#N/A Requesting Data...3854289402</v>
        <stp/>
        <stp>BDP|626164912856336029</stp>
        <tr r="R549" s="2"/>
      </tp>
      <tp t="s">
        <v>#N/A Requesting Data...4193719196</v>
        <stp/>
        <stp>BDP|312167789529402148</stp>
        <tr r="D2167" s="2"/>
      </tp>
      <tp t="s">
        <v>#N/A Requesting Data...4143560724</v>
        <stp/>
        <stp>BDP|867778635422135777</stp>
        <tr r="T840" s="2"/>
      </tp>
      <tp t="s">
        <v>#N/A Requesting Data...3436318929</v>
        <stp/>
        <stp>BDP|942595504261179598</stp>
        <tr r="K948" s="2"/>
      </tp>
      <tp t="s">
        <v>#N/A Requesting Data...3454248839</v>
        <stp/>
        <stp>BDP|702912706551485982</stp>
        <tr r="Q708" s="2"/>
      </tp>
      <tp t="b">
        <v>0</v>
        <stp/>
        <stp>BDS|987556613057682254</stp>
        <tr r="I2107" s="2"/>
      </tp>
      <tp t="s">
        <v>#N/A Requesting Data...4285532664</v>
        <stp/>
        <stp>BDP|376837331728836251</stp>
        <tr r="J1865" s="2"/>
      </tp>
      <tp t="s">
        <v>#N/A Requesting Data...3994224989</v>
        <stp/>
        <stp>BDP|932523951809051877</stp>
        <tr r="S793" s="2"/>
      </tp>
      <tp t="s">
        <v>#N/A Requesting Data...3427666756</v>
        <stp/>
        <stp>BDP|909574085679285541</stp>
        <tr r="T1801" s="2"/>
      </tp>
      <tp t="s">
        <v>#N/A Requesting Data...3677834220</v>
        <stp/>
        <stp>BDP|400025070347280197</stp>
        <tr r="A1172" s="2"/>
      </tp>
      <tp t="s">
        <v>#N/A Requesting Data...3997049710</v>
        <stp/>
        <stp>BDP|593858723128786395</stp>
        <tr r="Q1884" s="2"/>
      </tp>
      <tp t="s">
        <v>#N/A Requesting Data...3603846922</v>
        <stp/>
        <stp>BDP|503452407645230087</stp>
        <tr r="R197" s="2"/>
      </tp>
      <tp t="s">
        <v>#N/A Requesting Data...4275038885</v>
        <stp/>
        <stp>BDP|207184072684374362</stp>
        <tr r="D1947" s="2"/>
      </tp>
      <tp t="s">
        <v>#N/A Requesting Data...4009454425</v>
        <stp/>
        <stp>BDP|672775058715216663</stp>
        <tr r="T1266" s="2"/>
      </tp>
      <tp t="s">
        <v>#N/A Requesting Data...4017325023</v>
        <stp/>
        <stp>BDP|525994082140019033</stp>
        <tr r="S1673" s="2"/>
      </tp>
      <tp t="s">
        <v>#N/A Requesting Data...4247661906</v>
        <stp/>
        <stp>BDP|517689538606921219</stp>
        <tr r="N2153" s="2"/>
      </tp>
      <tp t="s">
        <v>#N/A Requesting Data...4126995112</v>
        <stp/>
        <stp>BDP|565669749495082648</stp>
        <tr r="H149" s="2"/>
      </tp>
      <tp t="s">
        <v>#N/A Requesting Data...3974290415</v>
        <stp/>
        <stp>BDP|436608439331538567</stp>
        <tr r="E1061" s="2"/>
      </tp>
      <tp t="s">
        <v>#N/A Requesting Data...3482802034</v>
        <stp/>
        <stp>BDP|674234539610202005</stp>
        <tr r="J1230" s="2"/>
      </tp>
      <tp t="s">
        <v>#N/A Requesting Data...3708281306</v>
        <stp/>
        <stp>BDP|272798023240233448</stp>
        <tr r="M2063" s="2"/>
      </tp>
      <tp t="s">
        <v>#N/A Requesting Data...4131299285</v>
        <stp/>
        <stp>BDP|925713264028334815</stp>
        <tr r="R1046" s="2"/>
      </tp>
      <tp t="s">
        <v>#N/A Requesting Data...3899110019</v>
        <stp/>
        <stp>BDP|476897113410188819</stp>
        <tr r="N376" s="2"/>
      </tp>
      <tp t="s">
        <v>#N/A Requesting Data...4222934241</v>
        <stp/>
        <stp>BDP|800300009767704582</stp>
        <tr r="A2030" s="2"/>
      </tp>
      <tp t="s">
        <v>#N/A Requesting Data...3974399053</v>
        <stp/>
        <stp>BDP|589837098012139207</stp>
        <tr r="F1217" s="2"/>
      </tp>
      <tp t="s">
        <v>#N/A Requesting Data...3940589106</v>
        <stp/>
        <stp>BDP|821928911271276867</stp>
        <tr r="K1541" s="2"/>
      </tp>
      <tp t="b">
        <v>0</v>
        <stp/>
        <stp>BDS|216317128764393470</stp>
        <tr r="I475" s="2"/>
      </tp>
      <tp t="s">
        <v>#N/A Requesting Data...4196644975</v>
        <stp/>
        <stp>BDP|301472036733992545</stp>
        <tr r="G347" s="2"/>
      </tp>
      <tp t="s">
        <v>#N/A Requesting Data...3546471304</v>
        <stp/>
        <stp>BDP|527686959823315183</stp>
        <tr r="D1020" s="2"/>
      </tp>
      <tp t="s">
        <v>#N/A Requesting Data...3520846799</v>
        <stp/>
        <stp>BDP|316459904507526280</stp>
        <tr r="F776" s="2"/>
      </tp>
      <tp t="s">
        <v>#N/A Requesting Data...3889285198</v>
        <stp/>
        <stp>BDP|900399813005915655</stp>
        <tr r="H1872" s="2"/>
      </tp>
      <tp t="s">
        <v>#N/A Requesting Data...3553781769</v>
        <stp/>
        <stp>BDP|235483527617463060</stp>
        <tr r="C981" s="2"/>
      </tp>
      <tp t="s">
        <v>#N/A Requesting Data...3701185347</v>
        <stp/>
        <stp>BDP|621734668783032325</stp>
        <tr r="N133" s="2"/>
      </tp>
      <tp t="s">
        <v>#N/A Requesting Data...4118359457</v>
        <stp/>
        <stp>BDP|381072900953369282</stp>
        <tr r="A2426" s="2"/>
      </tp>
      <tp t="s">
        <v>#N/A Requesting Data...4155256663</v>
        <stp/>
        <stp>BDP|252623244923512094</stp>
        <tr r="M64" s="2"/>
      </tp>
      <tp t="s">
        <v>#N/A Requesting Data...3966594029</v>
        <stp/>
        <stp>BDP|255689007631063657</stp>
        <tr r="J620" s="2"/>
      </tp>
      <tp t="s">
        <v>#N/A Requesting Data...3600461183</v>
        <stp/>
        <stp>BDP|598922538483453833</stp>
        <tr r="K1522" s="2"/>
      </tp>
      <tp t="s">
        <v>#N/A Requesting Data...4151062297</v>
        <stp/>
        <stp>BDP|889444586869185433</stp>
        <tr r="T740" s="2"/>
      </tp>
      <tp t="s">
        <v>#N/A Requesting Data...3971801570</v>
        <stp/>
        <stp>BDP|392283220642436373</stp>
        <tr r="N1923" s="2"/>
      </tp>
      <tp t="s">
        <v>#N/A Requesting Data...4278356843</v>
        <stp/>
        <stp>BDP|351134130463909016</stp>
        <tr r="S895" s="2"/>
      </tp>
      <tp t="s">
        <v>#N/A Requesting Data...3672938705</v>
        <stp/>
        <stp>BDP|213089311883081338</stp>
        <tr r="D807" s="2"/>
      </tp>
      <tp t="s">
        <v>#N/A Requesting Data...3984876414</v>
        <stp/>
        <stp>BDP|145053008574467505</stp>
        <tr r="A241" s="2"/>
      </tp>
      <tp t="s">
        <v>#N/A Requesting Data...3703320831</v>
        <stp/>
        <stp>BDP|498233249896509135</stp>
        <tr r="M295" s="2"/>
      </tp>
      <tp t="b">
        <v>0</v>
        <stp/>
        <stp>BDS|264707446351560390</stp>
        <tr r="I477" s="2"/>
      </tp>
      <tp t="b">
        <v>0</v>
        <stp/>
        <stp>BDS|842377762350547401</stp>
        <tr r="I1969" s="2"/>
      </tp>
      <tp t="s">
        <v>#N/A Requesting Data...3889454005</v>
        <stp/>
        <stp>BDP|175394106555205754</stp>
        <tr r="H1628" s="2"/>
      </tp>
      <tp t="s">
        <v>#N/A Requesting Data...4282194289</v>
        <stp/>
        <stp>BDP|586097829137854470</stp>
        <tr r="D717" s="2"/>
      </tp>
      <tp t="s">
        <v>#N/A Requesting Data...3894238323</v>
        <stp/>
        <stp>BDP|201868758239044567</stp>
        <tr r="E690" s="2"/>
      </tp>
      <tp t="s">
        <v>#N/A Requesting Data...3899118843</v>
        <stp/>
        <stp>BDP|723703174555890414</stp>
        <tr r="J1171" s="2"/>
      </tp>
      <tp t="s">
        <v>#N/A Requesting Data...3761834111</v>
        <stp/>
        <stp>BDP|664092210279513908</stp>
        <tr r="H1627" s="2"/>
      </tp>
      <tp t="s">
        <v>#N/A Requesting Data...3716877504</v>
        <stp/>
        <stp>BDP|756213128636775734</stp>
        <tr r="G1498" s="2"/>
      </tp>
      <tp t="b">
        <v>0</v>
        <stp/>
        <stp>BDS|155929108838562041</stp>
        <tr r="I425" s="2"/>
      </tp>
      <tp t="s">
        <v>#N/A Requesting Data...3850158670</v>
        <stp/>
        <stp>BDP|903554170087520431</stp>
        <tr r="N1395" s="2"/>
      </tp>
      <tp t="s">
        <v>#N/A Requesting Data...3817579790</v>
        <stp/>
        <stp>BDP|161375149276703024</stp>
        <tr r="T1189" s="2"/>
      </tp>
      <tp t="b">
        <v>0</v>
        <stp/>
        <stp>BDS|182567767305330784</stp>
        <tr r="I151" s="2"/>
      </tp>
      <tp t="s">
        <v>#N/A Requesting Data...4088877461</v>
        <stp/>
        <stp>BDP|669488140680064156</stp>
        <tr r="F1239" s="2"/>
      </tp>
      <tp t="s">
        <v>#N/A Requesting Data...4230488229</v>
        <stp/>
        <stp>BDP|287384636516259755</stp>
        <tr r="F1610" s="2"/>
      </tp>
      <tp t="s">
        <v>#N/A Requesting Data...4059783406</v>
        <stp/>
        <stp>BDP|734924190815712491</stp>
        <tr r="D2203" s="2"/>
      </tp>
      <tp t="s">
        <v>#N/A Requesting Data...3582899634</v>
        <stp/>
        <stp>BDP|493569848392878295</stp>
        <tr r="G1210" s="2"/>
      </tp>
      <tp t="s">
        <v>#N/A Requesting Data...4258430637</v>
        <stp/>
        <stp>BDP|255694276255127575</stp>
        <tr r="K1502" s="2"/>
      </tp>
      <tp t="b">
        <v>0</v>
        <stp/>
        <stp>BDS|536067440231101493</stp>
        <tr r="I2161" s="2"/>
      </tp>
      <tp t="s">
        <v>#N/A Requesting Data...3919271609</v>
        <stp/>
        <stp>BDP|777863768156253905</stp>
        <tr r="J1740" s="2"/>
      </tp>
      <tp t="s">
        <v>#N/A Requesting Data...4040720394</v>
        <stp/>
        <stp>BDP|515006040570989580</stp>
        <tr r="T871" s="2"/>
      </tp>
      <tp t="s">
        <v>#N/A Requesting Data...4224138504</v>
        <stp/>
        <stp>BDP|974040495088942059</stp>
        <tr r="S1823" s="2"/>
      </tp>
      <tp t="s">
        <v>#N/A Requesting Data...3681648642</v>
        <stp/>
        <stp>BDP|378095695971967924</stp>
        <tr r="Q805" s="2"/>
      </tp>
      <tp t="s">
        <v>#N/A Requesting Data...4065916330</v>
        <stp/>
        <stp>BDP|299335035589790879</stp>
        <tr r="C2325" s="2"/>
      </tp>
      <tp t="s">
        <v>#N/A Requesting Data...3581227110</v>
        <stp/>
        <stp>BDP|939295795288794264</stp>
        <tr r="A2526" s="2"/>
      </tp>
      <tp t="s">
        <v>#N/A Requesting Data...3674388352</v>
        <stp/>
        <stp>BDP|371769057687000465</stp>
        <tr r="J1029" s="2"/>
      </tp>
      <tp t="s">
        <v>#N/A Requesting Data...3840421668</v>
        <stp/>
        <stp>BDP|353604945113123032</stp>
        <tr r="T1472" s="2"/>
      </tp>
      <tp t="s">
        <v>#N/A Requesting Data...3642173993</v>
        <stp/>
        <stp>BDP|277141403684901480</stp>
        <tr r="E1039" s="2"/>
      </tp>
      <tp t="s">
        <v>#N/A Requesting Data...3815457644</v>
        <stp/>
        <stp>BDP|931490275161158306</stp>
        <tr r="C1952" s="2"/>
      </tp>
      <tp t="s">
        <v>#N/A Requesting Data...4285959863</v>
        <stp/>
        <stp>BDP|523773872122738328</stp>
        <tr r="C1027" s="2"/>
      </tp>
      <tp t="s">
        <v>#N/A Requesting Data...4190210947</v>
        <stp/>
        <stp>BDP|869051499031980987</stp>
        <tr r="R1043" s="2"/>
      </tp>
      <tp t="s">
        <v>#N/A Requesting Data...3962417344</v>
        <stp/>
        <stp>BDP|266562747275182577</stp>
        <tr r="Q1809" s="2"/>
      </tp>
      <tp t="s">
        <v>#N/A Requesting Data...4219947155</v>
        <stp/>
        <stp>BDP|126258484122539906</stp>
        <tr r="F393" s="2"/>
      </tp>
      <tp t="s">
        <v>#N/A Requesting Data...4271875051</v>
        <stp/>
        <stp>BDP|110161137605217679</stp>
        <tr r="S891" s="2"/>
      </tp>
      <tp t="s">
        <v>#N/A Requesting Data...3801569903</v>
        <stp/>
        <stp>BDP|423418715980461419</stp>
        <tr r="T1912" s="2"/>
      </tp>
      <tp t="s">
        <v>#N/A Requesting Data...3895779992</v>
        <stp/>
        <stp>BDP|309017129644905773</stp>
        <tr r="R964" s="2"/>
      </tp>
      <tp t="s">
        <v>#N/A Requesting Data...3868911787</v>
        <stp/>
        <stp>BDP|500223343150465756</stp>
        <tr r="K156" s="2"/>
      </tp>
      <tp t="s">
        <v>#N/A Requesting Data...3887135149</v>
        <stp/>
        <stp>BDP|170177524283784109</stp>
        <tr r="D1372" s="2"/>
      </tp>
      <tp t="s">
        <v>#N/A Requesting Data...3952191711</v>
        <stp/>
        <stp>BDP|329091308350530120</stp>
        <tr r="K1506" s="2"/>
      </tp>
      <tp t="s">
        <v>#N/A Requesting Data...3630093114</v>
        <stp/>
        <stp>BDP|453106343524060023</stp>
        <tr r="M1701" s="2"/>
      </tp>
      <tp t="s">
        <v>#N/A Requesting Data...4190795273</v>
        <stp/>
        <stp>BDP|479177325866393407</stp>
        <tr r="K2475" s="2"/>
      </tp>
      <tp t="s">
        <v>#N/A Requesting Data...4230058718</v>
        <stp/>
        <stp>BDP|300122212329141872</stp>
        <tr r="O1986" s="2"/>
      </tp>
      <tp t="s">
        <v>#N/A Requesting Data...3814406850</v>
        <stp/>
        <stp>BDP|305693116293056591</stp>
        <tr r="E617" s="2"/>
      </tp>
      <tp t="s">
        <v>#N/A Requesting Data...4174607070</v>
        <stp/>
        <stp>BDP|721247854800256632</stp>
        <tr r="J1365" s="2"/>
      </tp>
      <tp t="s">
        <v>#N/A Requesting Data...3842183327</v>
        <stp/>
        <stp>BDP|676102166186483027</stp>
        <tr r="Q482" s="2"/>
      </tp>
      <tp t="s">
        <v>#N/A Requesting Data...4287119540</v>
        <stp/>
        <stp>BDP|875900788845452521</stp>
        <tr r="Q207" s="2"/>
      </tp>
      <tp t="s">
        <v>#N/A Requesting Data...3729901332</v>
        <stp/>
        <stp>BDP|367401863852018166</stp>
        <tr r="C1653" s="2"/>
      </tp>
      <tp t="s">
        <v>#N/A Requesting Data...3744744494</v>
        <stp/>
        <stp>BDP|292876246655139844</stp>
        <tr r="J1044" s="2"/>
      </tp>
      <tp t="s">
        <v>#N/A Requesting Data...4032471872</v>
        <stp/>
        <stp>BDP|656919187736565633</stp>
        <tr r="E176" s="2"/>
      </tp>
      <tp t="s">
        <v>#N/A Requesting Data...4126738648</v>
        <stp/>
        <stp>BDP|821502890514656982</stp>
        <tr r="N1068" s="2"/>
      </tp>
      <tp t="s">
        <v>#N/A Requesting Data...4088815136</v>
        <stp/>
        <stp>BDP|332167132347631477</stp>
        <tr r="H706" s="2"/>
      </tp>
      <tp t="s">
        <v>#N/A Requesting Data...4008824608</v>
        <stp/>
        <stp>BDP|374172703756154607</stp>
        <tr r="P1171" s="2"/>
      </tp>
      <tp t="s">
        <v>#N/A Requesting Data...4237528437</v>
        <stp/>
        <stp>BDP|462189519996335703</stp>
        <tr r="C1168" s="2"/>
      </tp>
      <tp t="s">
        <v>#N/A Requesting Data...3924712800</v>
        <stp/>
        <stp>BDP|643147546497571375</stp>
        <tr r="N1374" s="2"/>
      </tp>
      <tp t="s">
        <v>#N/A Requesting Data...4219337781</v>
        <stp/>
        <stp>BDP|481728200017164108</stp>
        <tr r="F1794" s="2"/>
      </tp>
      <tp t="s">
        <v>#N/A Requesting Data...4034874137</v>
        <stp/>
        <stp>BDP|424444952853341367</stp>
        <tr r="R1955" s="2"/>
      </tp>
      <tp t="s">
        <v>#N/A Requesting Data...3733095980</v>
        <stp/>
        <stp>BDP|174764802284771254</stp>
        <tr r="J835" s="2"/>
      </tp>
      <tp t="s">
        <v>#N/A Requesting Data...4188212265</v>
        <stp/>
        <stp>BDP|186056396208237078</stp>
        <tr r="E693" s="2"/>
      </tp>
      <tp t="s">
        <v>#N/A Requesting Data...3951560497</v>
        <stp/>
        <stp>BDP|272663563897805688</stp>
        <tr r="C142" s="2"/>
      </tp>
      <tp t="s">
        <v>#N/A Requesting Data...4284996216</v>
        <stp/>
        <stp>BDP|722765437182300722</stp>
        <tr r="K1378" s="2"/>
      </tp>
      <tp t="s">
        <v>#N/A Requesting Data...4253862760</v>
        <stp/>
        <stp>BDP|492531357694145511</stp>
        <tr r="K1696" s="2"/>
      </tp>
      <tp t="s">
        <v>#N/A Requesting Data...3744852269</v>
        <stp/>
        <stp>BDP|482494263311752291</stp>
        <tr r="J702" s="2"/>
      </tp>
      <tp t="s">
        <v>#N/A Requesting Data...3683599032</v>
        <stp/>
        <stp>BDP|215227077902377640</stp>
        <tr r="S2102" s="2"/>
      </tp>
      <tp t="s">
        <v>#N/A Requesting Data...4223567589</v>
        <stp/>
        <stp>BDP|235798143751005384</stp>
        <tr r="D134" s="2"/>
      </tp>
      <tp t="s">
        <v>#N/A Requesting Data...4292059184</v>
        <stp/>
        <stp>BDP|217771016023590467</stp>
        <tr r="E1330" s="2"/>
      </tp>
      <tp t="s">
        <v>#N/A Requesting Data...3777366917</v>
        <stp/>
        <stp>BDP|455947682506238608</stp>
        <tr r="S930" s="2"/>
      </tp>
      <tp t="s">
        <v>#N/A Requesting Data...4183220225</v>
        <stp/>
        <stp>BDP|721141815994042562</stp>
        <tr r="T779" s="2"/>
      </tp>
      <tp t="b">
        <v>0</v>
        <stp/>
        <stp>BDS|721995789450265059</stp>
        <tr r="I2114" s="2"/>
      </tp>
      <tp t="s">
        <v>#N/A Requesting Data...4056662867</v>
        <stp/>
        <stp>BDP|242355181598526230</stp>
        <tr r="S1562" s="2"/>
      </tp>
      <tp t="s">
        <v>#N/A Requesting Data...4022307472</v>
        <stp/>
        <stp>BDP|583044071272505458</stp>
        <tr r="H1717" s="2"/>
      </tp>
      <tp t="s">
        <v>#N/A Requesting Data...4092932605</v>
        <stp/>
        <stp>BDP|524685018246627030</stp>
        <tr r="R1557" s="2"/>
      </tp>
      <tp t="s">
        <v>#N/A Requesting Data...3962042790</v>
        <stp/>
        <stp>BDP|734727558182572199</stp>
        <tr r="M1505" s="2"/>
      </tp>
      <tp t="b">
        <v>0</v>
        <stp/>
        <stp>BDS|607387125596333699</stp>
        <tr r="I1147" s="2"/>
      </tp>
      <tp t="s">
        <v>#N/A Requesting Data...3806958971</v>
        <stp/>
        <stp>BDP|807196380610182810</stp>
        <tr r="G2128" s="2"/>
      </tp>
      <tp t="s">
        <v>#N/A Requesting Data...4285136830</v>
        <stp/>
        <stp>BDP|464500503924406026</stp>
        <tr r="C1083" s="2"/>
      </tp>
      <tp t="s">
        <v>#N/A Requesting Data...3846074415</v>
        <stp/>
        <stp>BDP|692616977415607575</stp>
        <tr r="H216" s="2"/>
      </tp>
      <tp t="s">
        <v>#N/A Requesting Data...4181778440</v>
        <stp/>
        <stp>BDP|697665785969433609</stp>
        <tr r="T1841" s="2"/>
      </tp>
      <tp t="s">
        <v>#N/A Requesting Data...4211617278</v>
        <stp/>
        <stp>BDP|100284059657179108</stp>
        <tr r="R1515" s="2"/>
      </tp>
      <tp t="s">
        <v>#N/A Requesting Data...4068997024</v>
        <stp/>
        <stp>BDP|963551610651510482</stp>
        <tr r="A295" s="2"/>
      </tp>
      <tp t="s">
        <v>#N/A Requesting Data...4043809489</v>
        <stp/>
        <stp>BDP|457204523102321350</stp>
        <tr r="T1386" s="2"/>
      </tp>
      <tp t="s">
        <v>#N/A Requesting Data...4264637170</v>
        <stp/>
        <stp>BDP|588436845804219504</stp>
        <tr r="N1269" s="2"/>
      </tp>
      <tp t="s">
        <v>#N/A Requesting Data...4076393337</v>
        <stp/>
        <stp>BDP|244193987400552886</stp>
        <tr r="Q950" s="2"/>
      </tp>
      <tp t="s">
        <v>#N/A Requesting Data...4044488667</v>
        <stp/>
        <stp>BDP|452588478926261573</stp>
        <tr r="E2099" s="2"/>
      </tp>
      <tp t="s">
        <v>#N/A Requesting Data...3998135648</v>
        <stp/>
        <stp>BDP|631502305201998582</stp>
        <tr r="J1370" s="2"/>
      </tp>
      <tp t="s">
        <v>#N/A Requesting Data...3987384590</v>
        <stp/>
        <stp>BDP|570385858616686114</stp>
        <tr r="N2354" s="2"/>
      </tp>
      <tp t="s">
        <v>#N/A Requesting Data...3902411395</v>
        <stp/>
        <stp>BDP|764875889335390480</stp>
        <tr r="K913" s="2"/>
      </tp>
      <tp t="s">
        <v>#N/A Requesting Data...4144486918</v>
        <stp/>
        <stp>BDP|669078856170781428</stp>
        <tr r="F2278" s="2"/>
      </tp>
      <tp t="s">
        <v>#N/A Requesting Data...4093914314</v>
        <stp/>
        <stp>BDP|157008456725564100</stp>
        <tr r="A1226" s="2"/>
      </tp>
      <tp t="s">
        <v>#N/A Requesting Data...4057928362</v>
        <stp/>
        <stp>BDP|295695939180590456</stp>
        <tr r="N1003" s="2"/>
      </tp>
      <tp t="s">
        <v>#N/A Requesting Data...3936698498</v>
        <stp/>
        <stp>BDP|259847212451168972</stp>
        <tr r="D1781" s="2"/>
      </tp>
      <tp t="b">
        <v>0</v>
        <stp/>
        <stp>BDS|811133441235175196</stp>
        <tr r="I321" s="2"/>
      </tp>
      <tp t="s">
        <v>#N/A Requesting Data...4226074449</v>
        <stp/>
        <stp>BDP|407987098744715515</stp>
        <tr r="O104" s="2"/>
      </tp>
      <tp t="s">
        <v>#N/A Requesting Data...4234128988</v>
        <stp/>
        <stp>BDP|408596013512911757</stp>
        <tr r="D1069" s="2"/>
      </tp>
      <tp t="b">
        <v>0</v>
        <stp/>
        <stp>BDS|437067621451421257</stp>
        <tr r="I1723" s="2"/>
      </tp>
      <tp t="s">
        <v>#N/A Requesting Data...3960366155</v>
        <stp/>
        <stp>BDP|963902878407435868</stp>
        <tr r="E346" s="2"/>
      </tp>
      <tp t="s">
        <v>#N/A Requesting Data...3919677627</v>
        <stp/>
        <stp>BDP|749315171053282661</stp>
        <tr r="C2082" s="2"/>
      </tp>
      <tp t="s">
        <v>#N/A Requesting Data...3986195655</v>
        <stp/>
        <stp>BDP|667837535518147229</stp>
        <tr r="N2231" s="2"/>
      </tp>
      <tp t="s">
        <v>#N/A Requesting Data...4067877134</v>
        <stp/>
        <stp>BDP|306636728896302380</stp>
        <tr r="S2491" s="2"/>
      </tp>
      <tp t="s">
        <v>#N/A Requesting Data...3911055069</v>
        <stp/>
        <stp>BDP|313117875973201461</stp>
        <tr r="R2060" s="2"/>
      </tp>
      <tp t="s">
        <v>#N/A Requesting Data...3786163729</v>
        <stp/>
        <stp>BDP|357517447069683906</stp>
        <tr r="J2119" s="2"/>
      </tp>
      <tp t="s">
        <v>#N/A Requesting Data...4007768360</v>
        <stp/>
        <stp>BDP|608869612830850890</stp>
        <tr r="E1878" s="2"/>
      </tp>
      <tp t="s">
        <v>#N/A Requesting Data...3870184735</v>
        <stp/>
        <stp>BDP|914167907655833536</stp>
        <tr r="O1595" s="2"/>
      </tp>
      <tp t="b">
        <v>0</v>
        <stp/>
        <stp>BDS|238153532294240743</stp>
        <tr r="I377" s="2"/>
      </tp>
      <tp t="s">
        <v>#N/A Requesting Data...4085000116</v>
        <stp/>
        <stp>BDP|896637316474698379</stp>
        <tr r="J1747" s="2"/>
      </tp>
      <tp t="s">
        <v>#N/A Requesting Data...3859142509</v>
        <stp/>
        <stp>BDP|768355720977689688</stp>
        <tr r="R2127" s="2"/>
      </tp>
      <tp t="s">
        <v>#N/A Requesting Data...3931096991</v>
        <stp/>
        <stp>BDP|717964196721991121</stp>
        <tr r="G534" s="2"/>
      </tp>
      <tp t="s">
        <v>#N/A Requesting Data...3922750797</v>
        <stp/>
        <stp>BDP|873328266416732373</stp>
        <tr r="C1664" s="2"/>
      </tp>
      <tp t="s">
        <v>#N/A Requesting Data...3819699865</v>
        <stp/>
        <stp>BDP|710723523956377397</stp>
        <tr r="J1084" s="2"/>
      </tp>
      <tp t="s">
        <v>#N/A Requesting Data...4138838292</v>
        <stp/>
        <stp>BDP|778766274458999804</stp>
        <tr r="F896" s="2"/>
      </tp>
      <tp t="s">
        <v>#N/A Requesting Data...4144512558</v>
        <stp/>
        <stp>BDP|414681461021807199</stp>
        <tr r="N2099" s="2"/>
      </tp>
      <tp t="s">
        <v>#N/A Requesting Data...3826457491</v>
        <stp/>
        <stp>BDP|192014248500263463</stp>
        <tr r="D853" s="2"/>
      </tp>
      <tp t="s">
        <v>#N/A Requesting Data...3893627202</v>
        <stp/>
        <stp>BDP|304635363271746183</stp>
        <tr r="P1517" s="2"/>
      </tp>
      <tp t="s">
        <v>#N/A Requesting Data...3874340136</v>
        <stp/>
        <stp>BDP|170876989611641152</stp>
        <tr r="P1630" s="2"/>
      </tp>
      <tp t="s">
        <v>#N/A Requesting Data...3856454772</v>
        <stp/>
        <stp>BDP|653987411091049930</stp>
        <tr r="A1756" s="2"/>
      </tp>
      <tp t="s">
        <v>#N/A Requesting Data...3984601319</v>
        <stp/>
        <stp>BDP|924807631272223960</stp>
        <tr r="P303" s="2"/>
      </tp>
      <tp t="s">
        <v>#N/A Requesting Data...3892973562</v>
        <stp/>
        <stp>BDP|590106988061016805</stp>
        <tr r="J500" s="2"/>
      </tp>
      <tp t="s">
        <v>#N/A Requesting Data...4241140776</v>
        <stp/>
        <stp>BDP|810934686897449641</stp>
        <tr r="J1608" s="2"/>
      </tp>
      <tp t="s">
        <v>#N/A Requesting Data...4069333620</v>
        <stp/>
        <stp>BDP|343674859587037408</stp>
        <tr r="Q2070" s="2"/>
      </tp>
      <tp t="s">
        <v>#N/A Requesting Data...4201664811</v>
        <stp/>
        <stp>BDP|997524033683079550</stp>
        <tr r="O1743" s="2"/>
      </tp>
      <tp t="s">
        <v>#N/A Requesting Data...3811561331</v>
        <stp/>
        <stp>BDP|881775262128469947</stp>
        <tr r="M422" s="2"/>
      </tp>
      <tp t="s">
        <v>#N/A Requesting Data...4042358940</v>
        <stp/>
        <stp>BDP|518675934377212294</stp>
        <tr r="J580" s="2"/>
      </tp>
      <tp t="s">
        <v>#N/A Requesting Data...4185144049</v>
        <stp/>
        <stp>BDP|640809095145987475</stp>
        <tr r="P452" s="2"/>
      </tp>
      <tp t="b">
        <v>0</v>
        <stp/>
        <stp>BDS|164121503208421990</stp>
        <tr r="I169" s="2"/>
      </tp>
      <tp t="s">
        <v>#N/A Requesting Data...3892423499</v>
        <stp/>
        <stp>BDP|985142263281789647</stp>
        <tr r="T2130" s="2"/>
      </tp>
      <tp t="s">
        <v>#N/A Requesting Data...4125550369</v>
        <stp/>
        <stp>BDP|162079718154671562</stp>
        <tr r="D427" s="2"/>
      </tp>
      <tp t="s">
        <v>#N/A Requesting Data...4065544187</v>
        <stp/>
        <stp>BDP|472592054592118269</stp>
        <tr r="C1007" s="2"/>
      </tp>
      <tp t="s">
        <v>#N/A Requesting Data...4225741713</v>
        <stp/>
        <stp>BDP|787997987470273155</stp>
        <tr r="E353" s="2"/>
      </tp>
      <tp t="s">
        <v>#N/A Requesting Data...4107757059</v>
        <stp/>
        <stp>BDP|150333783308816378</stp>
        <tr r="N691" s="2"/>
      </tp>
      <tp t="b">
        <v>0</v>
        <stp/>
        <stp>BDS|997996387651017094</stp>
        <tr r="I1041" s="2"/>
      </tp>
      <tp t="s">
        <v>#N/A Requesting Data...4012808135</v>
        <stp/>
        <stp>BDP|955279136822291340</stp>
        <tr r="K758" s="2"/>
      </tp>
      <tp t="s">
        <v>#N/A Requesting Data...3873103036</v>
        <stp/>
        <stp>BDP|792022183658873009</stp>
        <tr r="P110" s="2"/>
      </tp>
      <tp t="s">
        <v>#N/A Requesting Data...4103348947</v>
        <stp/>
        <stp>BDP|408566752417923771</stp>
        <tr r="K2320" s="2"/>
      </tp>
      <tp t="s">
        <v>#N/A Requesting Data...4169159748</v>
        <stp/>
        <stp>BDP|220750618377861192</stp>
        <tr r="O881" s="2"/>
      </tp>
      <tp t="s">
        <v>#N/A Requesting Data...3972152914</v>
        <stp/>
        <stp>BDP|375840272366817930</stp>
        <tr r="A500" s="2"/>
      </tp>
      <tp t="s">
        <v>#N/A Requesting Data...4136962498</v>
        <stp/>
        <stp>BDP|521483806354446008</stp>
        <tr r="Q1147" s="2"/>
      </tp>
      <tp t="s">
        <v>#N/A Requesting Data...3935828109</v>
        <stp/>
        <stp>BDP|924780047371071294</stp>
        <tr r="D525" s="2"/>
      </tp>
      <tp t="s">
        <v>#N/A Requesting Data...4063772141</v>
        <stp/>
        <stp>BDP|702865548628252445</stp>
        <tr r="G271" s="2"/>
      </tp>
      <tp t="s">
        <v>#N/A Requesting Data...4156523093</v>
        <stp/>
        <stp>BDP|816949704938577122</stp>
        <tr r="T2093" s="2"/>
      </tp>
      <tp t="s">
        <v>#N/A Requesting Data...4252269461</v>
        <stp/>
        <stp>BDP|905611040021354341</stp>
        <tr r="N2434" s="2"/>
      </tp>
      <tp t="s">
        <v>#N/A Requesting Data...4043157670</v>
        <stp/>
        <stp>BDP|984373812981176320</stp>
        <tr r="O205" s="2"/>
      </tp>
      <tp t="s">
        <v>#N/A Requesting Data...4032184084</v>
        <stp/>
        <stp>BDP|628343425267987660</stp>
        <tr r="F1727" s="2"/>
      </tp>
      <tp t="s">
        <v>#N/A Requesting Data...3999303982</v>
        <stp/>
        <stp>BDP|834247505193065118</stp>
        <tr r="P938" s="2"/>
      </tp>
      <tp t="s">
        <v>#N/A Requesting Data...4162338111</v>
        <stp/>
        <stp>BDP|877615956235298650</stp>
        <tr r="P2005" s="2"/>
      </tp>
      <tp t="s">
        <v>#N/A Requesting Data...4213705807</v>
        <stp/>
        <stp>BDP|677160008130586150</stp>
        <tr r="K695" s="2"/>
      </tp>
      <tp t="b">
        <v>0</v>
        <stp/>
        <stp>BDS|497682004344762272</stp>
        <tr r="I1112" s="2"/>
      </tp>
      <tp t="s">
        <v>#N/A Requesting Data...4235344515</v>
        <stp/>
        <stp>BDP|897112785600307971</stp>
        <tr r="K1935" s="2"/>
      </tp>
      <tp t="s">
        <v>#N/A Requesting Data...3943697857</v>
        <stp/>
        <stp>BDP|945932281289590860</stp>
        <tr r="A2085" s="2"/>
      </tp>
      <tp t="s">
        <v>#N/A Requesting Data...3923274652</v>
        <stp/>
        <stp>BDP|839774605215201207</stp>
        <tr r="D2339" s="2"/>
      </tp>
      <tp t="b">
        <v>0</v>
        <stp/>
        <stp>BDS|781910897418862819</stp>
        <tr r="I723" s="2"/>
      </tp>
      <tp t="s">
        <v>#N/A Requesting Data...4053715524</v>
        <stp/>
        <stp>BDP|242264028122548211</stp>
        <tr r="G1156" s="2"/>
      </tp>
      <tp t="s">
        <v>#N/A Requesting Data...4024853011</v>
        <stp/>
        <stp>BDP|429891125148756273</stp>
        <tr r="R944" s="2"/>
      </tp>
      <tp t="s">
        <v>#N/A Requesting Data...4124370166</v>
        <stp/>
        <stp>BDP|852067584718028023</stp>
        <tr r="N343" s="2"/>
      </tp>
      <tp t="s">
        <v>#N/A Requesting Data...3891369905</v>
        <stp/>
        <stp>BDP|270432889494367832</stp>
        <tr r="K2022" s="2"/>
      </tp>
      <tp t="s">
        <v>#N/A Requesting Data...4196722259</v>
        <stp/>
        <stp>BDP|244528758263649372</stp>
        <tr r="C1015" s="2"/>
      </tp>
      <tp t="s">
        <v>#N/A Requesting Data...4183550443</v>
        <stp/>
        <stp>BDP|482472063772839017</stp>
        <tr r="P249" s="2"/>
      </tp>
      <tp t="s">
        <v>#N/A Requesting Data...4276846068</v>
        <stp/>
        <stp>BDP|215692991048158728</stp>
        <tr r="T1451" s="2"/>
      </tp>
      <tp t="s">
        <v>#N/A Requesting Data...4075447462</v>
        <stp/>
        <stp>BDP|106320852487139198</stp>
        <tr r="H495" s="2"/>
      </tp>
      <tp t="s">
        <v>#N/A Requesting Data...4052995589</v>
        <stp/>
        <stp>BDP|152021279983550469</stp>
        <tr r="E807" s="2"/>
      </tp>
      <tp t="s">
        <v>#N/A Requesting Data...4204530387</v>
        <stp/>
        <stp>BDP|681097610569693804</stp>
        <tr r="H462" s="2"/>
      </tp>
      <tp t="s">
        <v>#N/A Requesting Data...4166791155</v>
        <stp/>
        <stp>BDP|815473997505132801</stp>
        <tr r="F996" s="2"/>
      </tp>
      <tp t="s">
        <v>#N/A Requesting Data...3979062410</v>
        <stp/>
        <stp>BDP|380316622473848223</stp>
        <tr r="R1006" s="2"/>
      </tp>
      <tp t="s">
        <v>#N/A Requesting Data...4043779984</v>
        <stp/>
        <stp>BDP|870452035977670046</stp>
        <tr r="H2048" s="2"/>
      </tp>
      <tp t="s">
        <v>#N/A Requesting Data...4102234205</v>
        <stp/>
        <stp>BDP|740601429550225461</stp>
        <tr r="S1406" s="2"/>
      </tp>
      <tp t="s">
        <v>#N/A Requesting Data...4037017003</v>
        <stp/>
        <stp>BDP|917256248522931475</stp>
        <tr r="J1623" s="2"/>
      </tp>
      <tp t="s">
        <v>#N/A Requesting Data...4089394923</v>
        <stp/>
        <stp>BDP|300189446340213542</stp>
        <tr r="H641" s="2"/>
      </tp>
      <tp t="s">
        <v>#N/A Requesting Data...3936413803</v>
        <stp/>
        <stp>BDP|114901009689397000</stp>
        <tr r="O41" s="2"/>
      </tp>
      <tp t="s">
        <v>#N/A Requesting Data...4255506329</v>
        <stp/>
        <stp>BDP|962635490126786966</stp>
        <tr r="A2406" s="2"/>
      </tp>
      <tp t="s">
        <v>#N/A Requesting Data...4270975582</v>
        <stp/>
        <stp>BDP|350372504956349587</stp>
        <tr r="P449" s="2"/>
      </tp>
      <tp t="s">
        <v>#N/A Requesting Data...4166904152</v>
        <stp/>
        <stp>BDP|925169141232116745</stp>
        <tr r="Q1853" s="2"/>
      </tp>
      <tp t="s">
        <v>#N/A Requesting Data...4135230023</v>
        <stp/>
        <stp>BDP|892440563546650424</stp>
        <tr r="K1628" s="2"/>
      </tp>
      <tp t="s">
        <v>#N/A Requesting Data...4161789536</v>
        <stp/>
        <stp>BDP|872626446525214757</stp>
        <tr r="C2398" s="2"/>
      </tp>
      <tp t="s">
        <v>#N/A Requesting Data...3945558660</v>
        <stp/>
        <stp>BDP|561534348098407911</stp>
        <tr r="N2126" s="2"/>
      </tp>
      <tp t="s">
        <v>#N/A Requesting Data...4147416096</v>
        <stp/>
        <stp>BDP|281397391472735893</stp>
        <tr r="R1076" s="2"/>
      </tp>
      <tp t="s">
        <v>#N/A Requesting Data...3971178680</v>
        <stp/>
        <stp>BDP|737754692018590617</stp>
        <tr r="T1837" s="2"/>
      </tp>
      <tp t="b">
        <v>0</v>
        <stp/>
        <stp>BDS|378179469795945204</stp>
        <tr r="I581" s="2"/>
      </tp>
      <tp t="s">
        <v>#N/A Requesting Data...4140594979</v>
        <stp/>
        <stp>BDP|146075717894464511</stp>
        <tr r="K1211" s="2"/>
      </tp>
      <tp t="s">
        <v>#N/A Requesting Data...4248756371</v>
        <stp/>
        <stp>BDP|564998533939884330</stp>
        <tr r="O1431" s="2"/>
      </tp>
      <tp t="s">
        <v>#N/A Requesting Data...4274588601</v>
        <stp/>
        <stp>BDP|316362297388381259</stp>
        <tr r="T1238" s="2"/>
      </tp>
      <tp t="s">
        <v>#N/A Requesting Data...4284046970</v>
        <stp/>
        <stp>BDP|890106238710314278</stp>
        <tr r="H1051" s="2"/>
      </tp>
      <tp t="s">
        <v>#N/A Requesting Data...4091159890</v>
        <stp/>
        <stp>BDP|201304822668109953</stp>
        <tr r="C750" s="2"/>
      </tp>
      <tp t="s">
        <v>#N/A Requesting Data...4119154805</v>
        <stp/>
        <stp>BDP|185970495041091177</stp>
        <tr r="F236" s="2"/>
      </tp>
      <tp t="s">
        <v>#N/A Requesting Data...4045489469</v>
        <stp/>
        <stp>BDP|576122660282682558</stp>
        <tr r="F449" s="2"/>
      </tp>
      <tp t="s">
        <v>#N/A Requesting Data...4092873897</v>
        <stp/>
        <stp>BDP|516315975713569701</stp>
        <tr r="Q2093" s="2"/>
      </tp>
      <tp t="s">
        <v>#N/A Requesting Data...4250828809</v>
        <stp/>
        <stp>BDP|598879993781779025</stp>
        <tr r="E135" s="2"/>
      </tp>
      <tp t="s">
        <v>#N/A Requesting Data...4035055402</v>
        <stp/>
        <stp>BDP|357414846977768764</stp>
        <tr r="K2441" s="2"/>
      </tp>
      <tp t="s">
        <v>#N/A Requesting Data...4089369810</v>
        <stp/>
        <stp>BDP|257866327069487325</stp>
        <tr r="Q653" s="2"/>
      </tp>
      <tp t="s">
        <v>#N/A Requesting Data...4095867995</v>
        <stp/>
        <stp>BDP|763614030355748048</stp>
        <tr r="D1260" s="2"/>
      </tp>
      <tp t="b">
        <v>0</v>
        <stp/>
        <stp>BDS|162369959573812539</stp>
        <tr r="I71" s="2"/>
      </tp>
      <tp t="s">
        <v>#N/A Requesting Data...4128341002</v>
        <stp/>
        <stp>BDP|511316302480673357</stp>
        <tr r="O1378" s="2"/>
      </tp>
      <tp t="s">
        <v>#N/A Requesting Data...4145593278</v>
        <stp/>
        <stp>BDP|925382765532726767</stp>
        <tr r="G1858" s="2"/>
      </tp>
      <tp t="s">
        <v>#N/A Requesting Data...4270232989</v>
        <stp/>
        <stp>BDP|933055866126861070</stp>
        <tr r="A1340" s="2"/>
      </tp>
      <tp t="b">
        <v>0</v>
        <stp/>
        <stp>BDS|265881119461756817</stp>
        <tr r="I2379" s="2"/>
      </tp>
      <tp t="s">
        <v>#N/A Requesting Data...4124114300</v>
        <stp/>
        <stp>BDP|860383681959087242</stp>
        <tr r="C1595" s="2"/>
      </tp>
      <tp t="b">
        <v>0</v>
        <stp/>
        <stp>BDS|592215852203189422</stp>
        <tr r="I2084" s="2"/>
      </tp>
      <tp t="s">
        <v>#N/A Requesting Data...4155952672</v>
        <stp/>
        <stp>BDP|989583961595141670</stp>
        <tr r="M185" s="2"/>
      </tp>
      <tp t="s">
        <v>#N/A Requesting Data...4119237568</v>
        <stp/>
        <stp>BDP|728328352227527143</stp>
        <tr r="O643" s="2"/>
      </tp>
      <tp t="s">
        <v>#N/A Requesting Data...4139154539</v>
        <stp/>
        <stp>BDP|182455654544709515</stp>
        <tr r="J1341" s="2"/>
      </tp>
      <tp t="s">
        <v>#N/A Requesting Data...4283932656</v>
        <stp/>
        <stp>BDP|699712047266325556</stp>
        <tr r="O986" s="2"/>
      </tp>
      <tp t="s">
        <v>#N/A Requesting Data...4214414868</v>
        <stp/>
        <stp>BDP|205357492728450278</stp>
        <tr r="P1540" s="2"/>
      </tp>
      <tp t="s">
        <v>#N/A Requesting Data...4093203356</v>
        <stp/>
        <stp>BDP|270273571324718156</stp>
        <tr r="P1857" s="2"/>
      </tp>
      <tp t="s">
        <v>#N/A Requesting Data...4233030611</v>
        <stp/>
        <stp>BDP|106674896396420922</stp>
        <tr r="G2499" s="2"/>
      </tp>
      <tp t="s">
        <v>#N/A Requesting Data...4032522321</v>
        <stp/>
        <stp>BDP|425332197383785900</stp>
        <tr r="O346" s="2"/>
      </tp>
      <tp t="s">
        <v>#N/A Requesting Data...4181351224</v>
        <stp/>
        <stp>BDP|810706298938150664</stp>
        <tr r="T1843" s="2"/>
      </tp>
      <tp t="s">
        <v>#N/A Requesting Data...4113624447</v>
        <stp/>
        <stp>BDP|626584820901846617</stp>
        <tr r="C1948" s="2"/>
      </tp>
      <tp t="s">
        <v>#N/A Requesting Data...4285984102</v>
        <stp/>
        <stp>BDP|596073497199528074</stp>
        <tr r="Q611" s="2"/>
      </tp>
      <tp t="s">
        <v>#N/A Requesting Data...4288317326</v>
        <stp/>
        <stp>BDP|440460189175478984</stp>
        <tr r="R647" s="2"/>
      </tp>
      <tp t="s">
        <v>#N/A Requesting Data...4105459856</v>
        <stp/>
        <stp>BDP|121972771029676761</stp>
        <tr r="P1233" s="2"/>
      </tp>
      <tp t="s">
        <v>#N/A Requesting Data...4178560844</v>
        <stp/>
        <stp>BDP|561165352294721014</stp>
        <tr r="Q484" s="2"/>
      </tp>
      <tp t="s">
        <v>#N/A Requesting Data...4280358232</v>
        <stp/>
        <stp>BDP|708482266163859161</stp>
        <tr r="D1438" s="2"/>
      </tp>
      <tp t="s">
        <v>#N/A Requesting Data...4199772000</v>
        <stp/>
        <stp>BDP|783425082634584854</stp>
        <tr r="H1020" s="2"/>
      </tp>
      <tp t="s">
        <v>#N/A Requesting Data...4084837263</v>
        <stp/>
        <stp>BDP|221174454020050419</stp>
        <tr r="O737" s="2"/>
      </tp>
      <tp t="s">
        <v>#N/A Requesting Data...4187279200</v>
        <stp/>
        <stp>BDP|459025777800017712</stp>
        <tr r="F2202" s="2"/>
      </tp>
      <tp t="s">
        <v>#N/A Requesting Data...4095335822</v>
        <stp/>
        <stp>BDP|411963032778689263</stp>
        <tr r="O2497" s="2"/>
      </tp>
      <tp t="s">
        <v>#N/A Requesting Data...4131808857</v>
        <stp/>
        <stp>BDP|907799950124536656</stp>
        <tr r="D1096" s="2"/>
      </tp>
      <tp t="s">
        <v>#N/A Requesting Data...4290535573</v>
        <stp/>
        <stp>BDP|427545631434027210</stp>
        <tr r="C1871" s="2"/>
      </tp>
      <tp t="s">
        <v>#N/A Requesting Data...4287798560</v>
        <stp/>
        <stp>BDP|675748702651953686</stp>
        <tr r="O506" s="2"/>
      </tp>
      <tp t="s">
        <v>#N/A Requesting Data...4104825558</v>
        <stp/>
        <stp>BDP|751866003149382102</stp>
        <tr r="E1481" s="2"/>
      </tp>
      <tp t="s">
        <v>#N/A Requesting Data...4068868672</v>
        <stp/>
        <stp>BDP|744100812052132257</stp>
        <tr r="K559" s="2"/>
      </tp>
      <tp t="s">
        <v>#N/A Requesting Data...4148650274</v>
        <stp/>
        <stp>BDP|226973892736211647</stp>
        <tr r="E1997" s="2"/>
      </tp>
      <tp t="s">
        <v>#N/A Requesting Data...4108353470</v>
        <stp/>
        <stp>BDP|139924893777153705</stp>
        <tr r="R519" s="2"/>
      </tp>
      <tp t="s">
        <v>#N/A Requesting Data...4265936099</v>
        <stp/>
        <stp>BDP|334804870996118938</stp>
        <tr r="T1774" s="2"/>
      </tp>
      <tp t="s">
        <v>#N/A Requesting Data...4121874740</v>
        <stp/>
        <stp>BDP|218832598405025481</stp>
        <tr r="Q43" s="2"/>
      </tp>
      <tp t="s">
        <v>#N/A Requesting Data...4227305826</v>
        <stp/>
        <stp>BDP|950685906977383155</stp>
        <tr r="D1403" s="2"/>
      </tp>
      <tp t="s">
        <v>#N/A Requesting Data...4204513925</v>
        <stp/>
        <stp>BDP|996077818381728034</stp>
        <tr r="M2479" s="2"/>
      </tp>
      <tp t="s">
        <v>#N/A Requesting Data...4272357780</v>
        <stp/>
        <stp>BDP|729655467989578921</stp>
        <tr r="M649" s="2"/>
      </tp>
      <tp t="s">
        <v>#N/A Requesting Data...4242154832</v>
        <stp/>
        <stp>BDP|138033013933222212</stp>
        <tr r="P1080" s="2"/>
      </tp>
      <tp t="s">
        <v>#N/A Requesting Data...4118850408</v>
        <stp/>
        <stp>BDP|379534420034494365</stp>
        <tr r="G1255" s="2"/>
      </tp>
      <tp t="s">
        <v>#N/A Requesting Data...4101104551</v>
        <stp/>
        <stp>BDP|616154602304678552</stp>
        <tr r="C1655" s="2"/>
      </tp>
      <tp t="s">
        <v>#N/A Requesting Data...4243844051</v>
        <stp/>
        <stp>BDP|902330760052937710</stp>
        <tr r="S1495" s="2"/>
      </tp>
      <tp t="s">
        <v>#N/A Requesting Data...4172568076</v>
        <stp/>
        <stp>BDP|536123382839496030</stp>
        <tr r="S2521" s="2"/>
      </tp>
      <tp t="s">
        <v>#N/A Requesting Data...4257096684</v>
        <stp/>
        <stp>BDP|644316410493220171</stp>
        <tr r="R1474" s="2"/>
      </tp>
      <tp t="s">
        <v>#N/A Requesting Data...4236546448</v>
        <stp/>
        <stp>BDP|653950001430704974</stp>
        <tr r="T1693" s="2"/>
      </tp>
      <tp t="b">
        <v>0</v>
        <stp/>
        <stp>BDS|785302856647474161</stp>
        <tr r="I1796" s="2"/>
      </tp>
      <tp t="s">
        <v>#N/A Requesting Data...4248979293</v>
        <stp/>
        <stp>BDP|673317651470149649</stp>
        <tr r="Q757" s="2"/>
      </tp>
      <tp t="s">
        <v>#N/A Requesting Data...4101500191</v>
        <stp/>
        <stp>BDP|422624105067984190</stp>
        <tr r="T97" s="2"/>
      </tp>
      <tp t="s">
        <v>#N/A Requesting Data...4168439340</v>
        <stp/>
        <stp>BDP|111108640304770151</stp>
        <tr r="R500" s="2"/>
      </tp>
      <tp t="s">
        <v>#N/A Requesting Data...4257667838</v>
        <stp/>
        <stp>BDP|482995295398831830</stp>
        <tr r="J516" s="2"/>
      </tp>
      <tp t="s">
        <v>#N/A Requesting Data...4132185605</v>
        <stp/>
        <stp>BDP|866946065747312895</stp>
        <tr r="O712" s="2"/>
      </tp>
      <tp t="s">
        <v>#N/A Requesting Data...4192674624</v>
        <stp/>
        <stp>BDP|983169035555112781</stp>
        <tr r="S509" s="2"/>
      </tp>
      <tp t="s">
        <v>#N/A Requesting Data...4247018791</v>
        <stp/>
        <stp>BDP|678399457974481105</stp>
        <tr r="G1075" s="2"/>
      </tp>
      <tp t="s">
        <v>#N/A Requesting Data...4145984581</v>
        <stp/>
        <stp>BDP|710539578080960194</stp>
        <tr r="C1584" s="2"/>
      </tp>
      <tp t="s">
        <v>#N/A Requesting Data...4139614157</v>
        <stp/>
        <stp>BDP|582375050780699589</stp>
        <tr r="P614" s="2"/>
      </tp>
      <tp t="s">
        <v>#N/A Requesting Data...4272969775</v>
        <stp/>
        <stp>BDP|468684462832784159</stp>
        <tr r="K348" s="2"/>
      </tp>
      <tp t="s">
        <v>#N/A Requesting Data...4127832127</v>
        <stp/>
        <stp>BDP|158417354791046389</stp>
        <tr r="D129" s="2"/>
      </tp>
      <tp t="s">
        <v>#N/A Requesting Data...4292594824</v>
        <stp/>
        <stp>BDP|572281290098042010</stp>
        <tr r="M2286" s="2"/>
      </tp>
      <tp t="s">
        <v>#N/A Requesting Data...4184059746</v>
        <stp/>
        <stp>BDP|435711956789822877</stp>
        <tr r="D2010" s="2"/>
      </tp>
      <tp t="s">
        <v>#N/A Requesting Data...4176149727</v>
        <stp/>
        <stp>BDP|590033604835666685</stp>
        <tr r="J2186" s="2"/>
      </tp>
      <tp t="b">
        <v>0</v>
        <stp/>
        <stp>BDS|941674212054164013</stp>
        <tr r="I532" s="2"/>
      </tp>
      <tp t="s">
        <v>#N/A Requesting Data...4288711225</v>
        <stp/>
        <stp>BDP|153490238121582586</stp>
        <tr r="J1633" s="2"/>
      </tp>
      <tp t="s">
        <v>#N/A Requesting Data...4228933409</v>
        <stp/>
        <stp>BDP|112744449703491351</stp>
        <tr r="Q1068" s="2"/>
      </tp>
      <tp t="s">
        <v>#N/A Requesting Data...4209069461</v>
        <stp/>
        <stp>BDP|300913678369198460</stp>
        <tr r="O2352" s="2"/>
      </tp>
      <tp t="s">
        <v>#N/A Requesting Data...4224211144</v>
        <stp/>
        <stp>BDP|963572861036743659</stp>
        <tr r="D1209" s="2"/>
      </tp>
      <tp t="s">
        <v>#N/A Requesting Data...4162598569</v>
        <stp/>
        <stp>BDP|332371661622843402</stp>
        <tr r="E685" s="2"/>
      </tp>
      <tp t="s">
        <v>#N/A Requesting Data...4161224360</v>
        <stp/>
        <stp>BDP|324795711532587738</stp>
        <tr r="A497" s="2"/>
      </tp>
      <tp t="s">
        <v>#N/A Requesting Data...4197308595</v>
        <stp/>
        <stp>BDP|917225655377151320</stp>
        <tr r="E2441" s="2"/>
      </tp>
      <tp t="s">
        <v>#N/A Requesting Data...4231667266</v>
        <stp/>
        <stp>BDP|746758847932939216</stp>
        <tr r="N1910" s="2"/>
      </tp>
      <tp t="s">
        <v>#N/A Requesting Data...4161651856</v>
        <stp/>
        <stp>BDP|197229513718833855</stp>
        <tr r="G1737" s="2"/>
      </tp>
      <tp t="s">
        <v>#N/A Requesting Data...4248326380</v>
        <stp/>
        <stp>BDP|152685936773558573</stp>
        <tr r="S1357" s="2"/>
      </tp>
      <tp t="s">
        <v>#N/A Requesting Data...4277184925</v>
        <stp/>
        <stp>BDP|567081536455361554</stp>
        <tr r="N1694" s="2"/>
      </tp>
      <tp t="s">
        <v>#N/A Requesting Data...4289563868</v>
        <stp/>
        <stp>BDP|485570509974102267</stp>
        <tr r="H773" s="2"/>
      </tp>
      <tp t="s">
        <v>#N/A Requesting Data...4227110983</v>
        <stp/>
        <stp>BDP|110577942576055491</stp>
        <tr r="G1273" s="2"/>
      </tp>
      <tp t="s">
        <v>#N/A Requesting Data...4266284934</v>
        <stp/>
        <stp>BDP|432360118675549426</stp>
        <tr r="C765" s="2"/>
      </tp>
      <tp t="s">
        <v>#N/A Requesting Data...4276891247</v>
        <stp/>
        <stp>BDP|702434276142601292</stp>
        <tr r="J1397" s="2"/>
      </tp>
      <tp t="s">
        <v>#N/A Requesting Data...4267609660</v>
        <stp/>
        <stp>BDP|228652559044658451</stp>
        <tr r="J103" s="2"/>
      </tp>
      <tp t="s">
        <v>#N/A Requesting Data...4237535892</v>
        <stp/>
        <stp>BDP|843631246375524450</stp>
        <tr r="T907" s="2"/>
      </tp>
      <tp t="s">
        <v>#N/A Requesting Data...4185675736</v>
        <stp/>
        <stp>BDP|921457676589304945</stp>
        <tr r="A1899" s="2"/>
      </tp>
      <tp t="s">
        <v>#N/A Requesting Data...4259133879</v>
        <stp/>
        <stp>BDP|720732060323988131</stp>
        <tr r="J2263" s="2"/>
      </tp>
      <tp t="s">
        <v>#N/A Requesting Data...4253922588</v>
        <stp/>
        <stp>BDP|825222005928932984</stp>
        <tr r="O1515" s="2"/>
      </tp>
      <tp t="s">
        <v>#N/A Requesting Data...4282122287</v>
        <stp/>
        <stp>BDP|452040208273180070</stp>
        <tr r="Q2306" s="2"/>
      </tp>
      <tp t="s">
        <v>#N/A Requesting Data...4272380519</v>
        <stp/>
        <stp>BDP|909095334925811521</stp>
        <tr r="N2481" s="2"/>
      </tp>
      <tp t="s">
        <v>#N/A Requesting Data...4234884576</v>
        <stp/>
        <stp>BDP|425828699394950680</stp>
        <tr r="J450" s="2"/>
      </tp>
      <tp t="s">
        <v>#N/A Requesting Data...4284470141</v>
        <stp/>
        <stp>BDP|703033810532835026</stp>
        <tr r="G195" s="2"/>
      </tp>
      <tp t="s">
        <v>#N/A Requesting Data...4259687934</v>
        <stp/>
        <stp>BDP|853757325040722613</stp>
        <tr r="E386" s="2"/>
      </tp>
      <tp t="s">
        <v>#N/A Requesting Data...4239378072</v>
        <stp/>
        <stp>BDP|906634422342198579</stp>
        <tr r="G2492" s="2"/>
      </tp>
      <tp t="s">
        <v>#N/A Requesting Data...4287086071</v>
        <stp/>
        <stp>BDP|257581163844037465</stp>
        <tr r="J1255" s="2"/>
      </tp>
      <tp t="s">
        <v>#N/A Requesting Data...4290884460</v>
        <stp/>
        <stp>BDP|384416549441105252</stp>
        <tr r="E1572" s="2"/>
      </tp>
      <tp t="s">
        <v>#N/A Requesting Data...4245766134</v>
        <stp/>
        <stp>BDP|558308928737731555</stp>
        <tr r="A1621" s="2"/>
      </tp>
      <tp t="s">
        <v>#N/A Requesting Data...4281792705</v>
        <stp/>
        <stp>BDP|261221701804650589</stp>
        <tr r="R897" s="2"/>
      </tp>
      <tp t="s">
        <v>#N/A Requesting Data...4253718351</v>
        <stp/>
        <stp>BDP|522630838506766060</stp>
        <tr r="P1155" s="2"/>
      </tp>
      <tp t="s">
        <v>#N/A Requesting Data...4226126123</v>
        <stp/>
        <stp>BDP|912556826372121640</stp>
        <tr r="N2271" s="2"/>
      </tp>
      <tp t="s">
        <v>#N/A Requesting Data...4234380012</v>
        <stp/>
        <stp>BDP|941466379510040095</stp>
        <tr r="G1978" s="2"/>
      </tp>
      <tp t="s">
        <v>#N/A Requesting Data...4231102084</v>
        <stp/>
        <stp>BDP|881809587747229420</stp>
        <tr r="Q1087" s="2"/>
      </tp>
      <tp t="s">
        <v>#N/A Requesting Data...4275994998</v>
        <stp/>
        <stp>BDP|535003642112170593</stp>
        <tr r="E1410" s="2"/>
      </tp>
      <tp t="s">
        <v>#N/A Requesting Data...4252079437</v>
        <stp/>
        <stp>BDP|595915981895382799</stp>
        <tr r="J1751" s="2"/>
      </tp>
      <tp t="s">
        <v>#N/A Requesting Data...4292286841</v>
        <stp/>
        <stp>BDP|478537367274095481</stp>
        <tr r="S1078" s="2"/>
      </tp>
      <tp t="s">
        <v>#N/A Requesting Data...4241848814</v>
        <stp/>
        <stp>BDP|659485778944959476</stp>
        <tr r="K1069" s="2"/>
      </tp>
      <tp t="s">
        <v>#N/A Requesting Data...4279915090</v>
        <stp/>
        <stp>BDP|154280917671784113</stp>
        <tr r="A1314" s="2"/>
      </tp>
      <tp t="s">
        <v>#N/A Requesting Data...4272807818</v>
        <stp/>
        <stp>BDP|682536662885688591</stp>
        <tr r="G1730" s="2"/>
      </tp>
      <tp t="s">
        <v>#N/A Requesting Data...4245778742</v>
        <stp/>
        <stp>BDP|549015575873107789</stp>
        <tr r="M1383" s="2"/>
      </tp>
      <tp t="s">
        <v>#N/A Requesting Data...4260911372</v>
        <stp/>
        <stp>BDP|995344593961576832</stp>
        <tr r="D1995" s="2"/>
      </tp>
      <tp t="s">
        <v>#N/A Requesting Data...4250287063</v>
        <stp/>
        <stp>BDP|521057588249951296</stp>
        <tr r="O2450" s="2"/>
      </tp>
      <tp t="s">
        <v>#N/A Requesting Data...4285406681</v>
        <stp/>
        <stp>BDP|197723747736502698</stp>
        <tr r="D688" s="2"/>
      </tp>
      <tp t="s">
        <v>#N/A Requesting Data...4271105958</v>
        <stp/>
        <stp>BDP|651340627256966444</stp>
        <tr r="A1352" s="2"/>
      </tp>
      <tp t="s">
        <v>#N/A Requesting Data...4289371957</v>
        <stp/>
        <stp>BDP|287945133181885849</stp>
        <tr r="O1151" s="2"/>
      </tp>
      <tp t="s">
        <v>#N/A Requesting Data...4287382559</v>
        <stp/>
        <stp>BDP|946725085634658815</stp>
        <tr r="T1457" s="2"/>
      </tp>
      <tp t="s">
        <v>#N/A Requesting Data...4290153427</v>
        <stp/>
        <stp>BDP|916798168230000223</stp>
        <tr r="P266" s="2"/>
      </tp>
      <tp t="s">
        <v>#N/A Requesting Data...4280358447</v>
        <stp/>
        <stp>BDP|895461879128842850</stp>
        <tr r="E257" s="2"/>
      </tp>
      <tp t="s">
        <v>#N/A Requesting Data...4283499418</v>
        <stp/>
        <stp>BDP|444509554127376496</stp>
        <tr r="H1373" s="2"/>
      </tp>
      <tp t="s">
        <v>#N/A Requesting Data...4283669810</v>
        <stp/>
        <stp>BDP|688983884430985295</stp>
        <tr r="A1167" s="2"/>
      </tp>
      <tp t="s">
        <v>#N/A Requesting Data...4291552729</v>
        <stp/>
        <stp>BDP|553754984518713496</stp>
        <tr r="O938" s="2"/>
      </tp>
      <tp t="s">
        <v>#N/A Requesting Data...4291480650</v>
        <stp/>
        <stp>BDP|547252642595836001</stp>
        <tr r="C453" s="2"/>
      </tp>
      <tp t="s">
        <v>#N/A Requesting Data...4285424484</v>
        <stp/>
        <stp>BDP|676582844576408446</stp>
        <tr r="M553" s="2"/>
      </tp>
      <tp t="s">
        <v>#N/A Requesting Data...4287359958</v>
        <stp/>
        <stp>BDP|201390717417443626</stp>
        <tr r="H1558" s="2"/>
      </tp>
      <tp t="s">
        <v>#N/A Requesting Data...4293102921</v>
        <stp/>
        <stp>BDP|320294903326236713</stp>
        <tr r="E1462" s="2"/>
      </tp>
      <tp t="s">
        <v>#N/A Requesting Data...4288927798</v>
        <stp/>
        <stp>BDP|392734169802078028</stp>
        <tr r="M2477" s="2"/>
      </tp>
      <tp t="s">
        <v>#N/A Requesting Data...4291475349</v>
        <stp/>
        <stp>BDP|912067993459409338</stp>
        <tr r="M1011" s="2"/>
      </tp>
      <tp t="s">
        <v>#N/A Requesting Data...4293509021</v>
        <stp/>
        <stp>BDP|546694983078322579</stp>
        <tr r="C321" s="2"/>
      </tp>
      <tp t="s">
        <v>#N/A Requesting Data...175397435</v>
        <stp/>
        <stp>BDP|598155434784640591</stp>
        <tr r="P719" s="2"/>
      </tp>
      <tp t="s">
        <v>#N/A Requesting Data...23004264</v>
        <stp/>
        <stp>BDP|835576156651096226</stp>
        <tr r="O1447" s="2"/>
      </tp>
      <tp t="s">
        <v>#N/A Requesting Data...4261105429</v>
        <stp/>
        <stp>BDP|453332219474765527</stp>
        <tr r="H612" s="2"/>
      </tp>
      <tp t="s">
        <v>#N/A Requesting Data...3757614756</v>
        <stp/>
        <stp>BDP|937127241634325222</stp>
        <tr r="H2428" s="2"/>
      </tp>
      <tp t="s">
        <v>#N/A Requesting Data...2660813984</v>
        <stp/>
        <stp>BDP|664345090371179884</stp>
        <tr r="O2165" s="2"/>
      </tp>
      <tp t="s">
        <v>#N/A Requesting Data...2374442206</v>
        <stp/>
        <stp>BDP|336722072216924512</stp>
        <tr r="D1853" s="2"/>
      </tp>
      <tp t="s">
        <v>#N/A Requesting Data...3161916011</v>
        <stp/>
        <stp>BDP|941493019080003622</stp>
        <tr r="J44" s="2"/>
      </tp>
      <tp t="s">
        <v>#N/A Requesting Data...1214602529</v>
        <stp/>
        <stp>BDP|283088488092920907</stp>
        <tr r="N1199" s="2"/>
      </tp>
      <tp t="s">
        <v>#N/A Requesting Data...2869433120</v>
        <stp/>
        <stp>BDP|177706978784400799</stp>
        <tr r="P411" s="2"/>
      </tp>
      <tp t="s">
        <v>#N/A Requesting Data...1639306636</v>
        <stp/>
        <stp>BDP|226172629516807608</stp>
        <tr r="T1255" s="2"/>
      </tp>
      <tp t="s">
        <v>#N/A Requesting Data...2189422390</v>
        <stp/>
        <stp>BDP|810365969513233510</stp>
        <tr r="D183" s="2"/>
      </tp>
      <tp t="s">
        <v>#N/A Requesting Data...4024066890</v>
        <stp/>
        <stp>BDP|903076849362505566</stp>
        <tr r="R2285" s="2"/>
      </tp>
      <tp t="s">
        <v>#N/A Requesting Data...1861460685</v>
        <stp/>
        <stp>BDP|589309064547470113</stp>
        <tr r="A1413" s="2"/>
      </tp>
      <tp t="s">
        <v>#N/A Requesting Data...3978691274</v>
        <stp/>
        <stp>BDP|272943257168604735</stp>
        <tr r="D1760" s="2"/>
      </tp>
      <tp t="s">
        <v>#N/A Requesting Data...3706238453</v>
        <stp/>
        <stp>BDP|593679980829343458</stp>
        <tr r="H1183" s="2"/>
      </tp>
      <tp t="s">
        <v>#N/A Requesting Data...335986554</v>
        <stp/>
        <stp>BDP|432252378177439196</stp>
        <tr r="E366" s="2"/>
      </tp>
      <tp t="s">
        <v>#N/A Requesting Data...2884278398</v>
        <stp/>
        <stp>BDP|416467834116741248</stp>
        <tr r="A1261" s="2"/>
      </tp>
      <tp t="s">
        <v>#N/A Requesting Data...2881271651</v>
        <stp/>
        <stp>BDP|757774301813697728</stp>
        <tr r="Q1349" s="2"/>
      </tp>
      <tp t="s">
        <v>#N/A Requesting Data...3895207291</v>
        <stp/>
        <stp>BDP|735314611996076720</stp>
        <tr r="D138" s="2"/>
      </tp>
      <tp t="s">
        <v>#N/A Requesting Data...3566029155</v>
        <stp/>
        <stp>BDP|697774191739142440</stp>
        <tr r="N131" s="2"/>
      </tp>
      <tp t="s">
        <v>#N/A Requesting Data...3359489292</v>
        <stp/>
        <stp>BDP|179478866069148847</stp>
        <tr r="S874" s="2"/>
      </tp>
      <tp t="s">
        <v>#N/A Requesting Data...437373205</v>
        <stp/>
        <stp>BDP|218321926642754040</stp>
        <tr r="O1746" s="2"/>
      </tp>
      <tp t="s">
        <v>#N/A Requesting Data...4227788163</v>
        <stp/>
        <stp>BDP|721122134476436706</stp>
        <tr r="P1055" s="2"/>
      </tp>
      <tp t="s">
        <v>#N/A Requesting Data...2228969219</v>
        <stp/>
        <stp>BDP|799152658817739081</stp>
        <tr r="A2243" s="2"/>
      </tp>
      <tp t="s">
        <v>#N/A Requesting Data...2612775366</v>
        <stp/>
        <stp>BDP|744163535711054013</stp>
        <tr r="F1758" s="2"/>
      </tp>
      <tp t="b">
        <v>0</v>
        <stp/>
        <stp>BDS|554434772867299737</stp>
        <tr r="I926" s="2"/>
      </tp>
      <tp t="b">
        <v>0</v>
        <stp/>
        <stp>BDS|530412170025329527</stp>
        <tr r="I1709" s="2"/>
      </tp>
      <tp t="s">
        <v>#N/A Requesting Data...3708248527</v>
        <stp/>
        <stp>BDP|628274667221277628</stp>
        <tr r="R1211" s="2"/>
      </tp>
      <tp t="s">
        <v>#N/A Requesting Data...1040110717</v>
        <stp/>
        <stp>BDP|321647566625082679</stp>
        <tr r="D1505" s="2"/>
      </tp>
      <tp t="s">
        <v>#N/A Requesting Data...4048723222</v>
        <stp/>
        <stp>BDP|838988015563285817</stp>
        <tr r="E1072" s="2"/>
      </tp>
      <tp t="s">
        <v>#N/A Requesting Data...2610934135</v>
        <stp/>
        <stp>BDP|331144831049508856</stp>
        <tr r="J477" s="2"/>
      </tp>
      <tp t="s">
        <v>#N/A Requesting Data...2816604602</v>
        <stp/>
        <stp>BDP|165973231001293839</stp>
        <tr r="S2477" s="2"/>
      </tp>
      <tp t="s">
        <v>#N/A Requesting Data...1684092433</v>
        <stp/>
        <stp>BDP|663223504822561323</stp>
        <tr r="T2128" s="2"/>
      </tp>
      <tp t="s">
        <v>#N/A Requesting Data...4226828309</v>
        <stp/>
        <stp>BDP|228379333023023010</stp>
        <tr r="M1972" s="2"/>
      </tp>
      <tp t="s">
        <v>#N/A Requesting Data...3089043157</v>
        <stp/>
        <stp>BDP|663114640015081306</stp>
        <tr r="Q1434" s="2"/>
      </tp>
      <tp t="s">
        <v>#N/A Requesting Data...3401449329</v>
        <stp/>
        <stp>BDP|511778572017165462</stp>
        <tr r="H1846" s="2"/>
      </tp>
      <tp t="s">
        <v>#N/A Requesting Data...3189832739</v>
        <stp/>
        <stp>BDP|149157010371146226</stp>
        <tr r="K2503" s="2"/>
      </tp>
      <tp t="s">
        <v>#N/A Requesting Data...2933004868</v>
        <stp/>
        <stp>BDP|204722432510550700</stp>
        <tr r="S1604" s="2"/>
      </tp>
      <tp t="s">
        <v>#N/A Requesting Data...127066259</v>
        <stp/>
        <stp>BDP|727760343948087850</stp>
        <tr r="Q936" s="2"/>
      </tp>
      <tp t="s">
        <v>#N/A Requesting Data...992467292</v>
        <stp/>
        <stp>BDP|735960841238273656</stp>
        <tr r="Q837" s="2"/>
      </tp>
      <tp t="s">
        <v>#N/A Requesting Data...2134786944</v>
        <stp/>
        <stp>BDP|797634991179432515</stp>
        <tr r="C40" s="2"/>
      </tp>
      <tp t="s">
        <v>#N/A Requesting Data...2378861141</v>
        <stp/>
        <stp>BDP|644619107002108712</stp>
        <tr r="T1468" s="2"/>
      </tp>
      <tp t="s">
        <v>#N/A Requesting Data...544345602</v>
        <stp/>
        <stp>BDP|516801696555181720</stp>
        <tr r="P1771" s="2"/>
      </tp>
      <tp t="s">
        <v>#N/A Requesting Data...1321096541</v>
        <stp/>
        <stp>BDP|121595115760822754</stp>
        <tr r="C2372" s="2"/>
      </tp>
      <tp t="s">
        <v>#N/A Requesting Data...4203137545</v>
        <stp/>
        <stp>BDP|584468866569628830</stp>
        <tr r="T975" s="2"/>
      </tp>
      <tp t="s">
        <v>#N/A Requesting Data...3627803750</v>
        <stp/>
        <stp>BDP|477133843124620223</stp>
        <tr r="J1402" s="2"/>
      </tp>
      <tp t="s">
        <v>#N/A Requesting Data...3941649671</v>
        <stp/>
        <stp>BDP|417474391879181731</stp>
        <tr r="O1174" s="2"/>
      </tp>
      <tp t="s">
        <v>#N/A Requesting Data...3535073410</v>
        <stp/>
        <stp>BDP|279722510877981290</stp>
        <tr r="J31" s="2"/>
      </tp>
      <tp t="s">
        <v>#N/A Requesting Data...1002726703</v>
        <stp/>
        <stp>BDP|837386273942126535</stp>
        <tr r="A1639" s="2"/>
      </tp>
      <tp t="s">
        <v>#N/A Requesting Data...1174940395</v>
        <stp/>
        <stp>BDP|660530606126052029</stp>
        <tr r="A1907" s="2"/>
      </tp>
      <tp t="s">
        <v>#N/A Requesting Data...1026903745</v>
        <stp/>
        <stp>BDP|729399749792150670</stp>
        <tr r="F1279" s="2"/>
      </tp>
      <tp t="s">
        <v>#N/A Requesting Data...1381720594</v>
        <stp/>
        <stp>BDP|833570628366223240</stp>
        <tr r="Q2040" s="2"/>
      </tp>
      <tp t="s">
        <v>#N/A Requesting Data...247253403</v>
        <stp/>
        <stp>BDP|227846596755233732</stp>
        <tr r="M1330" s="2"/>
      </tp>
      <tp t="s">
        <v>#N/A Requesting Data...4159805361</v>
        <stp/>
        <stp>BDP|342740976375870683</stp>
        <tr r="F807" s="2"/>
      </tp>
      <tp t="s">
        <v>#N/A Requesting Data...3230812452</v>
        <stp/>
        <stp>BDP|487382162321988762</stp>
        <tr r="T99" s="2"/>
      </tp>
      <tp t="s">
        <v>#N/A Requesting Data...2120727826</v>
        <stp/>
        <stp>BDP|515881260558515592</stp>
        <tr r="D2442" s="2"/>
      </tp>
      <tp t="s">
        <v>#N/A Requesting Data...1167571066</v>
        <stp/>
        <stp>BDP|126230470734615250</stp>
        <tr r="S1569" s="2"/>
      </tp>
      <tp t="s">
        <v>#N/A Requesting Data...2750797840</v>
        <stp/>
        <stp>BDP|795712848564904454</stp>
        <tr r="D635" s="2"/>
      </tp>
      <tp t="s">
        <v>#N/A Requesting Data...3896984915</v>
        <stp/>
        <stp>BDP|121478991486320866</stp>
        <tr r="K1672" s="2"/>
      </tp>
      <tp t="s">
        <v>#N/A Requesting Data...918597461</v>
        <stp/>
        <stp>BDP|726769361781555377</stp>
        <tr r="D1203" s="2"/>
      </tp>
      <tp t="s">
        <v>#N/A Requesting Data...1049598319</v>
        <stp/>
        <stp>BDP|442383446726992216</stp>
        <tr r="E984" s="2"/>
      </tp>
      <tp t="s">
        <v>#N/A Requesting Data...3977026740</v>
        <stp/>
        <stp>BDP|798626886629622479</stp>
        <tr r="P905" s="2"/>
      </tp>
      <tp t="s">
        <v>#N/A Requesting Data...1223941002</v>
        <stp/>
        <stp>BDP|486374770171774668</stp>
        <tr r="F885" s="2"/>
      </tp>
      <tp t="s">
        <v>#N/A Requesting Data...1565153624</v>
        <stp/>
        <stp>BDP|222331883318232020</stp>
        <tr r="M2133" s="2"/>
      </tp>
      <tp t="s">
        <v>#N/A Requesting Data...837252969</v>
        <stp/>
        <stp>BDP|658981653186878974</stp>
        <tr r="T1756" s="2"/>
      </tp>
      <tp t="s">
        <v>#N/A Requesting Data...1802621008</v>
        <stp/>
        <stp>BDP|316074154640305615</stp>
        <tr r="G905" s="2"/>
      </tp>
      <tp t="s">
        <v>#N/A Requesting Data...1536374667</v>
        <stp/>
        <stp>BDP|844823281740864310</stp>
        <tr r="A57" s="2"/>
      </tp>
      <tp t="s">
        <v>#N/A Requesting Data...1423083734</v>
        <stp/>
        <stp>BDP|332387516216609792</stp>
        <tr r="T2482" s="2"/>
      </tp>
      <tp t="b">
        <v>0</v>
        <stp/>
        <stp>BDS|308961296186122507</stp>
        <tr r="I2002" s="2"/>
      </tp>
      <tp t="s">
        <v>#N/A Requesting Data...1570904083</v>
        <stp/>
        <stp>BDP|192049174941557575</stp>
        <tr r="H2505" s="2"/>
      </tp>
      <tp t="s">
        <v>#N/A Requesting Data...3911664577</v>
        <stp/>
        <stp>BDP|974233078892616473</stp>
        <tr r="R1830" s="2"/>
      </tp>
      <tp t="s">
        <v>#N/A Requesting Data...781664957</v>
        <stp/>
        <stp>BDP|872112358364688342</stp>
        <tr r="P327" s="2"/>
      </tp>
      <tp t="s">
        <v>#N/A Requesting Data...2522852782</v>
        <stp/>
        <stp>BDP|480542752625027612</stp>
        <tr r="J147" s="2"/>
      </tp>
      <tp t="s">
        <v>#N/A Requesting Data...2480485169</v>
        <stp/>
        <stp>BDP|350332275577009060</stp>
        <tr r="A270" s="2"/>
      </tp>
      <tp t="s">
        <v>#N/A Requesting Data...1465234031</v>
        <stp/>
        <stp>BDP|659419904131761678</stp>
        <tr r="N277" s="2"/>
      </tp>
      <tp t="s">
        <v>#N/A Requesting Data...1645624778</v>
        <stp/>
        <stp>BDP|132760145355061515</stp>
        <tr r="C1451" s="2"/>
      </tp>
      <tp t="s">
        <v>#N/A Requesting Data...1865086951</v>
        <stp/>
        <stp>BDP|522106125822177228</stp>
        <tr r="A352" s="2"/>
      </tp>
      <tp t="s">
        <v>#N/A Requesting Data...2507791169</v>
        <stp/>
        <stp>BDP|548773571291178212</stp>
        <tr r="D1534" s="2"/>
      </tp>
      <tp t="s">
        <v>#N/A Requesting Data...1008680063</v>
        <stp/>
        <stp>BDP|645173577731654435</stp>
        <tr r="R236" s="2"/>
      </tp>
      <tp t="s">
        <v>#N/A Requesting Data...3661686283</v>
        <stp/>
        <stp>BDP|253914360785299929</stp>
        <tr r="A1632" s="2"/>
      </tp>
      <tp t="s">
        <v>#N/A Requesting Data...1478413709</v>
        <stp/>
        <stp>BDP|586376437180016369</stp>
        <tr r="T233" s="2"/>
      </tp>
      <tp t="s">
        <v>#N/A Requesting Data...1678100916</v>
        <stp/>
        <stp>BDP|893888395126671403</stp>
        <tr r="F2213" s="2"/>
      </tp>
      <tp t="s">
        <v>#N/A Requesting Data...308051039</v>
        <stp/>
        <stp>BDP|774708548559313800</stp>
        <tr r="F816" s="2"/>
      </tp>
      <tp t="s">
        <v>#N/A Requesting Data...3593887610</v>
        <stp/>
        <stp>BDP|787676238944392371</stp>
        <tr r="Q1233" s="2"/>
      </tp>
      <tp t="s">
        <v>#N/A Requesting Data...937599336</v>
        <stp/>
        <stp>BDP|867048505304180649</stp>
        <tr r="E701" s="2"/>
      </tp>
      <tp t="s">
        <v>#N/A Requesting Data...2189692680</v>
        <stp/>
        <stp>BDP|646365603348895976</stp>
        <tr r="C2313" s="2"/>
      </tp>
      <tp t="s">
        <v>#N/A Requesting Data...706594627</v>
        <stp/>
        <stp>BDP|505615148408909892</stp>
        <tr r="P418" s="2"/>
      </tp>
      <tp t="s">
        <v>#N/A Requesting Data...2519446093</v>
        <stp/>
        <stp>BDP|877251403384149431</stp>
        <tr r="M1085" s="2"/>
      </tp>
      <tp t="s">
        <v>#N/A Requesting Data...2159147553</v>
        <stp/>
        <stp>BDP|561239639676411563</stp>
        <tr r="A634" s="2"/>
      </tp>
      <tp t="s">
        <v>#N/A Requesting Data...1907132910</v>
        <stp/>
        <stp>BDP|702078605115100792</stp>
        <tr r="J1350" s="2"/>
      </tp>
      <tp t="s">
        <v>#N/A Requesting Data...3415378111</v>
        <stp/>
        <stp>BDP|939520038054899062</stp>
        <tr r="Q1016" s="2"/>
      </tp>
      <tp t="s">
        <v>#N/A Requesting Data...2445976842</v>
        <stp/>
        <stp>BDP|380872934401917840</stp>
        <tr r="G2195" s="2"/>
      </tp>
      <tp t="s">
        <v>#N/A Requesting Data...4243442533</v>
        <stp/>
        <stp>BDP|489909644489464695</stp>
        <tr r="Q1890" s="2"/>
      </tp>
      <tp t="s">
        <v>#N/A Requesting Data...3845035975</v>
        <stp/>
        <stp>BDP|193476370661380087</stp>
        <tr r="E2479" s="2"/>
      </tp>
      <tp t="s">
        <v>#N/A Requesting Data...1211600403</v>
        <stp/>
        <stp>BDP|947599818744215241</stp>
        <tr r="H1170" s="2"/>
      </tp>
      <tp t="s">
        <v>#N/A Requesting Data...3454979871</v>
        <stp/>
        <stp>BDP|740756809744623139</stp>
        <tr r="N109" s="2"/>
      </tp>
      <tp t="s">
        <v>#N/A Requesting Data...2359690702</v>
        <stp/>
        <stp>BDP|261872780513967129</stp>
        <tr r="T1475" s="2"/>
      </tp>
      <tp t="b">
        <v>0</v>
        <stp/>
        <stp>BDS|483107288679576271</stp>
        <tr r="I1401" s="2"/>
      </tp>
      <tp t="s">
        <v>#N/A Requesting Data...2698928311</v>
        <stp/>
        <stp>BDP|291284215037035611</stp>
        <tr r="G443" s="2"/>
      </tp>
      <tp t="s">
        <v>#N/A Requesting Data...2010303764</v>
        <stp/>
        <stp>BDP|937454330315556071</stp>
        <tr r="E1617" s="2"/>
      </tp>
      <tp t="s">
        <v>#N/A Requesting Data...1293890745</v>
        <stp/>
        <stp>BDP|934596139125461132</stp>
        <tr r="F2348" s="2"/>
      </tp>
      <tp t="b">
        <v>0</v>
        <stp/>
        <stp>BDS|125184892853496916</stp>
        <tr r="I1103" s="2"/>
      </tp>
      <tp t="s">
        <v>#N/A Requesting Data...3369223100</v>
        <stp/>
        <stp>BDP|901405036346609370</stp>
        <tr r="N1571" s="2"/>
      </tp>
      <tp t="s">
        <v>#N/A Requesting Data...3025362865</v>
        <stp/>
        <stp>BDP|171981191310271247</stp>
        <tr r="J2430" s="2"/>
      </tp>
      <tp t="s">
        <v>#N/A Requesting Data...1784723867</v>
        <stp/>
        <stp>BDP|894986906328000395</stp>
        <tr r="S1261" s="2"/>
      </tp>
      <tp t="s">
        <v>#N/A Requesting Data...2603198301</v>
        <stp/>
        <stp>BDP|196372967104971374</stp>
        <tr r="C1939" s="2"/>
      </tp>
      <tp t="s">
        <v>#N/A Requesting Data...3677648767</v>
        <stp/>
        <stp>BDP|159589766081120017</stp>
        <tr r="R1125" s="2"/>
      </tp>
      <tp t="s">
        <v>#N/A Requesting Data...4028975665</v>
        <stp/>
        <stp>BDP|874086828809540920</stp>
        <tr r="O137" s="2"/>
      </tp>
      <tp t="s">
        <v>#N/A Requesting Data...1819040201</v>
        <stp/>
        <stp>BDP|189474208220499657</stp>
        <tr r="O1911" s="2"/>
      </tp>
      <tp t="s">
        <v>#N/A Requesting Data...2150056451</v>
        <stp/>
        <stp>BDP|167595827225579057</stp>
        <tr r="P358" s="2"/>
      </tp>
      <tp t="s">
        <v>#N/A Requesting Data...1395932073</v>
        <stp/>
        <stp>BDP|929001417594765766</stp>
        <tr r="K434" s="2"/>
      </tp>
      <tp t="s">
        <v>#N/A Requesting Data...2816177952</v>
        <stp/>
        <stp>BDP|770490631612478741</stp>
        <tr r="S1641" s="2"/>
      </tp>
      <tp t="s">
        <v>#N/A Requesting Data...1656801847</v>
        <stp/>
        <stp>BDP|805682589444487829</stp>
        <tr r="M119" s="2"/>
      </tp>
      <tp t="s">
        <v>#N/A Requesting Data...1704020502</v>
        <stp/>
        <stp>BDP|139892293180244363</stp>
        <tr r="K1665" s="2"/>
      </tp>
      <tp t="s">
        <v>#N/A Requesting Data...1357199690</v>
        <stp/>
        <stp>BDP|430663736817811043</stp>
        <tr r="H2106" s="2"/>
      </tp>
      <tp t="s">
        <v>#N/A Requesting Data...3744363135</v>
        <stp/>
        <stp>BDP|139287522033480177</stp>
        <tr r="R2417" s="2"/>
      </tp>
      <tp t="s">
        <v>#N/A Requesting Data...3716906658</v>
        <stp/>
        <stp>BDP|793550419904273219</stp>
        <tr r="M1871" s="2"/>
      </tp>
      <tp t="s">
        <v>#N/A Requesting Data...781214185</v>
        <stp/>
        <stp>BDP|309736192125225984</stp>
        <tr r="S1049" s="2"/>
      </tp>
      <tp t="s">
        <v>#N/A Requesting Data...952860322</v>
        <stp/>
        <stp>BDP|855126287502029952</stp>
        <tr r="D309" s="2"/>
      </tp>
      <tp t="s">
        <v>#N/A Requesting Data...1113690546</v>
        <stp/>
        <stp>BDP|728622652675765487</stp>
        <tr r="S1611" s="2"/>
      </tp>
      <tp t="s">
        <v>#N/A Requesting Data...3935778314</v>
        <stp/>
        <stp>BDP|345937518658776276</stp>
        <tr r="F119" s="2"/>
      </tp>
      <tp t="s">
        <v>#N/A Requesting Data...405536910</v>
        <stp/>
        <stp>BDP|671855094407913463</stp>
        <tr r="T2031" s="2"/>
      </tp>
      <tp t="s">
        <v>#N/A Requesting Data...3724300230</v>
        <stp/>
        <stp>BDP|637423152802646196</stp>
        <tr r="E849" s="2"/>
      </tp>
      <tp t="s">
        <v>#N/A Requesting Data...2066277935</v>
        <stp/>
        <stp>BDP|411648151679073882</stp>
        <tr r="H2004" s="2"/>
      </tp>
      <tp t="s">
        <v>#N/A Requesting Data...1579577042</v>
        <stp/>
        <stp>BDP|500855085734487685</stp>
        <tr r="S2532" s="2"/>
      </tp>
      <tp t="s">
        <v>#N/A Requesting Data...1308905742</v>
        <stp/>
        <stp>BDP|468044243130027699</stp>
        <tr r="F301" s="2"/>
      </tp>
      <tp t="s">
        <v>#N/A Requesting Data...1318518278</v>
        <stp/>
        <stp>BDP|681166122738073982</stp>
        <tr r="T1967" s="2"/>
      </tp>
      <tp t="s">
        <v>#N/A Requesting Data...1067800311</v>
        <stp/>
        <stp>BDP|813916392531260338</stp>
        <tr r="P519" s="2"/>
      </tp>
      <tp t="s">
        <v>#N/A Requesting Data...1624480349</v>
        <stp/>
        <stp>BDP|626475132025892012</stp>
        <tr r="O2097" s="2"/>
      </tp>
      <tp t="s">
        <v>#N/A Requesting Data...2089465143</v>
        <stp/>
        <stp>BDP|310814766494998878</stp>
        <tr r="K1417" s="2"/>
      </tp>
      <tp t="s">
        <v>#N/A Requesting Data...2731819960</v>
        <stp/>
        <stp>BDP|687322284220884926</stp>
        <tr r="F364" s="2"/>
      </tp>
      <tp t="s">
        <v>#N/A Requesting Data...2337955943</v>
        <stp/>
        <stp>BDP|713394132323162177</stp>
        <tr r="E1838" s="2"/>
      </tp>
      <tp t="s">
        <v>#N/A Requesting Data...2165346589</v>
        <stp/>
        <stp>BDP|703886666895798942</stp>
        <tr r="F498" s="2"/>
      </tp>
      <tp t="s">
        <v>#N/A Requesting Data...3031379360</v>
        <stp/>
        <stp>BDP|429761988348339528</stp>
        <tr r="A2049" s="2"/>
      </tp>
      <tp t="s">
        <v>#N/A Requesting Data...1257525915</v>
        <stp/>
        <stp>BDP|881115225099356843</stp>
        <tr r="O504" s="2"/>
      </tp>
      <tp t="s">
        <v>#N/A Requesting Data...2111990021</v>
        <stp/>
        <stp>BDP|178837389104625668</stp>
        <tr r="S573" s="2"/>
      </tp>
      <tp t="s">
        <v>#N/A Requesting Data...4201481491</v>
        <stp/>
        <stp>BDP|328198941065137211</stp>
        <tr r="R1834" s="2"/>
      </tp>
      <tp t="s">
        <v>#N/A Requesting Data...2976747684</v>
        <stp/>
        <stp>BDP|563803890845727696</stp>
        <tr r="O572" s="2"/>
      </tp>
      <tp t="s">
        <v>#N/A Requesting Data...897123708</v>
        <stp/>
        <stp>BDP|360503335592565688</stp>
        <tr r="O1172" s="2"/>
      </tp>
      <tp t="s">
        <v>#N/A Requesting Data...3096020773</v>
        <stp/>
        <stp>BDP|704719748456475717</stp>
        <tr r="P893" s="2"/>
      </tp>
      <tp t="s">
        <v>#N/A Requesting Data...1358623018</v>
        <stp/>
        <stp>BDP|759270915796709792</stp>
        <tr r="M1641" s="2"/>
      </tp>
      <tp t="s">
        <v>#N/A Requesting Data...2635266798</v>
        <stp/>
        <stp>BDP|469790708456730390</stp>
        <tr r="D344" s="2"/>
      </tp>
      <tp t="s">
        <v>#N/A Requesting Data...3659576000</v>
        <stp/>
        <stp>BDP|691302062016630199</stp>
        <tr r="G1434" s="2"/>
      </tp>
      <tp t="s">
        <v>#N/A Requesting Data...542011323</v>
        <stp/>
        <stp>BDP|727164954190694688</stp>
        <tr r="N444" s="2"/>
      </tp>
      <tp t="s">
        <v>#N/A Requesting Data...3935304393</v>
        <stp/>
        <stp>BDP|223399117743091373</stp>
        <tr r="C2244" s="2"/>
      </tp>
      <tp t="s">
        <v>#N/A Requesting Data...1314231598</v>
        <stp/>
        <stp>BDP|809157584409439264</stp>
        <tr r="G169" s="2"/>
      </tp>
      <tp t="s">
        <v>#N/A Requesting Data...2073608654</v>
        <stp/>
        <stp>BDP|154812737719973052</stp>
        <tr r="K155" s="2"/>
      </tp>
      <tp t="s">
        <v>#N/A Requesting Data...4050983686</v>
        <stp/>
        <stp>BDP|599290278780157711</stp>
        <tr r="A1921" s="2"/>
      </tp>
      <tp t="s">
        <v>#N/A Requesting Data...1136365727</v>
        <stp/>
        <stp>BDP|954419475292106385</stp>
        <tr r="J1646" s="2"/>
      </tp>
      <tp t="s">
        <v>#N/A Requesting Data...498824280</v>
        <stp/>
        <stp>BDP|321926138921920944</stp>
        <tr r="C2245" s="2"/>
      </tp>
      <tp t="s">
        <v>#N/A Requesting Data...2207715019</v>
        <stp/>
        <stp>BDP|483303861564375321</stp>
        <tr r="N2088" s="2"/>
      </tp>
      <tp t="s">
        <v>#N/A Requesting Data...1885017619</v>
        <stp/>
        <stp>BDP|352479641366214436</stp>
        <tr r="T1190" s="2"/>
      </tp>
      <tp t="s">
        <v>#N/A Requesting Data...922813937</v>
        <stp/>
        <stp>BDP|521382019530544059</stp>
        <tr r="D1978" s="2"/>
      </tp>
      <tp t="s">
        <v>#N/A Requesting Data...2354613628</v>
        <stp/>
        <stp>BDP|493906476189385559</stp>
        <tr r="F2032" s="2"/>
      </tp>
      <tp t="s">
        <v>#N/A Requesting Data...3967105037</v>
        <stp/>
        <stp>BDP|171374795120202850</stp>
        <tr r="P1216" s="2"/>
      </tp>
      <tp t="s">
        <v>#N/A Requesting Data...1621551229</v>
        <stp/>
        <stp>BDP|170434061035234553</stp>
        <tr r="C1139" s="2"/>
      </tp>
      <tp t="s">
        <v>#N/A Requesting Data...2623309184</v>
        <stp/>
        <stp>BDP|774273251074632136</stp>
        <tr r="D2293" s="2"/>
      </tp>
      <tp t="b">
        <v>0</v>
        <stp/>
        <stp>BDS|238468266932639207</stp>
        <tr r="I2526" s="2"/>
      </tp>
      <tp t="s">
        <v>#N/A Requesting Data...4133802337</v>
        <stp/>
        <stp>BDP|836122967143861611</stp>
        <tr r="M1799" s="2"/>
      </tp>
      <tp t="s">
        <v>#N/A Requesting Data...3901122298</v>
        <stp/>
        <stp>BDP|385999616023942912</stp>
        <tr r="K19" s="2"/>
      </tp>
      <tp t="s">
        <v>#N/A Requesting Data...1723608982</v>
        <stp/>
        <stp>BDP|312607306164472055</stp>
        <tr r="R1499" s="2"/>
      </tp>
      <tp t="s">
        <v>#N/A Requesting Data...4029155472</v>
        <stp/>
        <stp>BDP|265543181507200815</stp>
        <tr r="N734" s="2"/>
      </tp>
      <tp t="s">
        <v>#N/A Requesting Data...585460686</v>
        <stp/>
        <stp>BDP|796114742836464146</stp>
        <tr r="E13" s="2"/>
      </tp>
      <tp t="s">
        <v>#N/A Requesting Data...2556445605</v>
        <stp/>
        <stp>BDP|271781012533411798</stp>
        <tr r="N899" s="2"/>
      </tp>
      <tp t="s">
        <v>#N/A Requesting Data...2368605451</v>
        <stp/>
        <stp>BDP|708773759511581196</stp>
        <tr r="T1581" s="2"/>
      </tp>
      <tp t="s">
        <v>#N/A Requesting Data...891261231</v>
        <stp/>
        <stp>BDP|413344755531176518</stp>
        <tr r="M2439" s="2"/>
      </tp>
      <tp t="s">
        <v>#N/A Requesting Data...2773819317</v>
        <stp/>
        <stp>BDP|383028095352842998</stp>
        <tr r="G108" s="2"/>
      </tp>
      <tp t="s">
        <v>#N/A Requesting Data...1215172435</v>
        <stp/>
        <stp>BDP|741918136541309969</stp>
        <tr r="C2394" s="2"/>
      </tp>
      <tp t="s">
        <v>#N/A Requesting Data...2870757734</v>
        <stp/>
        <stp>BDP|149831697625054602</stp>
        <tr r="M2520" s="2"/>
      </tp>
      <tp t="s">
        <v>#N/A Requesting Data...2959056762</v>
        <stp/>
        <stp>BDP|595702491988348422</stp>
        <tr r="H2283" s="2"/>
      </tp>
      <tp t="s">
        <v>#N/A Requesting Data...484767864</v>
        <stp/>
        <stp>BDP|112783579411346366</stp>
        <tr r="F1886" s="2"/>
      </tp>
      <tp t="s">
        <v>#N/A Requesting Data...3287890717</v>
        <stp/>
        <stp>BDP|182733575991784360</stp>
        <tr r="J1539" s="2"/>
      </tp>
      <tp t="s">
        <v>#N/A Requesting Data...3012328022</v>
        <stp/>
        <stp>BDP|537243173861107652</stp>
        <tr r="P1282" s="2"/>
      </tp>
      <tp t="s">
        <v>#N/A Requesting Data...1639174293</v>
        <stp/>
        <stp>BDP|533466014004050318</stp>
        <tr r="N805" s="2"/>
      </tp>
      <tp t="s">
        <v>#N/A Requesting Data...4033409642</v>
        <stp/>
        <stp>BDP|916971858608785670</stp>
        <tr r="K2232" s="2"/>
      </tp>
      <tp t="s">
        <v>#N/A Requesting Data...3385256850</v>
        <stp/>
        <stp>BDP|211128212716657425</stp>
        <tr r="J35" s="2"/>
      </tp>
      <tp t="s">
        <v>#N/A Requesting Data...4188405652</v>
        <stp/>
        <stp>BDP|534466582449458738</stp>
        <tr r="J1136" s="2"/>
      </tp>
      <tp t="s">
        <v>#N/A Requesting Data...2086810279</v>
        <stp/>
        <stp>BDP|779730727695287275</stp>
        <tr r="J2144" s="2"/>
      </tp>
      <tp t="s">
        <v>#N/A Requesting Data...3956368636</v>
        <stp/>
        <stp>BDP|735272203481112149</stp>
        <tr r="A1656" s="2"/>
      </tp>
      <tp t="b">
        <v>0</v>
        <stp/>
        <stp>BDS|759546571177595716</stp>
        <tr r="I749" s="2"/>
      </tp>
      <tp t="s">
        <v>#N/A Requesting Data...2461767228</v>
        <stp/>
        <stp>BDP|360319707990419175</stp>
        <tr r="F1375" s="2"/>
      </tp>
      <tp t="s">
        <v>#N/A Requesting Data...3667576610</v>
        <stp/>
        <stp>BDP|476010380223167924</stp>
        <tr r="K196" s="2"/>
      </tp>
      <tp t="s">
        <v>#N/A Requesting Data...1081079197</v>
        <stp/>
        <stp>BDP|845926697001365383</stp>
        <tr r="T849" s="2"/>
      </tp>
      <tp t="s">
        <v>#N/A Requesting Data...2712011730</v>
        <stp/>
        <stp>BDP|263658725850647627</stp>
        <tr r="C494" s="2"/>
      </tp>
      <tp t="s">
        <v>#N/A Requesting Data...3634953422</v>
        <stp/>
        <stp>BDP|644582365803812245</stp>
        <tr r="H668" s="2"/>
      </tp>
      <tp t="s">
        <v>#N/A Requesting Data...1252881618</v>
        <stp/>
        <stp>BDP|690101636148417832</stp>
        <tr r="Q67" s="2"/>
      </tp>
      <tp t="s">
        <v>#N/A Requesting Data...2925314389</v>
        <stp/>
        <stp>BDP|740415263021608149</stp>
        <tr r="O326" s="2"/>
      </tp>
      <tp t="b">
        <v>0</v>
        <stp/>
        <stp>BDS|752282819228655978</stp>
        <tr r="I2235" s="2"/>
      </tp>
      <tp t="s">
        <v>#N/A Requesting Data...1026355991</v>
        <stp/>
        <stp>BDP|216105191313468908</stp>
        <tr r="J2316" s="2"/>
      </tp>
      <tp t="s">
        <v>#N/A Requesting Data...3203039079</v>
        <stp/>
        <stp>BDP|275995938561464908</stp>
        <tr r="E101" s="2"/>
      </tp>
      <tp t="s">
        <v>#N/A Requesting Data...3266332144</v>
        <stp/>
        <stp>BDP|909238559242266762</stp>
        <tr r="D566" s="2"/>
      </tp>
      <tp t="s">
        <v>#N/A Requesting Data...1471293694</v>
        <stp/>
        <stp>BDP|792455571428626924</stp>
        <tr r="N1826" s="2"/>
      </tp>
      <tp t="s">
        <v>#N/A Requesting Data...3605028973</v>
        <stp/>
        <stp>BDP|325108014167824587</stp>
        <tr r="D554" s="2"/>
      </tp>
      <tp t="b">
        <v>0</v>
        <stp/>
        <stp>BDS|914480267575082513</stp>
        <tr r="I1566" s="2"/>
      </tp>
      <tp t="s">
        <v>#N/A Requesting Data...718613315</v>
        <stp/>
        <stp>BDP|616287818841931080</stp>
        <tr r="O2020" s="2"/>
      </tp>
      <tp t="s">
        <v>#N/A Requesting Data...4194648325</v>
        <stp/>
        <stp>BDP|659116835164779428</stp>
        <tr r="S769" s="2"/>
      </tp>
      <tp t="s">
        <v>#N/A Requesting Data...4205418513</v>
        <stp/>
        <stp>BDP|296727050347702700</stp>
        <tr r="J1602" s="2"/>
      </tp>
      <tp t="s">
        <v>#N/A Requesting Data...1831970438</v>
        <stp/>
        <stp>BDP|485133455493787525</stp>
        <tr r="M577" s="2"/>
      </tp>
      <tp t="s">
        <v>#N/A Requesting Data...2808614255</v>
        <stp/>
        <stp>BDP|831095335112563361</stp>
        <tr r="O2417" s="2"/>
      </tp>
      <tp t="s">
        <v>#N/A Requesting Data...2170298052</v>
        <stp/>
        <stp>BDP|761040024396650661</stp>
        <tr r="C655" s="2"/>
      </tp>
      <tp t="s">
        <v>#N/A Requesting Data...1873517550</v>
        <stp/>
        <stp>BDP|321177893263344932</stp>
        <tr r="H1168" s="2"/>
      </tp>
      <tp t="s">
        <v>#N/A Requesting Data...889774049</v>
        <stp/>
        <stp>BDP|547769960294759742</stp>
        <tr r="Q884" s="2"/>
      </tp>
      <tp t="s">
        <v>#N/A Requesting Data...3706513660</v>
        <stp/>
        <stp>BDP|227419512387548044</stp>
        <tr r="R1590" s="2"/>
      </tp>
      <tp t="s">
        <v>#N/A Requesting Data...3715203318</v>
        <stp/>
        <stp>BDP|242678572021470232</stp>
        <tr r="A1829" s="2"/>
      </tp>
      <tp t="s">
        <v>#N/A Requesting Data...546858061</v>
        <stp/>
        <stp>BDP|611277392071780847</stp>
        <tr r="M1592" s="2"/>
      </tp>
      <tp t="s">
        <v>#N/A Requesting Data...1231308465</v>
        <stp/>
        <stp>BDP|380776368745874640</stp>
        <tr r="S42" s="2"/>
      </tp>
      <tp t="s">
        <v>#N/A Requesting Data...3417008866</v>
        <stp/>
        <stp>BDP|464240613384781541</stp>
        <tr r="G1908" s="2"/>
      </tp>
      <tp t="s">
        <v>#N/A Requesting Data...1880961248</v>
        <stp/>
        <stp>BDP|561592068641277069</stp>
        <tr r="D1743" s="2"/>
      </tp>
      <tp t="s">
        <v>#N/A Requesting Data...2995971803</v>
        <stp/>
        <stp>BDP|334254709526778686</stp>
        <tr r="K2473" s="2"/>
      </tp>
      <tp t="s">
        <v>#N/A Requesting Data...1951671864</v>
        <stp/>
        <stp>BDP|221432253225015622</stp>
        <tr r="C1110" s="2"/>
      </tp>
      <tp t="s">
        <v>#N/A Requesting Data...1489841070</v>
        <stp/>
        <stp>BDP|615051112462763165</stp>
        <tr r="K8" s="2"/>
      </tp>
      <tp t="s">
        <v>#N/A Requesting Data...1677744259</v>
        <stp/>
        <stp>BDP|764164155477771136</stp>
        <tr r="R997" s="2"/>
      </tp>
      <tp t="s">
        <v>#N/A Requesting Data...2071672480</v>
        <stp/>
        <stp>BDP|864896280414164606</stp>
        <tr r="J229" s="2"/>
      </tp>
      <tp t="s">
        <v>#N/A Requesting Data...2619226386</v>
        <stp/>
        <stp>BDP|555714818481531592</stp>
        <tr r="N1225" s="2"/>
      </tp>
      <tp t="s">
        <v>#N/A Requesting Data...2842311063</v>
        <stp/>
        <stp>BDP|529605295039290434</stp>
        <tr r="G529" s="2"/>
      </tp>
      <tp t="s">
        <v>#N/A Requesting Data...3993149607</v>
        <stp/>
        <stp>BDP|987715061602940115</stp>
        <tr r="Q184" s="2"/>
      </tp>
      <tp t="s">
        <v>#N/A Requesting Data...2352246062</v>
        <stp/>
        <stp>BDP|540314275847215122</stp>
        <tr r="D212" s="2"/>
      </tp>
      <tp t="s">
        <v>#N/A Requesting Data...2649032816</v>
        <stp/>
        <stp>BDP|720869787114629610</stp>
        <tr r="T1674" s="2"/>
      </tp>
      <tp t="s">
        <v>#N/A Requesting Data...2058163833</v>
        <stp/>
        <stp>BDP|282963854309060717</stp>
        <tr r="R1032" s="2"/>
      </tp>
      <tp t="s">
        <v>#N/A Requesting Data...2244762876</v>
        <stp/>
        <stp>BDP|742433256603297016</stp>
        <tr r="S1509" s="2"/>
      </tp>
      <tp t="s">
        <v>#N/A Requesting Data...3632956337</v>
        <stp/>
        <stp>BDP|751319273527048142</stp>
        <tr r="Q868" s="2"/>
      </tp>
      <tp t="s">
        <v>#N/A Requesting Data...1918472121</v>
        <stp/>
        <stp>BDP|787090916571078298</stp>
        <tr r="H835" s="2"/>
      </tp>
      <tp t="s">
        <v>#N/A Requesting Data...620638236</v>
        <stp/>
        <stp>BDP|342016654754324344</stp>
        <tr r="S1554" s="2"/>
      </tp>
      <tp t="s">
        <v>#N/A Requesting Data...1566512594</v>
        <stp/>
        <stp>BDP|568376223672317137</stp>
        <tr r="A1704" s="2"/>
      </tp>
      <tp t="s">
        <v>#N/A Requesting Data...2378392301</v>
        <stp/>
        <stp>BDP|246263003678024863</stp>
        <tr r="E394" s="2"/>
      </tp>
      <tp t="s">
        <v>#N/A Requesting Data...2370262379</v>
        <stp/>
        <stp>BDP|345724845090155144</stp>
        <tr r="O129" s="2"/>
      </tp>
      <tp t="s">
        <v>#N/A Requesting Data...4084509521</v>
        <stp/>
        <stp>BDP|548830660118543426</stp>
        <tr r="T1068" s="2"/>
      </tp>
      <tp t="s">
        <v>#N/A Requesting Data...903503013</v>
        <stp/>
        <stp>BDP|173939052508740668</stp>
        <tr r="R1928" s="2"/>
      </tp>
      <tp t="s">
        <v>#N/A Requesting Data...4217576033</v>
        <stp/>
        <stp>BDP|354734127876487124</stp>
        <tr r="C2051" s="2"/>
      </tp>
      <tp t="s">
        <v>#N/A Requesting Data...1931121317</v>
        <stp/>
        <stp>BDP|699764248838861929</stp>
        <tr r="S1722" s="2"/>
      </tp>
      <tp t="s">
        <v>#N/A Requesting Data...3118966398</v>
        <stp/>
        <stp>BDP|319609104617200376</stp>
        <tr r="S600" s="2"/>
      </tp>
      <tp t="s">
        <v>#N/A Requesting Data...1055160575</v>
        <stp/>
        <stp>BDP|923139642323333493</stp>
        <tr r="J917" s="2"/>
      </tp>
      <tp t="s">
        <v>#N/A Requesting Data...1724642524</v>
        <stp/>
        <stp>BDP|346706459886146690</stp>
        <tr r="D1182" s="2"/>
      </tp>
      <tp t="s">
        <v>#N/A Requesting Data...4065483472</v>
        <stp/>
        <stp>BDP|560425963605716515</stp>
        <tr r="O814" s="2"/>
      </tp>
      <tp t="s">
        <v>#N/A Requesting Data...1866048054</v>
        <stp/>
        <stp>BDP|859023829040873090</stp>
        <tr r="M1219" s="2"/>
      </tp>
      <tp t="s">
        <v>#N/A Requesting Data...1748373976</v>
        <stp/>
        <stp>BDP|141818643496663878</stp>
        <tr r="E1518" s="2"/>
      </tp>
      <tp t="s">
        <v>#N/A Requesting Data...1094773494</v>
        <stp/>
        <stp>BDP|385137523955955484</stp>
        <tr r="N1135" s="2"/>
      </tp>
      <tp t="s">
        <v>#N/A Requesting Data...1362190582</v>
        <stp/>
        <stp>BDP|485526637607098335</stp>
        <tr r="H1113" s="2"/>
      </tp>
      <tp t="s">
        <v>#N/A Requesting Data...1195656692</v>
        <stp/>
        <stp>BDP|165820332059521060</stp>
        <tr r="C2500" s="2"/>
      </tp>
      <tp t="s">
        <v>#N/A Requesting Data...3782553785</v>
        <stp/>
        <stp>BDP|707083465971963505</stp>
        <tr r="H2386" s="2"/>
      </tp>
      <tp t="s">
        <v>#N/A Requesting Data...1690367989</v>
        <stp/>
        <stp>BDP|229122714941111364</stp>
        <tr r="E873" s="2"/>
      </tp>
      <tp t="s">
        <v>#N/A Requesting Data...3552225173</v>
        <stp/>
        <stp>BDP|250375665792226517</stp>
        <tr r="F512" s="2"/>
      </tp>
      <tp t="s">
        <v>#N/A Requesting Data...4276100097</v>
        <stp/>
        <stp>BDP|542228531747491412</stp>
        <tr r="E514" s="2"/>
      </tp>
      <tp t="s">
        <v>#N/A Requesting Data...2636231662</v>
        <stp/>
        <stp>BDP|407681542121817151</stp>
        <tr r="G1340" s="2"/>
      </tp>
      <tp t="s">
        <v>#N/A Requesting Data...2848118223</v>
        <stp/>
        <stp>BDP|391454834333590646</stp>
        <tr r="F1154" s="2"/>
      </tp>
      <tp t="s">
        <v>#N/A Requesting Data...1336479180</v>
        <stp/>
        <stp>BDP|305135806111718222</stp>
        <tr r="N367" s="2"/>
      </tp>
      <tp t="s">
        <v>#N/A Requesting Data...3719205539</v>
        <stp/>
        <stp>BDP|490114337821272136</stp>
        <tr r="C1542" s="2"/>
      </tp>
      <tp t="s">
        <v>#N/A Requesting Data...1949763467</v>
        <stp/>
        <stp>BDP|288224498572542415</stp>
        <tr r="T891" s="2"/>
      </tp>
      <tp t="b">
        <v>0</v>
        <stp/>
        <stp>BDS|393742687996586492</stp>
        <tr r="I2422" s="2"/>
      </tp>
      <tp t="s">
        <v>#N/A Requesting Data...1459429488</v>
        <stp/>
        <stp>BDP|924852171376628478</stp>
        <tr r="K286" s="2"/>
      </tp>
      <tp t="s">
        <v>#N/A Requesting Data...2278110741</v>
        <stp/>
        <stp>BDP|238901106843177793</stp>
        <tr r="N284" s="2"/>
      </tp>
      <tp t="s">
        <v>#N/A Requesting Data...1050509821</v>
        <stp/>
        <stp>BDP|415926895899786488</stp>
        <tr r="D1794" s="2"/>
      </tp>
      <tp t="s">
        <v>#N/A Requesting Data...2364440887</v>
        <stp/>
        <stp>BDP|211534798162462312</stp>
        <tr r="G339" s="2"/>
      </tp>
      <tp t="s">
        <v>#N/A Requesting Data...1692048806</v>
        <stp/>
        <stp>BDP|250492211430256843</stp>
        <tr r="H162" s="2"/>
      </tp>
      <tp t="s">
        <v>#N/A Requesting Data...3697338406</v>
        <stp/>
        <stp>BDP|506361188227791110</stp>
        <tr r="P1308" s="2"/>
      </tp>
      <tp t="s">
        <v>#N/A Requesting Data...2714486717</v>
        <stp/>
        <stp>BDP|152243260540843905</stp>
        <tr r="K287" s="2"/>
      </tp>
      <tp t="s">
        <v>#N/A Requesting Data...1077695252</v>
        <stp/>
        <stp>BDP|562141352830894967</stp>
        <tr r="R89" s="2"/>
      </tp>
      <tp t="s">
        <v>#N/A Requesting Data...1291328954</v>
        <stp/>
        <stp>BDP|602861230773974547</stp>
        <tr r="R699" s="2"/>
      </tp>
      <tp t="s">
        <v>#N/A Requesting Data...1246036977</v>
        <stp/>
        <stp>BDP|987845219623990704</stp>
        <tr r="D1783" s="2"/>
      </tp>
      <tp t="b">
        <v>0</v>
        <stp/>
        <stp>BDS|844048881020502565</stp>
        <tr r="I1152" s="2"/>
      </tp>
      <tp t="s">
        <v>#N/A Requesting Data...979480277</v>
        <stp/>
        <stp>BDP|642684282961744252</stp>
        <tr r="A441" s="2"/>
      </tp>
      <tp t="s">
        <v>#N/A Requesting Data...3316976170</v>
        <stp/>
        <stp>BDP|485729445277512984</stp>
        <tr r="O2313" s="2"/>
      </tp>
      <tp t="s">
        <v>#N/A Requesting Data...1219633887</v>
        <stp/>
        <stp>BDP|855472262089697647</stp>
        <tr r="Q591" s="2"/>
      </tp>
      <tp t="s">
        <v>#N/A Requesting Data...3265231403</v>
        <stp/>
        <stp>BDP|731966579217718409</stp>
        <tr r="T393" s="2"/>
      </tp>
      <tp t="s">
        <v>#N/A Requesting Data...3161251397</v>
        <stp/>
        <stp>BDP|709506341274816818</stp>
        <tr r="F179" s="2"/>
      </tp>
      <tp t="s">
        <v>#N/A Requesting Data...1934584807</v>
        <stp/>
        <stp>BDP|844815848341764092</stp>
        <tr r="H1700" s="2"/>
      </tp>
      <tp t="s">
        <v>#N/A Requesting Data...930699174</v>
        <stp/>
        <stp>BDP|238707801032851847</stp>
        <tr r="A254" s="2"/>
      </tp>
      <tp t="s">
        <v>#N/A Requesting Data...1098030802</v>
        <stp/>
        <stp>BDP|745432790106239691</stp>
        <tr r="J2324" s="2"/>
      </tp>
      <tp t="s">
        <v>#N/A Requesting Data...3298500348</v>
        <stp/>
        <stp>BDP|972678746216915996</stp>
        <tr r="Q2007" s="2"/>
      </tp>
      <tp t="s">
        <v>#N/A Requesting Data...2336826269</v>
        <stp/>
        <stp>BDP|834118126956297851</stp>
        <tr r="S1124" s="2"/>
      </tp>
      <tp t="s">
        <v>#N/A Requesting Data...2458312355</v>
        <stp/>
        <stp>BDP|149640541127548893</stp>
        <tr r="P2072" s="2"/>
      </tp>
      <tp t="s">
        <v>#N/A Requesting Data...2515937635</v>
        <stp/>
        <stp>BDP|723820265001992218</stp>
        <tr r="P2185" s="2"/>
      </tp>
      <tp t="s">
        <v>#N/A Requesting Data...3991161018</v>
        <stp/>
        <stp>BDP|903914455148234976</stp>
        <tr r="P1378" s="2"/>
      </tp>
      <tp t="s">
        <v>#N/A Requesting Data...813064245</v>
        <stp/>
        <stp>BDP|984970193858040552</stp>
        <tr r="C962" s="2"/>
      </tp>
      <tp t="s">
        <v>#N/A Requesting Data...868931593</v>
        <stp/>
        <stp>BDP|956160090117588235</stp>
        <tr r="N1378" s="2"/>
      </tp>
      <tp t="s">
        <v>#N/A Requesting Data...1744359031</v>
        <stp/>
        <stp>BDP|410980621017306178</stp>
        <tr r="S1675" s="2"/>
      </tp>
      <tp t="b">
        <v>0</v>
        <stp/>
        <stp>BDS|174630178679370508</stp>
        <tr r="I755" s="2"/>
      </tp>
      <tp t="s">
        <v>#N/A Requesting Data...784138755</v>
        <stp/>
        <stp>BDP|798540895654841579</stp>
        <tr r="G2372" s="2"/>
      </tp>
      <tp t="s">
        <v>#N/A Requesting Data...2719134475</v>
        <stp/>
        <stp>BDP|810959390269196450</stp>
        <tr r="C2395" s="2"/>
      </tp>
      <tp t="s">
        <v>#N/A Requesting Data...1447106275</v>
        <stp/>
        <stp>BDP|574398121515022948</stp>
        <tr r="S1939" s="2"/>
      </tp>
      <tp t="s">
        <v>#N/A Requesting Data...4181521957</v>
        <stp/>
        <stp>BDP|966041777203064936</stp>
        <tr r="R853" s="2"/>
      </tp>
      <tp t="s">
        <v>#N/A Requesting Data...1512188423</v>
        <stp/>
        <stp>BDP|270818876547779582</stp>
        <tr r="Q1948" s="2"/>
      </tp>
      <tp t="s">
        <v>#N/A Requesting Data...3407101219</v>
        <stp/>
        <stp>BDP|545786581625277740</stp>
        <tr r="H67" s="2"/>
      </tp>
      <tp t="s">
        <v>#N/A Requesting Data...1830360667</v>
        <stp/>
        <stp>BDP|768093671699434311</stp>
        <tr r="T1651" s="2"/>
      </tp>
      <tp t="s">
        <v>#N/A Requesting Data...1652981949</v>
        <stp/>
        <stp>BDP|268512440384921803</stp>
        <tr r="J1125" s="2"/>
      </tp>
      <tp t="s">
        <v>#N/A Requesting Data...4179460820</v>
        <stp/>
        <stp>BDP|133931038272562550</stp>
        <tr r="C1203" s="2"/>
      </tp>
      <tp t="s">
        <v>#N/A Requesting Data...3872543888</v>
        <stp/>
        <stp>BDP|770528898373071261</stp>
        <tr r="K2396" s="2"/>
      </tp>
      <tp t="s">
        <v>#N/A Requesting Data...2352739499</v>
        <stp/>
        <stp>BDP|613998452381101073</stp>
        <tr r="K2173" s="2"/>
      </tp>
      <tp t="s">
        <v>#N/A Requesting Data...3484587932</v>
        <stp/>
        <stp>BDP|848921026863244557</stp>
        <tr r="R2528" s="2"/>
      </tp>
      <tp t="s">
        <v>#N/A Requesting Data...3354752611</v>
        <stp/>
        <stp>BDP|107933429102099404</stp>
        <tr r="G6" s="2"/>
      </tp>
      <tp t="s">
        <v>#N/A Requesting Data...874306959</v>
        <stp/>
        <stp>BDP|229582694083380267</stp>
        <tr r="J1674" s="2"/>
      </tp>
      <tp t="s">
        <v>#N/A Requesting Data...1966422027</v>
        <stp/>
        <stp>BDP|477593190425636400</stp>
        <tr r="A471" s="2"/>
      </tp>
      <tp t="s">
        <v>#N/A Requesting Data...1539049260</v>
        <stp/>
        <stp>BDP|419403303570839943</stp>
        <tr r="M74" s="2"/>
      </tp>
      <tp t="s">
        <v>#N/A Requesting Data...2458706301</v>
        <stp/>
        <stp>BDP|645969311036226373</stp>
        <tr r="N1129" s="2"/>
      </tp>
      <tp t="s">
        <v>#N/A Requesting Data...3490435354</v>
        <stp/>
        <stp>BDP|720676402528432325</stp>
        <tr r="C1603" s="2"/>
      </tp>
      <tp t="s">
        <v>#N/A Requesting Data...2710450541</v>
        <stp/>
        <stp>BDP|132932763487581509</stp>
        <tr r="F106" s="2"/>
      </tp>
      <tp t="s">
        <v>#N/A Requesting Data...2487154582</v>
        <stp/>
        <stp>BDP|516936373961334229</stp>
        <tr r="N785" s="2"/>
      </tp>
      <tp t="s">
        <v>#N/A Requesting Data...838722007</v>
        <stp/>
        <stp>BDP|360803402391128441</stp>
        <tr r="K843" s="2"/>
      </tp>
      <tp t="s">
        <v>#N/A Requesting Data...925959621</v>
        <stp/>
        <stp>BDP|976159983343830724</stp>
        <tr r="J2303" s="2"/>
      </tp>
      <tp t="s">
        <v>#N/A Requesting Data...1413019993</v>
        <stp/>
        <stp>BDP|402670306372611969</stp>
        <tr r="S1190" s="2"/>
      </tp>
      <tp t="s">
        <v>#N/A Requesting Data...3501689184</v>
        <stp/>
        <stp>BDP|617419295724458432</stp>
        <tr r="C2013" s="2"/>
      </tp>
      <tp t="s">
        <v>#N/A Requesting Data...4166801534</v>
        <stp/>
        <stp>BDP|125185139549049658</stp>
        <tr r="A2266" s="2"/>
      </tp>
      <tp t="b">
        <v>0</v>
        <stp/>
        <stp>BDS|505392358788424355</stp>
        <tr r="I1168" s="2"/>
      </tp>
      <tp t="s">
        <v>#N/A Requesting Data...2860006556</v>
        <stp/>
        <stp>BDP|179807426074328313</stp>
        <tr r="F1530" s="2"/>
      </tp>
      <tp t="s">
        <v>#N/A Requesting Data...1142139067</v>
        <stp/>
        <stp>BDP|512923727653153545</stp>
        <tr r="Q406" s="2"/>
      </tp>
      <tp t="s">
        <v>#N/A Requesting Data...2005962660</v>
        <stp/>
        <stp>BDP|297461145458477531</stp>
        <tr r="N148" s="2"/>
      </tp>
      <tp t="s">
        <v>#N/A Requesting Data...2194966224</v>
        <stp/>
        <stp>BDP|176758630730351916</stp>
        <tr r="Q579" s="2"/>
      </tp>
      <tp t="s">
        <v>#N/A Requesting Data...1389412930</v>
        <stp/>
        <stp>BDP|595715793372352121</stp>
        <tr r="J2524" s="2"/>
      </tp>
      <tp t="s">
        <v>#N/A Requesting Data...2217598651</v>
        <stp/>
        <stp>BDP|358681672165642999</stp>
        <tr r="G646" s="2"/>
      </tp>
      <tp t="s">
        <v>#N/A Requesting Data...2043491731</v>
        <stp/>
        <stp>BDP|143142014898404537</stp>
        <tr r="S812" s="2"/>
      </tp>
      <tp t="s">
        <v>#N/A Requesting Data...3679556998</v>
        <stp/>
        <stp>BDP|132189313055959852</stp>
        <tr r="F316" s="2"/>
      </tp>
      <tp t="s">
        <v>#N/A Requesting Data...1166009717</v>
        <stp/>
        <stp>BDP|917911750941604084</stp>
        <tr r="S1109" s="2"/>
      </tp>
      <tp t="s">
        <v>#N/A Requesting Data...3741598702</v>
        <stp/>
        <stp>BDP|567986980095950928</stp>
        <tr r="H485" s="2"/>
      </tp>
      <tp t="b">
        <v>0</v>
        <stp/>
        <stp>BDS|455863990649040545</stp>
        <tr r="I1809" s="2"/>
      </tp>
      <tp t="s">
        <v>#N/A Requesting Data...1717037940</v>
        <stp/>
        <stp>BDP|620766383436166447</stp>
        <tr r="N2150" s="2"/>
      </tp>
      <tp t="s">
        <v>#N/A Requesting Data...3559197041</v>
        <stp/>
        <stp>BDP|448705888650873226</stp>
        <tr r="G2344" s="2"/>
      </tp>
      <tp t="s">
        <v>#N/A Requesting Data...1193303748</v>
        <stp/>
        <stp>BDP|616715942747777940</stp>
        <tr r="O1031" s="2"/>
      </tp>
      <tp t="s">
        <v>#N/A Requesting Data...2804527153</v>
        <stp/>
        <stp>BDP|679510242415786950</stp>
        <tr r="S2105" s="2"/>
      </tp>
      <tp t="s">
        <v>#N/A Requesting Data...2324025260</v>
        <stp/>
        <stp>BDP|689961706352632670</stp>
        <tr r="R938" s="2"/>
      </tp>
      <tp t="s">
        <v>#N/A Requesting Data...1716728694</v>
        <stp/>
        <stp>BDP|934705432688878149</stp>
        <tr r="G1324" s="2"/>
      </tp>
      <tp t="s">
        <v>#N/A Requesting Data...2257691226</v>
        <stp/>
        <stp>BDP|555758077335975895</stp>
        <tr r="K1426" s="2"/>
      </tp>
      <tp t="s">
        <v>#N/A Requesting Data...2380380637</v>
        <stp/>
        <stp>BDP|713718889645836701</stp>
        <tr r="N1215" s="2"/>
      </tp>
      <tp t="s">
        <v>#N/A Requesting Data...1086948894</v>
        <stp/>
        <stp>BDP|699613215972474817</stp>
        <tr r="T172" s="2"/>
      </tp>
      <tp t="s">
        <v>#N/A Requesting Data...1982628480</v>
        <stp/>
        <stp>BDP|715406486281461020</stp>
        <tr r="F1106" s="2"/>
      </tp>
      <tp t="s">
        <v>#N/A Requesting Data...1149960926</v>
        <stp/>
        <stp>BDP|909593194613137226</stp>
        <tr r="Q1524" s="2"/>
      </tp>
      <tp t="s">
        <v>#N/A Requesting Data...2086170036</v>
        <stp/>
        <stp>BDP|390828201527317244</stp>
        <tr r="T1487" s="2"/>
      </tp>
      <tp t="s">
        <v>#N/A Requesting Data...1077090763</v>
        <stp/>
        <stp>BDP|162114907409312530</stp>
        <tr r="G560" s="2"/>
      </tp>
      <tp t="s">
        <v>#N/A Requesting Data...2303233763</v>
        <stp/>
        <stp>BDP|154136360213234909</stp>
        <tr r="E2254" s="2"/>
      </tp>
      <tp t="s">
        <v>#N/A Requesting Data...2206386375</v>
        <stp/>
        <stp>BDP|182945374100447350</stp>
        <tr r="T2046" s="2"/>
      </tp>
      <tp t="s">
        <v>#N/A Requesting Data...1582529915</v>
        <stp/>
        <stp>BDP|781715366809853589</stp>
        <tr r="F320" s="2"/>
      </tp>
      <tp t="s">
        <v>#N/A Requesting Data...1782557271</v>
        <stp/>
        <stp>BDP|572200949709475289</stp>
        <tr r="P381" s="2"/>
      </tp>
      <tp t="s">
        <v>#N/A Requesting Data...2854974572</v>
        <stp/>
        <stp>BDP|805152425289167798</stp>
        <tr r="D2305" s="2"/>
      </tp>
      <tp t="s">
        <v>#N/A Requesting Data...1952083866</v>
        <stp/>
        <stp>BDP|911619581636010590</stp>
        <tr r="N1213" s="2"/>
      </tp>
      <tp t="s">
        <v>#N/A Requesting Data...1371628799</v>
        <stp/>
        <stp>BDP|544817541597630634</stp>
        <tr r="N598" s="2"/>
      </tp>
      <tp t="s">
        <v>#N/A Requesting Data...1674941066</v>
        <stp/>
        <stp>BDP|386567606488272005</stp>
        <tr r="N1546" s="2"/>
      </tp>
      <tp t="s">
        <v>#N/A Requesting Data...2701066438</v>
        <stp/>
        <stp>BDP|372349136625140815</stp>
        <tr r="N1818" s="2"/>
      </tp>
      <tp t="s">
        <v>#N/A Requesting Data...3293000325</v>
        <stp/>
        <stp>BDP|591893573893747199</stp>
        <tr r="R792" s="2"/>
      </tp>
      <tp t="s">
        <v>#N/A Requesting Data...2617259177</v>
        <stp/>
        <stp>BDP|704334962619277159</stp>
        <tr r="C2075" s="2"/>
      </tp>
      <tp t="s">
        <v>#N/A Requesting Data...3822556677</v>
        <stp/>
        <stp>BDP|475770298560963337</stp>
        <tr r="D431" s="2"/>
      </tp>
      <tp t="s">
        <v>#N/A Requesting Data...1815007370</v>
        <stp/>
        <stp>BDP|418848765721684220</stp>
        <tr r="S545" s="2"/>
      </tp>
      <tp t="s">
        <v>#N/A Requesting Data...1828083274</v>
        <stp/>
        <stp>BDP|107071077263742971</stp>
        <tr r="P19" s="2"/>
      </tp>
      <tp t="s">
        <v>#N/A Requesting Data...4026567564</v>
        <stp/>
        <stp>BDP|900970373732407181</stp>
        <tr r="O2359" s="2"/>
      </tp>
      <tp t="s">
        <v>#N/A Requesting Data...4154188774</v>
        <stp/>
        <stp>BDP|242038190571036530</stp>
        <tr r="A893" s="2"/>
      </tp>
      <tp t="s">
        <v>#N/A Requesting Data...2913013740</v>
        <stp/>
        <stp>BDP|497570291692126316</stp>
        <tr r="H1613" s="2"/>
      </tp>
      <tp t="s">
        <v>#N/A Requesting Data...3986851273</v>
        <stp/>
        <stp>BDP|489808005480447571</stp>
        <tr r="R784" s="2"/>
      </tp>
      <tp t="s">
        <v>#N/A Requesting Data...2429685284</v>
        <stp/>
        <stp>BDP|769171844839118161</stp>
        <tr r="P1133" s="2"/>
      </tp>
      <tp t="s">
        <v>#N/A Requesting Data...2399668370</v>
        <stp/>
        <stp>BDP|911657888820267357</stp>
        <tr r="T2296" s="2"/>
      </tp>
      <tp t="b">
        <v>0</v>
        <stp/>
        <stp>BDS|720451842549118428</stp>
        <tr r="I2230" s="2"/>
      </tp>
      <tp t="s">
        <v>#N/A Requesting Data...3736640078</v>
        <stp/>
        <stp>BDP|782345264090276867</stp>
        <tr r="S2000" s="2"/>
      </tp>
      <tp t="s">
        <v>#N/A Requesting Data...4166894245</v>
        <stp/>
        <stp>BDP|963442519848270058</stp>
        <tr r="S2255" s="2"/>
      </tp>
      <tp t="s">
        <v>#N/A Requesting Data...2361610884</v>
        <stp/>
        <stp>BDP|450992728515471326</stp>
        <tr r="T1037" s="2"/>
      </tp>
      <tp t="s">
        <v>#N/A Requesting Data...2077591613</v>
        <stp/>
        <stp>BDP|610464524642570924</stp>
        <tr r="J643" s="2"/>
      </tp>
      <tp t="s">
        <v>#N/A Requesting Data...3090175951</v>
        <stp/>
        <stp>BDP|707040530057783979</stp>
        <tr r="J1315" s="2"/>
      </tp>
      <tp t="s">
        <v>#N/A Requesting Data...1392751007</v>
        <stp/>
        <stp>BDP|213822772530693384</stp>
        <tr r="F1645" s="2"/>
      </tp>
      <tp t="s">
        <v>#N/A Requesting Data...3807813252</v>
        <stp/>
        <stp>BDP|737435695450888154</stp>
        <tr r="G1532" s="2"/>
      </tp>
      <tp t="s">
        <v>#N/A Requesting Data...2684408856</v>
        <stp/>
        <stp>BDP|826634197565496649</stp>
        <tr r="H1241" s="2"/>
      </tp>
      <tp t="s">
        <v>#N/A Requesting Data...1057003268</v>
        <stp/>
        <stp>BDP|850665907688128241</stp>
        <tr r="Q860" s="2"/>
      </tp>
      <tp t="b">
        <v>0</v>
        <stp/>
        <stp>BDS|291847172446165587</stp>
        <tr r="I2463" s="2"/>
      </tp>
      <tp t="s">
        <v>#N/A Requesting Data...2923288539</v>
        <stp/>
        <stp>BDP|890901446306052735</stp>
        <tr r="N582" s="2"/>
      </tp>
      <tp t="s">
        <v>#N/A Requesting Data...3183154419</v>
        <stp/>
        <stp>BDP|418419772169912630</stp>
        <tr r="G1682" s="2"/>
      </tp>
      <tp t="s">
        <v>#N/A Requesting Data...2691271076</v>
        <stp/>
        <stp>BDP|915448948928971418</stp>
        <tr r="T410" s="2"/>
      </tp>
      <tp t="s">
        <v>#N/A Requesting Data...2353674030</v>
        <stp/>
        <stp>BDP|924901754373960399</stp>
        <tr r="T626" s="2"/>
      </tp>
      <tp t="s">
        <v>#N/A Requesting Data...1019907478</v>
        <stp/>
        <stp>BDP|902314214289040712</stp>
        <tr r="M2488" s="2"/>
      </tp>
      <tp t="b">
        <v>0</v>
        <stp/>
        <stp>BDS|473429751715860828</stp>
        <tr r="I715" s="2"/>
      </tp>
      <tp t="s">
        <v>#N/A Requesting Data...1878367342</v>
        <stp/>
        <stp>BDP|528328629465175811</stp>
        <tr r="S97" s="2"/>
      </tp>
      <tp t="s">
        <v>#N/A Requesting Data...2892154462</v>
        <stp/>
        <stp>BDP|622113078412696874</stp>
        <tr r="Q588" s="2"/>
      </tp>
      <tp t="s">
        <v>#N/A Requesting Data...1984390912</v>
        <stp/>
        <stp>BDP|342442674877857854</stp>
        <tr r="E1633" s="2"/>
      </tp>
      <tp t="b">
        <v>0</v>
        <stp/>
        <stp>BDS|335175507868847558</stp>
        <tr r="I191" s="2"/>
      </tp>
      <tp t="s">
        <v>#N/A Requesting Data...2202540443</v>
        <stp/>
        <stp>BDP|640865885174984829</stp>
        <tr r="K505" s="2"/>
      </tp>
      <tp t="s">
        <v>#N/A Requesting Data...4104784429</v>
        <stp/>
        <stp>BDP|958274590495239223</stp>
        <tr r="E98" s="2"/>
      </tp>
      <tp t="s">
        <v>#N/A Requesting Data...4069339474</v>
        <stp/>
        <stp>BDP|567427786779977964</stp>
        <tr r="F1426" s="2"/>
      </tp>
      <tp t="s">
        <v>#N/A Requesting Data...4267490881</v>
        <stp/>
        <stp>BDP|226752959698020601</stp>
        <tr r="A950" s="2"/>
      </tp>
      <tp t="s">
        <v>#N/A Requesting Data...2454000223</v>
        <stp/>
        <stp>BDP|632712131108120088</stp>
        <tr r="G463" s="2"/>
      </tp>
      <tp t="s">
        <v>#N/A Requesting Data...1490737631</v>
        <stp/>
        <stp>BDP|332148583783800637</stp>
        <tr r="H1898" s="2"/>
      </tp>
      <tp t="s">
        <v>#N/A Requesting Data...2747486735</v>
        <stp/>
        <stp>BDP|833723895994506652</stp>
        <tr r="A707" s="2"/>
      </tp>
      <tp t="s">
        <v>#N/A Requesting Data...1349775821</v>
        <stp/>
        <stp>BDP|658192226967150872</stp>
        <tr r="A1126" s="2"/>
      </tp>
      <tp t="s">
        <v>#N/A Requesting Data...3165575759</v>
        <stp/>
        <stp>BDP|260176318904440864</stp>
        <tr r="K335" s="2"/>
      </tp>
      <tp t="s">
        <v>#N/A Requesting Data...3780971759</v>
        <stp/>
        <stp>BDP|949550702658202132</stp>
        <tr r="J1833" s="2"/>
      </tp>
      <tp t="s">
        <v>#N/A Requesting Data...4292665524</v>
        <stp/>
        <stp>BDP|159960334275867341</stp>
        <tr r="D1088" s="2"/>
      </tp>
      <tp t="b">
        <v>0</v>
        <stp/>
        <stp>BDS|475091505789151564</stp>
        <tr r="I1525" s="2"/>
      </tp>
      <tp t="s">
        <v>#N/A Requesting Data...3128408806</v>
        <stp/>
        <stp>BDP|482356218018170603</stp>
        <tr r="S857" s="2"/>
      </tp>
      <tp t="s">
        <v>#N/A Requesting Data...3937509947</v>
        <stp/>
        <stp>BDP|227057284717907320</stp>
        <tr r="Q300" s="2"/>
      </tp>
      <tp t="s">
        <v>#N/A Requesting Data...4257738126</v>
        <stp/>
        <stp>BDP|161413779337841890</stp>
        <tr r="Q1343" s="2"/>
      </tp>
      <tp t="s">
        <v>#N/A Requesting Data...1902430542</v>
        <stp/>
        <stp>BDP|244817537607845046</stp>
        <tr r="C1056" s="2"/>
      </tp>
      <tp t="s">
        <v>#N/A Requesting Data...1253237904</v>
        <stp/>
        <stp>BDP|641802985218929423</stp>
        <tr r="N327" s="2"/>
      </tp>
      <tp t="s">
        <v>#N/A Requesting Data...3196455267</v>
        <stp/>
        <stp>BDP|259010634057653889</stp>
        <tr r="C1200" s="2"/>
      </tp>
      <tp t="s">
        <v>#N/A Requesting Data...3380958318</v>
        <stp/>
        <stp>BDP|199140909469004450</stp>
        <tr r="R1810" s="2"/>
      </tp>
      <tp t="s">
        <v>#N/A Requesting Data...1529369465</v>
        <stp/>
        <stp>BDP|908023985916582220</stp>
        <tr r="G2233" s="2"/>
      </tp>
      <tp t="s">
        <v>#N/A Requesting Data...2451966466</v>
        <stp/>
        <stp>BDP|769229869918089064</stp>
        <tr r="N1472" s="2"/>
      </tp>
      <tp t="s">
        <v>#N/A Requesting Data...3233248362</v>
        <stp/>
        <stp>BDP|233322481455385287</stp>
        <tr r="G827" s="2"/>
      </tp>
      <tp t="s">
        <v>#N/A Requesting Data...2475036475</v>
        <stp/>
        <stp>BDP|774307664819951006</stp>
        <tr r="O1745" s="2"/>
      </tp>
      <tp t="s">
        <v>#N/A Requesting Data...2320884907</v>
        <stp/>
        <stp>BDP|952764208713447899</stp>
        <tr r="F2078" s="2"/>
      </tp>
      <tp t="s">
        <v>#N/A Requesting Data...3964022638</v>
        <stp/>
        <stp>BDP|901869063710535234</stp>
        <tr r="P250" s="2"/>
      </tp>
      <tp t="s">
        <v>#N/A Requesting Data...3046134674</v>
        <stp/>
        <stp>BDP|267672712148435398</stp>
        <tr r="J1085" s="2"/>
      </tp>
      <tp t="s">
        <v>#N/A Requesting Data...3322673047</v>
        <stp/>
        <stp>BDP|112295695104034375</stp>
        <tr r="T1403" s="2"/>
      </tp>
      <tp t="s">
        <v>#N/A Requesting Data...1902747239</v>
        <stp/>
        <stp>BDP|436981685968670558</stp>
        <tr r="P720" s="2"/>
      </tp>
      <tp t="s">
        <v>#N/A Requesting Data...3944523813</v>
        <stp/>
        <stp>BDP|928749015988640243</stp>
        <tr r="Q2202" s="2"/>
      </tp>
      <tp t="s">
        <v>#N/A Requesting Data...2034337448</v>
        <stp/>
        <stp>BDP|775956225565492298</stp>
        <tr r="Q1733" s="2"/>
      </tp>
      <tp t="s">
        <v>#N/A Requesting Data...4145841999</v>
        <stp/>
        <stp>BDP|498181336606744860</stp>
        <tr r="F1920" s="2"/>
      </tp>
      <tp t="s">
        <v>#N/A Requesting Data...3184037700</v>
        <stp/>
        <stp>BDP|336411271199091682</stp>
        <tr r="K389" s="2"/>
      </tp>
      <tp t="b">
        <v>0</v>
        <stp/>
        <stp>BDS|944585142654092980</stp>
        <tr r="I1610" s="2"/>
      </tp>
      <tp t="s">
        <v>#N/A Requesting Data...4268259438</v>
        <stp/>
        <stp>BDP|683884071452261161</stp>
        <tr r="R574" s="2"/>
      </tp>
      <tp t="s">
        <v>#N/A Requesting Data...3408018834</v>
        <stp/>
        <stp>BDP|730443683940875032</stp>
        <tr r="Q961" s="2"/>
      </tp>
      <tp t="s">
        <v>#N/A Requesting Data...2453502748</v>
        <stp/>
        <stp>BDP|251294181027118100</stp>
        <tr r="J494" s="2"/>
      </tp>
      <tp t="s">
        <v>#N/A Requesting Data...1485458898</v>
        <stp/>
        <stp>BDP|327855537796958134</stp>
        <tr r="O1783" s="2"/>
      </tp>
      <tp t="s">
        <v>#N/A Requesting Data...1954999091</v>
        <stp/>
        <stp>BDP|936455992037757627</stp>
        <tr r="E384" s="2"/>
      </tp>
      <tp t="s">
        <v>#N/A Requesting Data...2211674220</v>
        <stp/>
        <stp>BDP|499030298845417005</stp>
        <tr r="Q1737" s="2"/>
      </tp>
      <tp t="s">
        <v>#N/A Requesting Data...1199663849</v>
        <stp/>
        <stp>BDP|485867141646157662</stp>
        <tr r="N1430" s="2"/>
      </tp>
      <tp t="b">
        <v>0</v>
        <stp/>
        <stp>BDS|811800869896626436</stp>
        <tr r="I338" s="2"/>
      </tp>
      <tp t="s">
        <v>#N/A Requesting Data...3963361212</v>
        <stp/>
        <stp>BDP|537945217206011228</stp>
        <tr r="K2303" s="2"/>
      </tp>
      <tp t="s">
        <v>#N/A Requesting Data...1629995675</v>
        <stp/>
        <stp>BDP|722044897615798079</stp>
        <tr r="C206" s="2"/>
      </tp>
      <tp t="s">
        <v>#N/A Requesting Data...1943142594</v>
        <stp/>
        <stp>BDP|383365619358992617</stp>
        <tr r="S2263" s="2"/>
      </tp>
      <tp t="s">
        <v>#N/A Requesting Data...2676221657</v>
        <stp/>
        <stp>BDP|280806456884941593</stp>
        <tr r="D1604" s="2"/>
      </tp>
      <tp t="s">
        <v>#N/A Requesting Data...3785702792</v>
        <stp/>
        <stp>BDP|180818307180401476</stp>
        <tr r="N672" s="2"/>
      </tp>
      <tp t="s">
        <v>#N/A Requesting Data...4236084210</v>
        <stp/>
        <stp>BDP|983035448709731103</stp>
        <tr r="M382" s="2"/>
      </tp>
      <tp t="s">
        <v>#N/A Requesting Data...3957317614</v>
        <stp/>
        <stp>BDP|296542752988453459</stp>
        <tr r="D2143" s="2"/>
      </tp>
      <tp t="s">
        <v>#N/A Requesting Data...3332664696</v>
        <stp/>
        <stp>BDP|266839845824221438</stp>
        <tr r="N2454" s="2"/>
      </tp>
      <tp t="s">
        <v>#N/A Requesting Data...2611080652</v>
        <stp/>
        <stp>BDP|211103198726953263</stp>
        <tr r="J1093" s="2"/>
      </tp>
      <tp t="s">
        <v>#N/A Requesting Data...1164983791</v>
        <stp/>
        <stp>BDP|477476683280615032</stp>
        <tr r="J690" s="2"/>
      </tp>
      <tp t="s">
        <v>#N/A Requesting Data...3270693111</v>
        <stp/>
        <stp>BDP|243104714674241812</stp>
        <tr r="G25" s="2"/>
      </tp>
      <tp t="s">
        <v>#N/A Requesting Data...1678933397</v>
        <stp/>
        <stp>BDP|551808139331193681</stp>
        <tr r="F2468" s="2"/>
      </tp>
      <tp t="s">
        <v>#N/A Requesting Data...2549109298</v>
        <stp/>
        <stp>BDP|588166285364516157</stp>
        <tr r="K832" s="2"/>
      </tp>
      <tp t="s">
        <v>#N/A Requesting Data...1659264237</v>
        <stp/>
        <stp>BDP|805107228918539736</stp>
        <tr r="M757" s="2"/>
      </tp>
      <tp t="s">
        <v>#N/A Requesting Data...1608993164</v>
        <stp/>
        <stp>BDP|158913043786267779</stp>
        <tr r="H1881" s="2"/>
      </tp>
      <tp t="s">
        <v>#N/A Requesting Data...1725575996</v>
        <stp/>
        <stp>BDP|527284328905575968</stp>
        <tr r="J471" s="2"/>
      </tp>
      <tp t="s">
        <v>#N/A Requesting Data...2742563496</v>
        <stp/>
        <stp>BDP|167735477254372800</stp>
        <tr r="T2025" s="2"/>
      </tp>
      <tp t="s">
        <v>#N/A Requesting Data...3571785890</v>
        <stp/>
        <stp>BDP|348108190377282370</stp>
        <tr r="O598" s="2"/>
      </tp>
      <tp t="s">
        <v>#N/A Requesting Data...3525546544</v>
        <stp/>
        <stp>BDP|473189020917368894</stp>
        <tr r="M2487" s="2"/>
      </tp>
      <tp t="s">
        <v>#N/A Requesting Data...3456906821</v>
        <stp/>
        <stp>BDP|443901971574471672</stp>
        <tr r="S2107" s="2"/>
      </tp>
      <tp t="b">
        <v>0</v>
        <stp/>
        <stp>BDS|425378714756156813</stp>
        <tr r="I1414" s="2"/>
      </tp>
      <tp t="s">
        <v>#N/A Requesting Data...2970572712</v>
        <stp/>
        <stp>BDP|617748584101079210</stp>
        <tr r="P81" s="2"/>
      </tp>
      <tp t="b">
        <v>0</v>
        <stp/>
        <stp>BDS|895407779147559835</stp>
        <tr r="I1451" s="2"/>
      </tp>
      <tp t="s">
        <v>#N/A Requesting Data...2714895601</v>
        <stp/>
        <stp>BDP|930023887647332388</stp>
        <tr r="N225" s="2"/>
      </tp>
      <tp t="s">
        <v>#N/A Requesting Data...3416799082</v>
        <stp/>
        <stp>BDP|619563650665151963</stp>
        <tr r="F1766" s="2"/>
      </tp>
      <tp t="s">
        <v>#N/A Requesting Data...3510887398</v>
        <stp/>
        <stp>BDP|824580783792509316</stp>
        <tr r="G2257" s="2"/>
      </tp>
      <tp t="s">
        <v>#N/A Requesting Data...4014291163</v>
        <stp/>
        <stp>BDP|923074890365907003</stp>
        <tr r="J1429" s="2"/>
      </tp>
      <tp t="s">
        <v>#N/A Requesting Data...1754424598</v>
        <stp/>
        <stp>BDP|984595198339811979</stp>
        <tr r="P2448" s="2"/>
      </tp>
      <tp t="s">
        <v>#N/A Requesting Data...3164977897</v>
        <stp/>
        <stp>BDP|535761780354313777</stp>
        <tr r="K2238" s="2"/>
      </tp>
      <tp t="b">
        <v>0</v>
        <stp/>
        <stp>BDS|855588594218521816</stp>
        <tr r="I626" s="2"/>
      </tp>
      <tp t="s">
        <v>#N/A Requesting Data...3425924045</v>
        <stp/>
        <stp>BDP|417755251756505858</stp>
        <tr r="S1147" s="2"/>
      </tp>
      <tp t="s">
        <v>#N/A Requesting Data...4007808611</v>
        <stp/>
        <stp>BDP|211874493789279448</stp>
        <tr r="M1600" s="2"/>
      </tp>
      <tp t="s">
        <v>#N/A Requesting Data...3370748758</v>
        <stp/>
        <stp>BDP|996852952404686587</stp>
        <tr r="S1832" s="2"/>
      </tp>
      <tp t="s">
        <v>#N/A Requesting Data...2288355429</v>
        <stp/>
        <stp>BDP|623970376381583329</stp>
        <tr r="Q1533" s="2"/>
      </tp>
      <tp t="s">
        <v>#N/A Requesting Data...3999452966</v>
        <stp/>
        <stp>BDP|476944702494154132</stp>
        <tr r="G2184" s="2"/>
      </tp>
      <tp t="s">
        <v>#N/A Requesting Data...4042172369</v>
        <stp/>
        <stp>BDP|263540001551206852</stp>
        <tr r="H385" s="2"/>
      </tp>
      <tp t="s">
        <v>#N/A Requesting Data...4246713374</v>
        <stp/>
        <stp>BDP|257781594626756491</stp>
        <tr r="G387" s="2"/>
      </tp>
      <tp t="s">
        <v>#N/A Requesting Data...3699079331</v>
        <stp/>
        <stp>BDP|675960910242127610</stp>
        <tr r="A677" s="2"/>
      </tp>
      <tp t="s">
        <v>#N/A Requesting Data...4041053549</v>
        <stp/>
        <stp>BDP|569760943148710771</stp>
        <tr r="C1915" s="2"/>
      </tp>
      <tp t="s">
        <v>#N/A Requesting Data...2952728165</v>
        <stp/>
        <stp>BDP|580110366923676841</stp>
        <tr r="O219" s="2"/>
      </tp>
      <tp t="s">
        <v>#N/A Requesting Data...3302045667</v>
        <stp/>
        <stp>BDP|711472763346135824</stp>
        <tr r="D810" s="2"/>
      </tp>
      <tp t="s">
        <v>#N/A Requesting Data...2045730455</v>
        <stp/>
        <stp>BDP|673852306762653633</stp>
        <tr r="N1972" s="2"/>
      </tp>
      <tp t="s">
        <v>#N/A Requesting Data...2157189878</v>
        <stp/>
        <stp>BDP|162545875947376927</stp>
        <tr r="H621" s="2"/>
      </tp>
      <tp t="s">
        <v>#N/A Requesting Data...3446258469</v>
        <stp/>
        <stp>BDP|188067565329559362</stp>
        <tr r="P2411" s="2"/>
      </tp>
      <tp t="s">
        <v>#N/A Requesting Data...1422881713</v>
        <stp/>
        <stp>BDP|714219706027707961</stp>
        <tr r="N1082" s="2"/>
      </tp>
      <tp t="s">
        <v>#N/A Requesting Data...1456032407</v>
        <stp/>
        <stp>BDP|619225021888455405</stp>
        <tr r="G1664" s="2"/>
      </tp>
      <tp t="s">
        <v>#N/A Requesting Data...1977819367</v>
        <stp/>
        <stp>BDP|758861245083336364</stp>
        <tr r="E1856" s="2"/>
      </tp>
      <tp t="s">
        <v>#N/A Requesting Data...2521395021</v>
        <stp/>
        <stp>BDP|924619962619898537</stp>
        <tr r="G1798" s="2"/>
      </tp>
      <tp t="s">
        <v>#N/A Requesting Data...3438095050</v>
        <stp/>
        <stp>BDP|608332485242703560</stp>
        <tr r="S926" s="2"/>
      </tp>
      <tp t="s">
        <v>#N/A Requesting Data...2663521353</v>
        <stp/>
        <stp>BDP|240968021560110758</stp>
        <tr r="E1272" s="2"/>
      </tp>
      <tp t="s">
        <v>#N/A Requesting Data...2554116605</v>
        <stp/>
        <stp>BDP|444255551498816393</stp>
        <tr r="H928" s="2"/>
      </tp>
      <tp t="s">
        <v>#N/A Requesting Data...3434292225</v>
        <stp/>
        <stp>BDP|684041431346155938</stp>
        <tr r="E2327" s="2"/>
      </tp>
      <tp t="s">
        <v>#N/A Requesting Data...4105486297</v>
        <stp/>
        <stp>BDP|159926000863495666</stp>
        <tr r="F2024" s="2"/>
      </tp>
      <tp t="s">
        <v>#N/A Requesting Data...1713947807</v>
        <stp/>
        <stp>BDP|150236917506732930</stp>
        <tr r="R1580" s="2"/>
      </tp>
      <tp t="s">
        <v>#N/A Requesting Data...4028684768</v>
        <stp/>
        <stp>BDP|187947449654596585</stp>
        <tr r="M1571" s="2"/>
      </tp>
      <tp t="s">
        <v>#N/A Requesting Data...2053339705</v>
        <stp/>
        <stp>BDP|269847669945860755</stp>
        <tr r="K1046" s="2"/>
      </tp>
      <tp t="s">
        <v>#N/A Requesting Data...1622007538</v>
        <stp/>
        <stp>BDP|940956728413688406</stp>
        <tr r="M598" s="2"/>
      </tp>
      <tp t="s">
        <v>#N/A Requesting Data...2514961594</v>
        <stp/>
        <stp>BDP|644424742914532812</stp>
        <tr r="G839" s="2"/>
      </tp>
      <tp t="s">
        <v>#N/A Requesting Data...2817431845</v>
        <stp/>
        <stp>BDP|414013025469474769</stp>
        <tr r="T372" s="2"/>
      </tp>
      <tp t="b">
        <v>0</v>
        <stp/>
        <stp>BDS|738267916239289673</stp>
        <tr r="I1080" s="2"/>
      </tp>
      <tp t="s">
        <v>#N/A Requesting Data...1861801070</v>
        <stp/>
        <stp>BDP|771873473151111204</stp>
        <tr r="D2184" s="2"/>
      </tp>
      <tp t="s">
        <v>#N/A Requesting Data...2912990067</v>
        <stp/>
        <stp>BDP|472306547442259936</stp>
        <tr r="N92" s="2"/>
      </tp>
      <tp t="s">
        <v>#N/A Requesting Data...4208975481</v>
        <stp/>
        <stp>BDP|893098296670503501</stp>
        <tr r="S559" s="2"/>
      </tp>
      <tp t="s">
        <v>#N/A Requesting Data...3373091041</v>
        <stp/>
        <stp>BDP|218942828867940058</stp>
        <tr r="A1811" s="2"/>
      </tp>
      <tp t="s">
        <v>#N/A Requesting Data...2691671950</v>
        <stp/>
        <stp>BDP|249493258865005804</stp>
        <tr r="T2308" s="2"/>
      </tp>
      <tp t="s">
        <v>#N/A Requesting Data...1509120506</v>
        <stp/>
        <stp>BDP|444902874835768743</stp>
        <tr r="T1571" s="2"/>
      </tp>
      <tp t="s">
        <v>#N/A Requesting Data...2832972294</v>
        <stp/>
        <stp>BDP|779758651319059700</stp>
        <tr r="E2378" s="2"/>
      </tp>
      <tp t="s">
        <v>#N/A Requesting Data...1511772880</v>
        <stp/>
        <stp>BDP|310948974104601667</stp>
        <tr r="Q1775" s="2"/>
      </tp>
      <tp t="s">
        <v>#N/A Requesting Data...3512574649</v>
        <stp/>
        <stp>BDP|239008389677963317</stp>
        <tr r="M658" s="2"/>
      </tp>
      <tp t="s">
        <v>#N/A Requesting Data...3822644268</v>
        <stp/>
        <stp>BDP|367804096909160470</stp>
        <tr r="S2328" s="2"/>
      </tp>
      <tp t="s">
        <v>#N/A Requesting Data...3117372800</v>
        <stp/>
        <stp>BDP|938987234261657700</stp>
        <tr r="E786" s="2"/>
      </tp>
      <tp t="s">
        <v>#N/A Requesting Data...2852244439</v>
        <stp/>
        <stp>BDP|203371191185106361</stp>
        <tr r="P1827" s="2"/>
      </tp>
      <tp t="s">
        <v>#N/A Requesting Data...1703179087</v>
        <stp/>
        <stp>BDP|460126253920795815</stp>
        <tr r="T147" s="2"/>
      </tp>
      <tp t="s">
        <v>#N/A Requesting Data...3200123358</v>
        <stp/>
        <stp>BDP|578221284980824576</stp>
        <tr r="E422" s="2"/>
      </tp>
      <tp t="b">
        <v>0</v>
        <stp/>
        <stp>BDS|416961406273197592</stp>
        <tr r="I301" s="2"/>
      </tp>
      <tp t="s">
        <v>#N/A Requesting Data...1734215636</v>
        <stp/>
        <stp>BDP|142578597424553782</stp>
        <tr r="J1038" s="2"/>
      </tp>
      <tp t="s">
        <v>#N/A Requesting Data...1733410342</v>
        <stp/>
        <stp>BDP|614472198444422618</stp>
        <tr r="H616" s="2"/>
      </tp>
      <tp t="s">
        <v>#N/A Requesting Data...4123131353</v>
        <stp/>
        <stp>BDP|650393120618087635</stp>
        <tr r="Q1058" s="2"/>
      </tp>
      <tp t="s">
        <v>#N/A Requesting Data...2080234461</v>
        <stp/>
        <stp>BDP|483387572578718359</stp>
        <tr r="A61" s="2"/>
      </tp>
      <tp t="s">
        <v>#N/A Requesting Data...2050826167</v>
        <stp/>
        <stp>BDP|351905694148841737</stp>
        <tr r="P264" s="2"/>
      </tp>
      <tp t="s">
        <v>#N/A Requesting Data...3514075456</v>
        <stp/>
        <stp>BDP|392386773179280265</stp>
        <tr r="A44" s="2"/>
      </tp>
      <tp t="s">
        <v>#N/A Requesting Data...2925564401</v>
        <stp/>
        <stp>BDP|589112278430885980</stp>
        <tr r="D2035" s="2"/>
      </tp>
      <tp t="s">
        <v>#N/A Requesting Data...3377636801</v>
        <stp/>
        <stp>BDP|409837508102248514</stp>
        <tr r="R2041" s="2"/>
      </tp>
      <tp t="s">
        <v>#N/A Requesting Data...3830702216</v>
        <stp/>
        <stp>BDP|911847906646174163</stp>
        <tr r="P84" s="2"/>
      </tp>
      <tp t="s">
        <v>#N/A Requesting Data...2435681055</v>
        <stp/>
        <stp>BDP|900997714873992412</stp>
        <tr r="H1826" s="2"/>
      </tp>
      <tp t="s">
        <v>#N/A Requesting Data...3665801651</v>
        <stp/>
        <stp>BDP|706798332663052819</stp>
        <tr r="O372" s="2"/>
      </tp>
      <tp t="s">
        <v>#N/A Requesting Data...3001347067</v>
        <stp/>
        <stp>BDP|962096889877498003</stp>
        <tr r="H2384" s="2"/>
      </tp>
      <tp t="s">
        <v>#N/A Requesting Data...3864580899</v>
        <stp/>
        <stp>BDP|781797144765421938</stp>
        <tr r="N90" s="2"/>
      </tp>
      <tp t="s">
        <v>#N/A Requesting Data...2214674624</v>
        <stp/>
        <stp>BDP|968970904122612415</stp>
        <tr r="E380" s="2"/>
      </tp>
      <tp t="s">
        <v>#N/A Requesting Data...2636602142</v>
        <stp/>
        <stp>BDP|261880454622775044</stp>
        <tr r="G368" s="2"/>
      </tp>
      <tp t="s">
        <v>#N/A Requesting Data...2993084008</v>
        <stp/>
        <stp>BDP|808522972125100843</stp>
        <tr r="P2106" s="2"/>
      </tp>
      <tp t="s">
        <v>#N/A Requesting Data...3826856812</v>
        <stp/>
        <stp>BDP|583163756743951822</stp>
        <tr r="O298" s="2"/>
      </tp>
      <tp t="s">
        <v>#N/A Requesting Data...2897400177</v>
        <stp/>
        <stp>BDP|625539604799944361</stp>
        <tr r="Q956" s="2"/>
      </tp>
      <tp t="s">
        <v>#N/A Requesting Data...3896308473</v>
        <stp/>
        <stp>BDP|519980077940764130</stp>
        <tr r="C1074" s="2"/>
      </tp>
      <tp t="s">
        <v>#N/A Requesting Data...1986305993</v>
        <stp/>
        <stp>BDP|363028125359976435</stp>
        <tr r="S1791" s="2"/>
      </tp>
      <tp t="s">
        <v>#N/A Requesting Data...3405489486</v>
        <stp/>
        <stp>BDP|767348922737773982</stp>
        <tr r="K460" s="2"/>
      </tp>
      <tp t="s">
        <v>#N/A Requesting Data...2083540595</v>
        <stp/>
        <stp>BDP|595851494957915936</stp>
        <tr r="Q1139" s="2"/>
      </tp>
      <tp t="b">
        <v>0</v>
        <stp/>
        <stp>BDS|998276667059647201</stp>
        <tr r="I1568" s="2"/>
      </tp>
      <tp t="s">
        <v>#N/A Requesting Data...2609249970</v>
        <stp/>
        <stp>BDP|696873441755808674</stp>
        <tr r="N725" s="2"/>
      </tp>
      <tp t="s">
        <v>#N/A Requesting Data...1488242375</v>
        <stp/>
        <stp>BDP|984332506169126520</stp>
        <tr r="R1705" s="2"/>
      </tp>
      <tp t="s">
        <v>#N/A Requesting Data...1449856838</v>
        <stp/>
        <stp>BDP|792498583873757052</stp>
        <tr r="P2292" s="2"/>
      </tp>
      <tp t="s">
        <v>#N/A Requesting Data...1838399746</v>
        <stp/>
        <stp>BDP|317073503126189994</stp>
        <tr r="H1806" s="2"/>
      </tp>
      <tp t="s">
        <v>#N/A Requesting Data...2897744553</v>
        <stp/>
        <stp>BDP|872252122096084900</stp>
        <tr r="R2219" s="2"/>
      </tp>
      <tp t="s">
        <v>#N/A Requesting Data...3378361720</v>
        <stp/>
        <stp>BDP|219829165689327891</stp>
        <tr r="S672" s="2"/>
      </tp>
      <tp t="s">
        <v>#N/A Requesting Data...2588679608</v>
        <stp/>
        <stp>BDP|179542828429668145</stp>
        <tr r="R2200" s="2"/>
      </tp>
      <tp t="s">
        <v>#N/A Requesting Data...3515767848</v>
        <stp/>
        <stp>BDP|742510816248744380</stp>
        <tr r="S1683" s="2"/>
      </tp>
      <tp t="s">
        <v>#N/A Requesting Data...2056446300</v>
        <stp/>
        <stp>BDP|808471156546406824</stp>
        <tr r="C620" s="2"/>
      </tp>
      <tp t="s">
        <v>#N/A Requesting Data...3676169111</v>
        <stp/>
        <stp>BDP|109746888300006022</stp>
        <tr r="M1951" s="2"/>
      </tp>
      <tp t="s">
        <v>#N/A Requesting Data...2544038688</v>
        <stp/>
        <stp>BDP|925325471548427314</stp>
        <tr r="N1361" s="2"/>
      </tp>
      <tp t="s">
        <v>#N/A Requesting Data...3485378607</v>
        <stp/>
        <stp>BDP|894968666415467536</stp>
        <tr r="C502" s="2"/>
      </tp>
      <tp t="s">
        <v>#N/A Requesting Data...3197370910</v>
        <stp/>
        <stp>BDP|533884088238886757</stp>
        <tr r="C373" s="2"/>
      </tp>
      <tp t="s">
        <v>#N/A Requesting Data...1561529224</v>
        <stp/>
        <stp>BDP|609039382522701584</stp>
        <tr r="G551" s="2"/>
      </tp>
      <tp t="s">
        <v>#N/A Requesting Data...1784632140</v>
        <stp/>
        <stp>BDP|468981923001486537</stp>
        <tr r="H2318" s="2"/>
      </tp>
      <tp t="s">
        <v>#N/A Requesting Data...3081436000</v>
        <stp/>
        <stp>BDP|893601444015665821</stp>
        <tr r="S1055" s="2"/>
      </tp>
      <tp t="s">
        <v>#N/A Requesting Data...2633968613</v>
        <stp/>
        <stp>BDP|857716818559106085</stp>
        <tr r="M686" s="2"/>
      </tp>
      <tp t="s">
        <v>#N/A Requesting Data...1888703454</v>
        <stp/>
        <stp>BDP|991989250182827115</stp>
        <tr r="J1378" s="2"/>
      </tp>
      <tp t="s">
        <v>#N/A Requesting Data...3807402221</v>
        <stp/>
        <stp>BDP|522926570021967066</stp>
        <tr r="A411" s="2"/>
      </tp>
      <tp t="s">
        <v>#N/A Requesting Data...1545148961</v>
        <stp/>
        <stp>BDP|949942556561041232</stp>
        <tr r="F1480" s="2"/>
      </tp>
      <tp t="s">
        <v>#N/A Requesting Data...2227260287</v>
        <stp/>
        <stp>BDP|822123094676298155</stp>
        <tr r="N950" s="2"/>
      </tp>
      <tp t="s">
        <v>#N/A Requesting Data...2357045236</v>
        <stp/>
        <stp>BDP|186095135509066547</stp>
        <tr r="P203" s="2"/>
      </tp>
      <tp t="s">
        <v>#N/A Requesting Data...2605568936</v>
        <stp/>
        <stp>BDP|148611413799236188</stp>
        <tr r="D1974" s="2"/>
      </tp>
      <tp t="s">
        <v>#N/A Requesting Data...2949433464</v>
        <stp/>
        <stp>BDP|654941609833422567</stp>
        <tr r="F293" s="2"/>
      </tp>
      <tp t="s">
        <v>#N/A Requesting Data...3927935847</v>
        <stp/>
        <stp>BDP|862618692388384818</stp>
        <tr r="T675" s="2"/>
      </tp>
      <tp t="b">
        <v>0</v>
        <stp/>
        <stp>BDS|530280542060608904</stp>
        <tr r="I2321" s="2"/>
      </tp>
      <tp t="s">
        <v>#N/A Requesting Data...2664898905</v>
        <stp/>
        <stp>BDP|560408759097465922</stp>
        <tr r="K2432" s="2"/>
      </tp>
      <tp t="s">
        <v>#N/A Requesting Data...3910860464</v>
        <stp/>
        <stp>BDP|875871981978015745</stp>
        <tr r="D623" s="2"/>
      </tp>
      <tp t="s">
        <v>#N/A Requesting Data...3781783225</v>
        <stp/>
        <stp>BDP|608199783990098660</stp>
        <tr r="K481" s="2"/>
      </tp>
      <tp t="s">
        <v>#N/A Requesting Data...1605827966</v>
        <stp/>
        <stp>BDP|875852376379098912</stp>
        <tr r="H2012" s="2"/>
      </tp>
      <tp t="s">
        <v>#N/A Requesting Data...2894716292</v>
        <stp/>
        <stp>BDP|462640247108575582</stp>
        <tr r="N253" s="2"/>
      </tp>
      <tp t="s">
        <v>#N/A Requesting Data...4154704069</v>
        <stp/>
        <stp>BDP|363732489633575362</stp>
        <tr r="M903" s="2"/>
      </tp>
      <tp t="b">
        <v>0</v>
        <stp/>
        <stp>BDS|463124737459881439</stp>
        <tr r="I1894" s="2"/>
      </tp>
      <tp t="s">
        <v>#N/A Requesting Data...4113799830</v>
        <stp/>
        <stp>BDP|247014448818289329</stp>
        <tr r="K1959" s="2"/>
      </tp>
      <tp t="s">
        <v>#N/A Requesting Data...3623585633</v>
        <stp/>
        <stp>BDP|106298772009230335</stp>
        <tr r="K2055" s="2"/>
      </tp>
      <tp t="s">
        <v>#N/A Requesting Data...2071336749</v>
        <stp/>
        <stp>BDP|497795795011225011</stp>
        <tr r="H2421" s="2"/>
      </tp>
      <tp t="s">
        <v>#N/A Requesting Data...1642671433</v>
        <stp/>
        <stp>BDP|315945482438648687</stp>
        <tr r="K558" s="2"/>
      </tp>
      <tp t="s">
        <v>#N/A Requesting Data...2866584702</v>
        <stp/>
        <stp>BDP|374841370182926253</stp>
        <tr r="R2176" s="2"/>
      </tp>
      <tp t="s">
        <v>#N/A Requesting Data...2770904090</v>
        <stp/>
        <stp>BDP|525749771487886831</stp>
        <tr r="G1907" s="2"/>
      </tp>
      <tp t="s">
        <v>#N/A Requesting Data...3286626169</v>
        <stp/>
        <stp>BDP|414474849457820897</stp>
        <tr r="R238" s="2"/>
      </tp>
      <tp t="s">
        <v>#N/A Requesting Data...3587571637</v>
        <stp/>
        <stp>BDP|679169718977345806</stp>
        <tr r="N1834" s="2"/>
      </tp>
      <tp t="s">
        <v>#N/A Requesting Data...1597798541</v>
        <stp/>
        <stp>BDP|676205987452171749</stp>
        <tr r="C165" s="2"/>
      </tp>
      <tp t="s">
        <v>#N/A Requesting Data...3421743827</v>
        <stp/>
        <stp>BDP|338027075009923199</stp>
        <tr r="E1806" s="2"/>
      </tp>
      <tp t="s">
        <v>#N/A Requesting Data...2461512008</v>
        <stp/>
        <stp>BDP|465661615928343006</stp>
        <tr r="K2082" s="2"/>
      </tp>
      <tp t="s">
        <v>#N/A Requesting Data...4293286700</v>
        <stp/>
        <stp>BDP|995212076499284385</stp>
        <tr r="C196" s="2"/>
      </tp>
      <tp t="s">
        <v>#N/A Requesting Data...4070031413</v>
        <stp/>
        <stp>BDP|836025610719942777</stp>
        <tr r="E1396" s="2"/>
      </tp>
      <tp t="s">
        <v>#N/A Requesting Data...4169930741</v>
        <stp/>
        <stp>BDP|383152125418791405</stp>
        <tr r="C2131" s="2"/>
      </tp>
      <tp t="s">
        <v>#N/A Requesting Data...3553508345</v>
        <stp/>
        <stp>BDP|603824061645804491</stp>
        <tr r="E269" s="2"/>
      </tp>
      <tp t="s">
        <v>#N/A Requesting Data...1935670338</v>
        <stp/>
        <stp>BDP|518551694604164710</stp>
        <tr r="Q891" s="2"/>
      </tp>
      <tp t="s">
        <v>#N/A Requesting Data...3608224946</v>
        <stp/>
        <stp>BDP|791048525399372415</stp>
        <tr r="S1390" s="2"/>
      </tp>
      <tp t="s">
        <v>#N/A Requesting Data...1855545663</v>
        <stp/>
        <stp>BDP|363399778342344959</stp>
        <tr r="R299" s="2"/>
      </tp>
      <tp t="s">
        <v>#N/A Requesting Data...2892869735</v>
        <stp/>
        <stp>BDP|427243083690507523</stp>
        <tr r="G1835" s="2"/>
      </tp>
      <tp t="s">
        <v>#N/A Requesting Data...2067766888</v>
        <stp/>
        <stp>BDP|866638496760855007</stp>
        <tr r="T2332" s="2"/>
      </tp>
      <tp t="s">
        <v>#N/A Requesting Data...2975532712</v>
        <stp/>
        <stp>BDP|734567876075691843</stp>
        <tr r="S216" s="2"/>
      </tp>
      <tp t="s">
        <v>#N/A Requesting Data...3730432938</v>
        <stp/>
        <stp>BDP|757895875378894864</stp>
        <tr r="M1579" s="2"/>
      </tp>
      <tp t="s">
        <v>#N/A Requesting Data...4022789979</v>
        <stp/>
        <stp>BDP|546828557682036056</stp>
        <tr r="S351" s="2"/>
      </tp>
      <tp t="s">
        <v>#N/A Requesting Data...3237432804</v>
        <stp/>
        <stp>BDP|537681129618930385</stp>
        <tr r="M379" s="2"/>
      </tp>
      <tp t="s">
        <v>#N/A Requesting Data...2280723532</v>
        <stp/>
        <stp>BDP|651829035254079049</stp>
        <tr r="E2532" s="2"/>
      </tp>
      <tp t="s">
        <v>#N/A Requesting Data...2804859195</v>
        <stp/>
        <stp>BDP|107966592766820982</stp>
        <tr r="A1980" s="2"/>
      </tp>
      <tp t="s">
        <v>#N/A Requesting Data...3591095725</v>
        <stp/>
        <stp>BDP|248563924690226875</stp>
        <tr r="P1298" s="2"/>
      </tp>
      <tp t="s">
        <v>#N/A Requesting Data...3794066937</v>
        <stp/>
        <stp>BDP|470547361715052944</stp>
        <tr r="R1844" s="2"/>
      </tp>
      <tp t="b">
        <v>0</v>
        <stp/>
        <stp>BDS|633248214014979897</stp>
        <tr r="I1598" s="2"/>
      </tp>
      <tp t="s">
        <v>#N/A Requesting Data...3521724604</v>
        <stp/>
        <stp>BDP|742004420734947988</stp>
        <tr r="N1974" s="2"/>
      </tp>
      <tp t="s">
        <v>#N/A Requesting Data...1995997895</v>
        <stp/>
        <stp>BDP|739476970278187473</stp>
        <tr r="E254" s="2"/>
      </tp>
      <tp t="s">
        <v>#N/A Requesting Data...2932316966</v>
        <stp/>
        <stp>BDP|963931079756396765</stp>
        <tr r="T2108" s="2"/>
      </tp>
      <tp t="s">
        <v>#N/A Requesting Data...2752166264</v>
        <stp/>
        <stp>BDP|184634302958001167</stp>
        <tr r="M447" s="2"/>
      </tp>
      <tp t="s">
        <v>#N/A Requesting Data...3001613870</v>
        <stp/>
        <stp>BDP|391430746189705678</stp>
        <tr r="P2504" s="2"/>
      </tp>
      <tp t="s">
        <v>#N/A Requesting Data...3369100336</v>
        <stp/>
        <stp>BDP|880379399186242323</stp>
        <tr r="D117" s="2"/>
      </tp>
      <tp t="s">
        <v>#N/A Requesting Data...2945325827</v>
        <stp/>
        <stp>BDP|643421802729980282</stp>
        <tr r="O187" s="2"/>
      </tp>
      <tp t="s">
        <v>#N/A Requesting Data...2516167539</v>
        <stp/>
        <stp>BDP|120160505829450716</stp>
        <tr r="H1633" s="2"/>
      </tp>
      <tp t="s">
        <v>#N/A Requesting Data...1780271877</v>
        <stp/>
        <stp>BDP|187456067729158452</stp>
        <tr r="Q1896" s="2"/>
      </tp>
      <tp t="s">
        <v>#N/A Requesting Data...3896742550</v>
        <stp/>
        <stp>BDP|509011231814257800</stp>
        <tr r="N2363" s="2"/>
      </tp>
      <tp t="s">
        <v>#N/A Requesting Data...2870698256</v>
        <stp/>
        <stp>BDP|328284620569596696</stp>
        <tr r="P309" s="2"/>
      </tp>
      <tp t="s">
        <v>#N/A Requesting Data...2989245092</v>
        <stp/>
        <stp>BDP|660011677379638115</stp>
        <tr r="M413" s="2"/>
      </tp>
      <tp t="s">
        <v>#N/A Requesting Data...3507237177</v>
        <stp/>
        <stp>BDP|419304171518588378</stp>
        <tr r="C230" s="2"/>
      </tp>
      <tp t="s">
        <v>#N/A Requesting Data...3569881057</v>
        <stp/>
        <stp>BDP|460934306440375651</stp>
        <tr r="S1552" s="2"/>
      </tp>
      <tp t="s">
        <v>#N/A Requesting Data...3678030810</v>
        <stp/>
        <stp>BDP|879844351135330795</stp>
        <tr r="C1747" s="2"/>
      </tp>
      <tp t="s">
        <v>#N/A Requesting Data...2889225297</v>
        <stp/>
        <stp>BDP|445367487842344664</stp>
        <tr r="C499" s="2"/>
      </tp>
      <tp t="s">
        <v>#N/A Requesting Data...2846216813</v>
        <stp/>
        <stp>BDP|199123067680431802</stp>
        <tr r="C2026" s="2"/>
      </tp>
      <tp t="s">
        <v>#N/A Requesting Data...1702944466</v>
        <stp/>
        <stp>BDP|941443375974123891</stp>
        <tr r="O856" s="2"/>
      </tp>
      <tp t="s">
        <v>#N/A Requesting Data...2176777946</v>
        <stp/>
        <stp>BDP|282323136637582836</stp>
        <tr r="F485" s="2"/>
      </tp>
      <tp t="s">
        <v>#N/A Requesting Data...2268789337</v>
        <stp/>
        <stp>BDP|306911368619936934</stp>
        <tr r="A110" s="2"/>
      </tp>
      <tp t="s">
        <v>#N/A Requesting Data...3418757002</v>
        <stp/>
        <stp>BDP|870013699592595459</stp>
        <tr r="K1649" s="2"/>
      </tp>
      <tp t="s">
        <v>#N/A Requesting Data...3186310061</v>
        <stp/>
        <stp>BDP|506663383147810684</stp>
        <tr r="D955" s="2"/>
      </tp>
      <tp t="s">
        <v>#N/A Requesting Data...3956646451</v>
        <stp/>
        <stp>BDP|951597953097427877</stp>
        <tr r="H2418" s="2"/>
      </tp>
      <tp t="s">
        <v>#N/A Requesting Data...2266839788</v>
        <stp/>
        <stp>BDP|992489600542336921</stp>
        <tr r="M847" s="2"/>
      </tp>
      <tp t="s">
        <v>#N/A Requesting Data...2315693037</v>
        <stp/>
        <stp>BDP|231261800139702437</stp>
        <tr r="Q1739" s="2"/>
      </tp>
      <tp t="s">
        <v>#N/A Requesting Data...2546448242</v>
        <stp/>
        <stp>BDP|661689810190898862</stp>
        <tr r="C2442" s="2"/>
      </tp>
      <tp t="s">
        <v>#N/A Requesting Data...4144802633</v>
        <stp/>
        <stp>BDP|203433827200793903</stp>
        <tr r="C2044" s="2"/>
      </tp>
      <tp t="s">
        <v>#N/A Requesting Data...3686776405</v>
        <stp/>
        <stp>BDP|282523152639770641</stp>
        <tr r="A1093" s="2"/>
      </tp>
      <tp t="s">
        <v>#N/A Requesting Data...1942615470</v>
        <stp/>
        <stp>BDP|884641798461101146</stp>
        <tr r="T1817" s="2"/>
      </tp>
      <tp t="s">
        <v>#N/A Requesting Data...3068102291</v>
        <stp/>
        <stp>BDP|761234678189999341</stp>
        <tr r="K1231" s="2"/>
      </tp>
      <tp t="s">
        <v>#N/A Requesting Data...3199283732</v>
        <stp/>
        <stp>BDP|325348240369195179</stp>
        <tr r="T767" s="2"/>
      </tp>
      <tp t="s">
        <v>#N/A Requesting Data...3771940588</v>
        <stp/>
        <stp>BDP|495183192341979662</stp>
        <tr r="K1880" s="2"/>
      </tp>
      <tp t="s">
        <v>#N/A Requesting Data...2907949983</v>
        <stp/>
        <stp>BDP|235391616959972450</stp>
        <tr r="Q2276" s="2"/>
      </tp>
      <tp t="s">
        <v>#N/A Requesting Data...3667586499</v>
        <stp/>
        <stp>BDP|287929013916319114</stp>
        <tr r="R166" s="2"/>
      </tp>
      <tp t="s">
        <v>#N/A Requesting Data...3313379209</v>
        <stp/>
        <stp>BDP|788166238914946911</stp>
        <tr r="J1582" s="2"/>
      </tp>
      <tp t="s">
        <v>#N/A Requesting Data...1951906729</v>
        <stp/>
        <stp>BDP|133767135588015336</stp>
        <tr r="K2253" s="2"/>
      </tp>
      <tp t="s">
        <v>#N/A Requesting Data...1776803757</v>
        <stp/>
        <stp>BDP|923835605603620485</stp>
        <tr r="T921" s="2"/>
      </tp>
      <tp t="s">
        <v>#N/A Requesting Data...3307008577</v>
        <stp/>
        <stp>BDP|307766772049187679</stp>
        <tr r="T967" s="2"/>
      </tp>
      <tp t="s">
        <v>#N/A Requesting Data...1755018865</v>
        <stp/>
        <stp>BDP|506129658719995270</stp>
        <tr r="T137" s="2"/>
      </tp>
      <tp t="s">
        <v>#N/A Requesting Data...2017480833</v>
        <stp/>
        <stp>BDP|437870817321402715</stp>
        <tr r="R2236" s="2"/>
      </tp>
      <tp t="s">
        <v>#N/A Requesting Data...2542313770</v>
        <stp/>
        <stp>BDP|781959714137686023</stp>
        <tr r="N1096" s="2"/>
      </tp>
      <tp t="s">
        <v>#N/A Requesting Data...3789426306</v>
        <stp/>
        <stp>BDP|918921535835520093</stp>
        <tr r="H1362" s="2"/>
      </tp>
      <tp t="s">
        <v>#N/A Requesting Data...3734255088</v>
        <stp/>
        <stp>BDP|468390476508865319</stp>
        <tr r="S1461" s="2"/>
      </tp>
      <tp t="s">
        <v>#N/A Requesting Data...3312861214</v>
        <stp/>
        <stp>BDP|489673478258943601</stp>
        <tr r="A1353" s="2"/>
      </tp>
      <tp t="s">
        <v>#N/A Requesting Data...3944250593</v>
        <stp/>
        <stp>BDP|580311440918535030</stp>
        <tr r="M492" s="2"/>
      </tp>
      <tp t="s">
        <v>#N/A Requesting Data...4127743753</v>
        <stp/>
        <stp>BDP|883674842889634494</stp>
        <tr r="T2089" s="2"/>
      </tp>
      <tp t="s">
        <v>#N/A Requesting Data...1871914268</v>
        <stp/>
        <stp>BDP|453264464663548813</stp>
        <tr r="S93" s="2"/>
      </tp>
      <tp t="s">
        <v>#N/A Requesting Data...3299263847</v>
        <stp/>
        <stp>BDP|523978374690497105</stp>
        <tr r="C610" s="2"/>
      </tp>
      <tp t="s">
        <v>#N/A Requesting Data...3542375910</v>
        <stp/>
        <stp>BDP|663422643937742829</stp>
        <tr r="A1499" s="2"/>
      </tp>
      <tp t="s">
        <v>#N/A Requesting Data...1770878073</v>
        <stp/>
        <stp>BDP|978746984446824632</stp>
        <tr r="Q414" s="2"/>
      </tp>
      <tp t="s">
        <v>#N/A Requesting Data...3937876622</v>
        <stp/>
        <stp>BDP|619910819342446595</stp>
        <tr r="D2329" s="2"/>
      </tp>
      <tp t="s">
        <v>#N/A Requesting Data...2525270633</v>
        <stp/>
        <stp>BDP|520602501498495139</stp>
        <tr r="Q1653" s="2"/>
      </tp>
      <tp t="s">
        <v>#N/A Requesting Data...2609435498</v>
        <stp/>
        <stp>BDP|393876988347021904</stp>
        <tr r="S598" s="2"/>
      </tp>
      <tp t="s">
        <v>#N/A Requesting Data...2505217759</v>
        <stp/>
        <stp>BDP|364899814990148739</stp>
        <tr r="H1676" s="2"/>
      </tp>
      <tp t="s">
        <v>#N/A Requesting Data...3684364528</v>
        <stp/>
        <stp>BDP|675982863530861198</stp>
        <tr r="M428" s="2"/>
      </tp>
      <tp t="s">
        <v>#N/A Requesting Data...2778126630</v>
        <stp/>
        <stp>BDP|468243907658317480</stp>
        <tr r="N840" s="2"/>
      </tp>
      <tp t="s">
        <v>#N/A Requesting Data...3873225644</v>
        <stp/>
        <stp>BDP|156857928670496453</stp>
        <tr r="M151" s="2"/>
      </tp>
      <tp t="s">
        <v>#N/A Requesting Data...3681741765</v>
        <stp/>
        <stp>BDP|895886408372392469</stp>
        <tr r="E1596" s="2"/>
      </tp>
      <tp t="s">
        <v>#N/A Requesting Data...3762132002</v>
        <stp/>
        <stp>BDP|757313289426228302</stp>
        <tr r="N1503" s="2"/>
      </tp>
      <tp t="s">
        <v>#N/A Requesting Data...4145448827</v>
        <stp/>
        <stp>BDP|295722877578392691</stp>
        <tr r="F1536" s="2"/>
      </tp>
      <tp t="b">
        <v>0</v>
        <stp/>
        <stp>BDS|517878169122137241</stp>
        <tr r="I2461" s="2"/>
      </tp>
      <tp t="s">
        <v>#N/A Requesting Data...2777592787</v>
        <stp/>
        <stp>BDP|119869262306223691</stp>
        <tr r="O1465" s="2"/>
      </tp>
      <tp t="s">
        <v>#N/A Requesting Data...2955988958</v>
        <stp/>
        <stp>BDP|684474401183735996</stp>
        <tr r="D835" s="2"/>
      </tp>
      <tp t="s">
        <v>#N/A Requesting Data...2321035407</v>
        <stp/>
        <stp>BDP|310477727871560981</stp>
        <tr r="O769" s="2"/>
      </tp>
      <tp t="s">
        <v>#N/A Requesting Data...3004457897</v>
        <stp/>
        <stp>BDP|643315746638618198</stp>
        <tr r="N461" s="2"/>
      </tp>
      <tp t="s">
        <v>#N/A Requesting Data...3653934468</v>
        <stp/>
        <stp>BDP|569849359010611301</stp>
        <tr r="T23" s="2"/>
      </tp>
      <tp t="s">
        <v>#N/A Requesting Data...3719607907</v>
        <stp/>
        <stp>BDP|492184387440545702</stp>
        <tr r="D58" s="2"/>
      </tp>
      <tp t="s">
        <v>#N/A Requesting Data...3121775557</v>
        <stp/>
        <stp>BDP|732914409141282633</stp>
        <tr r="O1669" s="2"/>
      </tp>
      <tp t="s">
        <v>#N/A Requesting Data...3464207105</v>
        <stp/>
        <stp>BDP|685540032619671184</stp>
        <tr r="M2475" s="2"/>
      </tp>
      <tp t="s">
        <v>#N/A Requesting Data...2271440796</v>
        <stp/>
        <stp>BDP|928935864657818682</stp>
        <tr r="Q1783" s="2"/>
      </tp>
      <tp t="s">
        <v>#N/A Requesting Data...3389223032</v>
        <stp/>
        <stp>BDP|573427118398549345</stp>
        <tr r="H1392" s="2"/>
      </tp>
      <tp t="s">
        <v>#N/A Requesting Data...3602507138</v>
        <stp/>
        <stp>BDP|131393707198900582</stp>
        <tr r="F429" s="2"/>
      </tp>
      <tp t="s">
        <v>#N/A Requesting Data...3126514450</v>
        <stp/>
        <stp>BDP|561404240467954924</stp>
        <tr r="J237" s="2"/>
      </tp>
      <tp t="s">
        <v>#N/A Requesting Data...3780030018</v>
        <stp/>
        <stp>BDP|282257298553466659</stp>
        <tr r="H454" s="2"/>
      </tp>
      <tp t="s">
        <v>#N/A Requesting Data...3788173593</v>
        <stp/>
        <stp>BDP|594580718643237986</stp>
        <tr r="D349" s="2"/>
      </tp>
      <tp t="s">
        <v>#N/A Requesting Data...3496451351</v>
        <stp/>
        <stp>BDP|436354990484646089</stp>
        <tr r="T2017" s="2"/>
      </tp>
      <tp t="s">
        <v>#N/A Requesting Data...3814338862</v>
        <stp/>
        <stp>BDP|888247316835409818</stp>
        <tr r="S271" s="2"/>
      </tp>
      <tp t="s">
        <v>#N/A Requesting Data...3930657514</v>
        <stp/>
        <stp>BDP|732895986357555920</stp>
        <tr r="S1392" s="2"/>
      </tp>
      <tp t="s">
        <v>#N/A Requesting Data...2739925282</v>
        <stp/>
        <stp>BDP|931879263942229201</stp>
        <tr r="A2252" s="2"/>
      </tp>
      <tp t="s">
        <v>#N/A Requesting Data...3732551378</v>
        <stp/>
        <stp>BDP|545985863209643876</stp>
        <tr r="D1603" s="2"/>
      </tp>
      <tp t="s">
        <v>#N/A Requesting Data...3669007584</v>
        <stp/>
        <stp>BDP|350192025328599526</stp>
        <tr r="A415" s="2"/>
      </tp>
      <tp t="s">
        <v>#N/A Requesting Data...4129198390</v>
        <stp/>
        <stp>BDP|673167337739699590</stp>
        <tr r="N1746" s="2"/>
      </tp>
      <tp t="s">
        <v>#N/A Requesting Data...1989481113</v>
        <stp/>
        <stp>BDP|770338497061218593</stp>
        <tr r="R1615" s="2"/>
      </tp>
      <tp t="s">
        <v>#N/A Requesting Data...2479156595</v>
        <stp/>
        <stp>BDP|336468563789922566</stp>
        <tr r="N1693" s="2"/>
      </tp>
      <tp t="s">
        <v>#N/A Requesting Data...3468331888</v>
        <stp/>
        <stp>BDP|737848254711604282</stp>
        <tr r="D1419" s="2"/>
      </tp>
      <tp t="b">
        <v>0</v>
        <stp/>
        <stp>BDS|441405279568171555</stp>
        <tr r="I135" s="2"/>
      </tp>
      <tp t="s">
        <v>#N/A Requesting Data...3728876623</v>
        <stp/>
        <stp>BDP|840636580144235407</stp>
        <tr r="P2056" s="2"/>
      </tp>
      <tp t="s">
        <v>#N/A Requesting Data...3902304132</v>
        <stp/>
        <stp>BDP|469585632278537027</stp>
        <tr r="G395" s="2"/>
      </tp>
      <tp t="s">
        <v>#N/A Requesting Data...2953519125</v>
        <stp/>
        <stp>BDP|587172840832883900</stp>
        <tr r="E2170" s="2"/>
      </tp>
      <tp t="s">
        <v>#N/A Requesting Data...2753748886</v>
        <stp/>
        <stp>BDP|260009294450996758</stp>
        <tr r="G2199" s="2"/>
      </tp>
      <tp t="s">
        <v>#N/A Requesting Data...3769237978</v>
        <stp/>
        <stp>BDP|737229076042981908</stp>
        <tr r="E2443" s="2"/>
      </tp>
      <tp t="s">
        <v>#N/A Requesting Data...3265872693</v>
        <stp/>
        <stp>BDP|524844746975830750</stp>
        <tr r="O1387" s="2"/>
      </tp>
      <tp t="s">
        <v>#N/A Requesting Data...3690939034</v>
        <stp/>
        <stp>BDP|507548302289038294</stp>
        <tr r="E2287" s="2"/>
      </tp>
      <tp t="s">
        <v>#N/A Requesting Data...2894457220</v>
        <stp/>
        <stp>BDP|907959143804295762</stp>
        <tr r="G1353" s="2"/>
      </tp>
      <tp t="s">
        <v>#N/A Requesting Data...3582605220</v>
        <stp/>
        <stp>BDP|728293891964449102</stp>
        <tr r="T768" s="2"/>
      </tp>
      <tp t="b">
        <v>0</v>
        <stp/>
        <stp>BDS|999416794836410538</stp>
        <tr r="I392" s="2"/>
      </tp>
      <tp t="s">
        <v>#N/A Requesting Data...4168176103</v>
        <stp/>
        <stp>BDP|348811608451093714</stp>
        <tr r="O1611" s="2"/>
      </tp>
      <tp t="s">
        <v>#N/A Requesting Data...4286301907</v>
        <stp/>
        <stp>BDP|655807221975739144</stp>
        <tr r="M1768" s="2"/>
      </tp>
      <tp t="s">
        <v>#N/A Requesting Data...2344580493</v>
        <stp/>
        <stp>BDP|560546865885420848</stp>
        <tr r="D1994" s="2"/>
      </tp>
      <tp t="s">
        <v>#N/A Requesting Data...4216399960</v>
        <stp/>
        <stp>BDP|886530818092509829</stp>
        <tr r="G1444" s="2"/>
      </tp>
      <tp t="s">
        <v>#N/A Requesting Data...3515558791</v>
        <stp/>
        <stp>BDP|783591692876860406</stp>
        <tr r="G1379" s="2"/>
      </tp>
      <tp t="s">
        <v>#N/A Requesting Data...4021125604</v>
        <stp/>
        <stp>BDP|545737292617721771</stp>
        <tr r="T128" s="2"/>
      </tp>
      <tp t="s">
        <v>#N/A Requesting Data...3393449556</v>
        <stp/>
        <stp>BDP|448840545554147600</stp>
        <tr r="A1073" s="2"/>
      </tp>
      <tp t="s">
        <v>#N/A Requesting Data...2997562893</v>
        <stp/>
        <stp>BDP|177886169942552207</stp>
        <tr r="H90" s="2"/>
      </tp>
      <tp t="s">
        <v>#N/A Requesting Data...3370649194</v>
        <stp/>
        <stp>BDP|174211304958719465</stp>
        <tr r="F1331" s="2"/>
      </tp>
      <tp t="s">
        <v>#N/A Requesting Data...2154359380</v>
        <stp/>
        <stp>BDP|685350107978525548</stp>
        <tr r="N872" s="2"/>
      </tp>
      <tp t="s">
        <v>#N/A Requesting Data...3961663809</v>
        <stp/>
        <stp>BDP|868281296231751448</stp>
        <tr r="J1080" s="2"/>
      </tp>
      <tp t="s">
        <v>#N/A Requesting Data...4026021252</v>
        <stp/>
        <stp>BDP|893512268729710434</stp>
        <tr r="H1966" s="2"/>
      </tp>
      <tp t="s">
        <v>#N/A Requesting Data...4005741798</v>
        <stp/>
        <stp>BDP|637802329585897121</stp>
        <tr r="R1323" s="2"/>
      </tp>
      <tp t="s">
        <v>#N/A Requesting Data...3116728608</v>
        <stp/>
        <stp>BDP|203187695665380395</stp>
        <tr r="D1321" s="2"/>
      </tp>
      <tp t="s">
        <v>#N/A Requesting Data...2066811350</v>
        <stp/>
        <stp>BDP|319221076439442263</stp>
        <tr r="Q2266" s="2"/>
      </tp>
      <tp t="s">
        <v>#N/A Requesting Data...2370135234</v>
        <stp/>
        <stp>BDP|671915170459352913</stp>
        <tr r="C1182" s="2"/>
      </tp>
      <tp t="s">
        <v>#N/A Requesting Data...4162603330</v>
        <stp/>
        <stp>BDP|421670152518729534</stp>
        <tr r="K793" s="2"/>
      </tp>
      <tp t="s">
        <v>#N/A Requesting Data...3396368061</v>
        <stp/>
        <stp>BDP|159384297207905322</stp>
        <tr r="D1659" s="2"/>
      </tp>
      <tp t="s">
        <v>#N/A Requesting Data...4174543630</v>
        <stp/>
        <stp>BDP|417457325660811895</stp>
        <tr r="D1812" s="2"/>
      </tp>
      <tp t="b">
        <v>0</v>
        <stp/>
        <stp>BDS|787788316131461983</stp>
        <tr r="I609" s="2"/>
      </tp>
      <tp t="s">
        <v>#N/A Requesting Data...3395714199</v>
        <stp/>
        <stp>BDP|644973764758242920</stp>
        <tr r="F1552" s="2"/>
      </tp>
      <tp t="s">
        <v>#N/A Requesting Data...3390629634</v>
        <stp/>
        <stp>BDP|212399908125401813</stp>
        <tr r="J764" s="2"/>
      </tp>
      <tp t="s">
        <v>#N/A Requesting Data...4232910111</v>
        <stp/>
        <stp>BDP|370912261522741326</stp>
        <tr r="T1062" s="2"/>
      </tp>
      <tp t="s">
        <v>#N/A Requesting Data...3965531772</v>
        <stp/>
        <stp>BDP|193155466998102156</stp>
        <tr r="R176" s="2"/>
      </tp>
      <tp t="s">
        <v>#N/A Requesting Data...4280657740</v>
        <stp/>
        <stp>BDP|814481782002421003</stp>
        <tr r="J820" s="2"/>
      </tp>
      <tp t="s">
        <v>#N/A Requesting Data...4064964345</v>
        <stp/>
        <stp>BDP|622388659939233137</stp>
        <tr r="Q1447" s="2"/>
      </tp>
      <tp t="s">
        <v>#N/A Requesting Data...4001067163</v>
        <stp/>
        <stp>BDP|386366552440188806</stp>
        <tr r="H2118" s="2"/>
      </tp>
      <tp t="s">
        <v>#N/A Requesting Data...2733507253</v>
        <stp/>
        <stp>BDP|240332381160240546</stp>
        <tr r="E277" s="2"/>
      </tp>
      <tp t="s">
        <v>#N/A Requesting Data...2782368487</v>
        <stp/>
        <stp>BDP|804589398593816177</stp>
        <tr r="J1431" s="2"/>
      </tp>
      <tp t="s">
        <v>#N/A Requesting Data...2049105564</v>
        <stp/>
        <stp>BDP|404961920845006051</stp>
        <tr r="D2428" s="2"/>
      </tp>
      <tp t="b">
        <v>0</v>
        <stp/>
        <stp>BDS|124276695826077342</stp>
        <tr r="I990" s="2"/>
      </tp>
      <tp t="s">
        <v>#N/A Requesting Data...2618419163</v>
        <stp/>
        <stp>BDP|195368598390850409</stp>
        <tr r="K1869" s="2"/>
      </tp>
      <tp t="s">
        <v>#N/A Requesting Data...2287279739</v>
        <stp/>
        <stp>BDP|529841117935664272</stp>
        <tr r="O909" s="2"/>
      </tp>
      <tp t="s">
        <v>#N/A Requesting Data...1957933304</v>
        <stp/>
        <stp>BDP|338973564711014079</stp>
        <tr r="O879" s="2"/>
      </tp>
      <tp t="s">
        <v>#N/A Requesting Data...2228916345</v>
        <stp/>
        <stp>BDP|352446823248176029</stp>
        <tr r="G1052" s="2"/>
      </tp>
      <tp t="s">
        <v>#N/A Requesting Data...4178905671</v>
        <stp/>
        <stp>BDP|419355746429485044</stp>
        <tr r="C241" s="2"/>
      </tp>
      <tp t="s">
        <v>#N/A Requesting Data...4242298087</v>
        <stp/>
        <stp>BDP|260581508273110846</stp>
        <tr r="G2341" s="2"/>
      </tp>
      <tp t="s">
        <v>#N/A Requesting Data...3937251850</v>
        <stp/>
        <stp>BDP|179454703373813982</stp>
        <tr r="N1854" s="2"/>
      </tp>
      <tp t="s">
        <v>#N/A Requesting Data...3209334166</v>
        <stp/>
        <stp>BDP|170907769344772584</stp>
        <tr r="D1637" s="2"/>
      </tp>
      <tp t="s">
        <v>#N/A Requesting Data...3542060411</v>
        <stp/>
        <stp>BDP|640717771189307723</stp>
        <tr r="K2328" s="2"/>
      </tp>
      <tp t="s">
        <v>#N/A Requesting Data...2235953749</v>
        <stp/>
        <stp>BDP|202936507154159303</stp>
        <tr r="C678" s="2"/>
      </tp>
      <tp t="s">
        <v>#N/A Requesting Data...2559028209</v>
        <stp/>
        <stp>BDP|823673444444408884</stp>
        <tr r="C1153" s="2"/>
      </tp>
      <tp t="s">
        <v>#N/A Requesting Data...3024439990</v>
        <stp/>
        <stp>BDP|400540399962600088</stp>
        <tr r="Q1186" s="2"/>
      </tp>
      <tp t="b">
        <v>0</v>
        <stp/>
        <stp>BDS|995908529965269024</stp>
        <tr r="I1341" s="2"/>
      </tp>
      <tp t="s">
        <v>#N/A Requesting Data...3453069655</v>
        <stp/>
        <stp>BDP|119122263798286127</stp>
        <tr r="N2040" s="2"/>
      </tp>
      <tp t="s">
        <v>#N/A Requesting Data...4221901921</v>
        <stp/>
        <stp>BDP|548102265409135018</stp>
        <tr r="C469" s="2"/>
      </tp>
      <tp t="s">
        <v>#N/A Requesting Data...2183375056</v>
        <stp/>
        <stp>BDP|644800606935085308</stp>
        <tr r="Q1648" s="2"/>
      </tp>
      <tp t="s">
        <v>#N/A Requesting Data...2497362891</v>
        <stp/>
        <stp>BDP|795524786973675051</stp>
        <tr r="J2243" s="2"/>
      </tp>
      <tp t="s">
        <v>#N/A Requesting Data...2254838238</v>
        <stp/>
        <stp>BDP|375255891000206554</stp>
        <tr r="M896" s="2"/>
      </tp>
      <tp t="s">
        <v>#N/A Requesting Data...2092211354</v>
        <stp/>
        <stp>BDP|857845199746158944</stp>
        <tr r="E2029" s="2"/>
      </tp>
      <tp t="s">
        <v>#N/A Requesting Data...2564107248</v>
        <stp/>
        <stp>BDP|796052113206186904</stp>
        <tr r="E1411" s="2"/>
      </tp>
      <tp t="s">
        <v>#N/A Requesting Data...3930756124</v>
        <stp/>
        <stp>BDP|801276690010791595</stp>
        <tr r="G2442" s="2"/>
      </tp>
      <tp t="s">
        <v>#N/A Requesting Data...3287795697</v>
        <stp/>
        <stp>BDP|497351911478013412</stp>
        <tr r="S1201" s="2"/>
      </tp>
      <tp t="s">
        <v>#N/A Requesting Data...2649092440</v>
        <stp/>
        <stp>BDP|540254484866318265</stp>
        <tr r="D2034" s="2"/>
      </tp>
      <tp t="s">
        <v>#N/A Requesting Data...4285106130</v>
        <stp/>
        <stp>BDP|421899484669115790</stp>
        <tr r="R331" s="2"/>
      </tp>
      <tp t="s">
        <v>#N/A Requesting Data...3785580775</v>
        <stp/>
        <stp>BDP|943849000095557395</stp>
        <tr r="K720" s="2"/>
      </tp>
      <tp t="s">
        <v>#N/A Requesting Data...2401237816</v>
        <stp/>
        <stp>BDP|115911466975022476</stp>
        <tr r="F883" s="2"/>
      </tp>
      <tp t="s">
        <v>#N/A Requesting Data...3224688056</v>
        <stp/>
        <stp>BDP|297623351854457945</stp>
        <tr r="C1841" s="2"/>
      </tp>
      <tp t="s">
        <v>#N/A Requesting Data...2291118005</v>
        <stp/>
        <stp>BDP|624934011751509701</stp>
        <tr r="K1839" s="2"/>
      </tp>
      <tp t="s">
        <v>#N/A Requesting Data...3243736970</v>
        <stp/>
        <stp>BDP|981336254939605196</stp>
        <tr r="S1812" s="2"/>
      </tp>
      <tp t="s">
        <v>#N/A Requesting Data...2055532508</v>
        <stp/>
        <stp>BDP|669435126530309812</stp>
        <tr r="R598" s="2"/>
      </tp>
      <tp t="s">
        <v>#N/A Requesting Data...2224818193</v>
        <stp/>
        <stp>BDP|632286527709990720</stp>
        <tr r="E620" s="2"/>
      </tp>
      <tp t="s">
        <v>#N/A Requesting Data...3284732325</v>
        <stp/>
        <stp>BDP|575635020689640329</stp>
        <tr r="F2151" s="2"/>
      </tp>
      <tp t="s">
        <v>#N/A Requesting Data...2915526957</v>
        <stp/>
        <stp>BDP|666399472082918862</stp>
        <tr r="G2201" s="2"/>
      </tp>
      <tp t="s">
        <v>#N/A Requesting Data...3042596046</v>
        <stp/>
        <stp>BDP|619919141994797734</stp>
        <tr r="N1169" s="2"/>
      </tp>
      <tp t="s">
        <v>#N/A Requesting Data...3857043455</v>
        <stp/>
        <stp>BDP|250447688317452587</stp>
        <tr r="P1947" s="2"/>
      </tp>
      <tp t="s">
        <v>#N/A Requesting Data...2930562289</v>
        <stp/>
        <stp>BDP|151560251407547916</stp>
        <tr r="C1753" s="2"/>
      </tp>
      <tp t="s">
        <v>#N/A Requesting Data...3030208801</v>
        <stp/>
        <stp>BDP|523970565779693838</stp>
        <tr r="K577" s="2"/>
      </tp>
      <tp t="s">
        <v>#N/A Requesting Data...2024386288</v>
        <stp/>
        <stp>BDP|168420299652859101</stp>
        <tr r="R686" s="2"/>
      </tp>
      <tp t="s">
        <v>#N/A Requesting Data...2494489846</v>
        <stp/>
        <stp>BDP|296557983350750302</stp>
        <tr r="N685" s="2"/>
      </tp>
      <tp t="s">
        <v>#N/A Requesting Data...4037924969</v>
        <stp/>
        <stp>BDP|382157892041428734</stp>
        <tr r="R971" s="2"/>
      </tp>
      <tp t="s">
        <v>#N/A Requesting Data...4128508177</v>
        <stp/>
        <stp>BDP|173663096991119033</stp>
        <tr r="P47" s="2"/>
      </tp>
      <tp t="s">
        <v>#N/A Requesting Data...3946702253</v>
        <stp/>
        <stp>BDP|703721858288712491</stp>
        <tr r="Q1142" s="2"/>
      </tp>
      <tp t="s">
        <v>#N/A Requesting Data...2325663319</v>
        <stp/>
        <stp>BDP|719064870129274004</stp>
        <tr r="P1495" s="2"/>
      </tp>
      <tp t="s">
        <v>#N/A Requesting Data...2613054344</v>
        <stp/>
        <stp>BDP|212443276715321803</stp>
        <tr r="M135" s="2"/>
      </tp>
      <tp t="s">
        <v>#N/A Requesting Data...2675954374</v>
        <stp/>
        <stp>BDP|139310964679161266</stp>
        <tr r="N2431" s="2"/>
      </tp>
      <tp t="s">
        <v>#N/A Requesting Data...3504337881</v>
        <stp/>
        <stp>BDP|704527864899407395</stp>
        <tr r="M1004" s="2"/>
      </tp>
      <tp t="s">
        <v>#N/A Requesting Data...2814107615</v>
        <stp/>
        <stp>BDP|900728505077362915</stp>
        <tr r="O1142" s="2"/>
      </tp>
      <tp t="s">
        <v>#N/A Requesting Data...4017455472</v>
        <stp/>
        <stp>BDP|261916372971972641</stp>
        <tr r="S1956" s="2"/>
      </tp>
      <tp t="b">
        <v>0</v>
        <stp/>
        <stp>BDS|203084902051280861</stp>
        <tr r="I2163" s="2"/>
      </tp>
      <tp t="s">
        <v>#N/A Requesting Data...4289108825</v>
        <stp/>
        <stp>BDP|829761630164616941</stp>
        <tr r="S1720" s="2"/>
      </tp>
      <tp t="s">
        <v>#N/A Requesting Data...2163513228</v>
        <stp/>
        <stp>BDP|602086973587474956</stp>
        <tr r="N1253" s="2"/>
      </tp>
      <tp t="s">
        <v>#N/A Requesting Data...4117684574</v>
        <stp/>
        <stp>BDP|906173411149523060</stp>
        <tr r="H859" s="2"/>
      </tp>
      <tp t="s">
        <v>#N/A Requesting Data...3784705906</v>
        <stp/>
        <stp>BDP|346302561229732596</stp>
        <tr r="M1525" s="2"/>
      </tp>
      <tp t="s">
        <v>#N/A Requesting Data...2587520012</v>
        <stp/>
        <stp>BDP|238605512156957855</stp>
        <tr r="S792" s="2"/>
      </tp>
      <tp t="s">
        <v>#N/A Requesting Data...3166998574</v>
        <stp/>
        <stp>BDP|751567440391543982</stp>
        <tr r="N1712" s="2"/>
      </tp>
      <tp t="s">
        <v>#N/A Requesting Data...3466323543</v>
        <stp/>
        <stp>BDP|445628208826470979</stp>
        <tr r="P1331" s="2"/>
      </tp>
      <tp t="b">
        <v>0</v>
        <stp/>
        <stp>BDS|865910902979775911</stp>
        <tr r="I466" s="2"/>
      </tp>
      <tp t="s">
        <v>#N/A Requesting Data...3253636860</v>
        <stp/>
        <stp>BDP|957187982976867664</stp>
        <tr r="A1875" s="2"/>
      </tp>
      <tp t="s">
        <v>#N/A Requesting Data...3306479395</v>
        <stp/>
        <stp>BDP|853042893169663942</stp>
        <tr r="P836" s="2"/>
      </tp>
      <tp t="s">
        <v>#N/A Requesting Data...2144803787</v>
        <stp/>
        <stp>BDP|161779439938435566</stp>
        <tr r="R2258" s="2"/>
      </tp>
      <tp t="s">
        <v>#N/A Requesting Data...3667144939</v>
        <stp/>
        <stp>BDP|963633164360459972</stp>
        <tr r="T868" s="2"/>
      </tp>
      <tp t="s">
        <v>#N/A Requesting Data...3973233178</v>
        <stp/>
        <stp>BDP|441820753566872207</stp>
        <tr r="S582" s="2"/>
      </tp>
      <tp t="s">
        <v>#N/A Requesting Data...4037536736</v>
        <stp/>
        <stp>BDP|217125248235036951</stp>
        <tr r="P1311" s="2"/>
      </tp>
      <tp t="s">
        <v>#N/A Requesting Data...2899266826</v>
        <stp/>
        <stp>BDP|568093681750099130</stp>
        <tr r="K1652" s="2"/>
      </tp>
      <tp t="s">
        <v>#N/A Requesting Data...4272279803</v>
        <stp/>
        <stp>BDP|203254099126098404</stp>
        <tr r="C1750" s="2"/>
      </tp>
      <tp t="s">
        <v>#N/A Requesting Data...2726587075</v>
        <stp/>
        <stp>BDP|249711797736388198</stp>
        <tr r="Q288" s="2"/>
      </tp>
      <tp t="s">
        <v>#N/A Requesting Data...3010679256</v>
        <stp/>
        <stp>BDP|805272665604114956</stp>
        <tr r="H23" s="2"/>
      </tp>
      <tp t="s">
        <v>#N/A Requesting Data...2396103529</v>
        <stp/>
        <stp>BDP|360057739422611874</stp>
        <tr r="A2174" s="2"/>
      </tp>
      <tp t="s">
        <v>#N/A Requesting Data...2172228275</v>
        <stp/>
        <stp>BDP|702821676804908253</stp>
        <tr r="J916" s="2"/>
      </tp>
      <tp t="s">
        <v>#N/A Requesting Data...3122872635</v>
        <stp/>
        <stp>BDP|987914530371031276</stp>
        <tr r="T2284" s="2"/>
      </tp>
      <tp t="s">
        <v>#N/A Requesting Data...2154016793</v>
        <stp/>
        <stp>BDP|289372923431976902</stp>
        <tr r="O637" s="2"/>
      </tp>
      <tp t="s">
        <v>#N/A Requesting Data...3221403357</v>
        <stp/>
        <stp>BDP|956644376179219169</stp>
        <tr r="R1523" s="2"/>
      </tp>
      <tp t="s">
        <v>#N/A Requesting Data...4099470384</v>
        <stp/>
        <stp>BDP|132981612698425909</stp>
        <tr r="Q2065" s="2"/>
      </tp>
      <tp t="s">
        <v>#N/A Requesting Data...2266524664</v>
        <stp/>
        <stp>BDP|777329377618966542</stp>
        <tr r="O98" s="2"/>
      </tp>
      <tp t="s">
        <v>#N/A Requesting Data...3022892908</v>
        <stp/>
        <stp>BDP|830469708519059497</stp>
        <tr r="H368" s="2"/>
      </tp>
      <tp t="s">
        <v>#N/A Requesting Data...2192943981</v>
        <stp/>
        <stp>BDP|289990269115935349</stp>
        <tr r="T105" s="2"/>
      </tp>
      <tp t="s">
        <v>#N/A Requesting Data...2816584104</v>
        <stp/>
        <stp>BDP|196578883366916232</stp>
        <tr r="C2155" s="2"/>
      </tp>
      <tp t="s">
        <v>#N/A Requesting Data...2218349521</v>
        <stp/>
        <stp>BDP|351368680885813723</stp>
        <tr r="P725" s="2"/>
      </tp>
      <tp t="s">
        <v>#N/A Requesting Data...3352304575</v>
        <stp/>
        <stp>BDP|385465425658082788</stp>
        <tr r="M799" s="2"/>
      </tp>
      <tp t="s">
        <v>#N/A Requesting Data...3463422042</v>
        <stp/>
        <stp>BDP|718830142331936479</stp>
        <tr r="A524" s="2"/>
      </tp>
      <tp t="s">
        <v>#N/A Requesting Data...4040203193</v>
        <stp/>
        <stp>BDP|998601289276809103</stp>
        <tr r="P357" s="2"/>
      </tp>
      <tp t="s">
        <v>#N/A Requesting Data...2975670262</v>
        <stp/>
        <stp>BDP|985859316140455066</stp>
        <tr r="S1528" s="2"/>
      </tp>
      <tp t="s">
        <v>#N/A Requesting Data...3193834009</v>
        <stp/>
        <stp>BDP|835477277502357833</stp>
        <tr r="N1352" s="2"/>
      </tp>
      <tp t="s">
        <v>#N/A Requesting Data...4111480840</v>
        <stp/>
        <stp>BDP|995308376665690819</stp>
        <tr r="P1100" s="2"/>
      </tp>
      <tp t="s">
        <v>#N/A Requesting Data...4241144220</v>
        <stp/>
        <stp>BDP|415994614720307139</stp>
        <tr r="R2504" s="2"/>
      </tp>
      <tp t="s">
        <v>#N/A Requesting Data...2825428720</v>
        <stp/>
        <stp>BDP|623758833294955903</stp>
        <tr r="R228" s="2"/>
      </tp>
      <tp t="s">
        <v>#N/A Requesting Data...4289482780</v>
        <stp/>
        <stp>BDP|380637616149924762</stp>
        <tr r="M511" s="2"/>
      </tp>
      <tp t="s">
        <v>#N/A Requesting Data...3506744442</v>
        <stp/>
        <stp>BDP|256849369266548137</stp>
        <tr r="A2387" s="2"/>
      </tp>
      <tp t="s">
        <v>#N/A Requesting Data...3208533741</v>
        <stp/>
        <stp>BDP|397788787144137240</stp>
        <tr r="D1999" s="2"/>
      </tp>
      <tp t="s">
        <v>#N/A Requesting Data...3211143523</v>
        <stp/>
        <stp>BDP|370363937421853835</stp>
        <tr r="M1794" s="2"/>
      </tp>
      <tp t="s">
        <v>#N/A Requesting Data...2513545335</v>
        <stp/>
        <stp>BDP|434993310064263560</stp>
        <tr r="D1433" s="2"/>
      </tp>
      <tp t="s">
        <v>#N/A Requesting Data...2358118542</v>
        <stp/>
        <stp>BDP|141310209722211825</stp>
        <tr r="Q1544" s="2"/>
      </tp>
      <tp t="b">
        <v>0</v>
        <stp/>
        <stp>BDS|538705882980894662</stp>
        <tr r="I1997" s="2"/>
      </tp>
      <tp t="s">
        <v>#N/A Requesting Data...3310272022</v>
        <stp/>
        <stp>BDP|747993121555781720</stp>
        <tr r="P218" s="2"/>
      </tp>
      <tp t="s">
        <v>#N/A Requesting Data...2667270605</v>
        <stp/>
        <stp>BDP|888436350418334020</stp>
        <tr r="H2408" s="2"/>
      </tp>
      <tp t="s">
        <v>#N/A Requesting Data...4177176439</v>
        <stp/>
        <stp>BDP|291910748670047419</stp>
        <tr r="S78" s="2"/>
      </tp>
      <tp t="s">
        <v>#N/A Requesting Data...4034735169</v>
        <stp/>
        <stp>BDP|629416865733129890</stp>
        <tr r="N2048" s="2"/>
      </tp>
      <tp t="s">
        <v>#N/A Requesting Data...2228505131</v>
        <stp/>
        <stp>BDP|306140503781941975</stp>
        <tr r="G1680" s="2"/>
      </tp>
      <tp t="s">
        <v>#N/A Requesting Data...2941686552</v>
        <stp/>
        <stp>BDP|592962827663840172</stp>
        <tr r="C1194" s="2"/>
      </tp>
      <tp t="s">
        <v>#N/A Requesting Data...2739673965</v>
        <stp/>
        <stp>BDP|754884541116462318</stp>
        <tr r="Q2427" s="2"/>
      </tp>
      <tp t="s">
        <v>#N/A Requesting Data...2661381752</v>
        <stp/>
        <stp>BDP|902238391154276622</stp>
        <tr r="G1290" s="2"/>
      </tp>
      <tp t="s">
        <v>#N/A Requesting Data...4076684421</v>
        <stp/>
        <stp>BDP|997978691901374873</stp>
        <tr r="F1545" s="2"/>
      </tp>
      <tp t="s">
        <v>#N/A Requesting Data...3738249267</v>
        <stp/>
        <stp>BDP|585390684940605250</stp>
        <tr r="D443" s="2"/>
      </tp>
      <tp t="s">
        <v>#N/A Requesting Data...2911721616</v>
        <stp/>
        <stp>BDP|785112489782792230</stp>
        <tr r="S260" s="2"/>
      </tp>
      <tp t="s">
        <v>#N/A Requesting Data...3964142694</v>
        <stp/>
        <stp>BDP|980912136940754323</stp>
        <tr r="N127" s="2"/>
      </tp>
      <tp t="s">
        <v>#N/A Requesting Data...3042738847</v>
        <stp/>
        <stp>BDP|956849433815420713</stp>
        <tr r="T1353" s="2"/>
      </tp>
      <tp t="s">
        <v>#N/A Requesting Data...4201981842</v>
        <stp/>
        <stp>BDP|489323926578310075</stp>
        <tr r="O284" s="2"/>
      </tp>
      <tp t="s">
        <v>#N/A Requesting Data...2276918539</v>
        <stp/>
        <stp>BDP|593213705713644830</stp>
        <tr r="R2083" s="2"/>
      </tp>
      <tp t="s">
        <v>#N/A Requesting Data...3385807351</v>
        <stp/>
        <stp>BDP|461717887305655309</stp>
        <tr r="Q1442" s="2"/>
      </tp>
      <tp t="s">
        <v>#N/A Requesting Data...3578658684</v>
        <stp/>
        <stp>BDP|162604594511033719</stp>
        <tr r="T1402" s="2"/>
      </tp>
      <tp t="s">
        <v>#N/A Requesting Data...4204740618</v>
        <stp/>
        <stp>BDP|698649487111624672</stp>
        <tr r="M1033" s="2"/>
      </tp>
      <tp t="s">
        <v>#N/A Requesting Data...2953506779</v>
        <stp/>
        <stp>BDP|854228490722980073</stp>
        <tr r="O1445" s="2"/>
      </tp>
      <tp t="s">
        <v>#N/A Requesting Data...4126917934</v>
        <stp/>
        <stp>BDP|590334216972416918</stp>
        <tr r="F2239" s="2"/>
      </tp>
      <tp t="s">
        <v>#N/A Requesting Data...3350656735</v>
        <stp/>
        <stp>BDP|765830081760468945</stp>
        <tr r="Q220" s="2"/>
      </tp>
      <tp t="s">
        <v>#N/A Requesting Data...3527419111</v>
        <stp/>
        <stp>BDP|260184075938880721</stp>
        <tr r="N1354" s="2"/>
      </tp>
      <tp t="s">
        <v>#N/A Requesting Data...2712313084</v>
        <stp/>
        <stp>BDP|485440684904436152</stp>
        <tr r="F536" s="2"/>
      </tp>
      <tp t="s">
        <v>#N/A Requesting Data...3591962317</v>
        <stp/>
        <stp>BDP|215277741307125806</stp>
        <tr r="G2293" s="2"/>
      </tp>
      <tp t="s">
        <v>#N/A Requesting Data...3170109200</v>
        <stp/>
        <stp>BDP|344760763541666950</stp>
        <tr r="R324" s="2"/>
      </tp>
      <tp t="s">
        <v>#N/A Requesting Data...4007066153</v>
        <stp/>
        <stp>BDP|564024029899974214</stp>
        <tr r="E1142" s="2"/>
      </tp>
      <tp t="s">
        <v>#N/A Requesting Data...2495294355</v>
        <stp/>
        <stp>BDP|414445632119331778</stp>
        <tr r="D1552" s="2"/>
      </tp>
      <tp t="b">
        <v>0</v>
        <stp/>
        <stp>BDS|948948240653332786</stp>
        <tr r="I21" s="2"/>
      </tp>
      <tp t="s">
        <v>#N/A Requesting Data...3925505104</v>
        <stp/>
        <stp>BDP|544971058576434383</stp>
        <tr r="O880" s="2"/>
      </tp>
      <tp t="s">
        <v>#N/A Requesting Data...4119796196</v>
        <stp/>
        <stp>BDP|907820695521934910</stp>
        <tr r="Q2177" s="2"/>
      </tp>
      <tp t="s">
        <v>#N/A Requesting Data...3714882487</v>
        <stp/>
        <stp>BDP|425687623214964907</stp>
        <tr r="J1101" s="2"/>
      </tp>
      <tp t="s">
        <v>#N/A Requesting Data...2910274369</v>
        <stp/>
        <stp>BDP|222663257628627230</stp>
        <tr r="M1000" s="2"/>
      </tp>
      <tp t="s">
        <v>#N/A Requesting Data...2712208847</v>
        <stp/>
        <stp>BDP|529815901506055732</stp>
        <tr r="A96" s="2"/>
      </tp>
      <tp t="b">
        <v>0</v>
        <stp/>
        <stp>BDS|915624806066291986</stp>
        <tr r="I279" s="2"/>
      </tp>
      <tp t="s">
        <v>#N/A Requesting Data...3073261847</v>
        <stp/>
        <stp>BDP|838017489240182165</stp>
        <tr r="C1734" s="2"/>
      </tp>
      <tp t="s">
        <v>#N/A Requesting Data...3796703088</v>
        <stp/>
        <stp>BDP|481825279792036487</stp>
        <tr r="Q290" s="2"/>
      </tp>
      <tp t="s">
        <v>#N/A Requesting Data...3619017556</v>
        <stp/>
        <stp>BDP|938053984546999763</stp>
        <tr r="T727" s="2"/>
      </tp>
      <tp t="b">
        <v>0</v>
        <stp/>
        <stp>BDS|141616587011690664</stp>
        <tr r="I1797" s="2"/>
      </tp>
      <tp t="s">
        <v>#N/A Requesting Data...3167399897</v>
        <stp/>
        <stp>BDP|667946191950146951</stp>
        <tr r="H2277" s="2"/>
      </tp>
      <tp t="s">
        <v>#N/A Requesting Data...3200675433</v>
        <stp/>
        <stp>BDP|131851732420649272</stp>
        <tr r="H2019" s="2"/>
      </tp>
      <tp t="s">
        <v>#N/A Requesting Data...3211142843</v>
        <stp/>
        <stp>BDP|269156894744475500</stp>
        <tr r="D1729" s="2"/>
      </tp>
      <tp t="s">
        <v>#N/A Requesting Data...2464682518</v>
        <stp/>
        <stp>BDP|435043103718334170</stp>
        <tr r="R2447" s="2"/>
      </tp>
      <tp t="s">
        <v>#N/A Requesting Data...2557271941</v>
        <stp/>
        <stp>BDP|997695117187509926</stp>
        <tr r="G1921" s="2"/>
      </tp>
      <tp t="s">
        <v>#N/A Requesting Data...3799028366</v>
        <stp/>
        <stp>BDP|881402579033946982</stp>
        <tr r="R2171" s="2"/>
      </tp>
      <tp t="b">
        <v>0</v>
        <stp/>
        <stp>BDS|223516541641048921</stp>
        <tr r="I1086" s="2"/>
      </tp>
      <tp t="s">
        <v>#N/A Requesting Data...3451710968</v>
        <stp/>
        <stp>BDP|800288162869135437</stp>
        <tr r="H881" s="2"/>
      </tp>
      <tp t="s">
        <v>#N/A Requesting Data...3553749401</v>
        <stp/>
        <stp>BDP|974824711163943332</stp>
        <tr r="R626" s="2"/>
      </tp>
      <tp t="b">
        <v>0</v>
        <stp/>
        <stp>BDS|408477982412478748</stp>
        <tr r="I1368" s="2"/>
      </tp>
      <tp t="s">
        <v>#N/A Requesting Data...4083550897</v>
        <stp/>
        <stp>BDP|718900357346571349</stp>
        <tr r="S2523" s="2"/>
      </tp>
      <tp t="s">
        <v>#N/A Requesting Data...3189986377</v>
        <stp/>
        <stp>BDP|153320784702162076</stp>
        <tr r="H2299" s="2"/>
      </tp>
      <tp t="s">
        <v>#N/A Requesting Data...3885518536</v>
        <stp/>
        <stp>BDP|286444460508788302</stp>
        <tr r="Q2199" s="2"/>
      </tp>
      <tp t="b">
        <v>0</v>
        <stp/>
        <stp>BDS|699805397981032901</stp>
        <tr r="I2057" s="2"/>
      </tp>
      <tp t="s">
        <v>#N/A Requesting Data...2472698537</v>
        <stp/>
        <stp>BDP|453998487768889009</stp>
        <tr r="P44" s="2"/>
      </tp>
      <tp t="s">
        <v>#N/A Requesting Data...3067581665</v>
        <stp/>
        <stp>BDP|217809464333536413</stp>
        <tr r="G2217" s="2"/>
      </tp>
      <tp t="b">
        <v>0</v>
        <stp/>
        <stp>BDS|134942559775791091</stp>
        <tr r="I2367" s="2"/>
      </tp>
      <tp t="s">
        <v>#N/A Requesting Data...3816467295</v>
        <stp/>
        <stp>BDP|799762073468259128</stp>
        <tr r="F534" s="2"/>
      </tp>
      <tp t="s">
        <v>#N/A Requesting Data...4002408428</v>
        <stp/>
        <stp>BDP|134024873209459767</stp>
        <tr r="M431" s="2"/>
      </tp>
      <tp t="s">
        <v>#N/A Requesting Data...4074760654</v>
        <stp/>
        <stp>BDP|535248937569436108</stp>
        <tr r="A1504" s="2"/>
      </tp>
      <tp t="s">
        <v>#N/A Requesting Data...2728183590</v>
        <stp/>
        <stp>BDP|676712233165183865</stp>
        <tr r="O1886" s="2"/>
      </tp>
      <tp t="s">
        <v>#N/A Requesting Data...2792912194</v>
        <stp/>
        <stp>BDP|433356844317392951</stp>
        <tr r="R665" s="2"/>
      </tp>
      <tp t="b">
        <v>0</v>
        <stp/>
        <stp>BDS|374197795997911658</stp>
        <tr r="I1268" s="2"/>
      </tp>
      <tp t="s">
        <v>#N/A Requesting Data...4000710848</v>
        <stp/>
        <stp>BDP|238887431397862501</stp>
        <tr r="T86" s="2"/>
      </tp>
      <tp t="s">
        <v>#N/A Requesting Data...3856822218</v>
        <stp/>
        <stp>BDP|748722301106510827</stp>
        <tr r="P1555" s="2"/>
      </tp>
      <tp t="s">
        <v>#N/A Requesting Data...3071773171</v>
        <stp/>
        <stp>BDP|485715795681236619</stp>
        <tr r="T2459" s="2"/>
      </tp>
      <tp t="s">
        <v>#N/A Requesting Data...4094992379</v>
        <stp/>
        <stp>BDP|342612498477068192</stp>
        <tr r="M1215" s="2"/>
      </tp>
      <tp t="s">
        <v>#N/A Requesting Data...3339148122</v>
        <stp/>
        <stp>BDP|968183298358342995</stp>
        <tr r="C2414" s="2"/>
      </tp>
      <tp t="s">
        <v>#N/A Requesting Data...2896987002</v>
        <stp/>
        <stp>BDP|396251743018047697</stp>
        <tr r="P1916" s="2"/>
      </tp>
      <tp t="s">
        <v>#N/A Requesting Data...2725734220</v>
        <stp/>
        <stp>BDP|359998137036466459</stp>
        <tr r="C2253" s="2"/>
      </tp>
      <tp t="s">
        <v>#N/A Requesting Data...3082567475</v>
        <stp/>
        <stp>BDP|576966708113035269</stp>
        <tr r="R848" s="2"/>
      </tp>
      <tp t="s">
        <v>#N/A Requesting Data...2992890653</v>
        <stp/>
        <stp>BDP|966963315399169968</stp>
        <tr r="H1941" s="2"/>
      </tp>
      <tp t="s">
        <v>#N/A Requesting Data...2381155422</v>
        <stp/>
        <stp>BDP|835986206883990227</stp>
        <tr r="O507" s="2"/>
      </tp>
      <tp t="b">
        <v>0</v>
        <stp/>
        <stp>BDS|934150987114269541</stp>
        <tr r="I544" s="2"/>
      </tp>
      <tp t="s">
        <v>#N/A Requesting Data...2599127872</v>
        <stp/>
        <stp>BDP|322664016669595683</stp>
        <tr r="T1002" s="2"/>
      </tp>
      <tp t="b">
        <v>0</v>
        <stp/>
        <stp>BDS|933817180691701919</stp>
        <tr r="I2205" s="2"/>
      </tp>
      <tp t="s">
        <v>#N/A Requesting Data...3651952192</v>
        <stp/>
        <stp>BDP|789515419329448552</stp>
        <tr r="M882" s="2"/>
      </tp>
      <tp t="s">
        <v>#N/A Requesting Data...3224290187</v>
        <stp/>
        <stp>BDP|848572112754317809</stp>
        <tr r="M818" s="2"/>
      </tp>
      <tp t="s">
        <v>#N/A Requesting Data...3568122713</v>
        <stp/>
        <stp>BDP|454440048538179075</stp>
        <tr r="Q1841" s="2"/>
      </tp>
      <tp t="s">
        <v>#N/A Requesting Data...3693289794</v>
        <stp/>
        <stp>BDP|988825453810339554</stp>
        <tr r="D2370" s="2"/>
      </tp>
      <tp t="s">
        <v>#N/A Requesting Data...3496061342</v>
        <stp/>
        <stp>BDP|576034489086074614</stp>
        <tr r="F1570" s="2"/>
      </tp>
      <tp t="s">
        <v>#N/A Requesting Data...3888210920</v>
        <stp/>
        <stp>BDP|462348659476531829</stp>
        <tr r="G1323" s="2"/>
      </tp>
      <tp t="s">
        <v>#N/A Requesting Data...3170942536</v>
        <stp/>
        <stp>BDP|870490517249046487</stp>
        <tr r="F286" s="2"/>
      </tp>
      <tp t="s">
        <v>#N/A Requesting Data...3581485441</v>
        <stp/>
        <stp>BDP|176536129496702922</stp>
        <tr r="R936" s="2"/>
      </tp>
      <tp t="s">
        <v>#N/A Requesting Data...2886382112</v>
        <stp/>
        <stp>BDP|712847245616032287</stp>
        <tr r="E928" s="2"/>
      </tp>
      <tp t="s">
        <v>#N/A Requesting Data...4183168394</v>
        <stp/>
        <stp>BDP|362662229118777449</stp>
        <tr r="M678" s="2"/>
      </tp>
      <tp t="s">
        <v>#N/A Requesting Data...3924371669</v>
        <stp/>
        <stp>BDP|529971169304031341</stp>
        <tr r="J1574" s="2"/>
      </tp>
      <tp t="s">
        <v>#N/A Requesting Data...3837900602</v>
        <stp/>
        <stp>BDP|720497617449761417</stp>
        <tr r="Q443" s="2"/>
      </tp>
      <tp t="s">
        <v>#N/A Requesting Data...2772978204</v>
        <stp/>
        <stp>BDP|535857749854388055</stp>
        <tr r="O2086" s="2"/>
      </tp>
      <tp t="s">
        <v>#N/A Requesting Data...4215457741</v>
        <stp/>
        <stp>BDP|503689794015334222</stp>
        <tr r="J1359" s="2"/>
      </tp>
      <tp t="s">
        <v>#N/A Requesting Data...3451163860</v>
        <stp/>
        <stp>BDP|884486436437643880</stp>
        <tr r="R1320" s="2"/>
      </tp>
      <tp t="s">
        <v>#N/A Requesting Data...2645340767</v>
        <stp/>
        <stp>BDP|155741196865932328</stp>
        <tr r="M309" s="2"/>
      </tp>
      <tp t="s">
        <v>#N/A Requesting Data...2583708577</v>
        <stp/>
        <stp>BDP|644113981173799284</stp>
        <tr r="P1904" s="2"/>
      </tp>
      <tp t="s">
        <v>#N/A Requesting Data...3211805069</v>
        <stp/>
        <stp>BDP|920250785581295326</stp>
        <tr r="M1261" s="2"/>
      </tp>
      <tp t="s">
        <v>#N/A Requesting Data...4176955467</v>
        <stp/>
        <stp>BDP|161218198523421051</stp>
        <tr r="E1441" s="2"/>
      </tp>
      <tp t="s">
        <v>#N/A Requesting Data...2978869403</v>
        <stp/>
        <stp>BDP|131959013282980279</stp>
        <tr r="K1291" s="2"/>
      </tp>
      <tp t="s">
        <v>#N/A Requesting Data...4226133411</v>
        <stp/>
        <stp>BDP|539908348751740431</stp>
        <tr r="T1481" s="2"/>
      </tp>
      <tp t="s">
        <v>#N/A Requesting Data...3637289188</v>
        <stp/>
        <stp>BDP|917951305186793776</stp>
        <tr r="G1561" s="2"/>
      </tp>
      <tp t="s">
        <v>#N/A Requesting Data...3682235670</v>
        <stp/>
        <stp>BDP|312781307969797622</stp>
        <tr r="N2475" s="2"/>
      </tp>
      <tp t="s">
        <v>#N/A Requesting Data...3862251192</v>
        <stp/>
        <stp>BDP|990734511138486666</stp>
        <tr r="S708" s="2"/>
      </tp>
      <tp t="s">
        <v>#N/A Requesting Data...3976906027</v>
        <stp/>
        <stp>BDP|420994966557117031</stp>
        <tr r="O1614" s="2"/>
      </tp>
      <tp t="s">
        <v>#N/A Requesting Data...2711166432</v>
        <stp/>
        <stp>BDP|124187133198323205</stp>
        <tr r="R1718" s="2"/>
      </tp>
      <tp t="s">
        <v>#N/A Requesting Data...4188833124</v>
        <stp/>
        <stp>BDP|252413277279854252</stp>
        <tr r="P345" s="2"/>
      </tp>
      <tp t="s">
        <v>#N/A Requesting Data...2845603180</v>
        <stp/>
        <stp>BDP|717714840323621895</stp>
        <tr r="H1117" s="2"/>
      </tp>
      <tp t="s">
        <v>#N/A Requesting Data...3318033468</v>
        <stp/>
        <stp>BDP|249526494357928345</stp>
        <tr r="N424" s="2"/>
      </tp>
      <tp t="s">
        <v>#N/A Requesting Data...3831128537</v>
        <stp/>
        <stp>BDP|235500230017827935</stp>
        <tr r="C525" s="2"/>
      </tp>
      <tp t="s">
        <v>#N/A Requesting Data...2991660541</v>
        <stp/>
        <stp>BDP|936730058932976829</stp>
        <tr r="H1055" s="2"/>
      </tp>
      <tp t="s">
        <v>#N/A Requesting Data...2903200301</v>
        <stp/>
        <stp>BDP|665429798206539334</stp>
        <tr r="C1980" s="2"/>
      </tp>
      <tp t="s">
        <v>#N/A Requesting Data...2759258660</v>
        <stp/>
        <stp>BDP|338753999187388161</stp>
        <tr r="C1718" s="2"/>
      </tp>
      <tp t="s">
        <v>#N/A Requesting Data...2799222837</v>
        <stp/>
        <stp>BDP|537853378344799353</stp>
        <tr r="Q1162" s="2"/>
      </tp>
      <tp t="s">
        <v>#N/A Requesting Data...2570156987</v>
        <stp/>
        <stp>BDP|449579799280064407</stp>
        <tr r="C1207" s="2"/>
      </tp>
      <tp t="s">
        <v>#N/A Requesting Data...3296634868</v>
        <stp/>
        <stp>BDP|770414320057590995</stp>
        <tr r="E199" s="2"/>
      </tp>
      <tp t="s">
        <v>#N/A Requesting Data...2806591072</v>
        <stp/>
        <stp>BDP|784234837711071890</stp>
        <tr r="F1622" s="2"/>
      </tp>
      <tp t="s">
        <v>#N/A Requesting Data...3390429125</v>
        <stp/>
        <stp>BDP|927386814293826979</stp>
        <tr r="O1048" s="2"/>
      </tp>
      <tp t="s">
        <v>#N/A Requesting Data...2966388248</v>
        <stp/>
        <stp>BDP|968501965962291940</stp>
        <tr r="O1989" s="2"/>
      </tp>
      <tp t="s">
        <v>#N/A Requesting Data...3963645579</v>
        <stp/>
        <stp>BDP|695304270995545995</stp>
        <tr r="J753" s="2"/>
      </tp>
      <tp t="s">
        <v>#N/A Requesting Data...2542233408</v>
        <stp/>
        <stp>BDP|150203944856790882</stp>
        <tr r="F1159" s="2"/>
      </tp>
      <tp t="s">
        <v>#N/A Requesting Data...2879964183</v>
        <stp/>
        <stp>BDP|685182796333725342</stp>
        <tr r="M1532" s="2"/>
      </tp>
      <tp t="s">
        <v>#N/A Requesting Data...3425002024</v>
        <stp/>
        <stp>BDP|664398386845003628</stp>
        <tr r="E1943" s="2"/>
      </tp>
      <tp t="s">
        <v>#N/A Requesting Data...2965251588</v>
        <stp/>
        <stp>BDP|977173082460761108</stp>
        <tr r="K2016" s="2"/>
      </tp>
      <tp t="s">
        <v>#N/A Requesting Data...3593571325</v>
        <stp/>
        <stp>BDP|951774932148573427</stp>
        <tr r="N221" s="2"/>
      </tp>
      <tp t="s">
        <v>#N/A Requesting Data...3213089483</v>
        <stp/>
        <stp>BDP|776496336587561863</stp>
        <tr r="A675" s="2"/>
      </tp>
      <tp t="s">
        <v>#N/A Requesting Data...3509714594</v>
        <stp/>
        <stp>BDP|975679235465182813</stp>
        <tr r="E1154" s="2"/>
      </tp>
      <tp t="s">
        <v>#N/A Requesting Data...2913513445</v>
        <stp/>
        <stp>BDP|458984247627129212</stp>
        <tr r="D908" s="2"/>
      </tp>
      <tp t="s">
        <v>#N/A Requesting Data...4163991228</v>
        <stp/>
        <stp>BDP|774894149962152621</stp>
        <tr r="R2441" s="2"/>
      </tp>
      <tp t="s">
        <v>#N/A Requesting Data...3044591716</v>
        <stp/>
        <stp>BDP|874679228338426470</stp>
        <tr r="C1320" s="2"/>
      </tp>
      <tp t="b">
        <v>0</v>
        <stp/>
        <stp>BDS|575312121051639872</stp>
        <tr r="I1708" s="2"/>
      </tp>
      <tp t="s">
        <v>#N/A Requesting Data...3222095424</v>
        <stp/>
        <stp>BDP|411849492600663912</stp>
        <tr r="S275" s="2"/>
      </tp>
      <tp t="s">
        <v>#N/A Requesting Data...3368872077</v>
        <stp/>
        <stp>BDP|419203850478701768</stp>
        <tr r="C27" s="2"/>
      </tp>
      <tp t="s">
        <v>#N/A Requesting Data...4110811383</v>
        <stp/>
        <stp>BDP|339008064179788751</stp>
        <tr r="T2401" s="2"/>
      </tp>
      <tp t="s">
        <v>#N/A Requesting Data...3289519234</v>
        <stp/>
        <stp>BDP|624792842002917910</stp>
        <tr r="S128" s="2"/>
      </tp>
      <tp t="s">
        <v>#N/A Requesting Data...3964389124</v>
        <stp/>
        <stp>BDP|400457395440243530</stp>
        <tr r="G1305" s="2"/>
      </tp>
      <tp t="s">
        <v>#N/A Requesting Data...2673590786</v>
        <stp/>
        <stp>BDP|551639376449679004</stp>
        <tr r="J2016" s="2"/>
      </tp>
      <tp t="s">
        <v>#N/A Requesting Data...3468476328</v>
        <stp/>
        <stp>BDP|618427096590121559</stp>
        <tr r="R1231" s="2"/>
      </tp>
      <tp t="s">
        <v>#N/A Requesting Data...3814767028</v>
        <stp/>
        <stp>BDP|551008133308609367</stp>
        <tr r="P580" s="2"/>
      </tp>
      <tp t="s">
        <v>#N/A Requesting Data...3762111546</v>
        <stp/>
        <stp>BDP|456565596327222308</stp>
        <tr r="T2275" s="2"/>
      </tp>
      <tp t="s">
        <v>#N/A Requesting Data...3760231033</v>
        <stp/>
        <stp>BDP|553173776909795758</stp>
        <tr r="E2461" s="2"/>
      </tp>
      <tp t="s">
        <v>#N/A Requesting Data...3563864909</v>
        <stp/>
        <stp>BDP|123365897591302351</stp>
        <tr r="T1767" s="2"/>
      </tp>
      <tp t="s">
        <v>#N/A Requesting Data...3638099635</v>
        <stp/>
        <stp>BDP|309934466777619061</stp>
        <tr r="M1408" s="2"/>
      </tp>
      <tp t="s">
        <v>#N/A Requesting Data...2965649896</v>
        <stp/>
        <stp>BDP|167361484294038756</stp>
        <tr r="O725" s="2"/>
      </tp>
      <tp t="s">
        <v>#N/A Requesting Data...3569842430</v>
        <stp/>
        <stp>BDP|831917881728802164</stp>
        <tr r="O2315" s="2"/>
      </tp>
      <tp t="s">
        <v>#N/A Requesting Data...2663851030</v>
        <stp/>
        <stp>BDP|563927573270672641</stp>
        <tr r="K1003" s="2"/>
      </tp>
      <tp t="s">
        <v>#N/A Requesting Data...2991520936</v>
        <stp/>
        <stp>BDP|855291249568897672</stp>
        <tr r="S1016" s="2"/>
      </tp>
      <tp t="s">
        <v>#N/A Requesting Data...3846959896</v>
        <stp/>
        <stp>BDP|926638113388652787</stp>
        <tr r="S601" s="2"/>
      </tp>
      <tp t="s">
        <v>#N/A Requesting Data...2840758643</v>
        <stp/>
        <stp>BDP|525340257709799764</stp>
        <tr r="O427" s="2"/>
      </tp>
      <tp t="s">
        <v>#N/A Requesting Data...3932387412</v>
        <stp/>
        <stp>BDP|717334957926775835</stp>
        <tr r="M404" s="2"/>
      </tp>
      <tp t="s">
        <v>#N/A Requesting Data...2892960777</v>
        <stp/>
        <stp>BDP|290688388686672032</stp>
        <tr r="D2367" s="2"/>
      </tp>
      <tp t="s">
        <v>#N/A Requesting Data...2620220394</v>
        <stp/>
        <stp>BDP|970290529530891868</stp>
        <tr r="J965" s="2"/>
      </tp>
      <tp t="s">
        <v>#N/A Requesting Data...4196364745</v>
        <stp/>
        <stp>BDP|382855808868848811</stp>
        <tr r="M2024" s="2"/>
      </tp>
      <tp t="b">
        <v>0</v>
        <stp/>
        <stp>BDS|796854520352299071</stp>
        <tr r="I1038" s="2"/>
      </tp>
      <tp t="s">
        <v>#N/A Requesting Data...2629495277</v>
        <stp/>
        <stp>BDP|445929774580146649</stp>
        <tr r="S907" s="2"/>
      </tp>
      <tp t="s">
        <v>#N/A Requesting Data...3648706784</v>
        <stp/>
        <stp>BDP|285402067549030353</stp>
        <tr r="T1151" s="2"/>
      </tp>
      <tp t="b">
        <v>0</v>
        <stp/>
        <stp>BDS|455725079148614092</stp>
        <tr r="I430" s="2"/>
      </tp>
      <tp t="s">
        <v>#N/A Requesting Data...3928201223</v>
        <stp/>
        <stp>BDP|816630934238706580</stp>
        <tr r="K1633" s="2"/>
      </tp>
      <tp t="s">
        <v>#N/A Requesting Data...3627639041</v>
        <stp/>
        <stp>BDP|124443957308131132</stp>
        <tr r="P474" s="2"/>
      </tp>
      <tp t="s">
        <v>#N/A Requesting Data...3582386432</v>
        <stp/>
        <stp>BDP|153077586847283725</stp>
        <tr r="E2465" s="2"/>
      </tp>
      <tp t="s">
        <v>#N/A Requesting Data...2925433788</v>
        <stp/>
        <stp>BDP|102356176925765945</stp>
        <tr r="D2434" s="2"/>
      </tp>
      <tp t="s">
        <v>#N/A Requesting Data...2593267011</v>
        <stp/>
        <stp>BDP|991388125880764922</stp>
        <tr r="K2034" s="2"/>
      </tp>
      <tp t="s">
        <v>#N/A Requesting Data...3794538498</v>
        <stp/>
        <stp>BDP|594557195974172053</stp>
        <tr r="S1706" s="2"/>
      </tp>
      <tp t="s">
        <v>#N/A Requesting Data...3155998744</v>
        <stp/>
        <stp>BDP|222830877217309043</stp>
        <tr r="O2410" s="2"/>
      </tp>
      <tp t="s">
        <v>#N/A Requesting Data...4138587207</v>
        <stp/>
        <stp>BDP|599178982838017918</stp>
        <tr r="K1185" s="2"/>
      </tp>
      <tp t="s">
        <v>#N/A Requesting Data...3943026972</v>
        <stp/>
        <stp>BDP|853595961378132306</stp>
        <tr r="A1411" s="2"/>
      </tp>
      <tp t="s">
        <v>#N/A Requesting Data...3280265162</v>
        <stp/>
        <stp>BDP|949896596011592811</stp>
        <tr r="G2270" s="2"/>
      </tp>
      <tp t="s">
        <v>#N/A Requesting Data...3250076367</v>
        <stp/>
        <stp>BDP|317225052408072714</stp>
        <tr r="N1095" s="2"/>
      </tp>
      <tp t="s">
        <v>#N/A Requesting Data...4084827496</v>
        <stp/>
        <stp>BDP|273972846036626371</stp>
        <tr r="J2089" s="2"/>
      </tp>
      <tp t="s">
        <v>#N/A Requesting Data...4183143192</v>
        <stp/>
        <stp>BDP|124708773521409951</stp>
        <tr r="T1296" s="2"/>
      </tp>
      <tp t="s">
        <v>#N/A Requesting Data...3314798742</v>
        <stp/>
        <stp>BDP|223709682477089039</stp>
        <tr r="H2311" s="2"/>
      </tp>
      <tp t="s">
        <v>#N/A Requesting Data...2758135668</v>
        <stp/>
        <stp>BDP|166959016448308827</stp>
        <tr r="P1657" s="2"/>
      </tp>
      <tp t="s">
        <v>#N/A Requesting Data...3471296520</v>
        <stp/>
        <stp>BDP|864763465549008086</stp>
        <tr r="F2177" s="2"/>
      </tp>
      <tp t="s">
        <v>#N/A Requesting Data...3828764173</v>
        <stp/>
        <stp>BDP|215579785281521792</stp>
        <tr r="F2402" s="2"/>
      </tp>
      <tp t="s">
        <v>#N/A Requesting Data...2981744034</v>
        <stp/>
        <stp>BDP|967307540149494511</stp>
        <tr r="O487" s="2"/>
      </tp>
      <tp t="s">
        <v>#N/A Requesting Data...4126908843</v>
        <stp/>
        <stp>BDP|432868747531028692</stp>
        <tr r="H672" s="2"/>
      </tp>
      <tp t="s">
        <v>#N/A Requesting Data...3444505508</v>
        <stp/>
        <stp>BDP|291833817287381593</stp>
        <tr r="G1395" s="2"/>
      </tp>
      <tp t="s">
        <v>#N/A Requesting Data...3229450360</v>
        <stp/>
        <stp>BDP|200910440066667095</stp>
        <tr r="F2271" s="2"/>
      </tp>
      <tp t="s">
        <v>#N/A Requesting Data...4278114753</v>
        <stp/>
        <stp>BDP|475287797045468530</stp>
        <tr r="M607" s="2"/>
      </tp>
      <tp t="s">
        <v>#N/A Requesting Data...3037790559</v>
        <stp/>
        <stp>BDP|280158087456540494</stp>
        <tr r="H653" s="2"/>
      </tp>
      <tp t="s">
        <v>#N/A Requesting Data...3835825656</v>
        <stp/>
        <stp>BDP|615351679396226944</stp>
        <tr r="Q107" s="2"/>
      </tp>
      <tp t="s">
        <v>#N/A Requesting Data...2779267647</v>
        <stp/>
        <stp>BDP|322986043064457204</stp>
        <tr r="M1644" s="2"/>
      </tp>
      <tp t="s">
        <v>#N/A Requesting Data...4206497851</v>
        <stp/>
        <stp>BDP|769128225609517183</stp>
        <tr r="R406" s="2"/>
      </tp>
      <tp t="s">
        <v>#N/A Requesting Data...4181394080</v>
        <stp/>
        <stp>BDP|250860845216552199</stp>
        <tr r="O2240" s="2"/>
      </tp>
      <tp t="s">
        <v>#N/A Requesting Data...3280826924</v>
        <stp/>
        <stp>BDP|843199882894690685</stp>
        <tr r="O2066" s="2"/>
      </tp>
      <tp t="s">
        <v>#N/A Requesting Data...2985696185</v>
        <stp/>
        <stp>BDP|218383630413769809</stp>
        <tr r="T1645" s="2"/>
      </tp>
      <tp t="s">
        <v>#N/A Requesting Data...3799196248</v>
        <stp/>
        <stp>BDP|121507852969972279</stp>
        <tr r="C1226" s="2"/>
      </tp>
      <tp t="s">
        <v>#N/A Requesting Data...2746883616</v>
        <stp/>
        <stp>BDP|326181831780660912</stp>
        <tr r="C2062" s="2"/>
      </tp>
      <tp t="s">
        <v>#N/A Requesting Data...3213458708</v>
        <stp/>
        <stp>BDP|970134613419232265</stp>
        <tr r="E938" s="2"/>
      </tp>
      <tp t="s">
        <v>#N/A Requesting Data...3067018913</v>
        <stp/>
        <stp>BDP|640299685365564429</stp>
        <tr r="M523" s="2"/>
      </tp>
      <tp t="s">
        <v>#N/A Requesting Data...4119865033</v>
        <stp/>
        <stp>BDP|573253908139397068</stp>
        <tr r="G295" s="2"/>
      </tp>
      <tp t="s">
        <v>#N/A Requesting Data...3698818273</v>
        <stp/>
        <stp>BDP|178829623254633585</stp>
        <tr r="S1661" s="2"/>
      </tp>
      <tp t="s">
        <v>#N/A Requesting Data...2966117271</v>
        <stp/>
        <stp>BDP|491066525861021893</stp>
        <tr r="M1322" s="2"/>
      </tp>
      <tp t="s">
        <v>#N/A Requesting Data...2854657723</v>
        <stp/>
        <stp>BDP|537538344179890347</stp>
        <tr r="N332" s="2"/>
      </tp>
      <tp t="s">
        <v>#N/A Requesting Data...3931825565</v>
        <stp/>
        <stp>BDP|475900506240596298</stp>
        <tr r="F2466" s="2"/>
      </tp>
      <tp t="s">
        <v>#N/A Requesting Data...3251922339</v>
        <stp/>
        <stp>BDP|966263114299008153</stp>
        <tr r="G1991" s="2"/>
      </tp>
      <tp t="s">
        <v>#N/A Requesting Data...3217166478</v>
        <stp/>
        <stp>BDP|556003821281215880</stp>
        <tr r="R606" s="2"/>
      </tp>
      <tp t="b">
        <v>0</v>
        <stp/>
        <stp>BDS|467820116386893477</stp>
        <tr r="I859" s="2"/>
      </tp>
      <tp t="s">
        <v>#N/A Requesting Data...3643866503</v>
        <stp/>
        <stp>BDP|704008925210537981</stp>
        <tr r="R791" s="2"/>
      </tp>
      <tp t="s">
        <v>#N/A Requesting Data...3148479907</v>
        <stp/>
        <stp>BDP|712255735109971313</stp>
        <tr r="P2131" s="2"/>
      </tp>
      <tp t="s">
        <v>#N/A Requesting Data...2872443974</v>
        <stp/>
        <stp>BDP|823355577029292678</stp>
        <tr r="J1287" s="2"/>
      </tp>
      <tp t="s">
        <v>#N/A Requesting Data...3864455878</v>
        <stp/>
        <stp>BDP|448435387574647397</stp>
        <tr r="D1950" s="2"/>
      </tp>
      <tp t="s">
        <v>#N/A Requesting Data...3645893885</v>
        <stp/>
        <stp>BDP|998144980862738026</stp>
        <tr r="H370" s="2"/>
      </tp>
      <tp t="s">
        <v>#N/A Requesting Data...4234507368</v>
        <stp/>
        <stp>BDP|769390602091719936</stp>
        <tr r="P2021" s="2"/>
      </tp>
      <tp t="s">
        <v>#N/A Requesting Data...3654522575</v>
        <stp/>
        <stp>BDP|658116478998294552</stp>
        <tr r="T520" s="2"/>
      </tp>
      <tp t="s">
        <v>#N/A Requesting Data...3687104910</v>
        <stp/>
        <stp>BDP|114943451711430683</stp>
        <tr r="E653" s="2"/>
      </tp>
      <tp t="s">
        <v>#N/A Requesting Data...4246293558</v>
        <stp/>
        <stp>BDP|622381360377317949</stp>
        <tr r="C560" s="2"/>
      </tp>
      <tp t="s">
        <v>#N/A Requesting Data...4158916046</v>
        <stp/>
        <stp>BDP|238596907867562905</stp>
        <tr r="O2093" s="2"/>
      </tp>
      <tp t="s">
        <v>#N/A Requesting Data...3069345239</v>
        <stp/>
        <stp>BDP|524635640049829079</stp>
        <tr r="Q140" s="2"/>
      </tp>
      <tp t="s">
        <v>#N/A Requesting Data...2790400828</v>
        <stp/>
        <stp>BDP|151350968527094955</stp>
        <tr r="O936" s="2"/>
      </tp>
      <tp t="s">
        <v>#N/A Requesting Data...4103267952</v>
        <stp/>
        <stp>BDP|879021330719445179</stp>
        <tr r="G1845" s="2"/>
      </tp>
      <tp t="s">
        <v>#N/A Requesting Data...3145704699</v>
        <stp/>
        <stp>BDP|896776405405715946</stp>
        <tr r="J866" s="2"/>
      </tp>
      <tp t="s">
        <v>#N/A Requesting Data...3364801842</v>
        <stp/>
        <stp>BDP|577495886245213213</stp>
        <tr r="J1886" s="2"/>
      </tp>
      <tp t="s">
        <v>#N/A Requesting Data...2804363360</v>
        <stp/>
        <stp>BDP|429074497441401391</stp>
        <tr r="T2192" s="2"/>
      </tp>
      <tp t="s">
        <v>#N/A Requesting Data...3703761406</v>
        <stp/>
        <stp>BDP|645916388772442822</stp>
        <tr r="H408" s="2"/>
      </tp>
      <tp t="s">
        <v>#N/A Requesting Data...3405576755</v>
        <stp/>
        <stp>BDP|516838087639188297</stp>
        <tr r="K673" s="2"/>
      </tp>
      <tp t="s">
        <v>#N/A Requesting Data...3182230417</v>
        <stp/>
        <stp>BDP|597732898385505029</stp>
        <tr r="P2189" s="2"/>
      </tp>
      <tp t="s">
        <v>#N/A Requesting Data...3088635986</v>
        <stp/>
        <stp>BDP|186871826522849319</stp>
        <tr r="O1212" s="2"/>
      </tp>
      <tp t="s">
        <v>#N/A Requesting Data...3949586672</v>
        <stp/>
        <stp>BDP|692333985208879818</stp>
        <tr r="J795" s="2"/>
      </tp>
      <tp t="s">
        <v>#N/A Requesting Data...3572794240</v>
        <stp/>
        <stp>BDP|816662948670786989</stp>
        <tr r="E201" s="2"/>
      </tp>
      <tp t="s">
        <v>#N/A Requesting Data...3421829053</v>
        <stp/>
        <stp>BDP|280252896590948020</stp>
        <tr r="T687" s="2"/>
      </tp>
      <tp t="s">
        <v>#N/A Requesting Data...3021059297</v>
        <stp/>
        <stp>BDP|126376703358944068</stp>
        <tr r="M1998" s="2"/>
      </tp>
      <tp t="s">
        <v>#N/A Requesting Data...3853134668</v>
        <stp/>
        <stp>BDP|764019977174968825</stp>
        <tr r="F2133" s="2"/>
      </tp>
      <tp t="s">
        <v>#N/A Requesting Data...3190886602</v>
        <stp/>
        <stp>BDP|733808195888003281</stp>
        <tr r="Q2170" s="2"/>
      </tp>
      <tp t="b">
        <v>0</v>
        <stp/>
        <stp>BDS|120945072416492380</stp>
        <tr r="I767" s="2"/>
      </tp>
      <tp t="s">
        <v>#N/A Requesting Data...3546268512</v>
        <stp/>
        <stp>BDP|714764828486521879</stp>
        <tr r="C2309" s="2"/>
      </tp>
      <tp t="b">
        <v>0</v>
        <stp/>
        <stp>BDS|699505079628267167</stp>
        <tr r="I2001" s="2"/>
      </tp>
      <tp t="s">
        <v>#N/A Requesting Data...3999146185</v>
        <stp/>
        <stp>BDP|204889421588680968</stp>
        <tr r="F1699" s="2"/>
      </tp>
      <tp t="s">
        <v>#N/A Requesting Data...3694159383</v>
        <stp/>
        <stp>BDP|393305839663736865</stp>
        <tr r="S1343" s="2"/>
      </tp>
      <tp t="s">
        <v>#N/A Requesting Data...3799581857</v>
        <stp/>
        <stp>BDP|601998612120359351</stp>
        <tr r="P1266" s="2"/>
      </tp>
      <tp t="s">
        <v>#N/A Requesting Data...2843273324</v>
        <stp/>
        <stp>BDP|550003511173708987</stp>
        <tr r="R1949" s="2"/>
      </tp>
      <tp t="s">
        <v>#N/A Requesting Data...3318714987</v>
        <stp/>
        <stp>BDP|536949440407296187</stp>
        <tr r="J785" s="2"/>
      </tp>
      <tp t="s">
        <v>#N/A Requesting Data...3358550699</v>
        <stp/>
        <stp>BDP|892017606033173859</stp>
        <tr r="K457" s="2"/>
      </tp>
      <tp t="s">
        <v>#N/A Requesting Data...3527785709</v>
        <stp/>
        <stp>BDP|103489264040471928</stp>
        <tr r="F2265" s="2"/>
      </tp>
      <tp t="s">
        <v>#N/A Requesting Data...3403245602</v>
        <stp/>
        <stp>BDP|413472859669759364</stp>
        <tr r="E707" s="2"/>
      </tp>
      <tp t="s">
        <v>#N/A Requesting Data...3587476620</v>
        <stp/>
        <stp>BDP|561407536794750808</stp>
        <tr r="O950" s="2"/>
      </tp>
      <tp t="s">
        <v>#N/A Requesting Data...2960033179</v>
        <stp/>
        <stp>BDP|396802101851307258</stp>
        <tr r="A1689" s="2"/>
      </tp>
      <tp t="s">
        <v>#N/A Requesting Data...3635806224</v>
        <stp/>
        <stp>BDP|393902946980492656</stp>
        <tr r="A2487" s="2"/>
      </tp>
      <tp t="b">
        <v>0</v>
        <stp/>
        <stp>BDS|569656276782220806</stp>
        <tr r="I541" s="2"/>
      </tp>
      <tp t="s">
        <v>#N/A Requesting Data...3341420401</v>
        <stp/>
        <stp>BDP|860059462868244593</stp>
        <tr r="A591" s="2"/>
      </tp>
      <tp t="s">
        <v>#N/A Requesting Data...3298763934</v>
        <stp/>
        <stp>BDP|882737639769418628</stp>
        <tr r="P195" s="2"/>
      </tp>
      <tp t="s">
        <v>#N/A Requesting Data...4008448238</v>
        <stp/>
        <stp>BDP|751352477707910880</stp>
        <tr r="K1565" s="2"/>
      </tp>
      <tp t="s">
        <v>#N/A Requesting Data...4159417702</v>
        <stp/>
        <stp>BDP|351146560494129821</stp>
        <tr r="H972" s="2"/>
      </tp>
      <tp t="s">
        <v>#N/A Requesting Data...3679838592</v>
        <stp/>
        <stp>BDP|464808139540010080</stp>
        <tr r="J2341" s="2"/>
      </tp>
      <tp t="s">
        <v>#N/A Requesting Data...3759829628</v>
        <stp/>
        <stp>BDP|285666455790672821</stp>
        <tr r="T678" s="2"/>
      </tp>
      <tp t="s">
        <v>#N/A Requesting Data...3798700649</v>
        <stp/>
        <stp>BDP|140821262976490309</stp>
        <tr r="F381" s="2"/>
      </tp>
      <tp t="s">
        <v>#N/A Requesting Data...4174375333</v>
        <stp/>
        <stp>BDP|457699096351657587</stp>
        <tr r="D2193" s="2"/>
      </tp>
      <tp t="b">
        <v>0</v>
        <stp/>
        <stp>BDS|843366795157864668</stp>
        <tr r="I1569" s="2"/>
      </tp>
      <tp t="s">
        <v>#N/A Requesting Data...3165708976</v>
        <stp/>
        <stp>BDP|124549996335707218</stp>
        <tr r="G1976" s="2"/>
      </tp>
      <tp t="s">
        <v>#N/A Requesting Data...3077629795</v>
        <stp/>
        <stp>BDP|188636992866223272</stp>
        <tr r="Q422" s="2"/>
      </tp>
      <tp t="s">
        <v>#N/A Requesting Data...3954592174</v>
        <stp/>
        <stp>BDP|804829136262053299</stp>
        <tr r="O828" s="2"/>
      </tp>
      <tp t="s">
        <v>#N/A Requesting Data...3487062076</v>
        <stp/>
        <stp>BDP|196232081761785013</stp>
        <tr r="G262" s="2"/>
      </tp>
      <tp t="s">
        <v>#N/A Requesting Data...4289365564</v>
        <stp/>
        <stp>BDP|375672662709238215</stp>
        <tr r="P51" s="2"/>
      </tp>
      <tp t="s">
        <v>#N/A Requesting Data...3116478569</v>
        <stp/>
        <stp>BDP|164417246768580355</stp>
        <tr r="R2304" s="2"/>
      </tp>
      <tp t="s">
        <v>#N/A Requesting Data...3552701616</v>
        <stp/>
        <stp>BDP|118088674555867932</stp>
        <tr r="A457" s="2"/>
      </tp>
      <tp t="s">
        <v>#N/A Requesting Data...3079800726</v>
        <stp/>
        <stp>BDP|991775166432711891</stp>
        <tr r="H198" s="2"/>
      </tp>
      <tp t="s">
        <v>#N/A Requesting Data...3913184101</v>
        <stp/>
        <stp>BDP|156667860038640378</stp>
        <tr r="K883" s="2"/>
      </tp>
      <tp t="s">
        <v>#N/A Requesting Data...3938703646</v>
        <stp/>
        <stp>BDP|751228091818590870</stp>
        <tr r="G148" s="2"/>
      </tp>
      <tp t="s">
        <v>#N/A Requesting Data...3799627464</v>
        <stp/>
        <stp>BDP|297873976561399567</stp>
        <tr r="R1602" s="2"/>
      </tp>
      <tp t="s">
        <v>#N/A Requesting Data...3268921617</v>
        <stp/>
        <stp>BDP|929403570449751186</stp>
        <tr r="G24" s="2"/>
      </tp>
      <tp t="s">
        <v>#N/A Requesting Data...4121818024</v>
        <stp/>
        <stp>BDP|601792699282144712</stp>
        <tr r="Q1789" s="2"/>
      </tp>
      <tp t="s">
        <v>#N/A Requesting Data...4068922413</v>
        <stp/>
        <stp>BDP|393126341507047968</stp>
        <tr r="O929" s="2"/>
      </tp>
      <tp t="s">
        <v>#N/A Requesting Data...4115557260</v>
        <stp/>
        <stp>BDP|625348549095482995</stp>
        <tr r="P1818" s="2"/>
      </tp>
      <tp t="s">
        <v>#N/A Requesting Data...4131740722</v>
        <stp/>
        <stp>BDP|724926425710620005</stp>
        <tr r="H1327" s="2"/>
      </tp>
      <tp t="s">
        <v>#N/A Requesting Data...3584593909</v>
        <stp/>
        <stp>BDP|373303304089685179</stp>
        <tr r="S1470" s="2"/>
      </tp>
      <tp t="s">
        <v>#N/A Requesting Data...3802819193</v>
        <stp/>
        <stp>BDP|737374924708149231</stp>
        <tr r="T1608" s="2"/>
      </tp>
      <tp t="s">
        <v>#N/A Requesting Data...3055047609</v>
        <stp/>
        <stp>BDP|248594199784084354</stp>
        <tr r="T1220" s="2"/>
      </tp>
      <tp t="s">
        <v>#N/A Requesting Data...3442579967</v>
        <stp/>
        <stp>BDP|994029864624988915</stp>
        <tr r="J199" s="2"/>
      </tp>
      <tp t="s">
        <v>#N/A Requesting Data...3917467759</v>
        <stp/>
        <stp>BDP|821836760822460782</stp>
        <tr r="F1384" s="2"/>
      </tp>
      <tp t="s">
        <v>#N/A Requesting Data...4184859461</v>
        <stp/>
        <stp>BDP|218733185702457679</stp>
        <tr r="J1377" s="2"/>
      </tp>
      <tp t="s">
        <v>#N/A Requesting Data...3116440342</v>
        <stp/>
        <stp>BDP|758210722172728949</stp>
        <tr r="D2087" s="2"/>
      </tp>
      <tp t="s">
        <v>#N/A Requesting Data...3100394831</v>
        <stp/>
        <stp>BDP|646092822241211887</stp>
        <tr r="E320" s="2"/>
      </tp>
      <tp t="s">
        <v>#N/A Requesting Data...4087505713</v>
        <stp/>
        <stp>BDP|501023645788329766</stp>
        <tr r="S2301" s="2"/>
      </tp>
      <tp t="s">
        <v>#N/A Requesting Data...3371048309</v>
        <stp/>
        <stp>BDP|835362280183907301</stp>
        <tr r="G2060" s="2"/>
      </tp>
      <tp t="s">
        <v>#N/A Requesting Data...3436392778</v>
        <stp/>
        <stp>BDP|299278788970305199</stp>
        <tr r="F1215" s="2"/>
      </tp>
      <tp t="s">
        <v>#N/A Requesting Data...4002045065</v>
        <stp/>
        <stp>BDP|613319835249347269</stp>
        <tr r="M1797" s="2"/>
      </tp>
      <tp t="s">
        <v>#N/A Requesting Data...3438443831</v>
        <stp/>
        <stp>BDP|483425902177131828</stp>
        <tr r="R371" s="2"/>
      </tp>
      <tp t="s">
        <v>#N/A Requesting Data...3583909974</v>
        <stp/>
        <stp>BDP|621723393044583123</stp>
        <tr r="C2401" s="2"/>
      </tp>
      <tp t="s">
        <v>#N/A Requesting Data...3018582003</v>
        <stp/>
        <stp>BDP|803744072028697387</stp>
        <tr r="D189" s="2"/>
      </tp>
      <tp t="s">
        <v>#N/A Requesting Data...3503489664</v>
        <stp/>
        <stp>BDP|912585348842979808</stp>
        <tr r="C1373" s="2"/>
      </tp>
      <tp t="s">
        <v>#N/A Requesting Data...2991101250</v>
        <stp/>
        <stp>BDP|932882866107752204</stp>
        <tr r="K2159" s="2"/>
      </tp>
      <tp t="b">
        <v>0</v>
        <stp/>
        <stp>BDS|221839432980664055</stp>
        <tr r="I68" s="2"/>
      </tp>
      <tp t="s">
        <v>#N/A Requesting Data...4083600204</v>
        <stp/>
        <stp>BDP|418836102287000454</stp>
        <tr r="E2166" s="2"/>
      </tp>
      <tp t="s">
        <v>#N/A Requesting Data...3654537230</v>
        <stp/>
        <stp>BDP|874332793889197892</stp>
        <tr r="E2209" s="2"/>
      </tp>
      <tp t="s">
        <v>#N/A Requesting Data...3277617721</v>
        <stp/>
        <stp>BDP|262620152358155028</stp>
        <tr r="M1874" s="2"/>
      </tp>
      <tp t="s">
        <v>#N/A Requesting Data...3301095943</v>
        <stp/>
        <stp>BDP|970080881511889293</stp>
        <tr r="S1255" s="2"/>
      </tp>
      <tp t="s">
        <v>#N/A Requesting Data...3477429648</v>
        <stp/>
        <stp>BDP|206138663824678854</stp>
        <tr r="A375" s="2"/>
      </tp>
      <tp t="s">
        <v>#N/A Requesting Data...3202593304</v>
        <stp/>
        <stp>BDP|190170787526386433</stp>
        <tr r="C154" s="2"/>
      </tp>
      <tp t="s">
        <v>#N/A Requesting Data...4046892323</v>
        <stp/>
        <stp>BDP|132885729317688679</stp>
        <tr r="H505" s="2"/>
      </tp>
      <tp t="s">
        <v>#N/A Requesting Data...3710981356</v>
        <stp/>
        <stp>BDP|672609056359545173</stp>
        <tr r="D421" s="2"/>
      </tp>
      <tp t="s">
        <v>#N/A Requesting Data...3320825937</v>
        <stp/>
        <stp>BDP|368033530001779958</stp>
        <tr r="F1771" s="2"/>
      </tp>
      <tp t="s">
        <v>#N/A Requesting Data...3225787655</v>
        <stp/>
        <stp>BDP|301275288308807962</stp>
        <tr r="D544" s="2"/>
      </tp>
      <tp t="s">
        <v>#N/A Requesting Data...3727021082</v>
        <stp/>
        <stp>BDP|407962202454597667</stp>
        <tr r="N238" s="2"/>
      </tp>
      <tp t="s">
        <v>#N/A Requesting Data...3489803438</v>
        <stp/>
        <stp>BDP|116255650105604918</stp>
        <tr r="T689" s="2"/>
      </tp>
      <tp t="s">
        <v>#N/A Requesting Data...3727223158</v>
        <stp/>
        <stp>BDP|417277593471051137</stp>
        <tr r="K47" s="2"/>
      </tp>
      <tp t="s">
        <v>#N/A Requesting Data...3779230084</v>
        <stp/>
        <stp>BDP|675666540919358008</stp>
        <tr r="M2301" s="2"/>
      </tp>
      <tp t="s">
        <v>#N/A Requesting Data...3427296052</v>
        <stp/>
        <stp>BDP|417455132074302831</stp>
        <tr r="F1533" s="2"/>
      </tp>
      <tp t="s">
        <v>#N/A Requesting Data...3272780548</v>
        <stp/>
        <stp>BDP|205651696995956046</stp>
        <tr r="R553" s="2"/>
      </tp>
      <tp t="s">
        <v>#N/A Requesting Data...4139618372</v>
        <stp/>
        <stp>BDP|740599221574652954</stp>
        <tr r="O1313" s="2"/>
      </tp>
      <tp t="s">
        <v>#N/A Requesting Data...3763395333</v>
        <stp/>
        <stp>BDP|518796854338196052</stp>
        <tr r="M910" s="2"/>
      </tp>
      <tp t="s">
        <v>#N/A Requesting Data...3560852053</v>
        <stp/>
        <stp>BDP|658281082849432943</stp>
        <tr r="Q2224" s="2"/>
      </tp>
      <tp t="s">
        <v>#N/A Requesting Data...3688066265</v>
        <stp/>
        <stp>BDP|777011599492369108</stp>
        <tr r="K953" s="2"/>
      </tp>
      <tp t="s">
        <v>#N/A Requesting Data...3246231125</v>
        <stp/>
        <stp>BDP|434493305579322775</stp>
        <tr r="J2179" s="2"/>
      </tp>
      <tp t="s">
        <v>#N/A Requesting Data...3516595007</v>
        <stp/>
        <stp>BDP|868209692943577234</stp>
        <tr r="P2168" s="2"/>
      </tp>
      <tp t="s">
        <v>#N/A Requesting Data...3901195404</v>
        <stp/>
        <stp>BDP|131469458598307310</stp>
        <tr r="P1172" s="2"/>
      </tp>
      <tp t="b">
        <v>0</v>
        <stp/>
        <stp>BDS|380759998964549061</stp>
        <tr r="I789" s="2"/>
      </tp>
      <tp t="s">
        <v>#N/A Requesting Data...3618208456</v>
        <stp/>
        <stp>BDP|674133166748944575</stp>
        <tr r="K2371" s="2"/>
      </tp>
      <tp t="s">
        <v>#N/A Requesting Data...4206270763</v>
        <stp/>
        <stp>BDP|451288901921357932</stp>
        <tr r="J2353" s="2"/>
      </tp>
      <tp t="s">
        <v>#N/A Requesting Data...3357860249</v>
        <stp/>
        <stp>BDP|933761256700112857</stp>
        <tr r="Q457" s="2"/>
      </tp>
      <tp t="s">
        <v>#N/A Requesting Data...3067046257</v>
        <stp/>
        <stp>BDP|553672620259907766</stp>
        <tr r="G897" s="2"/>
      </tp>
      <tp t="s">
        <v>#N/A Requesting Data...3173771610</v>
        <stp/>
        <stp>BDP|799884899682832902</stp>
        <tr r="S235" s="2"/>
      </tp>
      <tp t="b">
        <v>0</v>
        <stp/>
        <stp>BDS|969135543816401931</stp>
        <tr r="I1174" s="2"/>
      </tp>
      <tp t="s">
        <v>#N/A Requesting Data...4031047156</v>
        <stp/>
        <stp>BDP|519775101995440893</stp>
        <tr r="Q2433" s="2"/>
      </tp>
      <tp t="s">
        <v>#N/A Requesting Data...3615758884</v>
        <stp/>
        <stp>BDP|342757274939530390</stp>
        <tr r="F488" s="2"/>
      </tp>
      <tp t="s">
        <v>#N/A Requesting Data...3123350894</v>
        <stp/>
        <stp>BDP|535236698592643368</stp>
        <tr r="P1240" s="2"/>
      </tp>
      <tp t="s">
        <v>#N/A Requesting Data...4232592505</v>
        <stp/>
        <stp>BDP|159952739108322807</stp>
        <tr r="C62" s="2"/>
      </tp>
      <tp t="s">
        <v>#N/A Requesting Data...4230553193</v>
        <stp/>
        <stp>BDP|832328284678291921</stp>
        <tr r="A1861" s="2"/>
      </tp>
      <tp t="s">
        <v>#N/A Requesting Data...4185552318</v>
        <stp/>
        <stp>BDP|788207857539810471</stp>
        <tr r="N1481" s="2"/>
      </tp>
      <tp t="s">
        <v>#N/A Requesting Data...4009496706</v>
        <stp/>
        <stp>BDP|143028380563991158</stp>
        <tr r="N2359" s="2"/>
      </tp>
      <tp t="s">
        <v>#N/A Requesting Data...3506992625</v>
        <stp/>
        <stp>BDP|805653726797383975</stp>
        <tr r="F1179" s="2"/>
      </tp>
      <tp t="s">
        <v>#N/A Requesting Data...3288098424</v>
        <stp/>
        <stp>BDP|461471165749087197</stp>
        <tr r="T1208" s="2"/>
      </tp>
      <tp t="b">
        <v>0</v>
        <stp/>
        <stp>BDS|886572975191654932</stp>
        <tr r="I2496" s="2"/>
      </tp>
      <tp t="s">
        <v>#N/A Requesting Data...3780034899</v>
        <stp/>
        <stp>BDP|650439224118869466</stp>
        <tr r="S2250" s="2"/>
      </tp>
      <tp t="s">
        <v>#N/A Requesting Data...3133211044</v>
        <stp/>
        <stp>BDP|149379178287492954</stp>
        <tr r="F1592" s="2"/>
      </tp>
      <tp t="s">
        <v>#N/A Requesting Data...3575891673</v>
        <stp/>
        <stp>BDP|560084247577210974</stp>
        <tr r="S2224" s="2"/>
      </tp>
      <tp t="s">
        <v>#N/A Requesting Data...3179088959</v>
        <stp/>
        <stp>BDP|919068155018271705</stp>
        <tr r="P2280" s="2"/>
      </tp>
      <tp t="s">
        <v>#N/A Requesting Data...4029328517</v>
        <stp/>
        <stp>BDP|774885494588560368</stp>
        <tr r="S50" s="2"/>
      </tp>
      <tp t="s">
        <v>#N/A Requesting Data...3778835474</v>
        <stp/>
        <stp>BDP|333983663047200229</stp>
        <tr r="G184" s="2"/>
      </tp>
      <tp t="s">
        <v>#N/A Requesting Data...3075949290</v>
        <stp/>
        <stp>BDP|581082727030644847</stp>
        <tr r="K557" s="2"/>
      </tp>
      <tp t="s">
        <v>#N/A Requesting Data...3741526511</v>
        <stp/>
        <stp>BDP|964821801906190435</stp>
        <tr r="A2105" s="2"/>
      </tp>
      <tp t="s">
        <v>#N/A Requesting Data...4014018048</v>
        <stp/>
        <stp>BDP|577065768844616859</stp>
        <tr r="T43" s="2"/>
      </tp>
      <tp t="s">
        <v>#N/A Requesting Data...4069933100</v>
        <stp/>
        <stp>BDP|964393696016936675</stp>
        <tr r="K2" s="2"/>
      </tp>
      <tp t="s">
        <v>#N/A Requesting Data...3774154903</v>
        <stp/>
        <stp>BDP|345764685153862606</stp>
        <tr r="K2133" s="2"/>
      </tp>
      <tp t="s">
        <v>#N/A Requesting Data...3231485853</v>
        <stp/>
        <stp>BDP|269890765115382159</stp>
        <tr r="A739" s="2"/>
      </tp>
      <tp t="s">
        <v>#N/A Requesting Data...3559622580</v>
        <stp/>
        <stp>BDP|869239396931284066</stp>
        <tr r="P2332" s="2"/>
      </tp>
      <tp t="s">
        <v>#N/A Requesting Data...3657494351</v>
        <stp/>
        <stp>BDP|787955078454653054</stp>
        <tr r="N1913" s="2"/>
      </tp>
      <tp t="s">
        <v>#N/A Requesting Data...3242489385</v>
        <stp/>
        <stp>BDP|300232808018959089</stp>
        <tr r="A935" s="2"/>
      </tp>
      <tp t="s">
        <v>#N/A Requesting Data...3179421453</v>
        <stp/>
        <stp>BDP|743381391237488730</stp>
        <tr r="K159" s="2"/>
      </tp>
      <tp t="s">
        <v>#N/A Requesting Data...3562260909</v>
        <stp/>
        <stp>BDP|168385364066456907</stp>
        <tr r="F2166" s="2"/>
      </tp>
      <tp t="s">
        <v>#N/A Requesting Data...3585758935</v>
        <stp/>
        <stp>BDP|140882117414672710</stp>
        <tr r="C1631" s="2"/>
      </tp>
      <tp t="s">
        <v>#N/A Requesting Data...3220810447</v>
        <stp/>
        <stp>BDP|256734543941024880</stp>
        <tr r="R804" s="2"/>
      </tp>
      <tp t="b">
        <v>0</v>
        <stp/>
        <stp>BDS|958371504209292024</stp>
        <tr r="I1182" s="2"/>
      </tp>
      <tp t="s">
        <v>#N/A Requesting Data...3110372995</v>
        <stp/>
        <stp>BDP|363018187731777386</stp>
        <tr r="G516" s="2"/>
      </tp>
      <tp t="s">
        <v>#N/A Requesting Data...3238792566</v>
        <stp/>
        <stp>BDP|313751901604830959</stp>
        <tr r="T2434" s="2"/>
      </tp>
      <tp t="s">
        <v>#N/A Requesting Data...3374945846</v>
        <stp/>
        <stp>BDP|401901027602045390</stp>
        <tr r="M541" s="2"/>
      </tp>
      <tp t="s">
        <v>#N/A Requesting Data...3860296419</v>
        <stp/>
        <stp>BDP|839194159057256902</stp>
        <tr r="P2483" s="2"/>
      </tp>
      <tp t="s">
        <v>#N/A Requesting Data...4070549476</v>
        <stp/>
        <stp>BDP|931492519586478977</stp>
        <tr r="O1500" s="2"/>
      </tp>
      <tp t="s">
        <v>#N/A Requesting Data...3845335209</v>
        <stp/>
        <stp>BDP|426589291733303557</stp>
        <tr r="O12" s="2"/>
      </tp>
      <tp t="s">
        <v>#N/A Requesting Data...3197228674</v>
        <stp/>
        <stp>BDP|985875137232178336</stp>
        <tr r="N361" s="2"/>
      </tp>
      <tp t="s">
        <v>#N/A Requesting Data...4101109207</v>
        <stp/>
        <stp>BDP|184062762308803465</stp>
        <tr r="P1622" s="2"/>
      </tp>
      <tp t="b">
        <v>0</v>
        <stp/>
        <stp>BDS|839904902155636679</stp>
        <tr r="I1901" s="2"/>
      </tp>
      <tp t="s">
        <v>#N/A Requesting Data...3454110893</v>
        <stp/>
        <stp>BDP|485333992762774299</stp>
        <tr r="J220" s="2"/>
      </tp>
      <tp t="s">
        <v>#N/A Requesting Data...4084809573</v>
        <stp/>
        <stp>BDP|209280716740725904</stp>
        <tr r="H760" s="2"/>
      </tp>
      <tp t="s">
        <v>#N/A Requesting Data...4048462506</v>
        <stp/>
        <stp>BDP|787258797657144609</stp>
        <tr r="A152" s="2"/>
      </tp>
      <tp t="s">
        <v>#N/A Requesting Data...4001510992</v>
        <stp/>
        <stp>BDP|924452420989091589</stp>
        <tr r="E1989" s="2"/>
      </tp>
      <tp t="s">
        <v>#N/A Requesting Data...3792107080</v>
        <stp/>
        <stp>BDP|329409710096668911</stp>
        <tr r="N663" s="2"/>
      </tp>
      <tp t="s">
        <v>#N/A Requesting Data...3275157154</v>
        <stp/>
        <stp>BDP|367366086426209756</stp>
        <tr r="M1930" s="2"/>
      </tp>
      <tp t="s">
        <v>#N/A Requesting Data...3509284059</v>
        <stp/>
        <stp>BDP|189334117280709868</stp>
        <tr r="F1151" s="2"/>
      </tp>
      <tp t="s">
        <v>#N/A Requesting Data...3656145528</v>
        <stp/>
        <stp>BDP|750505886082210575</stp>
        <tr r="K1871" s="2"/>
      </tp>
      <tp t="s">
        <v>#N/A Requesting Data...3684215760</v>
        <stp/>
        <stp>BDP|475410350613965882</stp>
        <tr r="M249" s="2"/>
      </tp>
      <tp t="s">
        <v>#N/A Requesting Data...4255594810</v>
        <stp/>
        <stp>BDP|255245352338906589</stp>
        <tr r="Q1316" s="2"/>
      </tp>
      <tp t="s">
        <v>#N/A Requesting Data...4148076117</v>
        <stp/>
        <stp>BDP|387634280093769725</stp>
        <tr r="S758" s="2"/>
      </tp>
      <tp t="s">
        <v>#N/A Requesting Data...3450272222</v>
        <stp/>
        <stp>BDP|109932617167695566</stp>
        <tr r="G2282" s="2"/>
      </tp>
      <tp t="s">
        <v>#N/A Requesting Data...4084972289</v>
        <stp/>
        <stp>BDP|834071848228025620</stp>
        <tr r="M1450" s="2"/>
      </tp>
      <tp t="s">
        <v>#N/A Requesting Data...4230061534</v>
        <stp/>
        <stp>BDP|730940621485762401</stp>
        <tr r="J2399" s="2"/>
      </tp>
      <tp t="s">
        <v>#N/A Requesting Data...3449378982</v>
        <stp/>
        <stp>BDP|206620091466333371</stp>
        <tr r="E117" s="2"/>
      </tp>
      <tp t="s">
        <v>#N/A Requesting Data...3742095308</v>
        <stp/>
        <stp>BDP|223222084199205936</stp>
        <tr r="Q2359" s="2"/>
      </tp>
      <tp t="s">
        <v>#N/A Requesting Data...3199841150</v>
        <stp/>
        <stp>BDP|842863894232749986</stp>
        <tr r="D657" s="2"/>
      </tp>
      <tp t="s">
        <v>#N/A Requesting Data...3986264916</v>
        <stp/>
        <stp>BDP|724296599637247601</stp>
        <tr r="Q159" s="2"/>
      </tp>
      <tp t="s">
        <v>#N/A Requesting Data...3935139585</v>
        <stp/>
        <stp>BDP|315624425579139706</stp>
        <tr r="P1876" s="2"/>
      </tp>
      <tp t="s">
        <v>#N/A Requesting Data...3370550583</v>
        <stp/>
        <stp>BDP|366298329719732321</stp>
        <tr r="T876" s="2"/>
      </tp>
      <tp t="s">
        <v>#N/A Requesting Data...4133886240</v>
        <stp/>
        <stp>BDP|728916051960813695</stp>
        <tr r="E1102" s="2"/>
      </tp>
      <tp t="s">
        <v>#N/A Requesting Data...3361706752</v>
        <stp/>
        <stp>BDP|776018698886944511</stp>
        <tr r="Q758" s="2"/>
      </tp>
      <tp t="s">
        <v>#N/A Requesting Data...4227109838</v>
        <stp/>
        <stp>BDP|153915761466122367</stp>
        <tr r="M2189" s="2"/>
      </tp>
      <tp t="s">
        <v>#N/A Requesting Data...3891657758</v>
        <stp/>
        <stp>BDP|998915780072993972</stp>
        <tr r="Q1917" s="2"/>
      </tp>
      <tp t="s">
        <v>#N/A Requesting Data...3345795497</v>
        <stp/>
        <stp>BDP|969031396200938331</stp>
        <tr r="C1282" s="2"/>
      </tp>
      <tp t="s">
        <v>#N/A Requesting Data...3490419349</v>
        <stp/>
        <stp>BDP|242856051183523454</stp>
        <tr r="A437" s="2"/>
      </tp>
      <tp t="s">
        <v>#N/A Requesting Data...4178277051</v>
        <stp/>
        <stp>BDP|941896861520773405</stp>
        <tr r="H409" s="2"/>
      </tp>
      <tp t="s">
        <v>#N/A Requesting Data...4224277975</v>
        <stp/>
        <stp>BDP|556678184481560545</stp>
        <tr r="F1269" s="2"/>
      </tp>
      <tp t="s">
        <v>#N/A Requesting Data...3324658785</v>
        <stp/>
        <stp>BDP|940466271860020993</stp>
        <tr r="H1784" s="2"/>
      </tp>
      <tp t="s">
        <v>#N/A Requesting Data...3836479407</v>
        <stp/>
        <stp>BDP|737938452111621776</stp>
        <tr r="F1919" s="2"/>
      </tp>
      <tp t="s">
        <v>#N/A Requesting Data...3420831505</v>
        <stp/>
        <stp>BDP|538728711468184408</stp>
        <tr r="N682" s="2"/>
      </tp>
      <tp t="s">
        <v>#N/A Requesting Data...3969151845</v>
        <stp/>
        <stp>BDP|318544455458688234</stp>
        <tr r="D1083" s="2"/>
      </tp>
      <tp t="s">
        <v>#N/A Requesting Data...4199574772</v>
        <stp/>
        <stp>BDP|167554994321641717</stp>
        <tr r="A171" s="2"/>
      </tp>
      <tp t="s">
        <v>#N/A Requesting Data...3529572425</v>
        <stp/>
        <stp>BDP|827207699670234142</stp>
        <tr r="G650" s="2"/>
      </tp>
      <tp t="s">
        <v>#N/A Requesting Data...4149019562</v>
        <stp/>
        <stp>BDP|255936131028685818</stp>
        <tr r="H1509" s="2"/>
      </tp>
      <tp t="s">
        <v>#N/A Requesting Data...4082842625</v>
        <stp/>
        <stp>BDP|805387686700223132</stp>
        <tr r="H160" s="2"/>
      </tp>
      <tp t="s">
        <v>#N/A Requesting Data...3926904599</v>
        <stp/>
        <stp>BDP|878096141019228753</stp>
        <tr r="T2328" s="2"/>
      </tp>
      <tp t="s">
        <v>#N/A Requesting Data...4153068119</v>
        <stp/>
        <stp>BDP|102301996938363838</stp>
        <tr r="P1477" s="2"/>
      </tp>
      <tp t="s">
        <v>#N/A Requesting Data...4178628964</v>
        <stp/>
        <stp>BDP|563994778041562562</stp>
        <tr r="P2153" s="2"/>
      </tp>
      <tp t="s">
        <v>#N/A Requesting Data...4256540420</v>
        <stp/>
        <stp>BDP|159079030388498153</stp>
        <tr r="K1834" s="2"/>
      </tp>
      <tp t="s">
        <v>#N/A Requesting Data...3939446378</v>
        <stp/>
        <stp>BDP|566392207101459885</stp>
        <tr r="K1555" s="2"/>
      </tp>
      <tp t="s">
        <v>#N/A Requesting Data...3401832519</v>
        <stp/>
        <stp>BDP|164432825985388930</stp>
        <tr r="D2095" s="2"/>
      </tp>
      <tp t="b">
        <v>0</v>
        <stp/>
        <stp>BDS|552312697732340271</stp>
        <tr r="I1470" s="2"/>
      </tp>
      <tp t="s">
        <v>#N/A Requesting Data...3553951398</v>
        <stp/>
        <stp>BDP|823317428372796964</stp>
        <tr r="C1968" s="2"/>
      </tp>
      <tp t="s">
        <v>#N/A Requesting Data...3401243962</v>
        <stp/>
        <stp>BDP|169859846404378215</stp>
        <tr r="Q305" s="2"/>
      </tp>
      <tp t="s">
        <v>#N/A Requesting Data...4033803315</v>
        <stp/>
        <stp>BDP|666491237978823503</stp>
        <tr r="N2092" s="2"/>
      </tp>
      <tp t="s">
        <v>#N/A Requesting Data...3726634010</v>
        <stp/>
        <stp>BDP|518685989567575319</stp>
        <tr r="E918" s="2"/>
      </tp>
      <tp t="s">
        <v>#N/A Requesting Data...3977241813</v>
        <stp/>
        <stp>BDP|495802164096801289</stp>
        <tr r="D2137" s="2"/>
      </tp>
      <tp t="s">
        <v>#N/A Requesting Data...3884190120</v>
        <stp/>
        <stp>BDP|745402589166672086</stp>
        <tr r="E871" s="2"/>
      </tp>
      <tp t="s">
        <v>#N/A Requesting Data...3473669259</v>
        <stp/>
        <stp>BDP|382487798432488574</stp>
        <tr r="C584" s="2"/>
      </tp>
      <tp t="b">
        <v>0</v>
        <stp/>
        <stp>BDS|754974026033326254</stp>
        <tr r="I1416" s="2"/>
      </tp>
      <tp t="s">
        <v>#N/A Requesting Data...3552902361</v>
        <stp/>
        <stp>BDP|758533123585420835</stp>
        <tr r="G2226" s="2"/>
      </tp>
      <tp t="s">
        <v>#N/A Requesting Data...3284775754</v>
        <stp/>
        <stp>BDP|736435921168687425</stp>
        <tr r="M621" s="2"/>
      </tp>
      <tp t="s">
        <v>#N/A Requesting Data...3449462412</v>
        <stp/>
        <stp>BDP|594925264574243105</stp>
        <tr r="O1264" s="2"/>
      </tp>
      <tp t="s">
        <v>#N/A Requesting Data...3308523537</v>
        <stp/>
        <stp>BDP|170890025370997054</stp>
        <tr r="S1467" s="2"/>
      </tp>
      <tp t="s">
        <v>#N/A Requesting Data...3565850941</v>
        <stp/>
        <stp>BDP|195777523179244667</stp>
        <tr r="E1237" s="2"/>
      </tp>
      <tp t="s">
        <v>#N/A Requesting Data...3346008598</v>
        <stp/>
        <stp>BDP|941211994788469999</stp>
        <tr r="Q1053" s="2"/>
      </tp>
      <tp t="s">
        <v>#N/A Requesting Data...4190578671</v>
        <stp/>
        <stp>BDP|102660094453158632</stp>
        <tr r="F1714" s="2"/>
      </tp>
      <tp t="b">
        <v>0</v>
        <stp/>
        <stp>BDS|145729652948328030</stp>
        <tr r="I1307" s="2"/>
      </tp>
      <tp t="s">
        <v>#N/A Requesting Data...3403373331</v>
        <stp/>
        <stp>BDP|697603135366155905</stp>
        <tr r="M2082" s="2"/>
      </tp>
      <tp t="s">
        <v>#N/A Requesting Data...3570754072</v>
        <stp/>
        <stp>BDP|471276497439668800</stp>
        <tr r="Q502" s="2"/>
      </tp>
      <tp t="s">
        <v>#N/A Requesting Data...3968889756</v>
        <stp/>
        <stp>BDP|919733101228125585</stp>
        <tr r="O2512" s="2"/>
      </tp>
      <tp t="s">
        <v>#N/A Requesting Data...3462825814</v>
        <stp/>
        <stp>BDP|381595523865879836</stp>
        <tr r="T695" s="2"/>
      </tp>
      <tp t="s">
        <v>#N/A Requesting Data...4104981388</v>
        <stp/>
        <stp>BDP|423884118761378252</stp>
        <tr r="N1840" s="2"/>
      </tp>
      <tp t="s">
        <v>#N/A Requesting Data...3575100536</v>
        <stp/>
        <stp>BDP|156362605358251125</stp>
        <tr r="N1785" s="2"/>
      </tp>
      <tp t="s">
        <v>#N/A Requesting Data...4145286322</v>
        <stp/>
        <stp>BDP|634312315579736173</stp>
        <tr r="T1550" s="2"/>
      </tp>
      <tp t="s">
        <v>#N/A Requesting Data...4218587332</v>
        <stp/>
        <stp>BDP|756975950700379615</stp>
        <tr r="S1021" s="2"/>
      </tp>
      <tp t="s">
        <v>#N/A Requesting Data...3354982361</v>
        <stp/>
        <stp>BDP|386857852363025474</stp>
        <tr r="R227" s="2"/>
      </tp>
      <tp t="s">
        <v>#N/A Requesting Data...4188688483</v>
        <stp/>
        <stp>BDP|460987682889908241</stp>
        <tr r="S2502" s="2"/>
      </tp>
      <tp t="s">
        <v>#N/A Requesting Data...3873560265</v>
        <stp/>
        <stp>BDP|509607403568799422</stp>
        <tr r="G2158" s="2"/>
      </tp>
      <tp t="s">
        <v>#N/A Requesting Data...3908451931</v>
        <stp/>
        <stp>BDP|640988119610155251</stp>
        <tr r="K2433" s="2"/>
      </tp>
      <tp t="s">
        <v>#N/A Requesting Data...3816587989</v>
        <stp/>
        <stp>BDP|580253338242893932</stp>
        <tr r="K2404" s="2"/>
      </tp>
      <tp t="s">
        <v>#N/A Requesting Data...3753242218</v>
        <stp/>
        <stp>BDP|258500697162307457</stp>
        <tr r="G2213" s="2"/>
      </tp>
      <tp t="s">
        <v>#N/A Requesting Data...4263677328</v>
        <stp/>
        <stp>BDP|916351863688477787</stp>
        <tr r="R1204" s="2"/>
      </tp>
      <tp t="s">
        <v>#N/A Requesting Data...4227907285</v>
        <stp/>
        <stp>BDP|340155265914980997</stp>
        <tr r="H2458" s="2"/>
      </tp>
      <tp t="s">
        <v>#N/A Requesting Data...3569742924</v>
        <stp/>
        <stp>BDP|914296081082884</stp>
        <tr r="A2233" s="2"/>
      </tp>
      <tp t="s">
        <v>#N/A Requesting Data...3710156678</v>
        <stp/>
        <stp>BDP|456146880492401</stp>
        <tr r="N1341" s="2"/>
      </tp>
      <tp t="s">
        <v>#N/A Requesting Data...3834158259</v>
        <stp/>
        <stp>BDP|217304855529133</stp>
        <tr r="O573" s="2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32"/>
  <sheetViews>
    <sheetView tabSelected="1" workbookViewId="0">
      <selection activeCell="I35" sqref="I35"/>
    </sheetView>
  </sheetViews>
  <sheetFormatPr defaultRowHeight="15" x14ac:dyDescent="0.25"/>
  <cols>
    <col min="1" max="20" width="9.14062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t="str">
        <f>_xll.BDP("3434875T Muni","ID_CUSIP")</f>
        <v>#N/A Requesting Data...</v>
      </c>
      <c r="B2" t="s">
        <v>20</v>
      </c>
      <c r="C2" t="str">
        <f>_xll.BDP("3434875T Muni","INSURANCE_STATUS")</f>
        <v>#N/A Requesting Data...</v>
      </c>
      <c r="D2" t="str">
        <f>_xll.BDP("3434875T Muni","STATE_CODE")</f>
        <v>#N/A Requesting Data...</v>
      </c>
      <c r="E2" t="str">
        <f>_xll.BDP("3434875T Muni","COUNTY_LOCATION_ISSUER")</f>
        <v>#N/A Requesting Data...</v>
      </c>
      <c r="F2" t="str">
        <f>_xll.BDP("3434875T Muni","DUR_ADJ_MID")</f>
        <v>#N/A Requesting Data...</v>
      </c>
      <c r="G2" t="str">
        <f>_xll.BDP("3434875T Muni","SPREAD_AT_ISSUANCE_TO_WORST")</f>
        <v>#N/A Requesting Data...</v>
      </c>
      <c r="H2" t="str">
        <f>_xll.BDP("3434875T Muni","ISSUE_DT")</f>
        <v>#N/A Requesting Data...</v>
      </c>
      <c r="I2" t="str">
        <f>_xll.BDS("3434875T Muni","MUNI_PURPOSE_SCHED", "aggregate=y")</f>
        <v>#N/A Requesting Data...</v>
      </c>
      <c r="J2" t="str">
        <f>_xll.BDP("3434875T Muni","CPN")</f>
        <v>#N/A Requesting Data...</v>
      </c>
      <c r="K2" t="str">
        <f>_xll.BDP("3434875T Muni","MATURITY")</f>
        <v>#N/A Requesting Data...</v>
      </c>
      <c r="L2">
        <v>435000</v>
      </c>
      <c r="M2" t="str">
        <f>_xll.BDP("3434875T Muni","YIELD_ON_ISSUE_DATE")</f>
        <v>#N/A Requesting Data...</v>
      </c>
      <c r="N2" t="str">
        <f>_xll.BDP("3434875T Muni","YTW_SPREAD_TO_MATURITY_AT_ISSU")</f>
        <v>#N/A Requesting Data...</v>
      </c>
      <c r="O2" t="str">
        <f>_xll.BDP("3434875T Muni","BVAL_MID_YTM")</f>
        <v>#N/A Requesting Data...</v>
      </c>
      <c r="P2" t="str">
        <f>_xll.BDP("3434875T Muni","MUNI_TAX_PROV")</f>
        <v>#N/A Requesting Data...</v>
      </c>
      <c r="Q2" t="str">
        <f>_xll.BDP("3434875T Muni","MUNI_FED_TAX")</f>
        <v>#N/A Requesting Data...</v>
      </c>
      <c r="R2" t="str">
        <f>_xll.BDP("3434875T Muni","MUNI_MSRB_VOLUME")</f>
        <v>#N/A Requesting Data...</v>
      </c>
      <c r="S2" t="str">
        <f>_xll.BDP("3434875T Muni","BB_COMPOSITE")</f>
        <v>#N/A Requesting Data...</v>
      </c>
      <c r="T2" t="str">
        <f>_xll.BDP("3434875T Muni","LQA_LIQUIDITY_SCORE")</f>
        <v>#N/A Requesting Data...</v>
      </c>
    </row>
    <row r="3" spans="1:20" x14ac:dyDescent="0.25">
      <c r="A3" t="str">
        <f>_xll.BDP("346748NF Muni","ID_CUSIP")</f>
        <v>#N/A Requesting Data...</v>
      </c>
      <c r="B3" t="s">
        <v>21</v>
      </c>
      <c r="C3" t="str">
        <f>_xll.BDP("346748NF Muni","INSURANCE_STATUS")</f>
        <v>#N/A Requesting Data...</v>
      </c>
      <c r="D3" t="str">
        <f>_xll.BDP("346748NF Muni","STATE_CODE")</f>
        <v>#N/A Requesting Data...</v>
      </c>
      <c r="E3" t="str">
        <f>_xll.BDP("346748NF Muni","COUNTY_LOCATION_ISSUER")</f>
        <v>#N/A Requesting Data...</v>
      </c>
      <c r="F3" t="str">
        <f>_xll.BDP("346748NF Muni","DUR_ADJ_MID")</f>
        <v>#N/A Requesting Data...</v>
      </c>
      <c r="G3" t="str">
        <f>_xll.BDP("346748NF Muni","SPREAD_AT_ISSUANCE_TO_WORST")</f>
        <v>#N/A Requesting Data...</v>
      </c>
      <c r="H3" t="str">
        <f>_xll.BDP("346748NF Muni","ISSUE_DT")</f>
        <v>#N/A Requesting Data...</v>
      </c>
      <c r="I3" t="str">
        <f>_xll.BDS("346748NF Muni","MUNI_PURPOSE_SCHED", "aggregate=y")</f>
        <v>#N/A Requesting Data...</v>
      </c>
      <c r="J3" t="str">
        <f>_xll.BDP("346748NF Muni","CPN")</f>
        <v>#N/A Requesting Data...</v>
      </c>
      <c r="K3" t="str">
        <f>_xll.BDP("346748NF Muni","MATURITY")</f>
        <v>#N/A Requesting Data...</v>
      </c>
      <c r="L3">
        <v>205000</v>
      </c>
      <c r="M3" t="str">
        <f>_xll.BDP("346748NF Muni","YIELD_ON_ISSUE_DATE")</f>
        <v>#N/A Requesting Data...</v>
      </c>
      <c r="N3" t="str">
        <f>_xll.BDP("346748NF Muni","YTW_SPREAD_TO_MATURITY_AT_ISSU")</f>
        <v>#N/A Requesting Data...</v>
      </c>
      <c r="O3" t="str">
        <f>_xll.BDP("346748NF Muni","BVAL_MID_YTM")</f>
        <v>#N/A Requesting Data...</v>
      </c>
      <c r="P3" t="str">
        <f>_xll.BDP("346748NF Muni","MUNI_TAX_PROV")</f>
        <v>#N/A Requesting Data...</v>
      </c>
      <c r="Q3" t="str">
        <f>_xll.BDP("346748NF Muni","MUNI_FED_TAX")</f>
        <v>#N/A Requesting Data...</v>
      </c>
      <c r="R3" t="str">
        <f>_xll.BDP("346748NF Muni","MUNI_MSRB_VOLUME")</f>
        <v>#N/A Requesting Data...</v>
      </c>
      <c r="S3" t="str">
        <f>_xll.BDP("346748NF Muni","BB_COMPOSITE")</f>
        <v>#N/A Requesting Data...</v>
      </c>
      <c r="T3" t="str">
        <f>_xll.BDP("346748NF Muni","LQA_LIQUIDITY_SCORE")</f>
        <v>#N/A Requesting Data...</v>
      </c>
    </row>
    <row r="4" spans="1:20" x14ac:dyDescent="0.25">
      <c r="A4" t="str">
        <f>_xll.BDP("345555JK Muni","ID_CUSIP")</f>
        <v>#N/A Requesting Data...</v>
      </c>
      <c r="B4" t="s">
        <v>22</v>
      </c>
      <c r="C4" t="str">
        <f>_xll.BDP("345555JK Muni","INSURANCE_STATUS")</f>
        <v>#N/A Requesting Data...</v>
      </c>
      <c r="D4" t="str">
        <f>_xll.BDP("345555JK Muni","STATE_CODE")</f>
        <v>#N/A Requesting Data...</v>
      </c>
      <c r="E4" t="str">
        <f>_xll.BDP("345555JK Muni","COUNTY_LOCATION_ISSUER")</f>
        <v>#N/A Requesting Data...</v>
      </c>
      <c r="F4" t="str">
        <f>_xll.BDP("345555JK Muni","DUR_ADJ_MID")</f>
        <v>#N/A Requesting Data...</v>
      </c>
      <c r="G4" t="str">
        <f>_xll.BDP("345555JK Muni","SPREAD_AT_ISSUANCE_TO_WORST")</f>
        <v>#N/A Requesting Data...</v>
      </c>
      <c r="H4" t="str">
        <f>_xll.BDP("345555JK Muni","ISSUE_DT")</f>
        <v>#N/A Requesting Data...</v>
      </c>
      <c r="I4" t="str">
        <f>_xll.BDS("345555JK Muni","MUNI_PURPOSE_SCHED", "aggregate=y")</f>
        <v>#N/A Requesting Data...</v>
      </c>
      <c r="J4" t="str">
        <f>_xll.BDP("345555JK Muni","CPN")</f>
        <v>#N/A Requesting Data...</v>
      </c>
      <c r="K4" t="str">
        <f>_xll.BDP("345555JK Muni","MATURITY")</f>
        <v>#N/A Requesting Data...</v>
      </c>
      <c r="L4">
        <v>255000</v>
      </c>
      <c r="M4" t="str">
        <f>_xll.BDP("345555JK Muni","YIELD_ON_ISSUE_DATE")</f>
        <v>#N/A Requesting Data...</v>
      </c>
      <c r="N4" t="str">
        <f>_xll.BDP("345555JK Muni","YTW_SPREAD_TO_MATURITY_AT_ISSU")</f>
        <v>#N/A Requesting Data...</v>
      </c>
      <c r="O4" t="str">
        <f>_xll.BDP("345555JK Muni","BVAL_MID_YTM")</f>
        <v>#N/A Requesting Data...</v>
      </c>
      <c r="P4" t="str">
        <f>_xll.BDP("345555JK Muni","MUNI_TAX_PROV")</f>
        <v>#N/A Requesting Data...</v>
      </c>
      <c r="Q4" t="str">
        <f>_xll.BDP("345555JK Muni","MUNI_FED_TAX")</f>
        <v>#N/A Requesting Data...</v>
      </c>
      <c r="R4" t="str">
        <f>_xll.BDP("345555JK Muni","MUNI_MSRB_VOLUME")</f>
        <v>#N/A Requesting Data...</v>
      </c>
      <c r="S4" t="str">
        <f>_xll.BDP("345555JK Muni","BB_COMPOSITE")</f>
        <v>#N/A Requesting Data...</v>
      </c>
      <c r="T4" t="str">
        <f>_xll.BDP("345555JK Muni","LQA_LIQUIDITY_SCORE")</f>
        <v>#N/A Requesting Data...</v>
      </c>
    </row>
    <row r="5" spans="1:20" x14ac:dyDescent="0.25">
      <c r="A5" t="str">
        <f>_xll.BDP("346748NE Muni","ID_CUSIP")</f>
        <v>#N/A Requesting Data...</v>
      </c>
      <c r="B5" t="s">
        <v>21</v>
      </c>
      <c r="C5" t="str">
        <f>_xll.BDP("346748NE Muni","INSURANCE_STATUS")</f>
        <v>#N/A Requesting Data...</v>
      </c>
      <c r="D5" t="str">
        <f>_xll.BDP("346748NE Muni","STATE_CODE")</f>
        <v>#N/A Requesting Data...</v>
      </c>
      <c r="E5" t="str">
        <f>_xll.BDP("346748NE Muni","COUNTY_LOCATION_ISSUER")</f>
        <v>#N/A Requesting Data...</v>
      </c>
      <c r="F5" t="str">
        <f>_xll.BDP("346748NE Muni","DUR_ADJ_MID")</f>
        <v>#N/A Requesting Data...</v>
      </c>
      <c r="G5" t="str">
        <f>_xll.BDP("346748NE Muni","SPREAD_AT_ISSUANCE_TO_WORST")</f>
        <v>#N/A Requesting Data...</v>
      </c>
      <c r="H5" t="str">
        <f>_xll.BDP("346748NE Muni","ISSUE_DT")</f>
        <v>#N/A Requesting Data...</v>
      </c>
      <c r="I5" t="str">
        <f>_xll.BDS("346748NE Muni","MUNI_PURPOSE_SCHED", "aggregate=y")</f>
        <v>#N/A Requesting Data...</v>
      </c>
      <c r="J5" t="str">
        <f>_xll.BDP("346748NE Muni","CPN")</f>
        <v>#N/A Requesting Data...</v>
      </c>
      <c r="K5" t="str">
        <f>_xll.BDP("346748NE Muni","MATURITY")</f>
        <v>#N/A Requesting Data...</v>
      </c>
      <c r="L5">
        <v>200000</v>
      </c>
      <c r="M5" t="str">
        <f>_xll.BDP("346748NE Muni","YIELD_ON_ISSUE_DATE")</f>
        <v>#N/A Requesting Data...</v>
      </c>
      <c r="N5" t="str">
        <f>_xll.BDP("346748NE Muni","YTW_SPREAD_TO_MATURITY_AT_ISSU")</f>
        <v>#N/A Requesting Data...</v>
      </c>
      <c r="O5" t="str">
        <f>_xll.BDP("346748NE Muni","BVAL_MID_YTM")</f>
        <v>#N/A Requesting Data...</v>
      </c>
      <c r="P5" t="str">
        <f>_xll.BDP("346748NE Muni","MUNI_TAX_PROV")</f>
        <v>#N/A Requesting Data...</v>
      </c>
      <c r="Q5" t="str">
        <f>_xll.BDP("346748NE Muni","MUNI_FED_TAX")</f>
        <v>#N/A Requesting Data...</v>
      </c>
      <c r="R5" t="str">
        <f>_xll.BDP("346748NE Muni","MUNI_MSRB_VOLUME")</f>
        <v>#N/A Requesting Data...</v>
      </c>
      <c r="S5" t="str">
        <f>_xll.BDP("346748NE Muni","BB_COMPOSITE")</f>
        <v>#N/A Requesting Data...</v>
      </c>
      <c r="T5" t="str">
        <f>_xll.BDP("346748NE Muni","LQA_LIQUIDITY_SCORE")</f>
        <v>#N/A Requesting Data...</v>
      </c>
    </row>
    <row r="6" spans="1:20" x14ac:dyDescent="0.25">
      <c r="A6" t="str">
        <f>_xll.BDP("346748NG Muni","ID_CUSIP")</f>
        <v>#N/A Requesting Data...</v>
      </c>
      <c r="B6" t="s">
        <v>21</v>
      </c>
      <c r="C6" t="str">
        <f>_xll.BDP("346748NG Muni","INSURANCE_STATUS")</f>
        <v>#N/A Requesting Data...</v>
      </c>
      <c r="D6" t="str">
        <f>_xll.BDP("346748NG Muni","STATE_CODE")</f>
        <v>#N/A Requesting Data...</v>
      </c>
      <c r="E6" t="str">
        <f>_xll.BDP("346748NG Muni","COUNTY_LOCATION_ISSUER")</f>
        <v>#N/A Requesting Data...</v>
      </c>
      <c r="F6" t="str">
        <f>_xll.BDP("346748NG Muni","DUR_ADJ_MID")</f>
        <v>#N/A Requesting Data...</v>
      </c>
      <c r="G6" t="str">
        <f>_xll.BDP("346748NG Muni","SPREAD_AT_ISSUANCE_TO_WORST")</f>
        <v>#N/A Requesting Data...</v>
      </c>
      <c r="H6" t="str">
        <f>_xll.BDP("346748NG Muni","ISSUE_DT")</f>
        <v>#N/A Requesting Data...</v>
      </c>
      <c r="I6" t="str">
        <f>_xll.BDS("346748NG Muni","MUNI_PURPOSE_SCHED", "aggregate=y")</f>
        <v>#N/A Requesting Data...</v>
      </c>
      <c r="J6" t="str">
        <f>_xll.BDP("346748NG Muni","CPN")</f>
        <v>#N/A Requesting Data...</v>
      </c>
      <c r="K6" t="str">
        <f>_xll.BDP("346748NG Muni","MATURITY")</f>
        <v>#N/A Requesting Data...</v>
      </c>
      <c r="L6">
        <v>210000</v>
      </c>
      <c r="M6" t="str">
        <f>_xll.BDP("346748NG Muni","YIELD_ON_ISSUE_DATE")</f>
        <v>#N/A Requesting Data...</v>
      </c>
      <c r="N6" t="str">
        <f>_xll.BDP("346748NG Muni","YTW_SPREAD_TO_MATURITY_AT_ISSU")</f>
        <v>#N/A Requesting Data...</v>
      </c>
      <c r="O6" t="str">
        <f>_xll.BDP("346748NG Muni","BVAL_MID_YTM")</f>
        <v>#N/A Requesting Data...</v>
      </c>
      <c r="P6" t="str">
        <f>_xll.BDP("346748NG Muni","MUNI_TAX_PROV")</f>
        <v>#N/A Requesting Data...</v>
      </c>
      <c r="Q6" t="str">
        <f>_xll.BDP("346748NG Muni","MUNI_FED_TAX")</f>
        <v>#N/A Requesting Data...</v>
      </c>
      <c r="R6" t="str">
        <f>_xll.BDP("346748NG Muni","MUNI_MSRB_VOLUME")</f>
        <v>#N/A Requesting Data...</v>
      </c>
      <c r="S6" t="str">
        <f>_xll.BDP("346748NG Muni","BB_COMPOSITE")</f>
        <v>#N/A Requesting Data...</v>
      </c>
      <c r="T6" t="str">
        <f>_xll.BDP("346748NG Muni","LQA_LIQUIDITY_SCORE")</f>
        <v>#N/A Requesting Data...</v>
      </c>
    </row>
    <row r="7" spans="1:20" x14ac:dyDescent="0.25">
      <c r="A7" t="str">
        <f>_xll.BDP("3434875Q Muni","ID_CUSIP")</f>
        <v>#N/A Requesting Data...</v>
      </c>
      <c r="B7" t="s">
        <v>20</v>
      </c>
      <c r="C7" t="str">
        <f>_xll.BDP("3434875Q Muni","INSURANCE_STATUS")</f>
        <v>#N/A Requesting Data...</v>
      </c>
      <c r="D7" t="str">
        <f>_xll.BDP("3434875Q Muni","STATE_CODE")</f>
        <v>#N/A Requesting Data...</v>
      </c>
      <c r="E7" t="str">
        <f>_xll.BDP("3434875Q Muni","COUNTY_LOCATION_ISSUER")</f>
        <v>#N/A Requesting Data...</v>
      </c>
      <c r="F7" t="str">
        <f>_xll.BDP("3434875Q Muni","DUR_ADJ_MID")</f>
        <v>#N/A Requesting Data...</v>
      </c>
      <c r="G7" t="str">
        <f>_xll.BDP("3434875Q Muni","SPREAD_AT_ISSUANCE_TO_WORST")</f>
        <v>#N/A Requesting Data...</v>
      </c>
      <c r="H7" t="str">
        <f>_xll.BDP("3434875Q Muni","ISSUE_DT")</f>
        <v>#N/A Requesting Data...</v>
      </c>
      <c r="I7" t="str">
        <f>_xll.BDS("3434875Q Muni","MUNI_PURPOSE_SCHED", "aggregate=y")</f>
        <v>#N/A Requesting Data...</v>
      </c>
      <c r="J7" t="str">
        <f>_xll.BDP("3434875Q Muni","CPN")</f>
        <v>#N/A Requesting Data...</v>
      </c>
      <c r="K7" t="str">
        <f>_xll.BDP("3434875Q Muni","MATURITY")</f>
        <v>#N/A Requesting Data...</v>
      </c>
      <c r="L7">
        <v>380000</v>
      </c>
      <c r="M7" t="str">
        <f>_xll.BDP("3434875Q Muni","YIELD_ON_ISSUE_DATE")</f>
        <v>#N/A Requesting Data...</v>
      </c>
      <c r="N7" t="str">
        <f>_xll.BDP("3434875Q Muni","YTW_SPREAD_TO_MATURITY_AT_ISSU")</f>
        <v>#N/A Requesting Data...</v>
      </c>
      <c r="O7" t="str">
        <f>_xll.BDP("3434875Q Muni","BVAL_MID_YTM")</f>
        <v>#N/A Requesting Data...</v>
      </c>
      <c r="P7" t="str">
        <f>_xll.BDP("3434875Q Muni","MUNI_TAX_PROV")</f>
        <v>#N/A Requesting Data...</v>
      </c>
      <c r="Q7" t="str">
        <f>_xll.BDP("3434875Q Muni","MUNI_FED_TAX")</f>
        <v>#N/A Requesting Data...</v>
      </c>
      <c r="R7" t="str">
        <f>_xll.BDP("3434875Q Muni","MUNI_MSRB_VOLUME")</f>
        <v>#N/A Requesting Data...</v>
      </c>
      <c r="S7" t="str">
        <f>_xll.BDP("3434875Q Muni","BB_COMPOSITE")</f>
        <v>#N/A Requesting Data...</v>
      </c>
      <c r="T7" t="str">
        <f>_xll.BDP("3434875Q Muni","LQA_LIQUIDITY_SCORE")</f>
        <v>#N/A Requesting Data...</v>
      </c>
    </row>
    <row r="8" spans="1:20" x14ac:dyDescent="0.25">
      <c r="A8" t="str">
        <f>_xll.BDP("3434875U Muni","ID_CUSIP")</f>
        <v>#N/A Requesting Data...</v>
      </c>
      <c r="B8" t="s">
        <v>20</v>
      </c>
      <c r="C8" t="str">
        <f>_xll.BDP("3434875U Muni","INSURANCE_STATUS")</f>
        <v>#N/A Requesting Data...</v>
      </c>
      <c r="D8" t="str">
        <f>_xll.BDP("3434875U Muni","STATE_CODE")</f>
        <v>#N/A Requesting Data...</v>
      </c>
      <c r="E8" t="str">
        <f>_xll.BDP("3434875U Muni","COUNTY_LOCATION_ISSUER")</f>
        <v>#N/A Requesting Data...</v>
      </c>
      <c r="F8" t="str">
        <f>_xll.BDP("3434875U Muni","DUR_ADJ_MID")</f>
        <v>#N/A Requesting Data...</v>
      </c>
      <c r="G8" t="str">
        <f>_xll.BDP("3434875U Muni","SPREAD_AT_ISSUANCE_TO_WORST")</f>
        <v>#N/A Requesting Data...</v>
      </c>
      <c r="H8" t="str">
        <f>_xll.BDP("3434875U Muni","ISSUE_DT")</f>
        <v>#N/A Requesting Data...</v>
      </c>
      <c r="I8" t="str">
        <f>_xll.BDS("3434875U Muni","MUNI_PURPOSE_SCHED", "aggregate=y")</f>
        <v>#N/A Requesting Data...</v>
      </c>
      <c r="J8" t="str">
        <f>_xll.BDP("3434875U Muni","CPN")</f>
        <v>#N/A Requesting Data...</v>
      </c>
      <c r="K8" t="str">
        <f>_xll.BDP("3434875U Muni","MATURITY")</f>
        <v>#N/A Requesting Data...</v>
      </c>
      <c r="L8">
        <v>455000</v>
      </c>
      <c r="M8" t="str">
        <f>_xll.BDP("3434875U Muni","YIELD_ON_ISSUE_DATE")</f>
        <v>#N/A Requesting Data...</v>
      </c>
      <c r="N8" t="str">
        <f>_xll.BDP("3434875U Muni","YTW_SPREAD_TO_MATURITY_AT_ISSU")</f>
        <v>#N/A Requesting Data...</v>
      </c>
      <c r="O8" t="str">
        <f>_xll.BDP("3434875U Muni","BVAL_MID_YTM")</f>
        <v>#N/A Requesting Data...</v>
      </c>
      <c r="P8" t="str">
        <f>_xll.BDP("3434875U Muni","MUNI_TAX_PROV")</f>
        <v>#N/A Requesting Data...</v>
      </c>
      <c r="Q8" t="str">
        <f>_xll.BDP("3434875U Muni","MUNI_FED_TAX")</f>
        <v>#N/A Requesting Data...</v>
      </c>
      <c r="R8" t="str">
        <f>_xll.BDP("3434875U Muni","MUNI_MSRB_VOLUME")</f>
        <v>#N/A Requesting Data...</v>
      </c>
      <c r="S8" t="str">
        <f>_xll.BDP("3434875U Muni","BB_COMPOSITE")</f>
        <v>#N/A Requesting Data...</v>
      </c>
      <c r="T8" t="str">
        <f>_xll.BDP("3434875U Muni","LQA_LIQUIDITY_SCORE")</f>
        <v>#N/A Requesting Data...</v>
      </c>
    </row>
    <row r="9" spans="1:20" x14ac:dyDescent="0.25">
      <c r="A9" t="str">
        <f>_xll.BDP("24880EDB Muni","ID_CUSIP")</f>
        <v>#N/A Requesting Data...</v>
      </c>
      <c r="B9" t="s">
        <v>23</v>
      </c>
      <c r="C9" t="str">
        <f>_xll.BDP("24880EDB Muni","INSURANCE_STATUS")</f>
        <v>#N/A Requesting Data...</v>
      </c>
      <c r="D9" t="str">
        <f>_xll.BDP("24880EDB Muni","STATE_CODE")</f>
        <v>#N/A Requesting Data...</v>
      </c>
      <c r="E9" t="str">
        <f>_xll.BDP("24880EDB Muni","COUNTY_LOCATION_ISSUER")</f>
        <v>#N/A Requesting Data...</v>
      </c>
      <c r="F9" t="str">
        <f>_xll.BDP("24880EDB Muni","DUR_ADJ_MID")</f>
        <v>#N/A Requesting Data...</v>
      </c>
      <c r="G9" t="str">
        <f>_xll.BDP("24880EDB Muni","SPREAD_AT_ISSUANCE_TO_WORST")</f>
        <v>#N/A Requesting Data...</v>
      </c>
      <c r="H9" t="str">
        <f>_xll.BDP("24880EDB Muni","ISSUE_DT")</f>
        <v>#N/A Requesting Data...</v>
      </c>
      <c r="I9" t="str">
        <f>_xll.BDS("24880EDB Muni","MUNI_PURPOSE_SCHED", "aggregate=y")</f>
        <v>#N/A Requesting Data...</v>
      </c>
      <c r="J9" t="str">
        <f>_xll.BDP("24880EDB Muni","CPN")</f>
        <v>#N/A Requesting Data...</v>
      </c>
      <c r="K9" t="str">
        <f>_xll.BDP("24880EDB Muni","MATURITY")</f>
        <v>#N/A Requesting Data...</v>
      </c>
      <c r="L9">
        <v>95000</v>
      </c>
      <c r="M9" t="str">
        <f>_xll.BDP("24880EDB Muni","YIELD_ON_ISSUE_DATE")</f>
        <v>#N/A Requesting Data...</v>
      </c>
      <c r="N9" t="str">
        <f>_xll.BDP("24880EDB Muni","YTW_SPREAD_TO_MATURITY_AT_ISSU")</f>
        <v>#N/A Requesting Data...</v>
      </c>
      <c r="O9" t="str">
        <f>_xll.BDP("24880EDB Muni","BVAL_MID_YTM")</f>
        <v>#N/A Requesting Data...</v>
      </c>
      <c r="P9" t="str">
        <f>_xll.BDP("24880EDB Muni","MUNI_TAX_PROV")</f>
        <v>#N/A Requesting Data...</v>
      </c>
      <c r="Q9" t="str">
        <f>_xll.BDP("24880EDB Muni","MUNI_FED_TAX")</f>
        <v>#N/A Requesting Data...</v>
      </c>
      <c r="R9" t="str">
        <f>_xll.BDP("24880EDB Muni","MUNI_MSRB_VOLUME")</f>
        <v>#N/A Requesting Data...</v>
      </c>
      <c r="S9" t="str">
        <f>_xll.BDP("24880EDB Muni","BB_COMPOSITE")</f>
        <v>#N/A Requesting Data...</v>
      </c>
      <c r="T9" t="str">
        <f>_xll.BDP("24880EDB Muni","LQA_LIQUIDITY_SCORE")</f>
        <v>#N/A Requesting Data...</v>
      </c>
    </row>
    <row r="10" spans="1:20" x14ac:dyDescent="0.25">
      <c r="A10" t="str">
        <f>_xll.BDP("221843EA Muni","ID_CUSIP")</f>
        <v>#N/A Requesting Data...</v>
      </c>
      <c r="B10" t="s">
        <v>24</v>
      </c>
      <c r="C10" t="str">
        <f>_xll.BDP("221843EA Muni","INSURANCE_STATUS")</f>
        <v>#N/A Requesting Data...</v>
      </c>
      <c r="D10" t="str">
        <f>_xll.BDP("221843EA Muni","STATE_CODE")</f>
        <v>#N/A Requesting Data...</v>
      </c>
      <c r="E10" t="str">
        <f>_xll.BDP("221843EA Muni","COUNTY_LOCATION_ISSUER")</f>
        <v>#N/A Requesting Data...</v>
      </c>
      <c r="F10" t="str">
        <f>_xll.BDP("221843EA Muni","DUR_ADJ_MID")</f>
        <v>#N/A Requesting Data...</v>
      </c>
      <c r="G10" t="str">
        <f>_xll.BDP("221843EA Muni","SPREAD_AT_ISSUANCE_TO_WORST")</f>
        <v>#N/A Requesting Data...</v>
      </c>
      <c r="H10" t="str">
        <f>_xll.BDP("221843EA Muni","ISSUE_DT")</f>
        <v>#N/A Requesting Data...</v>
      </c>
      <c r="I10" t="str">
        <f>_xll.BDS("221843EA Muni","MUNI_PURPOSE_SCHED", "aggregate=y")</f>
        <v>#N/A Requesting Data...</v>
      </c>
      <c r="J10" t="str">
        <f>_xll.BDP("221843EA Muni","CPN")</f>
        <v>#N/A Requesting Data...</v>
      </c>
      <c r="K10" t="str">
        <f>_xll.BDP("221843EA Muni","MATURITY")</f>
        <v>#N/A Requesting Data...</v>
      </c>
      <c r="L10">
        <v>100000</v>
      </c>
      <c r="M10" t="str">
        <f>_xll.BDP("221843EA Muni","YIELD_ON_ISSUE_DATE")</f>
        <v>#N/A Requesting Data...</v>
      </c>
      <c r="N10" t="str">
        <f>_xll.BDP("221843EA Muni","YTW_SPREAD_TO_MATURITY_AT_ISSU")</f>
        <v>#N/A Requesting Data...</v>
      </c>
      <c r="O10" t="str">
        <f>_xll.BDP("221843EA Muni","BVAL_MID_YTM")</f>
        <v>#N/A Requesting Data...</v>
      </c>
      <c r="P10" t="str">
        <f>_xll.BDP("221843EA Muni","MUNI_TAX_PROV")</f>
        <v>#N/A Requesting Data...</v>
      </c>
      <c r="Q10" t="str">
        <f>_xll.BDP("221843EA Muni","MUNI_FED_TAX")</f>
        <v>#N/A Requesting Data...</v>
      </c>
      <c r="R10" t="str">
        <f>_xll.BDP("221843EA Muni","MUNI_MSRB_VOLUME")</f>
        <v>#N/A Requesting Data...</v>
      </c>
      <c r="S10" t="str">
        <f>_xll.BDP("221843EA Muni","BB_COMPOSITE")</f>
        <v>#N/A Requesting Data...</v>
      </c>
      <c r="T10" t="str">
        <f>_xll.BDP("221843EA Muni","LQA_LIQUIDITY_SCORE")</f>
        <v>#N/A Requesting Data...</v>
      </c>
    </row>
    <row r="11" spans="1:20" x14ac:dyDescent="0.25">
      <c r="A11" t="str">
        <f>_xll.BDP("221843EC Muni","ID_CUSIP")</f>
        <v>#N/A Requesting Data...</v>
      </c>
      <c r="B11" t="s">
        <v>24</v>
      </c>
      <c r="C11" t="str">
        <f>_xll.BDP("221843EC Muni","INSURANCE_STATUS")</f>
        <v>#N/A Requesting Data...</v>
      </c>
      <c r="D11" t="str">
        <f>_xll.BDP("221843EC Muni","STATE_CODE")</f>
        <v>#N/A Requesting Data...</v>
      </c>
      <c r="E11" t="str">
        <f>_xll.BDP("221843EC Muni","COUNTY_LOCATION_ISSUER")</f>
        <v>#N/A Requesting Data...</v>
      </c>
      <c r="F11" t="str">
        <f>_xll.BDP("221843EC Muni","DUR_ADJ_MID")</f>
        <v>#N/A Requesting Data...</v>
      </c>
      <c r="G11" t="str">
        <f>_xll.BDP("221843EC Muni","SPREAD_AT_ISSUANCE_TO_WORST")</f>
        <v>#N/A Requesting Data...</v>
      </c>
      <c r="H11" t="str">
        <f>_xll.BDP("221843EC Muni","ISSUE_DT")</f>
        <v>#N/A Requesting Data...</v>
      </c>
      <c r="I11" t="str">
        <f>_xll.BDS("221843EC Muni","MUNI_PURPOSE_SCHED", "aggregate=y")</f>
        <v>#N/A Requesting Data...</v>
      </c>
      <c r="J11" t="str">
        <f>_xll.BDP("221843EC Muni","CPN")</f>
        <v>#N/A Requesting Data...</v>
      </c>
      <c r="K11" t="str">
        <f>_xll.BDP("221843EC Muni","MATURITY")</f>
        <v>#N/A Requesting Data...</v>
      </c>
      <c r="L11">
        <v>110000</v>
      </c>
      <c r="M11" t="str">
        <f>_xll.BDP("221843EC Muni","YIELD_ON_ISSUE_DATE")</f>
        <v>#N/A Requesting Data...</v>
      </c>
      <c r="N11" t="str">
        <f>_xll.BDP("221843EC Muni","YTW_SPREAD_TO_MATURITY_AT_ISSU")</f>
        <v>#N/A Requesting Data...</v>
      </c>
      <c r="O11" t="str">
        <f>_xll.BDP("221843EC Muni","BVAL_MID_YTM")</f>
        <v>#N/A Requesting Data...</v>
      </c>
      <c r="P11" t="str">
        <f>_xll.BDP("221843EC Muni","MUNI_TAX_PROV")</f>
        <v>#N/A Requesting Data...</v>
      </c>
      <c r="Q11" t="str">
        <f>_xll.BDP("221843EC Muni","MUNI_FED_TAX")</f>
        <v>#N/A Requesting Data...</v>
      </c>
      <c r="R11" t="str">
        <f>_xll.BDP("221843EC Muni","MUNI_MSRB_VOLUME")</f>
        <v>#N/A Requesting Data...</v>
      </c>
      <c r="S11" t="str">
        <f>_xll.BDP("221843EC Muni","BB_COMPOSITE")</f>
        <v>#N/A Requesting Data...</v>
      </c>
      <c r="T11" t="str">
        <f>_xll.BDP("221843EC Muni","LQA_LIQUIDITY_SCORE")</f>
        <v>#N/A Requesting Data...</v>
      </c>
    </row>
    <row r="12" spans="1:20" x14ac:dyDescent="0.25">
      <c r="A12" t="str">
        <f>_xll.BDP("345555JJ Muni","ID_CUSIP")</f>
        <v>#N/A Requesting Data...</v>
      </c>
      <c r="B12" t="s">
        <v>22</v>
      </c>
      <c r="C12" t="str">
        <f>_xll.BDP("345555JJ Muni","INSURANCE_STATUS")</f>
        <v>#N/A Requesting Data...</v>
      </c>
      <c r="D12" t="str">
        <f>_xll.BDP("345555JJ Muni","STATE_CODE")</f>
        <v>#N/A Requesting Data...</v>
      </c>
      <c r="E12" t="str">
        <f>_xll.BDP("345555JJ Muni","COUNTY_LOCATION_ISSUER")</f>
        <v>#N/A Requesting Data...</v>
      </c>
      <c r="F12" t="str">
        <f>_xll.BDP("345555JJ Muni","DUR_ADJ_MID")</f>
        <v>#N/A Requesting Data...</v>
      </c>
      <c r="G12" t="str">
        <f>_xll.BDP("345555JJ Muni","SPREAD_AT_ISSUANCE_TO_WORST")</f>
        <v>#N/A Requesting Data...</v>
      </c>
      <c r="H12" t="str">
        <f>_xll.BDP("345555JJ Muni","ISSUE_DT")</f>
        <v>#N/A Requesting Data...</v>
      </c>
      <c r="I12" t="str">
        <f>_xll.BDS("345555JJ Muni","MUNI_PURPOSE_SCHED", "aggregate=y")</f>
        <v>#N/A Requesting Data...</v>
      </c>
      <c r="J12" t="str">
        <f>_xll.BDP("345555JJ Muni","CPN")</f>
        <v>#N/A Requesting Data...</v>
      </c>
      <c r="K12" t="str">
        <f>_xll.BDP("345555JJ Muni","MATURITY")</f>
        <v>#N/A Requesting Data...</v>
      </c>
      <c r="L12">
        <v>245000</v>
      </c>
      <c r="M12" t="str">
        <f>_xll.BDP("345555JJ Muni","YIELD_ON_ISSUE_DATE")</f>
        <v>#N/A Requesting Data...</v>
      </c>
      <c r="N12" t="str">
        <f>_xll.BDP("345555JJ Muni","YTW_SPREAD_TO_MATURITY_AT_ISSU")</f>
        <v>#N/A Requesting Data...</v>
      </c>
      <c r="O12" t="str">
        <f>_xll.BDP("345555JJ Muni","BVAL_MID_YTM")</f>
        <v>#N/A Requesting Data...</v>
      </c>
      <c r="P12" t="str">
        <f>_xll.BDP("345555JJ Muni","MUNI_TAX_PROV")</f>
        <v>#N/A Requesting Data...</v>
      </c>
      <c r="Q12" t="str">
        <f>_xll.BDP("345555JJ Muni","MUNI_FED_TAX")</f>
        <v>#N/A Requesting Data...</v>
      </c>
      <c r="R12" t="str">
        <f>_xll.BDP("345555JJ Muni","MUNI_MSRB_VOLUME")</f>
        <v>#N/A Requesting Data...</v>
      </c>
      <c r="S12" t="str">
        <f>_xll.BDP("345555JJ Muni","BB_COMPOSITE")</f>
        <v>#N/A Requesting Data...</v>
      </c>
      <c r="T12" t="str">
        <f>_xll.BDP("345555JJ Muni","LQA_LIQUIDITY_SCORE")</f>
        <v>#N/A Requesting Data...</v>
      </c>
    </row>
    <row r="13" spans="1:20" x14ac:dyDescent="0.25">
      <c r="A13" t="str">
        <f>_xll.BDP("106053FY Muni","ID_CUSIP")</f>
        <v>#N/A Requesting Data...</v>
      </c>
      <c r="B13" t="s">
        <v>25</v>
      </c>
      <c r="C13" t="str">
        <f>_xll.BDP("106053FY Muni","INSURANCE_STATUS")</f>
        <v>#N/A Requesting Data...</v>
      </c>
      <c r="D13" t="str">
        <f>_xll.BDP("106053FY Muni","STATE_CODE")</f>
        <v>#N/A Requesting Data...</v>
      </c>
      <c r="E13" t="str">
        <f>_xll.BDP("106053FY Muni","COUNTY_LOCATION_ISSUER")</f>
        <v>#N/A Requesting Data...</v>
      </c>
      <c r="F13" t="str">
        <f>_xll.BDP("106053FY Muni","DUR_ADJ_MID")</f>
        <v>#N/A Requesting Data...</v>
      </c>
      <c r="G13" t="str">
        <f>_xll.BDP("106053FY Muni","SPREAD_AT_ISSUANCE_TO_WORST")</f>
        <v>#N/A Requesting Data...</v>
      </c>
      <c r="H13" t="str">
        <f>_xll.BDP("106053FY Muni","ISSUE_DT")</f>
        <v>#N/A Requesting Data...</v>
      </c>
      <c r="I13" t="str">
        <f>_xll.BDS("106053FY Muni","MUNI_PURPOSE_SCHED", "aggregate=y")</f>
        <v>#N/A Requesting Data...</v>
      </c>
      <c r="J13" t="str">
        <f>_xll.BDP("106053FY Muni","CPN")</f>
        <v>#N/A Requesting Data...</v>
      </c>
      <c r="K13" t="str">
        <f>_xll.BDP("106053FY Muni","MATURITY")</f>
        <v>#N/A Requesting Data...</v>
      </c>
      <c r="L13">
        <v>70000</v>
      </c>
      <c r="M13" t="str">
        <f>_xll.BDP("106053FY Muni","YIELD_ON_ISSUE_DATE")</f>
        <v>#N/A Requesting Data...</v>
      </c>
      <c r="N13" t="str">
        <f>_xll.BDP("106053FY Muni","YTW_SPREAD_TO_MATURITY_AT_ISSU")</f>
        <v>#N/A Requesting Data...</v>
      </c>
      <c r="O13" t="str">
        <f>_xll.BDP("106053FY Muni","BVAL_MID_YTM")</f>
        <v>#N/A Requesting Data...</v>
      </c>
      <c r="P13" t="str">
        <f>_xll.BDP("106053FY Muni","MUNI_TAX_PROV")</f>
        <v>#N/A Requesting Data...</v>
      </c>
      <c r="Q13" t="str">
        <f>_xll.BDP("106053FY Muni","MUNI_FED_TAX")</f>
        <v>#N/A Requesting Data...</v>
      </c>
      <c r="R13" t="str">
        <f>_xll.BDP("106053FY Muni","MUNI_MSRB_VOLUME")</f>
        <v>#N/A Requesting Data...</v>
      </c>
      <c r="S13" t="str">
        <f>_xll.BDP("106053FY Muni","BB_COMPOSITE")</f>
        <v>#N/A Requesting Data...</v>
      </c>
      <c r="T13" t="str">
        <f>_xll.BDP("106053FY Muni","LQA_LIQUIDITY_SCORE")</f>
        <v>#N/A Requesting Data...</v>
      </c>
    </row>
    <row r="14" spans="1:20" x14ac:dyDescent="0.25">
      <c r="A14" t="str">
        <f>_xll.BDP("10605QCE Muni","ID_CUSIP")</f>
        <v>#N/A Requesting Data...</v>
      </c>
      <c r="B14" t="s">
        <v>26</v>
      </c>
      <c r="C14" t="str">
        <f>_xll.BDP("10605QCE Muni","INSURANCE_STATUS")</f>
        <v>#N/A Requesting Data...</v>
      </c>
      <c r="D14" t="str">
        <f>_xll.BDP("10605QCE Muni","STATE_CODE")</f>
        <v>#N/A Requesting Data...</v>
      </c>
      <c r="E14" t="str">
        <f>_xll.BDP("10605QCE Muni","COUNTY_LOCATION_ISSUER")</f>
        <v>#N/A Requesting Data...</v>
      </c>
      <c r="F14" t="str">
        <f>_xll.BDP("10605QCE Muni","DUR_ADJ_MID")</f>
        <v>#N/A Requesting Data...</v>
      </c>
      <c r="G14" t="str">
        <f>_xll.BDP("10605QCE Muni","SPREAD_AT_ISSUANCE_TO_WORST")</f>
        <v>#N/A Requesting Data...</v>
      </c>
      <c r="H14" t="str">
        <f>_xll.BDP("10605QCE Muni","ISSUE_DT")</f>
        <v>#N/A Requesting Data...</v>
      </c>
      <c r="I14" t="str">
        <f>_xll.BDS("10605QCE Muni","MUNI_PURPOSE_SCHED", "aggregate=y")</f>
        <v>#N/A Requesting Data...</v>
      </c>
      <c r="J14" t="str">
        <f>_xll.BDP("10605QCE Muni","CPN")</f>
        <v>#N/A Requesting Data...</v>
      </c>
      <c r="K14" t="str">
        <f>_xll.BDP("10605QCE Muni","MATURITY")</f>
        <v>#N/A Requesting Data...</v>
      </c>
      <c r="L14">
        <v>150000</v>
      </c>
      <c r="M14" t="str">
        <f>_xll.BDP("10605QCE Muni","YIELD_ON_ISSUE_DATE")</f>
        <v>#N/A Requesting Data...</v>
      </c>
      <c r="N14" t="str">
        <f>_xll.BDP("10605QCE Muni","YTW_SPREAD_TO_MATURITY_AT_ISSU")</f>
        <v>#N/A Requesting Data...</v>
      </c>
      <c r="O14" t="str">
        <f>_xll.BDP("10605QCE Muni","BVAL_MID_YTM")</f>
        <v>#N/A Requesting Data...</v>
      </c>
      <c r="P14" t="str">
        <f>_xll.BDP("10605QCE Muni","MUNI_TAX_PROV")</f>
        <v>#N/A Requesting Data...</v>
      </c>
      <c r="Q14" t="str">
        <f>_xll.BDP("10605QCE Muni","MUNI_FED_TAX")</f>
        <v>#N/A Requesting Data...</v>
      </c>
      <c r="R14" t="str">
        <f>_xll.BDP("10605QCE Muni","MUNI_MSRB_VOLUME")</f>
        <v>#N/A Requesting Data...</v>
      </c>
      <c r="S14" t="str">
        <f>_xll.BDP("10605QCE Muni","BB_COMPOSITE")</f>
        <v>#N/A Requesting Data...</v>
      </c>
      <c r="T14" t="str">
        <f>_xll.BDP("10605QCE Muni","LQA_LIQUIDITY_SCORE")</f>
        <v>#N/A Requesting Data...</v>
      </c>
    </row>
    <row r="15" spans="1:20" x14ac:dyDescent="0.25">
      <c r="A15" t="str">
        <f>_xll.BDP("10605QCF Muni","ID_CUSIP")</f>
        <v>#N/A Requesting Data...</v>
      </c>
      <c r="B15" t="s">
        <v>26</v>
      </c>
      <c r="C15" t="str">
        <f>_xll.BDP("10605QCF Muni","INSURANCE_STATUS")</f>
        <v>#N/A Requesting Data...</v>
      </c>
      <c r="D15" t="str">
        <f>_xll.BDP("10605QCF Muni","STATE_CODE")</f>
        <v>#N/A Requesting Data...</v>
      </c>
      <c r="E15" t="str">
        <f>_xll.BDP("10605QCF Muni","COUNTY_LOCATION_ISSUER")</f>
        <v>#N/A Requesting Data...</v>
      </c>
      <c r="F15" t="str">
        <f>_xll.BDP("10605QCF Muni","DUR_ADJ_MID")</f>
        <v>#N/A Requesting Data...</v>
      </c>
      <c r="G15" t="str">
        <f>_xll.BDP("10605QCF Muni","SPREAD_AT_ISSUANCE_TO_WORST")</f>
        <v>#N/A Requesting Data...</v>
      </c>
      <c r="H15" t="str">
        <f>_xll.BDP("10605QCF Muni","ISSUE_DT")</f>
        <v>#N/A Requesting Data...</v>
      </c>
      <c r="I15" t="str">
        <f>_xll.BDS("10605QCF Muni","MUNI_PURPOSE_SCHED", "aggregate=y")</f>
        <v>#N/A Requesting Data...</v>
      </c>
      <c r="J15" t="str">
        <f>_xll.BDP("10605QCF Muni","CPN")</f>
        <v>#N/A Requesting Data...</v>
      </c>
      <c r="K15" t="str">
        <f>_xll.BDP("10605QCF Muni","MATURITY")</f>
        <v>#N/A Requesting Data...</v>
      </c>
      <c r="L15">
        <v>155000</v>
      </c>
      <c r="M15" t="str">
        <f>_xll.BDP("10605QCF Muni","YIELD_ON_ISSUE_DATE")</f>
        <v>#N/A Requesting Data...</v>
      </c>
      <c r="N15" t="str">
        <f>_xll.BDP("10605QCF Muni","YTW_SPREAD_TO_MATURITY_AT_ISSU")</f>
        <v>#N/A Requesting Data...</v>
      </c>
      <c r="O15" t="str">
        <f>_xll.BDP("10605QCF Muni","BVAL_MID_YTM")</f>
        <v>#N/A Requesting Data...</v>
      </c>
      <c r="P15" t="str">
        <f>_xll.BDP("10605QCF Muni","MUNI_TAX_PROV")</f>
        <v>#N/A Requesting Data...</v>
      </c>
      <c r="Q15" t="str">
        <f>_xll.BDP("10605QCF Muni","MUNI_FED_TAX")</f>
        <v>#N/A Requesting Data...</v>
      </c>
      <c r="R15" t="str">
        <f>_xll.BDP("10605QCF Muni","MUNI_MSRB_VOLUME")</f>
        <v>#N/A Requesting Data...</v>
      </c>
      <c r="S15" t="str">
        <f>_xll.BDP("10605QCF Muni","BB_COMPOSITE")</f>
        <v>#N/A Requesting Data...</v>
      </c>
      <c r="T15" t="str">
        <f>_xll.BDP("10605QCF Muni","LQA_LIQUIDITY_SCORE")</f>
        <v>#N/A Requesting Data...</v>
      </c>
    </row>
    <row r="16" spans="1:20" x14ac:dyDescent="0.25">
      <c r="A16" t="str">
        <f>_xll.BDP("10606KGZ Muni","ID_CUSIP")</f>
        <v>#N/A Requesting Data...</v>
      </c>
      <c r="B16" t="s">
        <v>27</v>
      </c>
      <c r="C16" t="str">
        <f>_xll.BDP("10606KGZ Muni","INSURANCE_STATUS")</f>
        <v>#N/A Requesting Data...</v>
      </c>
      <c r="D16" t="str">
        <f>_xll.BDP("10606KGZ Muni","STATE_CODE")</f>
        <v>#N/A Requesting Data...</v>
      </c>
      <c r="E16" t="str">
        <f>_xll.BDP("10606KGZ Muni","COUNTY_LOCATION_ISSUER")</f>
        <v>#N/A Requesting Data...</v>
      </c>
      <c r="F16" t="str">
        <f>_xll.BDP("10606KGZ Muni","DUR_ADJ_MID")</f>
        <v>#N/A Requesting Data...</v>
      </c>
      <c r="G16" t="str">
        <f>_xll.BDP("10606KGZ Muni","SPREAD_AT_ISSUANCE_TO_WORST")</f>
        <v>#N/A Requesting Data...</v>
      </c>
      <c r="H16" t="str">
        <f>_xll.BDP("10606KGZ Muni","ISSUE_DT")</f>
        <v>#N/A Requesting Data...</v>
      </c>
      <c r="I16" t="str">
        <f>_xll.BDS("10606KGZ Muni","MUNI_PURPOSE_SCHED", "aggregate=y")</f>
        <v>#N/A Requesting Data...</v>
      </c>
      <c r="J16" t="str">
        <f>_xll.BDP("10606KGZ Muni","CPN")</f>
        <v>#N/A Requesting Data...</v>
      </c>
      <c r="K16" t="str">
        <f>_xll.BDP("10606KGZ Muni","MATURITY")</f>
        <v>#N/A Requesting Data...</v>
      </c>
      <c r="L16">
        <v>250000</v>
      </c>
      <c r="M16" t="str">
        <f>_xll.BDP("10606KGZ Muni","YIELD_ON_ISSUE_DATE")</f>
        <v>#N/A Requesting Data...</v>
      </c>
      <c r="N16" t="str">
        <f>_xll.BDP("10606KGZ Muni","YTW_SPREAD_TO_MATURITY_AT_ISSU")</f>
        <v>#N/A Requesting Data...</v>
      </c>
      <c r="O16" t="str">
        <f>_xll.BDP("10606KGZ Muni","BVAL_MID_YTM")</f>
        <v>#N/A Requesting Data...</v>
      </c>
      <c r="P16" t="str">
        <f>_xll.BDP("10606KGZ Muni","MUNI_TAX_PROV")</f>
        <v>#N/A Requesting Data...</v>
      </c>
      <c r="Q16" t="str">
        <f>_xll.BDP("10606KGZ Muni","MUNI_FED_TAX")</f>
        <v>#N/A Requesting Data...</v>
      </c>
      <c r="R16" t="str">
        <f>_xll.BDP("10606KGZ Muni","MUNI_MSRB_VOLUME")</f>
        <v>#N/A Requesting Data...</v>
      </c>
      <c r="S16" t="str">
        <f>_xll.BDP("10606KGZ Muni","BB_COMPOSITE")</f>
        <v>#N/A Requesting Data...</v>
      </c>
      <c r="T16" t="str">
        <f>_xll.BDP("10606KGZ Muni","LQA_LIQUIDITY_SCORE")</f>
        <v>#N/A Requesting Data...</v>
      </c>
    </row>
    <row r="17" spans="1:20" x14ac:dyDescent="0.25">
      <c r="A17" t="str">
        <f>_xll.BDP("10606LAC Muni","ID_CUSIP")</f>
        <v>#N/A Requesting Data...</v>
      </c>
      <c r="B17" t="s">
        <v>28</v>
      </c>
      <c r="C17" t="str">
        <f>_xll.BDP("10606LAC Muni","INSURANCE_STATUS")</f>
        <v>#N/A Requesting Data...</v>
      </c>
      <c r="D17" t="str">
        <f>_xll.BDP("10606LAC Muni","STATE_CODE")</f>
        <v>#N/A Requesting Data...</v>
      </c>
      <c r="E17" t="str">
        <f>_xll.BDP("10606LAC Muni","COUNTY_LOCATION_ISSUER")</f>
        <v>#N/A Requesting Data...</v>
      </c>
      <c r="F17" t="str">
        <f>_xll.BDP("10606LAC Muni","DUR_ADJ_MID")</f>
        <v>#N/A Requesting Data...</v>
      </c>
      <c r="G17" t="str">
        <f>_xll.BDP("10606LAC Muni","SPREAD_AT_ISSUANCE_TO_WORST")</f>
        <v>#N/A Requesting Data...</v>
      </c>
      <c r="H17" t="str">
        <f>_xll.BDP("10606LAC Muni","ISSUE_DT")</f>
        <v>#N/A Requesting Data...</v>
      </c>
      <c r="I17" t="str">
        <f>_xll.BDS("10606LAC Muni","MUNI_PURPOSE_SCHED", "aggregate=y")</f>
        <v>#N/A Requesting Data...</v>
      </c>
      <c r="J17" t="str">
        <f>_xll.BDP("10606LAC Muni","CPN")</f>
        <v>#N/A Requesting Data...</v>
      </c>
      <c r="K17" t="str">
        <f>_xll.BDP("10606LAC Muni","MATURITY")</f>
        <v>#N/A Requesting Data...</v>
      </c>
      <c r="L17">
        <v>80000</v>
      </c>
      <c r="M17" t="str">
        <f>_xll.BDP("10606LAC Muni","YIELD_ON_ISSUE_DATE")</f>
        <v>#N/A Requesting Data...</v>
      </c>
      <c r="N17" t="str">
        <f>_xll.BDP("10606LAC Muni","YTW_SPREAD_TO_MATURITY_AT_ISSU")</f>
        <v>#N/A Requesting Data...</v>
      </c>
      <c r="O17" t="str">
        <f>_xll.BDP("10606LAC Muni","BVAL_MID_YTM")</f>
        <v>#N/A Requesting Data...</v>
      </c>
      <c r="P17" t="str">
        <f>_xll.BDP("10606LAC Muni","MUNI_TAX_PROV")</f>
        <v>#N/A Requesting Data...</v>
      </c>
      <c r="Q17" t="str">
        <f>_xll.BDP("10606LAC Muni","MUNI_FED_TAX")</f>
        <v>#N/A Requesting Data...</v>
      </c>
      <c r="R17" t="str">
        <f>_xll.BDP("10606LAC Muni","MUNI_MSRB_VOLUME")</f>
        <v>#N/A Requesting Data...</v>
      </c>
      <c r="S17" t="str">
        <f>_xll.BDP("10606LAC Muni","BB_COMPOSITE")</f>
        <v>#N/A Requesting Data...</v>
      </c>
      <c r="T17" t="str">
        <f>_xll.BDP("10606LAC Muni","LQA_LIQUIDITY_SCORE")</f>
        <v>#N/A Requesting Data...</v>
      </c>
    </row>
    <row r="18" spans="1:20" x14ac:dyDescent="0.25">
      <c r="A18" t="str">
        <f>_xll.BDP("10607FDC Muni","ID_CUSIP")</f>
        <v>#N/A Requesting Data...</v>
      </c>
      <c r="B18" t="s">
        <v>29</v>
      </c>
      <c r="C18" t="str">
        <f>_xll.BDP("10607FDC Muni","INSURANCE_STATUS")</f>
        <v>#N/A Requesting Data...</v>
      </c>
      <c r="D18" t="str">
        <f>_xll.BDP("10607FDC Muni","STATE_CODE")</f>
        <v>#N/A Requesting Data...</v>
      </c>
      <c r="E18" t="str">
        <f>_xll.BDP("10607FDC Muni","COUNTY_LOCATION_ISSUER")</f>
        <v>#N/A Requesting Data...</v>
      </c>
      <c r="F18" t="str">
        <f>_xll.BDP("10607FDC Muni","DUR_ADJ_MID")</f>
        <v>#N/A Requesting Data...</v>
      </c>
      <c r="G18" t="str">
        <f>_xll.BDP("10607FDC Muni","SPREAD_AT_ISSUANCE_TO_WORST")</f>
        <v>#N/A Requesting Data...</v>
      </c>
      <c r="H18" t="str">
        <f>_xll.BDP("10607FDC Muni","ISSUE_DT")</f>
        <v>#N/A Requesting Data...</v>
      </c>
      <c r="I18" t="str">
        <f>_xll.BDS("10607FDC Muni","MUNI_PURPOSE_SCHED", "aggregate=y")</f>
        <v>#N/A Requesting Data...</v>
      </c>
      <c r="J18" t="str">
        <f>_xll.BDP("10607FDC Muni","CPN")</f>
        <v>#N/A Requesting Data...</v>
      </c>
      <c r="K18" t="str">
        <f>_xll.BDP("10607FDC Muni","MATURITY")</f>
        <v>#N/A Requesting Data...</v>
      </c>
      <c r="L18">
        <v>115000</v>
      </c>
      <c r="M18" t="str">
        <f>_xll.BDP("10607FDC Muni","YIELD_ON_ISSUE_DATE")</f>
        <v>#N/A Requesting Data...</v>
      </c>
      <c r="N18" t="str">
        <f>_xll.BDP("10607FDC Muni","YTW_SPREAD_TO_MATURITY_AT_ISSU")</f>
        <v>#N/A Requesting Data...</v>
      </c>
      <c r="O18" t="str">
        <f>_xll.BDP("10607FDC Muni","BVAL_MID_YTM")</f>
        <v>#N/A Requesting Data...</v>
      </c>
      <c r="P18" t="str">
        <f>_xll.BDP("10607FDC Muni","MUNI_TAX_PROV")</f>
        <v>#N/A Requesting Data...</v>
      </c>
      <c r="Q18" t="str">
        <f>_xll.BDP("10607FDC Muni","MUNI_FED_TAX")</f>
        <v>#N/A Requesting Data...</v>
      </c>
      <c r="R18" t="str">
        <f>_xll.BDP("10607FDC Muni","MUNI_MSRB_VOLUME")</f>
        <v>#N/A Requesting Data...</v>
      </c>
      <c r="S18" t="str">
        <f>_xll.BDP("10607FDC Muni","BB_COMPOSITE")</f>
        <v>#N/A Requesting Data...</v>
      </c>
      <c r="T18" t="str">
        <f>_xll.BDP("10607FDC Muni","LQA_LIQUIDITY_SCORE")</f>
        <v>#N/A Requesting Data...</v>
      </c>
    </row>
    <row r="19" spans="1:20" x14ac:dyDescent="0.25">
      <c r="A19" t="str">
        <f>_xll.BDP("277587XV Muni","ID_CUSIP")</f>
        <v>#N/A Requesting Data...</v>
      </c>
      <c r="B19" t="s">
        <v>30</v>
      </c>
      <c r="C19" t="str">
        <f>_xll.BDP("277587XV Muni","INSURANCE_STATUS")</f>
        <v>#N/A Requesting Data...</v>
      </c>
      <c r="D19" t="str">
        <f>_xll.BDP("277587XV Muni","STATE_CODE")</f>
        <v>#N/A Requesting Data...</v>
      </c>
      <c r="E19" t="str">
        <f>_xll.BDP("277587XV Muni","COUNTY_LOCATION_ISSUER")</f>
        <v>#N/A Requesting Data...</v>
      </c>
      <c r="F19" t="str">
        <f>_xll.BDP("277587XV Muni","DUR_ADJ_MID")</f>
        <v>#N/A Requesting Data...</v>
      </c>
      <c r="G19" t="str">
        <f>_xll.BDP("277587XV Muni","SPREAD_AT_ISSUANCE_TO_WORST")</f>
        <v>#N/A Requesting Data...</v>
      </c>
      <c r="H19" t="str">
        <f>_xll.BDP("277587XV Muni","ISSUE_DT")</f>
        <v>#N/A Requesting Data...</v>
      </c>
      <c r="I19" t="str">
        <f>_xll.BDS("277587XV Muni","MUNI_PURPOSE_SCHED", "aggregate=y")</f>
        <v>#N/A Requesting Data...</v>
      </c>
      <c r="J19" t="str">
        <f>_xll.BDP("277587XV Muni","CPN")</f>
        <v>#N/A Requesting Data...</v>
      </c>
      <c r="K19" t="str">
        <f>_xll.BDP("277587XV Muni","MATURITY")</f>
        <v>#N/A Requesting Data...</v>
      </c>
      <c r="L19">
        <v>290000</v>
      </c>
      <c r="M19" t="str">
        <f>_xll.BDP("277587XV Muni","YIELD_ON_ISSUE_DATE")</f>
        <v>#N/A Requesting Data...</v>
      </c>
      <c r="N19" t="str">
        <f>_xll.BDP("277587XV Muni","YTW_SPREAD_TO_MATURITY_AT_ISSU")</f>
        <v>#N/A Requesting Data...</v>
      </c>
      <c r="O19" t="str">
        <f>_xll.BDP("277587XV Muni","BVAL_MID_YTM")</f>
        <v>#N/A Requesting Data...</v>
      </c>
      <c r="P19" t="str">
        <f>_xll.BDP("277587XV Muni","MUNI_TAX_PROV")</f>
        <v>#N/A Requesting Data...</v>
      </c>
      <c r="Q19" t="str">
        <f>_xll.BDP("277587XV Muni","MUNI_FED_TAX")</f>
        <v>#N/A Requesting Data...</v>
      </c>
      <c r="R19" t="str">
        <f>_xll.BDP("277587XV Muni","MUNI_MSRB_VOLUME")</f>
        <v>#N/A Requesting Data...</v>
      </c>
      <c r="S19" t="str">
        <f>_xll.BDP("277587XV Muni","BB_COMPOSITE")</f>
        <v>#N/A Requesting Data...</v>
      </c>
      <c r="T19" t="str">
        <f>_xll.BDP("277587XV Muni","LQA_LIQUIDITY_SCORE")</f>
        <v>#N/A Requesting Data...</v>
      </c>
    </row>
    <row r="20" spans="1:20" x14ac:dyDescent="0.25">
      <c r="A20" t="str">
        <f>_xll.BDP("277587XW Muni","ID_CUSIP")</f>
        <v>#N/A Requesting Data...</v>
      </c>
      <c r="B20" t="s">
        <v>30</v>
      </c>
      <c r="C20" t="str">
        <f>_xll.BDP("277587XW Muni","INSURANCE_STATUS")</f>
        <v>#N/A Requesting Data...</v>
      </c>
      <c r="D20" t="str">
        <f>_xll.BDP("277587XW Muni","STATE_CODE")</f>
        <v>#N/A Requesting Data...</v>
      </c>
      <c r="E20" t="str">
        <f>_xll.BDP("277587XW Muni","COUNTY_LOCATION_ISSUER")</f>
        <v>#N/A Requesting Data...</v>
      </c>
      <c r="F20" t="str">
        <f>_xll.BDP("277587XW Muni","DUR_ADJ_MID")</f>
        <v>#N/A Requesting Data...</v>
      </c>
      <c r="G20" t="str">
        <f>_xll.BDP("277587XW Muni","SPREAD_AT_ISSUANCE_TO_WORST")</f>
        <v>#N/A Requesting Data...</v>
      </c>
      <c r="H20" t="str">
        <f>_xll.BDP("277587XW Muni","ISSUE_DT")</f>
        <v>#N/A Requesting Data...</v>
      </c>
      <c r="I20" t="str">
        <f>_xll.BDS("277587XW Muni","MUNI_PURPOSE_SCHED", "aggregate=y")</f>
        <v>#N/A Requesting Data...</v>
      </c>
      <c r="J20" t="str">
        <f>_xll.BDP("277587XW Muni","CPN")</f>
        <v>#N/A Requesting Data...</v>
      </c>
      <c r="K20" t="str">
        <f>_xll.BDP("277587XW Muni","MATURITY")</f>
        <v>#N/A Requesting Data...</v>
      </c>
      <c r="L20">
        <v>180000</v>
      </c>
      <c r="M20" t="str">
        <f>_xll.BDP("277587XW Muni","YIELD_ON_ISSUE_DATE")</f>
        <v>#N/A Requesting Data...</v>
      </c>
      <c r="N20" t="str">
        <f>_xll.BDP("277587XW Muni","YTW_SPREAD_TO_MATURITY_AT_ISSU")</f>
        <v>#N/A Requesting Data...</v>
      </c>
      <c r="O20" t="str">
        <f>_xll.BDP("277587XW Muni","BVAL_MID_YTM")</f>
        <v>#N/A Requesting Data...</v>
      </c>
      <c r="P20" t="str">
        <f>_xll.BDP("277587XW Muni","MUNI_TAX_PROV")</f>
        <v>#N/A Requesting Data...</v>
      </c>
      <c r="Q20" t="str">
        <f>_xll.BDP("277587XW Muni","MUNI_FED_TAX")</f>
        <v>#N/A Requesting Data...</v>
      </c>
      <c r="R20" t="str">
        <f>_xll.BDP("277587XW Muni","MUNI_MSRB_VOLUME")</f>
        <v>#N/A Requesting Data...</v>
      </c>
      <c r="S20" t="str">
        <f>_xll.BDP("277587XW Muni","BB_COMPOSITE")</f>
        <v>#N/A Requesting Data...</v>
      </c>
      <c r="T20" t="str">
        <f>_xll.BDP("277587XW Muni","LQA_LIQUIDITY_SCORE")</f>
        <v>#N/A Requesting Data...</v>
      </c>
    </row>
    <row r="21" spans="1:20" x14ac:dyDescent="0.25">
      <c r="A21" t="str">
        <f>_xll.BDP("277587XX Muni","ID_CUSIP")</f>
        <v>#N/A Requesting Data...</v>
      </c>
      <c r="B21" t="s">
        <v>30</v>
      </c>
      <c r="C21" t="str">
        <f>_xll.BDP("277587XX Muni","INSURANCE_STATUS")</f>
        <v>#N/A Requesting Data...</v>
      </c>
      <c r="D21" t="str">
        <f>_xll.BDP("277587XX Muni","STATE_CODE")</f>
        <v>#N/A Requesting Data...</v>
      </c>
      <c r="E21" t="str">
        <f>_xll.BDP("277587XX Muni","COUNTY_LOCATION_ISSUER")</f>
        <v>#N/A Requesting Data...</v>
      </c>
      <c r="F21" t="str">
        <f>_xll.BDP("277587XX Muni","DUR_ADJ_MID")</f>
        <v>#N/A Requesting Data...</v>
      </c>
      <c r="G21" t="str">
        <f>_xll.BDP("277587XX Muni","SPREAD_AT_ISSUANCE_TO_WORST")</f>
        <v>#N/A Requesting Data...</v>
      </c>
      <c r="H21" t="str">
        <f>_xll.BDP("277587XX Muni","ISSUE_DT")</f>
        <v>#N/A Requesting Data...</v>
      </c>
      <c r="I21" t="str">
        <f>_xll.BDS("277587XX Muni","MUNI_PURPOSE_SCHED", "aggregate=y")</f>
        <v>#N/A Requesting Data...</v>
      </c>
      <c r="J21" t="str">
        <f>_xll.BDP("277587XX Muni","CPN")</f>
        <v>#N/A Requesting Data...</v>
      </c>
      <c r="K21" t="str">
        <f>_xll.BDP("277587XX Muni","MATURITY")</f>
        <v>#N/A Requesting Data...</v>
      </c>
      <c r="L21">
        <v>180000</v>
      </c>
      <c r="M21" t="str">
        <f>_xll.BDP("277587XX Muni","YIELD_ON_ISSUE_DATE")</f>
        <v>#N/A Requesting Data...</v>
      </c>
      <c r="N21" t="str">
        <f>_xll.BDP("277587XX Muni","YTW_SPREAD_TO_MATURITY_AT_ISSU")</f>
        <v>#N/A Requesting Data...</v>
      </c>
      <c r="O21" t="str">
        <f>_xll.BDP("277587XX Muni","BVAL_MID_YTM")</f>
        <v>#N/A Requesting Data...</v>
      </c>
      <c r="P21" t="str">
        <f>_xll.BDP("277587XX Muni","MUNI_TAX_PROV")</f>
        <v>#N/A Requesting Data...</v>
      </c>
      <c r="Q21" t="str">
        <f>_xll.BDP("277587XX Muni","MUNI_FED_TAX")</f>
        <v>#N/A Requesting Data...</v>
      </c>
      <c r="R21" t="str">
        <f>_xll.BDP("277587XX Muni","MUNI_MSRB_VOLUME")</f>
        <v>#N/A Requesting Data...</v>
      </c>
      <c r="S21" t="str">
        <f>_xll.BDP("277587XX Muni","BB_COMPOSITE")</f>
        <v>#N/A Requesting Data...</v>
      </c>
      <c r="T21" t="str">
        <f>_xll.BDP("277587XX Muni","LQA_LIQUIDITY_SCORE")</f>
        <v>#N/A Requesting Data...</v>
      </c>
    </row>
    <row r="22" spans="1:20" x14ac:dyDescent="0.25">
      <c r="A22" t="str">
        <f>_xll.BDP("277587XY Muni","ID_CUSIP")</f>
        <v>#N/A Requesting Data...</v>
      </c>
      <c r="B22" t="s">
        <v>30</v>
      </c>
      <c r="C22" t="str">
        <f>_xll.BDP("277587XY Muni","INSURANCE_STATUS")</f>
        <v>#N/A Requesting Data...</v>
      </c>
      <c r="D22" t="str">
        <f>_xll.BDP("277587XY Muni","STATE_CODE")</f>
        <v>#N/A Requesting Data...</v>
      </c>
      <c r="E22" t="str">
        <f>_xll.BDP("277587XY Muni","COUNTY_LOCATION_ISSUER")</f>
        <v>#N/A Requesting Data...</v>
      </c>
      <c r="F22" t="str">
        <f>_xll.BDP("277587XY Muni","DUR_ADJ_MID")</f>
        <v>#N/A Requesting Data...</v>
      </c>
      <c r="G22" t="str">
        <f>_xll.BDP("277587XY Muni","SPREAD_AT_ISSUANCE_TO_WORST")</f>
        <v>#N/A Requesting Data...</v>
      </c>
      <c r="H22" t="str">
        <f>_xll.BDP("277587XY Muni","ISSUE_DT")</f>
        <v>#N/A Requesting Data...</v>
      </c>
      <c r="I22" t="str">
        <f>_xll.BDS("277587XY Muni","MUNI_PURPOSE_SCHED", "aggregate=y")</f>
        <v>#N/A Requesting Data...</v>
      </c>
      <c r="J22" t="str">
        <f>_xll.BDP("277587XY Muni","CPN")</f>
        <v>#N/A Requesting Data...</v>
      </c>
      <c r="K22" t="str">
        <f>_xll.BDP("277587XY Muni","MATURITY")</f>
        <v>#N/A Requesting Data...</v>
      </c>
      <c r="L22">
        <v>175000</v>
      </c>
      <c r="M22" t="str">
        <f>_xll.BDP("277587XY Muni","YIELD_ON_ISSUE_DATE")</f>
        <v>#N/A Requesting Data...</v>
      </c>
      <c r="N22" t="str">
        <f>_xll.BDP("277587XY Muni","YTW_SPREAD_TO_MATURITY_AT_ISSU")</f>
        <v>#N/A Requesting Data...</v>
      </c>
      <c r="O22" t="str">
        <f>_xll.BDP("277587XY Muni","BVAL_MID_YTM")</f>
        <v>#N/A Requesting Data...</v>
      </c>
      <c r="P22" t="str">
        <f>_xll.BDP("277587XY Muni","MUNI_TAX_PROV")</f>
        <v>#N/A Requesting Data...</v>
      </c>
      <c r="Q22" t="str">
        <f>_xll.BDP("277587XY Muni","MUNI_FED_TAX")</f>
        <v>#N/A Requesting Data...</v>
      </c>
      <c r="R22" t="str">
        <f>_xll.BDP("277587XY Muni","MUNI_MSRB_VOLUME")</f>
        <v>#N/A Requesting Data...</v>
      </c>
      <c r="S22" t="str">
        <f>_xll.BDP("277587XY Muni","BB_COMPOSITE")</f>
        <v>#N/A Requesting Data...</v>
      </c>
      <c r="T22" t="str">
        <f>_xll.BDP("277587XY Muni","LQA_LIQUIDITY_SCORE")</f>
        <v>#N/A Requesting Data...</v>
      </c>
    </row>
    <row r="23" spans="1:20" x14ac:dyDescent="0.25">
      <c r="A23" t="str">
        <f>_xll.BDP("277587XZ Muni","ID_CUSIP")</f>
        <v>#N/A Requesting Data...</v>
      </c>
      <c r="B23" t="s">
        <v>30</v>
      </c>
      <c r="C23" t="str">
        <f>_xll.BDP("277587XZ Muni","INSURANCE_STATUS")</f>
        <v>#N/A Requesting Data...</v>
      </c>
      <c r="D23" t="str">
        <f>_xll.BDP("277587XZ Muni","STATE_CODE")</f>
        <v>#N/A Requesting Data...</v>
      </c>
      <c r="E23" t="str">
        <f>_xll.BDP("277587XZ Muni","COUNTY_LOCATION_ISSUER")</f>
        <v>#N/A Requesting Data...</v>
      </c>
      <c r="F23" t="str">
        <f>_xll.BDP("277587XZ Muni","DUR_ADJ_MID")</f>
        <v>#N/A Requesting Data...</v>
      </c>
      <c r="G23" t="str">
        <f>_xll.BDP("277587XZ Muni","SPREAD_AT_ISSUANCE_TO_WORST")</f>
        <v>#N/A Requesting Data...</v>
      </c>
      <c r="H23" t="str">
        <f>_xll.BDP("277587XZ Muni","ISSUE_DT")</f>
        <v>#N/A Requesting Data...</v>
      </c>
      <c r="I23" t="str">
        <f>_xll.BDS("277587XZ Muni","MUNI_PURPOSE_SCHED", "aggregate=y")</f>
        <v>#N/A Requesting Data...</v>
      </c>
      <c r="J23" t="str">
        <f>_xll.BDP("277587XZ Muni","CPN")</f>
        <v>#N/A Requesting Data...</v>
      </c>
      <c r="K23" t="str">
        <f>_xll.BDP("277587XZ Muni","MATURITY")</f>
        <v>#N/A Requesting Data...</v>
      </c>
      <c r="L23">
        <v>110000</v>
      </c>
      <c r="M23" t="str">
        <f>_xll.BDP("277587XZ Muni","YIELD_ON_ISSUE_DATE")</f>
        <v>#N/A Requesting Data...</v>
      </c>
      <c r="N23" t="str">
        <f>_xll.BDP("277587XZ Muni","YTW_SPREAD_TO_MATURITY_AT_ISSU")</f>
        <v>#N/A Requesting Data...</v>
      </c>
      <c r="O23" t="str">
        <f>_xll.BDP("277587XZ Muni","BVAL_MID_YTM")</f>
        <v>#N/A Requesting Data...</v>
      </c>
      <c r="P23" t="str">
        <f>_xll.BDP("277587XZ Muni","MUNI_TAX_PROV")</f>
        <v>#N/A Requesting Data...</v>
      </c>
      <c r="Q23" t="str">
        <f>_xll.BDP("277587XZ Muni","MUNI_FED_TAX")</f>
        <v>#N/A Requesting Data...</v>
      </c>
      <c r="R23" t="str">
        <f>_xll.BDP("277587XZ Muni","MUNI_MSRB_VOLUME")</f>
        <v>#N/A Requesting Data...</v>
      </c>
      <c r="S23" t="str">
        <f>_xll.BDP("277587XZ Muni","BB_COMPOSITE")</f>
        <v>#N/A Requesting Data...</v>
      </c>
      <c r="T23" t="str">
        <f>_xll.BDP("277587XZ Muni","LQA_LIQUIDITY_SCORE")</f>
        <v>#N/A Requesting Data...</v>
      </c>
    </row>
    <row r="24" spans="1:20" x14ac:dyDescent="0.25">
      <c r="A24" t="str">
        <f>_xll.BDP("277587YA Muni","ID_CUSIP")</f>
        <v>#N/A Requesting Data...</v>
      </c>
      <c r="B24" t="s">
        <v>30</v>
      </c>
      <c r="C24" t="str">
        <f>_xll.BDP("277587YA Muni","INSURANCE_STATUS")</f>
        <v>#N/A Requesting Data...</v>
      </c>
      <c r="D24" t="str">
        <f>_xll.BDP("277587YA Muni","STATE_CODE")</f>
        <v>#N/A Requesting Data...</v>
      </c>
      <c r="E24" t="str">
        <f>_xll.BDP("277587YA Muni","COUNTY_LOCATION_ISSUER")</f>
        <v>#N/A Requesting Data...</v>
      </c>
      <c r="F24" t="str">
        <f>_xll.BDP("277587YA Muni","DUR_ADJ_MID")</f>
        <v>#N/A Requesting Data...</v>
      </c>
      <c r="G24" t="str">
        <f>_xll.BDP("277587YA Muni","SPREAD_AT_ISSUANCE_TO_WORST")</f>
        <v>#N/A Requesting Data...</v>
      </c>
      <c r="H24" t="str">
        <f>_xll.BDP("277587YA Muni","ISSUE_DT")</f>
        <v>#N/A Requesting Data...</v>
      </c>
      <c r="I24" t="str">
        <f>_xll.BDS("277587YA Muni","MUNI_PURPOSE_SCHED", "aggregate=y")</f>
        <v>#N/A Requesting Data...</v>
      </c>
      <c r="J24" t="str">
        <f>_xll.BDP("277587YA Muni","CPN")</f>
        <v>#N/A Requesting Data...</v>
      </c>
      <c r="K24" t="str">
        <f>_xll.BDP("277587YA Muni","MATURITY")</f>
        <v>#N/A Requesting Data...</v>
      </c>
      <c r="L24">
        <v>110000</v>
      </c>
      <c r="M24" t="str">
        <f>_xll.BDP("277587YA Muni","YIELD_ON_ISSUE_DATE")</f>
        <v>#N/A Requesting Data...</v>
      </c>
      <c r="N24" t="str">
        <f>_xll.BDP("277587YA Muni","YTW_SPREAD_TO_MATURITY_AT_ISSU")</f>
        <v>#N/A Requesting Data...</v>
      </c>
      <c r="O24" t="str">
        <f>_xll.BDP("277587YA Muni","BVAL_MID_YTM")</f>
        <v>#N/A Requesting Data...</v>
      </c>
      <c r="P24" t="str">
        <f>_xll.BDP("277587YA Muni","MUNI_TAX_PROV")</f>
        <v>#N/A Requesting Data...</v>
      </c>
      <c r="Q24" t="str">
        <f>_xll.BDP("277587YA Muni","MUNI_FED_TAX")</f>
        <v>#N/A Requesting Data...</v>
      </c>
      <c r="R24" t="str">
        <f>_xll.BDP("277587YA Muni","MUNI_MSRB_VOLUME")</f>
        <v>#N/A Requesting Data...</v>
      </c>
      <c r="S24" t="str">
        <f>_xll.BDP("277587YA Muni","BB_COMPOSITE")</f>
        <v>#N/A Requesting Data...</v>
      </c>
      <c r="T24" t="str">
        <f>_xll.BDP("277587YA Muni","LQA_LIQUIDITY_SCORE")</f>
        <v>#N/A Requesting Data...</v>
      </c>
    </row>
    <row r="25" spans="1:20" x14ac:dyDescent="0.25">
      <c r="A25" t="str">
        <f>_xll.BDP("278444GA Muni","ID_CUSIP")</f>
        <v>#N/A Requesting Data...</v>
      </c>
      <c r="B25" t="s">
        <v>31</v>
      </c>
      <c r="C25" t="str">
        <f>_xll.BDP("278444GA Muni","INSURANCE_STATUS")</f>
        <v>#N/A Requesting Data...</v>
      </c>
      <c r="D25" t="str">
        <f>_xll.BDP("278444GA Muni","STATE_CODE")</f>
        <v>#N/A Requesting Data...</v>
      </c>
      <c r="E25" t="str">
        <f>_xll.BDP("278444GA Muni","COUNTY_LOCATION_ISSUER")</f>
        <v>#N/A Requesting Data...</v>
      </c>
      <c r="F25" t="str">
        <f>_xll.BDP("278444GA Muni","DUR_ADJ_MID")</f>
        <v>#N/A Requesting Data...</v>
      </c>
      <c r="G25" t="str">
        <f>_xll.BDP("278444GA Muni","SPREAD_AT_ISSUANCE_TO_WORST")</f>
        <v>#N/A Requesting Data...</v>
      </c>
      <c r="H25" t="str">
        <f>_xll.BDP("278444GA Muni","ISSUE_DT")</f>
        <v>#N/A Requesting Data...</v>
      </c>
      <c r="I25" t="str">
        <f>_xll.BDS("278444GA Muni","MUNI_PURPOSE_SCHED", "aggregate=y")</f>
        <v>#N/A Requesting Data...</v>
      </c>
      <c r="J25" t="str">
        <f>_xll.BDP("278444GA Muni","CPN")</f>
        <v>#N/A Requesting Data...</v>
      </c>
      <c r="K25" t="str">
        <f>_xll.BDP("278444GA Muni","MATURITY")</f>
        <v>#N/A Requesting Data...</v>
      </c>
      <c r="L25">
        <v>690000</v>
      </c>
      <c r="M25" t="str">
        <f>_xll.BDP("278444GA Muni","YIELD_ON_ISSUE_DATE")</f>
        <v>#N/A Requesting Data...</v>
      </c>
      <c r="N25" t="str">
        <f>_xll.BDP("278444GA Muni","YTW_SPREAD_TO_MATURITY_AT_ISSU")</f>
        <v>#N/A Requesting Data...</v>
      </c>
      <c r="O25" t="str">
        <f>_xll.BDP("278444GA Muni","BVAL_MID_YTM")</f>
        <v>#N/A Requesting Data...</v>
      </c>
      <c r="P25" t="str">
        <f>_xll.BDP("278444GA Muni","MUNI_TAX_PROV")</f>
        <v>#N/A Requesting Data...</v>
      </c>
      <c r="Q25" t="str">
        <f>_xll.BDP("278444GA Muni","MUNI_FED_TAX")</f>
        <v>#N/A Requesting Data...</v>
      </c>
      <c r="R25" t="str">
        <f>_xll.BDP("278444GA Muni","MUNI_MSRB_VOLUME")</f>
        <v>#N/A Requesting Data...</v>
      </c>
      <c r="S25" t="str">
        <f>_xll.BDP("278444GA Muni","BB_COMPOSITE")</f>
        <v>#N/A Requesting Data...</v>
      </c>
      <c r="T25" t="str">
        <f>_xll.BDP("278444GA Muni","LQA_LIQUIDITY_SCORE")</f>
        <v>#N/A Requesting Data...</v>
      </c>
    </row>
    <row r="26" spans="1:20" x14ac:dyDescent="0.25">
      <c r="A26" t="str">
        <f>_xll.BDP("278444GB Muni","ID_CUSIP")</f>
        <v>#N/A Requesting Data...</v>
      </c>
      <c r="B26" t="s">
        <v>31</v>
      </c>
      <c r="C26" t="str">
        <f>_xll.BDP("278444GB Muni","INSURANCE_STATUS")</f>
        <v>#N/A Requesting Data...</v>
      </c>
      <c r="D26" t="str">
        <f>_xll.BDP("278444GB Muni","STATE_CODE")</f>
        <v>#N/A Requesting Data...</v>
      </c>
      <c r="E26" t="str">
        <f>_xll.BDP("278444GB Muni","COUNTY_LOCATION_ISSUER")</f>
        <v>#N/A Requesting Data...</v>
      </c>
      <c r="F26" t="str">
        <f>_xll.BDP("278444GB Muni","DUR_ADJ_MID")</f>
        <v>#N/A Requesting Data...</v>
      </c>
      <c r="G26" t="str">
        <f>_xll.BDP("278444GB Muni","SPREAD_AT_ISSUANCE_TO_WORST")</f>
        <v>#N/A Requesting Data...</v>
      </c>
      <c r="H26" t="str">
        <f>_xll.BDP("278444GB Muni","ISSUE_DT")</f>
        <v>#N/A Requesting Data...</v>
      </c>
      <c r="I26" t="str">
        <f>_xll.BDS("278444GB Muni","MUNI_PURPOSE_SCHED", "aggregate=y")</f>
        <v>#N/A Requesting Data...</v>
      </c>
      <c r="J26" t="str">
        <f>_xll.BDP("278444GB Muni","CPN")</f>
        <v>#N/A Requesting Data...</v>
      </c>
      <c r="K26" t="str">
        <f>_xll.BDP("278444GB Muni","MATURITY")</f>
        <v>#N/A Requesting Data...</v>
      </c>
      <c r="L26">
        <v>720000</v>
      </c>
      <c r="M26" t="str">
        <f>_xll.BDP("278444GB Muni","YIELD_ON_ISSUE_DATE")</f>
        <v>#N/A Requesting Data...</v>
      </c>
      <c r="N26" t="str">
        <f>_xll.BDP("278444GB Muni","YTW_SPREAD_TO_MATURITY_AT_ISSU")</f>
        <v>#N/A Requesting Data...</v>
      </c>
      <c r="O26" t="str">
        <f>_xll.BDP("278444GB Muni","BVAL_MID_YTM")</f>
        <v>#N/A Requesting Data...</v>
      </c>
      <c r="P26" t="str">
        <f>_xll.BDP("278444GB Muni","MUNI_TAX_PROV")</f>
        <v>#N/A Requesting Data...</v>
      </c>
      <c r="Q26" t="str">
        <f>_xll.BDP("278444GB Muni","MUNI_FED_TAX")</f>
        <v>#N/A Requesting Data...</v>
      </c>
      <c r="R26" t="str">
        <f>_xll.BDP("278444GB Muni","MUNI_MSRB_VOLUME")</f>
        <v>#N/A Requesting Data...</v>
      </c>
      <c r="S26" t="str">
        <f>_xll.BDP("278444GB Muni","BB_COMPOSITE")</f>
        <v>#N/A Requesting Data...</v>
      </c>
      <c r="T26" t="str">
        <f>_xll.BDP("278444GB Muni","LQA_LIQUIDITY_SCORE")</f>
        <v>#N/A Requesting Data...</v>
      </c>
    </row>
    <row r="27" spans="1:20" x14ac:dyDescent="0.25">
      <c r="A27" t="str">
        <f>_xll.BDP("278444GC Muni","ID_CUSIP")</f>
        <v>#N/A Requesting Data...</v>
      </c>
      <c r="B27" t="s">
        <v>31</v>
      </c>
      <c r="C27" t="str">
        <f>_xll.BDP("278444GC Muni","INSURANCE_STATUS")</f>
        <v>#N/A Requesting Data...</v>
      </c>
      <c r="D27" t="str">
        <f>_xll.BDP("278444GC Muni","STATE_CODE")</f>
        <v>#N/A Requesting Data...</v>
      </c>
      <c r="E27" t="str">
        <f>_xll.BDP("278444GC Muni","COUNTY_LOCATION_ISSUER")</f>
        <v>#N/A Requesting Data...</v>
      </c>
      <c r="F27" t="str">
        <f>_xll.BDP("278444GC Muni","DUR_ADJ_MID")</f>
        <v>#N/A Requesting Data...</v>
      </c>
      <c r="G27" t="str">
        <f>_xll.BDP("278444GC Muni","SPREAD_AT_ISSUANCE_TO_WORST")</f>
        <v>#N/A Requesting Data...</v>
      </c>
      <c r="H27" t="str">
        <f>_xll.BDP("278444GC Muni","ISSUE_DT")</f>
        <v>#N/A Requesting Data...</v>
      </c>
      <c r="I27" t="str">
        <f>_xll.BDS("278444GC Muni","MUNI_PURPOSE_SCHED", "aggregate=y")</f>
        <v>#N/A Requesting Data...</v>
      </c>
      <c r="J27" t="str">
        <f>_xll.BDP("278444GC Muni","CPN")</f>
        <v>#N/A Requesting Data...</v>
      </c>
      <c r="K27" t="str">
        <f>_xll.BDP("278444GC Muni","MATURITY")</f>
        <v>#N/A Requesting Data...</v>
      </c>
      <c r="L27">
        <v>760000</v>
      </c>
      <c r="M27" t="str">
        <f>_xll.BDP("278444GC Muni","YIELD_ON_ISSUE_DATE")</f>
        <v>#N/A Requesting Data...</v>
      </c>
      <c r="N27" t="str">
        <f>_xll.BDP("278444GC Muni","YTW_SPREAD_TO_MATURITY_AT_ISSU")</f>
        <v>#N/A Requesting Data...</v>
      </c>
      <c r="O27" t="str">
        <f>_xll.BDP("278444GC Muni","BVAL_MID_YTM")</f>
        <v>#N/A Requesting Data...</v>
      </c>
      <c r="P27" t="str">
        <f>_xll.BDP("278444GC Muni","MUNI_TAX_PROV")</f>
        <v>#N/A Requesting Data...</v>
      </c>
      <c r="Q27" t="str">
        <f>_xll.BDP("278444GC Muni","MUNI_FED_TAX")</f>
        <v>#N/A Requesting Data...</v>
      </c>
      <c r="R27" t="str">
        <f>_xll.BDP("278444GC Muni","MUNI_MSRB_VOLUME")</f>
        <v>#N/A Requesting Data...</v>
      </c>
      <c r="S27" t="str">
        <f>_xll.BDP("278444GC Muni","BB_COMPOSITE")</f>
        <v>#N/A Requesting Data...</v>
      </c>
      <c r="T27" t="str">
        <f>_xll.BDP("278444GC Muni","LQA_LIQUIDITY_SCORE")</f>
        <v>#N/A Requesting Data...</v>
      </c>
    </row>
    <row r="28" spans="1:20" x14ac:dyDescent="0.25">
      <c r="A28" t="str">
        <f>_xll.BDP("278444GD Muni","ID_CUSIP")</f>
        <v>#N/A Requesting Data...</v>
      </c>
      <c r="B28" t="s">
        <v>31</v>
      </c>
      <c r="C28" t="str">
        <f>_xll.BDP("278444GD Muni","INSURANCE_STATUS")</f>
        <v>#N/A Requesting Data...</v>
      </c>
      <c r="D28" t="str">
        <f>_xll.BDP("278444GD Muni","STATE_CODE")</f>
        <v>#N/A Requesting Data...</v>
      </c>
      <c r="E28" t="str">
        <f>_xll.BDP("278444GD Muni","COUNTY_LOCATION_ISSUER")</f>
        <v>#N/A Requesting Data...</v>
      </c>
      <c r="F28" t="str">
        <f>_xll.BDP("278444GD Muni","DUR_ADJ_MID")</f>
        <v>#N/A Requesting Data...</v>
      </c>
      <c r="G28" t="str">
        <f>_xll.BDP("278444GD Muni","SPREAD_AT_ISSUANCE_TO_WORST")</f>
        <v>#N/A Requesting Data...</v>
      </c>
      <c r="H28" t="str">
        <f>_xll.BDP("278444GD Muni","ISSUE_DT")</f>
        <v>#N/A Requesting Data...</v>
      </c>
      <c r="I28" t="str">
        <f>_xll.BDS("278444GD Muni","MUNI_PURPOSE_SCHED", "aggregate=y")</f>
        <v>#N/A Requesting Data...</v>
      </c>
      <c r="J28" t="str">
        <f>_xll.BDP("278444GD Muni","CPN")</f>
        <v>#N/A Requesting Data...</v>
      </c>
      <c r="K28" t="str">
        <f>_xll.BDP("278444GD Muni","MATURITY")</f>
        <v>#N/A Requesting Data...</v>
      </c>
      <c r="L28">
        <v>800000</v>
      </c>
      <c r="M28" t="str">
        <f>_xll.BDP("278444GD Muni","YIELD_ON_ISSUE_DATE")</f>
        <v>#N/A Requesting Data...</v>
      </c>
      <c r="N28" t="str">
        <f>_xll.BDP("278444GD Muni","YTW_SPREAD_TO_MATURITY_AT_ISSU")</f>
        <v>#N/A Requesting Data...</v>
      </c>
      <c r="O28" t="str">
        <f>_xll.BDP("278444GD Muni","BVAL_MID_YTM")</f>
        <v>#N/A Requesting Data...</v>
      </c>
      <c r="P28" t="str">
        <f>_xll.BDP("278444GD Muni","MUNI_TAX_PROV")</f>
        <v>#N/A Requesting Data...</v>
      </c>
      <c r="Q28" t="str">
        <f>_xll.BDP("278444GD Muni","MUNI_FED_TAX")</f>
        <v>#N/A Requesting Data...</v>
      </c>
      <c r="R28" t="str">
        <f>_xll.BDP("278444GD Muni","MUNI_MSRB_VOLUME")</f>
        <v>#N/A Requesting Data...</v>
      </c>
      <c r="S28" t="str">
        <f>_xll.BDP("278444GD Muni","BB_COMPOSITE")</f>
        <v>#N/A Requesting Data...</v>
      </c>
      <c r="T28" t="str">
        <f>_xll.BDP("278444GD Muni","LQA_LIQUIDITY_SCORE")</f>
        <v>#N/A Requesting Data...</v>
      </c>
    </row>
    <row r="29" spans="1:20" x14ac:dyDescent="0.25">
      <c r="A29" t="str">
        <f>_xll.BDP("280606BY Muni","ID_CUSIP")</f>
        <v>#N/A Requesting Data...</v>
      </c>
      <c r="B29" t="s">
        <v>32</v>
      </c>
      <c r="C29" t="str">
        <f>_xll.BDP("280606BY Muni","INSURANCE_STATUS")</f>
        <v>#N/A Requesting Data...</v>
      </c>
      <c r="D29" t="str">
        <f>_xll.BDP("280606BY Muni","STATE_CODE")</f>
        <v>#N/A Requesting Data...</v>
      </c>
      <c r="E29" t="str">
        <f>_xll.BDP("280606BY Muni","COUNTY_LOCATION_ISSUER")</f>
        <v>#N/A Requesting Data...</v>
      </c>
      <c r="F29" t="str">
        <f>_xll.BDP("280606BY Muni","DUR_ADJ_MID")</f>
        <v>#N/A Requesting Data...</v>
      </c>
      <c r="G29" t="str">
        <f>_xll.BDP("280606BY Muni","SPREAD_AT_ISSUANCE_TO_WORST")</f>
        <v>#N/A Requesting Data...</v>
      </c>
      <c r="H29" t="str">
        <f>_xll.BDP("280606BY Muni","ISSUE_DT")</f>
        <v>#N/A Requesting Data...</v>
      </c>
      <c r="I29" t="str">
        <f>_xll.BDS("280606BY Muni","MUNI_PURPOSE_SCHED", "aggregate=y")</f>
        <v>#N/A Requesting Data...</v>
      </c>
      <c r="J29" t="str">
        <f>_xll.BDP("280606BY Muni","CPN")</f>
        <v>#N/A Requesting Data...</v>
      </c>
      <c r="K29" t="str">
        <f>_xll.BDP("280606BY Muni","MATURITY")</f>
        <v>#N/A Requesting Data...</v>
      </c>
      <c r="L29">
        <v>440000</v>
      </c>
      <c r="M29" t="str">
        <f>_xll.BDP("280606BY Muni","YIELD_ON_ISSUE_DATE")</f>
        <v>#N/A Requesting Data...</v>
      </c>
      <c r="N29" t="str">
        <f>_xll.BDP("280606BY Muni","YTW_SPREAD_TO_MATURITY_AT_ISSU")</f>
        <v>#N/A Requesting Data...</v>
      </c>
      <c r="O29" t="str">
        <f>_xll.BDP("280606BY Muni","BVAL_MID_YTM")</f>
        <v>#N/A Requesting Data...</v>
      </c>
      <c r="P29" t="str">
        <f>_xll.BDP("280606BY Muni","MUNI_TAX_PROV")</f>
        <v>#N/A Requesting Data...</v>
      </c>
      <c r="Q29" t="str">
        <f>_xll.BDP("280606BY Muni","MUNI_FED_TAX")</f>
        <v>#N/A Requesting Data...</v>
      </c>
      <c r="R29" t="str">
        <f>_xll.BDP("280606BY Muni","MUNI_MSRB_VOLUME")</f>
        <v>#N/A Requesting Data...</v>
      </c>
      <c r="S29" t="str">
        <f>_xll.BDP("280606BY Muni","BB_COMPOSITE")</f>
        <v>#N/A Requesting Data...</v>
      </c>
      <c r="T29" t="str">
        <f>_xll.BDP("280606BY Muni","LQA_LIQUIDITY_SCORE")</f>
        <v>#N/A Requesting Data...</v>
      </c>
    </row>
    <row r="30" spans="1:20" x14ac:dyDescent="0.25">
      <c r="A30" t="str">
        <f>_xll.BDP("280606BZ Muni","ID_CUSIP")</f>
        <v>#N/A Requesting Data...</v>
      </c>
      <c r="B30" t="s">
        <v>32</v>
      </c>
      <c r="C30" t="str">
        <f>_xll.BDP("280606BZ Muni","INSURANCE_STATUS")</f>
        <v>#N/A Requesting Data...</v>
      </c>
      <c r="D30" t="str">
        <f>_xll.BDP("280606BZ Muni","STATE_CODE")</f>
        <v>#N/A Requesting Data...</v>
      </c>
      <c r="E30" t="str">
        <f>_xll.BDP("280606BZ Muni","COUNTY_LOCATION_ISSUER")</f>
        <v>#N/A Requesting Data...</v>
      </c>
      <c r="F30" t="str">
        <f>_xll.BDP("280606BZ Muni","DUR_ADJ_MID")</f>
        <v>#N/A Requesting Data...</v>
      </c>
      <c r="G30" t="str">
        <f>_xll.BDP("280606BZ Muni","SPREAD_AT_ISSUANCE_TO_WORST")</f>
        <v>#N/A Requesting Data...</v>
      </c>
      <c r="H30" t="str">
        <f>_xll.BDP("280606BZ Muni","ISSUE_DT")</f>
        <v>#N/A Requesting Data...</v>
      </c>
      <c r="I30" t="str">
        <f>_xll.BDS("280606BZ Muni","MUNI_PURPOSE_SCHED", "aggregate=y")</f>
        <v>#N/A Requesting Data...</v>
      </c>
      <c r="J30" t="str">
        <f>_xll.BDP("280606BZ Muni","CPN")</f>
        <v>#N/A Requesting Data...</v>
      </c>
      <c r="K30" t="str">
        <f>_xll.BDP("280606BZ Muni","MATURITY")</f>
        <v>#N/A Requesting Data...</v>
      </c>
      <c r="L30">
        <v>455000</v>
      </c>
      <c r="M30" t="str">
        <f>_xll.BDP("280606BZ Muni","YIELD_ON_ISSUE_DATE")</f>
        <v>#N/A Requesting Data...</v>
      </c>
      <c r="N30" t="str">
        <f>_xll.BDP("280606BZ Muni","YTW_SPREAD_TO_MATURITY_AT_ISSU")</f>
        <v>#N/A Requesting Data...</v>
      </c>
      <c r="O30" t="str">
        <f>_xll.BDP("280606BZ Muni","BVAL_MID_YTM")</f>
        <v>#N/A Requesting Data...</v>
      </c>
      <c r="P30" t="str">
        <f>_xll.BDP("280606BZ Muni","MUNI_TAX_PROV")</f>
        <v>#N/A Requesting Data...</v>
      </c>
      <c r="Q30" t="str">
        <f>_xll.BDP("280606BZ Muni","MUNI_FED_TAX")</f>
        <v>#N/A Requesting Data...</v>
      </c>
      <c r="R30" t="str">
        <f>_xll.BDP("280606BZ Muni","MUNI_MSRB_VOLUME")</f>
        <v>#N/A Requesting Data...</v>
      </c>
      <c r="S30" t="str">
        <f>_xll.BDP("280606BZ Muni","BB_COMPOSITE")</f>
        <v>#N/A Requesting Data...</v>
      </c>
      <c r="T30" t="str">
        <f>_xll.BDP("280606BZ Muni","LQA_LIQUIDITY_SCORE")</f>
        <v>#N/A Requesting Data...</v>
      </c>
    </row>
    <row r="31" spans="1:20" x14ac:dyDescent="0.25">
      <c r="A31" t="str">
        <f>_xll.BDP("280606CA Muni","ID_CUSIP")</f>
        <v>#N/A Requesting Data...</v>
      </c>
      <c r="B31" t="s">
        <v>32</v>
      </c>
      <c r="C31" t="str">
        <f>_xll.BDP("280606CA Muni","INSURANCE_STATUS")</f>
        <v>#N/A Requesting Data...</v>
      </c>
      <c r="D31" t="str">
        <f>_xll.BDP("280606CA Muni","STATE_CODE")</f>
        <v>#N/A Requesting Data...</v>
      </c>
      <c r="E31" t="str">
        <f>_xll.BDP("280606CA Muni","COUNTY_LOCATION_ISSUER")</f>
        <v>#N/A Requesting Data...</v>
      </c>
      <c r="F31" t="str">
        <f>_xll.BDP("280606CA Muni","DUR_ADJ_MID")</f>
        <v>#N/A Requesting Data...</v>
      </c>
      <c r="G31" t="str">
        <f>_xll.BDP("280606CA Muni","SPREAD_AT_ISSUANCE_TO_WORST")</f>
        <v>#N/A Requesting Data...</v>
      </c>
      <c r="H31" t="str">
        <f>_xll.BDP("280606CA Muni","ISSUE_DT")</f>
        <v>#N/A Requesting Data...</v>
      </c>
      <c r="I31" t="str">
        <f>_xll.BDS("280606CA Muni","MUNI_PURPOSE_SCHED", "aggregate=y")</f>
        <v>#N/A Requesting Data...</v>
      </c>
      <c r="J31" t="str">
        <f>_xll.BDP("280606CA Muni","CPN")</f>
        <v>#N/A Requesting Data...</v>
      </c>
      <c r="K31" t="str">
        <f>_xll.BDP("280606CA Muni","MATURITY")</f>
        <v>#N/A Requesting Data...</v>
      </c>
      <c r="L31">
        <v>460000</v>
      </c>
      <c r="M31" t="str">
        <f>_xll.BDP("280606CA Muni","YIELD_ON_ISSUE_DATE")</f>
        <v>#N/A Requesting Data...</v>
      </c>
      <c r="N31" t="str">
        <f>_xll.BDP("280606CA Muni","YTW_SPREAD_TO_MATURITY_AT_ISSU")</f>
        <v>#N/A Requesting Data...</v>
      </c>
      <c r="O31" t="str">
        <f>_xll.BDP("280606CA Muni","BVAL_MID_YTM")</f>
        <v>#N/A Requesting Data...</v>
      </c>
      <c r="P31" t="str">
        <f>_xll.BDP("280606CA Muni","MUNI_TAX_PROV")</f>
        <v>#N/A Requesting Data...</v>
      </c>
      <c r="Q31" t="str">
        <f>_xll.BDP("280606CA Muni","MUNI_FED_TAX")</f>
        <v>#N/A Requesting Data...</v>
      </c>
      <c r="R31" t="str">
        <f>_xll.BDP("280606CA Muni","MUNI_MSRB_VOLUME")</f>
        <v>#N/A Requesting Data...</v>
      </c>
      <c r="S31" t="str">
        <f>_xll.BDP("280606CA Muni","BB_COMPOSITE")</f>
        <v>#N/A Requesting Data...</v>
      </c>
      <c r="T31" t="str">
        <f>_xll.BDP("280606CA Muni","LQA_LIQUIDITY_SCORE")</f>
        <v>#N/A Requesting Data...</v>
      </c>
    </row>
    <row r="32" spans="1:20" x14ac:dyDescent="0.25">
      <c r="A32" t="str">
        <f>_xll.BDP("280606CB Muni","ID_CUSIP")</f>
        <v>#N/A Requesting Data...</v>
      </c>
      <c r="B32" t="s">
        <v>32</v>
      </c>
      <c r="C32" t="str">
        <f>_xll.BDP("280606CB Muni","INSURANCE_STATUS")</f>
        <v>#N/A Requesting Data...</v>
      </c>
      <c r="D32" t="str">
        <f>_xll.BDP("280606CB Muni","STATE_CODE")</f>
        <v>#N/A Requesting Data...</v>
      </c>
      <c r="E32" t="str">
        <f>_xll.BDP("280606CB Muni","COUNTY_LOCATION_ISSUER")</f>
        <v>#N/A Requesting Data...</v>
      </c>
      <c r="F32" t="str">
        <f>_xll.BDP("280606CB Muni","DUR_ADJ_MID")</f>
        <v>#N/A Requesting Data...</v>
      </c>
      <c r="G32" t="str">
        <f>_xll.BDP("280606CB Muni","SPREAD_AT_ISSUANCE_TO_WORST")</f>
        <v>#N/A Requesting Data...</v>
      </c>
      <c r="H32" t="str">
        <f>_xll.BDP("280606CB Muni","ISSUE_DT")</f>
        <v>#N/A Requesting Data...</v>
      </c>
      <c r="I32" t="str">
        <f>_xll.BDS("280606CB Muni","MUNI_PURPOSE_SCHED", "aggregate=y")</f>
        <v>#N/A Requesting Data...</v>
      </c>
      <c r="J32" t="str">
        <f>_xll.BDP("280606CB Muni","CPN")</f>
        <v>#N/A Requesting Data...</v>
      </c>
      <c r="K32" t="str">
        <f>_xll.BDP("280606CB Muni","MATURITY")</f>
        <v>#N/A Requesting Data...</v>
      </c>
      <c r="L32">
        <v>480000</v>
      </c>
      <c r="M32" t="str">
        <f>_xll.BDP("280606CB Muni","YIELD_ON_ISSUE_DATE")</f>
        <v>#N/A Requesting Data...</v>
      </c>
      <c r="N32" t="str">
        <f>_xll.BDP("280606CB Muni","YTW_SPREAD_TO_MATURITY_AT_ISSU")</f>
        <v>#N/A Requesting Data...</v>
      </c>
      <c r="O32" t="str">
        <f>_xll.BDP("280606CB Muni","BVAL_MID_YTM")</f>
        <v>#N/A Requesting Data...</v>
      </c>
      <c r="P32" t="str">
        <f>_xll.BDP("280606CB Muni","MUNI_TAX_PROV")</f>
        <v>#N/A Requesting Data...</v>
      </c>
      <c r="Q32" t="str">
        <f>_xll.BDP("280606CB Muni","MUNI_FED_TAX")</f>
        <v>#N/A Requesting Data...</v>
      </c>
      <c r="R32" t="str">
        <f>_xll.BDP("280606CB Muni","MUNI_MSRB_VOLUME")</f>
        <v>#N/A Requesting Data...</v>
      </c>
      <c r="S32" t="str">
        <f>_xll.BDP("280606CB Muni","BB_COMPOSITE")</f>
        <v>#N/A Requesting Data...</v>
      </c>
      <c r="T32" t="str">
        <f>_xll.BDP("280606CB Muni","LQA_LIQUIDITY_SCORE")</f>
        <v>#N/A Requesting Data...</v>
      </c>
    </row>
    <row r="33" spans="1:20" x14ac:dyDescent="0.25">
      <c r="A33" t="str">
        <f>_xll.BDP("280606CC Muni","ID_CUSIP")</f>
        <v>#N/A Requesting Data...</v>
      </c>
      <c r="B33" t="s">
        <v>32</v>
      </c>
      <c r="C33" t="str">
        <f>_xll.BDP("280606CC Muni","INSURANCE_STATUS")</f>
        <v>#N/A Requesting Data...</v>
      </c>
      <c r="D33" t="str">
        <f>_xll.BDP("280606CC Muni","STATE_CODE")</f>
        <v>#N/A Requesting Data...</v>
      </c>
      <c r="E33" t="str">
        <f>_xll.BDP("280606CC Muni","COUNTY_LOCATION_ISSUER")</f>
        <v>#N/A Requesting Data...</v>
      </c>
      <c r="F33" t="str">
        <f>_xll.BDP("280606CC Muni","DUR_ADJ_MID")</f>
        <v>#N/A Requesting Data...</v>
      </c>
      <c r="G33" t="str">
        <f>_xll.BDP("280606CC Muni","SPREAD_AT_ISSUANCE_TO_WORST")</f>
        <v>#N/A Requesting Data...</v>
      </c>
      <c r="H33" t="str">
        <f>_xll.BDP("280606CC Muni","ISSUE_DT")</f>
        <v>#N/A Requesting Data...</v>
      </c>
      <c r="I33" t="str">
        <f>_xll.BDS("280606CC Muni","MUNI_PURPOSE_SCHED", "aggregate=y")</f>
        <v>#N/A Requesting Data...</v>
      </c>
      <c r="J33" t="str">
        <f>_xll.BDP("280606CC Muni","CPN")</f>
        <v>#N/A Requesting Data...</v>
      </c>
      <c r="K33" t="str">
        <f>_xll.BDP("280606CC Muni","MATURITY")</f>
        <v>#N/A Requesting Data...</v>
      </c>
      <c r="L33">
        <v>505000</v>
      </c>
      <c r="M33" t="str">
        <f>_xll.BDP("280606CC Muni","YIELD_ON_ISSUE_DATE")</f>
        <v>#N/A Requesting Data...</v>
      </c>
      <c r="N33" t="str">
        <f>_xll.BDP("280606CC Muni","YTW_SPREAD_TO_MATURITY_AT_ISSU")</f>
        <v>#N/A Requesting Data...</v>
      </c>
      <c r="O33" t="str">
        <f>_xll.BDP("280606CC Muni","BVAL_MID_YTM")</f>
        <v>#N/A Requesting Data...</v>
      </c>
      <c r="P33" t="str">
        <f>_xll.BDP("280606CC Muni","MUNI_TAX_PROV")</f>
        <v>#N/A Requesting Data...</v>
      </c>
      <c r="Q33" t="str">
        <f>_xll.BDP("280606CC Muni","MUNI_FED_TAX")</f>
        <v>#N/A Requesting Data...</v>
      </c>
      <c r="R33" t="str">
        <f>_xll.BDP("280606CC Muni","MUNI_MSRB_VOLUME")</f>
        <v>#N/A Requesting Data...</v>
      </c>
      <c r="S33" t="str">
        <f>_xll.BDP("280606CC Muni","BB_COMPOSITE")</f>
        <v>#N/A Requesting Data...</v>
      </c>
      <c r="T33" t="str">
        <f>_xll.BDP("280606CC Muni","LQA_LIQUIDITY_SCORE")</f>
        <v>#N/A Requesting Data...</v>
      </c>
    </row>
    <row r="34" spans="1:20" x14ac:dyDescent="0.25">
      <c r="A34" t="str">
        <f>_xll.BDP("283113JL Muni","ID_CUSIP")</f>
        <v>#N/A Requesting Data...</v>
      </c>
      <c r="B34" t="s">
        <v>33</v>
      </c>
      <c r="C34" t="str">
        <f>_xll.BDP("283113JL Muni","INSURANCE_STATUS")</f>
        <v>#N/A Requesting Data...</v>
      </c>
      <c r="D34" t="str">
        <f>_xll.BDP("283113JL Muni","STATE_CODE")</f>
        <v>#N/A Requesting Data...</v>
      </c>
      <c r="E34" t="str">
        <f>_xll.BDP("283113JL Muni","COUNTY_LOCATION_ISSUER")</f>
        <v>#N/A Requesting Data...</v>
      </c>
      <c r="F34" t="str">
        <f>_xll.BDP("283113JL Muni","DUR_ADJ_MID")</f>
        <v>#N/A Requesting Data...</v>
      </c>
      <c r="G34" t="str">
        <f>_xll.BDP("283113JL Muni","SPREAD_AT_ISSUANCE_TO_WORST")</f>
        <v>#N/A Requesting Data...</v>
      </c>
      <c r="H34" t="str">
        <f>_xll.BDP("283113JL Muni","ISSUE_DT")</f>
        <v>#N/A Requesting Data...</v>
      </c>
      <c r="I34" t="str">
        <f>_xll.BDS("283113JL Muni","MUNI_PURPOSE_SCHED", "aggregate=y")</f>
        <v>#N/A Requesting Data...</v>
      </c>
      <c r="J34" t="str">
        <f>_xll.BDP("283113JL Muni","CPN")</f>
        <v>#N/A Requesting Data...</v>
      </c>
      <c r="K34" t="str">
        <f>_xll.BDP("283113JL Muni","MATURITY")</f>
        <v>#N/A Requesting Data...</v>
      </c>
      <c r="L34">
        <v>255000</v>
      </c>
      <c r="M34" t="str">
        <f>_xll.BDP("283113JL Muni","YIELD_ON_ISSUE_DATE")</f>
        <v>#N/A Requesting Data...</v>
      </c>
      <c r="N34" t="str">
        <f>_xll.BDP("283113JL Muni","YTW_SPREAD_TO_MATURITY_AT_ISSU")</f>
        <v>#N/A Requesting Data...</v>
      </c>
      <c r="O34" t="str">
        <f>_xll.BDP("283113JL Muni","BVAL_MID_YTM")</f>
        <v>#N/A Requesting Data...</v>
      </c>
      <c r="P34" t="str">
        <f>_xll.BDP("283113JL Muni","MUNI_TAX_PROV")</f>
        <v>#N/A Requesting Data...</v>
      </c>
      <c r="Q34" t="str">
        <f>_xll.BDP("283113JL Muni","MUNI_FED_TAX")</f>
        <v>#N/A Requesting Data...</v>
      </c>
      <c r="R34" t="str">
        <f>_xll.BDP("283113JL Muni","MUNI_MSRB_VOLUME")</f>
        <v>#N/A Requesting Data...</v>
      </c>
      <c r="S34" t="str">
        <f>_xll.BDP("283113JL Muni","BB_COMPOSITE")</f>
        <v>#N/A Requesting Data...</v>
      </c>
      <c r="T34" t="str">
        <f>_xll.BDP("283113JL Muni","LQA_LIQUIDITY_SCORE")</f>
        <v>#N/A Requesting Data...</v>
      </c>
    </row>
    <row r="35" spans="1:20" x14ac:dyDescent="0.25">
      <c r="A35" t="str">
        <f>_xll.BDP("283113JM Muni","ID_CUSIP")</f>
        <v>#N/A Requesting Data...</v>
      </c>
      <c r="B35" t="s">
        <v>33</v>
      </c>
      <c r="C35" t="str">
        <f>_xll.BDP("283113JM Muni","INSURANCE_STATUS")</f>
        <v>#N/A Requesting Data...</v>
      </c>
      <c r="D35" t="str">
        <f>_xll.BDP("283113JM Muni","STATE_CODE")</f>
        <v>#N/A Requesting Data...</v>
      </c>
      <c r="E35" t="str">
        <f>_xll.BDP("283113JM Muni","COUNTY_LOCATION_ISSUER")</f>
        <v>#N/A Requesting Data...</v>
      </c>
      <c r="F35" t="str">
        <f>_xll.BDP("283113JM Muni","DUR_ADJ_MID")</f>
        <v>#N/A Requesting Data...</v>
      </c>
      <c r="G35" t="str">
        <f>_xll.BDP("283113JM Muni","SPREAD_AT_ISSUANCE_TO_WORST")</f>
        <v>#N/A Requesting Data...</v>
      </c>
      <c r="H35" t="str">
        <f>_xll.BDP("283113JM Muni","ISSUE_DT")</f>
        <v>#N/A Requesting Data...</v>
      </c>
      <c r="I35" t="str">
        <f>_xll.BDS("283113JM Muni","MUNI_PURPOSE_SCHED", "aggregate=y")</f>
        <v>#N/A Requesting Data...</v>
      </c>
      <c r="J35" t="str">
        <f>_xll.BDP("283113JM Muni","CPN")</f>
        <v>#N/A Requesting Data...</v>
      </c>
      <c r="K35" t="str">
        <f>_xll.BDP("283113JM Muni","MATURITY")</f>
        <v>#N/A Requesting Data...</v>
      </c>
      <c r="L35">
        <v>280000</v>
      </c>
      <c r="M35" t="str">
        <f>_xll.BDP("283113JM Muni","YIELD_ON_ISSUE_DATE")</f>
        <v>#N/A Requesting Data...</v>
      </c>
      <c r="N35" t="str">
        <f>_xll.BDP("283113JM Muni","YTW_SPREAD_TO_MATURITY_AT_ISSU")</f>
        <v>#N/A Requesting Data...</v>
      </c>
      <c r="O35" t="str">
        <f>_xll.BDP("283113JM Muni","BVAL_MID_YTM")</f>
        <v>#N/A Requesting Data...</v>
      </c>
      <c r="P35" t="str">
        <f>_xll.BDP("283113JM Muni","MUNI_TAX_PROV")</f>
        <v>#N/A Requesting Data...</v>
      </c>
      <c r="Q35" t="str">
        <f>_xll.BDP("283113JM Muni","MUNI_FED_TAX")</f>
        <v>#N/A Requesting Data...</v>
      </c>
      <c r="R35" t="str">
        <f>_xll.BDP("283113JM Muni","MUNI_MSRB_VOLUME")</f>
        <v>#N/A Requesting Data...</v>
      </c>
      <c r="S35" t="str">
        <f>_xll.BDP("283113JM Muni","BB_COMPOSITE")</f>
        <v>#N/A Requesting Data...</v>
      </c>
      <c r="T35" t="str">
        <f>_xll.BDP("283113JM Muni","LQA_LIQUIDITY_SCORE")</f>
        <v>#N/A Requesting Data...</v>
      </c>
    </row>
    <row r="36" spans="1:20" x14ac:dyDescent="0.25">
      <c r="A36" t="str">
        <f>_xll.BDP("283113JN Muni","ID_CUSIP")</f>
        <v>#N/A Requesting Data...</v>
      </c>
      <c r="B36" t="s">
        <v>33</v>
      </c>
      <c r="C36" t="str">
        <f>_xll.BDP("283113JN Muni","INSURANCE_STATUS")</f>
        <v>#N/A Requesting Data...</v>
      </c>
      <c r="D36" t="str">
        <f>_xll.BDP("283113JN Muni","STATE_CODE")</f>
        <v>#N/A Requesting Data...</v>
      </c>
      <c r="E36" t="str">
        <f>_xll.BDP("283113JN Muni","COUNTY_LOCATION_ISSUER")</f>
        <v>#N/A Requesting Data...</v>
      </c>
      <c r="F36" t="str">
        <f>_xll.BDP("283113JN Muni","DUR_ADJ_MID")</f>
        <v>#N/A Requesting Data...</v>
      </c>
      <c r="G36" t="str">
        <f>_xll.BDP("283113JN Muni","SPREAD_AT_ISSUANCE_TO_WORST")</f>
        <v>#N/A Requesting Data...</v>
      </c>
      <c r="H36" t="str">
        <f>_xll.BDP("283113JN Muni","ISSUE_DT")</f>
        <v>#N/A Requesting Data...</v>
      </c>
      <c r="I36" t="str">
        <f>_xll.BDS("283113JN Muni","MUNI_PURPOSE_SCHED", "aggregate=y")</f>
        <v>#N/A Requesting Data...</v>
      </c>
      <c r="J36" t="str">
        <f>_xll.BDP("283113JN Muni","CPN")</f>
        <v>#N/A Requesting Data...</v>
      </c>
      <c r="K36" t="str">
        <f>_xll.BDP("283113JN Muni","MATURITY")</f>
        <v>#N/A Requesting Data...</v>
      </c>
      <c r="L36">
        <v>315000</v>
      </c>
      <c r="M36" t="str">
        <f>_xll.BDP("283113JN Muni","YIELD_ON_ISSUE_DATE")</f>
        <v>#N/A Requesting Data...</v>
      </c>
      <c r="N36" t="str">
        <f>_xll.BDP("283113JN Muni","YTW_SPREAD_TO_MATURITY_AT_ISSU")</f>
        <v>#N/A Requesting Data...</v>
      </c>
      <c r="O36" t="str">
        <f>_xll.BDP("283113JN Muni","BVAL_MID_YTM")</f>
        <v>#N/A Requesting Data...</v>
      </c>
      <c r="P36" t="str">
        <f>_xll.BDP("283113JN Muni","MUNI_TAX_PROV")</f>
        <v>#N/A Requesting Data...</v>
      </c>
      <c r="Q36" t="str">
        <f>_xll.BDP("283113JN Muni","MUNI_FED_TAX")</f>
        <v>#N/A Requesting Data...</v>
      </c>
      <c r="R36" t="str">
        <f>_xll.BDP("283113JN Muni","MUNI_MSRB_VOLUME")</f>
        <v>#N/A Requesting Data...</v>
      </c>
      <c r="S36" t="str">
        <f>_xll.BDP("283113JN Muni","BB_COMPOSITE")</f>
        <v>#N/A Requesting Data...</v>
      </c>
      <c r="T36" t="str">
        <f>_xll.BDP("283113JN Muni","LQA_LIQUIDITY_SCORE")</f>
        <v>#N/A Requesting Data...</v>
      </c>
    </row>
    <row r="37" spans="1:20" x14ac:dyDescent="0.25">
      <c r="A37" t="str">
        <f>_xll.BDP("28335TBU Muni","ID_CUSIP")</f>
        <v>#N/A Requesting Data...</v>
      </c>
      <c r="B37" t="s">
        <v>34</v>
      </c>
      <c r="C37" t="str">
        <f>_xll.BDP("28335TBU Muni","INSURANCE_STATUS")</f>
        <v>#N/A Requesting Data...</v>
      </c>
      <c r="D37" t="str">
        <f>_xll.BDP("28335TBU Muni","STATE_CODE")</f>
        <v>#N/A Requesting Data...</v>
      </c>
      <c r="E37" t="str">
        <f>_xll.BDP("28335TBU Muni","COUNTY_LOCATION_ISSUER")</f>
        <v>#N/A Requesting Data...</v>
      </c>
      <c r="F37" t="str">
        <f>_xll.BDP("28335TBU Muni","DUR_ADJ_MID")</f>
        <v>#N/A Requesting Data...</v>
      </c>
      <c r="G37" t="str">
        <f>_xll.BDP("28335TBU Muni","SPREAD_AT_ISSUANCE_TO_WORST")</f>
        <v>#N/A Requesting Data...</v>
      </c>
      <c r="H37" t="str">
        <f>_xll.BDP("28335TBU Muni","ISSUE_DT")</f>
        <v>#N/A Requesting Data...</v>
      </c>
      <c r="I37" t="str">
        <f>_xll.BDS("28335TBU Muni","MUNI_PURPOSE_SCHED", "aggregate=y")</f>
        <v>#N/A Requesting Data...</v>
      </c>
      <c r="J37" t="str">
        <f>_xll.BDP("28335TBU Muni","CPN")</f>
        <v>#N/A Requesting Data...</v>
      </c>
      <c r="K37" t="str">
        <f>_xll.BDP("28335TBU Muni","MATURITY")</f>
        <v>#N/A Requesting Data...</v>
      </c>
      <c r="L37">
        <v>570000</v>
      </c>
      <c r="M37" t="str">
        <f>_xll.BDP("28335TBU Muni","YIELD_ON_ISSUE_DATE")</f>
        <v>#N/A Requesting Data...</v>
      </c>
      <c r="N37" t="str">
        <f>_xll.BDP("28335TBU Muni","YTW_SPREAD_TO_MATURITY_AT_ISSU")</f>
        <v>#N/A Requesting Data...</v>
      </c>
      <c r="O37" t="str">
        <f>_xll.BDP("28335TBU Muni","BVAL_MID_YTM")</f>
        <v>#N/A Requesting Data...</v>
      </c>
      <c r="P37" t="str">
        <f>_xll.BDP("28335TBU Muni","MUNI_TAX_PROV")</f>
        <v>#N/A Requesting Data...</v>
      </c>
      <c r="Q37" t="str">
        <f>_xll.BDP("28335TBU Muni","MUNI_FED_TAX")</f>
        <v>#N/A Requesting Data...</v>
      </c>
      <c r="R37" t="str">
        <f>_xll.BDP("28335TBU Muni","MUNI_MSRB_VOLUME")</f>
        <v>#N/A Requesting Data...</v>
      </c>
      <c r="S37" t="str">
        <f>_xll.BDP("28335TBU Muni","BB_COMPOSITE")</f>
        <v>#N/A Requesting Data...</v>
      </c>
      <c r="T37" t="str">
        <f>_xll.BDP("28335TBU Muni","LQA_LIQUIDITY_SCORE")</f>
        <v>#N/A Requesting Data...</v>
      </c>
    </row>
    <row r="38" spans="1:20" x14ac:dyDescent="0.25">
      <c r="A38" t="str">
        <f>_xll.BDP("28335TBV Muni","ID_CUSIP")</f>
        <v>#N/A Requesting Data...</v>
      </c>
      <c r="B38" t="s">
        <v>34</v>
      </c>
      <c r="C38" t="str">
        <f>_xll.BDP("28335TBV Muni","INSURANCE_STATUS")</f>
        <v>#N/A Requesting Data...</v>
      </c>
      <c r="D38" t="str">
        <f>_xll.BDP("28335TBV Muni","STATE_CODE")</f>
        <v>#N/A Requesting Data...</v>
      </c>
      <c r="E38" t="str">
        <f>_xll.BDP("28335TBV Muni","COUNTY_LOCATION_ISSUER")</f>
        <v>#N/A Requesting Data...</v>
      </c>
      <c r="F38" t="str">
        <f>_xll.BDP("28335TBV Muni","DUR_ADJ_MID")</f>
        <v>#N/A Requesting Data...</v>
      </c>
      <c r="G38" t="str">
        <f>_xll.BDP("28335TBV Muni","SPREAD_AT_ISSUANCE_TO_WORST")</f>
        <v>#N/A Requesting Data...</v>
      </c>
      <c r="H38" t="str">
        <f>_xll.BDP("28335TBV Muni","ISSUE_DT")</f>
        <v>#N/A Requesting Data...</v>
      </c>
      <c r="I38" t="str">
        <f>_xll.BDS("28335TBV Muni","MUNI_PURPOSE_SCHED", "aggregate=y")</f>
        <v>#N/A Requesting Data...</v>
      </c>
      <c r="J38" t="str">
        <f>_xll.BDP("28335TBV Muni","CPN")</f>
        <v>#N/A Requesting Data...</v>
      </c>
      <c r="K38" t="str">
        <f>_xll.BDP("28335TBV Muni","MATURITY")</f>
        <v>#N/A Requesting Data...</v>
      </c>
      <c r="L38">
        <v>600000</v>
      </c>
      <c r="M38" t="str">
        <f>_xll.BDP("28335TBV Muni","YIELD_ON_ISSUE_DATE")</f>
        <v>#N/A Requesting Data...</v>
      </c>
      <c r="N38" t="str">
        <f>_xll.BDP("28335TBV Muni","YTW_SPREAD_TO_MATURITY_AT_ISSU")</f>
        <v>#N/A Requesting Data...</v>
      </c>
      <c r="O38" t="str">
        <f>_xll.BDP("28335TBV Muni","BVAL_MID_YTM")</f>
        <v>#N/A Requesting Data...</v>
      </c>
      <c r="P38" t="str">
        <f>_xll.BDP("28335TBV Muni","MUNI_TAX_PROV")</f>
        <v>#N/A Requesting Data...</v>
      </c>
      <c r="Q38" t="str">
        <f>_xll.BDP("28335TBV Muni","MUNI_FED_TAX")</f>
        <v>#N/A Requesting Data...</v>
      </c>
      <c r="R38" t="str">
        <f>_xll.BDP("28335TBV Muni","MUNI_MSRB_VOLUME")</f>
        <v>#N/A Requesting Data...</v>
      </c>
      <c r="S38" t="str">
        <f>_xll.BDP("28335TBV Muni","BB_COMPOSITE")</f>
        <v>#N/A Requesting Data...</v>
      </c>
      <c r="T38" t="str">
        <f>_xll.BDP("28335TBV Muni","LQA_LIQUIDITY_SCORE")</f>
        <v>#N/A Requesting Data...</v>
      </c>
    </row>
    <row r="39" spans="1:20" x14ac:dyDescent="0.25">
      <c r="A39" t="str">
        <f>_xll.BDP("28335TBW Muni","ID_CUSIP")</f>
        <v>#N/A Requesting Data...</v>
      </c>
      <c r="B39" t="s">
        <v>34</v>
      </c>
      <c r="C39" t="str">
        <f>_xll.BDP("28335TBW Muni","INSURANCE_STATUS")</f>
        <v>#N/A Requesting Data...</v>
      </c>
      <c r="D39" t="str">
        <f>_xll.BDP("28335TBW Muni","STATE_CODE")</f>
        <v>#N/A Requesting Data...</v>
      </c>
      <c r="E39" t="str">
        <f>_xll.BDP("28335TBW Muni","COUNTY_LOCATION_ISSUER")</f>
        <v>#N/A Requesting Data...</v>
      </c>
      <c r="F39" t="str">
        <f>_xll.BDP("28335TBW Muni","DUR_ADJ_MID")</f>
        <v>#N/A Requesting Data...</v>
      </c>
      <c r="G39" t="str">
        <f>_xll.BDP("28335TBW Muni","SPREAD_AT_ISSUANCE_TO_WORST")</f>
        <v>#N/A Requesting Data...</v>
      </c>
      <c r="H39" t="str">
        <f>_xll.BDP("28335TBW Muni","ISSUE_DT")</f>
        <v>#N/A Requesting Data...</v>
      </c>
      <c r="I39" t="str">
        <f>_xll.BDS("28335TBW Muni","MUNI_PURPOSE_SCHED", "aggregate=y")</f>
        <v>#N/A Requesting Data...</v>
      </c>
      <c r="J39" t="str">
        <f>_xll.BDP("28335TBW Muni","CPN")</f>
        <v>#N/A Requesting Data...</v>
      </c>
      <c r="K39" t="str">
        <f>_xll.BDP("28335TBW Muni","MATURITY")</f>
        <v>#N/A Requesting Data...</v>
      </c>
      <c r="L39">
        <v>625000</v>
      </c>
      <c r="M39" t="str">
        <f>_xll.BDP("28335TBW Muni","YIELD_ON_ISSUE_DATE")</f>
        <v>#N/A Requesting Data...</v>
      </c>
      <c r="N39" t="str">
        <f>_xll.BDP("28335TBW Muni","YTW_SPREAD_TO_MATURITY_AT_ISSU")</f>
        <v>#N/A Requesting Data...</v>
      </c>
      <c r="O39" t="str">
        <f>_xll.BDP("28335TBW Muni","BVAL_MID_YTM")</f>
        <v>#N/A Requesting Data...</v>
      </c>
      <c r="P39" t="str">
        <f>_xll.BDP("28335TBW Muni","MUNI_TAX_PROV")</f>
        <v>#N/A Requesting Data...</v>
      </c>
      <c r="Q39" t="str">
        <f>_xll.BDP("28335TBW Muni","MUNI_FED_TAX")</f>
        <v>#N/A Requesting Data...</v>
      </c>
      <c r="R39" t="str">
        <f>_xll.BDP("28335TBW Muni","MUNI_MSRB_VOLUME")</f>
        <v>#N/A Requesting Data...</v>
      </c>
      <c r="S39" t="str">
        <f>_xll.BDP("28335TBW Muni","BB_COMPOSITE")</f>
        <v>#N/A Requesting Data...</v>
      </c>
      <c r="T39" t="str">
        <f>_xll.BDP("28335TBW Muni","LQA_LIQUIDITY_SCORE")</f>
        <v>#N/A Requesting Data...</v>
      </c>
    </row>
    <row r="40" spans="1:20" x14ac:dyDescent="0.25">
      <c r="A40" t="str">
        <f>_xll.BDP("28335TBX Muni","ID_CUSIP")</f>
        <v>#N/A Requesting Data...</v>
      </c>
      <c r="B40" t="s">
        <v>34</v>
      </c>
      <c r="C40" t="str">
        <f>_xll.BDP("28335TBX Muni","INSURANCE_STATUS")</f>
        <v>#N/A Requesting Data...</v>
      </c>
      <c r="D40" t="str">
        <f>_xll.BDP("28335TBX Muni","STATE_CODE")</f>
        <v>#N/A Requesting Data...</v>
      </c>
      <c r="E40" t="str">
        <f>_xll.BDP("28335TBX Muni","COUNTY_LOCATION_ISSUER")</f>
        <v>#N/A Requesting Data...</v>
      </c>
      <c r="F40" t="str">
        <f>_xll.BDP("28335TBX Muni","DUR_ADJ_MID")</f>
        <v>#N/A Requesting Data...</v>
      </c>
      <c r="G40" t="str">
        <f>_xll.BDP("28335TBX Muni","SPREAD_AT_ISSUANCE_TO_WORST")</f>
        <v>#N/A Requesting Data...</v>
      </c>
      <c r="H40" t="str">
        <f>_xll.BDP("28335TBX Muni","ISSUE_DT")</f>
        <v>#N/A Requesting Data...</v>
      </c>
      <c r="I40" t="str">
        <f>_xll.BDS("28335TBX Muni","MUNI_PURPOSE_SCHED", "aggregate=y")</f>
        <v>#N/A Requesting Data...</v>
      </c>
      <c r="J40" t="str">
        <f>_xll.BDP("28335TBX Muni","CPN")</f>
        <v>#N/A Requesting Data...</v>
      </c>
      <c r="K40" t="str">
        <f>_xll.BDP("28335TBX Muni","MATURITY")</f>
        <v>#N/A Requesting Data...</v>
      </c>
      <c r="L40">
        <v>660000</v>
      </c>
      <c r="M40" t="str">
        <f>_xll.BDP("28335TBX Muni","YIELD_ON_ISSUE_DATE")</f>
        <v>#N/A Requesting Data...</v>
      </c>
      <c r="N40" t="str">
        <f>_xll.BDP("28335TBX Muni","YTW_SPREAD_TO_MATURITY_AT_ISSU")</f>
        <v>#N/A Requesting Data...</v>
      </c>
      <c r="O40" t="str">
        <f>_xll.BDP("28335TBX Muni","BVAL_MID_YTM")</f>
        <v>#N/A Requesting Data...</v>
      </c>
      <c r="P40" t="str">
        <f>_xll.BDP("28335TBX Muni","MUNI_TAX_PROV")</f>
        <v>#N/A Requesting Data...</v>
      </c>
      <c r="Q40" t="str">
        <f>_xll.BDP("28335TBX Muni","MUNI_FED_TAX")</f>
        <v>#N/A Requesting Data...</v>
      </c>
      <c r="R40" t="str">
        <f>_xll.BDP("28335TBX Muni","MUNI_MSRB_VOLUME")</f>
        <v>#N/A Requesting Data...</v>
      </c>
      <c r="S40" t="str">
        <f>_xll.BDP("28335TBX Muni","BB_COMPOSITE")</f>
        <v>#N/A Requesting Data...</v>
      </c>
      <c r="T40" t="str">
        <f>_xll.BDP("28335TBX Muni","LQA_LIQUIDITY_SCORE")</f>
        <v>#N/A Requesting Data...</v>
      </c>
    </row>
    <row r="41" spans="1:20" x14ac:dyDescent="0.25">
      <c r="A41" t="str">
        <f>_xll.BDP("28335TBY Muni","ID_CUSIP")</f>
        <v>#N/A Requesting Data...</v>
      </c>
      <c r="B41" t="s">
        <v>34</v>
      </c>
      <c r="C41" t="str">
        <f>_xll.BDP("28335TBY Muni","INSURANCE_STATUS")</f>
        <v>#N/A Requesting Data...</v>
      </c>
      <c r="D41" t="str">
        <f>_xll.BDP("28335TBY Muni","STATE_CODE")</f>
        <v>#N/A Requesting Data...</v>
      </c>
      <c r="E41" t="str">
        <f>_xll.BDP("28335TBY Muni","COUNTY_LOCATION_ISSUER")</f>
        <v>#N/A Requesting Data...</v>
      </c>
      <c r="F41" t="str">
        <f>_xll.BDP("28335TBY Muni","DUR_ADJ_MID")</f>
        <v>#N/A Requesting Data...</v>
      </c>
      <c r="G41" t="str">
        <f>_xll.BDP("28335TBY Muni","SPREAD_AT_ISSUANCE_TO_WORST")</f>
        <v>#N/A Requesting Data...</v>
      </c>
      <c r="H41" t="str">
        <f>_xll.BDP("28335TBY Muni","ISSUE_DT")</f>
        <v>#N/A Requesting Data...</v>
      </c>
      <c r="I41" t="str">
        <f>_xll.BDS("28335TBY Muni","MUNI_PURPOSE_SCHED", "aggregate=y")</f>
        <v>#N/A Requesting Data...</v>
      </c>
      <c r="J41" t="str">
        <f>_xll.BDP("28335TBY Muni","CPN")</f>
        <v>#N/A Requesting Data...</v>
      </c>
      <c r="K41" t="str">
        <f>_xll.BDP("28335TBY Muni","MATURITY")</f>
        <v>#N/A Requesting Data...</v>
      </c>
      <c r="L41">
        <v>695000</v>
      </c>
      <c r="M41" t="str">
        <f>_xll.BDP("28335TBY Muni","YIELD_ON_ISSUE_DATE")</f>
        <v>#N/A Requesting Data...</v>
      </c>
      <c r="N41" t="str">
        <f>_xll.BDP("28335TBY Muni","YTW_SPREAD_TO_MATURITY_AT_ISSU")</f>
        <v>#N/A Requesting Data...</v>
      </c>
      <c r="O41" t="str">
        <f>_xll.BDP("28335TBY Muni","BVAL_MID_YTM")</f>
        <v>#N/A Requesting Data...</v>
      </c>
      <c r="P41" t="str">
        <f>_xll.BDP("28335TBY Muni","MUNI_TAX_PROV")</f>
        <v>#N/A Requesting Data...</v>
      </c>
      <c r="Q41" t="str">
        <f>_xll.BDP("28335TBY Muni","MUNI_FED_TAX")</f>
        <v>#N/A Requesting Data...</v>
      </c>
      <c r="R41" t="str">
        <f>_xll.BDP("28335TBY Muni","MUNI_MSRB_VOLUME")</f>
        <v>#N/A Requesting Data...</v>
      </c>
      <c r="S41" t="str">
        <f>_xll.BDP("28335TBY Muni","BB_COMPOSITE")</f>
        <v>#N/A Requesting Data...</v>
      </c>
      <c r="T41" t="str">
        <f>_xll.BDP("28335TBY Muni","LQA_LIQUIDITY_SCORE")</f>
        <v>#N/A Requesting Data...</v>
      </c>
    </row>
    <row r="42" spans="1:20" x14ac:dyDescent="0.25">
      <c r="A42" t="str">
        <f>_xll.BDP("28335TBZ Muni","ID_CUSIP")</f>
        <v>#N/A Requesting Data...</v>
      </c>
      <c r="B42" t="s">
        <v>34</v>
      </c>
      <c r="C42" t="str">
        <f>_xll.BDP("28335TBZ Muni","INSURANCE_STATUS")</f>
        <v>#N/A Requesting Data...</v>
      </c>
      <c r="D42" t="str">
        <f>_xll.BDP("28335TBZ Muni","STATE_CODE")</f>
        <v>#N/A Requesting Data...</v>
      </c>
      <c r="E42" t="str">
        <f>_xll.BDP("28335TBZ Muni","COUNTY_LOCATION_ISSUER")</f>
        <v>#N/A Requesting Data...</v>
      </c>
      <c r="F42" t="str">
        <f>_xll.BDP("28335TBZ Muni","DUR_ADJ_MID")</f>
        <v>#N/A Requesting Data...</v>
      </c>
      <c r="G42" t="str">
        <f>_xll.BDP("28335TBZ Muni","SPREAD_AT_ISSUANCE_TO_WORST")</f>
        <v>#N/A Requesting Data...</v>
      </c>
      <c r="H42" t="str">
        <f>_xll.BDP("28335TBZ Muni","ISSUE_DT")</f>
        <v>#N/A Requesting Data...</v>
      </c>
      <c r="I42" t="str">
        <f>_xll.BDS("28335TBZ Muni","MUNI_PURPOSE_SCHED", "aggregate=y")</f>
        <v>#N/A Requesting Data...</v>
      </c>
      <c r="J42" t="str">
        <f>_xll.BDP("28335TBZ Muni","CPN")</f>
        <v>#N/A Requesting Data...</v>
      </c>
      <c r="K42" t="str">
        <f>_xll.BDP("28335TBZ Muni","MATURITY")</f>
        <v>#N/A Requesting Data...</v>
      </c>
      <c r="L42">
        <v>730000</v>
      </c>
      <c r="M42" t="str">
        <f>_xll.BDP("28335TBZ Muni","YIELD_ON_ISSUE_DATE")</f>
        <v>#N/A Requesting Data...</v>
      </c>
      <c r="N42" t="str">
        <f>_xll.BDP("28335TBZ Muni","YTW_SPREAD_TO_MATURITY_AT_ISSU")</f>
        <v>#N/A Requesting Data...</v>
      </c>
      <c r="O42" t="str">
        <f>_xll.BDP("28335TBZ Muni","BVAL_MID_YTM")</f>
        <v>#N/A Requesting Data...</v>
      </c>
      <c r="P42" t="str">
        <f>_xll.BDP("28335TBZ Muni","MUNI_TAX_PROV")</f>
        <v>#N/A Requesting Data...</v>
      </c>
      <c r="Q42" t="str">
        <f>_xll.BDP("28335TBZ Muni","MUNI_FED_TAX")</f>
        <v>#N/A Requesting Data...</v>
      </c>
      <c r="R42" t="str">
        <f>_xll.BDP("28335TBZ Muni","MUNI_MSRB_VOLUME")</f>
        <v>#N/A Requesting Data...</v>
      </c>
      <c r="S42" t="str">
        <f>_xll.BDP("28335TBZ Muni","BB_COMPOSITE")</f>
        <v>#N/A Requesting Data...</v>
      </c>
      <c r="T42" t="str">
        <f>_xll.BDP("28335TBZ Muni","LQA_LIQUIDITY_SCORE")</f>
        <v>#N/A Requesting Data...</v>
      </c>
    </row>
    <row r="43" spans="1:20" x14ac:dyDescent="0.25">
      <c r="A43" t="str">
        <f>_xll.BDP("28335TCA Muni","ID_CUSIP")</f>
        <v>#N/A Requesting Data...</v>
      </c>
      <c r="B43" t="s">
        <v>34</v>
      </c>
      <c r="C43" t="str">
        <f>_xll.BDP("28335TCA Muni","INSURANCE_STATUS")</f>
        <v>#N/A Requesting Data...</v>
      </c>
      <c r="D43" t="str">
        <f>_xll.BDP("28335TCA Muni","STATE_CODE")</f>
        <v>#N/A Requesting Data...</v>
      </c>
      <c r="E43" t="str">
        <f>_xll.BDP("28335TCA Muni","COUNTY_LOCATION_ISSUER")</f>
        <v>#N/A Requesting Data...</v>
      </c>
      <c r="F43" t="str">
        <f>_xll.BDP("28335TCA Muni","DUR_ADJ_MID")</f>
        <v>#N/A Requesting Data...</v>
      </c>
      <c r="G43" t="str">
        <f>_xll.BDP("28335TCA Muni","SPREAD_AT_ISSUANCE_TO_WORST")</f>
        <v>#N/A Requesting Data...</v>
      </c>
      <c r="H43" t="str">
        <f>_xll.BDP("28335TCA Muni","ISSUE_DT")</f>
        <v>#N/A Requesting Data...</v>
      </c>
      <c r="I43" t="str">
        <f>_xll.BDS("28335TCA Muni","MUNI_PURPOSE_SCHED", "aggregate=y")</f>
        <v>#N/A Requesting Data...</v>
      </c>
      <c r="J43" t="str">
        <f>_xll.BDP("28335TCA Muni","CPN")</f>
        <v>#N/A Requesting Data...</v>
      </c>
      <c r="K43" t="str">
        <f>_xll.BDP("28335TCA Muni","MATURITY")</f>
        <v>#N/A Requesting Data...</v>
      </c>
      <c r="L43">
        <v>765000</v>
      </c>
      <c r="M43" t="str">
        <f>_xll.BDP("28335TCA Muni","YIELD_ON_ISSUE_DATE")</f>
        <v>#N/A Requesting Data...</v>
      </c>
      <c r="N43" t="str">
        <f>_xll.BDP("28335TCA Muni","YTW_SPREAD_TO_MATURITY_AT_ISSU")</f>
        <v>#N/A Requesting Data...</v>
      </c>
      <c r="O43" t="str">
        <f>_xll.BDP("28335TCA Muni","BVAL_MID_YTM")</f>
        <v>#N/A Requesting Data...</v>
      </c>
      <c r="P43" t="str">
        <f>_xll.BDP("28335TCA Muni","MUNI_TAX_PROV")</f>
        <v>#N/A Requesting Data...</v>
      </c>
      <c r="Q43" t="str">
        <f>_xll.BDP("28335TCA Muni","MUNI_FED_TAX")</f>
        <v>#N/A Requesting Data...</v>
      </c>
      <c r="R43" t="str">
        <f>_xll.BDP("28335TCA Muni","MUNI_MSRB_VOLUME")</f>
        <v>#N/A Requesting Data...</v>
      </c>
      <c r="S43" t="str">
        <f>_xll.BDP("28335TCA Muni","BB_COMPOSITE")</f>
        <v>#N/A Requesting Data...</v>
      </c>
      <c r="T43" t="str">
        <f>_xll.BDP("28335TCA Muni","LQA_LIQUIDITY_SCORE")</f>
        <v>#N/A Requesting Data...</v>
      </c>
    </row>
    <row r="44" spans="1:20" x14ac:dyDescent="0.25">
      <c r="A44" t="str">
        <f>_xll.BDP("34683YBD Muni","ID_CUSIP")</f>
        <v>#N/A Requesting Data...</v>
      </c>
      <c r="B44" t="s">
        <v>35</v>
      </c>
      <c r="C44" t="str">
        <f>_xll.BDP("34683YBD Muni","INSURANCE_STATUS")</f>
        <v>#N/A Requesting Data...</v>
      </c>
      <c r="D44" t="str">
        <f>_xll.BDP("34683YBD Muni","STATE_CODE")</f>
        <v>#N/A Requesting Data...</v>
      </c>
      <c r="E44" t="str">
        <f>_xll.BDP("34683YBD Muni","COUNTY_LOCATION_ISSUER")</f>
        <v>#N/A Requesting Data...</v>
      </c>
      <c r="F44" t="str">
        <f>_xll.BDP("34683YBD Muni","DUR_ADJ_MID")</f>
        <v>#N/A Requesting Data...</v>
      </c>
      <c r="G44" t="str">
        <f>_xll.BDP("34683YBD Muni","SPREAD_AT_ISSUANCE_TO_WORST")</f>
        <v>#N/A Requesting Data...</v>
      </c>
      <c r="H44" t="str">
        <f>_xll.BDP("34683YBD Muni","ISSUE_DT")</f>
        <v>#N/A Requesting Data...</v>
      </c>
      <c r="I44" t="str">
        <f>_xll.BDS("34683YBD Muni","MUNI_PURPOSE_SCHED", "aggregate=y")</f>
        <v>#N/A Requesting Data...</v>
      </c>
      <c r="J44" t="str">
        <f>_xll.BDP("34683YBD Muni","CPN")</f>
        <v>#N/A Requesting Data...</v>
      </c>
      <c r="K44" t="str">
        <f>_xll.BDP("34683YBD Muni","MATURITY")</f>
        <v>#N/A Requesting Data...</v>
      </c>
      <c r="L44">
        <v>95000</v>
      </c>
      <c r="M44" t="str">
        <f>_xll.BDP("34683YBD Muni","YIELD_ON_ISSUE_DATE")</f>
        <v>#N/A Requesting Data...</v>
      </c>
      <c r="N44" t="str">
        <f>_xll.BDP("34683YBD Muni","YTW_SPREAD_TO_MATURITY_AT_ISSU")</f>
        <v>#N/A Requesting Data...</v>
      </c>
      <c r="O44" t="str">
        <f>_xll.BDP("34683YBD Muni","BVAL_MID_YTM")</f>
        <v>#N/A Requesting Data...</v>
      </c>
      <c r="P44" t="str">
        <f>_xll.BDP("34683YBD Muni","MUNI_TAX_PROV")</f>
        <v>#N/A Requesting Data...</v>
      </c>
      <c r="Q44" t="str">
        <f>_xll.BDP("34683YBD Muni","MUNI_FED_TAX")</f>
        <v>#N/A Requesting Data...</v>
      </c>
      <c r="R44" t="str">
        <f>_xll.BDP("34683YBD Muni","MUNI_MSRB_VOLUME")</f>
        <v>#N/A Requesting Data...</v>
      </c>
      <c r="S44" t="str">
        <f>_xll.BDP("34683YBD Muni","BB_COMPOSITE")</f>
        <v>#N/A Requesting Data...</v>
      </c>
      <c r="T44" t="str">
        <f>_xll.BDP("34683YBD Muni","LQA_LIQUIDITY_SCORE")</f>
        <v>#N/A Requesting Data...</v>
      </c>
    </row>
    <row r="45" spans="1:20" x14ac:dyDescent="0.25">
      <c r="A45" t="str">
        <f>_xll.BDP("34684EAE Muni","ID_CUSIP")</f>
        <v>#N/A Requesting Data...</v>
      </c>
      <c r="B45" t="s">
        <v>36</v>
      </c>
      <c r="C45" t="str">
        <f>_xll.BDP("34684EAE Muni","INSURANCE_STATUS")</f>
        <v>#N/A Requesting Data...</v>
      </c>
      <c r="D45" t="str">
        <f>_xll.BDP("34684EAE Muni","STATE_CODE")</f>
        <v>#N/A Requesting Data...</v>
      </c>
      <c r="E45" t="str">
        <f>_xll.BDP("34684EAE Muni","COUNTY_LOCATION_ISSUER")</f>
        <v>#N/A Requesting Data...</v>
      </c>
      <c r="F45" t="str">
        <f>_xll.BDP("34684EAE Muni","DUR_ADJ_MID")</f>
        <v>#N/A Requesting Data...</v>
      </c>
      <c r="G45" t="str">
        <f>_xll.BDP("34684EAE Muni","SPREAD_AT_ISSUANCE_TO_WORST")</f>
        <v>#N/A Requesting Data...</v>
      </c>
      <c r="H45" t="str">
        <f>_xll.BDP("34684EAE Muni","ISSUE_DT")</f>
        <v>#N/A Requesting Data...</v>
      </c>
      <c r="I45" t="str">
        <f>_xll.BDS("34684EAE Muni","MUNI_PURPOSE_SCHED", "aggregate=y")</f>
        <v>#N/A Requesting Data...</v>
      </c>
      <c r="J45" t="str">
        <f>_xll.BDP("34684EAE Muni","CPN")</f>
        <v>#N/A Requesting Data...</v>
      </c>
      <c r="K45" t="str">
        <f>_xll.BDP("34684EAE Muni","MATURITY")</f>
        <v>#N/A Requesting Data...</v>
      </c>
      <c r="L45">
        <v>140000</v>
      </c>
      <c r="M45" t="str">
        <f>_xll.BDP("34684EAE Muni","YIELD_ON_ISSUE_DATE")</f>
        <v>#N/A Requesting Data...</v>
      </c>
      <c r="N45" t="str">
        <f>_xll.BDP("34684EAE Muni","YTW_SPREAD_TO_MATURITY_AT_ISSU")</f>
        <v>#N/A Requesting Data...</v>
      </c>
      <c r="O45" t="str">
        <f>_xll.BDP("34684EAE Muni","BVAL_MID_YTM")</f>
        <v>#N/A Requesting Data...</v>
      </c>
      <c r="P45" t="str">
        <f>_xll.BDP("34684EAE Muni","MUNI_TAX_PROV")</f>
        <v>#N/A Requesting Data...</v>
      </c>
      <c r="Q45" t="str">
        <f>_xll.BDP("34684EAE Muni","MUNI_FED_TAX")</f>
        <v>#N/A Requesting Data...</v>
      </c>
      <c r="R45" t="str">
        <f>_xll.BDP("34684EAE Muni","MUNI_MSRB_VOLUME")</f>
        <v>#N/A Requesting Data...</v>
      </c>
      <c r="S45" t="str">
        <f>_xll.BDP("34684EAE Muni","BB_COMPOSITE")</f>
        <v>#N/A Requesting Data...</v>
      </c>
      <c r="T45" t="str">
        <f>_xll.BDP("34684EAE Muni","LQA_LIQUIDITY_SCORE")</f>
        <v>#N/A Requesting Data...</v>
      </c>
    </row>
    <row r="46" spans="1:20" x14ac:dyDescent="0.25">
      <c r="A46" t="str">
        <f>_xll.BDP("346901YU Muni","ID_CUSIP")</f>
        <v>#N/A Requesting Data...</v>
      </c>
      <c r="B46" t="s">
        <v>37</v>
      </c>
      <c r="C46" t="str">
        <f>_xll.BDP("346901YU Muni","INSURANCE_STATUS")</f>
        <v>#N/A Requesting Data...</v>
      </c>
      <c r="D46" t="str">
        <f>_xll.BDP("346901YU Muni","STATE_CODE")</f>
        <v>#N/A Requesting Data...</v>
      </c>
      <c r="E46" t="str">
        <f>_xll.BDP("346901YU Muni","COUNTY_LOCATION_ISSUER")</f>
        <v>#N/A Requesting Data...</v>
      </c>
      <c r="F46" t="str">
        <f>_xll.BDP("346901YU Muni","DUR_ADJ_MID")</f>
        <v>#N/A Requesting Data...</v>
      </c>
      <c r="G46" t="str">
        <f>_xll.BDP("346901YU Muni","SPREAD_AT_ISSUANCE_TO_WORST")</f>
        <v>#N/A Requesting Data...</v>
      </c>
      <c r="H46" t="str">
        <f>_xll.BDP("346901YU Muni","ISSUE_DT")</f>
        <v>#N/A Requesting Data...</v>
      </c>
      <c r="I46" t="str">
        <f>_xll.BDS("346901YU Muni","MUNI_PURPOSE_SCHED", "aggregate=y")</f>
        <v>#N/A Requesting Data...</v>
      </c>
      <c r="J46" t="str">
        <f>_xll.BDP("346901YU Muni","CPN")</f>
        <v>#N/A Requesting Data...</v>
      </c>
      <c r="K46" t="str">
        <f>_xll.BDP("346901YU Muni","MATURITY")</f>
        <v>#N/A Requesting Data...</v>
      </c>
      <c r="L46">
        <v>225000</v>
      </c>
      <c r="M46" t="str">
        <f>_xll.BDP("346901YU Muni","YIELD_ON_ISSUE_DATE")</f>
        <v>#N/A Requesting Data...</v>
      </c>
      <c r="N46" t="str">
        <f>_xll.BDP("346901YU Muni","YTW_SPREAD_TO_MATURITY_AT_ISSU")</f>
        <v>#N/A Requesting Data...</v>
      </c>
      <c r="O46" t="str">
        <f>_xll.BDP("346901YU Muni","BVAL_MID_YTM")</f>
        <v>#N/A Requesting Data...</v>
      </c>
      <c r="P46" t="str">
        <f>_xll.BDP("346901YU Muni","MUNI_TAX_PROV")</f>
        <v>#N/A Requesting Data...</v>
      </c>
      <c r="Q46" t="str">
        <f>_xll.BDP("346901YU Muni","MUNI_FED_TAX")</f>
        <v>#N/A Requesting Data...</v>
      </c>
      <c r="R46" t="str">
        <f>_xll.BDP("346901YU Muni","MUNI_MSRB_VOLUME")</f>
        <v>#N/A Requesting Data...</v>
      </c>
      <c r="S46" t="str">
        <f>_xll.BDP("346901YU Muni","BB_COMPOSITE")</f>
        <v>#N/A Requesting Data...</v>
      </c>
      <c r="T46" t="str">
        <f>_xll.BDP("346901YU Muni","LQA_LIQUIDITY_SCORE")</f>
        <v>#N/A Requesting Data...</v>
      </c>
    </row>
    <row r="47" spans="1:20" x14ac:dyDescent="0.25">
      <c r="A47" t="str">
        <f>_xll.BDP("346901YW Muni","ID_CUSIP")</f>
        <v>#N/A Requesting Data...</v>
      </c>
      <c r="B47" t="s">
        <v>37</v>
      </c>
      <c r="C47" t="str">
        <f>_xll.BDP("346901YW Muni","INSURANCE_STATUS")</f>
        <v>#N/A Requesting Data...</v>
      </c>
      <c r="D47" t="str">
        <f>_xll.BDP("346901YW Muni","STATE_CODE")</f>
        <v>#N/A Requesting Data...</v>
      </c>
      <c r="E47" t="str">
        <f>_xll.BDP("346901YW Muni","COUNTY_LOCATION_ISSUER")</f>
        <v>#N/A Requesting Data...</v>
      </c>
      <c r="F47" t="str">
        <f>_xll.BDP("346901YW Muni","DUR_ADJ_MID")</f>
        <v>#N/A Requesting Data...</v>
      </c>
      <c r="G47" t="str">
        <f>_xll.BDP("346901YW Muni","SPREAD_AT_ISSUANCE_TO_WORST")</f>
        <v>#N/A Requesting Data...</v>
      </c>
      <c r="H47" t="str">
        <f>_xll.BDP("346901YW Muni","ISSUE_DT")</f>
        <v>#N/A Requesting Data...</v>
      </c>
      <c r="I47" t="str">
        <f>_xll.BDS("346901YW Muni","MUNI_PURPOSE_SCHED", "aggregate=y")</f>
        <v>#N/A Requesting Data...</v>
      </c>
      <c r="J47" t="str">
        <f>_xll.BDP("346901YW Muni","CPN")</f>
        <v>#N/A Requesting Data...</v>
      </c>
      <c r="K47" t="str">
        <f>_xll.BDP("346901YW Muni","MATURITY")</f>
        <v>#N/A Requesting Data...</v>
      </c>
      <c r="L47">
        <v>225000</v>
      </c>
      <c r="M47" t="str">
        <f>_xll.BDP("346901YW Muni","YIELD_ON_ISSUE_DATE")</f>
        <v>#N/A Requesting Data...</v>
      </c>
      <c r="N47" t="str">
        <f>_xll.BDP("346901YW Muni","YTW_SPREAD_TO_MATURITY_AT_ISSU")</f>
        <v>#N/A Requesting Data...</v>
      </c>
      <c r="O47" t="str">
        <f>_xll.BDP("346901YW Muni","BVAL_MID_YTM")</f>
        <v>#N/A Requesting Data...</v>
      </c>
      <c r="P47" t="str">
        <f>_xll.BDP("346901YW Muni","MUNI_TAX_PROV")</f>
        <v>#N/A Requesting Data...</v>
      </c>
      <c r="Q47" t="str">
        <f>_xll.BDP("346901YW Muni","MUNI_FED_TAX")</f>
        <v>#N/A Requesting Data...</v>
      </c>
      <c r="R47" t="str">
        <f>_xll.BDP("346901YW Muni","MUNI_MSRB_VOLUME")</f>
        <v>#N/A Requesting Data...</v>
      </c>
      <c r="S47" t="str">
        <f>_xll.BDP("346901YW Muni","BB_COMPOSITE")</f>
        <v>#N/A Requesting Data...</v>
      </c>
      <c r="T47" t="str">
        <f>_xll.BDP("346901YW Muni","LQA_LIQUIDITY_SCORE")</f>
        <v>#N/A Requesting Data...</v>
      </c>
    </row>
    <row r="48" spans="1:20" x14ac:dyDescent="0.25">
      <c r="A48" t="str">
        <f>_xll.BDP("346915GA Muni","ID_CUSIP")</f>
        <v>#N/A Requesting Data...</v>
      </c>
      <c r="B48" t="s">
        <v>38</v>
      </c>
      <c r="C48" t="str">
        <f>_xll.BDP("346915GA Muni","INSURANCE_STATUS")</f>
        <v>#N/A Requesting Data...</v>
      </c>
      <c r="D48" t="str">
        <f>_xll.BDP("346915GA Muni","STATE_CODE")</f>
        <v>#N/A Requesting Data...</v>
      </c>
      <c r="E48" t="str">
        <f>_xll.BDP("346915GA Muni","COUNTY_LOCATION_ISSUER")</f>
        <v>#N/A Requesting Data...</v>
      </c>
      <c r="F48" t="str">
        <f>_xll.BDP("346915GA Muni","DUR_ADJ_MID")</f>
        <v>#N/A Requesting Data...</v>
      </c>
      <c r="G48" t="str">
        <f>_xll.BDP("346915GA Muni","SPREAD_AT_ISSUANCE_TO_WORST")</f>
        <v>#N/A Requesting Data...</v>
      </c>
      <c r="H48" t="str">
        <f>_xll.BDP("346915GA Muni","ISSUE_DT")</f>
        <v>#N/A Requesting Data...</v>
      </c>
      <c r="I48" t="str">
        <f>_xll.BDS("346915GA Muni","MUNI_PURPOSE_SCHED", "aggregate=y")</f>
        <v>#N/A Requesting Data...</v>
      </c>
      <c r="J48" t="str">
        <f>_xll.BDP("346915GA Muni","CPN")</f>
        <v>#N/A Requesting Data...</v>
      </c>
      <c r="K48" t="str">
        <f>_xll.BDP("346915GA Muni","MATURITY")</f>
        <v>#N/A Requesting Data...</v>
      </c>
      <c r="L48">
        <v>120000</v>
      </c>
      <c r="M48" t="str">
        <f>_xll.BDP("346915GA Muni","YIELD_ON_ISSUE_DATE")</f>
        <v>#N/A Requesting Data...</v>
      </c>
      <c r="N48" t="str">
        <f>_xll.BDP("346915GA Muni","YTW_SPREAD_TO_MATURITY_AT_ISSU")</f>
        <v>#N/A Requesting Data...</v>
      </c>
      <c r="O48" t="str">
        <f>_xll.BDP("346915GA Muni","BVAL_MID_YTM")</f>
        <v>#N/A Requesting Data...</v>
      </c>
      <c r="P48" t="str">
        <f>_xll.BDP("346915GA Muni","MUNI_TAX_PROV")</f>
        <v>#N/A Requesting Data...</v>
      </c>
      <c r="Q48" t="str">
        <f>_xll.BDP("346915GA Muni","MUNI_FED_TAX")</f>
        <v>#N/A Requesting Data...</v>
      </c>
      <c r="R48" t="str">
        <f>_xll.BDP("346915GA Muni","MUNI_MSRB_VOLUME")</f>
        <v>#N/A Requesting Data...</v>
      </c>
      <c r="S48" t="str">
        <f>_xll.BDP("346915GA Muni","BB_COMPOSITE")</f>
        <v>#N/A Requesting Data...</v>
      </c>
      <c r="T48" t="str">
        <f>_xll.BDP("346915GA Muni","LQA_LIQUIDITY_SCORE")</f>
        <v>#N/A Requesting Data...</v>
      </c>
    </row>
    <row r="49" spans="1:20" x14ac:dyDescent="0.25">
      <c r="A49" t="str">
        <f>_xll.BDP("347226VA Muni","ID_CUSIP")</f>
        <v>#N/A Requesting Data...</v>
      </c>
      <c r="B49" t="s">
        <v>39</v>
      </c>
      <c r="C49" t="str">
        <f>_xll.BDP("347226VA Muni","INSURANCE_STATUS")</f>
        <v>#N/A Requesting Data...</v>
      </c>
      <c r="D49" t="str">
        <f>_xll.BDP("347226VA Muni","STATE_CODE")</f>
        <v>#N/A Requesting Data...</v>
      </c>
      <c r="E49" t="str">
        <f>_xll.BDP("347226VA Muni","COUNTY_LOCATION_ISSUER")</f>
        <v>#N/A Requesting Data...</v>
      </c>
      <c r="F49" t="str">
        <f>_xll.BDP("347226VA Muni","DUR_ADJ_MID")</f>
        <v>#N/A Requesting Data...</v>
      </c>
      <c r="G49" t="str">
        <f>_xll.BDP("347226VA Muni","SPREAD_AT_ISSUANCE_TO_WORST")</f>
        <v>#N/A Requesting Data...</v>
      </c>
      <c r="H49" t="str">
        <f>_xll.BDP("347226VA Muni","ISSUE_DT")</f>
        <v>#N/A Requesting Data...</v>
      </c>
      <c r="I49" t="str">
        <f>_xll.BDS("347226VA Muni","MUNI_PURPOSE_SCHED", "aggregate=y")</f>
        <v>#N/A Requesting Data...</v>
      </c>
      <c r="J49" t="str">
        <f>_xll.BDP("347226VA Muni","CPN")</f>
        <v>#N/A Requesting Data...</v>
      </c>
      <c r="K49" t="str">
        <f>_xll.BDP("347226VA Muni","MATURITY")</f>
        <v>#N/A Requesting Data...</v>
      </c>
      <c r="L49">
        <v>470000</v>
      </c>
      <c r="M49" t="str">
        <f>_xll.BDP("347226VA Muni","YIELD_ON_ISSUE_DATE")</f>
        <v>#N/A Requesting Data...</v>
      </c>
      <c r="N49" t="str">
        <f>_xll.BDP("347226VA Muni","YTW_SPREAD_TO_MATURITY_AT_ISSU")</f>
        <v>#N/A Requesting Data...</v>
      </c>
      <c r="O49" t="str">
        <f>_xll.BDP("347226VA Muni","BVAL_MID_YTM")</f>
        <v>#N/A Requesting Data...</v>
      </c>
      <c r="P49" t="str">
        <f>_xll.BDP("347226VA Muni","MUNI_TAX_PROV")</f>
        <v>#N/A Requesting Data...</v>
      </c>
      <c r="Q49" t="str">
        <f>_xll.BDP("347226VA Muni","MUNI_FED_TAX")</f>
        <v>#N/A Requesting Data...</v>
      </c>
      <c r="R49" t="str">
        <f>_xll.BDP("347226VA Muni","MUNI_MSRB_VOLUME")</f>
        <v>#N/A Requesting Data...</v>
      </c>
      <c r="S49" t="str">
        <f>_xll.BDP("347226VA Muni","BB_COMPOSITE")</f>
        <v>#N/A Requesting Data...</v>
      </c>
      <c r="T49" t="str">
        <f>_xll.BDP("347226VA Muni","LQA_LIQUIDITY_SCORE")</f>
        <v>#N/A Requesting Data...</v>
      </c>
    </row>
    <row r="50" spans="1:20" x14ac:dyDescent="0.25">
      <c r="A50" t="str">
        <f>_xll.BDP("347226VB Muni","ID_CUSIP")</f>
        <v>#N/A Requesting Data...</v>
      </c>
      <c r="B50" t="s">
        <v>39</v>
      </c>
      <c r="C50" t="str">
        <f>_xll.BDP("347226VB Muni","INSURANCE_STATUS")</f>
        <v>#N/A Requesting Data...</v>
      </c>
      <c r="D50" t="str">
        <f>_xll.BDP("347226VB Muni","STATE_CODE")</f>
        <v>#N/A Requesting Data...</v>
      </c>
      <c r="E50" t="str">
        <f>_xll.BDP("347226VB Muni","COUNTY_LOCATION_ISSUER")</f>
        <v>#N/A Requesting Data...</v>
      </c>
      <c r="F50" t="str">
        <f>_xll.BDP("347226VB Muni","DUR_ADJ_MID")</f>
        <v>#N/A Requesting Data...</v>
      </c>
      <c r="G50" t="str">
        <f>_xll.BDP("347226VB Muni","SPREAD_AT_ISSUANCE_TO_WORST")</f>
        <v>#N/A Requesting Data...</v>
      </c>
      <c r="H50" t="str">
        <f>_xll.BDP("347226VB Muni","ISSUE_DT")</f>
        <v>#N/A Requesting Data...</v>
      </c>
      <c r="I50" t="str">
        <f>_xll.BDS("347226VB Muni","MUNI_PURPOSE_SCHED", "aggregate=y")</f>
        <v>#N/A Requesting Data...</v>
      </c>
      <c r="J50" t="str">
        <f>_xll.BDP("347226VB Muni","CPN")</f>
        <v>#N/A Requesting Data...</v>
      </c>
      <c r="K50" t="str">
        <f>_xll.BDP("347226VB Muni","MATURITY")</f>
        <v>#N/A Requesting Data...</v>
      </c>
      <c r="L50">
        <v>490000</v>
      </c>
      <c r="M50" t="str">
        <f>_xll.BDP("347226VB Muni","YIELD_ON_ISSUE_DATE")</f>
        <v>#N/A Requesting Data...</v>
      </c>
      <c r="N50" t="str">
        <f>_xll.BDP("347226VB Muni","YTW_SPREAD_TO_MATURITY_AT_ISSU")</f>
        <v>#N/A Requesting Data...</v>
      </c>
      <c r="O50" t="str">
        <f>_xll.BDP("347226VB Muni","BVAL_MID_YTM")</f>
        <v>#N/A Requesting Data...</v>
      </c>
      <c r="P50" t="str">
        <f>_xll.BDP("347226VB Muni","MUNI_TAX_PROV")</f>
        <v>#N/A Requesting Data...</v>
      </c>
      <c r="Q50" t="str">
        <f>_xll.BDP("347226VB Muni","MUNI_FED_TAX")</f>
        <v>#N/A Requesting Data...</v>
      </c>
      <c r="R50" t="str">
        <f>_xll.BDP("347226VB Muni","MUNI_MSRB_VOLUME")</f>
        <v>#N/A Requesting Data...</v>
      </c>
      <c r="S50" t="str">
        <f>_xll.BDP("347226VB Muni","BB_COMPOSITE")</f>
        <v>#N/A Requesting Data...</v>
      </c>
      <c r="T50" t="str">
        <f>_xll.BDP("347226VB Muni","LQA_LIQUIDITY_SCORE")</f>
        <v>#N/A Requesting Data...</v>
      </c>
    </row>
    <row r="51" spans="1:20" x14ac:dyDescent="0.25">
      <c r="A51" t="str">
        <f>_xll.BDP("347226VC Muni","ID_CUSIP")</f>
        <v>#N/A Requesting Data...</v>
      </c>
      <c r="B51" t="s">
        <v>39</v>
      </c>
      <c r="C51" t="str">
        <f>_xll.BDP("347226VC Muni","INSURANCE_STATUS")</f>
        <v>#N/A Requesting Data...</v>
      </c>
      <c r="D51" t="str">
        <f>_xll.BDP("347226VC Muni","STATE_CODE")</f>
        <v>#N/A Requesting Data...</v>
      </c>
      <c r="E51" t="str">
        <f>_xll.BDP("347226VC Muni","COUNTY_LOCATION_ISSUER")</f>
        <v>#N/A Requesting Data...</v>
      </c>
      <c r="F51" t="str">
        <f>_xll.BDP("347226VC Muni","DUR_ADJ_MID")</f>
        <v>#N/A Requesting Data...</v>
      </c>
      <c r="G51" t="str">
        <f>_xll.BDP("347226VC Muni","SPREAD_AT_ISSUANCE_TO_WORST")</f>
        <v>#N/A Requesting Data...</v>
      </c>
      <c r="H51" t="str">
        <f>_xll.BDP("347226VC Muni","ISSUE_DT")</f>
        <v>#N/A Requesting Data...</v>
      </c>
      <c r="I51" t="str">
        <f>_xll.BDS("347226VC Muni","MUNI_PURPOSE_SCHED", "aggregate=y")</f>
        <v>#N/A Requesting Data...</v>
      </c>
      <c r="J51" t="str">
        <f>_xll.BDP("347226VC Muni","CPN")</f>
        <v>#N/A Requesting Data...</v>
      </c>
      <c r="K51" t="str">
        <f>_xll.BDP("347226VC Muni","MATURITY")</f>
        <v>#N/A Requesting Data...</v>
      </c>
      <c r="L51">
        <v>505000</v>
      </c>
      <c r="M51" t="str">
        <f>_xll.BDP("347226VC Muni","YIELD_ON_ISSUE_DATE")</f>
        <v>#N/A Requesting Data...</v>
      </c>
      <c r="N51" t="str">
        <f>_xll.BDP("347226VC Muni","YTW_SPREAD_TO_MATURITY_AT_ISSU")</f>
        <v>#N/A Requesting Data...</v>
      </c>
      <c r="O51" t="str">
        <f>_xll.BDP("347226VC Muni","BVAL_MID_YTM")</f>
        <v>#N/A Requesting Data...</v>
      </c>
      <c r="P51" t="str">
        <f>_xll.BDP("347226VC Muni","MUNI_TAX_PROV")</f>
        <v>#N/A Requesting Data...</v>
      </c>
      <c r="Q51" t="str">
        <f>_xll.BDP("347226VC Muni","MUNI_FED_TAX")</f>
        <v>#N/A Requesting Data...</v>
      </c>
      <c r="R51" t="str">
        <f>_xll.BDP("347226VC Muni","MUNI_MSRB_VOLUME")</f>
        <v>#N/A Requesting Data...</v>
      </c>
      <c r="S51" t="str">
        <f>_xll.BDP("347226VC Muni","BB_COMPOSITE")</f>
        <v>#N/A Requesting Data...</v>
      </c>
      <c r="T51" t="str">
        <f>_xll.BDP("347226VC Muni","LQA_LIQUIDITY_SCORE")</f>
        <v>#N/A Requesting Data...</v>
      </c>
    </row>
    <row r="52" spans="1:20" x14ac:dyDescent="0.25">
      <c r="A52" t="str">
        <f>_xll.BDP("150411T8 Muni","ID_CUSIP")</f>
        <v>#N/A Requesting Data...</v>
      </c>
      <c r="B52" t="s">
        <v>40</v>
      </c>
      <c r="C52" t="str">
        <f>_xll.BDP("150411T8 Muni","INSURANCE_STATUS")</f>
        <v>#N/A Requesting Data...</v>
      </c>
      <c r="D52" t="str">
        <f>_xll.BDP("150411T8 Muni","STATE_CODE")</f>
        <v>#N/A Requesting Data...</v>
      </c>
      <c r="E52" t="str">
        <f>_xll.BDP("150411T8 Muni","COUNTY_LOCATION_ISSUER")</f>
        <v>#N/A Requesting Data...</v>
      </c>
      <c r="F52" t="str">
        <f>_xll.BDP("150411T8 Muni","DUR_ADJ_MID")</f>
        <v>#N/A Requesting Data...</v>
      </c>
      <c r="G52" t="str">
        <f>_xll.BDP("150411T8 Muni","SPREAD_AT_ISSUANCE_TO_WORST")</f>
        <v>#N/A Requesting Data...</v>
      </c>
      <c r="H52" t="str">
        <f>_xll.BDP("150411T8 Muni","ISSUE_DT")</f>
        <v>#N/A Requesting Data...</v>
      </c>
      <c r="I52" t="str">
        <f>_xll.BDS("150411T8 Muni","MUNI_PURPOSE_SCHED", "aggregate=y")</f>
        <v>#N/A Requesting Data...</v>
      </c>
      <c r="J52" t="str">
        <f>_xll.BDP("150411T8 Muni","CPN")</f>
        <v>#N/A Requesting Data...</v>
      </c>
      <c r="K52" t="str">
        <f>_xll.BDP("150411T8 Muni","MATURITY")</f>
        <v>#N/A Requesting Data...</v>
      </c>
      <c r="L52">
        <v>240000</v>
      </c>
      <c r="M52" t="str">
        <f>_xll.BDP("150411T8 Muni","YIELD_ON_ISSUE_DATE")</f>
        <v>#N/A Requesting Data...</v>
      </c>
      <c r="N52" t="str">
        <f>_xll.BDP("150411T8 Muni","YTW_SPREAD_TO_MATURITY_AT_ISSU")</f>
        <v>#N/A Requesting Data...</v>
      </c>
      <c r="O52" t="str">
        <f>_xll.BDP("150411T8 Muni","BVAL_MID_YTM")</f>
        <v>#N/A Requesting Data...</v>
      </c>
      <c r="P52" t="str">
        <f>_xll.BDP("150411T8 Muni","MUNI_TAX_PROV")</f>
        <v>#N/A Requesting Data...</v>
      </c>
      <c r="Q52" t="str">
        <f>_xll.BDP("150411T8 Muni","MUNI_FED_TAX")</f>
        <v>#N/A Requesting Data...</v>
      </c>
      <c r="R52" t="str">
        <f>_xll.BDP("150411T8 Muni","MUNI_MSRB_VOLUME")</f>
        <v>#N/A Requesting Data...</v>
      </c>
      <c r="S52" t="str">
        <f>_xll.BDP("150411T8 Muni","BB_COMPOSITE")</f>
        <v>#N/A Requesting Data...</v>
      </c>
      <c r="T52" t="str">
        <f>_xll.BDP("150411T8 Muni","LQA_LIQUIDITY_SCORE")</f>
        <v>#N/A Requesting Data...</v>
      </c>
    </row>
    <row r="53" spans="1:20" x14ac:dyDescent="0.25">
      <c r="A53" t="str">
        <f>_xll.BDP("150411U2 Muni","ID_CUSIP")</f>
        <v>#N/A Requesting Data...</v>
      </c>
      <c r="B53" t="s">
        <v>40</v>
      </c>
      <c r="C53" t="str">
        <f>_xll.BDP("150411U2 Muni","INSURANCE_STATUS")</f>
        <v>#N/A Requesting Data...</v>
      </c>
      <c r="D53" t="str">
        <f>_xll.BDP("150411U2 Muni","STATE_CODE")</f>
        <v>#N/A Requesting Data...</v>
      </c>
      <c r="E53" t="str">
        <f>_xll.BDP("150411U2 Muni","COUNTY_LOCATION_ISSUER")</f>
        <v>#N/A Requesting Data...</v>
      </c>
      <c r="F53" t="str">
        <f>_xll.BDP("150411U2 Muni","DUR_ADJ_MID")</f>
        <v>#N/A Requesting Data...</v>
      </c>
      <c r="G53" t="str">
        <f>_xll.BDP("150411U2 Muni","SPREAD_AT_ISSUANCE_TO_WORST")</f>
        <v>#N/A Requesting Data...</v>
      </c>
      <c r="H53" t="str">
        <f>_xll.BDP("150411U2 Muni","ISSUE_DT")</f>
        <v>#N/A Requesting Data...</v>
      </c>
      <c r="I53" t="str">
        <f>_xll.BDS("150411U2 Muni","MUNI_PURPOSE_SCHED", "aggregate=y")</f>
        <v>#N/A Requesting Data...</v>
      </c>
      <c r="J53" t="str">
        <f>_xll.BDP("150411U2 Muni","CPN")</f>
        <v>#N/A Requesting Data...</v>
      </c>
      <c r="K53" t="str">
        <f>_xll.BDP("150411U2 Muni","MATURITY")</f>
        <v>#N/A Requesting Data...</v>
      </c>
      <c r="L53">
        <v>260000</v>
      </c>
      <c r="M53" t="str">
        <f>_xll.BDP("150411U2 Muni","YIELD_ON_ISSUE_DATE")</f>
        <v>#N/A Requesting Data...</v>
      </c>
      <c r="N53" t="str">
        <f>_xll.BDP("150411U2 Muni","YTW_SPREAD_TO_MATURITY_AT_ISSU")</f>
        <v>#N/A Requesting Data...</v>
      </c>
      <c r="O53" t="str">
        <f>_xll.BDP("150411U2 Muni","BVAL_MID_YTM")</f>
        <v>#N/A Requesting Data...</v>
      </c>
      <c r="P53" t="str">
        <f>_xll.BDP("150411U2 Muni","MUNI_TAX_PROV")</f>
        <v>#N/A Requesting Data...</v>
      </c>
      <c r="Q53" t="str">
        <f>_xll.BDP("150411U2 Muni","MUNI_FED_TAX")</f>
        <v>#N/A Requesting Data...</v>
      </c>
      <c r="R53" t="str">
        <f>_xll.BDP("150411U2 Muni","MUNI_MSRB_VOLUME")</f>
        <v>#N/A Requesting Data...</v>
      </c>
      <c r="S53" t="str">
        <f>_xll.BDP("150411U2 Muni","BB_COMPOSITE")</f>
        <v>#N/A Requesting Data...</v>
      </c>
      <c r="T53" t="str">
        <f>_xll.BDP("150411U2 Muni","LQA_LIQUIDITY_SCORE")</f>
        <v>#N/A Requesting Data...</v>
      </c>
    </row>
    <row r="54" spans="1:20" x14ac:dyDescent="0.25">
      <c r="A54" t="str">
        <f>_xll.BDP("150411U3 Muni","ID_CUSIP")</f>
        <v>#N/A Requesting Data...</v>
      </c>
      <c r="B54" t="s">
        <v>40</v>
      </c>
      <c r="C54" t="str">
        <f>_xll.BDP("150411U3 Muni","INSURANCE_STATUS")</f>
        <v>#N/A Requesting Data...</v>
      </c>
      <c r="D54" t="str">
        <f>_xll.BDP("150411U3 Muni","STATE_CODE")</f>
        <v>#N/A Requesting Data...</v>
      </c>
      <c r="E54" t="str">
        <f>_xll.BDP("150411U3 Muni","COUNTY_LOCATION_ISSUER")</f>
        <v>#N/A Requesting Data...</v>
      </c>
      <c r="F54" t="str">
        <f>_xll.BDP("150411U3 Muni","DUR_ADJ_MID")</f>
        <v>#N/A Requesting Data...</v>
      </c>
      <c r="G54" t="str">
        <f>_xll.BDP("150411U3 Muni","SPREAD_AT_ISSUANCE_TO_WORST")</f>
        <v>#N/A Requesting Data...</v>
      </c>
      <c r="H54" t="str">
        <f>_xll.BDP("150411U3 Muni","ISSUE_DT")</f>
        <v>#N/A Requesting Data...</v>
      </c>
      <c r="I54" t="str">
        <f>_xll.BDS("150411U3 Muni","MUNI_PURPOSE_SCHED", "aggregate=y")</f>
        <v>#N/A Requesting Data...</v>
      </c>
      <c r="J54" t="str">
        <f>_xll.BDP("150411U3 Muni","CPN")</f>
        <v>#N/A Requesting Data...</v>
      </c>
      <c r="K54" t="str">
        <f>_xll.BDP("150411U3 Muni","MATURITY")</f>
        <v>#N/A Requesting Data...</v>
      </c>
      <c r="L54">
        <v>270000</v>
      </c>
      <c r="M54" t="str">
        <f>_xll.BDP("150411U3 Muni","YIELD_ON_ISSUE_DATE")</f>
        <v>#N/A Requesting Data...</v>
      </c>
      <c r="N54" t="str">
        <f>_xll.BDP("150411U3 Muni","YTW_SPREAD_TO_MATURITY_AT_ISSU")</f>
        <v>#N/A Requesting Data...</v>
      </c>
      <c r="O54" t="str">
        <f>_xll.BDP("150411U3 Muni","BVAL_MID_YTM")</f>
        <v>#N/A Requesting Data...</v>
      </c>
      <c r="P54" t="str">
        <f>_xll.BDP("150411U3 Muni","MUNI_TAX_PROV")</f>
        <v>#N/A Requesting Data...</v>
      </c>
      <c r="Q54" t="str">
        <f>_xll.BDP("150411U3 Muni","MUNI_FED_TAX")</f>
        <v>#N/A Requesting Data...</v>
      </c>
      <c r="R54" t="str">
        <f>_xll.BDP("150411U3 Muni","MUNI_MSRB_VOLUME")</f>
        <v>#N/A Requesting Data...</v>
      </c>
      <c r="S54" t="str">
        <f>_xll.BDP("150411U3 Muni","BB_COMPOSITE")</f>
        <v>#N/A Requesting Data...</v>
      </c>
      <c r="T54" t="str">
        <f>_xll.BDP("150411U3 Muni","LQA_LIQUIDITY_SCORE")</f>
        <v>#N/A Requesting Data...</v>
      </c>
    </row>
    <row r="55" spans="1:20" x14ac:dyDescent="0.25">
      <c r="A55" t="str">
        <f>_xll.BDP("150591HS Muni","ID_CUSIP")</f>
        <v>#N/A Requesting Data...</v>
      </c>
      <c r="B55" t="s">
        <v>41</v>
      </c>
      <c r="C55" t="str">
        <f>_xll.BDP("150591HS Muni","INSURANCE_STATUS")</f>
        <v>#N/A Requesting Data...</v>
      </c>
      <c r="D55" t="str">
        <f>_xll.BDP("150591HS Muni","STATE_CODE")</f>
        <v>#N/A Requesting Data...</v>
      </c>
      <c r="E55" t="str">
        <f>_xll.BDP("150591HS Muni","COUNTY_LOCATION_ISSUER")</f>
        <v>#N/A Requesting Data...</v>
      </c>
      <c r="F55" t="str">
        <f>_xll.BDP("150591HS Muni","DUR_ADJ_MID")</f>
        <v>#N/A Requesting Data...</v>
      </c>
      <c r="G55" t="str">
        <f>_xll.BDP("150591HS Muni","SPREAD_AT_ISSUANCE_TO_WORST")</f>
        <v>#N/A Requesting Data...</v>
      </c>
      <c r="H55" t="str">
        <f>_xll.BDP("150591HS Muni","ISSUE_DT")</f>
        <v>#N/A Requesting Data...</v>
      </c>
      <c r="I55" t="str">
        <f>_xll.BDS("150591HS Muni","MUNI_PURPOSE_SCHED", "aggregate=y")</f>
        <v>#N/A Requesting Data...</v>
      </c>
      <c r="J55" t="str">
        <f>_xll.BDP("150591HS Muni","CPN")</f>
        <v>#N/A Requesting Data...</v>
      </c>
      <c r="K55" t="str">
        <f>_xll.BDP("150591HS Muni","MATURITY")</f>
        <v>#N/A Requesting Data...</v>
      </c>
      <c r="L55">
        <v>690000</v>
      </c>
      <c r="M55" t="str">
        <f>_xll.BDP("150591HS Muni","YIELD_ON_ISSUE_DATE")</f>
        <v>#N/A Requesting Data...</v>
      </c>
      <c r="N55" t="str">
        <f>_xll.BDP("150591HS Muni","YTW_SPREAD_TO_MATURITY_AT_ISSU")</f>
        <v>#N/A Requesting Data...</v>
      </c>
      <c r="O55" t="str">
        <f>_xll.BDP("150591HS Muni","BVAL_MID_YTM")</f>
        <v>#N/A Requesting Data...</v>
      </c>
      <c r="P55" t="str">
        <f>_xll.BDP("150591HS Muni","MUNI_TAX_PROV")</f>
        <v>#N/A Requesting Data...</v>
      </c>
      <c r="Q55" t="str">
        <f>_xll.BDP("150591HS Muni","MUNI_FED_TAX")</f>
        <v>#N/A Requesting Data...</v>
      </c>
      <c r="R55" t="str">
        <f>_xll.BDP("150591HS Muni","MUNI_MSRB_VOLUME")</f>
        <v>#N/A Requesting Data...</v>
      </c>
      <c r="S55" t="str">
        <f>_xll.BDP("150591HS Muni","BB_COMPOSITE")</f>
        <v>#N/A Requesting Data...</v>
      </c>
      <c r="T55" t="str">
        <f>_xll.BDP("150591HS Muni","LQA_LIQUIDITY_SCORE")</f>
        <v>#N/A Requesting Data...</v>
      </c>
    </row>
    <row r="56" spans="1:20" x14ac:dyDescent="0.25">
      <c r="A56" t="str">
        <f>_xll.BDP("150591HT Muni","ID_CUSIP")</f>
        <v>#N/A Requesting Data...</v>
      </c>
      <c r="B56" t="s">
        <v>41</v>
      </c>
      <c r="C56" t="str">
        <f>_xll.BDP("150591HT Muni","INSURANCE_STATUS")</f>
        <v>#N/A Requesting Data...</v>
      </c>
      <c r="D56" t="str">
        <f>_xll.BDP("150591HT Muni","STATE_CODE")</f>
        <v>#N/A Requesting Data...</v>
      </c>
      <c r="E56" t="str">
        <f>_xll.BDP("150591HT Muni","COUNTY_LOCATION_ISSUER")</f>
        <v>#N/A Requesting Data...</v>
      </c>
      <c r="F56" t="str">
        <f>_xll.BDP("150591HT Muni","DUR_ADJ_MID")</f>
        <v>#N/A Requesting Data...</v>
      </c>
      <c r="G56" t="str">
        <f>_xll.BDP("150591HT Muni","SPREAD_AT_ISSUANCE_TO_WORST")</f>
        <v>#N/A Requesting Data...</v>
      </c>
      <c r="H56" t="str">
        <f>_xll.BDP("150591HT Muni","ISSUE_DT")</f>
        <v>#N/A Requesting Data...</v>
      </c>
      <c r="I56" t="str">
        <f>_xll.BDS("150591HT Muni","MUNI_PURPOSE_SCHED", "aggregate=y")</f>
        <v>#N/A Requesting Data...</v>
      </c>
      <c r="J56" t="str">
        <f>_xll.BDP("150591HT Muni","CPN")</f>
        <v>#N/A Requesting Data...</v>
      </c>
      <c r="K56" t="str">
        <f>_xll.BDP("150591HT Muni","MATURITY")</f>
        <v>#N/A Requesting Data...</v>
      </c>
      <c r="L56">
        <v>730000</v>
      </c>
      <c r="M56" t="str">
        <f>_xll.BDP("150591HT Muni","YIELD_ON_ISSUE_DATE")</f>
        <v>#N/A Requesting Data...</v>
      </c>
      <c r="N56" t="str">
        <f>_xll.BDP("150591HT Muni","YTW_SPREAD_TO_MATURITY_AT_ISSU")</f>
        <v>#N/A Requesting Data...</v>
      </c>
      <c r="O56" t="str">
        <f>_xll.BDP("150591HT Muni","BVAL_MID_YTM")</f>
        <v>#N/A Requesting Data...</v>
      </c>
      <c r="P56" t="str">
        <f>_xll.BDP("150591HT Muni","MUNI_TAX_PROV")</f>
        <v>#N/A Requesting Data...</v>
      </c>
      <c r="Q56" t="str">
        <f>_xll.BDP("150591HT Muni","MUNI_FED_TAX")</f>
        <v>#N/A Requesting Data...</v>
      </c>
      <c r="R56" t="str">
        <f>_xll.BDP("150591HT Muni","MUNI_MSRB_VOLUME")</f>
        <v>#N/A Requesting Data...</v>
      </c>
      <c r="S56" t="str">
        <f>_xll.BDP("150591HT Muni","BB_COMPOSITE")</f>
        <v>#N/A Requesting Data...</v>
      </c>
      <c r="T56" t="str">
        <f>_xll.BDP("150591HT Muni","LQA_LIQUIDITY_SCORE")</f>
        <v>#N/A Requesting Data...</v>
      </c>
    </row>
    <row r="57" spans="1:20" x14ac:dyDescent="0.25">
      <c r="A57" t="str">
        <f>_xll.BDP("150591HU Muni","ID_CUSIP")</f>
        <v>#N/A Requesting Data...</v>
      </c>
      <c r="B57" t="s">
        <v>41</v>
      </c>
      <c r="C57" t="str">
        <f>_xll.BDP("150591HU Muni","INSURANCE_STATUS")</f>
        <v>#N/A Requesting Data...</v>
      </c>
      <c r="D57" t="str">
        <f>_xll.BDP("150591HU Muni","STATE_CODE")</f>
        <v>#N/A Requesting Data...</v>
      </c>
      <c r="E57" t="str">
        <f>_xll.BDP("150591HU Muni","COUNTY_LOCATION_ISSUER")</f>
        <v>#N/A Requesting Data...</v>
      </c>
      <c r="F57" t="str">
        <f>_xll.BDP("150591HU Muni","DUR_ADJ_MID")</f>
        <v>#N/A Requesting Data...</v>
      </c>
      <c r="G57" t="str">
        <f>_xll.BDP("150591HU Muni","SPREAD_AT_ISSUANCE_TO_WORST")</f>
        <v>#N/A Requesting Data...</v>
      </c>
      <c r="H57" t="str">
        <f>_xll.BDP("150591HU Muni","ISSUE_DT")</f>
        <v>#N/A Requesting Data...</v>
      </c>
      <c r="I57" t="str">
        <f>_xll.BDS("150591HU Muni","MUNI_PURPOSE_SCHED", "aggregate=y")</f>
        <v>#N/A Requesting Data...</v>
      </c>
      <c r="J57" t="str">
        <f>_xll.BDP("150591HU Muni","CPN")</f>
        <v>#N/A Requesting Data...</v>
      </c>
      <c r="K57" t="str">
        <f>_xll.BDP("150591HU Muni","MATURITY")</f>
        <v>#N/A Requesting Data...</v>
      </c>
      <c r="L57">
        <v>815000</v>
      </c>
      <c r="M57" t="str">
        <f>_xll.BDP("150591HU Muni","YIELD_ON_ISSUE_DATE")</f>
        <v>#N/A Requesting Data...</v>
      </c>
      <c r="N57" t="str">
        <f>_xll.BDP("150591HU Muni","YTW_SPREAD_TO_MATURITY_AT_ISSU")</f>
        <v>#N/A Requesting Data...</v>
      </c>
      <c r="O57" t="str">
        <f>_xll.BDP("150591HU Muni","BVAL_MID_YTM")</f>
        <v>#N/A Requesting Data...</v>
      </c>
      <c r="P57" t="str">
        <f>_xll.BDP("150591HU Muni","MUNI_TAX_PROV")</f>
        <v>#N/A Requesting Data...</v>
      </c>
      <c r="Q57" t="str">
        <f>_xll.BDP("150591HU Muni","MUNI_FED_TAX")</f>
        <v>#N/A Requesting Data...</v>
      </c>
      <c r="R57" t="str">
        <f>_xll.BDP("150591HU Muni","MUNI_MSRB_VOLUME")</f>
        <v>#N/A Requesting Data...</v>
      </c>
      <c r="S57" t="str">
        <f>_xll.BDP("150591HU Muni","BB_COMPOSITE")</f>
        <v>#N/A Requesting Data...</v>
      </c>
      <c r="T57" t="str">
        <f>_xll.BDP("150591HU Muni","LQA_LIQUIDITY_SCORE")</f>
        <v>#N/A Requesting Data...</v>
      </c>
    </row>
    <row r="58" spans="1:20" x14ac:dyDescent="0.25">
      <c r="A58" t="str">
        <f>_xll.BDP("150591HV Muni","ID_CUSIP")</f>
        <v>#N/A Requesting Data...</v>
      </c>
      <c r="B58" t="s">
        <v>41</v>
      </c>
      <c r="C58" t="str">
        <f>_xll.BDP("150591HV Muni","INSURANCE_STATUS")</f>
        <v>#N/A Requesting Data...</v>
      </c>
      <c r="D58" t="str">
        <f>_xll.BDP("150591HV Muni","STATE_CODE")</f>
        <v>#N/A Requesting Data...</v>
      </c>
      <c r="E58" t="str">
        <f>_xll.BDP("150591HV Muni","COUNTY_LOCATION_ISSUER")</f>
        <v>#N/A Requesting Data...</v>
      </c>
      <c r="F58" t="str">
        <f>_xll.BDP("150591HV Muni","DUR_ADJ_MID")</f>
        <v>#N/A Requesting Data...</v>
      </c>
      <c r="G58" t="str">
        <f>_xll.BDP("150591HV Muni","SPREAD_AT_ISSUANCE_TO_WORST")</f>
        <v>#N/A Requesting Data...</v>
      </c>
      <c r="H58" t="str">
        <f>_xll.BDP("150591HV Muni","ISSUE_DT")</f>
        <v>#N/A Requesting Data...</v>
      </c>
      <c r="I58" t="str">
        <f>_xll.BDS("150591HV Muni","MUNI_PURPOSE_SCHED", "aggregate=y")</f>
        <v>#N/A Requesting Data...</v>
      </c>
      <c r="J58" t="str">
        <f>_xll.BDP("150591HV Muni","CPN")</f>
        <v>#N/A Requesting Data...</v>
      </c>
      <c r="K58" t="str">
        <f>_xll.BDP("150591HV Muni","MATURITY")</f>
        <v>#N/A Requesting Data...</v>
      </c>
      <c r="L58">
        <v>850000</v>
      </c>
      <c r="M58" t="str">
        <f>_xll.BDP("150591HV Muni","YIELD_ON_ISSUE_DATE")</f>
        <v>#N/A Requesting Data...</v>
      </c>
      <c r="N58" t="str">
        <f>_xll.BDP("150591HV Muni","YTW_SPREAD_TO_MATURITY_AT_ISSU")</f>
        <v>#N/A Requesting Data...</v>
      </c>
      <c r="O58" t="str">
        <f>_xll.BDP("150591HV Muni","BVAL_MID_YTM")</f>
        <v>#N/A Requesting Data...</v>
      </c>
      <c r="P58" t="str">
        <f>_xll.BDP("150591HV Muni","MUNI_TAX_PROV")</f>
        <v>#N/A Requesting Data...</v>
      </c>
      <c r="Q58" t="str">
        <f>_xll.BDP("150591HV Muni","MUNI_FED_TAX")</f>
        <v>#N/A Requesting Data...</v>
      </c>
      <c r="R58" t="str">
        <f>_xll.BDP("150591HV Muni","MUNI_MSRB_VOLUME")</f>
        <v>#N/A Requesting Data...</v>
      </c>
      <c r="S58" t="str">
        <f>_xll.BDP("150591HV Muni","BB_COMPOSITE")</f>
        <v>#N/A Requesting Data...</v>
      </c>
      <c r="T58" t="str">
        <f>_xll.BDP("150591HV Muni","LQA_LIQUIDITY_SCORE")</f>
        <v>#N/A Requesting Data...</v>
      </c>
    </row>
    <row r="59" spans="1:20" x14ac:dyDescent="0.25">
      <c r="A59" t="str">
        <f>_xll.BDP("15239MHD Muni","ID_CUSIP")</f>
        <v>#N/A Requesting Data...</v>
      </c>
      <c r="B59" t="s">
        <v>42</v>
      </c>
      <c r="C59" t="str">
        <f>_xll.BDP("15239MHD Muni","INSURANCE_STATUS")</f>
        <v>#N/A Requesting Data...</v>
      </c>
      <c r="D59" t="str">
        <f>_xll.BDP("15239MHD Muni","STATE_CODE")</f>
        <v>#N/A Requesting Data...</v>
      </c>
      <c r="E59" t="str">
        <f>_xll.BDP("15239MHD Muni","COUNTY_LOCATION_ISSUER")</f>
        <v>#N/A Requesting Data...</v>
      </c>
      <c r="F59" t="str">
        <f>_xll.BDP("15239MHD Muni","DUR_ADJ_MID")</f>
        <v>#N/A Requesting Data...</v>
      </c>
      <c r="G59" t="str">
        <f>_xll.BDP("15239MHD Muni","SPREAD_AT_ISSUANCE_TO_WORST")</f>
        <v>#N/A Requesting Data...</v>
      </c>
      <c r="H59" t="str">
        <f>_xll.BDP("15239MHD Muni","ISSUE_DT")</f>
        <v>#N/A Requesting Data...</v>
      </c>
      <c r="I59" t="str">
        <f>_xll.BDS("15239MHD Muni","MUNI_PURPOSE_SCHED", "aggregate=y")</f>
        <v>#N/A Requesting Data...</v>
      </c>
      <c r="J59" t="str">
        <f>_xll.BDP("15239MHD Muni","CPN")</f>
        <v>#N/A Requesting Data...</v>
      </c>
      <c r="K59" t="str">
        <f>_xll.BDP("15239MHD Muni","MATURITY")</f>
        <v>#N/A Requesting Data...</v>
      </c>
      <c r="L59">
        <v>745000</v>
      </c>
      <c r="M59" t="str">
        <f>_xll.BDP("15239MHD Muni","YIELD_ON_ISSUE_DATE")</f>
        <v>#N/A Requesting Data...</v>
      </c>
      <c r="N59" t="str">
        <f>_xll.BDP("15239MHD Muni","YTW_SPREAD_TO_MATURITY_AT_ISSU")</f>
        <v>#N/A Requesting Data...</v>
      </c>
      <c r="O59" t="str">
        <f>_xll.BDP("15239MHD Muni","BVAL_MID_YTM")</f>
        <v>#N/A Requesting Data...</v>
      </c>
      <c r="P59" t="str">
        <f>_xll.BDP("15239MHD Muni","MUNI_TAX_PROV")</f>
        <v>#N/A Requesting Data...</v>
      </c>
      <c r="Q59" t="str">
        <f>_xll.BDP("15239MHD Muni","MUNI_FED_TAX")</f>
        <v>#N/A Requesting Data...</v>
      </c>
      <c r="R59" t="str">
        <f>_xll.BDP("15239MHD Muni","MUNI_MSRB_VOLUME")</f>
        <v>#N/A Requesting Data...</v>
      </c>
      <c r="S59" t="str">
        <f>_xll.BDP("15239MHD Muni","BB_COMPOSITE")</f>
        <v>#N/A Requesting Data...</v>
      </c>
      <c r="T59" t="str">
        <f>_xll.BDP("15239MHD Muni","LQA_LIQUIDITY_SCORE")</f>
        <v>#N/A Requesting Data...</v>
      </c>
    </row>
    <row r="60" spans="1:20" x14ac:dyDescent="0.25">
      <c r="A60" t="str">
        <f>_xll.BDP("15239MHE Muni","ID_CUSIP")</f>
        <v>#N/A Requesting Data...</v>
      </c>
      <c r="B60" t="s">
        <v>42</v>
      </c>
      <c r="C60" t="str">
        <f>_xll.BDP("15239MHE Muni","INSURANCE_STATUS")</f>
        <v>#N/A Requesting Data...</v>
      </c>
      <c r="D60" t="str">
        <f>_xll.BDP("15239MHE Muni","STATE_CODE")</f>
        <v>#N/A Requesting Data...</v>
      </c>
      <c r="E60" t="str">
        <f>_xll.BDP("15239MHE Muni","COUNTY_LOCATION_ISSUER")</f>
        <v>#N/A Requesting Data...</v>
      </c>
      <c r="F60" t="str">
        <f>_xll.BDP("15239MHE Muni","DUR_ADJ_MID")</f>
        <v>#N/A Requesting Data...</v>
      </c>
      <c r="G60" t="str">
        <f>_xll.BDP("15239MHE Muni","SPREAD_AT_ISSUANCE_TO_WORST")</f>
        <v>#N/A Requesting Data...</v>
      </c>
      <c r="H60" t="str">
        <f>_xll.BDP("15239MHE Muni","ISSUE_DT")</f>
        <v>#N/A Requesting Data...</v>
      </c>
      <c r="I60" t="str">
        <f>_xll.BDS("15239MHE Muni","MUNI_PURPOSE_SCHED", "aggregate=y")</f>
        <v>#N/A Requesting Data...</v>
      </c>
      <c r="J60" t="str">
        <f>_xll.BDP("15239MHE Muni","CPN")</f>
        <v>#N/A Requesting Data...</v>
      </c>
      <c r="K60" t="str">
        <f>_xll.BDP("15239MHE Muni","MATURITY")</f>
        <v>#N/A Requesting Data...</v>
      </c>
      <c r="L60">
        <v>780000</v>
      </c>
      <c r="M60" t="str">
        <f>_xll.BDP("15239MHE Muni","YIELD_ON_ISSUE_DATE")</f>
        <v>#N/A Requesting Data...</v>
      </c>
      <c r="N60" t="str">
        <f>_xll.BDP("15239MHE Muni","YTW_SPREAD_TO_MATURITY_AT_ISSU")</f>
        <v>#N/A Requesting Data...</v>
      </c>
      <c r="O60" t="str">
        <f>_xll.BDP("15239MHE Muni","BVAL_MID_YTM")</f>
        <v>#N/A Requesting Data...</v>
      </c>
      <c r="P60" t="str">
        <f>_xll.BDP("15239MHE Muni","MUNI_TAX_PROV")</f>
        <v>#N/A Requesting Data...</v>
      </c>
      <c r="Q60" t="str">
        <f>_xll.BDP("15239MHE Muni","MUNI_FED_TAX")</f>
        <v>#N/A Requesting Data...</v>
      </c>
      <c r="R60" t="str">
        <f>_xll.BDP("15239MHE Muni","MUNI_MSRB_VOLUME")</f>
        <v>#N/A Requesting Data...</v>
      </c>
      <c r="S60" t="str">
        <f>_xll.BDP("15239MHE Muni","BB_COMPOSITE")</f>
        <v>#N/A Requesting Data...</v>
      </c>
      <c r="T60" t="str">
        <f>_xll.BDP("15239MHE Muni","LQA_LIQUIDITY_SCORE")</f>
        <v>#N/A Requesting Data...</v>
      </c>
    </row>
    <row r="61" spans="1:20" x14ac:dyDescent="0.25">
      <c r="A61" t="str">
        <f>_xll.BDP("15239MHF Muni","ID_CUSIP")</f>
        <v>#N/A Requesting Data...</v>
      </c>
      <c r="B61" t="s">
        <v>42</v>
      </c>
      <c r="C61" t="str">
        <f>_xll.BDP("15239MHF Muni","INSURANCE_STATUS")</f>
        <v>#N/A Requesting Data...</v>
      </c>
      <c r="D61" t="str">
        <f>_xll.BDP("15239MHF Muni","STATE_CODE")</f>
        <v>#N/A Requesting Data...</v>
      </c>
      <c r="E61" t="str">
        <f>_xll.BDP("15239MHF Muni","COUNTY_LOCATION_ISSUER")</f>
        <v>#N/A Requesting Data...</v>
      </c>
      <c r="F61" t="str">
        <f>_xll.BDP("15239MHF Muni","DUR_ADJ_MID")</f>
        <v>#N/A Requesting Data...</v>
      </c>
      <c r="G61" t="str">
        <f>_xll.BDP("15239MHF Muni","SPREAD_AT_ISSUANCE_TO_WORST")</f>
        <v>#N/A Requesting Data...</v>
      </c>
      <c r="H61" t="str">
        <f>_xll.BDP("15239MHF Muni","ISSUE_DT")</f>
        <v>#N/A Requesting Data...</v>
      </c>
      <c r="I61" t="str">
        <f>_xll.BDS("15239MHF Muni","MUNI_PURPOSE_SCHED", "aggregate=y")</f>
        <v>#N/A Requesting Data...</v>
      </c>
      <c r="J61" t="str">
        <f>_xll.BDP("15239MHF Muni","CPN")</f>
        <v>#N/A Requesting Data...</v>
      </c>
      <c r="K61" t="str">
        <f>_xll.BDP("15239MHF Muni","MATURITY")</f>
        <v>#N/A Requesting Data...</v>
      </c>
      <c r="L61">
        <v>820000</v>
      </c>
      <c r="M61" t="str">
        <f>_xll.BDP("15239MHF Muni","YIELD_ON_ISSUE_DATE")</f>
        <v>#N/A Requesting Data...</v>
      </c>
      <c r="N61" t="str">
        <f>_xll.BDP("15239MHF Muni","YTW_SPREAD_TO_MATURITY_AT_ISSU")</f>
        <v>#N/A Requesting Data...</v>
      </c>
      <c r="O61" t="str">
        <f>_xll.BDP("15239MHF Muni","BVAL_MID_YTM")</f>
        <v>#N/A Requesting Data...</v>
      </c>
      <c r="P61" t="str">
        <f>_xll.BDP("15239MHF Muni","MUNI_TAX_PROV")</f>
        <v>#N/A Requesting Data...</v>
      </c>
      <c r="Q61" t="str">
        <f>_xll.BDP("15239MHF Muni","MUNI_FED_TAX")</f>
        <v>#N/A Requesting Data...</v>
      </c>
      <c r="R61" t="str">
        <f>_xll.BDP("15239MHF Muni","MUNI_MSRB_VOLUME")</f>
        <v>#N/A Requesting Data...</v>
      </c>
      <c r="S61" t="str">
        <f>_xll.BDP("15239MHF Muni","BB_COMPOSITE")</f>
        <v>#N/A Requesting Data...</v>
      </c>
      <c r="T61" t="str">
        <f>_xll.BDP("15239MHF Muni","LQA_LIQUIDITY_SCORE")</f>
        <v>#N/A Requesting Data...</v>
      </c>
    </row>
    <row r="62" spans="1:20" x14ac:dyDescent="0.25">
      <c r="A62" t="str">
        <f>_xll.BDP("15239MHG Muni","ID_CUSIP")</f>
        <v>#N/A Requesting Data...</v>
      </c>
      <c r="B62" t="s">
        <v>42</v>
      </c>
      <c r="C62" t="str">
        <f>_xll.BDP("15239MHG Muni","INSURANCE_STATUS")</f>
        <v>#N/A Requesting Data...</v>
      </c>
      <c r="D62" t="str">
        <f>_xll.BDP("15239MHG Muni","STATE_CODE")</f>
        <v>#N/A Requesting Data...</v>
      </c>
      <c r="E62" t="str">
        <f>_xll.BDP("15239MHG Muni","COUNTY_LOCATION_ISSUER")</f>
        <v>#N/A Requesting Data...</v>
      </c>
      <c r="F62" t="str">
        <f>_xll.BDP("15239MHG Muni","DUR_ADJ_MID")</f>
        <v>#N/A Requesting Data...</v>
      </c>
      <c r="G62" t="str">
        <f>_xll.BDP("15239MHG Muni","SPREAD_AT_ISSUANCE_TO_WORST")</f>
        <v>#N/A Requesting Data...</v>
      </c>
      <c r="H62" t="str">
        <f>_xll.BDP("15239MHG Muni","ISSUE_DT")</f>
        <v>#N/A Requesting Data...</v>
      </c>
      <c r="I62" t="str">
        <f>_xll.BDS("15239MHG Muni","MUNI_PURPOSE_SCHED", "aggregate=y")</f>
        <v>#N/A Requesting Data...</v>
      </c>
      <c r="J62" t="str">
        <f>_xll.BDP("15239MHG Muni","CPN")</f>
        <v>#N/A Requesting Data...</v>
      </c>
      <c r="K62" t="str">
        <f>_xll.BDP("15239MHG Muni","MATURITY")</f>
        <v>#N/A Requesting Data...</v>
      </c>
      <c r="L62">
        <v>860000</v>
      </c>
      <c r="M62" t="str">
        <f>_xll.BDP("15239MHG Muni","YIELD_ON_ISSUE_DATE")</f>
        <v>#N/A Requesting Data...</v>
      </c>
      <c r="N62" t="str">
        <f>_xll.BDP("15239MHG Muni","YTW_SPREAD_TO_MATURITY_AT_ISSU")</f>
        <v>#N/A Requesting Data...</v>
      </c>
      <c r="O62" t="str">
        <f>_xll.BDP("15239MHG Muni","BVAL_MID_YTM")</f>
        <v>#N/A Requesting Data...</v>
      </c>
      <c r="P62" t="str">
        <f>_xll.BDP("15239MHG Muni","MUNI_TAX_PROV")</f>
        <v>#N/A Requesting Data...</v>
      </c>
      <c r="Q62" t="str">
        <f>_xll.BDP("15239MHG Muni","MUNI_FED_TAX")</f>
        <v>#N/A Requesting Data...</v>
      </c>
      <c r="R62" t="str">
        <f>_xll.BDP("15239MHG Muni","MUNI_MSRB_VOLUME")</f>
        <v>#N/A Requesting Data...</v>
      </c>
      <c r="S62" t="str">
        <f>_xll.BDP("15239MHG Muni","BB_COMPOSITE")</f>
        <v>#N/A Requesting Data...</v>
      </c>
      <c r="T62" t="str">
        <f>_xll.BDP("15239MHG Muni","LQA_LIQUIDITY_SCORE")</f>
        <v>#N/A Requesting Data...</v>
      </c>
    </row>
    <row r="63" spans="1:20" x14ac:dyDescent="0.25">
      <c r="A63" t="str">
        <f>_xll.BDP("11808PAD Muni","ID_CUSIP")</f>
        <v>#N/A Requesting Data...</v>
      </c>
      <c r="B63" t="s">
        <v>43</v>
      </c>
      <c r="C63" t="str">
        <f>_xll.BDP("11808PAD Muni","INSURANCE_STATUS")</f>
        <v>#N/A Requesting Data...</v>
      </c>
      <c r="D63" t="str">
        <f>_xll.BDP("11808PAD Muni","STATE_CODE")</f>
        <v>#N/A Requesting Data...</v>
      </c>
      <c r="E63" t="str">
        <f>_xll.BDP("11808PAD Muni","COUNTY_LOCATION_ISSUER")</f>
        <v>#N/A Requesting Data...</v>
      </c>
      <c r="F63" t="str">
        <f>_xll.BDP("11808PAD Muni","DUR_ADJ_MID")</f>
        <v>#N/A Requesting Data...</v>
      </c>
      <c r="G63" t="str">
        <f>_xll.BDP("11808PAD Muni","SPREAD_AT_ISSUANCE_TO_WORST")</f>
        <v>#N/A Requesting Data...</v>
      </c>
      <c r="H63" t="str">
        <f>_xll.BDP("11808PAD Muni","ISSUE_DT")</f>
        <v>#N/A Requesting Data...</v>
      </c>
      <c r="I63" t="str">
        <f>_xll.BDS("11808PAD Muni","MUNI_PURPOSE_SCHED", "aggregate=y")</f>
        <v>#N/A Requesting Data...</v>
      </c>
      <c r="J63" t="str">
        <f>_xll.BDP("11808PAD Muni","CPN")</f>
        <v>#N/A Requesting Data...</v>
      </c>
      <c r="K63" t="str">
        <f>_xll.BDP("11808PAD Muni","MATURITY")</f>
        <v>#N/A Requesting Data...</v>
      </c>
      <c r="L63">
        <v>220000</v>
      </c>
      <c r="M63" t="str">
        <f>_xll.BDP("11808PAD Muni","YIELD_ON_ISSUE_DATE")</f>
        <v>#N/A Requesting Data...</v>
      </c>
      <c r="N63" t="str">
        <f>_xll.BDP("11808PAD Muni","YTW_SPREAD_TO_MATURITY_AT_ISSU")</f>
        <v>#N/A Requesting Data...</v>
      </c>
      <c r="O63" t="str">
        <f>_xll.BDP("11808PAD Muni","BVAL_MID_YTM")</f>
        <v>#N/A Requesting Data...</v>
      </c>
      <c r="P63" t="str">
        <f>_xll.BDP("11808PAD Muni","MUNI_TAX_PROV")</f>
        <v>#N/A Requesting Data...</v>
      </c>
      <c r="Q63" t="str">
        <f>_xll.BDP("11808PAD Muni","MUNI_FED_TAX")</f>
        <v>#N/A Requesting Data...</v>
      </c>
      <c r="R63" t="str">
        <f>_xll.BDP("11808PAD Muni","MUNI_MSRB_VOLUME")</f>
        <v>#N/A Requesting Data...</v>
      </c>
      <c r="S63" t="str">
        <f>_xll.BDP("11808PAD Muni","BB_COMPOSITE")</f>
        <v>#N/A Requesting Data...</v>
      </c>
      <c r="T63" t="str">
        <f>_xll.BDP("11808PAD Muni","LQA_LIQUIDITY_SCORE")</f>
        <v>#N/A Requesting Data...</v>
      </c>
    </row>
    <row r="64" spans="1:20" x14ac:dyDescent="0.25">
      <c r="A64" t="str">
        <f>_xll.BDP("119615EQ Muni","ID_CUSIP")</f>
        <v>#N/A Requesting Data...</v>
      </c>
      <c r="B64" t="s">
        <v>44</v>
      </c>
      <c r="C64" t="str">
        <f>_xll.BDP("119615EQ Muni","INSURANCE_STATUS")</f>
        <v>#N/A Requesting Data...</v>
      </c>
      <c r="D64" t="str">
        <f>_xll.BDP("119615EQ Muni","STATE_CODE")</f>
        <v>#N/A Requesting Data...</v>
      </c>
      <c r="E64" t="str">
        <f>_xll.BDP("119615EQ Muni","COUNTY_LOCATION_ISSUER")</f>
        <v>#N/A Requesting Data...</v>
      </c>
      <c r="F64" t="str">
        <f>_xll.BDP("119615EQ Muni","DUR_ADJ_MID")</f>
        <v>#N/A Requesting Data...</v>
      </c>
      <c r="G64" t="str">
        <f>_xll.BDP("119615EQ Muni","SPREAD_AT_ISSUANCE_TO_WORST")</f>
        <v>#N/A Requesting Data...</v>
      </c>
      <c r="H64" t="str">
        <f>_xll.BDP("119615EQ Muni","ISSUE_DT")</f>
        <v>#N/A Requesting Data...</v>
      </c>
      <c r="I64" t="str">
        <f>_xll.BDS("119615EQ Muni","MUNI_PURPOSE_SCHED", "aggregate=y")</f>
        <v>#N/A Requesting Data...</v>
      </c>
      <c r="J64" t="str">
        <f>_xll.BDP("119615EQ Muni","CPN")</f>
        <v>#N/A Requesting Data...</v>
      </c>
      <c r="K64" t="str">
        <f>_xll.BDP("119615EQ Muni","MATURITY")</f>
        <v>#N/A Requesting Data...</v>
      </c>
      <c r="L64">
        <v>80000</v>
      </c>
      <c r="M64" t="str">
        <f>_xll.BDP("119615EQ Muni","YIELD_ON_ISSUE_DATE")</f>
        <v>#N/A Requesting Data...</v>
      </c>
      <c r="N64" t="str">
        <f>_xll.BDP("119615EQ Muni","YTW_SPREAD_TO_MATURITY_AT_ISSU")</f>
        <v>#N/A Requesting Data...</v>
      </c>
      <c r="O64" t="str">
        <f>_xll.BDP("119615EQ Muni","BVAL_MID_YTM")</f>
        <v>#N/A Requesting Data...</v>
      </c>
      <c r="P64" t="str">
        <f>_xll.BDP("119615EQ Muni","MUNI_TAX_PROV")</f>
        <v>#N/A Requesting Data...</v>
      </c>
      <c r="Q64" t="str">
        <f>_xll.BDP("119615EQ Muni","MUNI_FED_TAX")</f>
        <v>#N/A Requesting Data...</v>
      </c>
      <c r="R64" t="str">
        <f>_xll.BDP("119615EQ Muni","MUNI_MSRB_VOLUME")</f>
        <v>#N/A Requesting Data...</v>
      </c>
      <c r="S64" t="str">
        <f>_xll.BDP("119615EQ Muni","BB_COMPOSITE")</f>
        <v>#N/A Requesting Data...</v>
      </c>
      <c r="T64" t="str">
        <f>_xll.BDP("119615EQ Muni","LQA_LIQUIDITY_SCORE")</f>
        <v>#N/A Requesting Data...</v>
      </c>
    </row>
    <row r="65" spans="1:20" x14ac:dyDescent="0.25">
      <c r="A65" t="str">
        <f>_xll.BDP("119615ER Muni","ID_CUSIP")</f>
        <v>#N/A Requesting Data...</v>
      </c>
      <c r="B65" t="s">
        <v>44</v>
      </c>
      <c r="C65" t="str">
        <f>_xll.BDP("119615ER Muni","INSURANCE_STATUS")</f>
        <v>#N/A Requesting Data...</v>
      </c>
      <c r="D65" t="str">
        <f>_xll.BDP("119615ER Muni","STATE_CODE")</f>
        <v>#N/A Requesting Data...</v>
      </c>
      <c r="E65" t="str">
        <f>_xll.BDP("119615ER Muni","COUNTY_LOCATION_ISSUER")</f>
        <v>#N/A Requesting Data...</v>
      </c>
      <c r="F65" t="str">
        <f>_xll.BDP("119615ER Muni","DUR_ADJ_MID")</f>
        <v>#N/A Requesting Data...</v>
      </c>
      <c r="G65" t="str">
        <f>_xll.BDP("119615ER Muni","SPREAD_AT_ISSUANCE_TO_WORST")</f>
        <v>#N/A Requesting Data...</v>
      </c>
      <c r="H65" t="str">
        <f>_xll.BDP("119615ER Muni","ISSUE_DT")</f>
        <v>#N/A Requesting Data...</v>
      </c>
      <c r="I65" t="str">
        <f>_xll.BDS("119615ER Muni","MUNI_PURPOSE_SCHED", "aggregate=y")</f>
        <v>#N/A Requesting Data...</v>
      </c>
      <c r="J65" t="str">
        <f>_xll.BDP("119615ER Muni","CPN")</f>
        <v>#N/A Requesting Data...</v>
      </c>
      <c r="K65" t="str">
        <f>_xll.BDP("119615ER Muni","MATURITY")</f>
        <v>#N/A Requesting Data...</v>
      </c>
      <c r="L65">
        <v>85000</v>
      </c>
      <c r="M65" t="str">
        <f>_xll.BDP("119615ER Muni","YIELD_ON_ISSUE_DATE")</f>
        <v>#N/A Requesting Data...</v>
      </c>
      <c r="N65" t="str">
        <f>_xll.BDP("119615ER Muni","YTW_SPREAD_TO_MATURITY_AT_ISSU")</f>
        <v>#N/A Requesting Data...</v>
      </c>
      <c r="O65" t="str">
        <f>_xll.BDP("119615ER Muni","BVAL_MID_YTM")</f>
        <v>#N/A Requesting Data...</v>
      </c>
      <c r="P65" t="str">
        <f>_xll.BDP("119615ER Muni","MUNI_TAX_PROV")</f>
        <v>#N/A Requesting Data...</v>
      </c>
      <c r="Q65" t="str">
        <f>_xll.BDP("119615ER Muni","MUNI_FED_TAX")</f>
        <v>#N/A Requesting Data...</v>
      </c>
      <c r="R65" t="str">
        <f>_xll.BDP("119615ER Muni","MUNI_MSRB_VOLUME")</f>
        <v>#N/A Requesting Data...</v>
      </c>
      <c r="S65" t="str">
        <f>_xll.BDP("119615ER Muni","BB_COMPOSITE")</f>
        <v>#N/A Requesting Data...</v>
      </c>
      <c r="T65" t="str">
        <f>_xll.BDP("119615ER Muni","LQA_LIQUIDITY_SCORE")</f>
        <v>#N/A Requesting Data...</v>
      </c>
    </row>
    <row r="66" spans="1:20" x14ac:dyDescent="0.25">
      <c r="A66" t="str">
        <f>_xll.BDP("017357C7 Muni","ID_CUSIP")</f>
        <v>#N/A Requesting Data...</v>
      </c>
      <c r="B66" t="s">
        <v>45</v>
      </c>
      <c r="C66" t="str">
        <f>_xll.BDP("017357C7 Muni","INSURANCE_STATUS")</f>
        <v>#N/A Requesting Data...</v>
      </c>
      <c r="D66" t="str">
        <f>_xll.BDP("017357C7 Muni","STATE_CODE")</f>
        <v>#N/A Requesting Data...</v>
      </c>
      <c r="E66" t="str">
        <f>_xll.BDP("017357C7 Muni","COUNTY_LOCATION_ISSUER")</f>
        <v>#N/A Requesting Data...</v>
      </c>
      <c r="F66" t="str">
        <f>_xll.BDP("017357C7 Muni","DUR_ADJ_MID")</f>
        <v>#N/A Requesting Data...</v>
      </c>
      <c r="G66" t="str">
        <f>_xll.BDP("017357C7 Muni","SPREAD_AT_ISSUANCE_TO_WORST")</f>
        <v>#N/A Requesting Data...</v>
      </c>
      <c r="H66" t="str">
        <f>_xll.BDP("017357C7 Muni","ISSUE_DT")</f>
        <v>#N/A Requesting Data...</v>
      </c>
      <c r="I66" t="str">
        <f>_xll.BDS("017357C7 Muni","MUNI_PURPOSE_SCHED", "aggregate=y")</f>
        <v>#N/A Requesting Data...</v>
      </c>
      <c r="J66" t="str">
        <f>_xll.BDP("017357C7 Muni","CPN")</f>
        <v>#N/A Requesting Data...</v>
      </c>
      <c r="K66" t="str">
        <f>_xll.BDP("017357C7 Muni","MATURITY")</f>
        <v>#N/A Requesting Data...</v>
      </c>
      <c r="L66">
        <v>245000</v>
      </c>
      <c r="M66" t="str">
        <f>_xll.BDP("017357C7 Muni","YIELD_ON_ISSUE_DATE")</f>
        <v>#N/A Requesting Data...</v>
      </c>
      <c r="N66" t="str">
        <f>_xll.BDP("017357C7 Muni","YTW_SPREAD_TO_MATURITY_AT_ISSU")</f>
        <v>#N/A Requesting Data...</v>
      </c>
      <c r="O66" t="str">
        <f>_xll.BDP("017357C7 Muni","BVAL_MID_YTM")</f>
        <v>#N/A Requesting Data...</v>
      </c>
      <c r="P66" t="str">
        <f>_xll.BDP("017357C7 Muni","MUNI_TAX_PROV")</f>
        <v>#N/A Requesting Data...</v>
      </c>
      <c r="Q66" t="str">
        <f>_xll.BDP("017357C7 Muni","MUNI_FED_TAX")</f>
        <v>#N/A Requesting Data...</v>
      </c>
      <c r="R66" t="str">
        <f>_xll.BDP("017357C7 Muni","MUNI_MSRB_VOLUME")</f>
        <v>#N/A Requesting Data...</v>
      </c>
      <c r="S66" t="str">
        <f>_xll.BDP("017357C7 Muni","BB_COMPOSITE")</f>
        <v>#N/A Requesting Data...</v>
      </c>
      <c r="T66" t="str">
        <f>_xll.BDP("017357C7 Muni","LQA_LIQUIDITY_SCORE")</f>
        <v>#N/A Requesting Data...</v>
      </c>
    </row>
    <row r="67" spans="1:20" x14ac:dyDescent="0.25">
      <c r="A67" t="str">
        <f>_xll.BDP("017357C8 Muni","ID_CUSIP")</f>
        <v>#N/A Requesting Data...</v>
      </c>
      <c r="B67" t="s">
        <v>45</v>
      </c>
      <c r="C67" t="str">
        <f>_xll.BDP("017357C8 Muni","INSURANCE_STATUS")</f>
        <v>#N/A Requesting Data...</v>
      </c>
      <c r="D67" t="str">
        <f>_xll.BDP("017357C8 Muni","STATE_CODE")</f>
        <v>#N/A Requesting Data...</v>
      </c>
      <c r="E67" t="str">
        <f>_xll.BDP("017357C8 Muni","COUNTY_LOCATION_ISSUER")</f>
        <v>#N/A Requesting Data...</v>
      </c>
      <c r="F67" t="str">
        <f>_xll.BDP("017357C8 Muni","DUR_ADJ_MID")</f>
        <v>#N/A Requesting Data...</v>
      </c>
      <c r="G67" t="str">
        <f>_xll.BDP("017357C8 Muni","SPREAD_AT_ISSUANCE_TO_WORST")</f>
        <v>#N/A Requesting Data...</v>
      </c>
      <c r="H67" t="str">
        <f>_xll.BDP("017357C8 Muni","ISSUE_DT")</f>
        <v>#N/A Requesting Data...</v>
      </c>
      <c r="I67" t="str">
        <f>_xll.BDS("017357C8 Muni","MUNI_PURPOSE_SCHED", "aggregate=y")</f>
        <v>#N/A Requesting Data...</v>
      </c>
      <c r="J67" t="str">
        <f>_xll.BDP("017357C8 Muni","CPN")</f>
        <v>#N/A Requesting Data...</v>
      </c>
      <c r="K67" t="str">
        <f>_xll.BDP("017357C8 Muni","MATURITY")</f>
        <v>#N/A Requesting Data...</v>
      </c>
      <c r="L67">
        <v>440000</v>
      </c>
      <c r="M67" t="str">
        <f>_xll.BDP("017357C8 Muni","YIELD_ON_ISSUE_DATE")</f>
        <v>#N/A Requesting Data...</v>
      </c>
      <c r="N67" t="str">
        <f>_xll.BDP("017357C8 Muni","YTW_SPREAD_TO_MATURITY_AT_ISSU")</f>
        <v>#N/A Requesting Data...</v>
      </c>
      <c r="O67" t="str">
        <f>_xll.BDP("017357C8 Muni","BVAL_MID_YTM")</f>
        <v>#N/A Requesting Data...</v>
      </c>
      <c r="P67" t="str">
        <f>_xll.BDP("017357C8 Muni","MUNI_TAX_PROV")</f>
        <v>#N/A Requesting Data...</v>
      </c>
      <c r="Q67" t="str">
        <f>_xll.BDP("017357C8 Muni","MUNI_FED_TAX")</f>
        <v>#N/A Requesting Data...</v>
      </c>
      <c r="R67" t="str">
        <f>_xll.BDP("017357C8 Muni","MUNI_MSRB_VOLUME")</f>
        <v>#N/A Requesting Data...</v>
      </c>
      <c r="S67" t="str">
        <f>_xll.BDP("017357C8 Muni","BB_COMPOSITE")</f>
        <v>#N/A Requesting Data...</v>
      </c>
      <c r="T67" t="str">
        <f>_xll.BDP("017357C8 Muni","LQA_LIQUIDITY_SCORE")</f>
        <v>#N/A Requesting Data...</v>
      </c>
    </row>
    <row r="68" spans="1:20" x14ac:dyDescent="0.25">
      <c r="A68" t="str">
        <f>_xll.BDP("017357C9 Muni","ID_CUSIP")</f>
        <v>#N/A Requesting Data...</v>
      </c>
      <c r="B68" t="s">
        <v>45</v>
      </c>
      <c r="C68" t="str">
        <f>_xll.BDP("017357C9 Muni","INSURANCE_STATUS")</f>
        <v>#N/A Requesting Data...</v>
      </c>
      <c r="D68" t="str">
        <f>_xll.BDP("017357C9 Muni","STATE_CODE")</f>
        <v>#N/A Requesting Data...</v>
      </c>
      <c r="E68" t="str">
        <f>_xll.BDP("017357C9 Muni","COUNTY_LOCATION_ISSUER")</f>
        <v>#N/A Requesting Data...</v>
      </c>
      <c r="F68" t="str">
        <f>_xll.BDP("017357C9 Muni","DUR_ADJ_MID")</f>
        <v>#N/A Requesting Data...</v>
      </c>
      <c r="G68" t="str">
        <f>_xll.BDP("017357C9 Muni","SPREAD_AT_ISSUANCE_TO_WORST")</f>
        <v>#N/A Requesting Data...</v>
      </c>
      <c r="H68" t="str">
        <f>_xll.BDP("017357C9 Muni","ISSUE_DT")</f>
        <v>#N/A Requesting Data...</v>
      </c>
      <c r="I68" t="str">
        <f>_xll.BDS("017357C9 Muni","MUNI_PURPOSE_SCHED", "aggregate=y")</f>
        <v>#N/A Requesting Data...</v>
      </c>
      <c r="J68" t="str">
        <f>_xll.BDP("017357C9 Muni","CPN")</f>
        <v>#N/A Requesting Data...</v>
      </c>
      <c r="K68" t="str">
        <f>_xll.BDP("017357C9 Muni","MATURITY")</f>
        <v>#N/A Requesting Data...</v>
      </c>
      <c r="L68">
        <v>3810000</v>
      </c>
      <c r="M68" t="str">
        <f>_xll.BDP("017357C9 Muni","YIELD_ON_ISSUE_DATE")</f>
        <v>#N/A Requesting Data...</v>
      </c>
      <c r="N68" t="str">
        <f>_xll.BDP("017357C9 Muni","YTW_SPREAD_TO_MATURITY_AT_ISSU")</f>
        <v>#N/A Requesting Data...</v>
      </c>
      <c r="O68" t="str">
        <f>_xll.BDP("017357C9 Muni","BVAL_MID_YTM")</f>
        <v>#N/A Requesting Data...</v>
      </c>
      <c r="P68" t="str">
        <f>_xll.BDP("017357C9 Muni","MUNI_TAX_PROV")</f>
        <v>#N/A Requesting Data...</v>
      </c>
      <c r="Q68" t="str">
        <f>_xll.BDP("017357C9 Muni","MUNI_FED_TAX")</f>
        <v>#N/A Requesting Data...</v>
      </c>
      <c r="R68" t="str">
        <f>_xll.BDP("017357C9 Muni","MUNI_MSRB_VOLUME")</f>
        <v>#N/A Requesting Data...</v>
      </c>
      <c r="S68" t="str">
        <f>_xll.BDP("017357C9 Muni","BB_COMPOSITE")</f>
        <v>#N/A Requesting Data...</v>
      </c>
      <c r="T68" t="str">
        <f>_xll.BDP("017357C9 Muni","LQA_LIQUIDITY_SCORE")</f>
        <v>#N/A Requesting Data...</v>
      </c>
    </row>
    <row r="69" spans="1:20" x14ac:dyDescent="0.25">
      <c r="A69" t="str">
        <f>_xll.BDP("017357D2 Muni","ID_CUSIP")</f>
        <v>#N/A Requesting Data...</v>
      </c>
      <c r="B69" t="s">
        <v>45</v>
      </c>
      <c r="C69" t="str">
        <f>_xll.BDP("017357D2 Muni","INSURANCE_STATUS")</f>
        <v>#N/A Requesting Data...</v>
      </c>
      <c r="D69" t="str">
        <f>_xll.BDP("017357D2 Muni","STATE_CODE")</f>
        <v>#N/A Requesting Data...</v>
      </c>
      <c r="E69" t="str">
        <f>_xll.BDP("017357D2 Muni","COUNTY_LOCATION_ISSUER")</f>
        <v>#N/A Requesting Data...</v>
      </c>
      <c r="F69" t="str">
        <f>_xll.BDP("017357D2 Muni","DUR_ADJ_MID")</f>
        <v>#N/A Requesting Data...</v>
      </c>
      <c r="G69" t="str">
        <f>_xll.BDP("017357D2 Muni","SPREAD_AT_ISSUANCE_TO_WORST")</f>
        <v>#N/A Requesting Data...</v>
      </c>
      <c r="H69" t="str">
        <f>_xll.BDP("017357D2 Muni","ISSUE_DT")</f>
        <v>#N/A Requesting Data...</v>
      </c>
      <c r="I69" t="str">
        <f>_xll.BDS("017357D2 Muni","MUNI_PURPOSE_SCHED", "aggregate=y")</f>
        <v>#N/A Requesting Data...</v>
      </c>
      <c r="J69" t="str">
        <f>_xll.BDP("017357D2 Muni","CPN")</f>
        <v>#N/A Requesting Data...</v>
      </c>
      <c r="K69" t="str">
        <f>_xll.BDP("017357D2 Muni","MATURITY")</f>
        <v>#N/A Requesting Data...</v>
      </c>
      <c r="L69">
        <v>4005000</v>
      </c>
      <c r="M69" t="str">
        <f>_xll.BDP("017357D2 Muni","YIELD_ON_ISSUE_DATE")</f>
        <v>#N/A Requesting Data...</v>
      </c>
      <c r="N69" t="str">
        <f>_xll.BDP("017357D2 Muni","YTW_SPREAD_TO_MATURITY_AT_ISSU")</f>
        <v>#N/A Requesting Data...</v>
      </c>
      <c r="O69" t="str">
        <f>_xll.BDP("017357D2 Muni","BVAL_MID_YTM")</f>
        <v>#N/A Requesting Data...</v>
      </c>
      <c r="P69" t="str">
        <f>_xll.BDP("017357D2 Muni","MUNI_TAX_PROV")</f>
        <v>#N/A Requesting Data...</v>
      </c>
      <c r="Q69" t="str">
        <f>_xll.BDP("017357D2 Muni","MUNI_FED_TAX")</f>
        <v>#N/A Requesting Data...</v>
      </c>
      <c r="R69" t="str">
        <f>_xll.BDP("017357D2 Muni","MUNI_MSRB_VOLUME")</f>
        <v>#N/A Requesting Data...</v>
      </c>
      <c r="S69" t="str">
        <f>_xll.BDP("017357D2 Muni","BB_COMPOSITE")</f>
        <v>#N/A Requesting Data...</v>
      </c>
      <c r="T69" t="str">
        <f>_xll.BDP("017357D2 Muni","LQA_LIQUIDITY_SCORE")</f>
        <v>#N/A Requesting Data...</v>
      </c>
    </row>
    <row r="70" spans="1:20" x14ac:dyDescent="0.25">
      <c r="A70" t="str">
        <f>_xll.BDP("017357D3 Muni","ID_CUSIP")</f>
        <v>#N/A Requesting Data...</v>
      </c>
      <c r="B70" t="s">
        <v>45</v>
      </c>
      <c r="C70" t="str">
        <f>_xll.BDP("017357D3 Muni","INSURANCE_STATUS")</f>
        <v>#N/A Requesting Data...</v>
      </c>
      <c r="D70" t="str">
        <f>_xll.BDP("017357D3 Muni","STATE_CODE")</f>
        <v>#N/A Requesting Data...</v>
      </c>
      <c r="E70" t="str">
        <f>_xll.BDP("017357D3 Muni","COUNTY_LOCATION_ISSUER")</f>
        <v>#N/A Requesting Data...</v>
      </c>
      <c r="F70" t="str">
        <f>_xll.BDP("017357D3 Muni","DUR_ADJ_MID")</f>
        <v>#N/A Requesting Data...</v>
      </c>
      <c r="G70" t="str">
        <f>_xll.BDP("017357D3 Muni","SPREAD_AT_ISSUANCE_TO_WORST")</f>
        <v>#N/A Requesting Data...</v>
      </c>
      <c r="H70" t="str">
        <f>_xll.BDP("017357D3 Muni","ISSUE_DT")</f>
        <v>#N/A Requesting Data...</v>
      </c>
      <c r="I70" t="str">
        <f>_xll.BDS("017357D3 Muni","MUNI_PURPOSE_SCHED", "aggregate=y")</f>
        <v>#N/A Requesting Data...</v>
      </c>
      <c r="J70" t="str">
        <f>_xll.BDP("017357D3 Muni","CPN")</f>
        <v>#N/A Requesting Data...</v>
      </c>
      <c r="K70" t="str">
        <f>_xll.BDP("017357D3 Muni","MATURITY")</f>
        <v>#N/A Requesting Data...</v>
      </c>
      <c r="L70">
        <v>4210000</v>
      </c>
      <c r="M70" t="str">
        <f>_xll.BDP("017357D3 Muni","YIELD_ON_ISSUE_DATE")</f>
        <v>#N/A Requesting Data...</v>
      </c>
      <c r="N70" t="str">
        <f>_xll.BDP("017357D3 Muni","YTW_SPREAD_TO_MATURITY_AT_ISSU")</f>
        <v>#N/A Requesting Data...</v>
      </c>
      <c r="O70" t="str">
        <f>_xll.BDP("017357D3 Muni","BVAL_MID_YTM")</f>
        <v>#N/A Requesting Data...</v>
      </c>
      <c r="P70" t="str">
        <f>_xll.BDP("017357D3 Muni","MUNI_TAX_PROV")</f>
        <v>#N/A Requesting Data...</v>
      </c>
      <c r="Q70" t="str">
        <f>_xll.BDP("017357D3 Muni","MUNI_FED_TAX")</f>
        <v>#N/A Requesting Data...</v>
      </c>
      <c r="R70" t="str">
        <f>_xll.BDP("017357D3 Muni","MUNI_MSRB_VOLUME")</f>
        <v>#N/A Requesting Data...</v>
      </c>
      <c r="S70" t="str">
        <f>_xll.BDP("017357D3 Muni","BB_COMPOSITE")</f>
        <v>#N/A Requesting Data...</v>
      </c>
      <c r="T70" t="str">
        <f>_xll.BDP("017357D3 Muni","LQA_LIQUIDITY_SCORE")</f>
        <v>#N/A Requesting Data...</v>
      </c>
    </row>
    <row r="71" spans="1:20" x14ac:dyDescent="0.25">
      <c r="A71" t="str">
        <f>_xll.BDP("018112PW Muni","ID_CUSIP")</f>
        <v>#N/A Requesting Data...</v>
      </c>
      <c r="B71" t="s">
        <v>46</v>
      </c>
      <c r="C71" t="str">
        <f>_xll.BDP("018112PW Muni","INSURANCE_STATUS")</f>
        <v>#N/A Requesting Data...</v>
      </c>
      <c r="D71" t="str">
        <f>_xll.BDP("018112PW Muni","STATE_CODE")</f>
        <v>#N/A Requesting Data...</v>
      </c>
      <c r="E71" t="str">
        <f>_xll.BDP("018112PW Muni","COUNTY_LOCATION_ISSUER")</f>
        <v>#N/A Requesting Data...</v>
      </c>
      <c r="F71" t="str">
        <f>_xll.BDP("018112PW Muni","DUR_ADJ_MID")</f>
        <v>#N/A Requesting Data...</v>
      </c>
      <c r="G71" t="str">
        <f>_xll.BDP("018112PW Muni","SPREAD_AT_ISSUANCE_TO_WORST")</f>
        <v>#N/A Requesting Data...</v>
      </c>
      <c r="H71" t="str">
        <f>_xll.BDP("018112PW Muni","ISSUE_DT")</f>
        <v>#N/A Requesting Data...</v>
      </c>
      <c r="I71" t="str">
        <f>_xll.BDS("018112PW Muni","MUNI_PURPOSE_SCHED", "aggregate=y")</f>
        <v>#N/A Requesting Data...</v>
      </c>
      <c r="J71" t="str">
        <f>_xll.BDP("018112PW Muni","CPN")</f>
        <v>#N/A Requesting Data...</v>
      </c>
      <c r="K71" t="str">
        <f>_xll.BDP("018112PW Muni","MATURITY")</f>
        <v>#N/A Requesting Data...</v>
      </c>
      <c r="L71">
        <v>350000</v>
      </c>
      <c r="M71" t="str">
        <f>_xll.BDP("018112PW Muni","YIELD_ON_ISSUE_DATE")</f>
        <v>#N/A Requesting Data...</v>
      </c>
      <c r="N71" t="str">
        <f>_xll.BDP("018112PW Muni","YTW_SPREAD_TO_MATURITY_AT_ISSU")</f>
        <v>#N/A Requesting Data...</v>
      </c>
      <c r="O71" t="str">
        <f>_xll.BDP("018112PW Muni","BVAL_MID_YTM")</f>
        <v>#N/A Requesting Data...</v>
      </c>
      <c r="P71" t="str">
        <f>_xll.BDP("018112PW Muni","MUNI_TAX_PROV")</f>
        <v>#N/A Requesting Data...</v>
      </c>
      <c r="Q71" t="str">
        <f>_xll.BDP("018112PW Muni","MUNI_FED_TAX")</f>
        <v>#N/A Requesting Data...</v>
      </c>
      <c r="R71" t="str">
        <f>_xll.BDP("018112PW Muni","MUNI_MSRB_VOLUME")</f>
        <v>#N/A Requesting Data...</v>
      </c>
      <c r="S71" t="str">
        <f>_xll.BDP("018112PW Muni","BB_COMPOSITE")</f>
        <v>#N/A Requesting Data...</v>
      </c>
      <c r="T71" t="str">
        <f>_xll.BDP("018112PW Muni","LQA_LIQUIDITY_SCORE")</f>
        <v>#N/A Requesting Data...</v>
      </c>
    </row>
    <row r="72" spans="1:20" x14ac:dyDescent="0.25">
      <c r="A72" t="str">
        <f>_xll.BDP("018112PX Muni","ID_CUSIP")</f>
        <v>#N/A Requesting Data...</v>
      </c>
      <c r="B72" t="s">
        <v>46</v>
      </c>
      <c r="C72" t="str">
        <f>_xll.BDP("018112PX Muni","INSURANCE_STATUS")</f>
        <v>#N/A Requesting Data...</v>
      </c>
      <c r="D72" t="str">
        <f>_xll.BDP("018112PX Muni","STATE_CODE")</f>
        <v>#N/A Requesting Data...</v>
      </c>
      <c r="E72" t="str">
        <f>_xll.BDP("018112PX Muni","COUNTY_LOCATION_ISSUER")</f>
        <v>#N/A Requesting Data...</v>
      </c>
      <c r="F72" t="str">
        <f>_xll.BDP("018112PX Muni","DUR_ADJ_MID")</f>
        <v>#N/A Requesting Data...</v>
      </c>
      <c r="G72" t="str">
        <f>_xll.BDP("018112PX Muni","SPREAD_AT_ISSUANCE_TO_WORST")</f>
        <v>#N/A Requesting Data...</v>
      </c>
      <c r="H72" t="str">
        <f>_xll.BDP("018112PX Muni","ISSUE_DT")</f>
        <v>#N/A Requesting Data...</v>
      </c>
      <c r="I72" t="str">
        <f>_xll.BDS("018112PX Muni","MUNI_PURPOSE_SCHED", "aggregate=y")</f>
        <v>#N/A Requesting Data...</v>
      </c>
      <c r="J72" t="str">
        <f>_xll.BDP("018112PX Muni","CPN")</f>
        <v>#N/A Requesting Data...</v>
      </c>
      <c r="K72" t="str">
        <f>_xll.BDP("018112PX Muni","MATURITY")</f>
        <v>#N/A Requesting Data...</v>
      </c>
      <c r="L72">
        <v>375000</v>
      </c>
      <c r="M72" t="str">
        <f>_xll.BDP("018112PX Muni","YIELD_ON_ISSUE_DATE")</f>
        <v>#N/A Requesting Data...</v>
      </c>
      <c r="N72" t="str">
        <f>_xll.BDP("018112PX Muni","YTW_SPREAD_TO_MATURITY_AT_ISSU")</f>
        <v>#N/A Requesting Data...</v>
      </c>
      <c r="O72" t="str">
        <f>_xll.BDP("018112PX Muni","BVAL_MID_YTM")</f>
        <v>#N/A Requesting Data...</v>
      </c>
      <c r="P72" t="str">
        <f>_xll.BDP("018112PX Muni","MUNI_TAX_PROV")</f>
        <v>#N/A Requesting Data...</v>
      </c>
      <c r="Q72" t="str">
        <f>_xll.BDP("018112PX Muni","MUNI_FED_TAX")</f>
        <v>#N/A Requesting Data...</v>
      </c>
      <c r="R72" t="str">
        <f>_xll.BDP("018112PX Muni","MUNI_MSRB_VOLUME")</f>
        <v>#N/A Requesting Data...</v>
      </c>
      <c r="S72" t="str">
        <f>_xll.BDP("018112PX Muni","BB_COMPOSITE")</f>
        <v>#N/A Requesting Data...</v>
      </c>
      <c r="T72" t="str">
        <f>_xll.BDP("018112PX Muni","LQA_LIQUIDITY_SCORE")</f>
        <v>#N/A Requesting Data...</v>
      </c>
    </row>
    <row r="73" spans="1:20" x14ac:dyDescent="0.25">
      <c r="A73" t="str">
        <f>_xll.BDP("018112PY Muni","ID_CUSIP")</f>
        <v>#N/A Requesting Data...</v>
      </c>
      <c r="B73" t="s">
        <v>46</v>
      </c>
      <c r="C73" t="str">
        <f>_xll.BDP("018112PY Muni","INSURANCE_STATUS")</f>
        <v>#N/A Requesting Data...</v>
      </c>
      <c r="D73" t="str">
        <f>_xll.BDP("018112PY Muni","STATE_CODE")</f>
        <v>#N/A Requesting Data...</v>
      </c>
      <c r="E73" t="str">
        <f>_xll.BDP("018112PY Muni","COUNTY_LOCATION_ISSUER")</f>
        <v>#N/A Requesting Data...</v>
      </c>
      <c r="F73" t="str">
        <f>_xll.BDP("018112PY Muni","DUR_ADJ_MID")</f>
        <v>#N/A Requesting Data...</v>
      </c>
      <c r="G73" t="str">
        <f>_xll.BDP("018112PY Muni","SPREAD_AT_ISSUANCE_TO_WORST")</f>
        <v>#N/A Requesting Data...</v>
      </c>
      <c r="H73" t="str">
        <f>_xll.BDP("018112PY Muni","ISSUE_DT")</f>
        <v>#N/A Requesting Data...</v>
      </c>
      <c r="I73" t="str">
        <f>_xll.BDS("018112PY Muni","MUNI_PURPOSE_SCHED", "aggregate=y")</f>
        <v>#N/A Requesting Data...</v>
      </c>
      <c r="J73" t="str">
        <f>_xll.BDP("018112PY Muni","CPN")</f>
        <v>#N/A Requesting Data...</v>
      </c>
      <c r="K73" t="str">
        <f>_xll.BDP("018112PY Muni","MATURITY")</f>
        <v>#N/A Requesting Data...</v>
      </c>
      <c r="L73">
        <v>390000</v>
      </c>
      <c r="M73" t="str">
        <f>_xll.BDP("018112PY Muni","YIELD_ON_ISSUE_DATE")</f>
        <v>#N/A Requesting Data...</v>
      </c>
      <c r="N73" t="str">
        <f>_xll.BDP("018112PY Muni","YTW_SPREAD_TO_MATURITY_AT_ISSU")</f>
        <v>#N/A Requesting Data...</v>
      </c>
      <c r="O73" t="str">
        <f>_xll.BDP("018112PY Muni","BVAL_MID_YTM")</f>
        <v>#N/A Requesting Data...</v>
      </c>
      <c r="P73" t="str">
        <f>_xll.BDP("018112PY Muni","MUNI_TAX_PROV")</f>
        <v>#N/A Requesting Data...</v>
      </c>
      <c r="Q73" t="str">
        <f>_xll.BDP("018112PY Muni","MUNI_FED_TAX")</f>
        <v>#N/A Requesting Data...</v>
      </c>
      <c r="R73" t="str">
        <f>_xll.BDP("018112PY Muni","MUNI_MSRB_VOLUME")</f>
        <v>#N/A Requesting Data...</v>
      </c>
      <c r="S73" t="str">
        <f>_xll.BDP("018112PY Muni","BB_COMPOSITE")</f>
        <v>#N/A Requesting Data...</v>
      </c>
      <c r="T73" t="str">
        <f>_xll.BDP("018112PY Muni","LQA_LIQUIDITY_SCORE")</f>
        <v>#N/A Requesting Data...</v>
      </c>
    </row>
    <row r="74" spans="1:20" x14ac:dyDescent="0.25">
      <c r="A74" t="str">
        <f>_xll.BDP("018112PZ Muni","ID_CUSIP")</f>
        <v>#N/A Requesting Data...</v>
      </c>
      <c r="B74" t="s">
        <v>46</v>
      </c>
      <c r="C74" t="str">
        <f>_xll.BDP("018112PZ Muni","INSURANCE_STATUS")</f>
        <v>#N/A Requesting Data...</v>
      </c>
      <c r="D74" t="str">
        <f>_xll.BDP("018112PZ Muni","STATE_CODE")</f>
        <v>#N/A Requesting Data...</v>
      </c>
      <c r="E74" t="str">
        <f>_xll.BDP("018112PZ Muni","COUNTY_LOCATION_ISSUER")</f>
        <v>#N/A Requesting Data...</v>
      </c>
      <c r="F74" t="str">
        <f>_xll.BDP("018112PZ Muni","DUR_ADJ_MID")</f>
        <v>#N/A Requesting Data...</v>
      </c>
      <c r="G74" t="str">
        <f>_xll.BDP("018112PZ Muni","SPREAD_AT_ISSUANCE_TO_WORST")</f>
        <v>#N/A Requesting Data...</v>
      </c>
      <c r="H74" t="str">
        <f>_xll.BDP("018112PZ Muni","ISSUE_DT")</f>
        <v>#N/A Requesting Data...</v>
      </c>
      <c r="I74" t="str">
        <f>_xll.BDS("018112PZ Muni","MUNI_PURPOSE_SCHED", "aggregate=y")</f>
        <v>#N/A Requesting Data...</v>
      </c>
      <c r="J74" t="str">
        <f>_xll.BDP("018112PZ Muni","CPN")</f>
        <v>#N/A Requesting Data...</v>
      </c>
      <c r="K74" t="str">
        <f>_xll.BDP("018112PZ Muni","MATURITY")</f>
        <v>#N/A Requesting Data...</v>
      </c>
      <c r="L74">
        <v>405000</v>
      </c>
      <c r="M74" t="str">
        <f>_xll.BDP("018112PZ Muni","YIELD_ON_ISSUE_DATE")</f>
        <v>#N/A Requesting Data...</v>
      </c>
      <c r="N74" t="str">
        <f>_xll.BDP("018112PZ Muni","YTW_SPREAD_TO_MATURITY_AT_ISSU")</f>
        <v>#N/A Requesting Data...</v>
      </c>
      <c r="O74" t="str">
        <f>_xll.BDP("018112PZ Muni","BVAL_MID_YTM")</f>
        <v>#N/A Requesting Data...</v>
      </c>
      <c r="P74" t="str">
        <f>_xll.BDP("018112PZ Muni","MUNI_TAX_PROV")</f>
        <v>#N/A Requesting Data...</v>
      </c>
      <c r="Q74" t="str">
        <f>_xll.BDP("018112PZ Muni","MUNI_FED_TAX")</f>
        <v>#N/A Requesting Data...</v>
      </c>
      <c r="R74" t="str">
        <f>_xll.BDP("018112PZ Muni","MUNI_MSRB_VOLUME")</f>
        <v>#N/A Requesting Data...</v>
      </c>
      <c r="S74" t="str">
        <f>_xll.BDP("018112PZ Muni","BB_COMPOSITE")</f>
        <v>#N/A Requesting Data...</v>
      </c>
      <c r="T74" t="str">
        <f>_xll.BDP("018112PZ Muni","LQA_LIQUIDITY_SCORE")</f>
        <v>#N/A Requesting Data...</v>
      </c>
    </row>
    <row r="75" spans="1:20" x14ac:dyDescent="0.25">
      <c r="A75" t="str">
        <f>_xll.BDP("00344NSZ Muni","ID_CUSIP")</f>
        <v>#N/A Requesting Data...</v>
      </c>
      <c r="B75" t="s">
        <v>47</v>
      </c>
      <c r="C75" t="str">
        <f>_xll.BDP("00344NSZ Muni","INSURANCE_STATUS")</f>
        <v>#N/A Requesting Data...</v>
      </c>
      <c r="D75" t="str">
        <f>_xll.BDP("00344NSZ Muni","STATE_CODE")</f>
        <v>#N/A Requesting Data...</v>
      </c>
      <c r="E75" t="str">
        <f>_xll.BDP("00344NSZ Muni","COUNTY_LOCATION_ISSUER")</f>
        <v>#N/A Requesting Data...</v>
      </c>
      <c r="F75" t="str">
        <f>_xll.BDP("00344NSZ Muni","DUR_ADJ_MID")</f>
        <v>#N/A Requesting Data...</v>
      </c>
      <c r="G75" t="str">
        <f>_xll.BDP("00344NSZ Muni","SPREAD_AT_ISSUANCE_TO_WORST")</f>
        <v>#N/A Requesting Data...</v>
      </c>
      <c r="H75" t="str">
        <f>_xll.BDP("00344NSZ Muni","ISSUE_DT")</f>
        <v>#N/A Requesting Data...</v>
      </c>
      <c r="I75" t="str">
        <f>_xll.BDS("00344NSZ Muni","MUNI_PURPOSE_SCHED", "aggregate=y")</f>
        <v>#N/A Requesting Data...</v>
      </c>
      <c r="J75" t="str">
        <f>_xll.BDP("00344NSZ Muni","CPN")</f>
        <v>#N/A Requesting Data...</v>
      </c>
      <c r="K75" t="str">
        <f>_xll.BDP("00344NSZ Muni","MATURITY")</f>
        <v>#N/A Requesting Data...</v>
      </c>
      <c r="L75">
        <v>395000</v>
      </c>
      <c r="M75" t="str">
        <f>_xll.BDP("00344NSZ Muni","YIELD_ON_ISSUE_DATE")</f>
        <v>#N/A Requesting Data...</v>
      </c>
      <c r="N75" t="str">
        <f>_xll.BDP("00344NSZ Muni","YTW_SPREAD_TO_MATURITY_AT_ISSU")</f>
        <v>#N/A Requesting Data...</v>
      </c>
      <c r="O75" t="str">
        <f>_xll.BDP("00344NSZ Muni","BVAL_MID_YTM")</f>
        <v>#N/A Requesting Data...</v>
      </c>
      <c r="P75" t="str">
        <f>_xll.BDP("00344NSZ Muni","MUNI_TAX_PROV")</f>
        <v>#N/A Requesting Data...</v>
      </c>
      <c r="Q75" t="str">
        <f>_xll.BDP("00344NSZ Muni","MUNI_FED_TAX")</f>
        <v>#N/A Requesting Data...</v>
      </c>
      <c r="R75" t="str">
        <f>_xll.BDP("00344NSZ Muni","MUNI_MSRB_VOLUME")</f>
        <v>#N/A Requesting Data...</v>
      </c>
      <c r="S75" t="str">
        <f>_xll.BDP("00344NSZ Muni","BB_COMPOSITE")</f>
        <v>#N/A Requesting Data...</v>
      </c>
      <c r="T75" t="str">
        <f>_xll.BDP("00344NSZ Muni","LQA_LIQUIDITY_SCORE")</f>
        <v>#N/A Requesting Data...</v>
      </c>
    </row>
    <row r="76" spans="1:20" x14ac:dyDescent="0.25">
      <c r="A76" t="str">
        <f>_xll.BDP("00344NTA Muni","ID_CUSIP")</f>
        <v>#N/A Requesting Data...</v>
      </c>
      <c r="B76" t="s">
        <v>47</v>
      </c>
      <c r="C76" t="str">
        <f>_xll.BDP("00344NTA Muni","INSURANCE_STATUS")</f>
        <v>#N/A Requesting Data...</v>
      </c>
      <c r="D76" t="str">
        <f>_xll.BDP("00344NTA Muni","STATE_CODE")</f>
        <v>#N/A Requesting Data...</v>
      </c>
      <c r="E76" t="str">
        <f>_xll.BDP("00344NTA Muni","COUNTY_LOCATION_ISSUER")</f>
        <v>#N/A Requesting Data...</v>
      </c>
      <c r="F76" t="str">
        <f>_xll.BDP("00344NTA Muni","DUR_ADJ_MID")</f>
        <v>#N/A Requesting Data...</v>
      </c>
      <c r="G76" t="str">
        <f>_xll.BDP("00344NTA Muni","SPREAD_AT_ISSUANCE_TO_WORST")</f>
        <v>#N/A Requesting Data...</v>
      </c>
      <c r="H76" t="str">
        <f>_xll.BDP("00344NTA Muni","ISSUE_DT")</f>
        <v>#N/A Requesting Data...</v>
      </c>
      <c r="I76" t="str">
        <f>_xll.BDS("00344NTA Muni","MUNI_PURPOSE_SCHED", "aggregate=y")</f>
        <v>#N/A Requesting Data...</v>
      </c>
      <c r="J76" t="str">
        <f>_xll.BDP("00344NTA Muni","CPN")</f>
        <v>#N/A Requesting Data...</v>
      </c>
      <c r="K76" t="str">
        <f>_xll.BDP("00344NTA Muni","MATURITY")</f>
        <v>#N/A Requesting Data...</v>
      </c>
      <c r="L76">
        <v>405000</v>
      </c>
      <c r="M76" t="str">
        <f>_xll.BDP("00344NTA Muni","YIELD_ON_ISSUE_DATE")</f>
        <v>#N/A Requesting Data...</v>
      </c>
      <c r="N76" t="str">
        <f>_xll.BDP("00344NTA Muni","YTW_SPREAD_TO_MATURITY_AT_ISSU")</f>
        <v>#N/A Requesting Data...</v>
      </c>
      <c r="O76" t="str">
        <f>_xll.BDP("00344NTA Muni","BVAL_MID_YTM")</f>
        <v>#N/A Requesting Data...</v>
      </c>
      <c r="P76" t="str">
        <f>_xll.BDP("00344NTA Muni","MUNI_TAX_PROV")</f>
        <v>#N/A Requesting Data...</v>
      </c>
      <c r="Q76" t="str">
        <f>_xll.BDP("00344NTA Muni","MUNI_FED_TAX")</f>
        <v>#N/A Requesting Data...</v>
      </c>
      <c r="R76" t="str">
        <f>_xll.BDP("00344NTA Muni","MUNI_MSRB_VOLUME")</f>
        <v>#N/A Requesting Data...</v>
      </c>
      <c r="S76" t="str">
        <f>_xll.BDP("00344NTA Muni","BB_COMPOSITE")</f>
        <v>#N/A Requesting Data...</v>
      </c>
      <c r="T76" t="str">
        <f>_xll.BDP("00344NTA Muni","LQA_LIQUIDITY_SCORE")</f>
        <v>#N/A Requesting Data...</v>
      </c>
    </row>
    <row r="77" spans="1:20" x14ac:dyDescent="0.25">
      <c r="A77" t="str">
        <f>_xll.BDP("00344NTB Muni","ID_CUSIP")</f>
        <v>#N/A Requesting Data...</v>
      </c>
      <c r="B77" t="s">
        <v>47</v>
      </c>
      <c r="C77" t="str">
        <f>_xll.BDP("00344NTB Muni","INSURANCE_STATUS")</f>
        <v>#N/A Requesting Data...</v>
      </c>
      <c r="D77" t="str">
        <f>_xll.BDP("00344NTB Muni","STATE_CODE")</f>
        <v>#N/A Requesting Data...</v>
      </c>
      <c r="E77" t="str">
        <f>_xll.BDP("00344NTB Muni","COUNTY_LOCATION_ISSUER")</f>
        <v>#N/A Requesting Data...</v>
      </c>
      <c r="F77" t="str">
        <f>_xll.BDP("00344NTB Muni","DUR_ADJ_MID")</f>
        <v>#N/A Requesting Data...</v>
      </c>
      <c r="G77" t="str">
        <f>_xll.BDP("00344NTB Muni","SPREAD_AT_ISSUANCE_TO_WORST")</f>
        <v>#N/A Requesting Data...</v>
      </c>
      <c r="H77" t="str">
        <f>_xll.BDP("00344NTB Muni","ISSUE_DT")</f>
        <v>#N/A Requesting Data...</v>
      </c>
      <c r="I77" t="str">
        <f>_xll.BDS("00344NTB Muni","MUNI_PURPOSE_SCHED", "aggregate=y")</f>
        <v>#N/A Requesting Data...</v>
      </c>
      <c r="J77" t="str">
        <f>_xll.BDP("00344NTB Muni","CPN")</f>
        <v>#N/A Requesting Data...</v>
      </c>
      <c r="K77" t="str">
        <f>_xll.BDP("00344NTB Muni","MATURITY")</f>
        <v>#N/A Requesting Data...</v>
      </c>
      <c r="L77">
        <v>415000</v>
      </c>
      <c r="M77" t="str">
        <f>_xll.BDP("00344NTB Muni","YIELD_ON_ISSUE_DATE")</f>
        <v>#N/A Requesting Data...</v>
      </c>
      <c r="N77" t="str">
        <f>_xll.BDP("00344NTB Muni","YTW_SPREAD_TO_MATURITY_AT_ISSU")</f>
        <v>#N/A Requesting Data...</v>
      </c>
      <c r="O77" t="str">
        <f>_xll.BDP("00344NTB Muni","BVAL_MID_YTM")</f>
        <v>#N/A Requesting Data...</v>
      </c>
      <c r="P77" t="str">
        <f>_xll.BDP("00344NTB Muni","MUNI_TAX_PROV")</f>
        <v>#N/A Requesting Data...</v>
      </c>
      <c r="Q77" t="str">
        <f>_xll.BDP("00344NTB Muni","MUNI_FED_TAX")</f>
        <v>#N/A Requesting Data...</v>
      </c>
      <c r="R77" t="str">
        <f>_xll.BDP("00344NTB Muni","MUNI_MSRB_VOLUME")</f>
        <v>#N/A Requesting Data...</v>
      </c>
      <c r="S77" t="str">
        <f>_xll.BDP("00344NTB Muni","BB_COMPOSITE")</f>
        <v>#N/A Requesting Data...</v>
      </c>
      <c r="T77" t="str">
        <f>_xll.BDP("00344NTB Muni","LQA_LIQUIDITY_SCORE")</f>
        <v>#N/A Requesting Data...</v>
      </c>
    </row>
    <row r="78" spans="1:20" x14ac:dyDescent="0.25">
      <c r="A78" t="str">
        <f>_xll.BDP("00344NTC Muni","ID_CUSIP")</f>
        <v>#N/A Requesting Data...</v>
      </c>
      <c r="B78" t="s">
        <v>47</v>
      </c>
      <c r="C78" t="str">
        <f>_xll.BDP("00344NTC Muni","INSURANCE_STATUS")</f>
        <v>#N/A Requesting Data...</v>
      </c>
      <c r="D78" t="str">
        <f>_xll.BDP("00344NTC Muni","STATE_CODE")</f>
        <v>#N/A Requesting Data...</v>
      </c>
      <c r="E78" t="str">
        <f>_xll.BDP("00344NTC Muni","COUNTY_LOCATION_ISSUER")</f>
        <v>#N/A Requesting Data...</v>
      </c>
      <c r="F78" t="str">
        <f>_xll.BDP("00344NTC Muni","DUR_ADJ_MID")</f>
        <v>#N/A Requesting Data...</v>
      </c>
      <c r="G78" t="str">
        <f>_xll.BDP("00344NTC Muni","SPREAD_AT_ISSUANCE_TO_WORST")</f>
        <v>#N/A Requesting Data...</v>
      </c>
      <c r="H78" t="str">
        <f>_xll.BDP("00344NTC Muni","ISSUE_DT")</f>
        <v>#N/A Requesting Data...</v>
      </c>
      <c r="I78" t="str">
        <f>_xll.BDS("00344NTC Muni","MUNI_PURPOSE_SCHED", "aggregate=y")</f>
        <v>#N/A Requesting Data...</v>
      </c>
      <c r="J78" t="str">
        <f>_xll.BDP("00344NTC Muni","CPN")</f>
        <v>#N/A Requesting Data...</v>
      </c>
      <c r="K78" t="str">
        <f>_xll.BDP("00344NTC Muni","MATURITY")</f>
        <v>#N/A Requesting Data...</v>
      </c>
      <c r="L78">
        <v>430000</v>
      </c>
      <c r="M78" t="str">
        <f>_xll.BDP("00344NTC Muni","YIELD_ON_ISSUE_DATE")</f>
        <v>#N/A Requesting Data...</v>
      </c>
      <c r="N78" t="str">
        <f>_xll.BDP("00344NTC Muni","YTW_SPREAD_TO_MATURITY_AT_ISSU")</f>
        <v>#N/A Requesting Data...</v>
      </c>
      <c r="O78" t="str">
        <f>_xll.BDP("00344NTC Muni","BVAL_MID_YTM")</f>
        <v>#N/A Requesting Data...</v>
      </c>
      <c r="P78" t="str">
        <f>_xll.BDP("00344NTC Muni","MUNI_TAX_PROV")</f>
        <v>#N/A Requesting Data...</v>
      </c>
      <c r="Q78" t="str">
        <f>_xll.BDP("00344NTC Muni","MUNI_FED_TAX")</f>
        <v>#N/A Requesting Data...</v>
      </c>
      <c r="R78" t="str">
        <f>_xll.BDP("00344NTC Muni","MUNI_MSRB_VOLUME")</f>
        <v>#N/A Requesting Data...</v>
      </c>
      <c r="S78" t="str">
        <f>_xll.BDP("00344NTC Muni","BB_COMPOSITE")</f>
        <v>#N/A Requesting Data...</v>
      </c>
      <c r="T78" t="str">
        <f>_xll.BDP("00344NTC Muni","LQA_LIQUIDITY_SCORE")</f>
        <v>#N/A Requesting Data...</v>
      </c>
    </row>
    <row r="79" spans="1:20" x14ac:dyDescent="0.25">
      <c r="A79" t="str">
        <f>_xll.BDP("00344NTD Muni","ID_CUSIP")</f>
        <v>#N/A Requesting Data...</v>
      </c>
      <c r="B79" t="s">
        <v>47</v>
      </c>
      <c r="C79" t="str">
        <f>_xll.BDP("00344NTD Muni","INSURANCE_STATUS")</f>
        <v>#N/A Requesting Data...</v>
      </c>
      <c r="D79" t="str">
        <f>_xll.BDP("00344NTD Muni","STATE_CODE")</f>
        <v>#N/A Requesting Data...</v>
      </c>
      <c r="E79" t="str">
        <f>_xll.BDP("00344NTD Muni","COUNTY_LOCATION_ISSUER")</f>
        <v>#N/A Requesting Data...</v>
      </c>
      <c r="F79" t="str">
        <f>_xll.BDP("00344NTD Muni","DUR_ADJ_MID")</f>
        <v>#N/A Requesting Data...</v>
      </c>
      <c r="G79" t="str">
        <f>_xll.BDP("00344NTD Muni","SPREAD_AT_ISSUANCE_TO_WORST")</f>
        <v>#N/A Requesting Data...</v>
      </c>
      <c r="H79" t="str">
        <f>_xll.BDP("00344NTD Muni","ISSUE_DT")</f>
        <v>#N/A Requesting Data...</v>
      </c>
      <c r="I79" t="str">
        <f>_xll.BDS("00344NTD Muni","MUNI_PURPOSE_SCHED", "aggregate=y")</f>
        <v>#N/A Requesting Data...</v>
      </c>
      <c r="J79" t="str">
        <f>_xll.BDP("00344NTD Muni","CPN")</f>
        <v>#N/A Requesting Data...</v>
      </c>
      <c r="K79" t="str">
        <f>_xll.BDP("00344NTD Muni","MATURITY")</f>
        <v>#N/A Requesting Data...</v>
      </c>
      <c r="L79">
        <v>445000</v>
      </c>
      <c r="M79" t="str">
        <f>_xll.BDP("00344NTD Muni","YIELD_ON_ISSUE_DATE")</f>
        <v>#N/A Requesting Data...</v>
      </c>
      <c r="N79" t="str">
        <f>_xll.BDP("00344NTD Muni","YTW_SPREAD_TO_MATURITY_AT_ISSU")</f>
        <v>#N/A Requesting Data...</v>
      </c>
      <c r="O79" t="str">
        <f>_xll.BDP("00344NTD Muni","BVAL_MID_YTM")</f>
        <v>#N/A Requesting Data...</v>
      </c>
      <c r="P79" t="str">
        <f>_xll.BDP("00344NTD Muni","MUNI_TAX_PROV")</f>
        <v>#N/A Requesting Data...</v>
      </c>
      <c r="Q79" t="str">
        <f>_xll.BDP("00344NTD Muni","MUNI_FED_TAX")</f>
        <v>#N/A Requesting Data...</v>
      </c>
      <c r="R79" t="str">
        <f>_xll.BDP("00344NTD Muni","MUNI_MSRB_VOLUME")</f>
        <v>#N/A Requesting Data...</v>
      </c>
      <c r="S79" t="str">
        <f>_xll.BDP("00344NTD Muni","BB_COMPOSITE")</f>
        <v>#N/A Requesting Data...</v>
      </c>
      <c r="T79" t="str">
        <f>_xll.BDP("00344NTD Muni","LQA_LIQUIDITY_SCORE")</f>
        <v>#N/A Requesting Data...</v>
      </c>
    </row>
    <row r="80" spans="1:20" x14ac:dyDescent="0.25">
      <c r="A80" t="str">
        <f>_xll.BDP("00344NTE Muni","ID_CUSIP")</f>
        <v>#N/A Requesting Data...</v>
      </c>
      <c r="B80" t="s">
        <v>47</v>
      </c>
      <c r="C80" t="str">
        <f>_xll.BDP("00344NTE Muni","INSURANCE_STATUS")</f>
        <v>#N/A Requesting Data...</v>
      </c>
      <c r="D80" t="str">
        <f>_xll.BDP("00344NTE Muni","STATE_CODE")</f>
        <v>#N/A Requesting Data...</v>
      </c>
      <c r="E80" t="str">
        <f>_xll.BDP("00344NTE Muni","COUNTY_LOCATION_ISSUER")</f>
        <v>#N/A Requesting Data...</v>
      </c>
      <c r="F80" t="str">
        <f>_xll.BDP("00344NTE Muni","DUR_ADJ_MID")</f>
        <v>#N/A Requesting Data...</v>
      </c>
      <c r="G80" t="str">
        <f>_xll.BDP("00344NTE Muni","SPREAD_AT_ISSUANCE_TO_WORST")</f>
        <v>#N/A Requesting Data...</v>
      </c>
      <c r="H80" t="str">
        <f>_xll.BDP("00344NTE Muni","ISSUE_DT")</f>
        <v>#N/A Requesting Data...</v>
      </c>
      <c r="I80" t="str">
        <f>_xll.BDS("00344NTE Muni","MUNI_PURPOSE_SCHED", "aggregate=y")</f>
        <v>#N/A Requesting Data...</v>
      </c>
      <c r="J80" t="str">
        <f>_xll.BDP("00344NTE Muni","CPN")</f>
        <v>#N/A Requesting Data...</v>
      </c>
      <c r="K80" t="str">
        <f>_xll.BDP("00344NTE Muni","MATURITY")</f>
        <v>#N/A Requesting Data...</v>
      </c>
      <c r="L80">
        <v>465000</v>
      </c>
      <c r="M80" t="str">
        <f>_xll.BDP("00344NTE Muni","YIELD_ON_ISSUE_DATE")</f>
        <v>#N/A Requesting Data...</v>
      </c>
      <c r="N80" t="str">
        <f>_xll.BDP("00344NTE Muni","YTW_SPREAD_TO_MATURITY_AT_ISSU")</f>
        <v>#N/A Requesting Data...</v>
      </c>
      <c r="O80" t="str">
        <f>_xll.BDP("00344NTE Muni","BVAL_MID_YTM")</f>
        <v>#N/A Requesting Data...</v>
      </c>
      <c r="P80" t="str">
        <f>_xll.BDP("00344NTE Muni","MUNI_TAX_PROV")</f>
        <v>#N/A Requesting Data...</v>
      </c>
      <c r="Q80" t="str">
        <f>_xll.BDP("00344NTE Muni","MUNI_FED_TAX")</f>
        <v>#N/A Requesting Data...</v>
      </c>
      <c r="R80" t="str">
        <f>_xll.BDP("00344NTE Muni","MUNI_MSRB_VOLUME")</f>
        <v>#N/A Requesting Data...</v>
      </c>
      <c r="S80" t="str">
        <f>_xll.BDP("00344NTE Muni","BB_COMPOSITE")</f>
        <v>#N/A Requesting Data...</v>
      </c>
      <c r="T80" t="str">
        <f>_xll.BDP("00344NTE Muni","LQA_LIQUIDITY_SCORE")</f>
        <v>#N/A Requesting Data...</v>
      </c>
    </row>
    <row r="81" spans="1:20" x14ac:dyDescent="0.25">
      <c r="A81" t="str">
        <f>_xll.BDP("003518NE Muni","ID_CUSIP")</f>
        <v>#N/A Requesting Data...</v>
      </c>
      <c r="B81" t="s">
        <v>48</v>
      </c>
      <c r="C81" t="str">
        <f>_xll.BDP("003518NE Muni","INSURANCE_STATUS")</f>
        <v>#N/A Requesting Data...</v>
      </c>
      <c r="D81" t="str">
        <f>_xll.BDP("003518NE Muni","STATE_CODE")</f>
        <v>#N/A Requesting Data...</v>
      </c>
      <c r="E81" t="str">
        <f>_xll.BDP("003518NE Muni","COUNTY_LOCATION_ISSUER")</f>
        <v>#N/A Requesting Data...</v>
      </c>
      <c r="F81" t="str">
        <f>_xll.BDP("003518NE Muni","DUR_ADJ_MID")</f>
        <v>#N/A Requesting Data...</v>
      </c>
      <c r="G81" t="str">
        <f>_xll.BDP("003518NE Muni","SPREAD_AT_ISSUANCE_TO_WORST")</f>
        <v>#N/A Requesting Data...</v>
      </c>
      <c r="H81" t="str">
        <f>_xll.BDP("003518NE Muni","ISSUE_DT")</f>
        <v>#N/A Requesting Data...</v>
      </c>
      <c r="I81" t="str">
        <f>_xll.BDS("003518NE Muni","MUNI_PURPOSE_SCHED", "aggregate=y")</f>
        <v>#N/A Requesting Data...</v>
      </c>
      <c r="J81" t="str">
        <f>_xll.BDP("003518NE Muni","CPN")</f>
        <v>#N/A Requesting Data...</v>
      </c>
      <c r="K81" t="str">
        <f>_xll.BDP("003518NE Muni","MATURITY")</f>
        <v>#N/A Requesting Data...</v>
      </c>
      <c r="L81">
        <v>50000</v>
      </c>
      <c r="M81" t="str">
        <f>_xll.BDP("003518NE Muni","YIELD_ON_ISSUE_DATE")</f>
        <v>#N/A Requesting Data...</v>
      </c>
      <c r="N81" t="str">
        <f>_xll.BDP("003518NE Muni","YTW_SPREAD_TO_MATURITY_AT_ISSU")</f>
        <v>#N/A Requesting Data...</v>
      </c>
      <c r="O81" t="str">
        <f>_xll.BDP("003518NE Muni","BVAL_MID_YTM")</f>
        <v>#N/A Requesting Data...</v>
      </c>
      <c r="P81" t="str">
        <f>_xll.BDP("003518NE Muni","MUNI_TAX_PROV")</f>
        <v>#N/A Requesting Data...</v>
      </c>
      <c r="Q81" t="str">
        <f>_xll.BDP("003518NE Muni","MUNI_FED_TAX")</f>
        <v>#N/A Requesting Data...</v>
      </c>
      <c r="R81" t="str">
        <f>_xll.BDP("003518NE Muni","MUNI_MSRB_VOLUME")</f>
        <v>#N/A Requesting Data...</v>
      </c>
      <c r="S81" t="str">
        <f>_xll.BDP("003518NE Muni","BB_COMPOSITE")</f>
        <v>#N/A Requesting Data...</v>
      </c>
      <c r="T81" t="str">
        <f>_xll.BDP("003518NE Muni","LQA_LIQUIDITY_SCORE")</f>
        <v>#N/A Requesting Data...</v>
      </c>
    </row>
    <row r="82" spans="1:20" x14ac:dyDescent="0.25">
      <c r="A82" t="str">
        <f>_xll.BDP("003518NF Muni","ID_CUSIP")</f>
        <v>#N/A Requesting Data...</v>
      </c>
      <c r="B82" t="s">
        <v>48</v>
      </c>
      <c r="C82" t="str">
        <f>_xll.BDP("003518NF Muni","INSURANCE_STATUS")</f>
        <v>#N/A Requesting Data...</v>
      </c>
      <c r="D82" t="str">
        <f>_xll.BDP("003518NF Muni","STATE_CODE")</f>
        <v>#N/A Requesting Data...</v>
      </c>
      <c r="E82" t="str">
        <f>_xll.BDP("003518NF Muni","COUNTY_LOCATION_ISSUER")</f>
        <v>#N/A Requesting Data...</v>
      </c>
      <c r="F82" t="str">
        <f>_xll.BDP("003518NF Muni","DUR_ADJ_MID")</f>
        <v>#N/A Requesting Data...</v>
      </c>
      <c r="G82" t="str">
        <f>_xll.BDP("003518NF Muni","SPREAD_AT_ISSUANCE_TO_WORST")</f>
        <v>#N/A Requesting Data...</v>
      </c>
      <c r="H82" t="str">
        <f>_xll.BDP("003518NF Muni","ISSUE_DT")</f>
        <v>#N/A Requesting Data...</v>
      </c>
      <c r="I82" t="str">
        <f>_xll.BDS("003518NF Muni","MUNI_PURPOSE_SCHED", "aggregate=y")</f>
        <v>#N/A Requesting Data...</v>
      </c>
      <c r="J82" t="str">
        <f>_xll.BDP("003518NF Muni","CPN")</f>
        <v>#N/A Requesting Data...</v>
      </c>
      <c r="K82" t="str">
        <f>_xll.BDP("003518NF Muni","MATURITY")</f>
        <v>#N/A Requesting Data...</v>
      </c>
      <c r="L82">
        <v>50000</v>
      </c>
      <c r="M82" t="str">
        <f>_xll.BDP("003518NF Muni","YIELD_ON_ISSUE_DATE")</f>
        <v>#N/A Requesting Data...</v>
      </c>
      <c r="N82" t="str">
        <f>_xll.BDP("003518NF Muni","YTW_SPREAD_TO_MATURITY_AT_ISSU")</f>
        <v>#N/A Requesting Data...</v>
      </c>
      <c r="O82" t="str">
        <f>_xll.BDP("003518NF Muni","BVAL_MID_YTM")</f>
        <v>#N/A Requesting Data...</v>
      </c>
      <c r="P82" t="str">
        <f>_xll.BDP("003518NF Muni","MUNI_TAX_PROV")</f>
        <v>#N/A Requesting Data...</v>
      </c>
      <c r="Q82" t="str">
        <f>_xll.BDP("003518NF Muni","MUNI_FED_TAX")</f>
        <v>#N/A Requesting Data...</v>
      </c>
      <c r="R82" t="str">
        <f>_xll.BDP("003518NF Muni","MUNI_MSRB_VOLUME")</f>
        <v>#N/A Requesting Data...</v>
      </c>
      <c r="S82" t="str">
        <f>_xll.BDP("003518NF Muni","BB_COMPOSITE")</f>
        <v>#N/A Requesting Data...</v>
      </c>
      <c r="T82" t="str">
        <f>_xll.BDP("003518NF Muni","LQA_LIQUIDITY_SCORE")</f>
        <v>#N/A Requesting Data...</v>
      </c>
    </row>
    <row r="83" spans="1:20" x14ac:dyDescent="0.25">
      <c r="A83" t="str">
        <f>_xll.BDP("003518NG Muni","ID_CUSIP")</f>
        <v>#N/A Requesting Data...</v>
      </c>
      <c r="B83" t="s">
        <v>48</v>
      </c>
      <c r="C83" t="str">
        <f>_xll.BDP("003518NG Muni","INSURANCE_STATUS")</f>
        <v>#N/A Requesting Data...</v>
      </c>
      <c r="D83" t="str">
        <f>_xll.BDP("003518NG Muni","STATE_CODE")</f>
        <v>#N/A Requesting Data...</v>
      </c>
      <c r="E83" t="str">
        <f>_xll.BDP("003518NG Muni","COUNTY_LOCATION_ISSUER")</f>
        <v>#N/A Requesting Data...</v>
      </c>
      <c r="F83" t="str">
        <f>_xll.BDP("003518NG Muni","DUR_ADJ_MID")</f>
        <v>#N/A Requesting Data...</v>
      </c>
      <c r="G83" t="str">
        <f>_xll.BDP("003518NG Muni","SPREAD_AT_ISSUANCE_TO_WORST")</f>
        <v>#N/A Requesting Data...</v>
      </c>
      <c r="H83" t="str">
        <f>_xll.BDP("003518NG Muni","ISSUE_DT")</f>
        <v>#N/A Requesting Data...</v>
      </c>
      <c r="I83" t="str">
        <f>_xll.BDS("003518NG Muni","MUNI_PURPOSE_SCHED", "aggregate=y")</f>
        <v>#N/A Requesting Data...</v>
      </c>
      <c r="J83" t="str">
        <f>_xll.BDP("003518NG Muni","CPN")</f>
        <v>#N/A Requesting Data...</v>
      </c>
      <c r="K83" t="str">
        <f>_xll.BDP("003518NG Muni","MATURITY")</f>
        <v>#N/A Requesting Data...</v>
      </c>
      <c r="L83">
        <v>50000</v>
      </c>
      <c r="M83" t="str">
        <f>_xll.BDP("003518NG Muni","YIELD_ON_ISSUE_DATE")</f>
        <v>#N/A Requesting Data...</v>
      </c>
      <c r="N83" t="str">
        <f>_xll.BDP("003518NG Muni","YTW_SPREAD_TO_MATURITY_AT_ISSU")</f>
        <v>#N/A Requesting Data...</v>
      </c>
      <c r="O83" t="str">
        <f>_xll.BDP("003518NG Muni","BVAL_MID_YTM")</f>
        <v>#N/A Requesting Data...</v>
      </c>
      <c r="P83" t="str">
        <f>_xll.BDP("003518NG Muni","MUNI_TAX_PROV")</f>
        <v>#N/A Requesting Data...</v>
      </c>
      <c r="Q83" t="str">
        <f>_xll.BDP("003518NG Muni","MUNI_FED_TAX")</f>
        <v>#N/A Requesting Data...</v>
      </c>
      <c r="R83" t="str">
        <f>_xll.BDP("003518NG Muni","MUNI_MSRB_VOLUME")</f>
        <v>#N/A Requesting Data...</v>
      </c>
      <c r="S83" t="str">
        <f>_xll.BDP("003518NG Muni","BB_COMPOSITE")</f>
        <v>#N/A Requesting Data...</v>
      </c>
      <c r="T83" t="str">
        <f>_xll.BDP("003518NG Muni","LQA_LIQUIDITY_SCORE")</f>
        <v>#N/A Requesting Data...</v>
      </c>
    </row>
    <row r="84" spans="1:20" x14ac:dyDescent="0.25">
      <c r="A84" t="str">
        <f>_xll.BDP("003518NH Muni","ID_CUSIP")</f>
        <v>#N/A Requesting Data...</v>
      </c>
      <c r="B84" t="s">
        <v>48</v>
      </c>
      <c r="C84" t="str">
        <f>_xll.BDP("003518NH Muni","INSURANCE_STATUS")</f>
        <v>#N/A Requesting Data...</v>
      </c>
      <c r="D84" t="str">
        <f>_xll.BDP("003518NH Muni","STATE_CODE")</f>
        <v>#N/A Requesting Data...</v>
      </c>
      <c r="E84" t="str">
        <f>_xll.BDP("003518NH Muni","COUNTY_LOCATION_ISSUER")</f>
        <v>#N/A Requesting Data...</v>
      </c>
      <c r="F84" t="str">
        <f>_xll.BDP("003518NH Muni","DUR_ADJ_MID")</f>
        <v>#N/A Requesting Data...</v>
      </c>
      <c r="G84" t="str">
        <f>_xll.BDP("003518NH Muni","SPREAD_AT_ISSUANCE_TO_WORST")</f>
        <v>#N/A Requesting Data...</v>
      </c>
      <c r="H84" t="str">
        <f>_xll.BDP("003518NH Muni","ISSUE_DT")</f>
        <v>#N/A Requesting Data...</v>
      </c>
      <c r="I84" t="str">
        <f>_xll.BDS("003518NH Muni","MUNI_PURPOSE_SCHED", "aggregate=y")</f>
        <v>#N/A Requesting Data...</v>
      </c>
      <c r="J84" t="str">
        <f>_xll.BDP("003518NH Muni","CPN")</f>
        <v>#N/A Requesting Data...</v>
      </c>
      <c r="K84" t="str">
        <f>_xll.BDP("003518NH Muni","MATURITY")</f>
        <v>#N/A Requesting Data...</v>
      </c>
      <c r="L84">
        <v>50000</v>
      </c>
      <c r="M84" t="str">
        <f>_xll.BDP("003518NH Muni","YIELD_ON_ISSUE_DATE")</f>
        <v>#N/A Requesting Data...</v>
      </c>
      <c r="N84" t="str">
        <f>_xll.BDP("003518NH Muni","YTW_SPREAD_TO_MATURITY_AT_ISSU")</f>
        <v>#N/A Requesting Data...</v>
      </c>
      <c r="O84" t="str">
        <f>_xll.BDP("003518NH Muni","BVAL_MID_YTM")</f>
        <v>#N/A Requesting Data...</v>
      </c>
      <c r="P84" t="str">
        <f>_xll.BDP("003518NH Muni","MUNI_TAX_PROV")</f>
        <v>#N/A Requesting Data...</v>
      </c>
      <c r="Q84" t="str">
        <f>_xll.BDP("003518NH Muni","MUNI_FED_TAX")</f>
        <v>#N/A Requesting Data...</v>
      </c>
      <c r="R84" t="str">
        <f>_xll.BDP("003518NH Muni","MUNI_MSRB_VOLUME")</f>
        <v>#N/A Requesting Data...</v>
      </c>
      <c r="S84" t="str">
        <f>_xll.BDP("003518NH Muni","BB_COMPOSITE")</f>
        <v>#N/A Requesting Data...</v>
      </c>
      <c r="T84" t="str">
        <f>_xll.BDP("003518NH Muni","LQA_LIQUIDITY_SCORE")</f>
        <v>#N/A Requesting Data...</v>
      </c>
    </row>
    <row r="85" spans="1:20" x14ac:dyDescent="0.25">
      <c r="A85" t="str">
        <f>_xll.BDP("003518NJ Muni","ID_CUSIP")</f>
        <v>#N/A Requesting Data...</v>
      </c>
      <c r="B85" t="s">
        <v>48</v>
      </c>
      <c r="C85" t="str">
        <f>_xll.BDP("003518NJ Muni","INSURANCE_STATUS")</f>
        <v>#N/A Requesting Data...</v>
      </c>
      <c r="D85" t="str">
        <f>_xll.BDP("003518NJ Muni","STATE_CODE")</f>
        <v>#N/A Requesting Data...</v>
      </c>
      <c r="E85" t="str">
        <f>_xll.BDP("003518NJ Muni","COUNTY_LOCATION_ISSUER")</f>
        <v>#N/A Requesting Data...</v>
      </c>
      <c r="F85" t="str">
        <f>_xll.BDP("003518NJ Muni","DUR_ADJ_MID")</f>
        <v>#N/A Requesting Data...</v>
      </c>
      <c r="G85" t="str">
        <f>_xll.BDP("003518NJ Muni","SPREAD_AT_ISSUANCE_TO_WORST")</f>
        <v>#N/A Requesting Data...</v>
      </c>
      <c r="H85" t="str">
        <f>_xll.BDP("003518NJ Muni","ISSUE_DT")</f>
        <v>#N/A Requesting Data...</v>
      </c>
      <c r="I85" t="str">
        <f>_xll.BDS("003518NJ Muni","MUNI_PURPOSE_SCHED", "aggregate=y")</f>
        <v>#N/A Requesting Data...</v>
      </c>
      <c r="J85" t="str">
        <f>_xll.BDP("003518NJ Muni","CPN")</f>
        <v>#N/A Requesting Data...</v>
      </c>
      <c r="K85" t="str">
        <f>_xll.BDP("003518NJ Muni","MATURITY")</f>
        <v>#N/A Requesting Data...</v>
      </c>
      <c r="L85">
        <v>50000</v>
      </c>
      <c r="M85" t="str">
        <f>_xll.BDP("003518NJ Muni","YIELD_ON_ISSUE_DATE")</f>
        <v>#N/A Requesting Data...</v>
      </c>
      <c r="N85" t="str">
        <f>_xll.BDP("003518NJ Muni","YTW_SPREAD_TO_MATURITY_AT_ISSU")</f>
        <v>#N/A Requesting Data...</v>
      </c>
      <c r="O85" t="str">
        <f>_xll.BDP("003518NJ Muni","BVAL_MID_YTM")</f>
        <v>#N/A Requesting Data...</v>
      </c>
      <c r="P85" t="str">
        <f>_xll.BDP("003518NJ Muni","MUNI_TAX_PROV")</f>
        <v>#N/A Requesting Data...</v>
      </c>
      <c r="Q85" t="str">
        <f>_xll.BDP("003518NJ Muni","MUNI_FED_TAX")</f>
        <v>#N/A Requesting Data...</v>
      </c>
      <c r="R85" t="str">
        <f>_xll.BDP("003518NJ Muni","MUNI_MSRB_VOLUME")</f>
        <v>#N/A Requesting Data...</v>
      </c>
      <c r="S85" t="str">
        <f>_xll.BDP("003518NJ Muni","BB_COMPOSITE")</f>
        <v>#N/A Requesting Data...</v>
      </c>
      <c r="T85" t="str">
        <f>_xll.BDP("003518NJ Muni","LQA_LIQUIDITY_SCORE")</f>
        <v>#N/A Requesting Data...</v>
      </c>
    </row>
    <row r="86" spans="1:20" x14ac:dyDescent="0.25">
      <c r="A86" t="str">
        <f>_xll.BDP("003518NK Muni","ID_CUSIP")</f>
        <v>#N/A Requesting Data...</v>
      </c>
      <c r="B86" t="s">
        <v>48</v>
      </c>
      <c r="C86" t="str">
        <f>_xll.BDP("003518NK Muni","INSURANCE_STATUS")</f>
        <v>#N/A Requesting Data...</v>
      </c>
      <c r="D86" t="str">
        <f>_xll.BDP("003518NK Muni","STATE_CODE")</f>
        <v>#N/A Requesting Data...</v>
      </c>
      <c r="E86" t="str">
        <f>_xll.BDP("003518NK Muni","COUNTY_LOCATION_ISSUER")</f>
        <v>#N/A Requesting Data...</v>
      </c>
      <c r="F86" t="str">
        <f>_xll.BDP("003518NK Muni","DUR_ADJ_MID")</f>
        <v>#N/A Requesting Data...</v>
      </c>
      <c r="G86" t="str">
        <f>_xll.BDP("003518NK Muni","SPREAD_AT_ISSUANCE_TO_WORST")</f>
        <v>#N/A Requesting Data...</v>
      </c>
      <c r="H86" t="str">
        <f>_xll.BDP("003518NK Muni","ISSUE_DT")</f>
        <v>#N/A Requesting Data...</v>
      </c>
      <c r="I86" t="str">
        <f>_xll.BDS("003518NK Muni","MUNI_PURPOSE_SCHED", "aggregate=y")</f>
        <v>#N/A Requesting Data...</v>
      </c>
      <c r="J86" t="str">
        <f>_xll.BDP("003518NK Muni","CPN")</f>
        <v>#N/A Requesting Data...</v>
      </c>
      <c r="K86" t="str">
        <f>_xll.BDP("003518NK Muni","MATURITY")</f>
        <v>#N/A Requesting Data...</v>
      </c>
      <c r="L86">
        <v>50000</v>
      </c>
      <c r="M86" t="str">
        <f>_xll.BDP("003518NK Muni","YIELD_ON_ISSUE_DATE")</f>
        <v>#N/A Requesting Data...</v>
      </c>
      <c r="N86" t="str">
        <f>_xll.BDP("003518NK Muni","YTW_SPREAD_TO_MATURITY_AT_ISSU")</f>
        <v>#N/A Requesting Data...</v>
      </c>
      <c r="O86" t="str">
        <f>_xll.BDP("003518NK Muni","BVAL_MID_YTM")</f>
        <v>#N/A Requesting Data...</v>
      </c>
      <c r="P86" t="str">
        <f>_xll.BDP("003518NK Muni","MUNI_TAX_PROV")</f>
        <v>#N/A Requesting Data...</v>
      </c>
      <c r="Q86" t="str">
        <f>_xll.BDP("003518NK Muni","MUNI_FED_TAX")</f>
        <v>#N/A Requesting Data...</v>
      </c>
      <c r="R86" t="str">
        <f>_xll.BDP("003518NK Muni","MUNI_MSRB_VOLUME")</f>
        <v>#N/A Requesting Data...</v>
      </c>
      <c r="S86" t="str">
        <f>_xll.BDP("003518NK Muni","BB_COMPOSITE")</f>
        <v>#N/A Requesting Data...</v>
      </c>
      <c r="T86" t="str">
        <f>_xll.BDP("003518NK Muni","LQA_LIQUIDITY_SCORE")</f>
        <v>#N/A Requesting Data...</v>
      </c>
    </row>
    <row r="87" spans="1:20" x14ac:dyDescent="0.25">
      <c r="A87" t="str">
        <f>_xll.BDP("006514HL Muni","ID_CUSIP")</f>
        <v>#N/A Requesting Data...</v>
      </c>
      <c r="B87" t="s">
        <v>49</v>
      </c>
      <c r="C87" t="str">
        <f>_xll.BDP("006514HL Muni","INSURANCE_STATUS")</f>
        <v>#N/A Requesting Data...</v>
      </c>
      <c r="D87" t="str">
        <f>_xll.BDP("006514HL Muni","STATE_CODE")</f>
        <v>#N/A Requesting Data...</v>
      </c>
      <c r="E87" t="str">
        <f>_xll.BDP("006514HL Muni","COUNTY_LOCATION_ISSUER")</f>
        <v>#N/A Requesting Data...</v>
      </c>
      <c r="F87" t="str">
        <f>_xll.BDP("006514HL Muni","DUR_ADJ_MID")</f>
        <v>#N/A Requesting Data...</v>
      </c>
      <c r="G87" t="str">
        <f>_xll.BDP("006514HL Muni","SPREAD_AT_ISSUANCE_TO_WORST")</f>
        <v>#N/A Requesting Data...</v>
      </c>
      <c r="H87" t="str">
        <f>_xll.BDP("006514HL Muni","ISSUE_DT")</f>
        <v>#N/A Requesting Data...</v>
      </c>
      <c r="I87" t="str">
        <f>_xll.BDS("006514HL Muni","MUNI_PURPOSE_SCHED", "aggregate=y")</f>
        <v>#N/A Requesting Data...</v>
      </c>
      <c r="J87" t="str">
        <f>_xll.BDP("006514HL Muni","CPN")</f>
        <v>#N/A Requesting Data...</v>
      </c>
      <c r="K87" t="str">
        <f>_xll.BDP("006514HL Muni","MATURITY")</f>
        <v>#N/A Requesting Data...</v>
      </c>
      <c r="L87">
        <v>200000</v>
      </c>
      <c r="M87" t="str">
        <f>_xll.BDP("006514HL Muni","YIELD_ON_ISSUE_DATE")</f>
        <v>#N/A Requesting Data...</v>
      </c>
      <c r="N87" t="str">
        <f>_xll.BDP("006514HL Muni","YTW_SPREAD_TO_MATURITY_AT_ISSU")</f>
        <v>#N/A Requesting Data...</v>
      </c>
      <c r="O87" t="str">
        <f>_xll.BDP("006514HL Muni","BVAL_MID_YTM")</f>
        <v>#N/A Requesting Data...</v>
      </c>
      <c r="P87" t="str">
        <f>_xll.BDP("006514HL Muni","MUNI_TAX_PROV")</f>
        <v>#N/A Requesting Data...</v>
      </c>
      <c r="Q87" t="str">
        <f>_xll.BDP("006514HL Muni","MUNI_FED_TAX")</f>
        <v>#N/A Requesting Data...</v>
      </c>
      <c r="R87" t="str">
        <f>_xll.BDP("006514HL Muni","MUNI_MSRB_VOLUME")</f>
        <v>#N/A Requesting Data...</v>
      </c>
      <c r="S87" t="str">
        <f>_xll.BDP("006514HL Muni","BB_COMPOSITE")</f>
        <v>#N/A Requesting Data...</v>
      </c>
      <c r="T87" t="str">
        <f>_xll.BDP("006514HL Muni","LQA_LIQUIDITY_SCORE")</f>
        <v>#N/A Requesting Data...</v>
      </c>
    </row>
    <row r="88" spans="1:20" x14ac:dyDescent="0.25">
      <c r="A88" t="str">
        <f>_xll.BDP("006514HM Muni","ID_CUSIP")</f>
        <v>#N/A Requesting Data...</v>
      </c>
      <c r="B88" t="s">
        <v>49</v>
      </c>
      <c r="C88" t="str">
        <f>_xll.BDP("006514HM Muni","INSURANCE_STATUS")</f>
        <v>#N/A Requesting Data...</v>
      </c>
      <c r="D88" t="str">
        <f>_xll.BDP("006514HM Muni","STATE_CODE")</f>
        <v>#N/A Requesting Data...</v>
      </c>
      <c r="E88" t="str">
        <f>_xll.BDP("006514HM Muni","COUNTY_LOCATION_ISSUER")</f>
        <v>#N/A Requesting Data...</v>
      </c>
      <c r="F88" t="str">
        <f>_xll.BDP("006514HM Muni","DUR_ADJ_MID")</f>
        <v>#N/A Requesting Data...</v>
      </c>
      <c r="G88" t="str">
        <f>_xll.BDP("006514HM Muni","SPREAD_AT_ISSUANCE_TO_WORST")</f>
        <v>#N/A Requesting Data...</v>
      </c>
      <c r="H88" t="str">
        <f>_xll.BDP("006514HM Muni","ISSUE_DT")</f>
        <v>#N/A Requesting Data...</v>
      </c>
      <c r="I88" t="str">
        <f>_xll.BDS("006514HM Muni","MUNI_PURPOSE_SCHED", "aggregate=y")</f>
        <v>#N/A Requesting Data...</v>
      </c>
      <c r="J88" t="str">
        <f>_xll.BDP("006514HM Muni","CPN")</f>
        <v>#N/A Requesting Data...</v>
      </c>
      <c r="K88" t="str">
        <f>_xll.BDP("006514HM Muni","MATURITY")</f>
        <v>#N/A Requesting Data...</v>
      </c>
      <c r="L88">
        <v>200000</v>
      </c>
      <c r="M88" t="str">
        <f>_xll.BDP("006514HM Muni","YIELD_ON_ISSUE_DATE")</f>
        <v>#N/A Requesting Data...</v>
      </c>
      <c r="N88" t="str">
        <f>_xll.BDP("006514HM Muni","YTW_SPREAD_TO_MATURITY_AT_ISSU")</f>
        <v>#N/A Requesting Data...</v>
      </c>
      <c r="O88" t="str">
        <f>_xll.BDP("006514HM Muni","BVAL_MID_YTM")</f>
        <v>#N/A Requesting Data...</v>
      </c>
      <c r="P88" t="str">
        <f>_xll.BDP("006514HM Muni","MUNI_TAX_PROV")</f>
        <v>#N/A Requesting Data...</v>
      </c>
      <c r="Q88" t="str">
        <f>_xll.BDP("006514HM Muni","MUNI_FED_TAX")</f>
        <v>#N/A Requesting Data...</v>
      </c>
      <c r="R88" t="str">
        <f>_xll.BDP("006514HM Muni","MUNI_MSRB_VOLUME")</f>
        <v>#N/A Requesting Data...</v>
      </c>
      <c r="S88" t="str">
        <f>_xll.BDP("006514HM Muni","BB_COMPOSITE")</f>
        <v>#N/A Requesting Data...</v>
      </c>
      <c r="T88" t="str">
        <f>_xll.BDP("006514HM Muni","LQA_LIQUIDITY_SCORE")</f>
        <v>#N/A Requesting Data...</v>
      </c>
    </row>
    <row r="89" spans="1:20" x14ac:dyDescent="0.25">
      <c r="A89" t="str">
        <f>_xll.BDP("006514HN Muni","ID_CUSIP")</f>
        <v>#N/A Requesting Data...</v>
      </c>
      <c r="B89" t="s">
        <v>49</v>
      </c>
      <c r="C89" t="str">
        <f>_xll.BDP("006514HN Muni","INSURANCE_STATUS")</f>
        <v>#N/A Requesting Data...</v>
      </c>
      <c r="D89" t="str">
        <f>_xll.BDP("006514HN Muni","STATE_CODE")</f>
        <v>#N/A Requesting Data...</v>
      </c>
      <c r="E89" t="str">
        <f>_xll.BDP("006514HN Muni","COUNTY_LOCATION_ISSUER")</f>
        <v>#N/A Requesting Data...</v>
      </c>
      <c r="F89" t="str">
        <f>_xll.BDP("006514HN Muni","DUR_ADJ_MID")</f>
        <v>#N/A Requesting Data...</v>
      </c>
      <c r="G89" t="str">
        <f>_xll.BDP("006514HN Muni","SPREAD_AT_ISSUANCE_TO_WORST")</f>
        <v>#N/A Requesting Data...</v>
      </c>
      <c r="H89" t="str">
        <f>_xll.BDP("006514HN Muni","ISSUE_DT")</f>
        <v>#N/A Requesting Data...</v>
      </c>
      <c r="I89" t="str">
        <f>_xll.BDS("006514HN Muni","MUNI_PURPOSE_SCHED", "aggregate=y")</f>
        <v>#N/A Requesting Data...</v>
      </c>
      <c r="J89" t="str">
        <f>_xll.BDP("006514HN Muni","CPN")</f>
        <v>#N/A Requesting Data...</v>
      </c>
      <c r="K89" t="str">
        <f>_xll.BDP("006514HN Muni","MATURITY")</f>
        <v>#N/A Requesting Data...</v>
      </c>
      <c r="L89">
        <v>200000</v>
      </c>
      <c r="M89" t="str">
        <f>_xll.BDP("006514HN Muni","YIELD_ON_ISSUE_DATE")</f>
        <v>#N/A Requesting Data...</v>
      </c>
      <c r="N89" t="str">
        <f>_xll.BDP("006514HN Muni","YTW_SPREAD_TO_MATURITY_AT_ISSU")</f>
        <v>#N/A Requesting Data...</v>
      </c>
      <c r="O89" t="str">
        <f>_xll.BDP("006514HN Muni","BVAL_MID_YTM")</f>
        <v>#N/A Requesting Data...</v>
      </c>
      <c r="P89" t="str">
        <f>_xll.BDP("006514HN Muni","MUNI_TAX_PROV")</f>
        <v>#N/A Requesting Data...</v>
      </c>
      <c r="Q89" t="str">
        <f>_xll.BDP("006514HN Muni","MUNI_FED_TAX")</f>
        <v>#N/A Requesting Data...</v>
      </c>
      <c r="R89" t="str">
        <f>_xll.BDP("006514HN Muni","MUNI_MSRB_VOLUME")</f>
        <v>#N/A Requesting Data...</v>
      </c>
      <c r="S89" t="str">
        <f>_xll.BDP("006514HN Muni","BB_COMPOSITE")</f>
        <v>#N/A Requesting Data...</v>
      </c>
      <c r="T89" t="str">
        <f>_xll.BDP("006514HN Muni","LQA_LIQUIDITY_SCORE")</f>
        <v>#N/A Requesting Data...</v>
      </c>
    </row>
    <row r="90" spans="1:20" x14ac:dyDescent="0.25">
      <c r="A90" t="str">
        <f>_xll.BDP("006644J8 Muni","ID_CUSIP")</f>
        <v>#N/A Requesting Data...</v>
      </c>
      <c r="B90" t="s">
        <v>50</v>
      </c>
      <c r="C90" t="str">
        <f>_xll.BDP("006644J8 Muni","INSURANCE_STATUS")</f>
        <v>#N/A Requesting Data...</v>
      </c>
      <c r="D90" t="str">
        <f>_xll.BDP("006644J8 Muni","STATE_CODE")</f>
        <v>#N/A Requesting Data...</v>
      </c>
      <c r="E90" t="str">
        <f>_xll.BDP("006644J8 Muni","COUNTY_LOCATION_ISSUER")</f>
        <v>#N/A Requesting Data...</v>
      </c>
      <c r="F90" t="str">
        <f>_xll.BDP("006644J8 Muni","DUR_ADJ_MID")</f>
        <v>#N/A Requesting Data...</v>
      </c>
      <c r="G90" t="str">
        <f>_xll.BDP("006644J8 Muni","SPREAD_AT_ISSUANCE_TO_WORST")</f>
        <v>#N/A Requesting Data...</v>
      </c>
      <c r="H90" t="str">
        <f>_xll.BDP("006644J8 Muni","ISSUE_DT")</f>
        <v>#N/A Requesting Data...</v>
      </c>
      <c r="I90" t="str">
        <f>_xll.BDS("006644J8 Muni","MUNI_PURPOSE_SCHED", "aggregate=y")</f>
        <v>#N/A Requesting Data...</v>
      </c>
      <c r="J90" t="str">
        <f>_xll.BDP("006644J8 Muni","CPN")</f>
        <v>#N/A Requesting Data...</v>
      </c>
      <c r="K90" t="str">
        <f>_xll.BDP("006644J8 Muni","MATURITY")</f>
        <v>#N/A Requesting Data...</v>
      </c>
      <c r="L90">
        <v>510000</v>
      </c>
      <c r="M90" t="str">
        <f>_xll.BDP("006644J8 Muni","YIELD_ON_ISSUE_DATE")</f>
        <v>#N/A Requesting Data...</v>
      </c>
      <c r="N90" t="str">
        <f>_xll.BDP("006644J8 Muni","YTW_SPREAD_TO_MATURITY_AT_ISSU")</f>
        <v>#N/A Requesting Data...</v>
      </c>
      <c r="O90" t="str">
        <f>_xll.BDP("006644J8 Muni","BVAL_MID_YTM")</f>
        <v>#N/A Requesting Data...</v>
      </c>
      <c r="P90" t="str">
        <f>_xll.BDP("006644J8 Muni","MUNI_TAX_PROV")</f>
        <v>#N/A Requesting Data...</v>
      </c>
      <c r="Q90" t="str">
        <f>_xll.BDP("006644J8 Muni","MUNI_FED_TAX")</f>
        <v>#N/A Requesting Data...</v>
      </c>
      <c r="R90" t="str">
        <f>_xll.BDP("006644J8 Muni","MUNI_MSRB_VOLUME")</f>
        <v>#N/A Requesting Data...</v>
      </c>
      <c r="S90" t="str">
        <f>_xll.BDP("006644J8 Muni","BB_COMPOSITE")</f>
        <v>#N/A Requesting Data...</v>
      </c>
      <c r="T90" t="str">
        <f>_xll.BDP("006644J8 Muni","LQA_LIQUIDITY_SCORE")</f>
        <v>#N/A Requesting Data...</v>
      </c>
    </row>
    <row r="91" spans="1:20" x14ac:dyDescent="0.25">
      <c r="A91" t="str">
        <f>_xll.BDP("006644J9 Muni","ID_CUSIP")</f>
        <v>#N/A Requesting Data...</v>
      </c>
      <c r="B91" t="s">
        <v>50</v>
      </c>
      <c r="C91" t="str">
        <f>_xll.BDP("006644J9 Muni","INSURANCE_STATUS")</f>
        <v>#N/A Requesting Data...</v>
      </c>
      <c r="D91" t="str">
        <f>_xll.BDP("006644J9 Muni","STATE_CODE")</f>
        <v>#N/A Requesting Data...</v>
      </c>
      <c r="E91" t="str">
        <f>_xll.BDP("006644J9 Muni","COUNTY_LOCATION_ISSUER")</f>
        <v>#N/A Requesting Data...</v>
      </c>
      <c r="F91" t="str">
        <f>_xll.BDP("006644J9 Muni","DUR_ADJ_MID")</f>
        <v>#N/A Requesting Data...</v>
      </c>
      <c r="G91" t="str">
        <f>_xll.BDP("006644J9 Muni","SPREAD_AT_ISSUANCE_TO_WORST")</f>
        <v>#N/A Requesting Data...</v>
      </c>
      <c r="H91" t="str">
        <f>_xll.BDP("006644J9 Muni","ISSUE_DT")</f>
        <v>#N/A Requesting Data...</v>
      </c>
      <c r="I91" t="str">
        <f>_xll.BDS("006644J9 Muni","MUNI_PURPOSE_SCHED", "aggregate=y")</f>
        <v>#N/A Requesting Data...</v>
      </c>
      <c r="J91" t="str">
        <f>_xll.BDP("006644J9 Muni","CPN")</f>
        <v>#N/A Requesting Data...</v>
      </c>
      <c r="K91" t="str">
        <f>_xll.BDP("006644J9 Muni","MATURITY")</f>
        <v>#N/A Requesting Data...</v>
      </c>
      <c r="L91">
        <v>525000</v>
      </c>
      <c r="M91" t="str">
        <f>_xll.BDP("006644J9 Muni","YIELD_ON_ISSUE_DATE")</f>
        <v>#N/A Requesting Data...</v>
      </c>
      <c r="N91" t="str">
        <f>_xll.BDP("006644J9 Muni","YTW_SPREAD_TO_MATURITY_AT_ISSU")</f>
        <v>#N/A Requesting Data...</v>
      </c>
      <c r="O91" t="str">
        <f>_xll.BDP("006644J9 Muni","BVAL_MID_YTM")</f>
        <v>#N/A Requesting Data...</v>
      </c>
      <c r="P91" t="str">
        <f>_xll.BDP("006644J9 Muni","MUNI_TAX_PROV")</f>
        <v>#N/A Requesting Data...</v>
      </c>
      <c r="Q91" t="str">
        <f>_xll.BDP("006644J9 Muni","MUNI_FED_TAX")</f>
        <v>#N/A Requesting Data...</v>
      </c>
      <c r="R91" t="str">
        <f>_xll.BDP("006644J9 Muni","MUNI_MSRB_VOLUME")</f>
        <v>#N/A Requesting Data...</v>
      </c>
      <c r="S91" t="str">
        <f>_xll.BDP("006644J9 Muni","BB_COMPOSITE")</f>
        <v>#N/A Requesting Data...</v>
      </c>
      <c r="T91" t="str">
        <f>_xll.BDP("006644J9 Muni","LQA_LIQUIDITY_SCORE")</f>
        <v>#N/A Requesting Data...</v>
      </c>
    </row>
    <row r="92" spans="1:20" x14ac:dyDescent="0.25">
      <c r="A92" t="str">
        <f>_xll.BDP("006644K2 Muni","ID_CUSIP")</f>
        <v>#N/A Requesting Data...</v>
      </c>
      <c r="B92" t="s">
        <v>50</v>
      </c>
      <c r="C92" t="str">
        <f>_xll.BDP("006644K2 Muni","INSURANCE_STATUS")</f>
        <v>#N/A Requesting Data...</v>
      </c>
      <c r="D92" t="str">
        <f>_xll.BDP("006644K2 Muni","STATE_CODE")</f>
        <v>#N/A Requesting Data...</v>
      </c>
      <c r="E92" t="str">
        <f>_xll.BDP("006644K2 Muni","COUNTY_LOCATION_ISSUER")</f>
        <v>#N/A Requesting Data...</v>
      </c>
      <c r="F92" t="str">
        <f>_xll.BDP("006644K2 Muni","DUR_ADJ_MID")</f>
        <v>#N/A Requesting Data...</v>
      </c>
      <c r="G92" t="str">
        <f>_xll.BDP("006644K2 Muni","SPREAD_AT_ISSUANCE_TO_WORST")</f>
        <v>#N/A Requesting Data...</v>
      </c>
      <c r="H92" t="str">
        <f>_xll.BDP("006644K2 Muni","ISSUE_DT")</f>
        <v>#N/A Requesting Data...</v>
      </c>
      <c r="I92" t="str">
        <f>_xll.BDS("006644K2 Muni","MUNI_PURPOSE_SCHED", "aggregate=y")</f>
        <v>#N/A Requesting Data...</v>
      </c>
      <c r="J92" t="str">
        <f>_xll.BDP("006644K2 Muni","CPN")</f>
        <v>#N/A Requesting Data...</v>
      </c>
      <c r="K92" t="str">
        <f>_xll.BDP("006644K2 Muni","MATURITY")</f>
        <v>#N/A Requesting Data...</v>
      </c>
      <c r="L92">
        <v>540000</v>
      </c>
      <c r="M92" t="str">
        <f>_xll.BDP("006644K2 Muni","YIELD_ON_ISSUE_DATE")</f>
        <v>#N/A Requesting Data...</v>
      </c>
      <c r="N92" t="str">
        <f>_xll.BDP("006644K2 Muni","YTW_SPREAD_TO_MATURITY_AT_ISSU")</f>
        <v>#N/A Requesting Data...</v>
      </c>
      <c r="O92" t="str">
        <f>_xll.BDP("006644K2 Muni","BVAL_MID_YTM")</f>
        <v>#N/A Requesting Data...</v>
      </c>
      <c r="P92" t="str">
        <f>_xll.BDP("006644K2 Muni","MUNI_TAX_PROV")</f>
        <v>#N/A Requesting Data...</v>
      </c>
      <c r="Q92" t="str">
        <f>_xll.BDP("006644K2 Muni","MUNI_FED_TAX")</f>
        <v>#N/A Requesting Data...</v>
      </c>
      <c r="R92" t="str">
        <f>_xll.BDP("006644K2 Muni","MUNI_MSRB_VOLUME")</f>
        <v>#N/A Requesting Data...</v>
      </c>
      <c r="S92" t="str">
        <f>_xll.BDP("006644K2 Muni","BB_COMPOSITE")</f>
        <v>#N/A Requesting Data...</v>
      </c>
      <c r="T92" t="str">
        <f>_xll.BDP("006644K2 Muni","LQA_LIQUIDITY_SCORE")</f>
        <v>#N/A Requesting Data...</v>
      </c>
    </row>
    <row r="93" spans="1:20" x14ac:dyDescent="0.25">
      <c r="A93" t="str">
        <f>_xll.BDP("006644K3 Muni","ID_CUSIP")</f>
        <v>#N/A Requesting Data...</v>
      </c>
      <c r="B93" t="s">
        <v>50</v>
      </c>
      <c r="C93" t="str">
        <f>_xll.BDP("006644K3 Muni","INSURANCE_STATUS")</f>
        <v>#N/A Requesting Data...</v>
      </c>
      <c r="D93" t="str">
        <f>_xll.BDP("006644K3 Muni","STATE_CODE")</f>
        <v>#N/A Requesting Data...</v>
      </c>
      <c r="E93" t="str">
        <f>_xll.BDP("006644K3 Muni","COUNTY_LOCATION_ISSUER")</f>
        <v>#N/A Requesting Data...</v>
      </c>
      <c r="F93" t="str">
        <f>_xll.BDP("006644K3 Muni","DUR_ADJ_MID")</f>
        <v>#N/A Requesting Data...</v>
      </c>
      <c r="G93" t="str">
        <f>_xll.BDP("006644K3 Muni","SPREAD_AT_ISSUANCE_TO_WORST")</f>
        <v>#N/A Requesting Data...</v>
      </c>
      <c r="H93" t="str">
        <f>_xll.BDP("006644K3 Muni","ISSUE_DT")</f>
        <v>#N/A Requesting Data...</v>
      </c>
      <c r="I93" t="str">
        <f>_xll.BDS("006644K3 Muni","MUNI_PURPOSE_SCHED", "aggregate=y")</f>
        <v>#N/A Requesting Data...</v>
      </c>
      <c r="J93" t="str">
        <f>_xll.BDP("006644K3 Muni","CPN")</f>
        <v>#N/A Requesting Data...</v>
      </c>
      <c r="K93" t="str">
        <f>_xll.BDP("006644K3 Muni","MATURITY")</f>
        <v>#N/A Requesting Data...</v>
      </c>
      <c r="L93">
        <v>560000</v>
      </c>
      <c r="M93" t="str">
        <f>_xll.BDP("006644K3 Muni","YIELD_ON_ISSUE_DATE")</f>
        <v>#N/A Requesting Data...</v>
      </c>
      <c r="N93" t="str">
        <f>_xll.BDP("006644K3 Muni","YTW_SPREAD_TO_MATURITY_AT_ISSU")</f>
        <v>#N/A Requesting Data...</v>
      </c>
      <c r="O93" t="str">
        <f>_xll.BDP("006644K3 Muni","BVAL_MID_YTM")</f>
        <v>#N/A Requesting Data...</v>
      </c>
      <c r="P93" t="str">
        <f>_xll.BDP("006644K3 Muni","MUNI_TAX_PROV")</f>
        <v>#N/A Requesting Data...</v>
      </c>
      <c r="Q93" t="str">
        <f>_xll.BDP("006644K3 Muni","MUNI_FED_TAX")</f>
        <v>#N/A Requesting Data...</v>
      </c>
      <c r="R93" t="str">
        <f>_xll.BDP("006644K3 Muni","MUNI_MSRB_VOLUME")</f>
        <v>#N/A Requesting Data...</v>
      </c>
      <c r="S93" t="str">
        <f>_xll.BDP("006644K3 Muni","BB_COMPOSITE")</f>
        <v>#N/A Requesting Data...</v>
      </c>
      <c r="T93" t="str">
        <f>_xll.BDP("006644K3 Muni","LQA_LIQUIDITY_SCORE")</f>
        <v>#N/A Requesting Data...</v>
      </c>
    </row>
    <row r="94" spans="1:20" x14ac:dyDescent="0.25">
      <c r="A94" t="str">
        <f>_xll.BDP("006644K4 Muni","ID_CUSIP")</f>
        <v>#N/A Requesting Data...</v>
      </c>
      <c r="B94" t="s">
        <v>50</v>
      </c>
      <c r="C94" t="str">
        <f>_xll.BDP("006644K4 Muni","INSURANCE_STATUS")</f>
        <v>#N/A Requesting Data...</v>
      </c>
      <c r="D94" t="str">
        <f>_xll.BDP("006644K4 Muni","STATE_CODE")</f>
        <v>#N/A Requesting Data...</v>
      </c>
      <c r="E94" t="str">
        <f>_xll.BDP("006644K4 Muni","COUNTY_LOCATION_ISSUER")</f>
        <v>#N/A Requesting Data...</v>
      </c>
      <c r="F94" t="str">
        <f>_xll.BDP("006644K4 Muni","DUR_ADJ_MID")</f>
        <v>#N/A Requesting Data...</v>
      </c>
      <c r="G94" t="str">
        <f>_xll.BDP("006644K4 Muni","SPREAD_AT_ISSUANCE_TO_WORST")</f>
        <v>#N/A Requesting Data...</v>
      </c>
      <c r="H94" t="str">
        <f>_xll.BDP("006644K4 Muni","ISSUE_DT")</f>
        <v>#N/A Requesting Data...</v>
      </c>
      <c r="I94" t="str">
        <f>_xll.BDS("006644K4 Muni","MUNI_PURPOSE_SCHED", "aggregate=y")</f>
        <v>#N/A Requesting Data...</v>
      </c>
      <c r="J94" t="str">
        <f>_xll.BDP("006644K4 Muni","CPN")</f>
        <v>#N/A Requesting Data...</v>
      </c>
      <c r="K94" t="str">
        <f>_xll.BDP("006644K4 Muni","MATURITY")</f>
        <v>#N/A Requesting Data...</v>
      </c>
      <c r="L94">
        <v>580000</v>
      </c>
      <c r="M94" t="str">
        <f>_xll.BDP("006644K4 Muni","YIELD_ON_ISSUE_DATE")</f>
        <v>#N/A Requesting Data...</v>
      </c>
      <c r="N94" t="str">
        <f>_xll.BDP("006644K4 Muni","YTW_SPREAD_TO_MATURITY_AT_ISSU")</f>
        <v>#N/A Requesting Data...</v>
      </c>
      <c r="O94" t="str">
        <f>_xll.BDP("006644K4 Muni","BVAL_MID_YTM")</f>
        <v>#N/A Requesting Data...</v>
      </c>
      <c r="P94" t="str">
        <f>_xll.BDP("006644K4 Muni","MUNI_TAX_PROV")</f>
        <v>#N/A Requesting Data...</v>
      </c>
      <c r="Q94" t="str">
        <f>_xll.BDP("006644K4 Muni","MUNI_FED_TAX")</f>
        <v>#N/A Requesting Data...</v>
      </c>
      <c r="R94" t="str">
        <f>_xll.BDP("006644K4 Muni","MUNI_MSRB_VOLUME")</f>
        <v>#N/A Requesting Data...</v>
      </c>
      <c r="S94" t="str">
        <f>_xll.BDP("006644K4 Muni","BB_COMPOSITE")</f>
        <v>#N/A Requesting Data...</v>
      </c>
      <c r="T94" t="str">
        <f>_xll.BDP("006644K4 Muni","LQA_LIQUIDITY_SCORE")</f>
        <v>#N/A Requesting Data...</v>
      </c>
    </row>
    <row r="95" spans="1:20" x14ac:dyDescent="0.25">
      <c r="A95" t="str">
        <f>_xll.BDP("006644K5 Muni","ID_CUSIP")</f>
        <v>#N/A Requesting Data...</v>
      </c>
      <c r="B95" t="s">
        <v>50</v>
      </c>
      <c r="C95" t="str">
        <f>_xll.BDP("006644K5 Muni","INSURANCE_STATUS")</f>
        <v>#N/A Requesting Data...</v>
      </c>
      <c r="D95" t="str">
        <f>_xll.BDP("006644K5 Muni","STATE_CODE")</f>
        <v>#N/A Requesting Data...</v>
      </c>
      <c r="E95" t="str">
        <f>_xll.BDP("006644K5 Muni","COUNTY_LOCATION_ISSUER")</f>
        <v>#N/A Requesting Data...</v>
      </c>
      <c r="F95" t="str">
        <f>_xll.BDP("006644K5 Muni","DUR_ADJ_MID")</f>
        <v>#N/A Requesting Data...</v>
      </c>
      <c r="G95" t="str">
        <f>_xll.BDP("006644K5 Muni","SPREAD_AT_ISSUANCE_TO_WORST")</f>
        <v>#N/A Requesting Data...</v>
      </c>
      <c r="H95" t="str">
        <f>_xll.BDP("006644K5 Muni","ISSUE_DT")</f>
        <v>#N/A Requesting Data...</v>
      </c>
      <c r="I95" t="str">
        <f>_xll.BDS("006644K5 Muni","MUNI_PURPOSE_SCHED", "aggregate=y")</f>
        <v>#N/A Requesting Data...</v>
      </c>
      <c r="J95" t="str">
        <f>_xll.BDP("006644K5 Muni","CPN")</f>
        <v>#N/A Requesting Data...</v>
      </c>
      <c r="K95" t="str">
        <f>_xll.BDP("006644K5 Muni","MATURITY")</f>
        <v>#N/A Requesting Data...</v>
      </c>
      <c r="L95">
        <v>610000</v>
      </c>
      <c r="M95" t="str">
        <f>_xll.BDP("006644K5 Muni","YIELD_ON_ISSUE_DATE")</f>
        <v>#N/A Requesting Data...</v>
      </c>
      <c r="N95" t="str">
        <f>_xll.BDP("006644K5 Muni","YTW_SPREAD_TO_MATURITY_AT_ISSU")</f>
        <v>#N/A Requesting Data...</v>
      </c>
      <c r="O95" t="str">
        <f>_xll.BDP("006644K5 Muni","BVAL_MID_YTM")</f>
        <v>#N/A Requesting Data...</v>
      </c>
      <c r="P95" t="str">
        <f>_xll.BDP("006644K5 Muni","MUNI_TAX_PROV")</f>
        <v>#N/A Requesting Data...</v>
      </c>
      <c r="Q95" t="str">
        <f>_xll.BDP("006644K5 Muni","MUNI_FED_TAX")</f>
        <v>#N/A Requesting Data...</v>
      </c>
      <c r="R95" t="str">
        <f>_xll.BDP("006644K5 Muni","MUNI_MSRB_VOLUME")</f>
        <v>#N/A Requesting Data...</v>
      </c>
      <c r="S95" t="str">
        <f>_xll.BDP("006644K5 Muni","BB_COMPOSITE")</f>
        <v>#N/A Requesting Data...</v>
      </c>
      <c r="T95" t="str">
        <f>_xll.BDP("006644K5 Muni","LQA_LIQUIDITY_SCORE")</f>
        <v>#N/A Requesting Data...</v>
      </c>
    </row>
    <row r="96" spans="1:20" x14ac:dyDescent="0.25">
      <c r="A96" t="str">
        <f>_xll.BDP("010047EL Muni","ID_CUSIP")</f>
        <v>#N/A Requesting Data...</v>
      </c>
      <c r="B96" t="s">
        <v>51</v>
      </c>
      <c r="C96" t="str">
        <f>_xll.BDP("010047EL Muni","INSURANCE_STATUS")</f>
        <v>#N/A Requesting Data...</v>
      </c>
      <c r="D96" t="str">
        <f>_xll.BDP("010047EL Muni","STATE_CODE")</f>
        <v>#N/A Requesting Data...</v>
      </c>
      <c r="E96" t="str">
        <f>_xll.BDP("010047EL Muni","COUNTY_LOCATION_ISSUER")</f>
        <v>#N/A Requesting Data...</v>
      </c>
      <c r="F96" t="str">
        <f>_xll.BDP("010047EL Muni","DUR_ADJ_MID")</f>
        <v>#N/A Requesting Data...</v>
      </c>
      <c r="G96" t="str">
        <f>_xll.BDP("010047EL Muni","SPREAD_AT_ISSUANCE_TO_WORST")</f>
        <v>#N/A Requesting Data...</v>
      </c>
      <c r="H96" t="str">
        <f>_xll.BDP("010047EL Muni","ISSUE_DT")</f>
        <v>#N/A Requesting Data...</v>
      </c>
      <c r="I96" t="str">
        <f>_xll.BDS("010047EL Muni","MUNI_PURPOSE_SCHED", "aggregate=y")</f>
        <v>#N/A Requesting Data...</v>
      </c>
      <c r="J96" t="str">
        <f>_xll.BDP("010047EL Muni","CPN")</f>
        <v>#N/A Requesting Data...</v>
      </c>
      <c r="K96" t="str">
        <f>_xll.BDP("010047EL Muni","MATURITY")</f>
        <v>#N/A Requesting Data...</v>
      </c>
      <c r="L96">
        <v>635000</v>
      </c>
      <c r="M96" t="str">
        <f>_xll.BDP("010047EL Muni","YIELD_ON_ISSUE_DATE")</f>
        <v>#N/A Requesting Data...</v>
      </c>
      <c r="N96" t="str">
        <f>_xll.BDP("010047EL Muni","YTW_SPREAD_TO_MATURITY_AT_ISSU")</f>
        <v>#N/A Requesting Data...</v>
      </c>
      <c r="O96" t="str">
        <f>_xll.BDP("010047EL Muni","BVAL_MID_YTM")</f>
        <v>#N/A Requesting Data...</v>
      </c>
      <c r="P96" t="str">
        <f>_xll.BDP("010047EL Muni","MUNI_TAX_PROV")</f>
        <v>#N/A Requesting Data...</v>
      </c>
      <c r="Q96" t="str">
        <f>_xll.BDP("010047EL Muni","MUNI_FED_TAX")</f>
        <v>#N/A Requesting Data...</v>
      </c>
      <c r="R96" t="str">
        <f>_xll.BDP("010047EL Muni","MUNI_MSRB_VOLUME")</f>
        <v>#N/A Requesting Data...</v>
      </c>
      <c r="S96" t="str">
        <f>_xll.BDP("010047EL Muni","BB_COMPOSITE")</f>
        <v>#N/A Requesting Data...</v>
      </c>
      <c r="T96" t="str">
        <f>_xll.BDP("010047EL Muni","LQA_LIQUIDITY_SCORE")</f>
        <v>#N/A Requesting Data...</v>
      </c>
    </row>
    <row r="97" spans="1:20" x14ac:dyDescent="0.25">
      <c r="A97" t="str">
        <f>_xll.BDP("010047EM Muni","ID_CUSIP")</f>
        <v>#N/A Requesting Data...</v>
      </c>
      <c r="B97" t="s">
        <v>51</v>
      </c>
      <c r="C97" t="str">
        <f>_xll.BDP("010047EM Muni","INSURANCE_STATUS")</f>
        <v>#N/A Requesting Data...</v>
      </c>
      <c r="D97" t="str">
        <f>_xll.BDP("010047EM Muni","STATE_CODE")</f>
        <v>#N/A Requesting Data...</v>
      </c>
      <c r="E97" t="str">
        <f>_xll.BDP("010047EM Muni","COUNTY_LOCATION_ISSUER")</f>
        <v>#N/A Requesting Data...</v>
      </c>
      <c r="F97" t="str">
        <f>_xll.BDP("010047EM Muni","DUR_ADJ_MID")</f>
        <v>#N/A Requesting Data...</v>
      </c>
      <c r="G97" t="str">
        <f>_xll.BDP("010047EM Muni","SPREAD_AT_ISSUANCE_TO_WORST")</f>
        <v>#N/A Requesting Data...</v>
      </c>
      <c r="H97" t="str">
        <f>_xll.BDP("010047EM Muni","ISSUE_DT")</f>
        <v>#N/A Requesting Data...</v>
      </c>
      <c r="I97" t="str">
        <f>_xll.BDS("010047EM Muni","MUNI_PURPOSE_SCHED", "aggregate=y")</f>
        <v>#N/A Requesting Data...</v>
      </c>
      <c r="J97" t="str">
        <f>_xll.BDP("010047EM Muni","CPN")</f>
        <v>#N/A Requesting Data...</v>
      </c>
      <c r="K97" t="str">
        <f>_xll.BDP("010047EM Muni","MATURITY")</f>
        <v>#N/A Requesting Data...</v>
      </c>
      <c r="L97">
        <v>670000</v>
      </c>
      <c r="M97" t="str">
        <f>_xll.BDP("010047EM Muni","YIELD_ON_ISSUE_DATE")</f>
        <v>#N/A Requesting Data...</v>
      </c>
      <c r="N97" t="str">
        <f>_xll.BDP("010047EM Muni","YTW_SPREAD_TO_MATURITY_AT_ISSU")</f>
        <v>#N/A Requesting Data...</v>
      </c>
      <c r="O97" t="str">
        <f>_xll.BDP("010047EM Muni","BVAL_MID_YTM")</f>
        <v>#N/A Requesting Data...</v>
      </c>
      <c r="P97" t="str">
        <f>_xll.BDP("010047EM Muni","MUNI_TAX_PROV")</f>
        <v>#N/A Requesting Data...</v>
      </c>
      <c r="Q97" t="str">
        <f>_xll.BDP("010047EM Muni","MUNI_FED_TAX")</f>
        <v>#N/A Requesting Data...</v>
      </c>
      <c r="R97" t="str">
        <f>_xll.BDP("010047EM Muni","MUNI_MSRB_VOLUME")</f>
        <v>#N/A Requesting Data...</v>
      </c>
      <c r="S97" t="str">
        <f>_xll.BDP("010047EM Muni","BB_COMPOSITE")</f>
        <v>#N/A Requesting Data...</v>
      </c>
      <c r="T97" t="str">
        <f>_xll.BDP("010047EM Muni","LQA_LIQUIDITY_SCORE")</f>
        <v>#N/A Requesting Data...</v>
      </c>
    </row>
    <row r="98" spans="1:20" x14ac:dyDescent="0.25">
      <c r="A98" t="str">
        <f>_xll.BDP("010047EN Muni","ID_CUSIP")</f>
        <v>#N/A Requesting Data...</v>
      </c>
      <c r="B98" t="s">
        <v>51</v>
      </c>
      <c r="C98" t="str">
        <f>_xll.BDP("010047EN Muni","INSURANCE_STATUS")</f>
        <v>#N/A Requesting Data...</v>
      </c>
      <c r="D98" t="str">
        <f>_xll.BDP("010047EN Muni","STATE_CODE")</f>
        <v>#N/A Requesting Data...</v>
      </c>
      <c r="E98" t="str">
        <f>_xll.BDP("010047EN Muni","COUNTY_LOCATION_ISSUER")</f>
        <v>#N/A Requesting Data...</v>
      </c>
      <c r="F98" t="str">
        <f>_xll.BDP("010047EN Muni","DUR_ADJ_MID")</f>
        <v>#N/A Requesting Data...</v>
      </c>
      <c r="G98" t="str">
        <f>_xll.BDP("010047EN Muni","SPREAD_AT_ISSUANCE_TO_WORST")</f>
        <v>#N/A Requesting Data...</v>
      </c>
      <c r="H98" t="str">
        <f>_xll.BDP("010047EN Muni","ISSUE_DT")</f>
        <v>#N/A Requesting Data...</v>
      </c>
      <c r="I98" t="str">
        <f>_xll.BDS("010047EN Muni","MUNI_PURPOSE_SCHED", "aggregate=y")</f>
        <v>#N/A Requesting Data...</v>
      </c>
      <c r="J98" t="str">
        <f>_xll.BDP("010047EN Muni","CPN")</f>
        <v>#N/A Requesting Data...</v>
      </c>
      <c r="K98" t="str">
        <f>_xll.BDP("010047EN Muni","MATURITY")</f>
        <v>#N/A Requesting Data...</v>
      </c>
      <c r="L98">
        <v>700000</v>
      </c>
      <c r="M98" t="str">
        <f>_xll.BDP("010047EN Muni","YIELD_ON_ISSUE_DATE")</f>
        <v>#N/A Requesting Data...</v>
      </c>
      <c r="N98" t="str">
        <f>_xll.BDP("010047EN Muni","YTW_SPREAD_TO_MATURITY_AT_ISSU")</f>
        <v>#N/A Requesting Data...</v>
      </c>
      <c r="O98" t="str">
        <f>_xll.BDP("010047EN Muni","BVAL_MID_YTM")</f>
        <v>#N/A Requesting Data...</v>
      </c>
      <c r="P98" t="str">
        <f>_xll.BDP("010047EN Muni","MUNI_TAX_PROV")</f>
        <v>#N/A Requesting Data...</v>
      </c>
      <c r="Q98" t="str">
        <f>_xll.BDP("010047EN Muni","MUNI_FED_TAX")</f>
        <v>#N/A Requesting Data...</v>
      </c>
      <c r="R98" t="str">
        <f>_xll.BDP("010047EN Muni","MUNI_MSRB_VOLUME")</f>
        <v>#N/A Requesting Data...</v>
      </c>
      <c r="S98" t="str">
        <f>_xll.BDP("010047EN Muni","BB_COMPOSITE")</f>
        <v>#N/A Requesting Data...</v>
      </c>
      <c r="T98" t="str">
        <f>_xll.BDP("010047EN Muni","LQA_LIQUIDITY_SCORE")</f>
        <v>#N/A Requesting Data...</v>
      </c>
    </row>
    <row r="99" spans="1:20" x14ac:dyDescent="0.25">
      <c r="A99" t="str">
        <f>_xll.BDP("010047EP Muni","ID_CUSIP")</f>
        <v>#N/A Requesting Data...</v>
      </c>
      <c r="B99" t="s">
        <v>51</v>
      </c>
      <c r="C99" t="str">
        <f>_xll.BDP("010047EP Muni","INSURANCE_STATUS")</f>
        <v>#N/A Requesting Data...</v>
      </c>
      <c r="D99" t="str">
        <f>_xll.BDP("010047EP Muni","STATE_CODE")</f>
        <v>#N/A Requesting Data...</v>
      </c>
      <c r="E99" t="str">
        <f>_xll.BDP("010047EP Muni","COUNTY_LOCATION_ISSUER")</f>
        <v>#N/A Requesting Data...</v>
      </c>
      <c r="F99" t="str">
        <f>_xll.BDP("010047EP Muni","DUR_ADJ_MID")</f>
        <v>#N/A Requesting Data...</v>
      </c>
      <c r="G99" t="str">
        <f>_xll.BDP("010047EP Muni","SPREAD_AT_ISSUANCE_TO_WORST")</f>
        <v>#N/A Requesting Data...</v>
      </c>
      <c r="H99" t="str">
        <f>_xll.BDP("010047EP Muni","ISSUE_DT")</f>
        <v>#N/A Requesting Data...</v>
      </c>
      <c r="I99" t="str">
        <f>_xll.BDS("010047EP Muni","MUNI_PURPOSE_SCHED", "aggregate=y")</f>
        <v>#N/A Requesting Data...</v>
      </c>
      <c r="J99" t="str">
        <f>_xll.BDP("010047EP Muni","CPN")</f>
        <v>#N/A Requesting Data...</v>
      </c>
      <c r="K99" t="str">
        <f>_xll.BDP("010047EP Muni","MATURITY")</f>
        <v>#N/A Requesting Data...</v>
      </c>
      <c r="L99">
        <v>735000</v>
      </c>
      <c r="M99" t="str">
        <f>_xll.BDP("010047EP Muni","YIELD_ON_ISSUE_DATE")</f>
        <v>#N/A Requesting Data...</v>
      </c>
      <c r="N99" t="str">
        <f>_xll.BDP("010047EP Muni","YTW_SPREAD_TO_MATURITY_AT_ISSU")</f>
        <v>#N/A Requesting Data...</v>
      </c>
      <c r="O99" t="str">
        <f>_xll.BDP("010047EP Muni","BVAL_MID_YTM")</f>
        <v>#N/A Requesting Data...</v>
      </c>
      <c r="P99" t="str">
        <f>_xll.BDP("010047EP Muni","MUNI_TAX_PROV")</f>
        <v>#N/A Requesting Data...</v>
      </c>
      <c r="Q99" t="str">
        <f>_xll.BDP("010047EP Muni","MUNI_FED_TAX")</f>
        <v>#N/A Requesting Data...</v>
      </c>
      <c r="R99" t="str">
        <f>_xll.BDP("010047EP Muni","MUNI_MSRB_VOLUME")</f>
        <v>#N/A Requesting Data...</v>
      </c>
      <c r="S99" t="str">
        <f>_xll.BDP("010047EP Muni","BB_COMPOSITE")</f>
        <v>#N/A Requesting Data...</v>
      </c>
      <c r="T99" t="str">
        <f>_xll.BDP("010047EP Muni","LQA_LIQUIDITY_SCORE")</f>
        <v>#N/A Requesting Data...</v>
      </c>
    </row>
    <row r="100" spans="1:20" x14ac:dyDescent="0.25">
      <c r="A100" t="str">
        <f>_xll.BDP("010047EQ Muni","ID_CUSIP")</f>
        <v>#N/A Requesting Data...</v>
      </c>
      <c r="B100" t="s">
        <v>51</v>
      </c>
      <c r="C100" t="str">
        <f>_xll.BDP("010047EQ Muni","INSURANCE_STATUS")</f>
        <v>#N/A Requesting Data...</v>
      </c>
      <c r="D100" t="str">
        <f>_xll.BDP("010047EQ Muni","STATE_CODE")</f>
        <v>#N/A Requesting Data...</v>
      </c>
      <c r="E100" t="str">
        <f>_xll.BDP("010047EQ Muni","COUNTY_LOCATION_ISSUER")</f>
        <v>#N/A Requesting Data...</v>
      </c>
      <c r="F100" t="str">
        <f>_xll.BDP("010047EQ Muni","DUR_ADJ_MID")</f>
        <v>#N/A Requesting Data...</v>
      </c>
      <c r="G100" t="str">
        <f>_xll.BDP("010047EQ Muni","SPREAD_AT_ISSUANCE_TO_WORST")</f>
        <v>#N/A Requesting Data...</v>
      </c>
      <c r="H100" t="str">
        <f>_xll.BDP("010047EQ Muni","ISSUE_DT")</f>
        <v>#N/A Requesting Data...</v>
      </c>
      <c r="I100" t="str">
        <f>_xll.BDS("010047EQ Muni","MUNI_PURPOSE_SCHED", "aggregate=y")</f>
        <v>#N/A Requesting Data...</v>
      </c>
      <c r="J100" t="str">
        <f>_xll.BDP("010047EQ Muni","CPN")</f>
        <v>#N/A Requesting Data...</v>
      </c>
      <c r="K100" t="str">
        <f>_xll.BDP("010047EQ Muni","MATURITY")</f>
        <v>#N/A Requesting Data...</v>
      </c>
      <c r="L100">
        <v>775000</v>
      </c>
      <c r="M100" t="str">
        <f>_xll.BDP("010047EQ Muni","YIELD_ON_ISSUE_DATE")</f>
        <v>#N/A Requesting Data...</v>
      </c>
      <c r="N100" t="str">
        <f>_xll.BDP("010047EQ Muni","YTW_SPREAD_TO_MATURITY_AT_ISSU")</f>
        <v>#N/A Requesting Data...</v>
      </c>
      <c r="O100" t="str">
        <f>_xll.BDP("010047EQ Muni","BVAL_MID_YTM")</f>
        <v>#N/A Requesting Data...</v>
      </c>
      <c r="P100" t="str">
        <f>_xll.BDP("010047EQ Muni","MUNI_TAX_PROV")</f>
        <v>#N/A Requesting Data...</v>
      </c>
      <c r="Q100" t="str">
        <f>_xll.BDP("010047EQ Muni","MUNI_FED_TAX")</f>
        <v>#N/A Requesting Data...</v>
      </c>
      <c r="R100" t="str">
        <f>_xll.BDP("010047EQ Muni","MUNI_MSRB_VOLUME")</f>
        <v>#N/A Requesting Data...</v>
      </c>
      <c r="S100" t="str">
        <f>_xll.BDP("010047EQ Muni","BB_COMPOSITE")</f>
        <v>#N/A Requesting Data...</v>
      </c>
      <c r="T100" t="str">
        <f>_xll.BDP("010047EQ Muni","LQA_LIQUIDITY_SCORE")</f>
        <v>#N/A Requesting Data...</v>
      </c>
    </row>
    <row r="101" spans="1:20" x14ac:dyDescent="0.25">
      <c r="A101" t="str">
        <f>_xll.BDP("34679VGL Muni","ID_CUSIP")</f>
        <v>#N/A Requesting Data...</v>
      </c>
      <c r="B101" t="s">
        <v>52</v>
      </c>
      <c r="C101" t="str">
        <f>_xll.BDP("34679VGL Muni","INSURANCE_STATUS")</f>
        <v>#N/A Requesting Data...</v>
      </c>
      <c r="D101" t="str">
        <f>_xll.BDP("34679VGL Muni","STATE_CODE")</f>
        <v>#N/A Requesting Data...</v>
      </c>
      <c r="E101" t="str">
        <f>_xll.BDP("34679VGL Muni","COUNTY_LOCATION_ISSUER")</f>
        <v>#N/A Requesting Data...</v>
      </c>
      <c r="F101" t="str">
        <f>_xll.BDP("34679VGL Muni","DUR_ADJ_MID")</f>
        <v>#N/A Requesting Data...</v>
      </c>
      <c r="G101" t="str">
        <f>_xll.BDP("34679VGL Muni","SPREAD_AT_ISSUANCE_TO_WORST")</f>
        <v>#N/A Requesting Data...</v>
      </c>
      <c r="H101" t="str">
        <f>_xll.BDP("34679VGL Muni","ISSUE_DT")</f>
        <v>#N/A Requesting Data...</v>
      </c>
      <c r="I101" t="str">
        <f>_xll.BDS("34679VGL Muni","MUNI_PURPOSE_SCHED", "aggregate=y")</f>
        <v>#N/A Requesting Data...</v>
      </c>
      <c r="J101" t="str">
        <f>_xll.BDP("34679VGL Muni","CPN")</f>
        <v>#N/A Requesting Data...</v>
      </c>
      <c r="K101" t="str">
        <f>_xll.BDP("34679VGL Muni","MATURITY")</f>
        <v>#N/A Requesting Data...</v>
      </c>
      <c r="L101">
        <v>50000</v>
      </c>
      <c r="M101" t="str">
        <f>_xll.BDP("34679VGL Muni","YIELD_ON_ISSUE_DATE")</f>
        <v>#N/A Requesting Data...</v>
      </c>
      <c r="N101" t="str">
        <f>_xll.BDP("34679VGL Muni","YTW_SPREAD_TO_MATURITY_AT_ISSU")</f>
        <v>#N/A Requesting Data...</v>
      </c>
      <c r="O101" t="str">
        <f>_xll.BDP("34679VGL Muni","BVAL_MID_YTM")</f>
        <v>#N/A Requesting Data...</v>
      </c>
      <c r="P101" t="str">
        <f>_xll.BDP("34679VGL Muni","MUNI_TAX_PROV")</f>
        <v>#N/A Requesting Data...</v>
      </c>
      <c r="Q101" t="str">
        <f>_xll.BDP("34679VGL Muni","MUNI_FED_TAX")</f>
        <v>#N/A Requesting Data...</v>
      </c>
      <c r="R101" t="str">
        <f>_xll.BDP("34679VGL Muni","MUNI_MSRB_VOLUME")</f>
        <v>#N/A Requesting Data...</v>
      </c>
      <c r="S101" t="str">
        <f>_xll.BDP("34679VGL Muni","BB_COMPOSITE")</f>
        <v>#N/A Requesting Data...</v>
      </c>
      <c r="T101" t="str">
        <f>_xll.BDP("34679VGL Muni","LQA_LIQUIDITY_SCORE")</f>
        <v>#N/A Requesting Data...</v>
      </c>
    </row>
    <row r="102" spans="1:20" x14ac:dyDescent="0.25">
      <c r="A102" t="str">
        <f>_xll.BDP("346806NV Muni","ID_CUSIP")</f>
        <v>#N/A Requesting Data...</v>
      </c>
      <c r="B102" t="s">
        <v>53</v>
      </c>
      <c r="C102" t="str">
        <f>_xll.BDP("346806NV Muni","INSURANCE_STATUS")</f>
        <v>#N/A Requesting Data...</v>
      </c>
      <c r="D102" t="str">
        <f>_xll.BDP("346806NV Muni","STATE_CODE")</f>
        <v>#N/A Requesting Data...</v>
      </c>
      <c r="E102" t="str">
        <f>_xll.BDP("346806NV Muni","COUNTY_LOCATION_ISSUER")</f>
        <v>#N/A Requesting Data...</v>
      </c>
      <c r="F102" t="str">
        <f>_xll.BDP("346806NV Muni","DUR_ADJ_MID")</f>
        <v>#N/A Requesting Data...</v>
      </c>
      <c r="G102" t="str">
        <f>_xll.BDP("346806NV Muni","SPREAD_AT_ISSUANCE_TO_WORST")</f>
        <v>#N/A Requesting Data...</v>
      </c>
      <c r="H102" t="str">
        <f>_xll.BDP("346806NV Muni","ISSUE_DT")</f>
        <v>#N/A Requesting Data...</v>
      </c>
      <c r="I102" t="str">
        <f>_xll.BDS("346806NV Muni","MUNI_PURPOSE_SCHED", "aggregate=y")</f>
        <v>#N/A Requesting Data...</v>
      </c>
      <c r="J102" t="str">
        <f>_xll.BDP("346806NV Muni","CPN")</f>
        <v>#N/A Requesting Data...</v>
      </c>
      <c r="K102" t="str">
        <f>_xll.BDP("346806NV Muni","MATURITY")</f>
        <v>#N/A Requesting Data...</v>
      </c>
      <c r="L102">
        <v>100000</v>
      </c>
      <c r="M102" t="str">
        <f>_xll.BDP("346806NV Muni","YIELD_ON_ISSUE_DATE")</f>
        <v>#N/A Requesting Data...</v>
      </c>
      <c r="N102" t="str">
        <f>_xll.BDP("346806NV Muni","YTW_SPREAD_TO_MATURITY_AT_ISSU")</f>
        <v>#N/A Requesting Data...</v>
      </c>
      <c r="O102" t="str">
        <f>_xll.BDP("346806NV Muni","BVAL_MID_YTM")</f>
        <v>#N/A Requesting Data...</v>
      </c>
      <c r="P102" t="str">
        <f>_xll.BDP("346806NV Muni","MUNI_TAX_PROV")</f>
        <v>#N/A Requesting Data...</v>
      </c>
      <c r="Q102" t="str">
        <f>_xll.BDP("346806NV Muni","MUNI_FED_TAX")</f>
        <v>#N/A Requesting Data...</v>
      </c>
      <c r="R102" t="str">
        <f>_xll.BDP("346806NV Muni","MUNI_MSRB_VOLUME")</f>
        <v>#N/A Requesting Data...</v>
      </c>
      <c r="S102" t="str">
        <f>_xll.BDP("346806NV Muni","BB_COMPOSITE")</f>
        <v>#N/A Requesting Data...</v>
      </c>
      <c r="T102" t="str">
        <f>_xll.BDP("346806NV Muni","LQA_LIQUIDITY_SCORE")</f>
        <v>#N/A Requesting Data...</v>
      </c>
    </row>
    <row r="103" spans="1:20" x14ac:dyDescent="0.25">
      <c r="A103" t="str">
        <f>_xll.BDP("13034AYJ Muni","ID_CUSIP")</f>
        <v>#N/A Requesting Data...</v>
      </c>
      <c r="B103" t="s">
        <v>54</v>
      </c>
      <c r="C103" t="str">
        <f>_xll.BDP("13034AYJ Muni","INSURANCE_STATUS")</f>
        <v>#N/A Requesting Data...</v>
      </c>
      <c r="D103" t="str">
        <f>_xll.BDP("13034AYJ Muni","STATE_CODE")</f>
        <v>#N/A Requesting Data...</v>
      </c>
      <c r="E103" t="str">
        <f>_xll.BDP("13034AYJ Muni","COUNTY_LOCATION_ISSUER")</f>
        <v>#N/A Requesting Data...</v>
      </c>
      <c r="F103" t="str">
        <f>_xll.BDP("13034AYJ Muni","DUR_ADJ_MID")</f>
        <v>#N/A Requesting Data...</v>
      </c>
      <c r="G103" t="str">
        <f>_xll.BDP("13034AYJ Muni","SPREAD_AT_ISSUANCE_TO_WORST")</f>
        <v>#N/A Requesting Data...</v>
      </c>
      <c r="H103" t="str">
        <f>_xll.BDP("13034AYJ Muni","ISSUE_DT")</f>
        <v>#N/A Requesting Data...</v>
      </c>
      <c r="I103" t="str">
        <f>_xll.BDS("13034AYJ Muni","MUNI_PURPOSE_SCHED", "aggregate=y")</f>
        <v>#N/A Requesting Data...</v>
      </c>
      <c r="J103" t="str">
        <f>_xll.BDP("13034AYJ Muni","CPN")</f>
        <v>#N/A Requesting Data...</v>
      </c>
      <c r="K103" t="str">
        <f>_xll.BDP("13034AYJ Muni","MATURITY")</f>
        <v>#N/A Requesting Data...</v>
      </c>
      <c r="L103">
        <v>31420000</v>
      </c>
      <c r="M103" t="str">
        <f>_xll.BDP("13034AYJ Muni","YIELD_ON_ISSUE_DATE")</f>
        <v>#N/A Requesting Data...</v>
      </c>
      <c r="N103" t="str">
        <f>_xll.BDP("13034AYJ Muni","YTW_SPREAD_TO_MATURITY_AT_ISSU")</f>
        <v>#N/A Requesting Data...</v>
      </c>
      <c r="O103" t="str">
        <f>_xll.BDP("13034AYJ Muni","BVAL_MID_YTM")</f>
        <v>#N/A Requesting Data...</v>
      </c>
      <c r="P103" t="str">
        <f>_xll.BDP("13034AYJ Muni","MUNI_TAX_PROV")</f>
        <v>#N/A Requesting Data...</v>
      </c>
      <c r="Q103" t="str">
        <f>_xll.BDP("13034AYJ Muni","MUNI_FED_TAX")</f>
        <v>#N/A Requesting Data...</v>
      </c>
      <c r="R103" t="str">
        <f>_xll.BDP("13034AYJ Muni","MUNI_MSRB_VOLUME")</f>
        <v>#N/A Requesting Data...</v>
      </c>
      <c r="S103" t="str">
        <f>_xll.BDP("13034AYJ Muni","BB_COMPOSITE")</f>
        <v>#N/A Requesting Data...</v>
      </c>
      <c r="T103" t="str">
        <f>_xll.BDP("13034AYJ Muni","LQA_LIQUIDITY_SCORE")</f>
        <v>#N/A Requesting Data...</v>
      </c>
    </row>
    <row r="104" spans="1:20" x14ac:dyDescent="0.25">
      <c r="A104" t="str">
        <f>_xll.BDP("13034AYK Muni","ID_CUSIP")</f>
        <v>#N/A Requesting Data...</v>
      </c>
      <c r="B104" t="s">
        <v>54</v>
      </c>
      <c r="C104" t="str">
        <f>_xll.BDP("13034AYK Muni","INSURANCE_STATUS")</f>
        <v>#N/A Requesting Data...</v>
      </c>
      <c r="D104" t="str">
        <f>_xll.BDP("13034AYK Muni","STATE_CODE")</f>
        <v>#N/A Requesting Data...</v>
      </c>
      <c r="E104" t="str">
        <f>_xll.BDP("13034AYK Muni","COUNTY_LOCATION_ISSUER")</f>
        <v>#N/A Requesting Data...</v>
      </c>
      <c r="F104" t="str">
        <f>_xll.BDP("13034AYK Muni","DUR_ADJ_MID")</f>
        <v>#N/A Requesting Data...</v>
      </c>
      <c r="G104" t="str">
        <f>_xll.BDP("13034AYK Muni","SPREAD_AT_ISSUANCE_TO_WORST")</f>
        <v>#N/A Requesting Data...</v>
      </c>
      <c r="H104" t="str">
        <f>_xll.BDP("13034AYK Muni","ISSUE_DT")</f>
        <v>#N/A Requesting Data...</v>
      </c>
      <c r="I104" t="str">
        <f>_xll.BDS("13034AYK Muni","MUNI_PURPOSE_SCHED", "aggregate=y")</f>
        <v>#N/A Requesting Data...</v>
      </c>
      <c r="J104" t="str">
        <f>_xll.BDP("13034AYK Muni","CPN")</f>
        <v>#N/A Requesting Data...</v>
      </c>
      <c r="K104" t="str">
        <f>_xll.BDP("13034AYK Muni","MATURITY")</f>
        <v>#N/A Requesting Data...</v>
      </c>
      <c r="L104">
        <v>18950000</v>
      </c>
      <c r="M104" t="str">
        <f>_xll.BDP("13034AYK Muni","YIELD_ON_ISSUE_DATE")</f>
        <v>#N/A Requesting Data...</v>
      </c>
      <c r="N104" t="str">
        <f>_xll.BDP("13034AYK Muni","YTW_SPREAD_TO_MATURITY_AT_ISSU")</f>
        <v>#N/A Requesting Data...</v>
      </c>
      <c r="O104" t="str">
        <f>_xll.BDP("13034AYK Muni","BVAL_MID_YTM")</f>
        <v>#N/A Requesting Data...</v>
      </c>
      <c r="P104" t="str">
        <f>_xll.BDP("13034AYK Muni","MUNI_TAX_PROV")</f>
        <v>#N/A Requesting Data...</v>
      </c>
      <c r="Q104" t="str">
        <f>_xll.BDP("13034AYK Muni","MUNI_FED_TAX")</f>
        <v>#N/A Requesting Data...</v>
      </c>
      <c r="R104" t="str">
        <f>_xll.BDP("13034AYK Muni","MUNI_MSRB_VOLUME")</f>
        <v>#N/A Requesting Data...</v>
      </c>
      <c r="S104" t="str">
        <f>_xll.BDP("13034AYK Muni","BB_COMPOSITE")</f>
        <v>#N/A Requesting Data...</v>
      </c>
      <c r="T104" t="str">
        <f>_xll.BDP("13034AYK Muni","LQA_LIQUIDITY_SCORE")</f>
        <v>#N/A Requesting Data...</v>
      </c>
    </row>
    <row r="105" spans="1:20" x14ac:dyDescent="0.25">
      <c r="A105" t="str">
        <f>_xll.BDP("13034AYL Muni","ID_CUSIP")</f>
        <v>#N/A Requesting Data...</v>
      </c>
      <c r="B105" t="s">
        <v>54</v>
      </c>
      <c r="C105" t="str">
        <f>_xll.BDP("13034AYL Muni","INSURANCE_STATUS")</f>
        <v>#N/A Requesting Data...</v>
      </c>
      <c r="D105" t="str">
        <f>_xll.BDP("13034AYL Muni","STATE_CODE")</f>
        <v>#N/A Requesting Data...</v>
      </c>
      <c r="E105" t="str">
        <f>_xll.BDP("13034AYL Muni","COUNTY_LOCATION_ISSUER")</f>
        <v>#N/A Requesting Data...</v>
      </c>
      <c r="F105" t="str">
        <f>_xll.BDP("13034AYL Muni","DUR_ADJ_MID")</f>
        <v>#N/A Requesting Data...</v>
      </c>
      <c r="G105" t="str">
        <f>_xll.BDP("13034AYL Muni","SPREAD_AT_ISSUANCE_TO_WORST")</f>
        <v>#N/A Requesting Data...</v>
      </c>
      <c r="H105" t="str">
        <f>_xll.BDP("13034AYL Muni","ISSUE_DT")</f>
        <v>#N/A Requesting Data...</v>
      </c>
      <c r="I105" t="str">
        <f>_xll.BDS("13034AYL Muni","MUNI_PURPOSE_SCHED", "aggregate=y")</f>
        <v>#N/A Requesting Data...</v>
      </c>
      <c r="J105" t="str">
        <f>_xll.BDP("13034AYL Muni","CPN")</f>
        <v>#N/A Requesting Data...</v>
      </c>
      <c r="K105" t="str">
        <f>_xll.BDP("13034AYL Muni","MATURITY")</f>
        <v>#N/A Requesting Data...</v>
      </c>
      <c r="L105">
        <v>18335000</v>
      </c>
      <c r="M105" t="str">
        <f>_xll.BDP("13034AYL Muni","YIELD_ON_ISSUE_DATE")</f>
        <v>#N/A Requesting Data...</v>
      </c>
      <c r="N105" t="str">
        <f>_xll.BDP("13034AYL Muni","YTW_SPREAD_TO_MATURITY_AT_ISSU")</f>
        <v>#N/A Requesting Data...</v>
      </c>
      <c r="O105" t="str">
        <f>_xll.BDP("13034AYL Muni","BVAL_MID_YTM")</f>
        <v>#N/A Requesting Data...</v>
      </c>
      <c r="P105" t="str">
        <f>_xll.BDP("13034AYL Muni","MUNI_TAX_PROV")</f>
        <v>#N/A Requesting Data...</v>
      </c>
      <c r="Q105" t="str">
        <f>_xll.BDP("13034AYL Muni","MUNI_FED_TAX")</f>
        <v>#N/A Requesting Data...</v>
      </c>
      <c r="R105" t="str">
        <f>_xll.BDP("13034AYL Muni","MUNI_MSRB_VOLUME")</f>
        <v>#N/A Requesting Data...</v>
      </c>
      <c r="S105" t="str">
        <f>_xll.BDP("13034AYL Muni","BB_COMPOSITE")</f>
        <v>#N/A Requesting Data...</v>
      </c>
      <c r="T105" t="str">
        <f>_xll.BDP("13034AYL Muni","LQA_LIQUIDITY_SCORE")</f>
        <v>#N/A Requesting Data...</v>
      </c>
    </row>
    <row r="106" spans="1:20" x14ac:dyDescent="0.25">
      <c r="A106" t="str">
        <f>_xll.BDP("13034AYM Muni","ID_CUSIP")</f>
        <v>#N/A Requesting Data...</v>
      </c>
      <c r="B106" t="s">
        <v>54</v>
      </c>
      <c r="C106" t="str">
        <f>_xll.BDP("13034AYM Muni","INSURANCE_STATUS")</f>
        <v>#N/A Requesting Data...</v>
      </c>
      <c r="D106" t="str">
        <f>_xll.BDP("13034AYM Muni","STATE_CODE")</f>
        <v>#N/A Requesting Data...</v>
      </c>
      <c r="E106" t="str">
        <f>_xll.BDP("13034AYM Muni","COUNTY_LOCATION_ISSUER")</f>
        <v>#N/A Requesting Data...</v>
      </c>
      <c r="F106" t="str">
        <f>_xll.BDP("13034AYM Muni","DUR_ADJ_MID")</f>
        <v>#N/A Requesting Data...</v>
      </c>
      <c r="G106" t="str">
        <f>_xll.BDP("13034AYM Muni","SPREAD_AT_ISSUANCE_TO_WORST")</f>
        <v>#N/A Requesting Data...</v>
      </c>
      <c r="H106" t="str">
        <f>_xll.BDP("13034AYM Muni","ISSUE_DT")</f>
        <v>#N/A Requesting Data...</v>
      </c>
      <c r="I106" t="str">
        <f>_xll.BDS("13034AYM Muni","MUNI_PURPOSE_SCHED", "aggregate=y")</f>
        <v>#N/A Requesting Data...</v>
      </c>
      <c r="J106" t="str">
        <f>_xll.BDP("13034AYM Muni","CPN")</f>
        <v>#N/A Requesting Data...</v>
      </c>
      <c r="K106" t="str">
        <f>_xll.BDP("13034AYM Muni","MATURITY")</f>
        <v>#N/A Requesting Data...</v>
      </c>
      <c r="L106">
        <v>26775000</v>
      </c>
      <c r="M106" t="str">
        <f>_xll.BDP("13034AYM Muni","YIELD_ON_ISSUE_DATE")</f>
        <v>#N/A Requesting Data...</v>
      </c>
      <c r="N106" t="str">
        <f>_xll.BDP("13034AYM Muni","YTW_SPREAD_TO_MATURITY_AT_ISSU")</f>
        <v>#N/A Requesting Data...</v>
      </c>
      <c r="O106" t="str">
        <f>_xll.BDP("13034AYM Muni","BVAL_MID_YTM")</f>
        <v>#N/A Requesting Data...</v>
      </c>
      <c r="P106" t="str">
        <f>_xll.BDP("13034AYM Muni","MUNI_TAX_PROV")</f>
        <v>#N/A Requesting Data...</v>
      </c>
      <c r="Q106" t="str">
        <f>_xll.BDP("13034AYM Muni","MUNI_FED_TAX")</f>
        <v>#N/A Requesting Data...</v>
      </c>
      <c r="R106" t="str">
        <f>_xll.BDP("13034AYM Muni","MUNI_MSRB_VOLUME")</f>
        <v>#N/A Requesting Data...</v>
      </c>
      <c r="S106" t="str">
        <f>_xll.BDP("13034AYM Muni","BB_COMPOSITE")</f>
        <v>#N/A Requesting Data...</v>
      </c>
      <c r="T106" t="str">
        <f>_xll.BDP("13034AYM Muni","LQA_LIQUIDITY_SCORE")</f>
        <v>#N/A Requesting Data...</v>
      </c>
    </row>
    <row r="107" spans="1:20" x14ac:dyDescent="0.25">
      <c r="A107" t="str">
        <f>_xll.BDP("13034AYN Muni","ID_CUSIP")</f>
        <v>#N/A Requesting Data...</v>
      </c>
      <c r="B107" t="s">
        <v>54</v>
      </c>
      <c r="C107" t="str">
        <f>_xll.BDP("13034AYN Muni","INSURANCE_STATUS")</f>
        <v>#N/A Requesting Data...</v>
      </c>
      <c r="D107" t="str">
        <f>_xll.BDP("13034AYN Muni","STATE_CODE")</f>
        <v>#N/A Requesting Data...</v>
      </c>
      <c r="E107" t="str">
        <f>_xll.BDP("13034AYN Muni","COUNTY_LOCATION_ISSUER")</f>
        <v>#N/A Requesting Data...</v>
      </c>
      <c r="F107" t="str">
        <f>_xll.BDP("13034AYN Muni","DUR_ADJ_MID")</f>
        <v>#N/A Requesting Data...</v>
      </c>
      <c r="G107" t="str">
        <f>_xll.BDP("13034AYN Muni","SPREAD_AT_ISSUANCE_TO_WORST")</f>
        <v>#N/A Requesting Data...</v>
      </c>
      <c r="H107" t="str">
        <f>_xll.BDP("13034AYN Muni","ISSUE_DT")</f>
        <v>#N/A Requesting Data...</v>
      </c>
      <c r="I107" t="str">
        <f>_xll.BDS("13034AYN Muni","MUNI_PURPOSE_SCHED", "aggregate=y")</f>
        <v>#N/A Requesting Data...</v>
      </c>
      <c r="J107" t="str">
        <f>_xll.BDP("13034AYN Muni","CPN")</f>
        <v>#N/A Requesting Data...</v>
      </c>
      <c r="K107" t="str">
        <f>_xll.BDP("13034AYN Muni","MATURITY")</f>
        <v>#N/A Requesting Data...</v>
      </c>
      <c r="L107">
        <v>28395000</v>
      </c>
      <c r="M107" t="str">
        <f>_xll.BDP("13034AYN Muni","YIELD_ON_ISSUE_DATE")</f>
        <v>#N/A Requesting Data...</v>
      </c>
      <c r="N107" t="str">
        <f>_xll.BDP("13034AYN Muni","YTW_SPREAD_TO_MATURITY_AT_ISSU")</f>
        <v>#N/A Requesting Data...</v>
      </c>
      <c r="O107" t="str">
        <f>_xll.BDP("13034AYN Muni","BVAL_MID_YTM")</f>
        <v>#N/A Requesting Data...</v>
      </c>
      <c r="P107" t="str">
        <f>_xll.BDP("13034AYN Muni","MUNI_TAX_PROV")</f>
        <v>#N/A Requesting Data...</v>
      </c>
      <c r="Q107" t="str">
        <f>_xll.BDP("13034AYN Muni","MUNI_FED_TAX")</f>
        <v>#N/A Requesting Data...</v>
      </c>
      <c r="R107" t="str">
        <f>_xll.BDP("13034AYN Muni","MUNI_MSRB_VOLUME")</f>
        <v>#N/A Requesting Data...</v>
      </c>
      <c r="S107" t="str">
        <f>_xll.BDP("13034AYN Muni","BB_COMPOSITE")</f>
        <v>#N/A Requesting Data...</v>
      </c>
      <c r="T107" t="str">
        <f>_xll.BDP("13034AYN Muni","LQA_LIQUIDITY_SCORE")</f>
        <v>#N/A Requesting Data...</v>
      </c>
    </row>
    <row r="108" spans="1:20" x14ac:dyDescent="0.25">
      <c r="A108" t="str">
        <f>_xll.BDP("13034AYP Muni","ID_CUSIP")</f>
        <v>#N/A Requesting Data...</v>
      </c>
      <c r="B108" t="s">
        <v>54</v>
      </c>
      <c r="C108" t="str">
        <f>_xll.BDP("13034AYP Muni","INSURANCE_STATUS")</f>
        <v>#N/A Requesting Data...</v>
      </c>
      <c r="D108" t="str">
        <f>_xll.BDP("13034AYP Muni","STATE_CODE")</f>
        <v>#N/A Requesting Data...</v>
      </c>
      <c r="E108" t="str">
        <f>_xll.BDP("13034AYP Muni","COUNTY_LOCATION_ISSUER")</f>
        <v>#N/A Requesting Data...</v>
      </c>
      <c r="F108" t="str">
        <f>_xll.BDP("13034AYP Muni","DUR_ADJ_MID")</f>
        <v>#N/A Requesting Data...</v>
      </c>
      <c r="G108" t="str">
        <f>_xll.BDP("13034AYP Muni","SPREAD_AT_ISSUANCE_TO_WORST")</f>
        <v>#N/A Requesting Data...</v>
      </c>
      <c r="H108" t="str">
        <f>_xll.BDP("13034AYP Muni","ISSUE_DT")</f>
        <v>#N/A Requesting Data...</v>
      </c>
      <c r="I108" t="str">
        <f>_xll.BDS("13034AYP Muni","MUNI_PURPOSE_SCHED", "aggregate=y")</f>
        <v>#N/A Requesting Data...</v>
      </c>
      <c r="J108" t="str">
        <f>_xll.BDP("13034AYP Muni","CPN")</f>
        <v>#N/A Requesting Data...</v>
      </c>
      <c r="K108" t="str">
        <f>_xll.BDP("13034AYP Muni","MATURITY")</f>
        <v>#N/A Requesting Data...</v>
      </c>
      <c r="L108">
        <v>25040000</v>
      </c>
      <c r="M108" t="str">
        <f>_xll.BDP("13034AYP Muni","YIELD_ON_ISSUE_DATE")</f>
        <v>#N/A Requesting Data...</v>
      </c>
      <c r="N108" t="str">
        <f>_xll.BDP("13034AYP Muni","YTW_SPREAD_TO_MATURITY_AT_ISSU")</f>
        <v>#N/A Requesting Data...</v>
      </c>
      <c r="O108" t="str">
        <f>_xll.BDP("13034AYP Muni","BVAL_MID_YTM")</f>
        <v>#N/A Requesting Data...</v>
      </c>
      <c r="P108" t="str">
        <f>_xll.BDP("13034AYP Muni","MUNI_TAX_PROV")</f>
        <v>#N/A Requesting Data...</v>
      </c>
      <c r="Q108" t="str">
        <f>_xll.BDP("13034AYP Muni","MUNI_FED_TAX")</f>
        <v>#N/A Requesting Data...</v>
      </c>
      <c r="R108" t="str">
        <f>_xll.BDP("13034AYP Muni","MUNI_MSRB_VOLUME")</f>
        <v>#N/A Requesting Data...</v>
      </c>
      <c r="S108" t="str">
        <f>_xll.BDP("13034AYP Muni","BB_COMPOSITE")</f>
        <v>#N/A Requesting Data...</v>
      </c>
      <c r="T108" t="str">
        <f>_xll.BDP("13034AYP Muni","LQA_LIQUIDITY_SCORE")</f>
        <v>#N/A Requesting Data...</v>
      </c>
    </row>
    <row r="109" spans="1:20" x14ac:dyDescent="0.25">
      <c r="A109" t="str">
        <f>_xll.BDP("13063DFE Muni","ID_CUSIP")</f>
        <v>#N/A Requesting Data...</v>
      </c>
      <c r="B109" t="s">
        <v>55</v>
      </c>
      <c r="C109" t="str">
        <f>_xll.BDP("13063DFE Muni","INSURANCE_STATUS")</f>
        <v>#N/A Requesting Data...</v>
      </c>
      <c r="D109" t="str">
        <f>_xll.BDP("13063DFE Muni","STATE_CODE")</f>
        <v>#N/A Requesting Data...</v>
      </c>
      <c r="E109" t="str">
        <f>_xll.BDP("13063DFE Muni","COUNTY_LOCATION_ISSUER")</f>
        <v>#N/A Requesting Data...</v>
      </c>
      <c r="F109" t="str">
        <f>_xll.BDP("13063DFE Muni","DUR_ADJ_MID")</f>
        <v>#N/A Requesting Data...</v>
      </c>
      <c r="G109" t="str">
        <f>_xll.BDP("13063DFE Muni","SPREAD_AT_ISSUANCE_TO_WORST")</f>
        <v>#N/A Requesting Data...</v>
      </c>
      <c r="H109" t="str">
        <f>_xll.BDP("13063DFE Muni","ISSUE_DT")</f>
        <v>#N/A Requesting Data...</v>
      </c>
      <c r="I109" t="str">
        <f>_xll.BDS("13063DFE Muni","MUNI_PURPOSE_SCHED", "aggregate=y")</f>
        <v>#N/A Requesting Data...</v>
      </c>
      <c r="J109" t="str">
        <f>_xll.BDP("13063DFE Muni","CPN")</f>
        <v>#N/A Requesting Data...</v>
      </c>
      <c r="K109" t="str">
        <f>_xll.BDP("13063DFE Muni","MATURITY")</f>
        <v>#N/A Requesting Data...</v>
      </c>
      <c r="L109">
        <v>14625000</v>
      </c>
      <c r="M109" t="str">
        <f>_xll.BDP("13063DFE Muni","YIELD_ON_ISSUE_DATE")</f>
        <v>#N/A Requesting Data...</v>
      </c>
      <c r="N109" t="str">
        <f>_xll.BDP("13063DFE Muni","YTW_SPREAD_TO_MATURITY_AT_ISSU")</f>
        <v>#N/A Requesting Data...</v>
      </c>
      <c r="O109" t="str">
        <f>_xll.BDP("13063DFE Muni","BVAL_MID_YTM")</f>
        <v>#N/A Requesting Data...</v>
      </c>
      <c r="P109" t="str">
        <f>_xll.BDP("13063DFE Muni","MUNI_TAX_PROV")</f>
        <v>#N/A Requesting Data...</v>
      </c>
      <c r="Q109" t="str">
        <f>_xll.BDP("13063DFE Muni","MUNI_FED_TAX")</f>
        <v>#N/A Requesting Data...</v>
      </c>
      <c r="R109" t="str">
        <f>_xll.BDP("13063DFE Muni","MUNI_MSRB_VOLUME")</f>
        <v>#N/A Requesting Data...</v>
      </c>
      <c r="S109" t="str">
        <f>_xll.BDP("13063DFE Muni","BB_COMPOSITE")</f>
        <v>#N/A Requesting Data...</v>
      </c>
      <c r="T109" t="str">
        <f>_xll.BDP("13063DFE Muni","LQA_LIQUIDITY_SCORE")</f>
        <v>#N/A Requesting Data...</v>
      </c>
    </row>
    <row r="110" spans="1:20" x14ac:dyDescent="0.25">
      <c r="A110" t="str">
        <f>_xll.BDP("13063DFF Muni","ID_CUSIP")</f>
        <v>#N/A Requesting Data...</v>
      </c>
      <c r="B110" t="s">
        <v>55</v>
      </c>
      <c r="C110" t="str">
        <f>_xll.BDP("13063DFF Muni","INSURANCE_STATUS")</f>
        <v>#N/A Requesting Data...</v>
      </c>
      <c r="D110" t="str">
        <f>_xll.BDP("13063DFF Muni","STATE_CODE")</f>
        <v>#N/A Requesting Data...</v>
      </c>
      <c r="E110" t="str">
        <f>_xll.BDP("13063DFF Muni","COUNTY_LOCATION_ISSUER")</f>
        <v>#N/A Requesting Data...</v>
      </c>
      <c r="F110" t="str">
        <f>_xll.BDP("13063DFF Muni","DUR_ADJ_MID")</f>
        <v>#N/A Requesting Data...</v>
      </c>
      <c r="G110" t="str">
        <f>_xll.BDP("13063DFF Muni","SPREAD_AT_ISSUANCE_TO_WORST")</f>
        <v>#N/A Requesting Data...</v>
      </c>
      <c r="H110" t="str">
        <f>_xll.BDP("13063DFF Muni","ISSUE_DT")</f>
        <v>#N/A Requesting Data...</v>
      </c>
      <c r="I110" t="str">
        <f>_xll.BDS("13063DFF Muni","MUNI_PURPOSE_SCHED", "aggregate=y")</f>
        <v>#N/A Requesting Data...</v>
      </c>
      <c r="J110" t="str">
        <f>_xll.BDP("13063DFF Muni","CPN")</f>
        <v>#N/A Requesting Data...</v>
      </c>
      <c r="K110" t="str">
        <f>_xll.BDP("13063DFF Muni","MATURITY")</f>
        <v>#N/A Requesting Data...</v>
      </c>
      <c r="L110">
        <v>85375000</v>
      </c>
      <c r="M110" t="str">
        <f>_xll.BDP("13063DFF Muni","YIELD_ON_ISSUE_DATE")</f>
        <v>#N/A Requesting Data...</v>
      </c>
      <c r="N110" t="str">
        <f>_xll.BDP("13063DFF Muni","YTW_SPREAD_TO_MATURITY_AT_ISSU")</f>
        <v>#N/A Requesting Data...</v>
      </c>
      <c r="O110" t="str">
        <f>_xll.BDP("13063DFF Muni","BVAL_MID_YTM")</f>
        <v>#N/A Requesting Data...</v>
      </c>
      <c r="P110" t="str">
        <f>_xll.BDP("13063DFF Muni","MUNI_TAX_PROV")</f>
        <v>#N/A Requesting Data...</v>
      </c>
      <c r="Q110" t="str">
        <f>_xll.BDP("13063DFF Muni","MUNI_FED_TAX")</f>
        <v>#N/A Requesting Data...</v>
      </c>
      <c r="R110" t="str">
        <f>_xll.BDP("13063DFF Muni","MUNI_MSRB_VOLUME")</f>
        <v>#N/A Requesting Data...</v>
      </c>
      <c r="S110" t="str">
        <f>_xll.BDP("13063DFF Muni","BB_COMPOSITE")</f>
        <v>#N/A Requesting Data...</v>
      </c>
      <c r="T110" t="str">
        <f>_xll.BDP("13063DFF Muni","LQA_LIQUIDITY_SCORE")</f>
        <v>#N/A Requesting Data...</v>
      </c>
    </row>
    <row r="111" spans="1:20" x14ac:dyDescent="0.25">
      <c r="A111" t="str">
        <f>_xll.BDP("13063DFG Muni","ID_CUSIP")</f>
        <v>#N/A Requesting Data...</v>
      </c>
      <c r="B111" t="s">
        <v>55</v>
      </c>
      <c r="C111" t="str">
        <f>_xll.BDP("13063DFG Muni","INSURANCE_STATUS")</f>
        <v>#N/A Requesting Data...</v>
      </c>
      <c r="D111" t="str">
        <f>_xll.BDP("13063DFG Muni","STATE_CODE")</f>
        <v>#N/A Requesting Data...</v>
      </c>
      <c r="E111" t="str">
        <f>_xll.BDP("13063DFG Muni","COUNTY_LOCATION_ISSUER")</f>
        <v>#N/A Requesting Data...</v>
      </c>
      <c r="F111" t="str">
        <f>_xll.BDP("13063DFG Muni","DUR_ADJ_MID")</f>
        <v>#N/A Requesting Data...</v>
      </c>
      <c r="G111" t="str">
        <f>_xll.BDP("13063DFG Muni","SPREAD_AT_ISSUANCE_TO_WORST")</f>
        <v>#N/A Requesting Data...</v>
      </c>
      <c r="H111" t="str">
        <f>_xll.BDP("13063DFG Muni","ISSUE_DT")</f>
        <v>#N/A Requesting Data...</v>
      </c>
      <c r="I111" t="str">
        <f>_xll.BDS("13063DFG Muni","MUNI_PURPOSE_SCHED", "aggregate=y")</f>
        <v>#N/A Requesting Data...</v>
      </c>
      <c r="J111" t="str">
        <f>_xll.BDP("13063DFG Muni","CPN")</f>
        <v>#N/A Requesting Data...</v>
      </c>
      <c r="K111" t="str">
        <f>_xll.BDP("13063DFG Muni","MATURITY")</f>
        <v>#N/A Requesting Data...</v>
      </c>
      <c r="L111">
        <v>17335000</v>
      </c>
      <c r="M111" t="str">
        <f>_xll.BDP("13063DFG Muni","YIELD_ON_ISSUE_DATE")</f>
        <v>#N/A Requesting Data...</v>
      </c>
      <c r="N111" t="str">
        <f>_xll.BDP("13063DFG Muni","YTW_SPREAD_TO_MATURITY_AT_ISSU")</f>
        <v>#N/A Requesting Data...</v>
      </c>
      <c r="O111" t="str">
        <f>_xll.BDP("13063DFG Muni","BVAL_MID_YTM")</f>
        <v>#N/A Requesting Data...</v>
      </c>
      <c r="P111" t="str">
        <f>_xll.BDP("13063DFG Muni","MUNI_TAX_PROV")</f>
        <v>#N/A Requesting Data...</v>
      </c>
      <c r="Q111" t="str">
        <f>_xll.BDP("13063DFG Muni","MUNI_FED_TAX")</f>
        <v>#N/A Requesting Data...</v>
      </c>
      <c r="R111" t="str">
        <f>_xll.BDP("13063DFG Muni","MUNI_MSRB_VOLUME")</f>
        <v>#N/A Requesting Data...</v>
      </c>
      <c r="S111" t="str">
        <f>_xll.BDP("13063DFG Muni","BB_COMPOSITE")</f>
        <v>#N/A Requesting Data...</v>
      </c>
      <c r="T111" t="str">
        <f>_xll.BDP("13063DFG Muni","LQA_LIQUIDITY_SCORE")</f>
        <v>#N/A Requesting Data...</v>
      </c>
    </row>
    <row r="112" spans="1:20" x14ac:dyDescent="0.25">
      <c r="A112" t="str">
        <f>_xll.BDP("13063DFH Muni","ID_CUSIP")</f>
        <v>#N/A Requesting Data...</v>
      </c>
      <c r="B112" t="s">
        <v>55</v>
      </c>
      <c r="C112" t="str">
        <f>_xll.BDP("13063DFH Muni","INSURANCE_STATUS")</f>
        <v>#N/A Requesting Data...</v>
      </c>
      <c r="D112" t="str">
        <f>_xll.BDP("13063DFH Muni","STATE_CODE")</f>
        <v>#N/A Requesting Data...</v>
      </c>
      <c r="E112" t="str">
        <f>_xll.BDP("13063DFH Muni","COUNTY_LOCATION_ISSUER")</f>
        <v>#N/A Requesting Data...</v>
      </c>
      <c r="F112" t="str">
        <f>_xll.BDP("13063DFH Muni","DUR_ADJ_MID")</f>
        <v>#N/A Requesting Data...</v>
      </c>
      <c r="G112" t="str">
        <f>_xll.BDP("13063DFH Muni","SPREAD_AT_ISSUANCE_TO_WORST")</f>
        <v>#N/A Requesting Data...</v>
      </c>
      <c r="H112" t="str">
        <f>_xll.BDP("13063DFH Muni","ISSUE_DT")</f>
        <v>#N/A Requesting Data...</v>
      </c>
      <c r="I112" t="str">
        <f>_xll.BDS("13063DFH Muni","MUNI_PURPOSE_SCHED", "aggregate=y")</f>
        <v>#N/A Requesting Data...</v>
      </c>
      <c r="J112" t="str">
        <f>_xll.BDP("13063DFH Muni","CPN")</f>
        <v>#N/A Requesting Data...</v>
      </c>
      <c r="K112" t="str">
        <f>_xll.BDP("13063DFH Muni","MATURITY")</f>
        <v>#N/A Requesting Data...</v>
      </c>
      <c r="L112">
        <v>82665000</v>
      </c>
      <c r="M112" t="str">
        <f>_xll.BDP("13063DFH Muni","YIELD_ON_ISSUE_DATE")</f>
        <v>#N/A Requesting Data...</v>
      </c>
      <c r="N112" t="str">
        <f>_xll.BDP("13063DFH Muni","YTW_SPREAD_TO_MATURITY_AT_ISSU")</f>
        <v>#N/A Requesting Data...</v>
      </c>
      <c r="O112" t="str">
        <f>_xll.BDP("13063DFH Muni","BVAL_MID_YTM")</f>
        <v>#N/A Requesting Data...</v>
      </c>
      <c r="P112" t="str">
        <f>_xll.BDP("13063DFH Muni","MUNI_TAX_PROV")</f>
        <v>#N/A Requesting Data...</v>
      </c>
      <c r="Q112" t="str">
        <f>_xll.BDP("13063DFH Muni","MUNI_FED_TAX")</f>
        <v>#N/A Requesting Data...</v>
      </c>
      <c r="R112" t="str">
        <f>_xll.BDP("13063DFH Muni","MUNI_MSRB_VOLUME")</f>
        <v>#N/A Requesting Data...</v>
      </c>
      <c r="S112" t="str">
        <f>_xll.BDP("13063DFH Muni","BB_COMPOSITE")</f>
        <v>#N/A Requesting Data...</v>
      </c>
      <c r="T112" t="str">
        <f>_xll.BDP("13063DFH Muni","LQA_LIQUIDITY_SCORE")</f>
        <v>#N/A Requesting Data...</v>
      </c>
    </row>
    <row r="113" spans="1:20" x14ac:dyDescent="0.25">
      <c r="A113" t="str">
        <f>_xll.BDP("013493HU Muni","ID_CUSIP")</f>
        <v>#N/A Requesting Data...</v>
      </c>
      <c r="B113" t="s">
        <v>56</v>
      </c>
      <c r="C113" t="str">
        <f>_xll.BDP("013493HU Muni","INSURANCE_STATUS")</f>
        <v>#N/A Requesting Data...</v>
      </c>
      <c r="D113" t="str">
        <f>_xll.BDP("013493HU Muni","STATE_CODE")</f>
        <v>#N/A Requesting Data...</v>
      </c>
      <c r="E113" t="str">
        <f>_xll.BDP("013493HU Muni","COUNTY_LOCATION_ISSUER")</f>
        <v>#N/A Requesting Data...</v>
      </c>
      <c r="F113" t="str">
        <f>_xll.BDP("013493HU Muni","DUR_ADJ_MID")</f>
        <v>#N/A Requesting Data...</v>
      </c>
      <c r="G113" t="str">
        <f>_xll.BDP("013493HU Muni","SPREAD_AT_ISSUANCE_TO_WORST")</f>
        <v>#N/A Requesting Data...</v>
      </c>
      <c r="H113" t="str">
        <f>_xll.BDP("013493HU Muni","ISSUE_DT")</f>
        <v>#N/A Requesting Data...</v>
      </c>
      <c r="I113" t="str">
        <f>_xll.BDS("013493HU Muni","MUNI_PURPOSE_SCHED", "aggregate=y")</f>
        <v>#N/A Requesting Data...</v>
      </c>
      <c r="J113" t="str">
        <f>_xll.BDP("013493HU Muni","CPN")</f>
        <v>#N/A Requesting Data...</v>
      </c>
      <c r="K113" t="str">
        <f>_xll.BDP("013493HU Muni","MATURITY")</f>
        <v>#N/A Requesting Data...</v>
      </c>
      <c r="L113">
        <v>6120000</v>
      </c>
      <c r="M113" t="str">
        <f>_xll.BDP("013493HU Muni","YIELD_ON_ISSUE_DATE")</f>
        <v>#N/A Requesting Data...</v>
      </c>
      <c r="N113" t="str">
        <f>_xll.BDP("013493HU Muni","YTW_SPREAD_TO_MATURITY_AT_ISSU")</f>
        <v>#N/A Requesting Data...</v>
      </c>
      <c r="O113" t="str">
        <f>_xll.BDP("013493HU Muni","BVAL_MID_YTM")</f>
        <v>#N/A Requesting Data...</v>
      </c>
      <c r="P113" t="str">
        <f>_xll.BDP("013493HU Muni","MUNI_TAX_PROV")</f>
        <v>#N/A Requesting Data...</v>
      </c>
      <c r="Q113" t="str">
        <f>_xll.BDP("013493HU Muni","MUNI_FED_TAX")</f>
        <v>#N/A Requesting Data...</v>
      </c>
      <c r="R113" t="str">
        <f>_xll.BDP("013493HU Muni","MUNI_MSRB_VOLUME")</f>
        <v>#N/A Requesting Data...</v>
      </c>
      <c r="S113" t="str">
        <f>_xll.BDP("013493HU Muni","BB_COMPOSITE")</f>
        <v>#N/A Requesting Data...</v>
      </c>
      <c r="T113" t="str">
        <f>_xll.BDP("013493HU Muni","LQA_LIQUIDITY_SCORE")</f>
        <v>#N/A Requesting Data...</v>
      </c>
    </row>
    <row r="114" spans="1:20" x14ac:dyDescent="0.25">
      <c r="A114" t="str">
        <f>_xll.BDP("013493HV Muni","ID_CUSIP")</f>
        <v>#N/A Requesting Data...</v>
      </c>
      <c r="B114" t="s">
        <v>56</v>
      </c>
      <c r="C114" t="str">
        <f>_xll.BDP("013493HV Muni","INSURANCE_STATUS")</f>
        <v>#N/A Requesting Data...</v>
      </c>
      <c r="D114" t="str">
        <f>_xll.BDP("013493HV Muni","STATE_CODE")</f>
        <v>#N/A Requesting Data...</v>
      </c>
      <c r="E114" t="str">
        <f>_xll.BDP("013493HV Muni","COUNTY_LOCATION_ISSUER")</f>
        <v>#N/A Requesting Data...</v>
      </c>
      <c r="F114" t="str">
        <f>_xll.BDP("013493HV Muni","DUR_ADJ_MID")</f>
        <v>#N/A Requesting Data...</v>
      </c>
      <c r="G114" t="str">
        <f>_xll.BDP("013493HV Muni","SPREAD_AT_ISSUANCE_TO_WORST")</f>
        <v>#N/A Requesting Data...</v>
      </c>
      <c r="H114" t="str">
        <f>_xll.BDP("013493HV Muni","ISSUE_DT")</f>
        <v>#N/A Requesting Data...</v>
      </c>
      <c r="I114" t="str">
        <f>_xll.BDS("013493HV Muni","MUNI_PURPOSE_SCHED", "aggregate=y")</f>
        <v>#N/A Requesting Data...</v>
      </c>
      <c r="J114" t="str">
        <f>_xll.BDP("013493HV Muni","CPN")</f>
        <v>#N/A Requesting Data...</v>
      </c>
      <c r="K114" t="str">
        <f>_xll.BDP("013493HV Muni","MATURITY")</f>
        <v>#N/A Requesting Data...</v>
      </c>
      <c r="L114">
        <v>6425000</v>
      </c>
      <c r="M114" t="str">
        <f>_xll.BDP("013493HV Muni","YIELD_ON_ISSUE_DATE")</f>
        <v>#N/A Requesting Data...</v>
      </c>
      <c r="N114" t="str">
        <f>_xll.BDP("013493HV Muni","YTW_SPREAD_TO_MATURITY_AT_ISSU")</f>
        <v>#N/A Requesting Data...</v>
      </c>
      <c r="O114" t="str">
        <f>_xll.BDP("013493HV Muni","BVAL_MID_YTM")</f>
        <v>#N/A Requesting Data...</v>
      </c>
      <c r="P114" t="str">
        <f>_xll.BDP("013493HV Muni","MUNI_TAX_PROV")</f>
        <v>#N/A Requesting Data...</v>
      </c>
      <c r="Q114" t="str">
        <f>_xll.BDP("013493HV Muni","MUNI_FED_TAX")</f>
        <v>#N/A Requesting Data...</v>
      </c>
      <c r="R114" t="str">
        <f>_xll.BDP("013493HV Muni","MUNI_MSRB_VOLUME")</f>
        <v>#N/A Requesting Data...</v>
      </c>
      <c r="S114" t="str">
        <f>_xll.BDP("013493HV Muni","BB_COMPOSITE")</f>
        <v>#N/A Requesting Data...</v>
      </c>
      <c r="T114" t="str">
        <f>_xll.BDP("013493HV Muni","LQA_LIQUIDITY_SCORE")</f>
        <v>#N/A Requesting Data...</v>
      </c>
    </row>
    <row r="115" spans="1:20" x14ac:dyDescent="0.25">
      <c r="A115" t="str">
        <f>_xll.BDP("013493HW Muni","ID_CUSIP")</f>
        <v>#N/A Requesting Data...</v>
      </c>
      <c r="B115" t="s">
        <v>56</v>
      </c>
      <c r="C115" t="str">
        <f>_xll.BDP("013493HW Muni","INSURANCE_STATUS")</f>
        <v>#N/A Requesting Data...</v>
      </c>
      <c r="D115" t="str">
        <f>_xll.BDP("013493HW Muni","STATE_CODE")</f>
        <v>#N/A Requesting Data...</v>
      </c>
      <c r="E115" t="str">
        <f>_xll.BDP("013493HW Muni","COUNTY_LOCATION_ISSUER")</f>
        <v>#N/A Requesting Data...</v>
      </c>
      <c r="F115" t="str">
        <f>_xll.BDP("013493HW Muni","DUR_ADJ_MID")</f>
        <v>#N/A Requesting Data...</v>
      </c>
      <c r="G115" t="str">
        <f>_xll.BDP("013493HW Muni","SPREAD_AT_ISSUANCE_TO_WORST")</f>
        <v>#N/A Requesting Data...</v>
      </c>
      <c r="H115" t="str">
        <f>_xll.BDP("013493HW Muni","ISSUE_DT")</f>
        <v>#N/A Requesting Data...</v>
      </c>
      <c r="I115" t="str">
        <f>_xll.BDS("013493HW Muni","MUNI_PURPOSE_SCHED", "aggregate=y")</f>
        <v>#N/A Requesting Data...</v>
      </c>
      <c r="J115" t="str">
        <f>_xll.BDP("013493HW Muni","CPN")</f>
        <v>#N/A Requesting Data...</v>
      </c>
      <c r="K115" t="str">
        <f>_xll.BDP("013493HW Muni","MATURITY")</f>
        <v>#N/A Requesting Data...</v>
      </c>
      <c r="L115">
        <v>6745000</v>
      </c>
      <c r="M115" t="str">
        <f>_xll.BDP("013493HW Muni","YIELD_ON_ISSUE_DATE")</f>
        <v>#N/A Requesting Data...</v>
      </c>
      <c r="N115" t="str">
        <f>_xll.BDP("013493HW Muni","YTW_SPREAD_TO_MATURITY_AT_ISSU")</f>
        <v>#N/A Requesting Data...</v>
      </c>
      <c r="O115" t="str">
        <f>_xll.BDP("013493HW Muni","BVAL_MID_YTM")</f>
        <v>#N/A Requesting Data...</v>
      </c>
      <c r="P115" t="str">
        <f>_xll.BDP("013493HW Muni","MUNI_TAX_PROV")</f>
        <v>#N/A Requesting Data...</v>
      </c>
      <c r="Q115" t="str">
        <f>_xll.BDP("013493HW Muni","MUNI_FED_TAX")</f>
        <v>#N/A Requesting Data...</v>
      </c>
      <c r="R115" t="str">
        <f>_xll.BDP("013493HW Muni","MUNI_MSRB_VOLUME")</f>
        <v>#N/A Requesting Data...</v>
      </c>
      <c r="S115" t="str">
        <f>_xll.BDP("013493HW Muni","BB_COMPOSITE")</f>
        <v>#N/A Requesting Data...</v>
      </c>
      <c r="T115" t="str">
        <f>_xll.BDP("013493HW Muni","LQA_LIQUIDITY_SCORE")</f>
        <v>#N/A Requesting Data...</v>
      </c>
    </row>
    <row r="116" spans="1:20" x14ac:dyDescent="0.25">
      <c r="A116" t="str">
        <f>_xll.BDP("013493HX Muni","ID_CUSIP")</f>
        <v>#N/A Requesting Data...</v>
      </c>
      <c r="B116" t="s">
        <v>56</v>
      </c>
      <c r="C116" t="str">
        <f>_xll.BDP("013493HX Muni","INSURANCE_STATUS")</f>
        <v>#N/A Requesting Data...</v>
      </c>
      <c r="D116" t="str">
        <f>_xll.BDP("013493HX Muni","STATE_CODE")</f>
        <v>#N/A Requesting Data...</v>
      </c>
      <c r="E116" t="str">
        <f>_xll.BDP("013493HX Muni","COUNTY_LOCATION_ISSUER")</f>
        <v>#N/A Requesting Data...</v>
      </c>
      <c r="F116" t="str">
        <f>_xll.BDP("013493HX Muni","DUR_ADJ_MID")</f>
        <v>#N/A Requesting Data...</v>
      </c>
      <c r="G116" t="str">
        <f>_xll.BDP("013493HX Muni","SPREAD_AT_ISSUANCE_TO_WORST")</f>
        <v>#N/A Requesting Data...</v>
      </c>
      <c r="H116" t="str">
        <f>_xll.BDP("013493HX Muni","ISSUE_DT")</f>
        <v>#N/A Requesting Data...</v>
      </c>
      <c r="I116" t="str">
        <f>_xll.BDS("013493HX Muni","MUNI_PURPOSE_SCHED", "aggregate=y")</f>
        <v>#N/A Requesting Data...</v>
      </c>
      <c r="J116" t="str">
        <f>_xll.BDP("013493HX Muni","CPN")</f>
        <v>#N/A Requesting Data...</v>
      </c>
      <c r="K116" t="str">
        <f>_xll.BDP("013493HX Muni","MATURITY")</f>
        <v>#N/A Requesting Data...</v>
      </c>
      <c r="L116">
        <v>7080000</v>
      </c>
      <c r="M116" t="str">
        <f>_xll.BDP("013493HX Muni","YIELD_ON_ISSUE_DATE")</f>
        <v>#N/A Requesting Data...</v>
      </c>
      <c r="N116" t="str">
        <f>_xll.BDP("013493HX Muni","YTW_SPREAD_TO_MATURITY_AT_ISSU")</f>
        <v>#N/A Requesting Data...</v>
      </c>
      <c r="O116" t="str">
        <f>_xll.BDP("013493HX Muni","BVAL_MID_YTM")</f>
        <v>#N/A Requesting Data...</v>
      </c>
      <c r="P116" t="str">
        <f>_xll.BDP("013493HX Muni","MUNI_TAX_PROV")</f>
        <v>#N/A Requesting Data...</v>
      </c>
      <c r="Q116" t="str">
        <f>_xll.BDP("013493HX Muni","MUNI_FED_TAX")</f>
        <v>#N/A Requesting Data...</v>
      </c>
      <c r="R116" t="str">
        <f>_xll.BDP("013493HX Muni","MUNI_MSRB_VOLUME")</f>
        <v>#N/A Requesting Data...</v>
      </c>
      <c r="S116" t="str">
        <f>_xll.BDP("013493HX Muni","BB_COMPOSITE")</f>
        <v>#N/A Requesting Data...</v>
      </c>
      <c r="T116" t="str">
        <f>_xll.BDP("013493HX Muni","LQA_LIQUIDITY_SCORE")</f>
        <v>#N/A Requesting Data...</v>
      </c>
    </row>
    <row r="117" spans="1:20" x14ac:dyDescent="0.25">
      <c r="A117" t="str">
        <f>_xll.BDP("016227DS Muni","ID_CUSIP")</f>
        <v>#N/A Requesting Data...</v>
      </c>
      <c r="B117" t="s">
        <v>57</v>
      </c>
      <c r="C117" t="str">
        <f>_xll.BDP("016227DS Muni","INSURANCE_STATUS")</f>
        <v>#N/A Requesting Data...</v>
      </c>
      <c r="D117" t="str">
        <f>_xll.BDP("016227DS Muni","STATE_CODE")</f>
        <v>#N/A Requesting Data...</v>
      </c>
      <c r="E117" t="str">
        <f>_xll.BDP("016227DS Muni","COUNTY_LOCATION_ISSUER")</f>
        <v>#N/A Requesting Data...</v>
      </c>
      <c r="F117" t="str">
        <f>_xll.BDP("016227DS Muni","DUR_ADJ_MID")</f>
        <v>#N/A Requesting Data...</v>
      </c>
      <c r="G117" t="str">
        <f>_xll.BDP("016227DS Muni","SPREAD_AT_ISSUANCE_TO_WORST")</f>
        <v>#N/A Requesting Data...</v>
      </c>
      <c r="H117" t="str">
        <f>_xll.BDP("016227DS Muni","ISSUE_DT")</f>
        <v>#N/A Requesting Data...</v>
      </c>
      <c r="I117" t="str">
        <f>_xll.BDS("016227DS Muni","MUNI_PURPOSE_SCHED", "aggregate=y")</f>
        <v>#N/A Requesting Data...</v>
      </c>
      <c r="J117" t="str">
        <f>_xll.BDP("016227DS Muni","CPN")</f>
        <v>#N/A Requesting Data...</v>
      </c>
      <c r="K117" t="str">
        <f>_xll.BDP("016227DS Muni","MATURITY")</f>
        <v>#N/A Requesting Data...</v>
      </c>
      <c r="L117">
        <v>195000</v>
      </c>
      <c r="M117" t="str">
        <f>_xll.BDP("016227DS Muni","YIELD_ON_ISSUE_DATE")</f>
        <v>#N/A Requesting Data...</v>
      </c>
      <c r="N117" t="str">
        <f>_xll.BDP("016227DS Muni","YTW_SPREAD_TO_MATURITY_AT_ISSU")</f>
        <v>#N/A Requesting Data...</v>
      </c>
      <c r="O117" t="str">
        <f>_xll.BDP("016227DS Muni","BVAL_MID_YTM")</f>
        <v>#N/A Requesting Data...</v>
      </c>
      <c r="P117" t="str">
        <f>_xll.BDP("016227DS Muni","MUNI_TAX_PROV")</f>
        <v>#N/A Requesting Data...</v>
      </c>
      <c r="Q117" t="str">
        <f>_xll.BDP("016227DS Muni","MUNI_FED_TAX")</f>
        <v>#N/A Requesting Data...</v>
      </c>
      <c r="R117" t="str">
        <f>_xll.BDP("016227DS Muni","MUNI_MSRB_VOLUME")</f>
        <v>#N/A Requesting Data...</v>
      </c>
      <c r="S117" t="str">
        <f>_xll.BDP("016227DS Muni","BB_COMPOSITE")</f>
        <v>#N/A Requesting Data...</v>
      </c>
      <c r="T117" t="str">
        <f>_xll.BDP("016227DS Muni","LQA_LIQUIDITY_SCORE")</f>
        <v>#N/A Requesting Data...</v>
      </c>
    </row>
    <row r="118" spans="1:20" x14ac:dyDescent="0.25">
      <c r="A118" t="str">
        <f>_xll.BDP("016227DT Muni","ID_CUSIP")</f>
        <v>#N/A Requesting Data...</v>
      </c>
      <c r="B118" t="s">
        <v>57</v>
      </c>
      <c r="C118" t="str">
        <f>_xll.BDP("016227DT Muni","INSURANCE_STATUS")</f>
        <v>#N/A Requesting Data...</v>
      </c>
      <c r="D118" t="str">
        <f>_xll.BDP("016227DT Muni","STATE_CODE")</f>
        <v>#N/A Requesting Data...</v>
      </c>
      <c r="E118" t="str">
        <f>_xll.BDP("016227DT Muni","COUNTY_LOCATION_ISSUER")</f>
        <v>#N/A Requesting Data...</v>
      </c>
      <c r="F118" t="str">
        <f>_xll.BDP("016227DT Muni","DUR_ADJ_MID")</f>
        <v>#N/A Requesting Data...</v>
      </c>
      <c r="G118" t="str">
        <f>_xll.BDP("016227DT Muni","SPREAD_AT_ISSUANCE_TO_WORST")</f>
        <v>#N/A Requesting Data...</v>
      </c>
      <c r="H118" t="str">
        <f>_xll.BDP("016227DT Muni","ISSUE_DT")</f>
        <v>#N/A Requesting Data...</v>
      </c>
      <c r="I118" t="str">
        <f>_xll.BDS("016227DT Muni","MUNI_PURPOSE_SCHED", "aggregate=y")</f>
        <v>#N/A Requesting Data...</v>
      </c>
      <c r="J118" t="str">
        <f>_xll.BDP("016227DT Muni","CPN")</f>
        <v>#N/A Requesting Data...</v>
      </c>
      <c r="K118" t="str">
        <f>_xll.BDP("016227DT Muni","MATURITY")</f>
        <v>#N/A Requesting Data...</v>
      </c>
      <c r="L118">
        <v>195000</v>
      </c>
      <c r="M118" t="str">
        <f>_xll.BDP("016227DT Muni","YIELD_ON_ISSUE_DATE")</f>
        <v>#N/A Requesting Data...</v>
      </c>
      <c r="N118" t="str">
        <f>_xll.BDP("016227DT Muni","YTW_SPREAD_TO_MATURITY_AT_ISSU")</f>
        <v>#N/A Requesting Data...</v>
      </c>
      <c r="O118" t="str">
        <f>_xll.BDP("016227DT Muni","BVAL_MID_YTM")</f>
        <v>#N/A Requesting Data...</v>
      </c>
      <c r="P118" t="str">
        <f>_xll.BDP("016227DT Muni","MUNI_TAX_PROV")</f>
        <v>#N/A Requesting Data...</v>
      </c>
      <c r="Q118" t="str">
        <f>_xll.BDP("016227DT Muni","MUNI_FED_TAX")</f>
        <v>#N/A Requesting Data...</v>
      </c>
      <c r="R118" t="str">
        <f>_xll.BDP("016227DT Muni","MUNI_MSRB_VOLUME")</f>
        <v>#N/A Requesting Data...</v>
      </c>
      <c r="S118" t="str">
        <f>_xll.BDP("016227DT Muni","BB_COMPOSITE")</f>
        <v>#N/A Requesting Data...</v>
      </c>
      <c r="T118" t="str">
        <f>_xll.BDP("016227DT Muni","LQA_LIQUIDITY_SCORE")</f>
        <v>#N/A Requesting Data...</v>
      </c>
    </row>
    <row r="119" spans="1:20" x14ac:dyDescent="0.25">
      <c r="A119" t="str">
        <f>_xll.BDP("34679VGM Muni","ID_CUSIP")</f>
        <v>#N/A Requesting Data...</v>
      </c>
      <c r="B119" t="s">
        <v>52</v>
      </c>
      <c r="C119" t="str">
        <f>_xll.BDP("34679VGM Muni","INSURANCE_STATUS")</f>
        <v>#N/A Requesting Data...</v>
      </c>
      <c r="D119" t="str">
        <f>_xll.BDP("34679VGM Muni","STATE_CODE")</f>
        <v>#N/A Requesting Data...</v>
      </c>
      <c r="E119" t="str">
        <f>_xll.BDP("34679VGM Muni","COUNTY_LOCATION_ISSUER")</f>
        <v>#N/A Requesting Data...</v>
      </c>
      <c r="F119" t="str">
        <f>_xll.BDP("34679VGM Muni","DUR_ADJ_MID")</f>
        <v>#N/A Requesting Data...</v>
      </c>
      <c r="G119" t="str">
        <f>_xll.BDP("34679VGM Muni","SPREAD_AT_ISSUANCE_TO_WORST")</f>
        <v>#N/A Requesting Data...</v>
      </c>
      <c r="H119" t="str">
        <f>_xll.BDP("34679VGM Muni","ISSUE_DT")</f>
        <v>#N/A Requesting Data...</v>
      </c>
      <c r="I119" t="str">
        <f>_xll.BDS("34679VGM Muni","MUNI_PURPOSE_SCHED", "aggregate=y")</f>
        <v>#N/A Requesting Data...</v>
      </c>
      <c r="J119" t="str">
        <f>_xll.BDP("34679VGM Muni","CPN")</f>
        <v>#N/A Requesting Data...</v>
      </c>
      <c r="K119" t="str">
        <f>_xll.BDP("34679VGM Muni","MATURITY")</f>
        <v>#N/A Requesting Data...</v>
      </c>
      <c r="L119">
        <v>50000</v>
      </c>
      <c r="M119" t="str">
        <f>_xll.BDP("34679VGM Muni","YIELD_ON_ISSUE_DATE")</f>
        <v>#N/A Requesting Data...</v>
      </c>
      <c r="N119" t="str">
        <f>_xll.BDP("34679VGM Muni","YTW_SPREAD_TO_MATURITY_AT_ISSU")</f>
        <v>#N/A Requesting Data...</v>
      </c>
      <c r="O119" t="str">
        <f>_xll.BDP("34679VGM Muni","BVAL_MID_YTM")</f>
        <v>#N/A Requesting Data...</v>
      </c>
      <c r="P119" t="str">
        <f>_xll.BDP("34679VGM Muni","MUNI_TAX_PROV")</f>
        <v>#N/A Requesting Data...</v>
      </c>
      <c r="Q119" t="str">
        <f>_xll.BDP("34679VGM Muni","MUNI_FED_TAX")</f>
        <v>#N/A Requesting Data...</v>
      </c>
      <c r="R119" t="str">
        <f>_xll.BDP("34679VGM Muni","MUNI_MSRB_VOLUME")</f>
        <v>#N/A Requesting Data...</v>
      </c>
      <c r="S119" t="str">
        <f>_xll.BDP("34679VGM Muni","BB_COMPOSITE")</f>
        <v>#N/A Requesting Data...</v>
      </c>
      <c r="T119" t="str">
        <f>_xll.BDP("34679VGM Muni","LQA_LIQUIDITY_SCORE")</f>
        <v>#N/A Requesting Data...</v>
      </c>
    </row>
    <row r="120" spans="1:20" x14ac:dyDescent="0.25">
      <c r="A120" t="str">
        <f>_xll.BDP("10607SAD Muni","ID_CUSIP")</f>
        <v>#N/A Requesting Data...</v>
      </c>
      <c r="B120" t="s">
        <v>58</v>
      </c>
      <c r="C120" t="str">
        <f>_xll.BDP("10607SAD Muni","INSURANCE_STATUS")</f>
        <v>#N/A Requesting Data...</v>
      </c>
      <c r="D120" t="str">
        <f>_xll.BDP("10607SAD Muni","STATE_CODE")</f>
        <v>#N/A Requesting Data...</v>
      </c>
      <c r="E120" t="str">
        <f>_xll.BDP("10607SAD Muni","COUNTY_LOCATION_ISSUER")</f>
        <v>#N/A Requesting Data...</v>
      </c>
      <c r="F120" t="str">
        <f>_xll.BDP("10607SAD Muni","DUR_ADJ_MID")</f>
        <v>#N/A Requesting Data...</v>
      </c>
      <c r="G120" t="str">
        <f>_xll.BDP("10607SAD Muni","SPREAD_AT_ISSUANCE_TO_WORST")</f>
        <v>#N/A Requesting Data...</v>
      </c>
      <c r="H120" t="str">
        <f>_xll.BDP("10607SAD Muni","ISSUE_DT")</f>
        <v>#N/A Requesting Data...</v>
      </c>
      <c r="I120" t="str">
        <f>_xll.BDS("10607SAD Muni","MUNI_PURPOSE_SCHED", "aggregate=y")</f>
        <v>#N/A Requesting Data...</v>
      </c>
      <c r="J120" t="str">
        <f>_xll.BDP("10607SAD Muni","CPN")</f>
        <v>#N/A Requesting Data...</v>
      </c>
      <c r="K120" t="str">
        <f>_xll.BDP("10607SAD Muni","MATURITY")</f>
        <v>#N/A Requesting Data...</v>
      </c>
      <c r="L120">
        <v>250000</v>
      </c>
      <c r="M120" t="str">
        <f>_xll.BDP("10607SAD Muni","YIELD_ON_ISSUE_DATE")</f>
        <v>#N/A Requesting Data...</v>
      </c>
      <c r="N120" t="str">
        <f>_xll.BDP("10607SAD Muni","YTW_SPREAD_TO_MATURITY_AT_ISSU")</f>
        <v>#N/A Requesting Data...</v>
      </c>
      <c r="O120" t="str">
        <f>_xll.BDP("10607SAD Muni","BVAL_MID_YTM")</f>
        <v>#N/A Requesting Data...</v>
      </c>
      <c r="P120" t="str">
        <f>_xll.BDP("10607SAD Muni","MUNI_TAX_PROV")</f>
        <v>#N/A Requesting Data...</v>
      </c>
      <c r="Q120" t="str">
        <f>_xll.BDP("10607SAD Muni","MUNI_FED_TAX")</f>
        <v>#N/A Requesting Data...</v>
      </c>
      <c r="R120" t="str">
        <f>_xll.BDP("10607SAD Muni","MUNI_MSRB_VOLUME")</f>
        <v>#N/A Requesting Data...</v>
      </c>
      <c r="S120" t="str">
        <f>_xll.BDP("10607SAD Muni","BB_COMPOSITE")</f>
        <v>#N/A Requesting Data...</v>
      </c>
      <c r="T120" t="str">
        <f>_xll.BDP("10607SAD Muni","LQA_LIQUIDITY_SCORE")</f>
        <v>#N/A Requesting Data...</v>
      </c>
    </row>
    <row r="121" spans="1:20" x14ac:dyDescent="0.25">
      <c r="A121" t="str">
        <f>_xll.BDP("10607SAE Muni","ID_CUSIP")</f>
        <v>#N/A Requesting Data...</v>
      </c>
      <c r="B121" t="s">
        <v>58</v>
      </c>
      <c r="C121" t="str">
        <f>_xll.BDP("10607SAE Muni","INSURANCE_STATUS")</f>
        <v>#N/A Requesting Data...</v>
      </c>
      <c r="D121" t="str">
        <f>_xll.BDP("10607SAE Muni","STATE_CODE")</f>
        <v>#N/A Requesting Data...</v>
      </c>
      <c r="E121" t="str">
        <f>_xll.BDP("10607SAE Muni","COUNTY_LOCATION_ISSUER")</f>
        <v>#N/A Requesting Data...</v>
      </c>
      <c r="F121" t="str">
        <f>_xll.BDP("10607SAE Muni","DUR_ADJ_MID")</f>
        <v>#N/A Requesting Data...</v>
      </c>
      <c r="G121" t="str">
        <f>_xll.BDP("10607SAE Muni","SPREAD_AT_ISSUANCE_TO_WORST")</f>
        <v>#N/A Requesting Data...</v>
      </c>
      <c r="H121" t="str">
        <f>_xll.BDP("10607SAE Muni","ISSUE_DT")</f>
        <v>#N/A Requesting Data...</v>
      </c>
      <c r="I121" t="str">
        <f>_xll.BDS("10607SAE Muni","MUNI_PURPOSE_SCHED", "aggregate=y")</f>
        <v>#N/A Requesting Data...</v>
      </c>
      <c r="J121" t="str">
        <f>_xll.BDP("10607SAE Muni","CPN")</f>
        <v>#N/A Requesting Data...</v>
      </c>
      <c r="K121" t="str">
        <f>_xll.BDP("10607SAE Muni","MATURITY")</f>
        <v>#N/A Requesting Data...</v>
      </c>
      <c r="L121">
        <v>265000</v>
      </c>
      <c r="M121" t="str">
        <f>_xll.BDP("10607SAE Muni","YIELD_ON_ISSUE_DATE")</f>
        <v>#N/A Requesting Data...</v>
      </c>
      <c r="N121" t="str">
        <f>_xll.BDP("10607SAE Muni","YTW_SPREAD_TO_MATURITY_AT_ISSU")</f>
        <v>#N/A Requesting Data...</v>
      </c>
      <c r="O121" t="str">
        <f>_xll.BDP("10607SAE Muni","BVAL_MID_YTM")</f>
        <v>#N/A Requesting Data...</v>
      </c>
      <c r="P121" t="str">
        <f>_xll.BDP("10607SAE Muni","MUNI_TAX_PROV")</f>
        <v>#N/A Requesting Data...</v>
      </c>
      <c r="Q121" t="str">
        <f>_xll.BDP("10607SAE Muni","MUNI_FED_TAX")</f>
        <v>#N/A Requesting Data...</v>
      </c>
      <c r="R121" t="str">
        <f>_xll.BDP("10607SAE Muni","MUNI_MSRB_VOLUME")</f>
        <v>#N/A Requesting Data...</v>
      </c>
      <c r="S121" t="str">
        <f>_xll.BDP("10607SAE Muni","BB_COMPOSITE")</f>
        <v>#N/A Requesting Data...</v>
      </c>
      <c r="T121" t="str">
        <f>_xll.BDP("10607SAE Muni","LQA_LIQUIDITY_SCORE")</f>
        <v>#N/A Requesting Data...</v>
      </c>
    </row>
    <row r="122" spans="1:20" x14ac:dyDescent="0.25">
      <c r="A122" t="str">
        <f>_xll.BDP("10608MDE Muni","ID_CUSIP")</f>
        <v>#N/A Requesting Data...</v>
      </c>
      <c r="B122" t="s">
        <v>59</v>
      </c>
      <c r="C122" t="str">
        <f>_xll.BDP("10608MDE Muni","INSURANCE_STATUS")</f>
        <v>#N/A Requesting Data...</v>
      </c>
      <c r="D122" t="str">
        <f>_xll.BDP("10608MDE Muni","STATE_CODE")</f>
        <v>#N/A Requesting Data...</v>
      </c>
      <c r="E122" t="str">
        <f>_xll.BDP("10608MDE Muni","COUNTY_LOCATION_ISSUER")</f>
        <v>#N/A Requesting Data...</v>
      </c>
      <c r="F122" t="str">
        <f>_xll.BDP("10608MDE Muni","DUR_ADJ_MID")</f>
        <v>#N/A Requesting Data...</v>
      </c>
      <c r="G122" t="str">
        <f>_xll.BDP("10608MDE Muni","SPREAD_AT_ISSUANCE_TO_WORST")</f>
        <v>#N/A Requesting Data...</v>
      </c>
      <c r="H122" t="str">
        <f>_xll.BDP("10608MDE Muni","ISSUE_DT")</f>
        <v>#N/A Requesting Data...</v>
      </c>
      <c r="I122" t="str">
        <f>_xll.BDS("10608MDE Muni","MUNI_PURPOSE_SCHED", "aggregate=y")</f>
        <v>#N/A Requesting Data...</v>
      </c>
      <c r="J122" t="str">
        <f>_xll.BDP("10608MDE Muni","CPN")</f>
        <v>#N/A Requesting Data...</v>
      </c>
      <c r="K122" t="str">
        <f>_xll.BDP("10608MDE Muni","MATURITY")</f>
        <v>#N/A Requesting Data...</v>
      </c>
      <c r="L122">
        <v>105000</v>
      </c>
      <c r="M122" t="str">
        <f>_xll.BDP("10608MDE Muni","YIELD_ON_ISSUE_DATE")</f>
        <v>#N/A Requesting Data...</v>
      </c>
      <c r="N122" t="str">
        <f>_xll.BDP("10608MDE Muni","YTW_SPREAD_TO_MATURITY_AT_ISSU")</f>
        <v>#N/A Requesting Data...</v>
      </c>
      <c r="O122" t="str">
        <f>_xll.BDP("10608MDE Muni","BVAL_MID_YTM")</f>
        <v>#N/A Requesting Data...</v>
      </c>
      <c r="P122" t="str">
        <f>_xll.BDP("10608MDE Muni","MUNI_TAX_PROV")</f>
        <v>#N/A Requesting Data...</v>
      </c>
      <c r="Q122" t="str">
        <f>_xll.BDP("10608MDE Muni","MUNI_FED_TAX")</f>
        <v>#N/A Requesting Data...</v>
      </c>
      <c r="R122" t="str">
        <f>_xll.BDP("10608MDE Muni","MUNI_MSRB_VOLUME")</f>
        <v>#N/A Requesting Data...</v>
      </c>
      <c r="S122" t="str">
        <f>_xll.BDP("10608MDE Muni","BB_COMPOSITE")</f>
        <v>#N/A Requesting Data...</v>
      </c>
      <c r="T122" t="str">
        <f>_xll.BDP("10608MDE Muni","LQA_LIQUIDITY_SCORE")</f>
        <v>#N/A Requesting Data...</v>
      </c>
    </row>
    <row r="123" spans="1:20" x14ac:dyDescent="0.25">
      <c r="A123" t="str">
        <f>_xll.BDP("106147HX Muni","ID_CUSIP")</f>
        <v>#N/A Requesting Data...</v>
      </c>
      <c r="B123" t="s">
        <v>60</v>
      </c>
      <c r="C123" t="str">
        <f>_xll.BDP("106147HX Muni","INSURANCE_STATUS")</f>
        <v>#N/A Requesting Data...</v>
      </c>
      <c r="D123" t="str">
        <f>_xll.BDP("106147HX Muni","STATE_CODE")</f>
        <v>#N/A Requesting Data...</v>
      </c>
      <c r="E123" t="str">
        <f>_xll.BDP("106147HX Muni","COUNTY_LOCATION_ISSUER")</f>
        <v>#N/A Requesting Data...</v>
      </c>
      <c r="F123" t="str">
        <f>_xll.BDP("106147HX Muni","DUR_ADJ_MID")</f>
        <v>#N/A Requesting Data...</v>
      </c>
      <c r="G123" t="str">
        <f>_xll.BDP("106147HX Muni","SPREAD_AT_ISSUANCE_TO_WORST")</f>
        <v>#N/A Requesting Data...</v>
      </c>
      <c r="H123" t="str">
        <f>_xll.BDP("106147HX Muni","ISSUE_DT")</f>
        <v>#N/A Requesting Data...</v>
      </c>
      <c r="I123" t="str">
        <f>_xll.BDS("106147HX Muni","MUNI_PURPOSE_SCHED", "aggregate=y")</f>
        <v>#N/A Requesting Data...</v>
      </c>
      <c r="J123" t="str">
        <f>_xll.BDP("106147HX Muni","CPN")</f>
        <v>#N/A Requesting Data...</v>
      </c>
      <c r="K123" t="str">
        <f>_xll.BDP("106147HX Muni","MATURITY")</f>
        <v>#N/A Requesting Data...</v>
      </c>
      <c r="L123">
        <v>600000</v>
      </c>
      <c r="M123" t="str">
        <f>_xll.BDP("106147HX Muni","YIELD_ON_ISSUE_DATE")</f>
        <v>#N/A Requesting Data...</v>
      </c>
      <c r="N123" t="str">
        <f>_xll.BDP("106147HX Muni","YTW_SPREAD_TO_MATURITY_AT_ISSU")</f>
        <v>#N/A Requesting Data...</v>
      </c>
      <c r="O123" t="str">
        <f>_xll.BDP("106147HX Muni","BVAL_MID_YTM")</f>
        <v>#N/A Requesting Data...</v>
      </c>
      <c r="P123" t="str">
        <f>_xll.BDP("106147HX Muni","MUNI_TAX_PROV")</f>
        <v>#N/A Requesting Data...</v>
      </c>
      <c r="Q123" t="str">
        <f>_xll.BDP("106147HX Muni","MUNI_FED_TAX")</f>
        <v>#N/A Requesting Data...</v>
      </c>
      <c r="R123" t="str">
        <f>_xll.BDP("106147HX Muni","MUNI_MSRB_VOLUME")</f>
        <v>#N/A Requesting Data...</v>
      </c>
      <c r="S123" t="str">
        <f>_xll.BDP("106147HX Muni","BB_COMPOSITE")</f>
        <v>#N/A Requesting Data...</v>
      </c>
      <c r="T123" t="str">
        <f>_xll.BDP("106147HX Muni","LQA_LIQUIDITY_SCORE")</f>
        <v>#N/A Requesting Data...</v>
      </c>
    </row>
    <row r="124" spans="1:20" x14ac:dyDescent="0.25">
      <c r="A124" t="str">
        <f>_xll.BDP("107191GC Muni","ID_CUSIP")</f>
        <v>#N/A Requesting Data...</v>
      </c>
      <c r="B124" t="s">
        <v>61</v>
      </c>
      <c r="C124" t="str">
        <f>_xll.BDP("107191GC Muni","INSURANCE_STATUS")</f>
        <v>#N/A Requesting Data...</v>
      </c>
      <c r="D124" t="str">
        <f>_xll.BDP("107191GC Muni","STATE_CODE")</f>
        <v>#N/A Requesting Data...</v>
      </c>
      <c r="E124" t="str">
        <f>_xll.BDP("107191GC Muni","COUNTY_LOCATION_ISSUER")</f>
        <v>#N/A Requesting Data...</v>
      </c>
      <c r="F124" t="str">
        <f>_xll.BDP("107191GC Muni","DUR_ADJ_MID")</f>
        <v>#N/A Requesting Data...</v>
      </c>
      <c r="G124" t="str">
        <f>_xll.BDP("107191GC Muni","SPREAD_AT_ISSUANCE_TO_WORST")</f>
        <v>#N/A Requesting Data...</v>
      </c>
      <c r="H124" t="str">
        <f>_xll.BDP("107191GC Muni","ISSUE_DT")</f>
        <v>#N/A Requesting Data...</v>
      </c>
      <c r="I124" t="str">
        <f>_xll.BDS("107191GC Muni","MUNI_PURPOSE_SCHED", "aggregate=y")</f>
        <v>#N/A Requesting Data...</v>
      </c>
      <c r="J124" t="str">
        <f>_xll.BDP("107191GC Muni","CPN")</f>
        <v>#N/A Requesting Data...</v>
      </c>
      <c r="K124" t="str">
        <f>_xll.BDP("107191GC Muni","MATURITY")</f>
        <v>#N/A Requesting Data...</v>
      </c>
      <c r="L124">
        <v>180000</v>
      </c>
      <c r="M124" t="str">
        <f>_xll.BDP("107191GC Muni","YIELD_ON_ISSUE_DATE")</f>
        <v>#N/A Requesting Data...</v>
      </c>
      <c r="N124" t="str">
        <f>_xll.BDP("107191GC Muni","YTW_SPREAD_TO_MATURITY_AT_ISSU")</f>
        <v>#N/A Requesting Data...</v>
      </c>
      <c r="O124" t="str">
        <f>_xll.BDP("107191GC Muni","BVAL_MID_YTM")</f>
        <v>#N/A Requesting Data...</v>
      </c>
      <c r="P124" t="str">
        <f>_xll.BDP("107191GC Muni","MUNI_TAX_PROV")</f>
        <v>#N/A Requesting Data...</v>
      </c>
      <c r="Q124" t="str">
        <f>_xll.BDP("107191GC Muni","MUNI_FED_TAX")</f>
        <v>#N/A Requesting Data...</v>
      </c>
      <c r="R124" t="str">
        <f>_xll.BDP("107191GC Muni","MUNI_MSRB_VOLUME")</f>
        <v>#N/A Requesting Data...</v>
      </c>
      <c r="S124" t="str">
        <f>_xll.BDP("107191GC Muni","BB_COMPOSITE")</f>
        <v>#N/A Requesting Data...</v>
      </c>
      <c r="T124" t="str">
        <f>_xll.BDP("107191GC Muni","LQA_LIQUIDITY_SCORE")</f>
        <v>#N/A Requesting Data...</v>
      </c>
    </row>
    <row r="125" spans="1:20" x14ac:dyDescent="0.25">
      <c r="A125" t="str">
        <f>_xll.BDP("107191GD Muni","ID_CUSIP")</f>
        <v>#N/A Requesting Data...</v>
      </c>
      <c r="B125" t="s">
        <v>61</v>
      </c>
      <c r="C125" t="str">
        <f>_xll.BDP("107191GD Muni","INSURANCE_STATUS")</f>
        <v>#N/A Requesting Data...</v>
      </c>
      <c r="D125" t="str">
        <f>_xll.BDP("107191GD Muni","STATE_CODE")</f>
        <v>#N/A Requesting Data...</v>
      </c>
      <c r="E125" t="str">
        <f>_xll.BDP("107191GD Muni","COUNTY_LOCATION_ISSUER")</f>
        <v>#N/A Requesting Data...</v>
      </c>
      <c r="F125" t="str">
        <f>_xll.BDP("107191GD Muni","DUR_ADJ_MID")</f>
        <v>#N/A Requesting Data...</v>
      </c>
      <c r="G125" t="str">
        <f>_xll.BDP("107191GD Muni","SPREAD_AT_ISSUANCE_TO_WORST")</f>
        <v>#N/A Requesting Data...</v>
      </c>
      <c r="H125" t="str">
        <f>_xll.BDP("107191GD Muni","ISSUE_DT")</f>
        <v>#N/A Requesting Data...</v>
      </c>
      <c r="I125" t="str">
        <f>_xll.BDS("107191GD Muni","MUNI_PURPOSE_SCHED", "aggregate=y")</f>
        <v>#N/A Requesting Data...</v>
      </c>
      <c r="J125" t="str">
        <f>_xll.BDP("107191GD Muni","CPN")</f>
        <v>#N/A Requesting Data...</v>
      </c>
      <c r="K125" t="str">
        <f>_xll.BDP("107191GD Muni","MATURITY")</f>
        <v>#N/A Requesting Data...</v>
      </c>
      <c r="L125">
        <v>185000</v>
      </c>
      <c r="M125" t="str">
        <f>_xll.BDP("107191GD Muni","YIELD_ON_ISSUE_DATE")</f>
        <v>#N/A Requesting Data...</v>
      </c>
      <c r="N125" t="str">
        <f>_xll.BDP("107191GD Muni","YTW_SPREAD_TO_MATURITY_AT_ISSU")</f>
        <v>#N/A Requesting Data...</v>
      </c>
      <c r="O125" t="str">
        <f>_xll.BDP("107191GD Muni","BVAL_MID_YTM")</f>
        <v>#N/A Requesting Data...</v>
      </c>
      <c r="P125" t="str">
        <f>_xll.BDP("107191GD Muni","MUNI_TAX_PROV")</f>
        <v>#N/A Requesting Data...</v>
      </c>
      <c r="Q125" t="str">
        <f>_xll.BDP("107191GD Muni","MUNI_FED_TAX")</f>
        <v>#N/A Requesting Data...</v>
      </c>
      <c r="R125" t="str">
        <f>_xll.BDP("107191GD Muni","MUNI_MSRB_VOLUME")</f>
        <v>#N/A Requesting Data...</v>
      </c>
      <c r="S125" t="str">
        <f>_xll.BDP("107191GD Muni","BB_COMPOSITE")</f>
        <v>#N/A Requesting Data...</v>
      </c>
      <c r="T125" t="str">
        <f>_xll.BDP("107191GD Muni","LQA_LIQUIDITY_SCORE")</f>
        <v>#N/A Requesting Data...</v>
      </c>
    </row>
    <row r="126" spans="1:20" x14ac:dyDescent="0.25">
      <c r="A126" t="str">
        <f>_xll.BDP("107191GE Muni","ID_CUSIP")</f>
        <v>#N/A Requesting Data...</v>
      </c>
      <c r="B126" t="s">
        <v>61</v>
      </c>
      <c r="C126" t="str">
        <f>_xll.BDP("107191GE Muni","INSURANCE_STATUS")</f>
        <v>#N/A Requesting Data...</v>
      </c>
      <c r="D126" t="str">
        <f>_xll.BDP("107191GE Muni","STATE_CODE")</f>
        <v>#N/A Requesting Data...</v>
      </c>
      <c r="E126" t="str">
        <f>_xll.BDP("107191GE Muni","COUNTY_LOCATION_ISSUER")</f>
        <v>#N/A Requesting Data...</v>
      </c>
      <c r="F126" t="str">
        <f>_xll.BDP("107191GE Muni","DUR_ADJ_MID")</f>
        <v>#N/A Requesting Data...</v>
      </c>
      <c r="G126" t="str">
        <f>_xll.BDP("107191GE Muni","SPREAD_AT_ISSUANCE_TO_WORST")</f>
        <v>#N/A Requesting Data...</v>
      </c>
      <c r="H126" t="str">
        <f>_xll.BDP("107191GE Muni","ISSUE_DT")</f>
        <v>#N/A Requesting Data...</v>
      </c>
      <c r="I126" t="str">
        <f>_xll.BDS("107191GE Muni","MUNI_PURPOSE_SCHED", "aggregate=y")</f>
        <v>#N/A Requesting Data...</v>
      </c>
      <c r="J126" t="str">
        <f>_xll.BDP("107191GE Muni","CPN")</f>
        <v>#N/A Requesting Data...</v>
      </c>
      <c r="K126" t="str">
        <f>_xll.BDP("107191GE Muni","MATURITY")</f>
        <v>#N/A Requesting Data...</v>
      </c>
      <c r="L126">
        <v>195000</v>
      </c>
      <c r="M126" t="str">
        <f>_xll.BDP("107191GE Muni","YIELD_ON_ISSUE_DATE")</f>
        <v>#N/A Requesting Data...</v>
      </c>
      <c r="N126" t="str">
        <f>_xll.BDP("107191GE Muni","YTW_SPREAD_TO_MATURITY_AT_ISSU")</f>
        <v>#N/A Requesting Data...</v>
      </c>
      <c r="O126" t="str">
        <f>_xll.BDP("107191GE Muni","BVAL_MID_YTM")</f>
        <v>#N/A Requesting Data...</v>
      </c>
      <c r="P126" t="str">
        <f>_xll.BDP("107191GE Muni","MUNI_TAX_PROV")</f>
        <v>#N/A Requesting Data...</v>
      </c>
      <c r="Q126" t="str">
        <f>_xll.BDP("107191GE Muni","MUNI_FED_TAX")</f>
        <v>#N/A Requesting Data...</v>
      </c>
      <c r="R126" t="str">
        <f>_xll.BDP("107191GE Muni","MUNI_MSRB_VOLUME")</f>
        <v>#N/A Requesting Data...</v>
      </c>
      <c r="S126" t="str">
        <f>_xll.BDP("107191GE Muni","BB_COMPOSITE")</f>
        <v>#N/A Requesting Data...</v>
      </c>
      <c r="T126" t="str">
        <f>_xll.BDP("107191GE Muni","LQA_LIQUIDITY_SCORE")</f>
        <v>#N/A Requesting Data...</v>
      </c>
    </row>
    <row r="127" spans="1:20" x14ac:dyDescent="0.25">
      <c r="A127" t="str">
        <f>_xll.BDP("108039EQ Muni","ID_CUSIP")</f>
        <v>#N/A Requesting Data...</v>
      </c>
      <c r="B127" t="s">
        <v>62</v>
      </c>
      <c r="C127" t="str">
        <f>_xll.BDP("108039EQ Muni","INSURANCE_STATUS")</f>
        <v>#N/A Requesting Data...</v>
      </c>
      <c r="D127" t="str">
        <f>_xll.BDP("108039EQ Muni","STATE_CODE")</f>
        <v>#N/A Requesting Data...</v>
      </c>
      <c r="E127" t="str">
        <f>_xll.BDP("108039EQ Muni","COUNTY_LOCATION_ISSUER")</f>
        <v>#N/A Requesting Data...</v>
      </c>
      <c r="F127" t="str">
        <f>_xll.BDP("108039EQ Muni","DUR_ADJ_MID")</f>
        <v>#N/A Requesting Data...</v>
      </c>
      <c r="G127" t="str">
        <f>_xll.BDP("108039EQ Muni","SPREAD_AT_ISSUANCE_TO_WORST")</f>
        <v>#N/A Requesting Data...</v>
      </c>
      <c r="H127" t="str">
        <f>_xll.BDP("108039EQ Muni","ISSUE_DT")</f>
        <v>#N/A Requesting Data...</v>
      </c>
      <c r="I127" t="str">
        <f>_xll.BDS("108039EQ Muni","MUNI_PURPOSE_SCHED", "aggregate=y")</f>
        <v>#N/A Requesting Data...</v>
      </c>
      <c r="J127" t="str">
        <f>_xll.BDP("108039EQ Muni","CPN")</f>
        <v>#N/A Requesting Data...</v>
      </c>
      <c r="K127" t="str">
        <f>_xll.BDP("108039EQ Muni","MATURITY")</f>
        <v>#N/A Requesting Data...</v>
      </c>
      <c r="L127">
        <v>105000</v>
      </c>
      <c r="M127" t="str">
        <f>_xll.BDP("108039EQ Muni","YIELD_ON_ISSUE_DATE")</f>
        <v>#N/A Requesting Data...</v>
      </c>
      <c r="N127" t="str">
        <f>_xll.BDP("108039EQ Muni","YTW_SPREAD_TO_MATURITY_AT_ISSU")</f>
        <v>#N/A Requesting Data...</v>
      </c>
      <c r="O127" t="str">
        <f>_xll.BDP("108039EQ Muni","BVAL_MID_YTM")</f>
        <v>#N/A Requesting Data...</v>
      </c>
      <c r="P127" t="str">
        <f>_xll.BDP("108039EQ Muni","MUNI_TAX_PROV")</f>
        <v>#N/A Requesting Data...</v>
      </c>
      <c r="Q127" t="str">
        <f>_xll.BDP("108039EQ Muni","MUNI_FED_TAX")</f>
        <v>#N/A Requesting Data...</v>
      </c>
      <c r="R127" t="str">
        <f>_xll.BDP("108039EQ Muni","MUNI_MSRB_VOLUME")</f>
        <v>#N/A Requesting Data...</v>
      </c>
      <c r="S127" t="str">
        <f>_xll.BDP("108039EQ Muni","BB_COMPOSITE")</f>
        <v>#N/A Requesting Data...</v>
      </c>
      <c r="T127" t="str">
        <f>_xll.BDP("108039EQ Muni","LQA_LIQUIDITY_SCORE")</f>
        <v>#N/A Requesting Data...</v>
      </c>
    </row>
    <row r="128" spans="1:20" x14ac:dyDescent="0.25">
      <c r="A128" t="str">
        <f>_xll.BDP("108326NV Muni","ID_CUSIP")</f>
        <v>#N/A Requesting Data...</v>
      </c>
      <c r="B128" t="s">
        <v>63</v>
      </c>
      <c r="C128" t="str">
        <f>_xll.BDP("108326NV Muni","INSURANCE_STATUS")</f>
        <v>#N/A Requesting Data...</v>
      </c>
      <c r="D128" t="str">
        <f>_xll.BDP("108326NV Muni","STATE_CODE")</f>
        <v>#N/A Requesting Data...</v>
      </c>
      <c r="E128" t="str">
        <f>_xll.BDP("108326NV Muni","COUNTY_LOCATION_ISSUER")</f>
        <v>#N/A Requesting Data...</v>
      </c>
      <c r="F128" t="str">
        <f>_xll.BDP("108326NV Muni","DUR_ADJ_MID")</f>
        <v>#N/A Requesting Data...</v>
      </c>
      <c r="G128" t="str">
        <f>_xll.BDP("108326NV Muni","SPREAD_AT_ISSUANCE_TO_WORST")</f>
        <v>#N/A Requesting Data...</v>
      </c>
      <c r="H128" t="str">
        <f>_xll.BDP("108326NV Muni","ISSUE_DT")</f>
        <v>#N/A Requesting Data...</v>
      </c>
      <c r="I128" t="str">
        <f>_xll.BDS("108326NV Muni","MUNI_PURPOSE_SCHED", "aggregate=y")</f>
        <v>#N/A Requesting Data...</v>
      </c>
      <c r="J128" t="str">
        <f>_xll.BDP("108326NV Muni","CPN")</f>
        <v>#N/A Requesting Data...</v>
      </c>
      <c r="K128" t="str">
        <f>_xll.BDP("108326NV Muni","MATURITY")</f>
        <v>#N/A Requesting Data...</v>
      </c>
      <c r="L128">
        <v>45000</v>
      </c>
      <c r="M128" t="str">
        <f>_xll.BDP("108326NV Muni","YIELD_ON_ISSUE_DATE")</f>
        <v>#N/A Requesting Data...</v>
      </c>
      <c r="N128" t="str">
        <f>_xll.BDP("108326NV Muni","YTW_SPREAD_TO_MATURITY_AT_ISSU")</f>
        <v>#N/A Requesting Data...</v>
      </c>
      <c r="O128" t="str">
        <f>_xll.BDP("108326NV Muni","BVAL_MID_YTM")</f>
        <v>#N/A Requesting Data...</v>
      </c>
      <c r="P128" t="str">
        <f>_xll.BDP("108326NV Muni","MUNI_TAX_PROV")</f>
        <v>#N/A Requesting Data...</v>
      </c>
      <c r="Q128" t="str">
        <f>_xll.BDP("108326NV Muni","MUNI_FED_TAX")</f>
        <v>#N/A Requesting Data...</v>
      </c>
      <c r="R128" t="str">
        <f>_xll.BDP("108326NV Muni","MUNI_MSRB_VOLUME")</f>
        <v>#N/A Requesting Data...</v>
      </c>
      <c r="S128" t="str">
        <f>_xll.BDP("108326NV Muni","BB_COMPOSITE")</f>
        <v>#N/A Requesting Data...</v>
      </c>
      <c r="T128" t="str">
        <f>_xll.BDP("108326NV Muni","LQA_LIQUIDITY_SCORE")</f>
        <v>#N/A Requesting Data...</v>
      </c>
    </row>
    <row r="129" spans="1:20" x14ac:dyDescent="0.25">
      <c r="A129" t="str">
        <f>_xll.BDP("108326NW Muni","ID_CUSIP")</f>
        <v>#N/A Requesting Data...</v>
      </c>
      <c r="B129" t="s">
        <v>63</v>
      </c>
      <c r="C129" t="str">
        <f>_xll.BDP("108326NW Muni","INSURANCE_STATUS")</f>
        <v>#N/A Requesting Data...</v>
      </c>
      <c r="D129" t="str">
        <f>_xll.BDP("108326NW Muni","STATE_CODE")</f>
        <v>#N/A Requesting Data...</v>
      </c>
      <c r="E129" t="str">
        <f>_xll.BDP("108326NW Muni","COUNTY_LOCATION_ISSUER")</f>
        <v>#N/A Requesting Data...</v>
      </c>
      <c r="F129" t="str">
        <f>_xll.BDP("108326NW Muni","DUR_ADJ_MID")</f>
        <v>#N/A Requesting Data...</v>
      </c>
      <c r="G129" t="str">
        <f>_xll.BDP("108326NW Muni","SPREAD_AT_ISSUANCE_TO_WORST")</f>
        <v>#N/A Requesting Data...</v>
      </c>
      <c r="H129" t="str">
        <f>_xll.BDP("108326NW Muni","ISSUE_DT")</f>
        <v>#N/A Requesting Data...</v>
      </c>
      <c r="I129" t="str">
        <f>_xll.BDS("108326NW Muni","MUNI_PURPOSE_SCHED", "aggregate=y")</f>
        <v>#N/A Requesting Data...</v>
      </c>
      <c r="J129" t="str">
        <f>_xll.BDP("108326NW Muni","CPN")</f>
        <v>#N/A Requesting Data...</v>
      </c>
      <c r="K129" t="str">
        <f>_xll.BDP("108326NW Muni","MATURITY")</f>
        <v>#N/A Requesting Data...</v>
      </c>
      <c r="L129">
        <v>105000</v>
      </c>
      <c r="M129" t="str">
        <f>_xll.BDP("108326NW Muni","YIELD_ON_ISSUE_DATE")</f>
        <v>#N/A Requesting Data...</v>
      </c>
      <c r="N129" t="str">
        <f>_xll.BDP("108326NW Muni","YTW_SPREAD_TO_MATURITY_AT_ISSU")</f>
        <v>#N/A Requesting Data...</v>
      </c>
      <c r="O129" t="str">
        <f>_xll.BDP("108326NW Muni","BVAL_MID_YTM")</f>
        <v>#N/A Requesting Data...</v>
      </c>
      <c r="P129" t="str">
        <f>_xll.BDP("108326NW Muni","MUNI_TAX_PROV")</f>
        <v>#N/A Requesting Data...</v>
      </c>
      <c r="Q129" t="str">
        <f>_xll.BDP("108326NW Muni","MUNI_FED_TAX")</f>
        <v>#N/A Requesting Data...</v>
      </c>
      <c r="R129" t="str">
        <f>_xll.BDP("108326NW Muni","MUNI_MSRB_VOLUME")</f>
        <v>#N/A Requesting Data...</v>
      </c>
      <c r="S129" t="str">
        <f>_xll.BDP("108326NW Muni","BB_COMPOSITE")</f>
        <v>#N/A Requesting Data...</v>
      </c>
      <c r="T129" t="str">
        <f>_xll.BDP("108326NW Muni","LQA_LIQUIDITY_SCORE")</f>
        <v>#N/A Requesting Data...</v>
      </c>
    </row>
    <row r="130" spans="1:20" x14ac:dyDescent="0.25">
      <c r="A130" t="str">
        <f>_xll.BDP("108326NX Muni","ID_CUSIP")</f>
        <v>#N/A Requesting Data...</v>
      </c>
      <c r="B130" t="s">
        <v>63</v>
      </c>
      <c r="C130" t="str">
        <f>_xll.BDP("108326NX Muni","INSURANCE_STATUS")</f>
        <v>#N/A Requesting Data...</v>
      </c>
      <c r="D130" t="str">
        <f>_xll.BDP("108326NX Muni","STATE_CODE")</f>
        <v>#N/A Requesting Data...</v>
      </c>
      <c r="E130" t="str">
        <f>_xll.BDP("108326NX Muni","COUNTY_LOCATION_ISSUER")</f>
        <v>#N/A Requesting Data...</v>
      </c>
      <c r="F130" t="str">
        <f>_xll.BDP("108326NX Muni","DUR_ADJ_MID")</f>
        <v>#N/A Requesting Data...</v>
      </c>
      <c r="G130" t="str">
        <f>_xll.BDP("108326NX Muni","SPREAD_AT_ISSUANCE_TO_WORST")</f>
        <v>#N/A Requesting Data...</v>
      </c>
      <c r="H130" t="str">
        <f>_xll.BDP("108326NX Muni","ISSUE_DT")</f>
        <v>#N/A Requesting Data...</v>
      </c>
      <c r="I130" t="str">
        <f>_xll.BDS("108326NX Muni","MUNI_PURPOSE_SCHED", "aggregate=y")</f>
        <v>#N/A Requesting Data...</v>
      </c>
      <c r="J130" t="str">
        <f>_xll.BDP("108326NX Muni","CPN")</f>
        <v>#N/A Requesting Data...</v>
      </c>
      <c r="K130" t="str">
        <f>_xll.BDP("108326NX Muni","MATURITY")</f>
        <v>#N/A Requesting Data...</v>
      </c>
      <c r="L130">
        <v>105000</v>
      </c>
      <c r="M130" t="str">
        <f>_xll.BDP("108326NX Muni","YIELD_ON_ISSUE_DATE")</f>
        <v>#N/A Requesting Data...</v>
      </c>
      <c r="N130" t="str">
        <f>_xll.BDP("108326NX Muni","YTW_SPREAD_TO_MATURITY_AT_ISSU")</f>
        <v>#N/A Requesting Data...</v>
      </c>
      <c r="O130" t="str">
        <f>_xll.BDP("108326NX Muni","BVAL_MID_YTM")</f>
        <v>#N/A Requesting Data...</v>
      </c>
      <c r="P130" t="str">
        <f>_xll.BDP("108326NX Muni","MUNI_TAX_PROV")</f>
        <v>#N/A Requesting Data...</v>
      </c>
      <c r="Q130" t="str">
        <f>_xll.BDP("108326NX Muni","MUNI_FED_TAX")</f>
        <v>#N/A Requesting Data...</v>
      </c>
      <c r="R130" t="str">
        <f>_xll.BDP("108326NX Muni","MUNI_MSRB_VOLUME")</f>
        <v>#N/A Requesting Data...</v>
      </c>
      <c r="S130" t="str">
        <f>_xll.BDP("108326NX Muni","BB_COMPOSITE")</f>
        <v>#N/A Requesting Data...</v>
      </c>
      <c r="T130" t="str">
        <f>_xll.BDP("108326NX Muni","LQA_LIQUIDITY_SCORE")</f>
        <v>#N/A Requesting Data...</v>
      </c>
    </row>
    <row r="131" spans="1:20" x14ac:dyDescent="0.25">
      <c r="A131" t="str">
        <f>_xll.BDP("108326NY Muni","ID_CUSIP")</f>
        <v>#N/A Requesting Data...</v>
      </c>
      <c r="B131" t="s">
        <v>63</v>
      </c>
      <c r="C131" t="str">
        <f>_xll.BDP("108326NY Muni","INSURANCE_STATUS")</f>
        <v>#N/A Requesting Data...</v>
      </c>
      <c r="D131" t="str">
        <f>_xll.BDP("108326NY Muni","STATE_CODE")</f>
        <v>#N/A Requesting Data...</v>
      </c>
      <c r="E131" t="str">
        <f>_xll.BDP("108326NY Muni","COUNTY_LOCATION_ISSUER")</f>
        <v>#N/A Requesting Data...</v>
      </c>
      <c r="F131" t="str">
        <f>_xll.BDP("108326NY Muni","DUR_ADJ_MID")</f>
        <v>#N/A Requesting Data...</v>
      </c>
      <c r="G131" t="str">
        <f>_xll.BDP("108326NY Muni","SPREAD_AT_ISSUANCE_TO_WORST")</f>
        <v>#N/A Requesting Data...</v>
      </c>
      <c r="H131" t="str">
        <f>_xll.BDP("108326NY Muni","ISSUE_DT")</f>
        <v>#N/A Requesting Data...</v>
      </c>
      <c r="I131" t="str">
        <f>_xll.BDS("108326NY Muni","MUNI_PURPOSE_SCHED", "aggregate=y")</f>
        <v>#N/A Requesting Data...</v>
      </c>
      <c r="J131" t="str">
        <f>_xll.BDP("108326NY Muni","CPN")</f>
        <v>#N/A Requesting Data...</v>
      </c>
      <c r="K131" t="str">
        <f>_xll.BDP("108326NY Muni","MATURITY")</f>
        <v>#N/A Requesting Data...</v>
      </c>
      <c r="L131">
        <v>110000</v>
      </c>
      <c r="M131" t="str">
        <f>_xll.BDP("108326NY Muni","YIELD_ON_ISSUE_DATE")</f>
        <v>#N/A Requesting Data...</v>
      </c>
      <c r="N131" t="str">
        <f>_xll.BDP("108326NY Muni","YTW_SPREAD_TO_MATURITY_AT_ISSU")</f>
        <v>#N/A Requesting Data...</v>
      </c>
      <c r="O131" t="str">
        <f>_xll.BDP("108326NY Muni","BVAL_MID_YTM")</f>
        <v>#N/A Requesting Data...</v>
      </c>
      <c r="P131" t="str">
        <f>_xll.BDP("108326NY Muni","MUNI_TAX_PROV")</f>
        <v>#N/A Requesting Data...</v>
      </c>
      <c r="Q131" t="str">
        <f>_xll.BDP("108326NY Muni","MUNI_FED_TAX")</f>
        <v>#N/A Requesting Data...</v>
      </c>
      <c r="R131" t="str">
        <f>_xll.BDP("108326NY Muni","MUNI_MSRB_VOLUME")</f>
        <v>#N/A Requesting Data...</v>
      </c>
      <c r="S131" t="str">
        <f>_xll.BDP("108326NY Muni","BB_COMPOSITE")</f>
        <v>#N/A Requesting Data...</v>
      </c>
      <c r="T131" t="str">
        <f>_xll.BDP("108326NY Muni","LQA_LIQUIDITY_SCORE")</f>
        <v>#N/A Requesting Data...</v>
      </c>
    </row>
    <row r="132" spans="1:20" x14ac:dyDescent="0.25">
      <c r="A132" t="str">
        <f>_xll.BDP("108326NZ Muni","ID_CUSIP")</f>
        <v>#N/A Requesting Data...</v>
      </c>
      <c r="B132" t="s">
        <v>63</v>
      </c>
      <c r="C132" t="str">
        <f>_xll.BDP("108326NZ Muni","INSURANCE_STATUS")</f>
        <v>#N/A Requesting Data...</v>
      </c>
      <c r="D132" t="str">
        <f>_xll.BDP("108326NZ Muni","STATE_CODE")</f>
        <v>#N/A Requesting Data...</v>
      </c>
      <c r="E132" t="str">
        <f>_xll.BDP("108326NZ Muni","COUNTY_LOCATION_ISSUER")</f>
        <v>#N/A Requesting Data...</v>
      </c>
      <c r="F132" t="str">
        <f>_xll.BDP("108326NZ Muni","DUR_ADJ_MID")</f>
        <v>#N/A Requesting Data...</v>
      </c>
      <c r="G132" t="str">
        <f>_xll.BDP("108326NZ Muni","SPREAD_AT_ISSUANCE_TO_WORST")</f>
        <v>#N/A Requesting Data...</v>
      </c>
      <c r="H132" t="str">
        <f>_xll.BDP("108326NZ Muni","ISSUE_DT")</f>
        <v>#N/A Requesting Data...</v>
      </c>
      <c r="I132" t="str">
        <f>_xll.BDS("108326NZ Muni","MUNI_PURPOSE_SCHED", "aggregate=y")</f>
        <v>#N/A Requesting Data...</v>
      </c>
      <c r="J132" t="str">
        <f>_xll.BDP("108326NZ Muni","CPN")</f>
        <v>#N/A Requesting Data...</v>
      </c>
      <c r="K132" t="str">
        <f>_xll.BDP("108326NZ Muni","MATURITY")</f>
        <v>#N/A Requesting Data...</v>
      </c>
      <c r="L132">
        <v>110000</v>
      </c>
      <c r="M132" t="str">
        <f>_xll.BDP("108326NZ Muni","YIELD_ON_ISSUE_DATE")</f>
        <v>#N/A Requesting Data...</v>
      </c>
      <c r="N132" t="str">
        <f>_xll.BDP("108326NZ Muni","YTW_SPREAD_TO_MATURITY_AT_ISSU")</f>
        <v>#N/A Requesting Data...</v>
      </c>
      <c r="O132" t="str">
        <f>_xll.BDP("108326NZ Muni","BVAL_MID_YTM")</f>
        <v>#N/A Requesting Data...</v>
      </c>
      <c r="P132" t="str">
        <f>_xll.BDP("108326NZ Muni","MUNI_TAX_PROV")</f>
        <v>#N/A Requesting Data...</v>
      </c>
      <c r="Q132" t="str">
        <f>_xll.BDP("108326NZ Muni","MUNI_FED_TAX")</f>
        <v>#N/A Requesting Data...</v>
      </c>
      <c r="R132" t="str">
        <f>_xll.BDP("108326NZ Muni","MUNI_MSRB_VOLUME")</f>
        <v>#N/A Requesting Data...</v>
      </c>
      <c r="S132" t="str">
        <f>_xll.BDP("108326NZ Muni","BB_COMPOSITE")</f>
        <v>#N/A Requesting Data...</v>
      </c>
      <c r="T132" t="str">
        <f>_xll.BDP("108326NZ Muni","LQA_LIQUIDITY_SCORE")</f>
        <v>#N/A Requesting Data...</v>
      </c>
    </row>
    <row r="133" spans="1:20" x14ac:dyDescent="0.25">
      <c r="A133" t="str">
        <f>_xll.BDP("108326PA Muni","ID_CUSIP")</f>
        <v>#N/A Requesting Data...</v>
      </c>
      <c r="B133" t="s">
        <v>63</v>
      </c>
      <c r="C133" t="str">
        <f>_xll.BDP("108326PA Muni","INSURANCE_STATUS")</f>
        <v>#N/A Requesting Data...</v>
      </c>
      <c r="D133" t="str">
        <f>_xll.BDP("108326PA Muni","STATE_CODE")</f>
        <v>#N/A Requesting Data...</v>
      </c>
      <c r="E133" t="str">
        <f>_xll.BDP("108326PA Muni","COUNTY_LOCATION_ISSUER")</f>
        <v>#N/A Requesting Data...</v>
      </c>
      <c r="F133" t="str">
        <f>_xll.BDP("108326PA Muni","DUR_ADJ_MID")</f>
        <v>#N/A Requesting Data...</v>
      </c>
      <c r="G133" t="str">
        <f>_xll.BDP("108326PA Muni","SPREAD_AT_ISSUANCE_TO_WORST")</f>
        <v>#N/A Requesting Data...</v>
      </c>
      <c r="H133" t="str">
        <f>_xll.BDP("108326PA Muni","ISSUE_DT")</f>
        <v>#N/A Requesting Data...</v>
      </c>
      <c r="I133" t="str">
        <f>_xll.BDS("108326PA Muni","MUNI_PURPOSE_SCHED", "aggregate=y")</f>
        <v>#N/A Requesting Data...</v>
      </c>
      <c r="J133" t="str">
        <f>_xll.BDP("108326PA Muni","CPN")</f>
        <v>#N/A Requesting Data...</v>
      </c>
      <c r="K133" t="str">
        <f>_xll.BDP("108326PA Muni","MATURITY")</f>
        <v>#N/A Requesting Data...</v>
      </c>
      <c r="L133">
        <v>115000</v>
      </c>
      <c r="M133" t="str">
        <f>_xll.BDP("108326PA Muni","YIELD_ON_ISSUE_DATE")</f>
        <v>#N/A Requesting Data...</v>
      </c>
      <c r="N133" t="str">
        <f>_xll.BDP("108326PA Muni","YTW_SPREAD_TO_MATURITY_AT_ISSU")</f>
        <v>#N/A Requesting Data...</v>
      </c>
      <c r="O133" t="str">
        <f>_xll.BDP("108326PA Muni","BVAL_MID_YTM")</f>
        <v>#N/A Requesting Data...</v>
      </c>
      <c r="P133" t="str">
        <f>_xll.BDP("108326PA Muni","MUNI_TAX_PROV")</f>
        <v>#N/A Requesting Data...</v>
      </c>
      <c r="Q133" t="str">
        <f>_xll.BDP("108326PA Muni","MUNI_FED_TAX")</f>
        <v>#N/A Requesting Data...</v>
      </c>
      <c r="R133" t="str">
        <f>_xll.BDP("108326PA Muni","MUNI_MSRB_VOLUME")</f>
        <v>#N/A Requesting Data...</v>
      </c>
      <c r="S133" t="str">
        <f>_xll.BDP("108326PA Muni","BB_COMPOSITE")</f>
        <v>#N/A Requesting Data...</v>
      </c>
      <c r="T133" t="str">
        <f>_xll.BDP("108326PA Muni","LQA_LIQUIDITY_SCORE")</f>
        <v>#N/A Requesting Data...</v>
      </c>
    </row>
    <row r="134" spans="1:20" x14ac:dyDescent="0.25">
      <c r="A134" t="str">
        <f>_xll.BDP("108326PB Muni","ID_CUSIP")</f>
        <v>#N/A Requesting Data...</v>
      </c>
      <c r="B134" t="s">
        <v>63</v>
      </c>
      <c r="C134" t="str">
        <f>_xll.BDP("108326PB Muni","INSURANCE_STATUS")</f>
        <v>#N/A Requesting Data...</v>
      </c>
      <c r="D134" t="str">
        <f>_xll.BDP("108326PB Muni","STATE_CODE")</f>
        <v>#N/A Requesting Data...</v>
      </c>
      <c r="E134" t="str">
        <f>_xll.BDP("108326PB Muni","COUNTY_LOCATION_ISSUER")</f>
        <v>#N/A Requesting Data...</v>
      </c>
      <c r="F134" t="str">
        <f>_xll.BDP("108326PB Muni","DUR_ADJ_MID")</f>
        <v>#N/A Requesting Data...</v>
      </c>
      <c r="G134" t="str">
        <f>_xll.BDP("108326PB Muni","SPREAD_AT_ISSUANCE_TO_WORST")</f>
        <v>#N/A Requesting Data...</v>
      </c>
      <c r="H134" t="str">
        <f>_xll.BDP("108326PB Muni","ISSUE_DT")</f>
        <v>#N/A Requesting Data...</v>
      </c>
      <c r="I134" t="str">
        <f>_xll.BDS("108326PB Muni","MUNI_PURPOSE_SCHED", "aggregate=y")</f>
        <v>#N/A Requesting Data...</v>
      </c>
      <c r="J134" t="str">
        <f>_xll.BDP("108326PB Muni","CPN")</f>
        <v>#N/A Requesting Data...</v>
      </c>
      <c r="K134" t="str">
        <f>_xll.BDP("108326PB Muni","MATURITY")</f>
        <v>#N/A Requesting Data...</v>
      </c>
      <c r="L134">
        <v>120000</v>
      </c>
      <c r="M134" t="str">
        <f>_xll.BDP("108326PB Muni","YIELD_ON_ISSUE_DATE")</f>
        <v>#N/A Requesting Data...</v>
      </c>
      <c r="N134" t="str">
        <f>_xll.BDP("108326PB Muni","YTW_SPREAD_TO_MATURITY_AT_ISSU")</f>
        <v>#N/A Requesting Data...</v>
      </c>
      <c r="O134" t="str">
        <f>_xll.BDP("108326PB Muni","BVAL_MID_YTM")</f>
        <v>#N/A Requesting Data...</v>
      </c>
      <c r="P134" t="str">
        <f>_xll.BDP("108326PB Muni","MUNI_TAX_PROV")</f>
        <v>#N/A Requesting Data...</v>
      </c>
      <c r="Q134" t="str">
        <f>_xll.BDP("108326PB Muni","MUNI_FED_TAX")</f>
        <v>#N/A Requesting Data...</v>
      </c>
      <c r="R134" t="str">
        <f>_xll.BDP("108326PB Muni","MUNI_MSRB_VOLUME")</f>
        <v>#N/A Requesting Data...</v>
      </c>
      <c r="S134" t="str">
        <f>_xll.BDP("108326PB Muni","BB_COMPOSITE")</f>
        <v>#N/A Requesting Data...</v>
      </c>
      <c r="T134" t="str">
        <f>_xll.BDP("108326PB Muni","LQA_LIQUIDITY_SCORE")</f>
        <v>#N/A Requesting Data...</v>
      </c>
    </row>
    <row r="135" spans="1:20" x14ac:dyDescent="0.25">
      <c r="A135" t="str">
        <f>_xll.BDP("108443SE Muni","ID_CUSIP")</f>
        <v>#N/A Requesting Data...</v>
      </c>
      <c r="B135" t="s">
        <v>64</v>
      </c>
      <c r="C135" t="str">
        <f>_xll.BDP("108443SE Muni","INSURANCE_STATUS")</f>
        <v>#N/A Requesting Data...</v>
      </c>
      <c r="D135" t="str">
        <f>_xll.BDP("108443SE Muni","STATE_CODE")</f>
        <v>#N/A Requesting Data...</v>
      </c>
      <c r="E135" t="str">
        <f>_xll.BDP("108443SE Muni","COUNTY_LOCATION_ISSUER")</f>
        <v>#N/A Requesting Data...</v>
      </c>
      <c r="F135" t="str">
        <f>_xll.BDP("108443SE Muni","DUR_ADJ_MID")</f>
        <v>#N/A Requesting Data...</v>
      </c>
      <c r="G135" t="str">
        <f>_xll.BDP("108443SE Muni","SPREAD_AT_ISSUANCE_TO_WORST")</f>
        <v>#N/A Requesting Data...</v>
      </c>
      <c r="H135" t="str">
        <f>_xll.BDP("108443SE Muni","ISSUE_DT")</f>
        <v>#N/A Requesting Data...</v>
      </c>
      <c r="I135" t="str">
        <f>_xll.BDS("108443SE Muni","MUNI_PURPOSE_SCHED", "aggregate=y")</f>
        <v>#N/A Requesting Data...</v>
      </c>
      <c r="J135" t="str">
        <f>_xll.BDP("108443SE Muni","CPN")</f>
        <v>#N/A Requesting Data...</v>
      </c>
      <c r="K135" t="str">
        <f>_xll.BDP("108443SE Muni","MATURITY")</f>
        <v>#N/A Requesting Data...</v>
      </c>
      <c r="L135">
        <v>175000</v>
      </c>
      <c r="M135" t="str">
        <f>_xll.BDP("108443SE Muni","YIELD_ON_ISSUE_DATE")</f>
        <v>#N/A Requesting Data...</v>
      </c>
      <c r="N135" t="str">
        <f>_xll.BDP("108443SE Muni","YTW_SPREAD_TO_MATURITY_AT_ISSU")</f>
        <v>#N/A Requesting Data...</v>
      </c>
      <c r="O135" t="str">
        <f>_xll.BDP("108443SE Muni","BVAL_MID_YTM")</f>
        <v>#N/A Requesting Data...</v>
      </c>
      <c r="P135" t="str">
        <f>_xll.BDP("108443SE Muni","MUNI_TAX_PROV")</f>
        <v>#N/A Requesting Data...</v>
      </c>
      <c r="Q135" t="str">
        <f>_xll.BDP("108443SE Muni","MUNI_FED_TAX")</f>
        <v>#N/A Requesting Data...</v>
      </c>
      <c r="R135" t="str">
        <f>_xll.BDP("108443SE Muni","MUNI_MSRB_VOLUME")</f>
        <v>#N/A Requesting Data...</v>
      </c>
      <c r="S135" t="str">
        <f>_xll.BDP("108443SE Muni","BB_COMPOSITE")</f>
        <v>#N/A Requesting Data...</v>
      </c>
      <c r="T135" t="str">
        <f>_xll.BDP("108443SE Muni","LQA_LIQUIDITY_SCORE")</f>
        <v>#N/A Requesting Data...</v>
      </c>
    </row>
    <row r="136" spans="1:20" x14ac:dyDescent="0.25">
      <c r="A136" t="str">
        <f>_xll.BDP("253452AD Muni","ID_CUSIP")</f>
        <v>#N/A Requesting Data...</v>
      </c>
      <c r="B136" t="s">
        <v>65</v>
      </c>
      <c r="C136" t="str">
        <f>_xll.BDP("253452AD Muni","INSURANCE_STATUS")</f>
        <v>#N/A Requesting Data...</v>
      </c>
      <c r="D136" t="str">
        <f>_xll.BDP("253452AD Muni","STATE_CODE")</f>
        <v>#N/A Requesting Data...</v>
      </c>
      <c r="E136" t="str">
        <f>_xll.BDP("253452AD Muni","COUNTY_LOCATION_ISSUER")</f>
        <v>#N/A Requesting Data...</v>
      </c>
      <c r="F136" t="str">
        <f>_xll.BDP("253452AD Muni","DUR_ADJ_MID")</f>
        <v>#N/A Requesting Data...</v>
      </c>
      <c r="G136" t="str">
        <f>_xll.BDP("253452AD Muni","SPREAD_AT_ISSUANCE_TO_WORST")</f>
        <v>#N/A Requesting Data...</v>
      </c>
      <c r="H136" t="str">
        <f>_xll.BDP("253452AD Muni","ISSUE_DT")</f>
        <v>#N/A Requesting Data...</v>
      </c>
      <c r="I136" t="str">
        <f>_xll.BDS("253452AD Muni","MUNI_PURPOSE_SCHED", "aggregate=y")</f>
        <v>#N/A Requesting Data...</v>
      </c>
      <c r="J136" t="str">
        <f>_xll.BDP("253452AD Muni","CPN")</f>
        <v>#N/A Requesting Data...</v>
      </c>
      <c r="K136" t="str">
        <f>_xll.BDP("253452AD Muni","MATURITY")</f>
        <v>#N/A Requesting Data...</v>
      </c>
      <c r="L136">
        <v>320000</v>
      </c>
      <c r="M136" t="str">
        <f>_xll.BDP("253452AD Muni","YIELD_ON_ISSUE_DATE")</f>
        <v>#N/A Requesting Data...</v>
      </c>
      <c r="N136" t="str">
        <f>_xll.BDP("253452AD Muni","YTW_SPREAD_TO_MATURITY_AT_ISSU")</f>
        <v>#N/A Requesting Data...</v>
      </c>
      <c r="O136" t="str">
        <f>_xll.BDP("253452AD Muni","BVAL_MID_YTM")</f>
        <v>#N/A Requesting Data...</v>
      </c>
      <c r="P136" t="str">
        <f>_xll.BDP("253452AD Muni","MUNI_TAX_PROV")</f>
        <v>#N/A Requesting Data...</v>
      </c>
      <c r="Q136" t="str">
        <f>_xll.BDP("253452AD Muni","MUNI_FED_TAX")</f>
        <v>#N/A Requesting Data...</v>
      </c>
      <c r="R136" t="str">
        <f>_xll.BDP("253452AD Muni","MUNI_MSRB_VOLUME")</f>
        <v>#N/A Requesting Data...</v>
      </c>
      <c r="S136" t="str">
        <f>_xll.BDP("253452AD Muni","BB_COMPOSITE")</f>
        <v>#N/A Requesting Data...</v>
      </c>
      <c r="T136" t="str">
        <f>_xll.BDP("253452AD Muni","LQA_LIQUIDITY_SCORE")</f>
        <v>#N/A Requesting Data...</v>
      </c>
    </row>
    <row r="137" spans="1:20" x14ac:dyDescent="0.25">
      <c r="A137" t="str">
        <f>_xll.BDP("253452AE Muni","ID_CUSIP")</f>
        <v>#N/A Requesting Data...</v>
      </c>
      <c r="B137" t="s">
        <v>65</v>
      </c>
      <c r="C137" t="str">
        <f>_xll.BDP("253452AE Muni","INSURANCE_STATUS")</f>
        <v>#N/A Requesting Data...</v>
      </c>
      <c r="D137" t="str">
        <f>_xll.BDP("253452AE Muni","STATE_CODE")</f>
        <v>#N/A Requesting Data...</v>
      </c>
      <c r="E137" t="str">
        <f>_xll.BDP("253452AE Muni","COUNTY_LOCATION_ISSUER")</f>
        <v>#N/A Requesting Data...</v>
      </c>
      <c r="F137" t="str">
        <f>_xll.BDP("253452AE Muni","DUR_ADJ_MID")</f>
        <v>#N/A Requesting Data...</v>
      </c>
      <c r="G137" t="str">
        <f>_xll.BDP("253452AE Muni","SPREAD_AT_ISSUANCE_TO_WORST")</f>
        <v>#N/A Requesting Data...</v>
      </c>
      <c r="H137" t="str">
        <f>_xll.BDP("253452AE Muni","ISSUE_DT")</f>
        <v>#N/A Requesting Data...</v>
      </c>
      <c r="I137" t="str">
        <f>_xll.BDS("253452AE Muni","MUNI_PURPOSE_SCHED", "aggregate=y")</f>
        <v>#N/A Requesting Data...</v>
      </c>
      <c r="J137" t="str">
        <f>_xll.BDP("253452AE Muni","CPN")</f>
        <v>#N/A Requesting Data...</v>
      </c>
      <c r="K137" t="str">
        <f>_xll.BDP("253452AE Muni","MATURITY")</f>
        <v>#N/A Requesting Data...</v>
      </c>
      <c r="L137">
        <v>335000</v>
      </c>
      <c r="M137" t="str">
        <f>_xll.BDP("253452AE Muni","YIELD_ON_ISSUE_DATE")</f>
        <v>#N/A Requesting Data...</v>
      </c>
      <c r="N137" t="str">
        <f>_xll.BDP("253452AE Muni","YTW_SPREAD_TO_MATURITY_AT_ISSU")</f>
        <v>#N/A Requesting Data...</v>
      </c>
      <c r="O137" t="str">
        <f>_xll.BDP("253452AE Muni","BVAL_MID_YTM")</f>
        <v>#N/A Requesting Data...</v>
      </c>
      <c r="P137" t="str">
        <f>_xll.BDP("253452AE Muni","MUNI_TAX_PROV")</f>
        <v>#N/A Requesting Data...</v>
      </c>
      <c r="Q137" t="str">
        <f>_xll.BDP("253452AE Muni","MUNI_FED_TAX")</f>
        <v>#N/A Requesting Data...</v>
      </c>
      <c r="R137" t="str">
        <f>_xll.BDP("253452AE Muni","MUNI_MSRB_VOLUME")</f>
        <v>#N/A Requesting Data...</v>
      </c>
      <c r="S137" t="str">
        <f>_xll.BDP("253452AE Muni","BB_COMPOSITE")</f>
        <v>#N/A Requesting Data...</v>
      </c>
      <c r="T137" t="str">
        <f>_xll.BDP("253452AE Muni","LQA_LIQUIDITY_SCORE")</f>
        <v>#N/A Requesting Data...</v>
      </c>
    </row>
    <row r="138" spans="1:20" x14ac:dyDescent="0.25">
      <c r="A138" t="str">
        <f>_xll.BDP("254845PJ Muni","ID_CUSIP")</f>
        <v>#N/A Requesting Data...</v>
      </c>
      <c r="B138" t="s">
        <v>66</v>
      </c>
      <c r="C138" t="str">
        <f>_xll.BDP("254845PJ Muni","INSURANCE_STATUS")</f>
        <v>#N/A Requesting Data...</v>
      </c>
      <c r="D138" t="str">
        <f>_xll.BDP("254845PJ Muni","STATE_CODE")</f>
        <v>#N/A Requesting Data...</v>
      </c>
      <c r="E138" t="str">
        <f>_xll.BDP("254845PJ Muni","COUNTY_LOCATION_ISSUER")</f>
        <v>#N/A Requesting Data...</v>
      </c>
      <c r="F138" t="str">
        <f>_xll.BDP("254845PJ Muni","DUR_ADJ_MID")</f>
        <v>#N/A Requesting Data...</v>
      </c>
      <c r="G138" t="str">
        <f>_xll.BDP("254845PJ Muni","SPREAD_AT_ISSUANCE_TO_WORST")</f>
        <v>#N/A Requesting Data...</v>
      </c>
      <c r="H138" t="str">
        <f>_xll.BDP("254845PJ Muni","ISSUE_DT")</f>
        <v>#N/A Requesting Data...</v>
      </c>
      <c r="I138" t="str">
        <f>_xll.BDS("254845PJ Muni","MUNI_PURPOSE_SCHED", "aggregate=y")</f>
        <v>#N/A Requesting Data...</v>
      </c>
      <c r="J138" t="str">
        <f>_xll.BDP("254845PJ Muni","CPN")</f>
        <v>#N/A Requesting Data...</v>
      </c>
      <c r="K138" t="str">
        <f>_xll.BDP("254845PJ Muni","MATURITY")</f>
        <v>#N/A Requesting Data...</v>
      </c>
      <c r="L138">
        <v>3850000</v>
      </c>
      <c r="M138" t="str">
        <f>_xll.BDP("254845PJ Muni","YIELD_ON_ISSUE_DATE")</f>
        <v>#N/A Requesting Data...</v>
      </c>
      <c r="N138" t="str">
        <f>_xll.BDP("254845PJ Muni","YTW_SPREAD_TO_MATURITY_AT_ISSU")</f>
        <v>#N/A Requesting Data...</v>
      </c>
      <c r="O138" t="str">
        <f>_xll.BDP("254845PJ Muni","BVAL_MID_YTM")</f>
        <v>#N/A Requesting Data...</v>
      </c>
      <c r="P138" t="str">
        <f>_xll.BDP("254845PJ Muni","MUNI_TAX_PROV")</f>
        <v>#N/A Requesting Data...</v>
      </c>
      <c r="Q138" t="str">
        <f>_xll.BDP("254845PJ Muni","MUNI_FED_TAX")</f>
        <v>#N/A Requesting Data...</v>
      </c>
      <c r="R138" t="str">
        <f>_xll.BDP("254845PJ Muni","MUNI_MSRB_VOLUME")</f>
        <v>#N/A Requesting Data...</v>
      </c>
      <c r="S138" t="str">
        <f>_xll.BDP("254845PJ Muni","BB_COMPOSITE")</f>
        <v>#N/A Requesting Data...</v>
      </c>
      <c r="T138" t="str">
        <f>_xll.BDP("254845PJ Muni","LQA_LIQUIDITY_SCORE")</f>
        <v>#N/A Requesting Data...</v>
      </c>
    </row>
    <row r="139" spans="1:20" x14ac:dyDescent="0.25">
      <c r="A139" t="str">
        <f>_xll.BDP("254845PK Muni","ID_CUSIP")</f>
        <v>#N/A Requesting Data...</v>
      </c>
      <c r="B139" t="s">
        <v>66</v>
      </c>
      <c r="C139" t="str">
        <f>_xll.BDP("254845PK Muni","INSURANCE_STATUS")</f>
        <v>#N/A Requesting Data...</v>
      </c>
      <c r="D139" t="str">
        <f>_xll.BDP("254845PK Muni","STATE_CODE")</f>
        <v>#N/A Requesting Data...</v>
      </c>
      <c r="E139" t="str">
        <f>_xll.BDP("254845PK Muni","COUNTY_LOCATION_ISSUER")</f>
        <v>#N/A Requesting Data...</v>
      </c>
      <c r="F139" t="str">
        <f>_xll.BDP("254845PK Muni","DUR_ADJ_MID")</f>
        <v>#N/A Requesting Data...</v>
      </c>
      <c r="G139" t="str">
        <f>_xll.BDP("254845PK Muni","SPREAD_AT_ISSUANCE_TO_WORST")</f>
        <v>#N/A Requesting Data...</v>
      </c>
      <c r="H139" t="str">
        <f>_xll.BDP("254845PK Muni","ISSUE_DT")</f>
        <v>#N/A Requesting Data...</v>
      </c>
      <c r="I139" t="str">
        <f>_xll.BDS("254845PK Muni","MUNI_PURPOSE_SCHED", "aggregate=y")</f>
        <v>#N/A Requesting Data...</v>
      </c>
      <c r="J139" t="str">
        <f>_xll.BDP("254845PK Muni","CPN")</f>
        <v>#N/A Requesting Data...</v>
      </c>
      <c r="K139" t="str">
        <f>_xll.BDP("254845PK Muni","MATURITY")</f>
        <v>#N/A Requesting Data...</v>
      </c>
      <c r="L139">
        <v>4045000</v>
      </c>
      <c r="M139" t="str">
        <f>_xll.BDP("254845PK Muni","YIELD_ON_ISSUE_DATE")</f>
        <v>#N/A Requesting Data...</v>
      </c>
      <c r="N139" t="str">
        <f>_xll.BDP("254845PK Muni","YTW_SPREAD_TO_MATURITY_AT_ISSU")</f>
        <v>#N/A Requesting Data...</v>
      </c>
      <c r="O139" t="str">
        <f>_xll.BDP("254845PK Muni","BVAL_MID_YTM")</f>
        <v>#N/A Requesting Data...</v>
      </c>
      <c r="P139" t="str">
        <f>_xll.BDP("254845PK Muni","MUNI_TAX_PROV")</f>
        <v>#N/A Requesting Data...</v>
      </c>
      <c r="Q139" t="str">
        <f>_xll.BDP("254845PK Muni","MUNI_FED_TAX")</f>
        <v>#N/A Requesting Data...</v>
      </c>
      <c r="R139" t="str">
        <f>_xll.BDP("254845PK Muni","MUNI_MSRB_VOLUME")</f>
        <v>#N/A Requesting Data...</v>
      </c>
      <c r="S139" t="str">
        <f>_xll.BDP("254845PK Muni","BB_COMPOSITE")</f>
        <v>#N/A Requesting Data...</v>
      </c>
      <c r="T139" t="str">
        <f>_xll.BDP("254845PK Muni","LQA_LIQUIDITY_SCORE")</f>
        <v>#N/A Requesting Data...</v>
      </c>
    </row>
    <row r="140" spans="1:20" x14ac:dyDescent="0.25">
      <c r="A140" t="str">
        <f>_xll.BDP("254845PL Muni","ID_CUSIP")</f>
        <v>#N/A Requesting Data...</v>
      </c>
      <c r="B140" t="s">
        <v>66</v>
      </c>
      <c r="C140" t="str">
        <f>_xll.BDP("254845PL Muni","INSURANCE_STATUS")</f>
        <v>#N/A Requesting Data...</v>
      </c>
      <c r="D140" t="str">
        <f>_xll.BDP("254845PL Muni","STATE_CODE")</f>
        <v>#N/A Requesting Data...</v>
      </c>
      <c r="E140" t="str">
        <f>_xll.BDP("254845PL Muni","COUNTY_LOCATION_ISSUER")</f>
        <v>#N/A Requesting Data...</v>
      </c>
      <c r="F140" t="str">
        <f>_xll.BDP("254845PL Muni","DUR_ADJ_MID")</f>
        <v>#N/A Requesting Data...</v>
      </c>
      <c r="G140" t="str">
        <f>_xll.BDP("254845PL Muni","SPREAD_AT_ISSUANCE_TO_WORST")</f>
        <v>#N/A Requesting Data...</v>
      </c>
      <c r="H140" t="str">
        <f>_xll.BDP("254845PL Muni","ISSUE_DT")</f>
        <v>#N/A Requesting Data...</v>
      </c>
      <c r="I140" t="str">
        <f>_xll.BDS("254845PL Muni","MUNI_PURPOSE_SCHED", "aggregate=y")</f>
        <v>#N/A Requesting Data...</v>
      </c>
      <c r="J140" t="str">
        <f>_xll.BDP("254845PL Muni","CPN")</f>
        <v>#N/A Requesting Data...</v>
      </c>
      <c r="K140" t="str">
        <f>_xll.BDP("254845PL Muni","MATURITY")</f>
        <v>#N/A Requesting Data...</v>
      </c>
      <c r="L140">
        <v>4245000</v>
      </c>
      <c r="M140" t="str">
        <f>_xll.BDP("254845PL Muni","YIELD_ON_ISSUE_DATE")</f>
        <v>#N/A Requesting Data...</v>
      </c>
      <c r="N140" t="str">
        <f>_xll.BDP("254845PL Muni","YTW_SPREAD_TO_MATURITY_AT_ISSU")</f>
        <v>#N/A Requesting Data...</v>
      </c>
      <c r="O140" t="str">
        <f>_xll.BDP("254845PL Muni","BVAL_MID_YTM")</f>
        <v>#N/A Requesting Data...</v>
      </c>
      <c r="P140" t="str">
        <f>_xll.BDP("254845PL Muni","MUNI_TAX_PROV")</f>
        <v>#N/A Requesting Data...</v>
      </c>
      <c r="Q140" t="str">
        <f>_xll.BDP("254845PL Muni","MUNI_FED_TAX")</f>
        <v>#N/A Requesting Data...</v>
      </c>
      <c r="R140" t="str">
        <f>_xll.BDP("254845PL Muni","MUNI_MSRB_VOLUME")</f>
        <v>#N/A Requesting Data...</v>
      </c>
      <c r="S140" t="str">
        <f>_xll.BDP("254845PL Muni","BB_COMPOSITE")</f>
        <v>#N/A Requesting Data...</v>
      </c>
      <c r="T140" t="str">
        <f>_xll.BDP("254845PL Muni","LQA_LIQUIDITY_SCORE")</f>
        <v>#N/A Requesting Data...</v>
      </c>
    </row>
    <row r="141" spans="1:20" x14ac:dyDescent="0.25">
      <c r="A141" t="str">
        <f>_xll.BDP("254845PM Muni","ID_CUSIP")</f>
        <v>#N/A Requesting Data...</v>
      </c>
      <c r="B141" t="s">
        <v>66</v>
      </c>
      <c r="C141" t="str">
        <f>_xll.BDP("254845PM Muni","INSURANCE_STATUS")</f>
        <v>#N/A Requesting Data...</v>
      </c>
      <c r="D141" t="str">
        <f>_xll.BDP("254845PM Muni","STATE_CODE")</f>
        <v>#N/A Requesting Data...</v>
      </c>
      <c r="E141" t="str">
        <f>_xll.BDP("254845PM Muni","COUNTY_LOCATION_ISSUER")</f>
        <v>#N/A Requesting Data...</v>
      </c>
      <c r="F141" t="str">
        <f>_xll.BDP("254845PM Muni","DUR_ADJ_MID")</f>
        <v>#N/A Requesting Data...</v>
      </c>
      <c r="G141" t="str">
        <f>_xll.BDP("254845PM Muni","SPREAD_AT_ISSUANCE_TO_WORST")</f>
        <v>#N/A Requesting Data...</v>
      </c>
      <c r="H141" t="str">
        <f>_xll.BDP("254845PM Muni","ISSUE_DT")</f>
        <v>#N/A Requesting Data...</v>
      </c>
      <c r="I141" t="str">
        <f>_xll.BDS("254845PM Muni","MUNI_PURPOSE_SCHED", "aggregate=y")</f>
        <v>#N/A Requesting Data...</v>
      </c>
      <c r="J141" t="str">
        <f>_xll.BDP("254845PM Muni","CPN")</f>
        <v>#N/A Requesting Data...</v>
      </c>
      <c r="K141" t="str">
        <f>_xll.BDP("254845PM Muni","MATURITY")</f>
        <v>#N/A Requesting Data...</v>
      </c>
      <c r="L141">
        <v>4455000</v>
      </c>
      <c r="M141" t="str">
        <f>_xll.BDP("254845PM Muni","YIELD_ON_ISSUE_DATE")</f>
        <v>#N/A Requesting Data...</v>
      </c>
      <c r="N141" t="str">
        <f>_xll.BDP("254845PM Muni","YTW_SPREAD_TO_MATURITY_AT_ISSU")</f>
        <v>#N/A Requesting Data...</v>
      </c>
      <c r="O141" t="str">
        <f>_xll.BDP("254845PM Muni","BVAL_MID_YTM")</f>
        <v>#N/A Requesting Data...</v>
      </c>
      <c r="P141" t="str">
        <f>_xll.BDP("254845PM Muni","MUNI_TAX_PROV")</f>
        <v>#N/A Requesting Data...</v>
      </c>
      <c r="Q141" t="str">
        <f>_xll.BDP("254845PM Muni","MUNI_FED_TAX")</f>
        <v>#N/A Requesting Data...</v>
      </c>
      <c r="R141" t="str">
        <f>_xll.BDP("254845PM Muni","MUNI_MSRB_VOLUME")</f>
        <v>#N/A Requesting Data...</v>
      </c>
      <c r="S141" t="str">
        <f>_xll.BDP("254845PM Muni","BB_COMPOSITE")</f>
        <v>#N/A Requesting Data...</v>
      </c>
      <c r="T141" t="str">
        <f>_xll.BDP("254845PM Muni","LQA_LIQUIDITY_SCORE")</f>
        <v>#N/A Requesting Data...</v>
      </c>
    </row>
    <row r="142" spans="1:20" x14ac:dyDescent="0.25">
      <c r="A142" t="str">
        <f>_xll.BDP("254845PN Muni","ID_CUSIP")</f>
        <v>#N/A Requesting Data...</v>
      </c>
      <c r="B142" t="s">
        <v>66</v>
      </c>
      <c r="C142" t="str">
        <f>_xll.BDP("254845PN Muni","INSURANCE_STATUS")</f>
        <v>#N/A Requesting Data...</v>
      </c>
      <c r="D142" t="str">
        <f>_xll.BDP("254845PN Muni","STATE_CODE")</f>
        <v>#N/A Requesting Data...</v>
      </c>
      <c r="E142" t="str">
        <f>_xll.BDP("254845PN Muni","COUNTY_LOCATION_ISSUER")</f>
        <v>#N/A Requesting Data...</v>
      </c>
      <c r="F142" t="str">
        <f>_xll.BDP("254845PN Muni","DUR_ADJ_MID")</f>
        <v>#N/A Requesting Data...</v>
      </c>
      <c r="G142" t="str">
        <f>_xll.BDP("254845PN Muni","SPREAD_AT_ISSUANCE_TO_WORST")</f>
        <v>#N/A Requesting Data...</v>
      </c>
      <c r="H142" t="str">
        <f>_xll.BDP("254845PN Muni","ISSUE_DT")</f>
        <v>#N/A Requesting Data...</v>
      </c>
      <c r="I142" t="str">
        <f>_xll.BDS("254845PN Muni","MUNI_PURPOSE_SCHED", "aggregate=y")</f>
        <v>#N/A Requesting Data...</v>
      </c>
      <c r="J142" t="str">
        <f>_xll.BDP("254845PN Muni","CPN")</f>
        <v>#N/A Requesting Data...</v>
      </c>
      <c r="K142" t="str">
        <f>_xll.BDP("254845PN Muni","MATURITY")</f>
        <v>#N/A Requesting Data...</v>
      </c>
      <c r="L142">
        <v>4680000</v>
      </c>
      <c r="M142" t="str">
        <f>_xll.BDP("254845PN Muni","YIELD_ON_ISSUE_DATE")</f>
        <v>#N/A Requesting Data...</v>
      </c>
      <c r="N142" t="str">
        <f>_xll.BDP("254845PN Muni","YTW_SPREAD_TO_MATURITY_AT_ISSU")</f>
        <v>#N/A Requesting Data...</v>
      </c>
      <c r="O142" t="str">
        <f>_xll.BDP("254845PN Muni","BVAL_MID_YTM")</f>
        <v>#N/A Requesting Data...</v>
      </c>
      <c r="P142" t="str">
        <f>_xll.BDP("254845PN Muni","MUNI_TAX_PROV")</f>
        <v>#N/A Requesting Data...</v>
      </c>
      <c r="Q142" t="str">
        <f>_xll.BDP("254845PN Muni","MUNI_FED_TAX")</f>
        <v>#N/A Requesting Data...</v>
      </c>
      <c r="R142" t="str">
        <f>_xll.BDP("254845PN Muni","MUNI_MSRB_VOLUME")</f>
        <v>#N/A Requesting Data...</v>
      </c>
      <c r="S142" t="str">
        <f>_xll.BDP("254845PN Muni","BB_COMPOSITE")</f>
        <v>#N/A Requesting Data...</v>
      </c>
      <c r="T142" t="str">
        <f>_xll.BDP("254845PN Muni","LQA_LIQUIDITY_SCORE")</f>
        <v>#N/A Requesting Data...</v>
      </c>
    </row>
    <row r="143" spans="1:20" x14ac:dyDescent="0.25">
      <c r="A143" t="str">
        <f>_xll.BDP("254845PP Muni","ID_CUSIP")</f>
        <v>#N/A Requesting Data...</v>
      </c>
      <c r="B143" t="s">
        <v>66</v>
      </c>
      <c r="C143" t="str">
        <f>_xll.BDP("254845PP Muni","INSURANCE_STATUS")</f>
        <v>#N/A Requesting Data...</v>
      </c>
      <c r="D143" t="str">
        <f>_xll.BDP("254845PP Muni","STATE_CODE")</f>
        <v>#N/A Requesting Data...</v>
      </c>
      <c r="E143" t="str">
        <f>_xll.BDP("254845PP Muni","COUNTY_LOCATION_ISSUER")</f>
        <v>#N/A Requesting Data...</v>
      </c>
      <c r="F143" t="str">
        <f>_xll.BDP("254845PP Muni","DUR_ADJ_MID")</f>
        <v>#N/A Requesting Data...</v>
      </c>
      <c r="G143" t="str">
        <f>_xll.BDP("254845PP Muni","SPREAD_AT_ISSUANCE_TO_WORST")</f>
        <v>#N/A Requesting Data...</v>
      </c>
      <c r="H143" t="str">
        <f>_xll.BDP("254845PP Muni","ISSUE_DT")</f>
        <v>#N/A Requesting Data...</v>
      </c>
      <c r="I143" t="str">
        <f>_xll.BDS("254845PP Muni","MUNI_PURPOSE_SCHED", "aggregate=y")</f>
        <v>#N/A Requesting Data...</v>
      </c>
      <c r="J143" t="str">
        <f>_xll.BDP("254845PP Muni","CPN")</f>
        <v>#N/A Requesting Data...</v>
      </c>
      <c r="K143" t="str">
        <f>_xll.BDP("254845PP Muni","MATURITY")</f>
        <v>#N/A Requesting Data...</v>
      </c>
      <c r="L143">
        <v>4915000</v>
      </c>
      <c r="M143" t="str">
        <f>_xll.BDP("254845PP Muni","YIELD_ON_ISSUE_DATE")</f>
        <v>#N/A Requesting Data...</v>
      </c>
      <c r="N143" t="str">
        <f>_xll.BDP("254845PP Muni","YTW_SPREAD_TO_MATURITY_AT_ISSU")</f>
        <v>#N/A Requesting Data...</v>
      </c>
      <c r="O143" t="str">
        <f>_xll.BDP("254845PP Muni","BVAL_MID_YTM")</f>
        <v>#N/A Requesting Data...</v>
      </c>
      <c r="P143" t="str">
        <f>_xll.BDP("254845PP Muni","MUNI_TAX_PROV")</f>
        <v>#N/A Requesting Data...</v>
      </c>
      <c r="Q143" t="str">
        <f>_xll.BDP("254845PP Muni","MUNI_FED_TAX")</f>
        <v>#N/A Requesting Data...</v>
      </c>
      <c r="R143" t="str">
        <f>_xll.BDP("254845PP Muni","MUNI_MSRB_VOLUME")</f>
        <v>#N/A Requesting Data...</v>
      </c>
      <c r="S143" t="str">
        <f>_xll.BDP("254845PP Muni","BB_COMPOSITE")</f>
        <v>#N/A Requesting Data...</v>
      </c>
      <c r="T143" t="str">
        <f>_xll.BDP("254845PP Muni","LQA_LIQUIDITY_SCORE")</f>
        <v>#N/A Requesting Data...</v>
      </c>
    </row>
    <row r="144" spans="1:20" x14ac:dyDescent="0.25">
      <c r="A144" t="str">
        <f>_xll.BDP("21657AQJ Muni","ID_CUSIP")</f>
        <v>#N/A Requesting Data...</v>
      </c>
      <c r="B144" t="s">
        <v>67</v>
      </c>
      <c r="C144" t="str">
        <f>_xll.BDP("21657AQJ Muni","INSURANCE_STATUS")</f>
        <v>#N/A Requesting Data...</v>
      </c>
      <c r="D144" t="str">
        <f>_xll.BDP("21657AQJ Muni","STATE_CODE")</f>
        <v>#N/A Requesting Data...</v>
      </c>
      <c r="E144" t="str">
        <f>_xll.BDP("21657AQJ Muni","COUNTY_LOCATION_ISSUER")</f>
        <v>#N/A Requesting Data...</v>
      </c>
      <c r="F144" t="str">
        <f>_xll.BDP("21657AQJ Muni","DUR_ADJ_MID")</f>
        <v>#N/A Requesting Data...</v>
      </c>
      <c r="G144" t="str">
        <f>_xll.BDP("21657AQJ Muni","SPREAD_AT_ISSUANCE_TO_WORST")</f>
        <v>#N/A Requesting Data...</v>
      </c>
      <c r="H144" t="str">
        <f>_xll.BDP("21657AQJ Muni","ISSUE_DT")</f>
        <v>#N/A Requesting Data...</v>
      </c>
      <c r="I144" t="str">
        <f>_xll.BDS("21657AQJ Muni","MUNI_PURPOSE_SCHED", "aggregate=y")</f>
        <v>#N/A Requesting Data...</v>
      </c>
      <c r="J144" t="str">
        <f>_xll.BDP("21657AQJ Muni","CPN")</f>
        <v>#N/A Requesting Data...</v>
      </c>
      <c r="K144" t="str">
        <f>_xll.BDP("21657AQJ Muni","MATURITY")</f>
        <v>#N/A Requesting Data...</v>
      </c>
      <c r="L144">
        <v>850000</v>
      </c>
      <c r="M144" t="str">
        <f>_xll.BDP("21657AQJ Muni","YIELD_ON_ISSUE_DATE")</f>
        <v>#N/A Requesting Data...</v>
      </c>
      <c r="N144" t="str">
        <f>_xll.BDP("21657AQJ Muni","YTW_SPREAD_TO_MATURITY_AT_ISSU")</f>
        <v>#N/A Requesting Data...</v>
      </c>
      <c r="O144" t="str">
        <f>_xll.BDP("21657AQJ Muni","BVAL_MID_YTM")</f>
        <v>#N/A Requesting Data...</v>
      </c>
      <c r="P144" t="str">
        <f>_xll.BDP("21657AQJ Muni","MUNI_TAX_PROV")</f>
        <v>#N/A Requesting Data...</v>
      </c>
      <c r="Q144" t="str">
        <f>_xll.BDP("21657AQJ Muni","MUNI_FED_TAX")</f>
        <v>#N/A Requesting Data...</v>
      </c>
      <c r="R144" t="str">
        <f>_xll.BDP("21657AQJ Muni","MUNI_MSRB_VOLUME")</f>
        <v>#N/A Requesting Data...</v>
      </c>
      <c r="S144" t="str">
        <f>_xll.BDP("21657AQJ Muni","BB_COMPOSITE")</f>
        <v>#N/A Requesting Data...</v>
      </c>
      <c r="T144" t="str">
        <f>_xll.BDP("21657AQJ Muni","LQA_LIQUIDITY_SCORE")</f>
        <v>#N/A Requesting Data...</v>
      </c>
    </row>
    <row r="145" spans="1:20" x14ac:dyDescent="0.25">
      <c r="A145" t="str">
        <f>_xll.BDP("21657AQK Muni","ID_CUSIP")</f>
        <v>#N/A Requesting Data...</v>
      </c>
      <c r="B145" t="s">
        <v>67</v>
      </c>
      <c r="C145" t="str">
        <f>_xll.BDP("21657AQK Muni","INSURANCE_STATUS")</f>
        <v>#N/A Requesting Data...</v>
      </c>
      <c r="D145" t="str">
        <f>_xll.BDP("21657AQK Muni","STATE_CODE")</f>
        <v>#N/A Requesting Data...</v>
      </c>
      <c r="E145" t="str">
        <f>_xll.BDP("21657AQK Muni","COUNTY_LOCATION_ISSUER")</f>
        <v>#N/A Requesting Data...</v>
      </c>
      <c r="F145" t="str">
        <f>_xll.BDP("21657AQK Muni","DUR_ADJ_MID")</f>
        <v>#N/A Requesting Data...</v>
      </c>
      <c r="G145" t="str">
        <f>_xll.BDP("21657AQK Muni","SPREAD_AT_ISSUANCE_TO_WORST")</f>
        <v>#N/A Requesting Data...</v>
      </c>
      <c r="H145" t="str">
        <f>_xll.BDP("21657AQK Muni","ISSUE_DT")</f>
        <v>#N/A Requesting Data...</v>
      </c>
      <c r="I145" t="str">
        <f>_xll.BDS("21657AQK Muni","MUNI_PURPOSE_SCHED", "aggregate=y")</f>
        <v>#N/A Requesting Data...</v>
      </c>
      <c r="J145" t="str">
        <f>_xll.BDP("21657AQK Muni","CPN")</f>
        <v>#N/A Requesting Data...</v>
      </c>
      <c r="K145" t="str">
        <f>_xll.BDP("21657AQK Muni","MATURITY")</f>
        <v>#N/A Requesting Data...</v>
      </c>
      <c r="L145">
        <v>885000</v>
      </c>
      <c r="M145" t="str">
        <f>_xll.BDP("21657AQK Muni","YIELD_ON_ISSUE_DATE")</f>
        <v>#N/A Requesting Data...</v>
      </c>
      <c r="N145" t="str">
        <f>_xll.BDP("21657AQK Muni","YTW_SPREAD_TO_MATURITY_AT_ISSU")</f>
        <v>#N/A Requesting Data...</v>
      </c>
      <c r="O145" t="str">
        <f>_xll.BDP("21657AQK Muni","BVAL_MID_YTM")</f>
        <v>#N/A Requesting Data...</v>
      </c>
      <c r="P145" t="str">
        <f>_xll.BDP("21657AQK Muni","MUNI_TAX_PROV")</f>
        <v>#N/A Requesting Data...</v>
      </c>
      <c r="Q145" t="str">
        <f>_xll.BDP("21657AQK Muni","MUNI_FED_TAX")</f>
        <v>#N/A Requesting Data...</v>
      </c>
      <c r="R145" t="str">
        <f>_xll.BDP("21657AQK Muni","MUNI_MSRB_VOLUME")</f>
        <v>#N/A Requesting Data...</v>
      </c>
      <c r="S145" t="str">
        <f>_xll.BDP("21657AQK Muni","BB_COMPOSITE")</f>
        <v>#N/A Requesting Data...</v>
      </c>
      <c r="T145" t="str">
        <f>_xll.BDP("21657AQK Muni","LQA_LIQUIDITY_SCORE")</f>
        <v>#N/A Requesting Data...</v>
      </c>
    </row>
    <row r="146" spans="1:20" x14ac:dyDescent="0.25">
      <c r="A146" t="str">
        <f>_xll.BDP("21657AQL Muni","ID_CUSIP")</f>
        <v>#N/A Requesting Data...</v>
      </c>
      <c r="B146" t="s">
        <v>67</v>
      </c>
      <c r="C146" t="str">
        <f>_xll.BDP("21657AQL Muni","INSURANCE_STATUS")</f>
        <v>#N/A Requesting Data...</v>
      </c>
      <c r="D146" t="str">
        <f>_xll.BDP("21657AQL Muni","STATE_CODE")</f>
        <v>#N/A Requesting Data...</v>
      </c>
      <c r="E146" t="str">
        <f>_xll.BDP("21657AQL Muni","COUNTY_LOCATION_ISSUER")</f>
        <v>#N/A Requesting Data...</v>
      </c>
      <c r="F146" t="str">
        <f>_xll.BDP("21657AQL Muni","DUR_ADJ_MID")</f>
        <v>#N/A Requesting Data...</v>
      </c>
      <c r="G146" t="str">
        <f>_xll.BDP("21657AQL Muni","SPREAD_AT_ISSUANCE_TO_WORST")</f>
        <v>#N/A Requesting Data...</v>
      </c>
      <c r="H146" t="str">
        <f>_xll.BDP("21657AQL Muni","ISSUE_DT")</f>
        <v>#N/A Requesting Data...</v>
      </c>
      <c r="I146" t="str">
        <f>_xll.BDS("21657AQL Muni","MUNI_PURPOSE_SCHED", "aggregate=y")</f>
        <v>#N/A Requesting Data...</v>
      </c>
      <c r="J146" t="str">
        <f>_xll.BDP("21657AQL Muni","CPN")</f>
        <v>#N/A Requesting Data...</v>
      </c>
      <c r="K146" t="str">
        <f>_xll.BDP("21657AQL Muni","MATURITY")</f>
        <v>#N/A Requesting Data...</v>
      </c>
      <c r="L146">
        <v>925000</v>
      </c>
      <c r="M146" t="str">
        <f>_xll.BDP("21657AQL Muni","YIELD_ON_ISSUE_DATE")</f>
        <v>#N/A Requesting Data...</v>
      </c>
      <c r="N146" t="str">
        <f>_xll.BDP("21657AQL Muni","YTW_SPREAD_TO_MATURITY_AT_ISSU")</f>
        <v>#N/A Requesting Data...</v>
      </c>
      <c r="O146" t="str">
        <f>_xll.BDP("21657AQL Muni","BVAL_MID_YTM")</f>
        <v>#N/A Requesting Data...</v>
      </c>
      <c r="P146" t="str">
        <f>_xll.BDP("21657AQL Muni","MUNI_TAX_PROV")</f>
        <v>#N/A Requesting Data...</v>
      </c>
      <c r="Q146" t="str">
        <f>_xll.BDP("21657AQL Muni","MUNI_FED_TAX")</f>
        <v>#N/A Requesting Data...</v>
      </c>
      <c r="R146" t="str">
        <f>_xll.BDP("21657AQL Muni","MUNI_MSRB_VOLUME")</f>
        <v>#N/A Requesting Data...</v>
      </c>
      <c r="S146" t="str">
        <f>_xll.BDP("21657AQL Muni","BB_COMPOSITE")</f>
        <v>#N/A Requesting Data...</v>
      </c>
      <c r="T146" t="str">
        <f>_xll.BDP("21657AQL Muni","LQA_LIQUIDITY_SCORE")</f>
        <v>#N/A Requesting Data...</v>
      </c>
    </row>
    <row r="147" spans="1:20" x14ac:dyDescent="0.25">
      <c r="A147" t="str">
        <f>_xll.BDP("21657AQM Muni","ID_CUSIP")</f>
        <v>#N/A Requesting Data...</v>
      </c>
      <c r="B147" t="s">
        <v>67</v>
      </c>
      <c r="C147" t="str">
        <f>_xll.BDP("21657AQM Muni","INSURANCE_STATUS")</f>
        <v>#N/A Requesting Data...</v>
      </c>
      <c r="D147" t="str">
        <f>_xll.BDP("21657AQM Muni","STATE_CODE")</f>
        <v>#N/A Requesting Data...</v>
      </c>
      <c r="E147" t="str">
        <f>_xll.BDP("21657AQM Muni","COUNTY_LOCATION_ISSUER")</f>
        <v>#N/A Requesting Data...</v>
      </c>
      <c r="F147" t="str">
        <f>_xll.BDP("21657AQM Muni","DUR_ADJ_MID")</f>
        <v>#N/A Requesting Data...</v>
      </c>
      <c r="G147" t="str">
        <f>_xll.BDP("21657AQM Muni","SPREAD_AT_ISSUANCE_TO_WORST")</f>
        <v>#N/A Requesting Data...</v>
      </c>
      <c r="H147" t="str">
        <f>_xll.BDP("21657AQM Muni","ISSUE_DT")</f>
        <v>#N/A Requesting Data...</v>
      </c>
      <c r="I147" t="str">
        <f>_xll.BDS("21657AQM Muni","MUNI_PURPOSE_SCHED", "aggregate=y")</f>
        <v>#N/A Requesting Data...</v>
      </c>
      <c r="J147" t="str">
        <f>_xll.BDP("21657AQM Muni","CPN")</f>
        <v>#N/A Requesting Data...</v>
      </c>
      <c r="K147" t="str">
        <f>_xll.BDP("21657AQM Muni","MATURITY")</f>
        <v>#N/A Requesting Data...</v>
      </c>
      <c r="L147">
        <v>960000</v>
      </c>
      <c r="M147" t="str">
        <f>_xll.BDP("21657AQM Muni","YIELD_ON_ISSUE_DATE")</f>
        <v>#N/A Requesting Data...</v>
      </c>
      <c r="N147" t="str">
        <f>_xll.BDP("21657AQM Muni","YTW_SPREAD_TO_MATURITY_AT_ISSU")</f>
        <v>#N/A Requesting Data...</v>
      </c>
      <c r="O147" t="str">
        <f>_xll.BDP("21657AQM Muni","BVAL_MID_YTM")</f>
        <v>#N/A Requesting Data...</v>
      </c>
      <c r="P147" t="str">
        <f>_xll.BDP("21657AQM Muni","MUNI_TAX_PROV")</f>
        <v>#N/A Requesting Data...</v>
      </c>
      <c r="Q147" t="str">
        <f>_xll.BDP("21657AQM Muni","MUNI_FED_TAX")</f>
        <v>#N/A Requesting Data...</v>
      </c>
      <c r="R147" t="str">
        <f>_xll.BDP("21657AQM Muni","MUNI_MSRB_VOLUME")</f>
        <v>#N/A Requesting Data...</v>
      </c>
      <c r="S147" t="str">
        <f>_xll.BDP("21657AQM Muni","BB_COMPOSITE")</f>
        <v>#N/A Requesting Data...</v>
      </c>
      <c r="T147" t="str">
        <f>_xll.BDP("21657AQM Muni","LQA_LIQUIDITY_SCORE")</f>
        <v>#N/A Requesting Data...</v>
      </c>
    </row>
    <row r="148" spans="1:20" x14ac:dyDescent="0.25">
      <c r="A148" t="str">
        <f>_xll.BDP("21657AQN Muni","ID_CUSIP")</f>
        <v>#N/A Requesting Data...</v>
      </c>
      <c r="B148" t="s">
        <v>67</v>
      </c>
      <c r="C148" t="str">
        <f>_xll.BDP("21657AQN Muni","INSURANCE_STATUS")</f>
        <v>#N/A Requesting Data...</v>
      </c>
      <c r="D148" t="str">
        <f>_xll.BDP("21657AQN Muni","STATE_CODE")</f>
        <v>#N/A Requesting Data...</v>
      </c>
      <c r="E148" t="str">
        <f>_xll.BDP("21657AQN Muni","COUNTY_LOCATION_ISSUER")</f>
        <v>#N/A Requesting Data...</v>
      </c>
      <c r="F148" t="str">
        <f>_xll.BDP("21657AQN Muni","DUR_ADJ_MID")</f>
        <v>#N/A Requesting Data...</v>
      </c>
      <c r="G148" t="str">
        <f>_xll.BDP("21657AQN Muni","SPREAD_AT_ISSUANCE_TO_WORST")</f>
        <v>#N/A Requesting Data...</v>
      </c>
      <c r="H148" t="str">
        <f>_xll.BDP("21657AQN Muni","ISSUE_DT")</f>
        <v>#N/A Requesting Data...</v>
      </c>
      <c r="I148" t="str">
        <f>_xll.BDS("21657AQN Muni","MUNI_PURPOSE_SCHED", "aggregate=y")</f>
        <v>#N/A Requesting Data...</v>
      </c>
      <c r="J148" t="str">
        <f>_xll.BDP("21657AQN Muni","CPN")</f>
        <v>#N/A Requesting Data...</v>
      </c>
      <c r="K148" t="str">
        <f>_xll.BDP("21657AQN Muni","MATURITY")</f>
        <v>#N/A Requesting Data...</v>
      </c>
      <c r="L148">
        <v>995000</v>
      </c>
      <c r="M148" t="str">
        <f>_xll.BDP("21657AQN Muni","YIELD_ON_ISSUE_DATE")</f>
        <v>#N/A Requesting Data...</v>
      </c>
      <c r="N148" t="str">
        <f>_xll.BDP("21657AQN Muni","YTW_SPREAD_TO_MATURITY_AT_ISSU")</f>
        <v>#N/A Requesting Data...</v>
      </c>
      <c r="O148" t="str">
        <f>_xll.BDP("21657AQN Muni","BVAL_MID_YTM")</f>
        <v>#N/A Requesting Data...</v>
      </c>
      <c r="P148" t="str">
        <f>_xll.BDP("21657AQN Muni","MUNI_TAX_PROV")</f>
        <v>#N/A Requesting Data...</v>
      </c>
      <c r="Q148" t="str">
        <f>_xll.BDP("21657AQN Muni","MUNI_FED_TAX")</f>
        <v>#N/A Requesting Data...</v>
      </c>
      <c r="R148" t="str">
        <f>_xll.BDP("21657AQN Muni","MUNI_MSRB_VOLUME")</f>
        <v>#N/A Requesting Data...</v>
      </c>
      <c r="S148" t="str">
        <f>_xll.BDP("21657AQN Muni","BB_COMPOSITE")</f>
        <v>#N/A Requesting Data...</v>
      </c>
      <c r="T148" t="str">
        <f>_xll.BDP("21657AQN Muni","LQA_LIQUIDITY_SCORE")</f>
        <v>#N/A Requesting Data...</v>
      </c>
    </row>
    <row r="149" spans="1:20" x14ac:dyDescent="0.25">
      <c r="A149" t="str">
        <f>_xll.BDP("218759KF Muni","ID_CUSIP")</f>
        <v>#N/A Requesting Data...</v>
      </c>
      <c r="B149" t="s">
        <v>68</v>
      </c>
      <c r="C149" t="str">
        <f>_xll.BDP("218759KF Muni","INSURANCE_STATUS")</f>
        <v>#N/A Requesting Data...</v>
      </c>
      <c r="D149" t="str">
        <f>_xll.BDP("218759KF Muni","STATE_CODE")</f>
        <v>#N/A Requesting Data...</v>
      </c>
      <c r="E149" t="str">
        <f>_xll.BDP("218759KF Muni","COUNTY_LOCATION_ISSUER")</f>
        <v>#N/A Requesting Data...</v>
      </c>
      <c r="F149" t="str">
        <f>_xll.BDP("218759KF Muni","DUR_ADJ_MID")</f>
        <v>#N/A Requesting Data...</v>
      </c>
      <c r="G149" t="str">
        <f>_xll.BDP("218759KF Muni","SPREAD_AT_ISSUANCE_TO_WORST")</f>
        <v>#N/A Requesting Data...</v>
      </c>
      <c r="H149" t="str">
        <f>_xll.BDP("218759KF Muni","ISSUE_DT")</f>
        <v>#N/A Requesting Data...</v>
      </c>
      <c r="I149" t="str">
        <f>_xll.BDS("218759KF Muni","MUNI_PURPOSE_SCHED", "aggregate=y")</f>
        <v>#N/A Requesting Data...</v>
      </c>
      <c r="J149" t="str">
        <f>_xll.BDP("218759KF Muni","CPN")</f>
        <v>#N/A Requesting Data...</v>
      </c>
      <c r="K149" t="str">
        <f>_xll.BDP("218759KF Muni","MATURITY")</f>
        <v>#N/A Requesting Data...</v>
      </c>
      <c r="L149">
        <v>80000</v>
      </c>
      <c r="M149" t="str">
        <f>_xll.BDP("218759KF Muni","YIELD_ON_ISSUE_DATE")</f>
        <v>#N/A Requesting Data...</v>
      </c>
      <c r="N149" t="str">
        <f>_xll.BDP("218759KF Muni","YTW_SPREAD_TO_MATURITY_AT_ISSU")</f>
        <v>#N/A Requesting Data...</v>
      </c>
      <c r="O149" t="str">
        <f>_xll.BDP("218759KF Muni","BVAL_MID_YTM")</f>
        <v>#N/A Requesting Data...</v>
      </c>
      <c r="P149" t="str">
        <f>_xll.BDP("218759KF Muni","MUNI_TAX_PROV")</f>
        <v>#N/A Requesting Data...</v>
      </c>
      <c r="Q149" t="str">
        <f>_xll.BDP("218759KF Muni","MUNI_FED_TAX")</f>
        <v>#N/A Requesting Data...</v>
      </c>
      <c r="R149" t="str">
        <f>_xll.BDP("218759KF Muni","MUNI_MSRB_VOLUME")</f>
        <v>#N/A Requesting Data...</v>
      </c>
      <c r="S149" t="str">
        <f>_xll.BDP("218759KF Muni","BB_COMPOSITE")</f>
        <v>#N/A Requesting Data...</v>
      </c>
      <c r="T149" t="str">
        <f>_xll.BDP("218759KF Muni","LQA_LIQUIDITY_SCORE")</f>
        <v>#N/A Requesting Data...</v>
      </c>
    </row>
    <row r="150" spans="1:20" x14ac:dyDescent="0.25">
      <c r="A150" t="str">
        <f>_xll.BDP("218759KG Muni","ID_CUSIP")</f>
        <v>#N/A Requesting Data...</v>
      </c>
      <c r="B150" t="s">
        <v>68</v>
      </c>
      <c r="C150" t="str">
        <f>_xll.BDP("218759KG Muni","INSURANCE_STATUS")</f>
        <v>#N/A Requesting Data...</v>
      </c>
      <c r="D150" t="str">
        <f>_xll.BDP("218759KG Muni","STATE_CODE")</f>
        <v>#N/A Requesting Data...</v>
      </c>
      <c r="E150" t="str">
        <f>_xll.BDP("218759KG Muni","COUNTY_LOCATION_ISSUER")</f>
        <v>#N/A Requesting Data...</v>
      </c>
      <c r="F150" t="str">
        <f>_xll.BDP("218759KG Muni","DUR_ADJ_MID")</f>
        <v>#N/A Requesting Data...</v>
      </c>
      <c r="G150" t="str">
        <f>_xll.BDP("218759KG Muni","SPREAD_AT_ISSUANCE_TO_WORST")</f>
        <v>#N/A Requesting Data...</v>
      </c>
      <c r="H150" t="str">
        <f>_xll.BDP("218759KG Muni","ISSUE_DT")</f>
        <v>#N/A Requesting Data...</v>
      </c>
      <c r="I150" t="str">
        <f>_xll.BDS("218759KG Muni","MUNI_PURPOSE_SCHED", "aggregate=y")</f>
        <v>#N/A Requesting Data...</v>
      </c>
      <c r="J150" t="str">
        <f>_xll.BDP("218759KG Muni","CPN")</f>
        <v>#N/A Requesting Data...</v>
      </c>
      <c r="K150" t="str">
        <f>_xll.BDP("218759KG Muni","MATURITY")</f>
        <v>#N/A Requesting Data...</v>
      </c>
      <c r="L150">
        <v>85000</v>
      </c>
      <c r="M150" t="str">
        <f>_xll.BDP("218759KG Muni","YIELD_ON_ISSUE_DATE")</f>
        <v>#N/A Requesting Data...</v>
      </c>
      <c r="N150" t="str">
        <f>_xll.BDP("218759KG Muni","YTW_SPREAD_TO_MATURITY_AT_ISSU")</f>
        <v>#N/A Requesting Data...</v>
      </c>
      <c r="O150" t="str">
        <f>_xll.BDP("218759KG Muni","BVAL_MID_YTM")</f>
        <v>#N/A Requesting Data...</v>
      </c>
      <c r="P150" t="str">
        <f>_xll.BDP("218759KG Muni","MUNI_TAX_PROV")</f>
        <v>#N/A Requesting Data...</v>
      </c>
      <c r="Q150" t="str">
        <f>_xll.BDP("218759KG Muni","MUNI_FED_TAX")</f>
        <v>#N/A Requesting Data...</v>
      </c>
      <c r="R150" t="str">
        <f>_xll.BDP("218759KG Muni","MUNI_MSRB_VOLUME")</f>
        <v>#N/A Requesting Data...</v>
      </c>
      <c r="S150" t="str">
        <f>_xll.BDP("218759KG Muni","BB_COMPOSITE")</f>
        <v>#N/A Requesting Data...</v>
      </c>
      <c r="T150" t="str">
        <f>_xll.BDP("218759KG Muni","LQA_LIQUIDITY_SCORE")</f>
        <v>#N/A Requesting Data...</v>
      </c>
    </row>
    <row r="151" spans="1:20" x14ac:dyDescent="0.25">
      <c r="A151" t="str">
        <f>_xll.BDP("218759KH Muni","ID_CUSIP")</f>
        <v>#N/A Requesting Data...</v>
      </c>
      <c r="B151" t="s">
        <v>68</v>
      </c>
      <c r="C151" t="str">
        <f>_xll.BDP("218759KH Muni","INSURANCE_STATUS")</f>
        <v>#N/A Requesting Data...</v>
      </c>
      <c r="D151" t="str">
        <f>_xll.BDP("218759KH Muni","STATE_CODE")</f>
        <v>#N/A Requesting Data...</v>
      </c>
      <c r="E151" t="str">
        <f>_xll.BDP("218759KH Muni","COUNTY_LOCATION_ISSUER")</f>
        <v>#N/A Requesting Data...</v>
      </c>
      <c r="F151" t="str">
        <f>_xll.BDP("218759KH Muni","DUR_ADJ_MID")</f>
        <v>#N/A Requesting Data...</v>
      </c>
      <c r="G151" t="str">
        <f>_xll.BDP("218759KH Muni","SPREAD_AT_ISSUANCE_TO_WORST")</f>
        <v>#N/A Requesting Data...</v>
      </c>
      <c r="H151" t="str">
        <f>_xll.BDP("218759KH Muni","ISSUE_DT")</f>
        <v>#N/A Requesting Data...</v>
      </c>
      <c r="I151" t="str">
        <f>_xll.BDS("218759KH Muni","MUNI_PURPOSE_SCHED", "aggregate=y")</f>
        <v>#N/A Requesting Data...</v>
      </c>
      <c r="J151" t="str">
        <f>_xll.BDP("218759KH Muni","CPN")</f>
        <v>#N/A Requesting Data...</v>
      </c>
      <c r="K151" t="str">
        <f>_xll.BDP("218759KH Muni","MATURITY")</f>
        <v>#N/A Requesting Data...</v>
      </c>
      <c r="L151">
        <v>85000</v>
      </c>
      <c r="M151" t="str">
        <f>_xll.BDP("218759KH Muni","YIELD_ON_ISSUE_DATE")</f>
        <v>#N/A Requesting Data...</v>
      </c>
      <c r="N151" t="str">
        <f>_xll.BDP("218759KH Muni","YTW_SPREAD_TO_MATURITY_AT_ISSU")</f>
        <v>#N/A Requesting Data...</v>
      </c>
      <c r="O151" t="str">
        <f>_xll.BDP("218759KH Muni","BVAL_MID_YTM")</f>
        <v>#N/A Requesting Data...</v>
      </c>
      <c r="P151" t="str">
        <f>_xll.BDP("218759KH Muni","MUNI_TAX_PROV")</f>
        <v>#N/A Requesting Data...</v>
      </c>
      <c r="Q151" t="str">
        <f>_xll.BDP("218759KH Muni","MUNI_FED_TAX")</f>
        <v>#N/A Requesting Data...</v>
      </c>
      <c r="R151" t="str">
        <f>_xll.BDP("218759KH Muni","MUNI_MSRB_VOLUME")</f>
        <v>#N/A Requesting Data...</v>
      </c>
      <c r="S151" t="str">
        <f>_xll.BDP("218759KH Muni","BB_COMPOSITE")</f>
        <v>#N/A Requesting Data...</v>
      </c>
      <c r="T151" t="str">
        <f>_xll.BDP("218759KH Muni","LQA_LIQUIDITY_SCORE")</f>
        <v>#N/A Requesting Data...</v>
      </c>
    </row>
    <row r="152" spans="1:20" x14ac:dyDescent="0.25">
      <c r="A152" t="str">
        <f>_xll.BDP("218759KJ Muni","ID_CUSIP")</f>
        <v>#N/A Requesting Data...</v>
      </c>
      <c r="B152" t="s">
        <v>68</v>
      </c>
      <c r="C152" t="str">
        <f>_xll.BDP("218759KJ Muni","INSURANCE_STATUS")</f>
        <v>#N/A Requesting Data...</v>
      </c>
      <c r="D152" t="str">
        <f>_xll.BDP("218759KJ Muni","STATE_CODE")</f>
        <v>#N/A Requesting Data...</v>
      </c>
      <c r="E152" t="str">
        <f>_xll.BDP("218759KJ Muni","COUNTY_LOCATION_ISSUER")</f>
        <v>#N/A Requesting Data...</v>
      </c>
      <c r="F152" t="str">
        <f>_xll.BDP("218759KJ Muni","DUR_ADJ_MID")</f>
        <v>#N/A Requesting Data...</v>
      </c>
      <c r="G152" t="str">
        <f>_xll.BDP("218759KJ Muni","SPREAD_AT_ISSUANCE_TO_WORST")</f>
        <v>#N/A Requesting Data...</v>
      </c>
      <c r="H152" t="str">
        <f>_xll.BDP("218759KJ Muni","ISSUE_DT")</f>
        <v>#N/A Requesting Data...</v>
      </c>
      <c r="I152" t="str">
        <f>_xll.BDS("218759KJ Muni","MUNI_PURPOSE_SCHED", "aggregate=y")</f>
        <v>#N/A Requesting Data...</v>
      </c>
      <c r="J152" t="str">
        <f>_xll.BDP("218759KJ Muni","CPN")</f>
        <v>#N/A Requesting Data...</v>
      </c>
      <c r="K152" t="str">
        <f>_xll.BDP("218759KJ Muni","MATURITY")</f>
        <v>#N/A Requesting Data...</v>
      </c>
      <c r="L152">
        <v>90000</v>
      </c>
      <c r="M152" t="str">
        <f>_xll.BDP("218759KJ Muni","YIELD_ON_ISSUE_DATE")</f>
        <v>#N/A Requesting Data...</v>
      </c>
      <c r="N152" t="str">
        <f>_xll.BDP("218759KJ Muni","YTW_SPREAD_TO_MATURITY_AT_ISSU")</f>
        <v>#N/A Requesting Data...</v>
      </c>
      <c r="O152" t="str">
        <f>_xll.BDP("218759KJ Muni","BVAL_MID_YTM")</f>
        <v>#N/A Requesting Data...</v>
      </c>
      <c r="P152" t="str">
        <f>_xll.BDP("218759KJ Muni","MUNI_TAX_PROV")</f>
        <v>#N/A Requesting Data...</v>
      </c>
      <c r="Q152" t="str">
        <f>_xll.BDP("218759KJ Muni","MUNI_FED_TAX")</f>
        <v>#N/A Requesting Data...</v>
      </c>
      <c r="R152" t="str">
        <f>_xll.BDP("218759KJ Muni","MUNI_MSRB_VOLUME")</f>
        <v>#N/A Requesting Data...</v>
      </c>
      <c r="S152" t="str">
        <f>_xll.BDP("218759KJ Muni","BB_COMPOSITE")</f>
        <v>#N/A Requesting Data...</v>
      </c>
      <c r="T152" t="str">
        <f>_xll.BDP("218759KJ Muni","LQA_LIQUIDITY_SCORE")</f>
        <v>#N/A Requesting Data...</v>
      </c>
    </row>
    <row r="153" spans="1:20" x14ac:dyDescent="0.25">
      <c r="A153" t="str">
        <f>_xll.BDP("218759KK Muni","ID_CUSIP")</f>
        <v>#N/A Requesting Data...</v>
      </c>
      <c r="B153" t="s">
        <v>68</v>
      </c>
      <c r="C153" t="str">
        <f>_xll.BDP("218759KK Muni","INSURANCE_STATUS")</f>
        <v>#N/A Requesting Data...</v>
      </c>
      <c r="D153" t="str">
        <f>_xll.BDP("218759KK Muni","STATE_CODE")</f>
        <v>#N/A Requesting Data...</v>
      </c>
      <c r="E153" t="str">
        <f>_xll.BDP("218759KK Muni","COUNTY_LOCATION_ISSUER")</f>
        <v>#N/A Requesting Data...</v>
      </c>
      <c r="F153" t="str">
        <f>_xll.BDP("218759KK Muni","DUR_ADJ_MID")</f>
        <v>#N/A Requesting Data...</v>
      </c>
      <c r="G153" t="str">
        <f>_xll.BDP("218759KK Muni","SPREAD_AT_ISSUANCE_TO_WORST")</f>
        <v>#N/A Requesting Data...</v>
      </c>
      <c r="H153" t="str">
        <f>_xll.BDP("218759KK Muni","ISSUE_DT")</f>
        <v>#N/A Requesting Data...</v>
      </c>
      <c r="I153" t="str">
        <f>_xll.BDS("218759KK Muni","MUNI_PURPOSE_SCHED", "aggregate=y")</f>
        <v>#N/A Requesting Data...</v>
      </c>
      <c r="J153" t="str">
        <f>_xll.BDP("218759KK Muni","CPN")</f>
        <v>#N/A Requesting Data...</v>
      </c>
      <c r="K153" t="str">
        <f>_xll.BDP("218759KK Muni","MATURITY")</f>
        <v>#N/A Requesting Data...</v>
      </c>
      <c r="L153">
        <v>95000</v>
      </c>
      <c r="M153" t="str">
        <f>_xll.BDP("218759KK Muni","YIELD_ON_ISSUE_DATE")</f>
        <v>#N/A Requesting Data...</v>
      </c>
      <c r="N153" t="str">
        <f>_xll.BDP("218759KK Muni","YTW_SPREAD_TO_MATURITY_AT_ISSU")</f>
        <v>#N/A Requesting Data...</v>
      </c>
      <c r="O153" t="str">
        <f>_xll.BDP("218759KK Muni","BVAL_MID_YTM")</f>
        <v>#N/A Requesting Data...</v>
      </c>
      <c r="P153" t="str">
        <f>_xll.BDP("218759KK Muni","MUNI_TAX_PROV")</f>
        <v>#N/A Requesting Data...</v>
      </c>
      <c r="Q153" t="str">
        <f>_xll.BDP("218759KK Muni","MUNI_FED_TAX")</f>
        <v>#N/A Requesting Data...</v>
      </c>
      <c r="R153" t="str">
        <f>_xll.BDP("218759KK Muni","MUNI_MSRB_VOLUME")</f>
        <v>#N/A Requesting Data...</v>
      </c>
      <c r="S153" t="str">
        <f>_xll.BDP("218759KK Muni","BB_COMPOSITE")</f>
        <v>#N/A Requesting Data...</v>
      </c>
      <c r="T153" t="str">
        <f>_xll.BDP("218759KK Muni","LQA_LIQUIDITY_SCORE")</f>
        <v>#N/A Requesting Data...</v>
      </c>
    </row>
    <row r="154" spans="1:20" x14ac:dyDescent="0.25">
      <c r="A154" t="str">
        <f>_xll.BDP("219228FT Muni","ID_CUSIP")</f>
        <v>#N/A Requesting Data...</v>
      </c>
      <c r="B154" t="s">
        <v>69</v>
      </c>
      <c r="C154" t="str">
        <f>_xll.BDP("219228FT Muni","INSURANCE_STATUS")</f>
        <v>#N/A Requesting Data...</v>
      </c>
      <c r="D154" t="str">
        <f>_xll.BDP("219228FT Muni","STATE_CODE")</f>
        <v>#N/A Requesting Data...</v>
      </c>
      <c r="E154" t="str">
        <f>_xll.BDP("219228FT Muni","COUNTY_LOCATION_ISSUER")</f>
        <v>#N/A Requesting Data...</v>
      </c>
      <c r="F154" t="str">
        <f>_xll.BDP("219228FT Muni","DUR_ADJ_MID")</f>
        <v>#N/A Requesting Data...</v>
      </c>
      <c r="G154" t="str">
        <f>_xll.BDP("219228FT Muni","SPREAD_AT_ISSUANCE_TO_WORST")</f>
        <v>#N/A Requesting Data...</v>
      </c>
      <c r="H154" t="str">
        <f>_xll.BDP("219228FT Muni","ISSUE_DT")</f>
        <v>#N/A Requesting Data...</v>
      </c>
      <c r="I154" t="str">
        <f>_xll.BDS("219228FT Muni","MUNI_PURPOSE_SCHED", "aggregate=y")</f>
        <v>#N/A Requesting Data...</v>
      </c>
      <c r="J154" t="str">
        <f>_xll.BDP("219228FT Muni","CPN")</f>
        <v>#N/A Requesting Data...</v>
      </c>
      <c r="K154" t="str">
        <f>_xll.BDP("219228FT Muni","MATURITY")</f>
        <v>#N/A Requesting Data...</v>
      </c>
      <c r="L154">
        <v>565000</v>
      </c>
      <c r="M154" t="str">
        <f>_xll.BDP("219228FT Muni","YIELD_ON_ISSUE_DATE")</f>
        <v>#N/A Requesting Data...</v>
      </c>
      <c r="N154" t="str">
        <f>_xll.BDP("219228FT Muni","YTW_SPREAD_TO_MATURITY_AT_ISSU")</f>
        <v>#N/A Requesting Data...</v>
      </c>
      <c r="O154" t="str">
        <f>_xll.BDP("219228FT Muni","BVAL_MID_YTM")</f>
        <v>#N/A Requesting Data...</v>
      </c>
      <c r="P154" t="str">
        <f>_xll.BDP("219228FT Muni","MUNI_TAX_PROV")</f>
        <v>#N/A Requesting Data...</v>
      </c>
      <c r="Q154" t="str">
        <f>_xll.BDP("219228FT Muni","MUNI_FED_TAX")</f>
        <v>#N/A Requesting Data...</v>
      </c>
      <c r="R154" t="str">
        <f>_xll.BDP("219228FT Muni","MUNI_MSRB_VOLUME")</f>
        <v>#N/A Requesting Data...</v>
      </c>
      <c r="S154" t="str">
        <f>_xll.BDP("219228FT Muni","BB_COMPOSITE")</f>
        <v>#N/A Requesting Data...</v>
      </c>
      <c r="T154" t="str">
        <f>_xll.BDP("219228FT Muni","LQA_LIQUIDITY_SCORE")</f>
        <v>#N/A Requesting Data...</v>
      </c>
    </row>
    <row r="155" spans="1:20" x14ac:dyDescent="0.25">
      <c r="A155" t="str">
        <f>_xll.BDP("219399LY Muni","ID_CUSIP")</f>
        <v>#N/A Requesting Data...</v>
      </c>
      <c r="B155" t="s">
        <v>70</v>
      </c>
      <c r="C155" t="str">
        <f>_xll.BDP("219399LY Muni","INSURANCE_STATUS")</f>
        <v>#N/A Requesting Data...</v>
      </c>
      <c r="D155" t="str">
        <f>_xll.BDP("219399LY Muni","STATE_CODE")</f>
        <v>#N/A Requesting Data...</v>
      </c>
      <c r="E155" t="str">
        <f>_xll.BDP("219399LY Muni","COUNTY_LOCATION_ISSUER")</f>
        <v>#N/A Requesting Data...</v>
      </c>
      <c r="F155" t="str">
        <f>_xll.BDP("219399LY Muni","DUR_ADJ_MID")</f>
        <v>#N/A Requesting Data...</v>
      </c>
      <c r="G155" t="str">
        <f>_xll.BDP("219399LY Muni","SPREAD_AT_ISSUANCE_TO_WORST")</f>
        <v>#N/A Requesting Data...</v>
      </c>
      <c r="H155" t="str">
        <f>_xll.BDP("219399LY Muni","ISSUE_DT")</f>
        <v>#N/A Requesting Data...</v>
      </c>
      <c r="I155" t="str">
        <f>_xll.BDS("219399LY Muni","MUNI_PURPOSE_SCHED", "aggregate=y")</f>
        <v>#N/A Requesting Data...</v>
      </c>
      <c r="J155" t="str">
        <f>_xll.BDP("219399LY Muni","CPN")</f>
        <v>#N/A Requesting Data...</v>
      </c>
      <c r="K155" t="str">
        <f>_xll.BDP("219399LY Muni","MATURITY")</f>
        <v>#N/A Requesting Data...</v>
      </c>
      <c r="L155">
        <v>130000</v>
      </c>
      <c r="M155" t="str">
        <f>_xll.BDP("219399LY Muni","YIELD_ON_ISSUE_DATE")</f>
        <v>#N/A Requesting Data...</v>
      </c>
      <c r="N155" t="str">
        <f>_xll.BDP("219399LY Muni","YTW_SPREAD_TO_MATURITY_AT_ISSU")</f>
        <v>#N/A Requesting Data...</v>
      </c>
      <c r="O155" t="str">
        <f>_xll.BDP("219399LY Muni","BVAL_MID_YTM")</f>
        <v>#N/A Requesting Data...</v>
      </c>
      <c r="P155" t="str">
        <f>_xll.BDP("219399LY Muni","MUNI_TAX_PROV")</f>
        <v>#N/A Requesting Data...</v>
      </c>
      <c r="Q155" t="str">
        <f>_xll.BDP("219399LY Muni","MUNI_FED_TAX")</f>
        <v>#N/A Requesting Data...</v>
      </c>
      <c r="R155" t="str">
        <f>_xll.BDP("219399LY Muni","MUNI_MSRB_VOLUME")</f>
        <v>#N/A Requesting Data...</v>
      </c>
      <c r="S155" t="str">
        <f>_xll.BDP("219399LY Muni","BB_COMPOSITE")</f>
        <v>#N/A Requesting Data...</v>
      </c>
      <c r="T155" t="str">
        <f>_xll.BDP("219399LY Muni","LQA_LIQUIDITY_SCORE")</f>
        <v>#N/A Requesting Data...</v>
      </c>
    </row>
    <row r="156" spans="1:20" x14ac:dyDescent="0.25">
      <c r="A156" t="str">
        <f>_xll.BDP("219399LZ Muni","ID_CUSIP")</f>
        <v>#N/A Requesting Data...</v>
      </c>
      <c r="B156" t="s">
        <v>70</v>
      </c>
      <c r="C156" t="str">
        <f>_xll.BDP("219399LZ Muni","INSURANCE_STATUS")</f>
        <v>#N/A Requesting Data...</v>
      </c>
      <c r="D156" t="str">
        <f>_xll.BDP("219399LZ Muni","STATE_CODE")</f>
        <v>#N/A Requesting Data...</v>
      </c>
      <c r="E156" t="str">
        <f>_xll.BDP("219399LZ Muni","COUNTY_LOCATION_ISSUER")</f>
        <v>#N/A Requesting Data...</v>
      </c>
      <c r="F156" t="str">
        <f>_xll.BDP("219399LZ Muni","DUR_ADJ_MID")</f>
        <v>#N/A Requesting Data...</v>
      </c>
      <c r="G156" t="str">
        <f>_xll.BDP("219399LZ Muni","SPREAD_AT_ISSUANCE_TO_WORST")</f>
        <v>#N/A Requesting Data...</v>
      </c>
      <c r="H156" t="str">
        <f>_xll.BDP("219399LZ Muni","ISSUE_DT")</f>
        <v>#N/A Requesting Data...</v>
      </c>
      <c r="I156" t="str">
        <f>_xll.BDS("219399LZ Muni","MUNI_PURPOSE_SCHED", "aggregate=y")</f>
        <v>#N/A Requesting Data...</v>
      </c>
      <c r="J156" t="str">
        <f>_xll.BDP("219399LZ Muni","CPN")</f>
        <v>#N/A Requesting Data...</v>
      </c>
      <c r="K156" t="str">
        <f>_xll.BDP("219399LZ Muni","MATURITY")</f>
        <v>#N/A Requesting Data...</v>
      </c>
      <c r="L156">
        <v>130000</v>
      </c>
      <c r="M156" t="str">
        <f>_xll.BDP("219399LZ Muni","YIELD_ON_ISSUE_DATE")</f>
        <v>#N/A Requesting Data...</v>
      </c>
      <c r="N156" t="str">
        <f>_xll.BDP("219399LZ Muni","YTW_SPREAD_TO_MATURITY_AT_ISSU")</f>
        <v>#N/A Requesting Data...</v>
      </c>
      <c r="O156" t="str">
        <f>_xll.BDP("219399LZ Muni","BVAL_MID_YTM")</f>
        <v>#N/A Requesting Data...</v>
      </c>
      <c r="P156" t="str">
        <f>_xll.BDP("219399LZ Muni","MUNI_TAX_PROV")</f>
        <v>#N/A Requesting Data...</v>
      </c>
      <c r="Q156" t="str">
        <f>_xll.BDP("219399LZ Muni","MUNI_FED_TAX")</f>
        <v>#N/A Requesting Data...</v>
      </c>
      <c r="R156" t="str">
        <f>_xll.BDP("219399LZ Muni","MUNI_MSRB_VOLUME")</f>
        <v>#N/A Requesting Data...</v>
      </c>
      <c r="S156" t="str">
        <f>_xll.BDP("219399LZ Muni","BB_COMPOSITE")</f>
        <v>#N/A Requesting Data...</v>
      </c>
      <c r="T156" t="str">
        <f>_xll.BDP("219399LZ Muni","LQA_LIQUIDITY_SCORE")</f>
        <v>#N/A Requesting Data...</v>
      </c>
    </row>
    <row r="157" spans="1:20" x14ac:dyDescent="0.25">
      <c r="A157" t="str">
        <f>_xll.BDP("219399MA Muni","ID_CUSIP")</f>
        <v>#N/A Requesting Data...</v>
      </c>
      <c r="B157" t="s">
        <v>70</v>
      </c>
      <c r="C157" t="str">
        <f>_xll.BDP("219399MA Muni","INSURANCE_STATUS")</f>
        <v>#N/A Requesting Data...</v>
      </c>
      <c r="D157" t="str">
        <f>_xll.BDP("219399MA Muni","STATE_CODE")</f>
        <v>#N/A Requesting Data...</v>
      </c>
      <c r="E157" t="str">
        <f>_xll.BDP("219399MA Muni","COUNTY_LOCATION_ISSUER")</f>
        <v>#N/A Requesting Data...</v>
      </c>
      <c r="F157" t="str">
        <f>_xll.BDP("219399MA Muni","DUR_ADJ_MID")</f>
        <v>#N/A Requesting Data...</v>
      </c>
      <c r="G157" t="str">
        <f>_xll.BDP("219399MA Muni","SPREAD_AT_ISSUANCE_TO_WORST")</f>
        <v>#N/A Requesting Data...</v>
      </c>
      <c r="H157" t="str">
        <f>_xll.BDP("219399MA Muni","ISSUE_DT")</f>
        <v>#N/A Requesting Data...</v>
      </c>
      <c r="I157" t="str">
        <f>_xll.BDS("219399MA Muni","MUNI_PURPOSE_SCHED", "aggregate=y")</f>
        <v>#N/A Requesting Data...</v>
      </c>
      <c r="J157" t="str">
        <f>_xll.BDP("219399MA Muni","CPN")</f>
        <v>#N/A Requesting Data...</v>
      </c>
      <c r="K157" t="str">
        <f>_xll.BDP("219399MA Muni","MATURITY")</f>
        <v>#N/A Requesting Data...</v>
      </c>
      <c r="L157">
        <v>135000</v>
      </c>
      <c r="M157" t="str">
        <f>_xll.BDP("219399MA Muni","YIELD_ON_ISSUE_DATE")</f>
        <v>#N/A Requesting Data...</v>
      </c>
      <c r="N157" t="str">
        <f>_xll.BDP("219399MA Muni","YTW_SPREAD_TO_MATURITY_AT_ISSU")</f>
        <v>#N/A Requesting Data...</v>
      </c>
      <c r="O157" t="str">
        <f>_xll.BDP("219399MA Muni","BVAL_MID_YTM")</f>
        <v>#N/A Requesting Data...</v>
      </c>
      <c r="P157" t="str">
        <f>_xll.BDP("219399MA Muni","MUNI_TAX_PROV")</f>
        <v>#N/A Requesting Data...</v>
      </c>
      <c r="Q157" t="str">
        <f>_xll.BDP("219399MA Muni","MUNI_FED_TAX")</f>
        <v>#N/A Requesting Data...</v>
      </c>
      <c r="R157" t="str">
        <f>_xll.BDP("219399MA Muni","MUNI_MSRB_VOLUME")</f>
        <v>#N/A Requesting Data...</v>
      </c>
      <c r="S157" t="str">
        <f>_xll.BDP("219399MA Muni","BB_COMPOSITE")</f>
        <v>#N/A Requesting Data...</v>
      </c>
      <c r="T157" t="str">
        <f>_xll.BDP("219399MA Muni","LQA_LIQUIDITY_SCORE")</f>
        <v>#N/A Requesting Data...</v>
      </c>
    </row>
    <row r="158" spans="1:20" x14ac:dyDescent="0.25">
      <c r="A158" t="str">
        <f>_xll.BDP("219399MB Muni","ID_CUSIP")</f>
        <v>#N/A Requesting Data...</v>
      </c>
      <c r="B158" t="s">
        <v>70</v>
      </c>
      <c r="C158" t="str">
        <f>_xll.BDP("219399MB Muni","INSURANCE_STATUS")</f>
        <v>#N/A Requesting Data...</v>
      </c>
      <c r="D158" t="str">
        <f>_xll.BDP("219399MB Muni","STATE_CODE")</f>
        <v>#N/A Requesting Data...</v>
      </c>
      <c r="E158" t="str">
        <f>_xll.BDP("219399MB Muni","COUNTY_LOCATION_ISSUER")</f>
        <v>#N/A Requesting Data...</v>
      </c>
      <c r="F158" t="str">
        <f>_xll.BDP("219399MB Muni","DUR_ADJ_MID")</f>
        <v>#N/A Requesting Data...</v>
      </c>
      <c r="G158" t="str">
        <f>_xll.BDP("219399MB Muni","SPREAD_AT_ISSUANCE_TO_WORST")</f>
        <v>#N/A Requesting Data...</v>
      </c>
      <c r="H158" t="str">
        <f>_xll.BDP("219399MB Muni","ISSUE_DT")</f>
        <v>#N/A Requesting Data...</v>
      </c>
      <c r="I158" t="str">
        <f>_xll.BDS("219399MB Muni","MUNI_PURPOSE_SCHED", "aggregate=y")</f>
        <v>#N/A Requesting Data...</v>
      </c>
      <c r="J158" t="str">
        <f>_xll.BDP("219399MB Muni","CPN")</f>
        <v>#N/A Requesting Data...</v>
      </c>
      <c r="K158" t="str">
        <f>_xll.BDP("219399MB Muni","MATURITY")</f>
        <v>#N/A Requesting Data...</v>
      </c>
      <c r="L158">
        <v>140000</v>
      </c>
      <c r="M158" t="str">
        <f>_xll.BDP("219399MB Muni","YIELD_ON_ISSUE_DATE")</f>
        <v>#N/A Requesting Data...</v>
      </c>
      <c r="N158" t="str">
        <f>_xll.BDP("219399MB Muni","YTW_SPREAD_TO_MATURITY_AT_ISSU")</f>
        <v>#N/A Requesting Data...</v>
      </c>
      <c r="O158" t="str">
        <f>_xll.BDP("219399MB Muni","BVAL_MID_YTM")</f>
        <v>#N/A Requesting Data...</v>
      </c>
      <c r="P158" t="str">
        <f>_xll.BDP("219399MB Muni","MUNI_TAX_PROV")</f>
        <v>#N/A Requesting Data...</v>
      </c>
      <c r="Q158" t="str">
        <f>_xll.BDP("219399MB Muni","MUNI_FED_TAX")</f>
        <v>#N/A Requesting Data...</v>
      </c>
      <c r="R158" t="str">
        <f>_xll.BDP("219399MB Muni","MUNI_MSRB_VOLUME")</f>
        <v>#N/A Requesting Data...</v>
      </c>
      <c r="S158" t="str">
        <f>_xll.BDP("219399MB Muni","BB_COMPOSITE")</f>
        <v>#N/A Requesting Data...</v>
      </c>
      <c r="T158" t="str">
        <f>_xll.BDP("219399MB Muni","LQA_LIQUIDITY_SCORE")</f>
        <v>#N/A Requesting Data...</v>
      </c>
    </row>
    <row r="159" spans="1:20" x14ac:dyDescent="0.25">
      <c r="A159" t="str">
        <f>_xll.BDP("219680EB Muni","ID_CUSIP")</f>
        <v>#N/A Requesting Data...</v>
      </c>
      <c r="B159" t="s">
        <v>71</v>
      </c>
      <c r="C159" t="str">
        <f>_xll.BDP("219680EB Muni","INSURANCE_STATUS")</f>
        <v>#N/A Requesting Data...</v>
      </c>
      <c r="D159" t="str">
        <f>_xll.BDP("219680EB Muni","STATE_CODE")</f>
        <v>#N/A Requesting Data...</v>
      </c>
      <c r="E159" t="str">
        <f>_xll.BDP("219680EB Muni","COUNTY_LOCATION_ISSUER")</f>
        <v>#N/A Requesting Data...</v>
      </c>
      <c r="F159" t="str">
        <f>_xll.BDP("219680EB Muni","DUR_ADJ_MID")</f>
        <v>#N/A Requesting Data...</v>
      </c>
      <c r="G159" t="str">
        <f>_xll.BDP("219680EB Muni","SPREAD_AT_ISSUANCE_TO_WORST")</f>
        <v>#N/A Requesting Data...</v>
      </c>
      <c r="H159" t="str">
        <f>_xll.BDP("219680EB Muni","ISSUE_DT")</f>
        <v>#N/A Requesting Data...</v>
      </c>
      <c r="I159" t="str">
        <f>_xll.BDS("219680EB Muni","MUNI_PURPOSE_SCHED", "aggregate=y")</f>
        <v>#N/A Requesting Data...</v>
      </c>
      <c r="J159" t="str">
        <f>_xll.BDP("219680EB Muni","CPN")</f>
        <v>#N/A Requesting Data...</v>
      </c>
      <c r="K159" t="str">
        <f>_xll.BDP("219680EB Muni","MATURITY")</f>
        <v>#N/A Requesting Data...</v>
      </c>
      <c r="L159">
        <v>50000</v>
      </c>
      <c r="M159" t="str">
        <f>_xll.BDP("219680EB Muni","YIELD_ON_ISSUE_DATE")</f>
        <v>#N/A Requesting Data...</v>
      </c>
      <c r="N159" t="str">
        <f>_xll.BDP("219680EB Muni","YTW_SPREAD_TO_MATURITY_AT_ISSU")</f>
        <v>#N/A Requesting Data...</v>
      </c>
      <c r="O159" t="str">
        <f>_xll.BDP("219680EB Muni","BVAL_MID_YTM")</f>
        <v>#N/A Requesting Data...</v>
      </c>
      <c r="P159" t="str">
        <f>_xll.BDP("219680EB Muni","MUNI_TAX_PROV")</f>
        <v>#N/A Requesting Data...</v>
      </c>
      <c r="Q159" t="str">
        <f>_xll.BDP("219680EB Muni","MUNI_FED_TAX")</f>
        <v>#N/A Requesting Data...</v>
      </c>
      <c r="R159" t="str">
        <f>_xll.BDP("219680EB Muni","MUNI_MSRB_VOLUME")</f>
        <v>#N/A Requesting Data...</v>
      </c>
      <c r="S159" t="str">
        <f>_xll.BDP("219680EB Muni","BB_COMPOSITE")</f>
        <v>#N/A Requesting Data...</v>
      </c>
      <c r="T159" t="str">
        <f>_xll.BDP("219680EB Muni","LQA_LIQUIDITY_SCORE")</f>
        <v>#N/A Requesting Data...</v>
      </c>
    </row>
    <row r="160" spans="1:20" x14ac:dyDescent="0.25">
      <c r="A160" t="str">
        <f>_xll.BDP("219680EC Muni","ID_CUSIP")</f>
        <v>#N/A Requesting Data...</v>
      </c>
      <c r="B160" t="s">
        <v>71</v>
      </c>
      <c r="C160" t="str">
        <f>_xll.BDP("219680EC Muni","INSURANCE_STATUS")</f>
        <v>#N/A Requesting Data...</v>
      </c>
      <c r="D160" t="str">
        <f>_xll.BDP("219680EC Muni","STATE_CODE")</f>
        <v>#N/A Requesting Data...</v>
      </c>
      <c r="E160" t="str">
        <f>_xll.BDP("219680EC Muni","COUNTY_LOCATION_ISSUER")</f>
        <v>#N/A Requesting Data...</v>
      </c>
      <c r="F160" t="str">
        <f>_xll.BDP("219680EC Muni","DUR_ADJ_MID")</f>
        <v>#N/A Requesting Data...</v>
      </c>
      <c r="G160" t="str">
        <f>_xll.BDP("219680EC Muni","SPREAD_AT_ISSUANCE_TO_WORST")</f>
        <v>#N/A Requesting Data...</v>
      </c>
      <c r="H160" t="str">
        <f>_xll.BDP("219680EC Muni","ISSUE_DT")</f>
        <v>#N/A Requesting Data...</v>
      </c>
      <c r="I160" t="str">
        <f>_xll.BDS("219680EC Muni","MUNI_PURPOSE_SCHED", "aggregate=y")</f>
        <v>#N/A Requesting Data...</v>
      </c>
      <c r="J160" t="str">
        <f>_xll.BDP("219680EC Muni","CPN")</f>
        <v>#N/A Requesting Data...</v>
      </c>
      <c r="K160" t="str">
        <f>_xll.BDP("219680EC Muni","MATURITY")</f>
        <v>#N/A Requesting Data...</v>
      </c>
      <c r="L160">
        <v>55000</v>
      </c>
      <c r="M160" t="str">
        <f>_xll.BDP("219680EC Muni","YIELD_ON_ISSUE_DATE")</f>
        <v>#N/A Requesting Data...</v>
      </c>
      <c r="N160" t="str">
        <f>_xll.BDP("219680EC Muni","YTW_SPREAD_TO_MATURITY_AT_ISSU")</f>
        <v>#N/A Requesting Data...</v>
      </c>
      <c r="O160" t="str">
        <f>_xll.BDP("219680EC Muni","BVAL_MID_YTM")</f>
        <v>#N/A Requesting Data...</v>
      </c>
      <c r="P160" t="str">
        <f>_xll.BDP("219680EC Muni","MUNI_TAX_PROV")</f>
        <v>#N/A Requesting Data...</v>
      </c>
      <c r="Q160" t="str">
        <f>_xll.BDP("219680EC Muni","MUNI_FED_TAX")</f>
        <v>#N/A Requesting Data...</v>
      </c>
      <c r="R160" t="str">
        <f>_xll.BDP("219680EC Muni","MUNI_MSRB_VOLUME")</f>
        <v>#N/A Requesting Data...</v>
      </c>
      <c r="S160" t="str">
        <f>_xll.BDP("219680EC Muni","BB_COMPOSITE")</f>
        <v>#N/A Requesting Data...</v>
      </c>
      <c r="T160" t="str">
        <f>_xll.BDP("219680EC Muni","LQA_LIQUIDITY_SCORE")</f>
        <v>#N/A Requesting Data...</v>
      </c>
    </row>
    <row r="161" spans="1:20" x14ac:dyDescent="0.25">
      <c r="A161" t="str">
        <f>_xll.BDP("219680ED Muni","ID_CUSIP")</f>
        <v>#N/A Requesting Data...</v>
      </c>
      <c r="B161" t="s">
        <v>71</v>
      </c>
      <c r="C161" t="str">
        <f>_xll.BDP("219680ED Muni","INSURANCE_STATUS")</f>
        <v>#N/A Requesting Data...</v>
      </c>
      <c r="D161" t="str">
        <f>_xll.BDP("219680ED Muni","STATE_CODE")</f>
        <v>#N/A Requesting Data...</v>
      </c>
      <c r="E161" t="str">
        <f>_xll.BDP("219680ED Muni","COUNTY_LOCATION_ISSUER")</f>
        <v>#N/A Requesting Data...</v>
      </c>
      <c r="F161" t="str">
        <f>_xll.BDP("219680ED Muni","DUR_ADJ_MID")</f>
        <v>#N/A Requesting Data...</v>
      </c>
      <c r="G161" t="str">
        <f>_xll.BDP("219680ED Muni","SPREAD_AT_ISSUANCE_TO_WORST")</f>
        <v>#N/A Requesting Data...</v>
      </c>
      <c r="H161" t="str">
        <f>_xll.BDP("219680ED Muni","ISSUE_DT")</f>
        <v>#N/A Requesting Data...</v>
      </c>
      <c r="I161" t="str">
        <f>_xll.BDS("219680ED Muni","MUNI_PURPOSE_SCHED", "aggregate=y")</f>
        <v>#N/A Requesting Data...</v>
      </c>
      <c r="J161" t="str">
        <f>_xll.BDP("219680ED Muni","CPN")</f>
        <v>#N/A Requesting Data...</v>
      </c>
      <c r="K161" t="str">
        <f>_xll.BDP("219680ED Muni","MATURITY")</f>
        <v>#N/A Requesting Data...</v>
      </c>
      <c r="L161">
        <v>75000</v>
      </c>
      <c r="M161" t="str">
        <f>_xll.BDP("219680ED Muni","YIELD_ON_ISSUE_DATE")</f>
        <v>#N/A Requesting Data...</v>
      </c>
      <c r="N161" t="str">
        <f>_xll.BDP("219680ED Muni","YTW_SPREAD_TO_MATURITY_AT_ISSU")</f>
        <v>#N/A Requesting Data...</v>
      </c>
      <c r="O161" t="str">
        <f>_xll.BDP("219680ED Muni","BVAL_MID_YTM")</f>
        <v>#N/A Requesting Data...</v>
      </c>
      <c r="P161" t="str">
        <f>_xll.BDP("219680ED Muni","MUNI_TAX_PROV")</f>
        <v>#N/A Requesting Data...</v>
      </c>
      <c r="Q161" t="str">
        <f>_xll.BDP("219680ED Muni","MUNI_FED_TAX")</f>
        <v>#N/A Requesting Data...</v>
      </c>
      <c r="R161" t="str">
        <f>_xll.BDP("219680ED Muni","MUNI_MSRB_VOLUME")</f>
        <v>#N/A Requesting Data...</v>
      </c>
      <c r="S161" t="str">
        <f>_xll.BDP("219680ED Muni","BB_COMPOSITE")</f>
        <v>#N/A Requesting Data...</v>
      </c>
      <c r="T161" t="str">
        <f>_xll.BDP("219680ED Muni","LQA_LIQUIDITY_SCORE")</f>
        <v>#N/A Requesting Data...</v>
      </c>
    </row>
    <row r="162" spans="1:20" x14ac:dyDescent="0.25">
      <c r="A162" t="str">
        <f>_xll.BDP("208399Q3 Muni","ID_CUSIP")</f>
        <v>#N/A Requesting Data...</v>
      </c>
      <c r="B162" t="s">
        <v>72</v>
      </c>
      <c r="C162" t="str">
        <f>_xll.BDP("208399Q3 Muni","INSURANCE_STATUS")</f>
        <v>#N/A Requesting Data...</v>
      </c>
      <c r="D162" t="str">
        <f>_xll.BDP("208399Q3 Muni","STATE_CODE")</f>
        <v>#N/A Requesting Data...</v>
      </c>
      <c r="E162" t="str">
        <f>_xll.BDP("208399Q3 Muni","COUNTY_LOCATION_ISSUER")</f>
        <v>#N/A Requesting Data...</v>
      </c>
      <c r="F162" t="str">
        <f>_xll.BDP("208399Q3 Muni","DUR_ADJ_MID")</f>
        <v>#N/A Requesting Data...</v>
      </c>
      <c r="G162" t="str">
        <f>_xll.BDP("208399Q3 Muni","SPREAD_AT_ISSUANCE_TO_WORST")</f>
        <v>#N/A Requesting Data...</v>
      </c>
      <c r="H162" t="str">
        <f>_xll.BDP("208399Q3 Muni","ISSUE_DT")</f>
        <v>#N/A Requesting Data...</v>
      </c>
      <c r="I162" t="str">
        <f>_xll.BDS("208399Q3 Muni","MUNI_PURPOSE_SCHED", "aggregate=y")</f>
        <v>#N/A Requesting Data...</v>
      </c>
      <c r="J162" t="str">
        <f>_xll.BDP("208399Q3 Muni","CPN")</f>
        <v>#N/A Requesting Data...</v>
      </c>
      <c r="K162" t="str">
        <f>_xll.BDP("208399Q3 Muni","MATURITY")</f>
        <v>#N/A Requesting Data...</v>
      </c>
      <c r="L162">
        <v>2450000</v>
      </c>
      <c r="M162" t="str">
        <f>_xll.BDP("208399Q3 Muni","YIELD_ON_ISSUE_DATE")</f>
        <v>#N/A Requesting Data...</v>
      </c>
      <c r="N162" t="str">
        <f>_xll.BDP("208399Q3 Muni","YTW_SPREAD_TO_MATURITY_AT_ISSU")</f>
        <v>#N/A Requesting Data...</v>
      </c>
      <c r="O162" t="str">
        <f>_xll.BDP("208399Q3 Muni","BVAL_MID_YTM")</f>
        <v>#N/A Requesting Data...</v>
      </c>
      <c r="P162" t="str">
        <f>_xll.BDP("208399Q3 Muni","MUNI_TAX_PROV")</f>
        <v>#N/A Requesting Data...</v>
      </c>
      <c r="Q162" t="str">
        <f>_xll.BDP("208399Q3 Muni","MUNI_FED_TAX")</f>
        <v>#N/A Requesting Data...</v>
      </c>
      <c r="R162" t="str">
        <f>_xll.BDP("208399Q3 Muni","MUNI_MSRB_VOLUME")</f>
        <v>#N/A Requesting Data...</v>
      </c>
      <c r="S162" t="str">
        <f>_xll.BDP("208399Q3 Muni","BB_COMPOSITE")</f>
        <v>#N/A Requesting Data...</v>
      </c>
      <c r="T162" t="str">
        <f>_xll.BDP("208399Q3 Muni","LQA_LIQUIDITY_SCORE")</f>
        <v>#N/A Requesting Data...</v>
      </c>
    </row>
    <row r="163" spans="1:20" x14ac:dyDescent="0.25">
      <c r="A163" t="str">
        <f>_xll.BDP("208399Q4 Muni","ID_CUSIP")</f>
        <v>#N/A Requesting Data...</v>
      </c>
      <c r="B163" t="s">
        <v>72</v>
      </c>
      <c r="C163" t="str">
        <f>_xll.BDP("208399Q4 Muni","INSURANCE_STATUS")</f>
        <v>#N/A Requesting Data...</v>
      </c>
      <c r="D163" t="str">
        <f>_xll.BDP("208399Q4 Muni","STATE_CODE")</f>
        <v>#N/A Requesting Data...</v>
      </c>
      <c r="E163" t="str">
        <f>_xll.BDP("208399Q4 Muni","COUNTY_LOCATION_ISSUER")</f>
        <v>#N/A Requesting Data...</v>
      </c>
      <c r="F163" t="str">
        <f>_xll.BDP("208399Q4 Muni","DUR_ADJ_MID")</f>
        <v>#N/A Requesting Data...</v>
      </c>
      <c r="G163" t="str">
        <f>_xll.BDP("208399Q4 Muni","SPREAD_AT_ISSUANCE_TO_WORST")</f>
        <v>#N/A Requesting Data...</v>
      </c>
      <c r="H163" t="str">
        <f>_xll.BDP("208399Q4 Muni","ISSUE_DT")</f>
        <v>#N/A Requesting Data...</v>
      </c>
      <c r="I163" t="str">
        <f>_xll.BDS("208399Q4 Muni","MUNI_PURPOSE_SCHED", "aggregate=y")</f>
        <v>#N/A Requesting Data...</v>
      </c>
      <c r="J163" t="str">
        <f>_xll.BDP("208399Q4 Muni","CPN")</f>
        <v>#N/A Requesting Data...</v>
      </c>
      <c r="K163" t="str">
        <f>_xll.BDP("208399Q4 Muni","MATURITY")</f>
        <v>#N/A Requesting Data...</v>
      </c>
      <c r="L163">
        <v>3280000</v>
      </c>
      <c r="M163" t="str">
        <f>_xll.BDP("208399Q4 Muni","YIELD_ON_ISSUE_DATE")</f>
        <v>#N/A Requesting Data...</v>
      </c>
      <c r="N163" t="str">
        <f>_xll.BDP("208399Q4 Muni","YTW_SPREAD_TO_MATURITY_AT_ISSU")</f>
        <v>#N/A Requesting Data...</v>
      </c>
      <c r="O163" t="str">
        <f>_xll.BDP("208399Q4 Muni","BVAL_MID_YTM")</f>
        <v>#N/A Requesting Data...</v>
      </c>
      <c r="P163" t="str">
        <f>_xll.BDP("208399Q4 Muni","MUNI_TAX_PROV")</f>
        <v>#N/A Requesting Data...</v>
      </c>
      <c r="Q163" t="str">
        <f>_xll.BDP("208399Q4 Muni","MUNI_FED_TAX")</f>
        <v>#N/A Requesting Data...</v>
      </c>
      <c r="R163" t="str">
        <f>_xll.BDP("208399Q4 Muni","MUNI_MSRB_VOLUME")</f>
        <v>#N/A Requesting Data...</v>
      </c>
      <c r="S163" t="str">
        <f>_xll.BDP("208399Q4 Muni","BB_COMPOSITE")</f>
        <v>#N/A Requesting Data...</v>
      </c>
      <c r="T163" t="str">
        <f>_xll.BDP("208399Q4 Muni","LQA_LIQUIDITY_SCORE")</f>
        <v>#N/A Requesting Data...</v>
      </c>
    </row>
    <row r="164" spans="1:20" x14ac:dyDescent="0.25">
      <c r="A164" t="str">
        <f>_xll.BDP("208399Q5 Muni","ID_CUSIP")</f>
        <v>#N/A Requesting Data...</v>
      </c>
      <c r="B164" t="s">
        <v>72</v>
      </c>
      <c r="C164" t="str">
        <f>_xll.BDP("208399Q5 Muni","INSURANCE_STATUS")</f>
        <v>#N/A Requesting Data...</v>
      </c>
      <c r="D164" t="str">
        <f>_xll.BDP("208399Q5 Muni","STATE_CODE")</f>
        <v>#N/A Requesting Data...</v>
      </c>
      <c r="E164" t="str">
        <f>_xll.BDP("208399Q5 Muni","COUNTY_LOCATION_ISSUER")</f>
        <v>#N/A Requesting Data...</v>
      </c>
      <c r="F164" t="str">
        <f>_xll.BDP("208399Q5 Muni","DUR_ADJ_MID")</f>
        <v>#N/A Requesting Data...</v>
      </c>
      <c r="G164" t="str">
        <f>_xll.BDP("208399Q5 Muni","SPREAD_AT_ISSUANCE_TO_WORST")</f>
        <v>#N/A Requesting Data...</v>
      </c>
      <c r="H164" t="str">
        <f>_xll.BDP("208399Q5 Muni","ISSUE_DT")</f>
        <v>#N/A Requesting Data...</v>
      </c>
      <c r="I164" t="str">
        <f>_xll.BDS("208399Q5 Muni","MUNI_PURPOSE_SCHED", "aggregate=y")</f>
        <v>#N/A Requesting Data...</v>
      </c>
      <c r="J164" t="str">
        <f>_xll.BDP("208399Q5 Muni","CPN")</f>
        <v>#N/A Requesting Data...</v>
      </c>
      <c r="K164" t="str">
        <f>_xll.BDP("208399Q5 Muni","MATURITY")</f>
        <v>#N/A Requesting Data...</v>
      </c>
      <c r="L164">
        <v>3450000</v>
      </c>
      <c r="M164" t="str">
        <f>_xll.BDP("208399Q5 Muni","YIELD_ON_ISSUE_DATE")</f>
        <v>#N/A Requesting Data...</v>
      </c>
      <c r="N164" t="str">
        <f>_xll.BDP("208399Q5 Muni","YTW_SPREAD_TO_MATURITY_AT_ISSU")</f>
        <v>#N/A Requesting Data...</v>
      </c>
      <c r="O164" t="str">
        <f>_xll.BDP("208399Q5 Muni","BVAL_MID_YTM")</f>
        <v>#N/A Requesting Data...</v>
      </c>
      <c r="P164" t="str">
        <f>_xll.BDP("208399Q5 Muni","MUNI_TAX_PROV")</f>
        <v>#N/A Requesting Data...</v>
      </c>
      <c r="Q164" t="str">
        <f>_xll.BDP("208399Q5 Muni","MUNI_FED_TAX")</f>
        <v>#N/A Requesting Data...</v>
      </c>
      <c r="R164" t="str">
        <f>_xll.BDP("208399Q5 Muni","MUNI_MSRB_VOLUME")</f>
        <v>#N/A Requesting Data...</v>
      </c>
      <c r="S164" t="str">
        <f>_xll.BDP("208399Q5 Muni","BB_COMPOSITE")</f>
        <v>#N/A Requesting Data...</v>
      </c>
      <c r="T164" t="str">
        <f>_xll.BDP("208399Q5 Muni","LQA_LIQUIDITY_SCORE")</f>
        <v>#N/A Requesting Data...</v>
      </c>
    </row>
    <row r="165" spans="1:20" x14ac:dyDescent="0.25">
      <c r="A165" t="str">
        <f>_xll.BDP("208399Q6 Muni","ID_CUSIP")</f>
        <v>#N/A Requesting Data...</v>
      </c>
      <c r="B165" t="s">
        <v>72</v>
      </c>
      <c r="C165" t="str">
        <f>_xll.BDP("208399Q6 Muni","INSURANCE_STATUS")</f>
        <v>#N/A Requesting Data...</v>
      </c>
      <c r="D165" t="str">
        <f>_xll.BDP("208399Q6 Muni","STATE_CODE")</f>
        <v>#N/A Requesting Data...</v>
      </c>
      <c r="E165" t="str">
        <f>_xll.BDP("208399Q6 Muni","COUNTY_LOCATION_ISSUER")</f>
        <v>#N/A Requesting Data...</v>
      </c>
      <c r="F165" t="str">
        <f>_xll.BDP("208399Q6 Muni","DUR_ADJ_MID")</f>
        <v>#N/A Requesting Data...</v>
      </c>
      <c r="G165" t="str">
        <f>_xll.BDP("208399Q6 Muni","SPREAD_AT_ISSUANCE_TO_WORST")</f>
        <v>#N/A Requesting Data...</v>
      </c>
      <c r="H165" t="str">
        <f>_xll.BDP("208399Q6 Muni","ISSUE_DT")</f>
        <v>#N/A Requesting Data...</v>
      </c>
      <c r="I165" t="str">
        <f>_xll.BDS("208399Q6 Muni","MUNI_PURPOSE_SCHED", "aggregate=y")</f>
        <v>#N/A Requesting Data...</v>
      </c>
      <c r="J165" t="str">
        <f>_xll.BDP("208399Q6 Muni","CPN")</f>
        <v>#N/A Requesting Data...</v>
      </c>
      <c r="K165" t="str">
        <f>_xll.BDP("208399Q6 Muni","MATURITY")</f>
        <v>#N/A Requesting Data...</v>
      </c>
      <c r="L165">
        <v>3620000</v>
      </c>
      <c r="M165" t="str">
        <f>_xll.BDP("208399Q6 Muni","YIELD_ON_ISSUE_DATE")</f>
        <v>#N/A Requesting Data...</v>
      </c>
      <c r="N165" t="str">
        <f>_xll.BDP("208399Q6 Muni","YTW_SPREAD_TO_MATURITY_AT_ISSU")</f>
        <v>#N/A Requesting Data...</v>
      </c>
      <c r="O165" t="str">
        <f>_xll.BDP("208399Q6 Muni","BVAL_MID_YTM")</f>
        <v>#N/A Requesting Data...</v>
      </c>
      <c r="P165" t="str">
        <f>_xll.BDP("208399Q6 Muni","MUNI_TAX_PROV")</f>
        <v>#N/A Requesting Data...</v>
      </c>
      <c r="Q165" t="str">
        <f>_xll.BDP("208399Q6 Muni","MUNI_FED_TAX")</f>
        <v>#N/A Requesting Data...</v>
      </c>
      <c r="R165" t="str">
        <f>_xll.BDP("208399Q6 Muni","MUNI_MSRB_VOLUME")</f>
        <v>#N/A Requesting Data...</v>
      </c>
      <c r="S165" t="str">
        <f>_xll.BDP("208399Q6 Muni","BB_COMPOSITE")</f>
        <v>#N/A Requesting Data...</v>
      </c>
      <c r="T165" t="str">
        <f>_xll.BDP("208399Q6 Muni","LQA_LIQUIDITY_SCORE")</f>
        <v>#N/A Requesting Data...</v>
      </c>
    </row>
    <row r="166" spans="1:20" x14ac:dyDescent="0.25">
      <c r="A166" t="str">
        <f>_xll.BDP("208399Q7 Muni","ID_CUSIP")</f>
        <v>#N/A Requesting Data...</v>
      </c>
      <c r="B166" t="s">
        <v>72</v>
      </c>
      <c r="C166" t="str">
        <f>_xll.BDP("208399Q7 Muni","INSURANCE_STATUS")</f>
        <v>#N/A Requesting Data...</v>
      </c>
      <c r="D166" t="str">
        <f>_xll.BDP("208399Q7 Muni","STATE_CODE")</f>
        <v>#N/A Requesting Data...</v>
      </c>
      <c r="E166" t="str">
        <f>_xll.BDP("208399Q7 Muni","COUNTY_LOCATION_ISSUER")</f>
        <v>#N/A Requesting Data...</v>
      </c>
      <c r="F166" t="str">
        <f>_xll.BDP("208399Q7 Muni","DUR_ADJ_MID")</f>
        <v>#N/A Requesting Data...</v>
      </c>
      <c r="G166" t="str">
        <f>_xll.BDP("208399Q7 Muni","SPREAD_AT_ISSUANCE_TO_WORST")</f>
        <v>#N/A Requesting Data...</v>
      </c>
      <c r="H166" t="str">
        <f>_xll.BDP("208399Q7 Muni","ISSUE_DT")</f>
        <v>#N/A Requesting Data...</v>
      </c>
      <c r="I166" t="str">
        <f>_xll.BDS("208399Q7 Muni","MUNI_PURPOSE_SCHED", "aggregate=y")</f>
        <v>#N/A Requesting Data...</v>
      </c>
      <c r="J166" t="str">
        <f>_xll.BDP("208399Q7 Muni","CPN")</f>
        <v>#N/A Requesting Data...</v>
      </c>
      <c r="K166" t="str">
        <f>_xll.BDP("208399Q7 Muni","MATURITY")</f>
        <v>#N/A Requesting Data...</v>
      </c>
      <c r="L166">
        <v>3820000</v>
      </c>
      <c r="M166" t="str">
        <f>_xll.BDP("208399Q7 Muni","YIELD_ON_ISSUE_DATE")</f>
        <v>#N/A Requesting Data...</v>
      </c>
      <c r="N166" t="str">
        <f>_xll.BDP("208399Q7 Muni","YTW_SPREAD_TO_MATURITY_AT_ISSU")</f>
        <v>#N/A Requesting Data...</v>
      </c>
      <c r="O166" t="str">
        <f>_xll.BDP("208399Q7 Muni","BVAL_MID_YTM")</f>
        <v>#N/A Requesting Data...</v>
      </c>
      <c r="P166" t="str">
        <f>_xll.BDP("208399Q7 Muni","MUNI_TAX_PROV")</f>
        <v>#N/A Requesting Data...</v>
      </c>
      <c r="Q166" t="str">
        <f>_xll.BDP("208399Q7 Muni","MUNI_FED_TAX")</f>
        <v>#N/A Requesting Data...</v>
      </c>
      <c r="R166" t="str">
        <f>_xll.BDP("208399Q7 Muni","MUNI_MSRB_VOLUME")</f>
        <v>#N/A Requesting Data...</v>
      </c>
      <c r="S166" t="str">
        <f>_xll.BDP("208399Q7 Muni","BB_COMPOSITE")</f>
        <v>#N/A Requesting Data...</v>
      </c>
      <c r="T166" t="str">
        <f>_xll.BDP("208399Q7 Muni","LQA_LIQUIDITY_SCORE")</f>
        <v>#N/A Requesting Data...</v>
      </c>
    </row>
    <row r="167" spans="1:20" x14ac:dyDescent="0.25">
      <c r="A167" t="str">
        <f>_xll.BDP("208399Q8 Muni","ID_CUSIP")</f>
        <v>#N/A Requesting Data...</v>
      </c>
      <c r="B167" t="s">
        <v>72</v>
      </c>
      <c r="C167" t="str">
        <f>_xll.BDP("208399Q8 Muni","INSURANCE_STATUS")</f>
        <v>#N/A Requesting Data...</v>
      </c>
      <c r="D167" t="str">
        <f>_xll.BDP("208399Q8 Muni","STATE_CODE")</f>
        <v>#N/A Requesting Data...</v>
      </c>
      <c r="E167" t="str">
        <f>_xll.BDP("208399Q8 Muni","COUNTY_LOCATION_ISSUER")</f>
        <v>#N/A Requesting Data...</v>
      </c>
      <c r="F167" t="str">
        <f>_xll.BDP("208399Q8 Muni","DUR_ADJ_MID")</f>
        <v>#N/A Requesting Data...</v>
      </c>
      <c r="G167" t="str">
        <f>_xll.BDP("208399Q8 Muni","SPREAD_AT_ISSUANCE_TO_WORST")</f>
        <v>#N/A Requesting Data...</v>
      </c>
      <c r="H167" t="str">
        <f>_xll.BDP("208399Q8 Muni","ISSUE_DT")</f>
        <v>#N/A Requesting Data...</v>
      </c>
      <c r="I167" t="str">
        <f>_xll.BDS("208399Q8 Muni","MUNI_PURPOSE_SCHED", "aggregate=y")</f>
        <v>#N/A Requesting Data...</v>
      </c>
      <c r="J167" t="str">
        <f>_xll.BDP("208399Q8 Muni","CPN")</f>
        <v>#N/A Requesting Data...</v>
      </c>
      <c r="K167" t="str">
        <f>_xll.BDP("208399Q8 Muni","MATURITY")</f>
        <v>#N/A Requesting Data...</v>
      </c>
      <c r="L167">
        <v>4015000</v>
      </c>
      <c r="M167" t="str">
        <f>_xll.BDP("208399Q8 Muni","YIELD_ON_ISSUE_DATE")</f>
        <v>#N/A Requesting Data...</v>
      </c>
      <c r="N167" t="str">
        <f>_xll.BDP("208399Q8 Muni","YTW_SPREAD_TO_MATURITY_AT_ISSU")</f>
        <v>#N/A Requesting Data...</v>
      </c>
      <c r="O167" t="str">
        <f>_xll.BDP("208399Q8 Muni","BVAL_MID_YTM")</f>
        <v>#N/A Requesting Data...</v>
      </c>
      <c r="P167" t="str">
        <f>_xll.BDP("208399Q8 Muni","MUNI_TAX_PROV")</f>
        <v>#N/A Requesting Data...</v>
      </c>
      <c r="Q167" t="str">
        <f>_xll.BDP("208399Q8 Muni","MUNI_FED_TAX")</f>
        <v>#N/A Requesting Data...</v>
      </c>
      <c r="R167" t="str">
        <f>_xll.BDP("208399Q8 Muni","MUNI_MSRB_VOLUME")</f>
        <v>#N/A Requesting Data...</v>
      </c>
      <c r="S167" t="str">
        <f>_xll.BDP("208399Q8 Muni","BB_COMPOSITE")</f>
        <v>#N/A Requesting Data...</v>
      </c>
      <c r="T167" t="str">
        <f>_xll.BDP("208399Q8 Muni","LQA_LIQUIDITY_SCORE")</f>
        <v>#N/A Requesting Data...</v>
      </c>
    </row>
    <row r="168" spans="1:20" x14ac:dyDescent="0.25">
      <c r="A168" t="str">
        <f>_xll.BDP("208399Q9 Muni","ID_CUSIP")</f>
        <v>#N/A Requesting Data...</v>
      </c>
      <c r="B168" t="s">
        <v>72</v>
      </c>
      <c r="C168" t="str">
        <f>_xll.BDP("208399Q9 Muni","INSURANCE_STATUS")</f>
        <v>#N/A Requesting Data...</v>
      </c>
      <c r="D168" t="str">
        <f>_xll.BDP("208399Q9 Muni","STATE_CODE")</f>
        <v>#N/A Requesting Data...</v>
      </c>
      <c r="E168" t="str">
        <f>_xll.BDP("208399Q9 Muni","COUNTY_LOCATION_ISSUER")</f>
        <v>#N/A Requesting Data...</v>
      </c>
      <c r="F168" t="str">
        <f>_xll.BDP("208399Q9 Muni","DUR_ADJ_MID")</f>
        <v>#N/A Requesting Data...</v>
      </c>
      <c r="G168" t="str">
        <f>_xll.BDP("208399Q9 Muni","SPREAD_AT_ISSUANCE_TO_WORST")</f>
        <v>#N/A Requesting Data...</v>
      </c>
      <c r="H168" t="str">
        <f>_xll.BDP("208399Q9 Muni","ISSUE_DT")</f>
        <v>#N/A Requesting Data...</v>
      </c>
      <c r="I168" t="str">
        <f>_xll.BDS("208399Q9 Muni","MUNI_PURPOSE_SCHED", "aggregate=y")</f>
        <v>#N/A Requesting Data...</v>
      </c>
      <c r="J168" t="str">
        <f>_xll.BDP("208399Q9 Muni","CPN")</f>
        <v>#N/A Requesting Data...</v>
      </c>
      <c r="K168" t="str">
        <f>_xll.BDP("208399Q9 Muni","MATURITY")</f>
        <v>#N/A Requesting Data...</v>
      </c>
      <c r="L168">
        <v>4215000</v>
      </c>
      <c r="M168" t="str">
        <f>_xll.BDP("208399Q9 Muni","YIELD_ON_ISSUE_DATE")</f>
        <v>#N/A Requesting Data...</v>
      </c>
      <c r="N168" t="str">
        <f>_xll.BDP("208399Q9 Muni","YTW_SPREAD_TO_MATURITY_AT_ISSU")</f>
        <v>#N/A Requesting Data...</v>
      </c>
      <c r="O168" t="str">
        <f>_xll.BDP("208399Q9 Muni","BVAL_MID_YTM")</f>
        <v>#N/A Requesting Data...</v>
      </c>
      <c r="P168" t="str">
        <f>_xll.BDP("208399Q9 Muni","MUNI_TAX_PROV")</f>
        <v>#N/A Requesting Data...</v>
      </c>
      <c r="Q168" t="str">
        <f>_xll.BDP("208399Q9 Muni","MUNI_FED_TAX")</f>
        <v>#N/A Requesting Data...</v>
      </c>
      <c r="R168" t="str">
        <f>_xll.BDP("208399Q9 Muni","MUNI_MSRB_VOLUME")</f>
        <v>#N/A Requesting Data...</v>
      </c>
      <c r="S168" t="str">
        <f>_xll.BDP("208399Q9 Muni","BB_COMPOSITE")</f>
        <v>#N/A Requesting Data...</v>
      </c>
      <c r="T168" t="str">
        <f>_xll.BDP("208399Q9 Muni","LQA_LIQUIDITY_SCORE")</f>
        <v>#N/A Requesting Data...</v>
      </c>
    </row>
    <row r="169" spans="1:20" x14ac:dyDescent="0.25">
      <c r="A169" t="str">
        <f>_xll.BDP("208422AD Muni","ID_CUSIP")</f>
        <v>#N/A Requesting Data...</v>
      </c>
      <c r="B169" t="s">
        <v>73</v>
      </c>
      <c r="C169" t="str">
        <f>_xll.BDP("208422AD Muni","INSURANCE_STATUS")</f>
        <v>#N/A Requesting Data...</v>
      </c>
      <c r="D169" t="str">
        <f>_xll.BDP("208422AD Muni","STATE_CODE")</f>
        <v>#N/A Requesting Data...</v>
      </c>
      <c r="E169" t="str">
        <f>_xll.BDP("208422AD Muni","COUNTY_LOCATION_ISSUER")</f>
        <v>#N/A Requesting Data...</v>
      </c>
      <c r="F169" t="str">
        <f>_xll.BDP("208422AD Muni","DUR_ADJ_MID")</f>
        <v>#N/A Requesting Data...</v>
      </c>
      <c r="G169" t="str">
        <f>_xll.BDP("208422AD Muni","SPREAD_AT_ISSUANCE_TO_WORST")</f>
        <v>#N/A Requesting Data...</v>
      </c>
      <c r="H169" t="str">
        <f>_xll.BDP("208422AD Muni","ISSUE_DT")</f>
        <v>#N/A Requesting Data...</v>
      </c>
      <c r="I169" t="str">
        <f>_xll.BDS("208422AD Muni","MUNI_PURPOSE_SCHED", "aggregate=y")</f>
        <v>#N/A Requesting Data...</v>
      </c>
      <c r="J169" t="str">
        <f>_xll.BDP("208422AD Muni","CPN")</f>
        <v>#N/A Requesting Data...</v>
      </c>
      <c r="K169" t="str">
        <f>_xll.BDP("208422AD Muni","MATURITY")</f>
        <v>#N/A Requesting Data...</v>
      </c>
      <c r="L169">
        <v>155000</v>
      </c>
      <c r="M169" t="str">
        <f>_xll.BDP("208422AD Muni","YIELD_ON_ISSUE_DATE")</f>
        <v>#N/A Requesting Data...</v>
      </c>
      <c r="N169" t="str">
        <f>_xll.BDP("208422AD Muni","YTW_SPREAD_TO_MATURITY_AT_ISSU")</f>
        <v>#N/A Requesting Data...</v>
      </c>
      <c r="O169" t="str">
        <f>_xll.BDP("208422AD Muni","BVAL_MID_YTM")</f>
        <v>#N/A Requesting Data...</v>
      </c>
      <c r="P169" t="str">
        <f>_xll.BDP("208422AD Muni","MUNI_TAX_PROV")</f>
        <v>#N/A Requesting Data...</v>
      </c>
      <c r="Q169" t="str">
        <f>_xll.BDP("208422AD Muni","MUNI_FED_TAX")</f>
        <v>#N/A Requesting Data...</v>
      </c>
      <c r="R169" t="str">
        <f>_xll.BDP("208422AD Muni","MUNI_MSRB_VOLUME")</f>
        <v>#N/A Requesting Data...</v>
      </c>
      <c r="S169" t="str">
        <f>_xll.BDP("208422AD Muni","BB_COMPOSITE")</f>
        <v>#N/A Requesting Data...</v>
      </c>
      <c r="T169" t="str">
        <f>_xll.BDP("208422AD Muni","LQA_LIQUIDITY_SCORE")</f>
        <v>#N/A Requesting Data...</v>
      </c>
    </row>
    <row r="170" spans="1:20" x14ac:dyDescent="0.25">
      <c r="A170" t="str">
        <f>_xll.BDP("208422AE Muni","ID_CUSIP")</f>
        <v>#N/A Requesting Data...</v>
      </c>
      <c r="B170" t="s">
        <v>73</v>
      </c>
      <c r="C170" t="str">
        <f>_xll.BDP("208422AE Muni","INSURANCE_STATUS")</f>
        <v>#N/A Requesting Data...</v>
      </c>
      <c r="D170" t="str">
        <f>_xll.BDP("208422AE Muni","STATE_CODE")</f>
        <v>#N/A Requesting Data...</v>
      </c>
      <c r="E170" t="str">
        <f>_xll.BDP("208422AE Muni","COUNTY_LOCATION_ISSUER")</f>
        <v>#N/A Requesting Data...</v>
      </c>
      <c r="F170" t="str">
        <f>_xll.BDP("208422AE Muni","DUR_ADJ_MID")</f>
        <v>#N/A Requesting Data...</v>
      </c>
      <c r="G170" t="str">
        <f>_xll.BDP("208422AE Muni","SPREAD_AT_ISSUANCE_TO_WORST")</f>
        <v>#N/A Requesting Data...</v>
      </c>
      <c r="H170" t="str">
        <f>_xll.BDP("208422AE Muni","ISSUE_DT")</f>
        <v>#N/A Requesting Data...</v>
      </c>
      <c r="I170" t="str">
        <f>_xll.BDS("208422AE Muni","MUNI_PURPOSE_SCHED", "aggregate=y")</f>
        <v>#N/A Requesting Data...</v>
      </c>
      <c r="J170" t="str">
        <f>_xll.BDP("208422AE Muni","CPN")</f>
        <v>#N/A Requesting Data...</v>
      </c>
      <c r="K170" t="str">
        <f>_xll.BDP("208422AE Muni","MATURITY")</f>
        <v>#N/A Requesting Data...</v>
      </c>
      <c r="L170">
        <v>160000</v>
      </c>
      <c r="M170" t="str">
        <f>_xll.BDP("208422AE Muni","YIELD_ON_ISSUE_DATE")</f>
        <v>#N/A Requesting Data...</v>
      </c>
      <c r="N170" t="str">
        <f>_xll.BDP("208422AE Muni","YTW_SPREAD_TO_MATURITY_AT_ISSU")</f>
        <v>#N/A Requesting Data...</v>
      </c>
      <c r="O170" t="str">
        <f>_xll.BDP("208422AE Muni","BVAL_MID_YTM")</f>
        <v>#N/A Requesting Data...</v>
      </c>
      <c r="P170" t="str">
        <f>_xll.BDP("208422AE Muni","MUNI_TAX_PROV")</f>
        <v>#N/A Requesting Data...</v>
      </c>
      <c r="Q170" t="str">
        <f>_xll.BDP("208422AE Muni","MUNI_FED_TAX")</f>
        <v>#N/A Requesting Data...</v>
      </c>
      <c r="R170" t="str">
        <f>_xll.BDP("208422AE Muni","MUNI_MSRB_VOLUME")</f>
        <v>#N/A Requesting Data...</v>
      </c>
      <c r="S170" t="str">
        <f>_xll.BDP("208422AE Muni","BB_COMPOSITE")</f>
        <v>#N/A Requesting Data...</v>
      </c>
      <c r="T170" t="str">
        <f>_xll.BDP("208422AE Muni","LQA_LIQUIDITY_SCORE")</f>
        <v>#N/A Requesting Data...</v>
      </c>
    </row>
    <row r="171" spans="1:20" x14ac:dyDescent="0.25">
      <c r="A171" t="str">
        <f>_xll.BDP("307342HE Muni","ID_CUSIP")</f>
        <v>#N/A Requesting Data...</v>
      </c>
      <c r="B171" t="s">
        <v>74</v>
      </c>
      <c r="C171" t="str">
        <f>_xll.BDP("307342HE Muni","INSURANCE_STATUS")</f>
        <v>#N/A Requesting Data...</v>
      </c>
      <c r="D171" t="str">
        <f>_xll.BDP("307342HE Muni","STATE_CODE")</f>
        <v>#N/A Requesting Data...</v>
      </c>
      <c r="E171" t="str">
        <f>_xll.BDP("307342HE Muni","COUNTY_LOCATION_ISSUER")</f>
        <v>#N/A Requesting Data...</v>
      </c>
      <c r="F171" t="str">
        <f>_xll.BDP("307342HE Muni","DUR_ADJ_MID")</f>
        <v>#N/A Requesting Data...</v>
      </c>
      <c r="G171" t="str">
        <f>_xll.BDP("307342HE Muni","SPREAD_AT_ISSUANCE_TO_WORST")</f>
        <v>#N/A Requesting Data...</v>
      </c>
      <c r="H171" t="str">
        <f>_xll.BDP("307342HE Muni","ISSUE_DT")</f>
        <v>#N/A Requesting Data...</v>
      </c>
      <c r="I171" t="str">
        <f>_xll.BDS("307342HE Muni","MUNI_PURPOSE_SCHED", "aggregate=y")</f>
        <v>#N/A Requesting Data...</v>
      </c>
      <c r="J171" t="str">
        <f>_xll.BDP("307342HE Muni","CPN")</f>
        <v>#N/A Requesting Data...</v>
      </c>
      <c r="K171" t="str">
        <f>_xll.BDP("307342HE Muni","MATURITY")</f>
        <v>#N/A Requesting Data...</v>
      </c>
      <c r="L171">
        <v>40000</v>
      </c>
      <c r="M171" t="str">
        <f>_xll.BDP("307342HE Muni","YIELD_ON_ISSUE_DATE")</f>
        <v>#N/A Requesting Data...</v>
      </c>
      <c r="N171" t="str">
        <f>_xll.BDP("307342HE Muni","YTW_SPREAD_TO_MATURITY_AT_ISSU")</f>
        <v>#N/A Requesting Data...</v>
      </c>
      <c r="O171" t="str">
        <f>_xll.BDP("307342HE Muni","BVAL_MID_YTM")</f>
        <v>#N/A Requesting Data...</v>
      </c>
      <c r="P171" t="str">
        <f>_xll.BDP("307342HE Muni","MUNI_TAX_PROV")</f>
        <v>#N/A Requesting Data...</v>
      </c>
      <c r="Q171" t="str">
        <f>_xll.BDP("307342HE Muni","MUNI_FED_TAX")</f>
        <v>#N/A Requesting Data...</v>
      </c>
      <c r="R171" t="str">
        <f>_xll.BDP("307342HE Muni","MUNI_MSRB_VOLUME")</f>
        <v>#N/A Requesting Data...</v>
      </c>
      <c r="S171" t="str">
        <f>_xll.BDP("307342HE Muni","BB_COMPOSITE")</f>
        <v>#N/A Requesting Data...</v>
      </c>
      <c r="T171" t="str">
        <f>_xll.BDP("307342HE Muni","LQA_LIQUIDITY_SCORE")</f>
        <v>#N/A Requesting Data...</v>
      </c>
    </row>
    <row r="172" spans="1:20" x14ac:dyDescent="0.25">
      <c r="A172" t="str">
        <f>_xll.BDP("36422NHA Muni","ID_CUSIP")</f>
        <v>#N/A Requesting Data...</v>
      </c>
      <c r="B172" t="s">
        <v>75</v>
      </c>
      <c r="C172" t="str">
        <f>_xll.BDP("36422NHA Muni","INSURANCE_STATUS")</f>
        <v>#N/A Requesting Data...</v>
      </c>
      <c r="D172" t="str">
        <f>_xll.BDP("36422NHA Muni","STATE_CODE")</f>
        <v>#N/A Requesting Data...</v>
      </c>
      <c r="E172" t="str">
        <f>_xll.BDP("36422NHA Muni","COUNTY_LOCATION_ISSUER")</f>
        <v>#N/A Requesting Data...</v>
      </c>
      <c r="F172" t="str">
        <f>_xll.BDP("36422NHA Muni","DUR_ADJ_MID")</f>
        <v>#N/A Requesting Data...</v>
      </c>
      <c r="G172" t="str">
        <f>_xll.BDP("36422NHA Muni","SPREAD_AT_ISSUANCE_TO_WORST")</f>
        <v>#N/A Requesting Data...</v>
      </c>
      <c r="H172" t="str">
        <f>_xll.BDP("36422NHA Muni","ISSUE_DT")</f>
        <v>#N/A Requesting Data...</v>
      </c>
      <c r="I172" t="str">
        <f>_xll.BDS("36422NHA Muni","MUNI_PURPOSE_SCHED", "aggregate=y")</f>
        <v>#N/A Requesting Data...</v>
      </c>
      <c r="J172" t="str">
        <f>_xll.BDP("36422NHA Muni","CPN")</f>
        <v>#N/A Requesting Data...</v>
      </c>
      <c r="K172" t="str">
        <f>_xll.BDP("36422NHA Muni","MATURITY")</f>
        <v>#N/A Requesting Data...</v>
      </c>
      <c r="L172">
        <v>250000</v>
      </c>
      <c r="M172" t="str">
        <f>_xll.BDP("36422NHA Muni","YIELD_ON_ISSUE_DATE")</f>
        <v>#N/A Requesting Data...</v>
      </c>
      <c r="N172" t="str">
        <f>_xll.BDP("36422NHA Muni","YTW_SPREAD_TO_MATURITY_AT_ISSU")</f>
        <v>#N/A Requesting Data...</v>
      </c>
      <c r="O172" t="str">
        <f>_xll.BDP("36422NHA Muni","BVAL_MID_YTM")</f>
        <v>#N/A Requesting Data...</v>
      </c>
      <c r="P172" t="str">
        <f>_xll.BDP("36422NHA Muni","MUNI_TAX_PROV")</f>
        <v>#N/A Requesting Data...</v>
      </c>
      <c r="Q172" t="str">
        <f>_xll.BDP("36422NHA Muni","MUNI_FED_TAX")</f>
        <v>#N/A Requesting Data...</v>
      </c>
      <c r="R172" t="str">
        <f>_xll.BDP("36422NHA Muni","MUNI_MSRB_VOLUME")</f>
        <v>#N/A Requesting Data...</v>
      </c>
      <c r="S172" t="str">
        <f>_xll.BDP("36422NHA Muni","BB_COMPOSITE")</f>
        <v>#N/A Requesting Data...</v>
      </c>
      <c r="T172" t="str">
        <f>_xll.BDP("36422NHA Muni","LQA_LIQUIDITY_SCORE")</f>
        <v>#N/A Requesting Data...</v>
      </c>
    </row>
    <row r="173" spans="1:20" x14ac:dyDescent="0.25">
      <c r="A173" t="str">
        <f>_xll.BDP("36422NHB Muni","ID_CUSIP")</f>
        <v>#N/A Requesting Data...</v>
      </c>
      <c r="B173" t="s">
        <v>75</v>
      </c>
      <c r="C173" t="str">
        <f>_xll.BDP("36422NHB Muni","INSURANCE_STATUS")</f>
        <v>#N/A Requesting Data...</v>
      </c>
      <c r="D173" t="str">
        <f>_xll.BDP("36422NHB Muni","STATE_CODE")</f>
        <v>#N/A Requesting Data...</v>
      </c>
      <c r="E173" t="str">
        <f>_xll.BDP("36422NHB Muni","COUNTY_LOCATION_ISSUER")</f>
        <v>#N/A Requesting Data...</v>
      </c>
      <c r="F173" t="str">
        <f>_xll.BDP("36422NHB Muni","DUR_ADJ_MID")</f>
        <v>#N/A Requesting Data...</v>
      </c>
      <c r="G173" t="str">
        <f>_xll.BDP("36422NHB Muni","SPREAD_AT_ISSUANCE_TO_WORST")</f>
        <v>#N/A Requesting Data...</v>
      </c>
      <c r="H173" t="str">
        <f>_xll.BDP("36422NHB Muni","ISSUE_DT")</f>
        <v>#N/A Requesting Data...</v>
      </c>
      <c r="I173" t="str">
        <f>_xll.BDS("36422NHB Muni","MUNI_PURPOSE_SCHED", "aggregate=y")</f>
        <v>#N/A Requesting Data...</v>
      </c>
      <c r="J173" t="str">
        <f>_xll.BDP("36422NHB Muni","CPN")</f>
        <v>#N/A Requesting Data...</v>
      </c>
      <c r="K173" t="str">
        <f>_xll.BDP("36422NHB Muni","MATURITY")</f>
        <v>#N/A Requesting Data...</v>
      </c>
      <c r="L173">
        <v>250000</v>
      </c>
      <c r="M173" t="str">
        <f>_xll.BDP("36422NHB Muni","YIELD_ON_ISSUE_DATE")</f>
        <v>#N/A Requesting Data...</v>
      </c>
      <c r="N173" t="str">
        <f>_xll.BDP("36422NHB Muni","YTW_SPREAD_TO_MATURITY_AT_ISSU")</f>
        <v>#N/A Requesting Data...</v>
      </c>
      <c r="O173" t="str">
        <f>_xll.BDP("36422NHB Muni","BVAL_MID_YTM")</f>
        <v>#N/A Requesting Data...</v>
      </c>
      <c r="P173" t="str">
        <f>_xll.BDP("36422NHB Muni","MUNI_TAX_PROV")</f>
        <v>#N/A Requesting Data...</v>
      </c>
      <c r="Q173" t="str">
        <f>_xll.BDP("36422NHB Muni","MUNI_FED_TAX")</f>
        <v>#N/A Requesting Data...</v>
      </c>
      <c r="R173" t="str">
        <f>_xll.BDP("36422NHB Muni","MUNI_MSRB_VOLUME")</f>
        <v>#N/A Requesting Data...</v>
      </c>
      <c r="S173" t="str">
        <f>_xll.BDP("36422NHB Muni","BB_COMPOSITE")</f>
        <v>#N/A Requesting Data...</v>
      </c>
      <c r="T173" t="str">
        <f>_xll.BDP("36422NHB Muni","LQA_LIQUIDITY_SCORE")</f>
        <v>#N/A Requesting Data...</v>
      </c>
    </row>
    <row r="174" spans="1:20" x14ac:dyDescent="0.25">
      <c r="A174" t="str">
        <f>_xll.BDP("36422PCF Muni","ID_CUSIP")</f>
        <v>#N/A Requesting Data...</v>
      </c>
      <c r="B174" t="s">
        <v>76</v>
      </c>
      <c r="C174" t="str">
        <f>_xll.BDP("36422PCF Muni","INSURANCE_STATUS")</f>
        <v>#N/A Requesting Data...</v>
      </c>
      <c r="D174" t="str">
        <f>_xll.BDP("36422PCF Muni","STATE_CODE")</f>
        <v>#N/A Requesting Data...</v>
      </c>
      <c r="E174" t="str">
        <f>_xll.BDP("36422PCF Muni","COUNTY_LOCATION_ISSUER")</f>
        <v>#N/A Requesting Data...</v>
      </c>
      <c r="F174" t="str">
        <f>_xll.BDP("36422PCF Muni","DUR_ADJ_MID")</f>
        <v>#N/A Requesting Data...</v>
      </c>
      <c r="G174" t="str">
        <f>_xll.BDP("36422PCF Muni","SPREAD_AT_ISSUANCE_TO_WORST")</f>
        <v>#N/A Requesting Data...</v>
      </c>
      <c r="H174" t="str">
        <f>_xll.BDP("36422PCF Muni","ISSUE_DT")</f>
        <v>#N/A Requesting Data...</v>
      </c>
      <c r="I174" t="str">
        <f>_xll.BDS("36422PCF Muni","MUNI_PURPOSE_SCHED", "aggregate=y")</f>
        <v>#N/A Requesting Data...</v>
      </c>
      <c r="J174" t="str">
        <f>_xll.BDP("36422PCF Muni","CPN")</f>
        <v>#N/A Requesting Data...</v>
      </c>
      <c r="K174" t="str">
        <f>_xll.BDP("36422PCF Muni","MATURITY")</f>
        <v>#N/A Requesting Data...</v>
      </c>
      <c r="L174">
        <v>75000</v>
      </c>
      <c r="M174" t="str">
        <f>_xll.BDP("36422PCF Muni","YIELD_ON_ISSUE_DATE")</f>
        <v>#N/A Requesting Data...</v>
      </c>
      <c r="N174" t="str">
        <f>_xll.BDP("36422PCF Muni","YTW_SPREAD_TO_MATURITY_AT_ISSU")</f>
        <v>#N/A Requesting Data...</v>
      </c>
      <c r="O174" t="str">
        <f>_xll.BDP("36422PCF Muni","BVAL_MID_YTM")</f>
        <v>#N/A Requesting Data...</v>
      </c>
      <c r="P174" t="str">
        <f>_xll.BDP("36422PCF Muni","MUNI_TAX_PROV")</f>
        <v>#N/A Requesting Data...</v>
      </c>
      <c r="Q174" t="str">
        <f>_xll.BDP("36422PCF Muni","MUNI_FED_TAX")</f>
        <v>#N/A Requesting Data...</v>
      </c>
      <c r="R174" t="str">
        <f>_xll.BDP("36422PCF Muni","MUNI_MSRB_VOLUME")</f>
        <v>#N/A Requesting Data...</v>
      </c>
      <c r="S174" t="str">
        <f>_xll.BDP("36422PCF Muni","BB_COMPOSITE")</f>
        <v>#N/A Requesting Data...</v>
      </c>
      <c r="T174" t="str">
        <f>_xll.BDP("36422PCF Muni","LQA_LIQUIDITY_SCORE")</f>
        <v>#N/A Requesting Data...</v>
      </c>
    </row>
    <row r="175" spans="1:20" x14ac:dyDescent="0.25">
      <c r="A175" t="str">
        <f>_xll.BDP("36422PCH Muni","ID_CUSIP")</f>
        <v>#N/A Requesting Data...</v>
      </c>
      <c r="B175" t="s">
        <v>76</v>
      </c>
      <c r="C175" t="str">
        <f>_xll.BDP("36422PCH Muni","INSURANCE_STATUS")</f>
        <v>#N/A Requesting Data...</v>
      </c>
      <c r="D175" t="str">
        <f>_xll.BDP("36422PCH Muni","STATE_CODE")</f>
        <v>#N/A Requesting Data...</v>
      </c>
      <c r="E175" t="str">
        <f>_xll.BDP("36422PCH Muni","COUNTY_LOCATION_ISSUER")</f>
        <v>#N/A Requesting Data...</v>
      </c>
      <c r="F175" t="str">
        <f>_xll.BDP("36422PCH Muni","DUR_ADJ_MID")</f>
        <v>#N/A Requesting Data...</v>
      </c>
      <c r="G175" t="str">
        <f>_xll.BDP("36422PCH Muni","SPREAD_AT_ISSUANCE_TO_WORST")</f>
        <v>#N/A Requesting Data...</v>
      </c>
      <c r="H175" t="str">
        <f>_xll.BDP("36422PCH Muni","ISSUE_DT")</f>
        <v>#N/A Requesting Data...</v>
      </c>
      <c r="I175" t="str">
        <f>_xll.BDS("36422PCH Muni","MUNI_PURPOSE_SCHED", "aggregate=y")</f>
        <v>#N/A Requesting Data...</v>
      </c>
      <c r="J175" t="str">
        <f>_xll.BDP("36422PCH Muni","CPN")</f>
        <v>#N/A Requesting Data...</v>
      </c>
      <c r="K175" t="str">
        <f>_xll.BDP("36422PCH Muni","MATURITY")</f>
        <v>#N/A Requesting Data...</v>
      </c>
      <c r="L175">
        <v>85000</v>
      </c>
      <c r="M175" t="str">
        <f>_xll.BDP("36422PCH Muni","YIELD_ON_ISSUE_DATE")</f>
        <v>#N/A Requesting Data...</v>
      </c>
      <c r="N175" t="str">
        <f>_xll.BDP("36422PCH Muni","YTW_SPREAD_TO_MATURITY_AT_ISSU")</f>
        <v>#N/A Requesting Data...</v>
      </c>
      <c r="O175" t="str">
        <f>_xll.BDP("36422PCH Muni","BVAL_MID_YTM")</f>
        <v>#N/A Requesting Data...</v>
      </c>
      <c r="P175" t="str">
        <f>_xll.BDP("36422PCH Muni","MUNI_TAX_PROV")</f>
        <v>#N/A Requesting Data...</v>
      </c>
      <c r="Q175" t="str">
        <f>_xll.BDP("36422PCH Muni","MUNI_FED_TAX")</f>
        <v>#N/A Requesting Data...</v>
      </c>
      <c r="R175" t="str">
        <f>_xll.BDP("36422PCH Muni","MUNI_MSRB_VOLUME")</f>
        <v>#N/A Requesting Data...</v>
      </c>
      <c r="S175" t="str">
        <f>_xll.BDP("36422PCH Muni","BB_COMPOSITE")</f>
        <v>#N/A Requesting Data...</v>
      </c>
      <c r="T175" t="str">
        <f>_xll.BDP("36422PCH Muni","LQA_LIQUIDITY_SCORE")</f>
        <v>#N/A Requesting Data...</v>
      </c>
    </row>
    <row r="176" spans="1:20" x14ac:dyDescent="0.25">
      <c r="A176" t="str">
        <f>_xll.BDP("36422RCE Muni","ID_CUSIP")</f>
        <v>#N/A Requesting Data...</v>
      </c>
      <c r="B176" t="s">
        <v>77</v>
      </c>
      <c r="C176" t="str">
        <f>_xll.BDP("36422RCE Muni","INSURANCE_STATUS")</f>
        <v>#N/A Requesting Data...</v>
      </c>
      <c r="D176" t="str">
        <f>_xll.BDP("36422RCE Muni","STATE_CODE")</f>
        <v>#N/A Requesting Data...</v>
      </c>
      <c r="E176" t="str">
        <f>_xll.BDP("36422RCE Muni","COUNTY_LOCATION_ISSUER")</f>
        <v>#N/A Requesting Data...</v>
      </c>
      <c r="F176" t="str">
        <f>_xll.BDP("36422RCE Muni","DUR_ADJ_MID")</f>
        <v>#N/A Requesting Data...</v>
      </c>
      <c r="G176" t="str">
        <f>_xll.BDP("36422RCE Muni","SPREAD_AT_ISSUANCE_TO_WORST")</f>
        <v>#N/A Requesting Data...</v>
      </c>
      <c r="H176" t="str">
        <f>_xll.BDP("36422RCE Muni","ISSUE_DT")</f>
        <v>#N/A Requesting Data...</v>
      </c>
      <c r="I176" t="str">
        <f>_xll.BDS("36422RCE Muni","MUNI_PURPOSE_SCHED", "aggregate=y")</f>
        <v>#N/A Requesting Data...</v>
      </c>
      <c r="J176" t="str">
        <f>_xll.BDP("36422RCE Muni","CPN")</f>
        <v>#N/A Requesting Data...</v>
      </c>
      <c r="K176" t="str">
        <f>_xll.BDP("36422RCE Muni","MATURITY")</f>
        <v>#N/A Requesting Data...</v>
      </c>
      <c r="L176">
        <v>235000</v>
      </c>
      <c r="M176" t="str">
        <f>_xll.BDP("36422RCE Muni","YIELD_ON_ISSUE_DATE")</f>
        <v>#N/A Requesting Data...</v>
      </c>
      <c r="N176" t="str">
        <f>_xll.BDP("36422RCE Muni","YTW_SPREAD_TO_MATURITY_AT_ISSU")</f>
        <v>#N/A Requesting Data...</v>
      </c>
      <c r="O176" t="str">
        <f>_xll.BDP("36422RCE Muni","BVAL_MID_YTM")</f>
        <v>#N/A Requesting Data...</v>
      </c>
      <c r="P176" t="str">
        <f>_xll.BDP("36422RCE Muni","MUNI_TAX_PROV")</f>
        <v>#N/A Requesting Data...</v>
      </c>
      <c r="Q176" t="str">
        <f>_xll.BDP("36422RCE Muni","MUNI_FED_TAX")</f>
        <v>#N/A Requesting Data...</v>
      </c>
      <c r="R176" t="str">
        <f>_xll.BDP("36422RCE Muni","MUNI_MSRB_VOLUME")</f>
        <v>#N/A Requesting Data...</v>
      </c>
      <c r="S176" t="str">
        <f>_xll.BDP("36422RCE Muni","BB_COMPOSITE")</f>
        <v>#N/A Requesting Data...</v>
      </c>
      <c r="T176" t="str">
        <f>_xll.BDP("36422RCE Muni","LQA_LIQUIDITY_SCORE")</f>
        <v>#N/A Requesting Data...</v>
      </c>
    </row>
    <row r="177" spans="1:20" x14ac:dyDescent="0.25">
      <c r="A177" t="str">
        <f>_xll.BDP("36422RCF Muni","ID_CUSIP")</f>
        <v>#N/A Requesting Data...</v>
      </c>
      <c r="B177" t="s">
        <v>77</v>
      </c>
      <c r="C177" t="str">
        <f>_xll.BDP("36422RCF Muni","INSURANCE_STATUS")</f>
        <v>#N/A Requesting Data...</v>
      </c>
      <c r="D177" t="str">
        <f>_xll.BDP("36422RCF Muni","STATE_CODE")</f>
        <v>#N/A Requesting Data...</v>
      </c>
      <c r="E177" t="str">
        <f>_xll.BDP("36422RCF Muni","COUNTY_LOCATION_ISSUER")</f>
        <v>#N/A Requesting Data...</v>
      </c>
      <c r="F177" t="str">
        <f>_xll.BDP("36422RCF Muni","DUR_ADJ_MID")</f>
        <v>#N/A Requesting Data...</v>
      </c>
      <c r="G177" t="str">
        <f>_xll.BDP("36422RCF Muni","SPREAD_AT_ISSUANCE_TO_WORST")</f>
        <v>#N/A Requesting Data...</v>
      </c>
      <c r="H177" t="str">
        <f>_xll.BDP("36422RCF Muni","ISSUE_DT")</f>
        <v>#N/A Requesting Data...</v>
      </c>
      <c r="I177" t="str">
        <f>_xll.BDS("36422RCF Muni","MUNI_PURPOSE_SCHED", "aggregate=y")</f>
        <v>#N/A Requesting Data...</v>
      </c>
      <c r="J177" t="str">
        <f>_xll.BDP("36422RCF Muni","CPN")</f>
        <v>#N/A Requesting Data...</v>
      </c>
      <c r="K177" t="str">
        <f>_xll.BDP("36422RCF Muni","MATURITY")</f>
        <v>#N/A Requesting Data...</v>
      </c>
      <c r="L177">
        <v>235000</v>
      </c>
      <c r="M177" t="str">
        <f>_xll.BDP("36422RCF Muni","YIELD_ON_ISSUE_DATE")</f>
        <v>#N/A Requesting Data...</v>
      </c>
      <c r="N177" t="str">
        <f>_xll.BDP("36422RCF Muni","YTW_SPREAD_TO_MATURITY_AT_ISSU")</f>
        <v>#N/A Requesting Data...</v>
      </c>
      <c r="O177" t="str">
        <f>_xll.BDP("36422RCF Muni","BVAL_MID_YTM")</f>
        <v>#N/A Requesting Data...</v>
      </c>
      <c r="P177" t="str">
        <f>_xll.BDP("36422RCF Muni","MUNI_TAX_PROV")</f>
        <v>#N/A Requesting Data...</v>
      </c>
      <c r="Q177" t="str">
        <f>_xll.BDP("36422RCF Muni","MUNI_FED_TAX")</f>
        <v>#N/A Requesting Data...</v>
      </c>
      <c r="R177" t="str">
        <f>_xll.BDP("36422RCF Muni","MUNI_MSRB_VOLUME")</f>
        <v>#N/A Requesting Data...</v>
      </c>
      <c r="S177" t="str">
        <f>_xll.BDP("36422RCF Muni","BB_COMPOSITE")</f>
        <v>#N/A Requesting Data...</v>
      </c>
      <c r="T177" t="str">
        <f>_xll.BDP("36422RCF Muni","LQA_LIQUIDITY_SCORE")</f>
        <v>#N/A Requesting Data...</v>
      </c>
    </row>
    <row r="178" spans="1:20" x14ac:dyDescent="0.25">
      <c r="A178" t="str">
        <f>_xll.BDP("36422XEA Muni","ID_CUSIP")</f>
        <v>#N/A Requesting Data...</v>
      </c>
      <c r="B178" t="s">
        <v>78</v>
      </c>
      <c r="C178" t="str">
        <f>_xll.BDP("36422XEA Muni","INSURANCE_STATUS")</f>
        <v>#N/A Requesting Data...</v>
      </c>
      <c r="D178" t="str">
        <f>_xll.BDP("36422XEA Muni","STATE_CODE")</f>
        <v>#N/A Requesting Data...</v>
      </c>
      <c r="E178" t="str">
        <f>_xll.BDP("36422XEA Muni","COUNTY_LOCATION_ISSUER")</f>
        <v>#N/A Requesting Data...</v>
      </c>
      <c r="F178" t="str">
        <f>_xll.BDP("36422XEA Muni","DUR_ADJ_MID")</f>
        <v>#N/A Requesting Data...</v>
      </c>
      <c r="G178" t="str">
        <f>_xll.BDP("36422XEA Muni","SPREAD_AT_ISSUANCE_TO_WORST")</f>
        <v>#N/A Requesting Data...</v>
      </c>
      <c r="H178" t="str">
        <f>_xll.BDP("36422XEA Muni","ISSUE_DT")</f>
        <v>#N/A Requesting Data...</v>
      </c>
      <c r="I178" t="str">
        <f>_xll.BDS("36422XEA Muni","MUNI_PURPOSE_SCHED", "aggregate=y")</f>
        <v>#N/A Requesting Data...</v>
      </c>
      <c r="J178" t="str">
        <f>_xll.BDP("36422XEA Muni","CPN")</f>
        <v>#N/A Requesting Data...</v>
      </c>
      <c r="K178" t="str">
        <f>_xll.BDP("36422XEA Muni","MATURITY")</f>
        <v>#N/A Requesting Data...</v>
      </c>
      <c r="L178">
        <v>45000</v>
      </c>
      <c r="M178" t="str">
        <f>_xll.BDP("36422XEA Muni","YIELD_ON_ISSUE_DATE")</f>
        <v>#N/A Requesting Data...</v>
      </c>
      <c r="N178" t="str">
        <f>_xll.BDP("36422XEA Muni","YTW_SPREAD_TO_MATURITY_AT_ISSU")</f>
        <v>#N/A Requesting Data...</v>
      </c>
      <c r="O178" t="str">
        <f>_xll.BDP("36422XEA Muni","BVAL_MID_YTM")</f>
        <v>#N/A Requesting Data...</v>
      </c>
      <c r="P178" t="str">
        <f>_xll.BDP("36422XEA Muni","MUNI_TAX_PROV")</f>
        <v>#N/A Requesting Data...</v>
      </c>
      <c r="Q178" t="str">
        <f>_xll.BDP("36422XEA Muni","MUNI_FED_TAX")</f>
        <v>#N/A Requesting Data...</v>
      </c>
      <c r="R178" t="str">
        <f>_xll.BDP("36422XEA Muni","MUNI_MSRB_VOLUME")</f>
        <v>#N/A Requesting Data...</v>
      </c>
      <c r="S178" t="str">
        <f>_xll.BDP("36422XEA Muni","BB_COMPOSITE")</f>
        <v>#N/A Requesting Data...</v>
      </c>
      <c r="T178" t="str">
        <f>_xll.BDP("36422XEA Muni","LQA_LIQUIDITY_SCORE")</f>
        <v>#N/A Requesting Data...</v>
      </c>
    </row>
    <row r="179" spans="1:20" x14ac:dyDescent="0.25">
      <c r="A179" t="str">
        <f>_xll.BDP("36422XEB Muni","ID_CUSIP")</f>
        <v>#N/A Requesting Data...</v>
      </c>
      <c r="B179" t="s">
        <v>78</v>
      </c>
      <c r="C179" t="str">
        <f>_xll.BDP("36422XEB Muni","INSURANCE_STATUS")</f>
        <v>#N/A Requesting Data...</v>
      </c>
      <c r="D179" t="str">
        <f>_xll.BDP("36422XEB Muni","STATE_CODE")</f>
        <v>#N/A Requesting Data...</v>
      </c>
      <c r="E179" t="str">
        <f>_xll.BDP("36422XEB Muni","COUNTY_LOCATION_ISSUER")</f>
        <v>#N/A Requesting Data...</v>
      </c>
      <c r="F179" t="str">
        <f>_xll.BDP("36422XEB Muni","DUR_ADJ_MID")</f>
        <v>#N/A Requesting Data...</v>
      </c>
      <c r="G179" t="str">
        <f>_xll.BDP("36422XEB Muni","SPREAD_AT_ISSUANCE_TO_WORST")</f>
        <v>#N/A Requesting Data...</v>
      </c>
      <c r="H179" t="str">
        <f>_xll.BDP("36422XEB Muni","ISSUE_DT")</f>
        <v>#N/A Requesting Data...</v>
      </c>
      <c r="I179" t="str">
        <f>_xll.BDS("36422XEB Muni","MUNI_PURPOSE_SCHED", "aggregate=y")</f>
        <v>#N/A Requesting Data...</v>
      </c>
      <c r="J179" t="str">
        <f>_xll.BDP("36422XEB Muni","CPN")</f>
        <v>#N/A Requesting Data...</v>
      </c>
      <c r="K179" t="str">
        <f>_xll.BDP("36422XEB Muni","MATURITY")</f>
        <v>#N/A Requesting Data...</v>
      </c>
      <c r="L179">
        <v>45000</v>
      </c>
      <c r="M179" t="str">
        <f>_xll.BDP("36422XEB Muni","YIELD_ON_ISSUE_DATE")</f>
        <v>#N/A Requesting Data...</v>
      </c>
      <c r="N179" t="str">
        <f>_xll.BDP("36422XEB Muni","YTW_SPREAD_TO_MATURITY_AT_ISSU")</f>
        <v>#N/A Requesting Data...</v>
      </c>
      <c r="O179" t="str">
        <f>_xll.BDP("36422XEB Muni","BVAL_MID_YTM")</f>
        <v>#N/A Requesting Data...</v>
      </c>
      <c r="P179" t="str">
        <f>_xll.BDP("36422XEB Muni","MUNI_TAX_PROV")</f>
        <v>#N/A Requesting Data...</v>
      </c>
      <c r="Q179" t="str">
        <f>_xll.BDP("36422XEB Muni","MUNI_FED_TAX")</f>
        <v>#N/A Requesting Data...</v>
      </c>
      <c r="R179" t="str">
        <f>_xll.BDP("36422XEB Muni","MUNI_MSRB_VOLUME")</f>
        <v>#N/A Requesting Data...</v>
      </c>
      <c r="S179" t="str">
        <f>_xll.BDP("36422XEB Muni","BB_COMPOSITE")</f>
        <v>#N/A Requesting Data...</v>
      </c>
      <c r="T179" t="str">
        <f>_xll.BDP("36422XEB Muni","LQA_LIQUIDITY_SCORE")</f>
        <v>#N/A Requesting Data...</v>
      </c>
    </row>
    <row r="180" spans="1:20" x14ac:dyDescent="0.25">
      <c r="A180" t="str">
        <f>_xll.BDP("289425WL Muni","ID_CUSIP")</f>
        <v>#N/A Requesting Data...</v>
      </c>
      <c r="B180" t="s">
        <v>79</v>
      </c>
      <c r="C180" t="str">
        <f>_xll.BDP("289425WL Muni","INSURANCE_STATUS")</f>
        <v>#N/A Requesting Data...</v>
      </c>
      <c r="D180" t="str">
        <f>_xll.BDP("289425WL Muni","STATE_CODE")</f>
        <v>#N/A Requesting Data...</v>
      </c>
      <c r="E180" t="str">
        <f>_xll.BDP("289425WL Muni","COUNTY_LOCATION_ISSUER")</f>
        <v>#N/A Requesting Data...</v>
      </c>
      <c r="F180" t="str">
        <f>_xll.BDP("289425WL Muni","DUR_ADJ_MID")</f>
        <v>#N/A Requesting Data...</v>
      </c>
      <c r="G180" t="str">
        <f>_xll.BDP("289425WL Muni","SPREAD_AT_ISSUANCE_TO_WORST")</f>
        <v>#N/A Requesting Data...</v>
      </c>
      <c r="H180" t="str">
        <f>_xll.BDP("289425WL Muni","ISSUE_DT")</f>
        <v>#N/A Requesting Data...</v>
      </c>
      <c r="I180" t="str">
        <f>_xll.BDS("289425WL Muni","MUNI_PURPOSE_SCHED", "aggregate=y")</f>
        <v>#N/A Requesting Data...</v>
      </c>
      <c r="J180" t="str">
        <f>_xll.BDP("289425WL Muni","CPN")</f>
        <v>#N/A Requesting Data...</v>
      </c>
      <c r="K180" t="str">
        <f>_xll.BDP("289425WL Muni","MATURITY")</f>
        <v>#N/A Requesting Data...</v>
      </c>
      <c r="L180">
        <v>385000</v>
      </c>
      <c r="M180" t="str">
        <f>_xll.BDP("289425WL Muni","YIELD_ON_ISSUE_DATE")</f>
        <v>#N/A Requesting Data...</v>
      </c>
      <c r="N180" t="str">
        <f>_xll.BDP("289425WL Muni","YTW_SPREAD_TO_MATURITY_AT_ISSU")</f>
        <v>#N/A Requesting Data...</v>
      </c>
      <c r="O180" t="str">
        <f>_xll.BDP("289425WL Muni","BVAL_MID_YTM")</f>
        <v>#N/A Requesting Data...</v>
      </c>
      <c r="P180" t="str">
        <f>_xll.BDP("289425WL Muni","MUNI_TAX_PROV")</f>
        <v>#N/A Requesting Data...</v>
      </c>
      <c r="Q180" t="str">
        <f>_xll.BDP("289425WL Muni","MUNI_FED_TAX")</f>
        <v>#N/A Requesting Data...</v>
      </c>
      <c r="R180" t="str">
        <f>_xll.BDP("289425WL Muni","MUNI_MSRB_VOLUME")</f>
        <v>#N/A Requesting Data...</v>
      </c>
      <c r="S180" t="str">
        <f>_xll.BDP("289425WL Muni","BB_COMPOSITE")</f>
        <v>#N/A Requesting Data...</v>
      </c>
      <c r="T180" t="str">
        <f>_xll.BDP("289425WL Muni","LQA_LIQUIDITY_SCORE")</f>
        <v>#N/A Requesting Data...</v>
      </c>
    </row>
    <row r="181" spans="1:20" x14ac:dyDescent="0.25">
      <c r="A181" t="str">
        <f>_xll.BDP("289425WN Muni","ID_CUSIP")</f>
        <v>#N/A Requesting Data...</v>
      </c>
      <c r="B181" t="s">
        <v>79</v>
      </c>
      <c r="C181" t="str">
        <f>_xll.BDP("289425WN Muni","INSURANCE_STATUS")</f>
        <v>#N/A Requesting Data...</v>
      </c>
      <c r="D181" t="str">
        <f>_xll.BDP("289425WN Muni","STATE_CODE")</f>
        <v>#N/A Requesting Data...</v>
      </c>
      <c r="E181" t="str">
        <f>_xll.BDP("289425WN Muni","COUNTY_LOCATION_ISSUER")</f>
        <v>#N/A Requesting Data...</v>
      </c>
      <c r="F181" t="str">
        <f>_xll.BDP("289425WN Muni","DUR_ADJ_MID")</f>
        <v>#N/A Requesting Data...</v>
      </c>
      <c r="G181" t="str">
        <f>_xll.BDP("289425WN Muni","SPREAD_AT_ISSUANCE_TO_WORST")</f>
        <v>#N/A Requesting Data...</v>
      </c>
      <c r="H181" t="str">
        <f>_xll.BDP("289425WN Muni","ISSUE_DT")</f>
        <v>#N/A Requesting Data...</v>
      </c>
      <c r="I181" t="str">
        <f>_xll.BDS("289425WN Muni","MUNI_PURPOSE_SCHED", "aggregate=y")</f>
        <v>#N/A Requesting Data...</v>
      </c>
      <c r="J181" t="str">
        <f>_xll.BDP("289425WN Muni","CPN")</f>
        <v>#N/A Requesting Data...</v>
      </c>
      <c r="K181" t="str">
        <f>_xll.BDP("289425WN Muni","MATURITY")</f>
        <v>#N/A Requesting Data...</v>
      </c>
      <c r="L181">
        <v>425000</v>
      </c>
      <c r="M181" t="str">
        <f>_xll.BDP("289425WN Muni","YIELD_ON_ISSUE_DATE")</f>
        <v>#N/A Requesting Data...</v>
      </c>
      <c r="N181" t="str">
        <f>_xll.BDP("289425WN Muni","YTW_SPREAD_TO_MATURITY_AT_ISSU")</f>
        <v>#N/A Requesting Data...</v>
      </c>
      <c r="O181" t="str">
        <f>_xll.BDP("289425WN Muni","BVAL_MID_YTM")</f>
        <v>#N/A Requesting Data...</v>
      </c>
      <c r="P181" t="str">
        <f>_xll.BDP("289425WN Muni","MUNI_TAX_PROV")</f>
        <v>#N/A Requesting Data...</v>
      </c>
      <c r="Q181" t="str">
        <f>_xll.BDP("289425WN Muni","MUNI_FED_TAX")</f>
        <v>#N/A Requesting Data...</v>
      </c>
      <c r="R181" t="str">
        <f>_xll.BDP("289425WN Muni","MUNI_MSRB_VOLUME")</f>
        <v>#N/A Requesting Data...</v>
      </c>
      <c r="S181" t="str">
        <f>_xll.BDP("289425WN Muni","BB_COMPOSITE")</f>
        <v>#N/A Requesting Data...</v>
      </c>
      <c r="T181" t="str">
        <f>_xll.BDP("289425WN Muni","LQA_LIQUIDITY_SCORE")</f>
        <v>#N/A Requesting Data...</v>
      </c>
    </row>
    <row r="182" spans="1:20" x14ac:dyDescent="0.25">
      <c r="A182" t="str">
        <f>_xll.BDP("36423BFE Muni","ID_CUSIP")</f>
        <v>#N/A Requesting Data...</v>
      </c>
      <c r="B182" t="s">
        <v>80</v>
      </c>
      <c r="C182" t="str">
        <f>_xll.BDP("36423BFE Muni","INSURANCE_STATUS")</f>
        <v>#N/A Requesting Data...</v>
      </c>
      <c r="D182" t="str">
        <f>_xll.BDP("36423BFE Muni","STATE_CODE")</f>
        <v>#N/A Requesting Data...</v>
      </c>
      <c r="E182" t="str">
        <f>_xll.BDP("36423BFE Muni","COUNTY_LOCATION_ISSUER")</f>
        <v>#N/A Requesting Data...</v>
      </c>
      <c r="F182" t="str">
        <f>_xll.BDP("36423BFE Muni","DUR_ADJ_MID")</f>
        <v>#N/A Requesting Data...</v>
      </c>
      <c r="G182" t="str">
        <f>_xll.BDP("36423BFE Muni","SPREAD_AT_ISSUANCE_TO_WORST")</f>
        <v>#N/A Requesting Data...</v>
      </c>
      <c r="H182" t="str">
        <f>_xll.BDP("36423BFE Muni","ISSUE_DT")</f>
        <v>#N/A Requesting Data...</v>
      </c>
      <c r="I182" t="str">
        <f>_xll.BDS("36423BFE Muni","MUNI_PURPOSE_SCHED", "aggregate=y")</f>
        <v>#N/A Requesting Data...</v>
      </c>
      <c r="J182" t="str">
        <f>_xll.BDP("36423BFE Muni","CPN")</f>
        <v>#N/A Requesting Data...</v>
      </c>
      <c r="K182" t="str">
        <f>_xll.BDP("36423BFE Muni","MATURITY")</f>
        <v>#N/A Requesting Data...</v>
      </c>
      <c r="L182">
        <v>120000</v>
      </c>
      <c r="M182" t="str">
        <f>_xll.BDP("36423BFE Muni","YIELD_ON_ISSUE_DATE")</f>
        <v>#N/A Requesting Data...</v>
      </c>
      <c r="N182" t="str">
        <f>_xll.BDP("36423BFE Muni","YTW_SPREAD_TO_MATURITY_AT_ISSU")</f>
        <v>#N/A Requesting Data...</v>
      </c>
      <c r="O182" t="str">
        <f>_xll.BDP("36423BFE Muni","BVAL_MID_YTM")</f>
        <v>#N/A Requesting Data...</v>
      </c>
      <c r="P182" t="str">
        <f>_xll.BDP("36423BFE Muni","MUNI_TAX_PROV")</f>
        <v>#N/A Requesting Data...</v>
      </c>
      <c r="Q182" t="str">
        <f>_xll.BDP("36423BFE Muni","MUNI_FED_TAX")</f>
        <v>#N/A Requesting Data...</v>
      </c>
      <c r="R182" t="str">
        <f>_xll.BDP("36423BFE Muni","MUNI_MSRB_VOLUME")</f>
        <v>#N/A Requesting Data...</v>
      </c>
      <c r="S182" t="str">
        <f>_xll.BDP("36423BFE Muni","BB_COMPOSITE")</f>
        <v>#N/A Requesting Data...</v>
      </c>
      <c r="T182" t="str">
        <f>_xll.BDP("36423BFE Muni","LQA_LIQUIDITY_SCORE")</f>
        <v>#N/A Requesting Data...</v>
      </c>
    </row>
    <row r="183" spans="1:20" x14ac:dyDescent="0.25">
      <c r="A183" t="str">
        <f>_xll.BDP("36423CBX Muni","ID_CUSIP")</f>
        <v>#N/A Requesting Data...</v>
      </c>
      <c r="B183" t="s">
        <v>81</v>
      </c>
      <c r="C183" t="str">
        <f>_xll.BDP("36423CBX Muni","INSURANCE_STATUS")</f>
        <v>#N/A Requesting Data...</v>
      </c>
      <c r="D183" t="str">
        <f>_xll.BDP("36423CBX Muni","STATE_CODE")</f>
        <v>#N/A Requesting Data...</v>
      </c>
      <c r="E183" t="str">
        <f>_xll.BDP("36423CBX Muni","COUNTY_LOCATION_ISSUER")</f>
        <v>#N/A Requesting Data...</v>
      </c>
      <c r="F183" t="str">
        <f>_xll.BDP("36423CBX Muni","DUR_ADJ_MID")</f>
        <v>#N/A Requesting Data...</v>
      </c>
      <c r="G183" t="str">
        <f>_xll.BDP("36423CBX Muni","SPREAD_AT_ISSUANCE_TO_WORST")</f>
        <v>#N/A Requesting Data...</v>
      </c>
      <c r="H183" t="str">
        <f>_xll.BDP("36423CBX Muni","ISSUE_DT")</f>
        <v>#N/A Requesting Data...</v>
      </c>
      <c r="I183" t="str">
        <f>_xll.BDS("36423CBX Muni","MUNI_PURPOSE_SCHED", "aggregate=y")</f>
        <v>#N/A Requesting Data...</v>
      </c>
      <c r="J183" t="str">
        <f>_xll.BDP("36423CBX Muni","CPN")</f>
        <v>#N/A Requesting Data...</v>
      </c>
      <c r="K183" t="str">
        <f>_xll.BDP("36423CBX Muni","MATURITY")</f>
        <v>#N/A Requesting Data...</v>
      </c>
      <c r="L183">
        <v>75000</v>
      </c>
      <c r="M183" t="str">
        <f>_xll.BDP("36423CBX Muni","YIELD_ON_ISSUE_DATE")</f>
        <v>#N/A Requesting Data...</v>
      </c>
      <c r="N183" t="str">
        <f>_xll.BDP("36423CBX Muni","YTW_SPREAD_TO_MATURITY_AT_ISSU")</f>
        <v>#N/A Requesting Data...</v>
      </c>
      <c r="O183" t="str">
        <f>_xll.BDP("36423CBX Muni","BVAL_MID_YTM")</f>
        <v>#N/A Requesting Data...</v>
      </c>
      <c r="P183" t="str">
        <f>_xll.BDP("36423CBX Muni","MUNI_TAX_PROV")</f>
        <v>#N/A Requesting Data...</v>
      </c>
      <c r="Q183" t="str">
        <f>_xll.BDP("36423CBX Muni","MUNI_FED_TAX")</f>
        <v>#N/A Requesting Data...</v>
      </c>
      <c r="R183" t="str">
        <f>_xll.BDP("36423CBX Muni","MUNI_MSRB_VOLUME")</f>
        <v>#N/A Requesting Data...</v>
      </c>
      <c r="S183" t="str">
        <f>_xll.BDP("36423CBX Muni","BB_COMPOSITE")</f>
        <v>#N/A Requesting Data...</v>
      </c>
      <c r="T183" t="str">
        <f>_xll.BDP("36423CBX Muni","LQA_LIQUIDITY_SCORE")</f>
        <v>#N/A Requesting Data...</v>
      </c>
    </row>
    <row r="184" spans="1:20" x14ac:dyDescent="0.25">
      <c r="A184" t="str">
        <f>_xll.BDP("36423EDU Muni","ID_CUSIP")</f>
        <v>#N/A Requesting Data...</v>
      </c>
      <c r="B184" t="s">
        <v>82</v>
      </c>
      <c r="C184" t="str">
        <f>_xll.BDP("36423EDU Muni","INSURANCE_STATUS")</f>
        <v>#N/A Requesting Data...</v>
      </c>
      <c r="D184" t="str">
        <f>_xll.BDP("36423EDU Muni","STATE_CODE")</f>
        <v>#N/A Requesting Data...</v>
      </c>
      <c r="E184" t="str">
        <f>_xll.BDP("36423EDU Muni","COUNTY_LOCATION_ISSUER")</f>
        <v>#N/A Requesting Data...</v>
      </c>
      <c r="F184" t="str">
        <f>_xll.BDP("36423EDU Muni","DUR_ADJ_MID")</f>
        <v>#N/A Requesting Data...</v>
      </c>
      <c r="G184" t="str">
        <f>_xll.BDP("36423EDU Muni","SPREAD_AT_ISSUANCE_TO_WORST")</f>
        <v>#N/A Requesting Data...</v>
      </c>
      <c r="H184" t="str">
        <f>_xll.BDP("36423EDU Muni","ISSUE_DT")</f>
        <v>#N/A Requesting Data...</v>
      </c>
      <c r="I184" t="str">
        <f>_xll.BDS("36423EDU Muni","MUNI_PURPOSE_SCHED", "aggregate=y")</f>
        <v>#N/A Requesting Data...</v>
      </c>
      <c r="J184" t="str">
        <f>_xll.BDP("36423EDU Muni","CPN")</f>
        <v>#N/A Requesting Data...</v>
      </c>
      <c r="K184" t="str">
        <f>_xll.BDP("36423EDU Muni","MATURITY")</f>
        <v>#N/A Requesting Data...</v>
      </c>
      <c r="L184">
        <v>150000</v>
      </c>
      <c r="M184" t="str">
        <f>_xll.BDP("36423EDU Muni","YIELD_ON_ISSUE_DATE")</f>
        <v>#N/A Requesting Data...</v>
      </c>
      <c r="N184" t="str">
        <f>_xll.BDP("36423EDU Muni","YTW_SPREAD_TO_MATURITY_AT_ISSU")</f>
        <v>#N/A Requesting Data...</v>
      </c>
      <c r="O184" t="str">
        <f>_xll.BDP("36423EDU Muni","BVAL_MID_YTM")</f>
        <v>#N/A Requesting Data...</v>
      </c>
      <c r="P184" t="str">
        <f>_xll.BDP("36423EDU Muni","MUNI_TAX_PROV")</f>
        <v>#N/A Requesting Data...</v>
      </c>
      <c r="Q184" t="str">
        <f>_xll.BDP("36423EDU Muni","MUNI_FED_TAX")</f>
        <v>#N/A Requesting Data...</v>
      </c>
      <c r="R184" t="str">
        <f>_xll.BDP("36423EDU Muni","MUNI_MSRB_VOLUME")</f>
        <v>#N/A Requesting Data...</v>
      </c>
      <c r="S184" t="str">
        <f>_xll.BDP("36423EDU Muni","BB_COMPOSITE")</f>
        <v>#N/A Requesting Data...</v>
      </c>
      <c r="T184" t="str">
        <f>_xll.BDP("36423EDU Muni","LQA_LIQUIDITY_SCORE")</f>
        <v>#N/A Requesting Data...</v>
      </c>
    </row>
    <row r="185" spans="1:20" x14ac:dyDescent="0.25">
      <c r="A185" t="str">
        <f>_xll.BDP("36423GBD Muni","ID_CUSIP")</f>
        <v>#N/A Requesting Data...</v>
      </c>
      <c r="B185" t="s">
        <v>83</v>
      </c>
      <c r="C185" t="str">
        <f>_xll.BDP("36423GBD Muni","INSURANCE_STATUS")</f>
        <v>#N/A Requesting Data...</v>
      </c>
      <c r="D185" t="str">
        <f>_xll.BDP("36423GBD Muni","STATE_CODE")</f>
        <v>#N/A Requesting Data...</v>
      </c>
      <c r="E185" t="str">
        <f>_xll.BDP("36423GBD Muni","COUNTY_LOCATION_ISSUER")</f>
        <v>#N/A Requesting Data...</v>
      </c>
      <c r="F185" t="str">
        <f>_xll.BDP("36423GBD Muni","DUR_ADJ_MID")</f>
        <v>#N/A Requesting Data...</v>
      </c>
      <c r="G185" t="str">
        <f>_xll.BDP("36423GBD Muni","SPREAD_AT_ISSUANCE_TO_WORST")</f>
        <v>#N/A Requesting Data...</v>
      </c>
      <c r="H185" t="str">
        <f>_xll.BDP("36423GBD Muni","ISSUE_DT")</f>
        <v>#N/A Requesting Data...</v>
      </c>
      <c r="I185" t="str">
        <f>_xll.BDS("36423GBD Muni","MUNI_PURPOSE_SCHED", "aggregate=y")</f>
        <v>#N/A Requesting Data...</v>
      </c>
      <c r="J185" t="str">
        <f>_xll.BDP("36423GBD Muni","CPN")</f>
        <v>#N/A Requesting Data...</v>
      </c>
      <c r="K185" t="str">
        <f>_xll.BDP("36423GBD Muni","MATURITY")</f>
        <v>#N/A Requesting Data...</v>
      </c>
      <c r="L185">
        <v>200000</v>
      </c>
      <c r="M185" t="str">
        <f>_xll.BDP("36423GBD Muni","YIELD_ON_ISSUE_DATE")</f>
        <v>#N/A Requesting Data...</v>
      </c>
      <c r="N185" t="str">
        <f>_xll.BDP("36423GBD Muni","YTW_SPREAD_TO_MATURITY_AT_ISSU")</f>
        <v>#N/A Requesting Data...</v>
      </c>
      <c r="O185" t="str">
        <f>_xll.BDP("36423GBD Muni","BVAL_MID_YTM")</f>
        <v>#N/A Requesting Data...</v>
      </c>
      <c r="P185" t="str">
        <f>_xll.BDP("36423GBD Muni","MUNI_TAX_PROV")</f>
        <v>#N/A Requesting Data...</v>
      </c>
      <c r="Q185" t="str">
        <f>_xll.BDP("36423GBD Muni","MUNI_FED_TAX")</f>
        <v>#N/A Requesting Data...</v>
      </c>
      <c r="R185" t="str">
        <f>_xll.BDP("36423GBD Muni","MUNI_MSRB_VOLUME")</f>
        <v>#N/A Requesting Data...</v>
      </c>
      <c r="S185" t="str">
        <f>_xll.BDP("36423GBD Muni","BB_COMPOSITE")</f>
        <v>#N/A Requesting Data...</v>
      </c>
      <c r="T185" t="str">
        <f>_xll.BDP("36423GBD Muni","LQA_LIQUIDITY_SCORE")</f>
        <v>#N/A Requesting Data...</v>
      </c>
    </row>
    <row r="186" spans="1:20" x14ac:dyDescent="0.25">
      <c r="A186" t="str">
        <f>_xll.BDP("36423GBE Muni","ID_CUSIP")</f>
        <v>#N/A Requesting Data...</v>
      </c>
      <c r="B186" t="s">
        <v>83</v>
      </c>
      <c r="C186" t="str">
        <f>_xll.BDP("36423GBE Muni","INSURANCE_STATUS")</f>
        <v>#N/A Requesting Data...</v>
      </c>
      <c r="D186" t="str">
        <f>_xll.BDP("36423GBE Muni","STATE_CODE")</f>
        <v>#N/A Requesting Data...</v>
      </c>
      <c r="E186" t="str">
        <f>_xll.BDP("36423GBE Muni","COUNTY_LOCATION_ISSUER")</f>
        <v>#N/A Requesting Data...</v>
      </c>
      <c r="F186" t="str">
        <f>_xll.BDP("36423GBE Muni","DUR_ADJ_MID")</f>
        <v>#N/A Requesting Data...</v>
      </c>
      <c r="G186" t="str">
        <f>_xll.BDP("36423GBE Muni","SPREAD_AT_ISSUANCE_TO_WORST")</f>
        <v>#N/A Requesting Data...</v>
      </c>
      <c r="H186" t="str">
        <f>_xll.BDP("36423GBE Muni","ISSUE_DT")</f>
        <v>#N/A Requesting Data...</v>
      </c>
      <c r="I186" t="str">
        <f>_xll.BDS("36423GBE Muni","MUNI_PURPOSE_SCHED", "aggregate=y")</f>
        <v>#N/A Requesting Data...</v>
      </c>
      <c r="J186" t="str">
        <f>_xll.BDP("36423GBE Muni","CPN")</f>
        <v>#N/A Requesting Data...</v>
      </c>
      <c r="K186" t="str">
        <f>_xll.BDP("36423GBE Muni","MATURITY")</f>
        <v>#N/A Requesting Data...</v>
      </c>
      <c r="L186">
        <v>210000</v>
      </c>
      <c r="M186" t="str">
        <f>_xll.BDP("36423GBE Muni","YIELD_ON_ISSUE_DATE")</f>
        <v>#N/A Requesting Data...</v>
      </c>
      <c r="N186" t="str">
        <f>_xll.BDP("36423GBE Muni","YTW_SPREAD_TO_MATURITY_AT_ISSU")</f>
        <v>#N/A Requesting Data...</v>
      </c>
      <c r="O186" t="str">
        <f>_xll.BDP("36423GBE Muni","BVAL_MID_YTM")</f>
        <v>#N/A Requesting Data...</v>
      </c>
      <c r="P186" t="str">
        <f>_xll.BDP("36423GBE Muni","MUNI_TAX_PROV")</f>
        <v>#N/A Requesting Data...</v>
      </c>
      <c r="Q186" t="str">
        <f>_xll.BDP("36423GBE Muni","MUNI_FED_TAX")</f>
        <v>#N/A Requesting Data...</v>
      </c>
      <c r="R186" t="str">
        <f>_xll.BDP("36423GBE Muni","MUNI_MSRB_VOLUME")</f>
        <v>#N/A Requesting Data...</v>
      </c>
      <c r="S186" t="str">
        <f>_xll.BDP("36423GBE Muni","BB_COMPOSITE")</f>
        <v>#N/A Requesting Data...</v>
      </c>
      <c r="T186" t="str">
        <f>_xll.BDP("36423GBE Muni","LQA_LIQUIDITY_SCORE")</f>
        <v>#N/A Requesting Data...</v>
      </c>
    </row>
    <row r="187" spans="1:20" x14ac:dyDescent="0.25">
      <c r="A187" t="str">
        <f>_xll.BDP("2906413P Muni","ID_CUSIP")</f>
        <v>#N/A Requesting Data...</v>
      </c>
      <c r="B187" t="s">
        <v>84</v>
      </c>
      <c r="C187" t="str">
        <f>_xll.BDP("2906413P Muni","INSURANCE_STATUS")</f>
        <v>#N/A Requesting Data...</v>
      </c>
      <c r="D187" t="str">
        <f>_xll.BDP("2906413P Muni","STATE_CODE")</f>
        <v>#N/A Requesting Data...</v>
      </c>
      <c r="E187" t="str">
        <f>_xll.BDP("2906413P Muni","COUNTY_LOCATION_ISSUER")</f>
        <v>#N/A Requesting Data...</v>
      </c>
      <c r="F187" t="str">
        <f>_xll.BDP("2906413P Muni","DUR_ADJ_MID")</f>
        <v>#N/A Requesting Data...</v>
      </c>
      <c r="G187" t="str">
        <f>_xll.BDP("2906413P Muni","SPREAD_AT_ISSUANCE_TO_WORST")</f>
        <v>#N/A Requesting Data...</v>
      </c>
      <c r="H187" t="str">
        <f>_xll.BDP("2906413P Muni","ISSUE_DT")</f>
        <v>#N/A Requesting Data...</v>
      </c>
      <c r="I187" t="str">
        <f>_xll.BDS("2906413P Muni","MUNI_PURPOSE_SCHED", "aggregate=y")</f>
        <v>#N/A Requesting Data...</v>
      </c>
      <c r="J187" t="str">
        <f>_xll.BDP("2906413P Muni","CPN")</f>
        <v>#N/A Requesting Data...</v>
      </c>
      <c r="K187" t="str">
        <f>_xll.BDP("2906413P Muni","MATURITY")</f>
        <v>#N/A Requesting Data...</v>
      </c>
      <c r="L187">
        <v>145000</v>
      </c>
      <c r="M187" t="str">
        <f>_xll.BDP("2906413P Muni","YIELD_ON_ISSUE_DATE")</f>
        <v>#N/A Requesting Data...</v>
      </c>
      <c r="N187" t="str">
        <f>_xll.BDP("2906413P Muni","YTW_SPREAD_TO_MATURITY_AT_ISSU")</f>
        <v>#N/A Requesting Data...</v>
      </c>
      <c r="O187" t="str">
        <f>_xll.BDP("2906413P Muni","BVAL_MID_YTM")</f>
        <v>#N/A Requesting Data...</v>
      </c>
      <c r="P187" t="str">
        <f>_xll.BDP("2906413P Muni","MUNI_TAX_PROV")</f>
        <v>#N/A Requesting Data...</v>
      </c>
      <c r="Q187" t="str">
        <f>_xll.BDP("2906413P Muni","MUNI_FED_TAX")</f>
        <v>#N/A Requesting Data...</v>
      </c>
      <c r="R187" t="str">
        <f>_xll.BDP("2906413P Muni","MUNI_MSRB_VOLUME")</f>
        <v>#N/A Requesting Data...</v>
      </c>
      <c r="S187" t="str">
        <f>_xll.BDP("2906413P Muni","BB_COMPOSITE")</f>
        <v>#N/A Requesting Data...</v>
      </c>
      <c r="T187" t="str">
        <f>_xll.BDP("2906413P Muni","LQA_LIQUIDITY_SCORE")</f>
        <v>#N/A Requesting Data...</v>
      </c>
    </row>
    <row r="188" spans="1:20" x14ac:dyDescent="0.25">
      <c r="A188" t="str">
        <f>_xll.BDP("293659CR Muni","ID_CUSIP")</f>
        <v>#N/A Requesting Data...</v>
      </c>
      <c r="B188" t="s">
        <v>85</v>
      </c>
      <c r="C188" t="str">
        <f>_xll.BDP("293659CR Muni","INSURANCE_STATUS")</f>
        <v>#N/A Requesting Data...</v>
      </c>
      <c r="D188" t="str">
        <f>_xll.BDP("293659CR Muni","STATE_CODE")</f>
        <v>#N/A Requesting Data...</v>
      </c>
      <c r="E188" t="str">
        <f>_xll.BDP("293659CR Muni","COUNTY_LOCATION_ISSUER")</f>
        <v>#N/A Requesting Data...</v>
      </c>
      <c r="F188" t="str">
        <f>_xll.BDP("293659CR Muni","DUR_ADJ_MID")</f>
        <v>#N/A Requesting Data...</v>
      </c>
      <c r="G188" t="str">
        <f>_xll.BDP("293659CR Muni","SPREAD_AT_ISSUANCE_TO_WORST")</f>
        <v>#N/A Requesting Data...</v>
      </c>
      <c r="H188" t="str">
        <f>_xll.BDP("293659CR Muni","ISSUE_DT")</f>
        <v>#N/A Requesting Data...</v>
      </c>
      <c r="I188" t="str">
        <f>_xll.BDS("293659CR Muni","MUNI_PURPOSE_SCHED", "aggregate=y")</f>
        <v>#N/A Requesting Data...</v>
      </c>
      <c r="J188" t="str">
        <f>_xll.BDP("293659CR Muni","CPN")</f>
        <v>#N/A Requesting Data...</v>
      </c>
      <c r="K188" t="str">
        <f>_xll.BDP("293659CR Muni","MATURITY")</f>
        <v>#N/A Requesting Data...</v>
      </c>
      <c r="L188">
        <v>220000</v>
      </c>
      <c r="M188" t="str">
        <f>_xll.BDP("293659CR Muni","YIELD_ON_ISSUE_DATE")</f>
        <v>#N/A Requesting Data...</v>
      </c>
      <c r="N188" t="str">
        <f>_xll.BDP("293659CR Muni","YTW_SPREAD_TO_MATURITY_AT_ISSU")</f>
        <v>#N/A Requesting Data...</v>
      </c>
      <c r="O188" t="str">
        <f>_xll.BDP("293659CR Muni","BVAL_MID_YTM")</f>
        <v>#N/A Requesting Data...</v>
      </c>
      <c r="P188" t="str">
        <f>_xll.BDP("293659CR Muni","MUNI_TAX_PROV")</f>
        <v>#N/A Requesting Data...</v>
      </c>
      <c r="Q188" t="str">
        <f>_xll.BDP("293659CR Muni","MUNI_FED_TAX")</f>
        <v>#N/A Requesting Data...</v>
      </c>
      <c r="R188" t="str">
        <f>_xll.BDP("293659CR Muni","MUNI_MSRB_VOLUME")</f>
        <v>#N/A Requesting Data...</v>
      </c>
      <c r="S188" t="str">
        <f>_xll.BDP("293659CR Muni","BB_COMPOSITE")</f>
        <v>#N/A Requesting Data...</v>
      </c>
      <c r="T188" t="str">
        <f>_xll.BDP("293659CR Muni","LQA_LIQUIDITY_SCORE")</f>
        <v>#N/A Requesting Data...</v>
      </c>
    </row>
    <row r="189" spans="1:20" x14ac:dyDescent="0.25">
      <c r="A189" t="str">
        <f>_xll.BDP("293659CS Muni","ID_CUSIP")</f>
        <v>#N/A Requesting Data...</v>
      </c>
      <c r="B189" t="s">
        <v>85</v>
      </c>
      <c r="C189" t="str">
        <f>_xll.BDP("293659CS Muni","INSURANCE_STATUS")</f>
        <v>#N/A Requesting Data...</v>
      </c>
      <c r="D189" t="str">
        <f>_xll.BDP("293659CS Muni","STATE_CODE")</f>
        <v>#N/A Requesting Data...</v>
      </c>
      <c r="E189" t="str">
        <f>_xll.BDP("293659CS Muni","COUNTY_LOCATION_ISSUER")</f>
        <v>#N/A Requesting Data...</v>
      </c>
      <c r="F189" t="str">
        <f>_xll.BDP("293659CS Muni","DUR_ADJ_MID")</f>
        <v>#N/A Requesting Data...</v>
      </c>
      <c r="G189" t="str">
        <f>_xll.BDP("293659CS Muni","SPREAD_AT_ISSUANCE_TO_WORST")</f>
        <v>#N/A Requesting Data...</v>
      </c>
      <c r="H189" t="str">
        <f>_xll.BDP("293659CS Muni","ISSUE_DT")</f>
        <v>#N/A Requesting Data...</v>
      </c>
      <c r="I189" t="str">
        <f>_xll.BDS("293659CS Muni","MUNI_PURPOSE_SCHED", "aggregate=y")</f>
        <v>#N/A Requesting Data...</v>
      </c>
      <c r="J189" t="str">
        <f>_xll.BDP("293659CS Muni","CPN")</f>
        <v>#N/A Requesting Data...</v>
      </c>
      <c r="K189" t="str">
        <f>_xll.BDP("293659CS Muni","MATURITY")</f>
        <v>#N/A Requesting Data...</v>
      </c>
      <c r="L189">
        <v>230000</v>
      </c>
      <c r="M189" t="str">
        <f>_xll.BDP("293659CS Muni","YIELD_ON_ISSUE_DATE")</f>
        <v>#N/A Requesting Data...</v>
      </c>
      <c r="N189" t="str">
        <f>_xll.BDP("293659CS Muni","YTW_SPREAD_TO_MATURITY_AT_ISSU")</f>
        <v>#N/A Requesting Data...</v>
      </c>
      <c r="O189" t="str">
        <f>_xll.BDP("293659CS Muni","BVAL_MID_YTM")</f>
        <v>#N/A Requesting Data...</v>
      </c>
      <c r="P189" t="str">
        <f>_xll.BDP("293659CS Muni","MUNI_TAX_PROV")</f>
        <v>#N/A Requesting Data...</v>
      </c>
      <c r="Q189" t="str">
        <f>_xll.BDP("293659CS Muni","MUNI_FED_TAX")</f>
        <v>#N/A Requesting Data...</v>
      </c>
      <c r="R189" t="str">
        <f>_xll.BDP("293659CS Muni","MUNI_MSRB_VOLUME")</f>
        <v>#N/A Requesting Data...</v>
      </c>
      <c r="S189" t="str">
        <f>_xll.BDP("293659CS Muni","BB_COMPOSITE")</f>
        <v>#N/A Requesting Data...</v>
      </c>
      <c r="T189" t="str">
        <f>_xll.BDP("293659CS Muni","LQA_LIQUIDITY_SCORE")</f>
        <v>#N/A Requesting Data...</v>
      </c>
    </row>
    <row r="190" spans="1:20" x14ac:dyDescent="0.25">
      <c r="A190" t="str">
        <f>_xll.BDP("293659CT Muni","ID_CUSIP")</f>
        <v>#N/A Requesting Data...</v>
      </c>
      <c r="B190" t="s">
        <v>85</v>
      </c>
      <c r="C190" t="str">
        <f>_xll.BDP("293659CT Muni","INSURANCE_STATUS")</f>
        <v>#N/A Requesting Data...</v>
      </c>
      <c r="D190" t="str">
        <f>_xll.BDP("293659CT Muni","STATE_CODE")</f>
        <v>#N/A Requesting Data...</v>
      </c>
      <c r="E190" t="str">
        <f>_xll.BDP("293659CT Muni","COUNTY_LOCATION_ISSUER")</f>
        <v>#N/A Requesting Data...</v>
      </c>
      <c r="F190" t="str">
        <f>_xll.BDP("293659CT Muni","DUR_ADJ_MID")</f>
        <v>#N/A Requesting Data...</v>
      </c>
      <c r="G190" t="str">
        <f>_xll.BDP("293659CT Muni","SPREAD_AT_ISSUANCE_TO_WORST")</f>
        <v>#N/A Requesting Data...</v>
      </c>
      <c r="H190" t="str">
        <f>_xll.BDP("293659CT Muni","ISSUE_DT")</f>
        <v>#N/A Requesting Data...</v>
      </c>
      <c r="I190" t="str">
        <f>_xll.BDS("293659CT Muni","MUNI_PURPOSE_SCHED", "aggregate=y")</f>
        <v>#N/A Requesting Data...</v>
      </c>
      <c r="J190" t="str">
        <f>_xll.BDP("293659CT Muni","CPN")</f>
        <v>#N/A Requesting Data...</v>
      </c>
      <c r="K190" t="str">
        <f>_xll.BDP("293659CT Muni","MATURITY")</f>
        <v>#N/A Requesting Data...</v>
      </c>
      <c r="L190">
        <v>235000</v>
      </c>
      <c r="M190" t="str">
        <f>_xll.BDP("293659CT Muni","YIELD_ON_ISSUE_DATE")</f>
        <v>#N/A Requesting Data...</v>
      </c>
      <c r="N190" t="str">
        <f>_xll.BDP("293659CT Muni","YTW_SPREAD_TO_MATURITY_AT_ISSU")</f>
        <v>#N/A Requesting Data...</v>
      </c>
      <c r="O190" t="str">
        <f>_xll.BDP("293659CT Muni","BVAL_MID_YTM")</f>
        <v>#N/A Requesting Data...</v>
      </c>
      <c r="P190" t="str">
        <f>_xll.BDP("293659CT Muni","MUNI_TAX_PROV")</f>
        <v>#N/A Requesting Data...</v>
      </c>
      <c r="Q190" t="str">
        <f>_xll.BDP("293659CT Muni","MUNI_FED_TAX")</f>
        <v>#N/A Requesting Data...</v>
      </c>
      <c r="R190" t="str">
        <f>_xll.BDP("293659CT Muni","MUNI_MSRB_VOLUME")</f>
        <v>#N/A Requesting Data...</v>
      </c>
      <c r="S190" t="str">
        <f>_xll.BDP("293659CT Muni","BB_COMPOSITE")</f>
        <v>#N/A Requesting Data...</v>
      </c>
      <c r="T190" t="str">
        <f>_xll.BDP("293659CT Muni","LQA_LIQUIDITY_SCORE")</f>
        <v>#N/A Requesting Data...</v>
      </c>
    </row>
    <row r="191" spans="1:20" x14ac:dyDescent="0.25">
      <c r="A191" t="str">
        <f>_xll.BDP("293659CU Muni","ID_CUSIP")</f>
        <v>#N/A Requesting Data...</v>
      </c>
      <c r="B191" t="s">
        <v>85</v>
      </c>
      <c r="C191" t="str">
        <f>_xll.BDP("293659CU Muni","INSURANCE_STATUS")</f>
        <v>#N/A Requesting Data...</v>
      </c>
      <c r="D191" t="str">
        <f>_xll.BDP("293659CU Muni","STATE_CODE")</f>
        <v>#N/A Requesting Data...</v>
      </c>
      <c r="E191" t="str">
        <f>_xll.BDP("293659CU Muni","COUNTY_LOCATION_ISSUER")</f>
        <v>#N/A Requesting Data...</v>
      </c>
      <c r="F191" t="str">
        <f>_xll.BDP("293659CU Muni","DUR_ADJ_MID")</f>
        <v>#N/A Requesting Data...</v>
      </c>
      <c r="G191" t="str">
        <f>_xll.BDP("293659CU Muni","SPREAD_AT_ISSUANCE_TO_WORST")</f>
        <v>#N/A Requesting Data...</v>
      </c>
      <c r="H191" t="str">
        <f>_xll.BDP("293659CU Muni","ISSUE_DT")</f>
        <v>#N/A Requesting Data...</v>
      </c>
      <c r="I191" t="str">
        <f>_xll.BDS("293659CU Muni","MUNI_PURPOSE_SCHED", "aggregate=y")</f>
        <v>#N/A Requesting Data...</v>
      </c>
      <c r="J191" t="str">
        <f>_xll.BDP("293659CU Muni","CPN")</f>
        <v>#N/A Requesting Data...</v>
      </c>
      <c r="K191" t="str">
        <f>_xll.BDP("293659CU Muni","MATURITY")</f>
        <v>#N/A Requesting Data...</v>
      </c>
      <c r="L191">
        <v>245000</v>
      </c>
      <c r="M191" t="str">
        <f>_xll.BDP("293659CU Muni","YIELD_ON_ISSUE_DATE")</f>
        <v>#N/A Requesting Data...</v>
      </c>
      <c r="N191" t="str">
        <f>_xll.BDP("293659CU Muni","YTW_SPREAD_TO_MATURITY_AT_ISSU")</f>
        <v>#N/A Requesting Data...</v>
      </c>
      <c r="O191" t="str">
        <f>_xll.BDP("293659CU Muni","BVAL_MID_YTM")</f>
        <v>#N/A Requesting Data...</v>
      </c>
      <c r="P191" t="str">
        <f>_xll.BDP("293659CU Muni","MUNI_TAX_PROV")</f>
        <v>#N/A Requesting Data...</v>
      </c>
      <c r="Q191" t="str">
        <f>_xll.BDP("293659CU Muni","MUNI_FED_TAX")</f>
        <v>#N/A Requesting Data...</v>
      </c>
      <c r="R191" t="str">
        <f>_xll.BDP("293659CU Muni","MUNI_MSRB_VOLUME")</f>
        <v>#N/A Requesting Data...</v>
      </c>
      <c r="S191" t="str">
        <f>_xll.BDP("293659CU Muni","BB_COMPOSITE")</f>
        <v>#N/A Requesting Data...</v>
      </c>
      <c r="T191" t="str">
        <f>_xll.BDP("293659CU Muni","LQA_LIQUIDITY_SCORE")</f>
        <v>#N/A Requesting Data...</v>
      </c>
    </row>
    <row r="192" spans="1:20" x14ac:dyDescent="0.25">
      <c r="A192" t="str">
        <f>_xll.BDP("293659CV Muni","ID_CUSIP")</f>
        <v>#N/A Requesting Data...</v>
      </c>
      <c r="B192" t="s">
        <v>85</v>
      </c>
      <c r="C192" t="str">
        <f>_xll.BDP("293659CV Muni","INSURANCE_STATUS")</f>
        <v>#N/A Requesting Data...</v>
      </c>
      <c r="D192" t="str">
        <f>_xll.BDP("293659CV Muni","STATE_CODE")</f>
        <v>#N/A Requesting Data...</v>
      </c>
      <c r="E192" t="str">
        <f>_xll.BDP("293659CV Muni","COUNTY_LOCATION_ISSUER")</f>
        <v>#N/A Requesting Data...</v>
      </c>
      <c r="F192" t="str">
        <f>_xll.BDP("293659CV Muni","DUR_ADJ_MID")</f>
        <v>#N/A Requesting Data...</v>
      </c>
      <c r="G192" t="str">
        <f>_xll.BDP("293659CV Muni","SPREAD_AT_ISSUANCE_TO_WORST")</f>
        <v>#N/A Requesting Data...</v>
      </c>
      <c r="H192" t="str">
        <f>_xll.BDP("293659CV Muni","ISSUE_DT")</f>
        <v>#N/A Requesting Data...</v>
      </c>
      <c r="I192" t="str">
        <f>_xll.BDS("293659CV Muni","MUNI_PURPOSE_SCHED", "aggregate=y")</f>
        <v>#N/A Requesting Data...</v>
      </c>
      <c r="J192" t="str">
        <f>_xll.BDP("293659CV Muni","CPN")</f>
        <v>#N/A Requesting Data...</v>
      </c>
      <c r="K192" t="str">
        <f>_xll.BDP("293659CV Muni","MATURITY")</f>
        <v>#N/A Requesting Data...</v>
      </c>
      <c r="L192">
        <v>255000</v>
      </c>
      <c r="M192" t="str">
        <f>_xll.BDP("293659CV Muni","YIELD_ON_ISSUE_DATE")</f>
        <v>#N/A Requesting Data...</v>
      </c>
      <c r="N192" t="str">
        <f>_xll.BDP("293659CV Muni","YTW_SPREAD_TO_MATURITY_AT_ISSU")</f>
        <v>#N/A Requesting Data...</v>
      </c>
      <c r="O192" t="str">
        <f>_xll.BDP("293659CV Muni","BVAL_MID_YTM")</f>
        <v>#N/A Requesting Data...</v>
      </c>
      <c r="P192" t="str">
        <f>_xll.BDP("293659CV Muni","MUNI_TAX_PROV")</f>
        <v>#N/A Requesting Data...</v>
      </c>
      <c r="Q192" t="str">
        <f>_xll.BDP("293659CV Muni","MUNI_FED_TAX")</f>
        <v>#N/A Requesting Data...</v>
      </c>
      <c r="R192" t="str">
        <f>_xll.BDP("293659CV Muni","MUNI_MSRB_VOLUME")</f>
        <v>#N/A Requesting Data...</v>
      </c>
      <c r="S192" t="str">
        <f>_xll.BDP("293659CV Muni","BB_COMPOSITE")</f>
        <v>#N/A Requesting Data...</v>
      </c>
      <c r="T192" t="str">
        <f>_xll.BDP("293659CV Muni","LQA_LIQUIDITY_SCORE")</f>
        <v>#N/A Requesting Data...</v>
      </c>
    </row>
    <row r="193" spans="1:20" x14ac:dyDescent="0.25">
      <c r="A193" t="str">
        <f>_xll.BDP("293659CW Muni","ID_CUSIP")</f>
        <v>#N/A Requesting Data...</v>
      </c>
      <c r="B193" t="s">
        <v>85</v>
      </c>
      <c r="C193" t="str">
        <f>_xll.BDP("293659CW Muni","INSURANCE_STATUS")</f>
        <v>#N/A Requesting Data...</v>
      </c>
      <c r="D193" t="str">
        <f>_xll.BDP("293659CW Muni","STATE_CODE")</f>
        <v>#N/A Requesting Data...</v>
      </c>
      <c r="E193" t="str">
        <f>_xll.BDP("293659CW Muni","COUNTY_LOCATION_ISSUER")</f>
        <v>#N/A Requesting Data...</v>
      </c>
      <c r="F193" t="str">
        <f>_xll.BDP("293659CW Muni","DUR_ADJ_MID")</f>
        <v>#N/A Requesting Data...</v>
      </c>
      <c r="G193" t="str">
        <f>_xll.BDP("293659CW Muni","SPREAD_AT_ISSUANCE_TO_WORST")</f>
        <v>#N/A Requesting Data...</v>
      </c>
      <c r="H193" t="str">
        <f>_xll.BDP("293659CW Muni","ISSUE_DT")</f>
        <v>#N/A Requesting Data...</v>
      </c>
      <c r="I193" t="str">
        <f>_xll.BDS("293659CW Muni","MUNI_PURPOSE_SCHED", "aggregate=y")</f>
        <v>#N/A Requesting Data...</v>
      </c>
      <c r="J193" t="str">
        <f>_xll.BDP("293659CW Muni","CPN")</f>
        <v>#N/A Requesting Data...</v>
      </c>
      <c r="K193" t="str">
        <f>_xll.BDP("293659CW Muni","MATURITY")</f>
        <v>#N/A Requesting Data...</v>
      </c>
      <c r="L193">
        <v>265000</v>
      </c>
      <c r="M193" t="str">
        <f>_xll.BDP("293659CW Muni","YIELD_ON_ISSUE_DATE")</f>
        <v>#N/A Requesting Data...</v>
      </c>
      <c r="N193" t="str">
        <f>_xll.BDP("293659CW Muni","YTW_SPREAD_TO_MATURITY_AT_ISSU")</f>
        <v>#N/A Requesting Data...</v>
      </c>
      <c r="O193" t="str">
        <f>_xll.BDP("293659CW Muni","BVAL_MID_YTM")</f>
        <v>#N/A Requesting Data...</v>
      </c>
      <c r="P193" t="str">
        <f>_xll.BDP("293659CW Muni","MUNI_TAX_PROV")</f>
        <v>#N/A Requesting Data...</v>
      </c>
      <c r="Q193" t="str">
        <f>_xll.BDP("293659CW Muni","MUNI_FED_TAX")</f>
        <v>#N/A Requesting Data...</v>
      </c>
      <c r="R193" t="str">
        <f>_xll.BDP("293659CW Muni","MUNI_MSRB_VOLUME")</f>
        <v>#N/A Requesting Data...</v>
      </c>
      <c r="S193" t="str">
        <f>_xll.BDP("293659CW Muni","BB_COMPOSITE")</f>
        <v>#N/A Requesting Data...</v>
      </c>
      <c r="T193" t="str">
        <f>_xll.BDP("293659CW Muni","LQA_LIQUIDITY_SCORE")</f>
        <v>#N/A Requesting Data...</v>
      </c>
    </row>
    <row r="194" spans="1:20" x14ac:dyDescent="0.25">
      <c r="A194" t="str">
        <f>_xll.BDP("29429YAE Muni","ID_CUSIP")</f>
        <v>#N/A Requesting Data...</v>
      </c>
      <c r="B194" t="s">
        <v>86</v>
      </c>
      <c r="C194" t="str">
        <f>_xll.BDP("29429YAE Muni","INSURANCE_STATUS")</f>
        <v>#N/A Requesting Data...</v>
      </c>
      <c r="D194" t="str">
        <f>_xll.BDP("29429YAE Muni","STATE_CODE")</f>
        <v>#N/A Requesting Data...</v>
      </c>
      <c r="E194" t="str">
        <f>_xll.BDP("29429YAE Muni","COUNTY_LOCATION_ISSUER")</f>
        <v>#N/A Requesting Data...</v>
      </c>
      <c r="F194" t="str">
        <f>_xll.BDP("29429YAE Muni","DUR_ADJ_MID")</f>
        <v>#N/A Requesting Data...</v>
      </c>
      <c r="G194" t="str">
        <f>_xll.BDP("29429YAE Muni","SPREAD_AT_ISSUANCE_TO_WORST")</f>
        <v>#N/A Requesting Data...</v>
      </c>
      <c r="H194" t="str">
        <f>_xll.BDP("29429YAE Muni","ISSUE_DT")</f>
        <v>#N/A Requesting Data...</v>
      </c>
      <c r="I194" t="str">
        <f>_xll.BDS("29429YAE Muni","MUNI_PURPOSE_SCHED", "aggregate=y")</f>
        <v>#N/A Requesting Data...</v>
      </c>
      <c r="J194" t="str">
        <f>_xll.BDP("29429YAE Muni","CPN")</f>
        <v>#N/A Requesting Data...</v>
      </c>
      <c r="K194" t="str">
        <f>_xll.BDP("29429YAE Muni","MATURITY")</f>
        <v>#N/A Requesting Data...</v>
      </c>
      <c r="L194">
        <v>7300000</v>
      </c>
      <c r="M194" t="str">
        <f>_xll.BDP("29429YAE Muni","YIELD_ON_ISSUE_DATE")</f>
        <v>#N/A Requesting Data...</v>
      </c>
      <c r="N194" t="str">
        <f>_xll.BDP("29429YAE Muni","YTW_SPREAD_TO_MATURITY_AT_ISSU")</f>
        <v>#N/A Requesting Data...</v>
      </c>
      <c r="O194" t="str">
        <f>_xll.BDP("29429YAE Muni","BVAL_MID_YTM")</f>
        <v>#N/A Requesting Data...</v>
      </c>
      <c r="P194" t="str">
        <f>_xll.BDP("29429YAE Muni","MUNI_TAX_PROV")</f>
        <v>#N/A Requesting Data...</v>
      </c>
      <c r="Q194" t="str">
        <f>_xll.BDP("29429YAE Muni","MUNI_FED_TAX")</f>
        <v>#N/A Requesting Data...</v>
      </c>
      <c r="R194" t="str">
        <f>_xll.BDP("29429YAE Muni","MUNI_MSRB_VOLUME")</f>
        <v>#N/A Requesting Data...</v>
      </c>
      <c r="S194" t="str">
        <f>_xll.BDP("29429YAE Muni","BB_COMPOSITE")</f>
        <v>#N/A Requesting Data...</v>
      </c>
      <c r="T194" t="str">
        <f>_xll.BDP("29429YAE Muni","LQA_LIQUIDITY_SCORE")</f>
        <v>#N/A Requesting Data...</v>
      </c>
    </row>
    <row r="195" spans="1:20" x14ac:dyDescent="0.25">
      <c r="A195" t="str">
        <f>_xll.BDP("295101QY Muni","ID_CUSIP")</f>
        <v>#N/A Requesting Data...</v>
      </c>
      <c r="B195" t="s">
        <v>87</v>
      </c>
      <c r="C195" t="str">
        <f>_xll.BDP("295101QY Muni","INSURANCE_STATUS")</f>
        <v>#N/A Requesting Data...</v>
      </c>
      <c r="D195" t="str">
        <f>_xll.BDP("295101QY Muni","STATE_CODE")</f>
        <v>#N/A Requesting Data...</v>
      </c>
      <c r="E195" t="str">
        <f>_xll.BDP("295101QY Muni","COUNTY_LOCATION_ISSUER")</f>
        <v>#N/A Requesting Data...</v>
      </c>
      <c r="F195" t="str">
        <f>_xll.BDP("295101QY Muni","DUR_ADJ_MID")</f>
        <v>#N/A Requesting Data...</v>
      </c>
      <c r="G195" t="str">
        <f>_xll.BDP("295101QY Muni","SPREAD_AT_ISSUANCE_TO_WORST")</f>
        <v>#N/A Requesting Data...</v>
      </c>
      <c r="H195" t="str">
        <f>_xll.BDP("295101QY Muni","ISSUE_DT")</f>
        <v>#N/A Requesting Data...</v>
      </c>
      <c r="I195" t="str">
        <f>_xll.BDS("295101QY Muni","MUNI_PURPOSE_SCHED", "aggregate=y")</f>
        <v>#N/A Requesting Data...</v>
      </c>
      <c r="J195" t="str">
        <f>_xll.BDP("295101QY Muni","CPN")</f>
        <v>#N/A Requesting Data...</v>
      </c>
      <c r="K195" t="str">
        <f>_xll.BDP("295101QY Muni","MATURITY")</f>
        <v>#N/A Requesting Data...</v>
      </c>
      <c r="L195">
        <v>340000</v>
      </c>
      <c r="M195" t="str">
        <f>_xll.BDP("295101QY Muni","YIELD_ON_ISSUE_DATE")</f>
        <v>#N/A Requesting Data...</v>
      </c>
      <c r="N195" t="str">
        <f>_xll.BDP("295101QY Muni","YTW_SPREAD_TO_MATURITY_AT_ISSU")</f>
        <v>#N/A Requesting Data...</v>
      </c>
      <c r="O195" t="str">
        <f>_xll.BDP("295101QY Muni","BVAL_MID_YTM")</f>
        <v>#N/A Requesting Data...</v>
      </c>
      <c r="P195" t="str">
        <f>_xll.BDP("295101QY Muni","MUNI_TAX_PROV")</f>
        <v>#N/A Requesting Data...</v>
      </c>
      <c r="Q195" t="str">
        <f>_xll.BDP("295101QY Muni","MUNI_FED_TAX")</f>
        <v>#N/A Requesting Data...</v>
      </c>
      <c r="R195" t="str">
        <f>_xll.BDP("295101QY Muni","MUNI_MSRB_VOLUME")</f>
        <v>#N/A Requesting Data...</v>
      </c>
      <c r="S195" t="str">
        <f>_xll.BDP("295101QY Muni","BB_COMPOSITE")</f>
        <v>#N/A Requesting Data...</v>
      </c>
      <c r="T195" t="str">
        <f>_xll.BDP("295101QY Muni","LQA_LIQUIDITY_SCORE")</f>
        <v>#N/A Requesting Data...</v>
      </c>
    </row>
    <row r="196" spans="1:20" x14ac:dyDescent="0.25">
      <c r="A196" t="str">
        <f>_xll.BDP("295101QZ Muni","ID_CUSIP")</f>
        <v>#N/A Requesting Data...</v>
      </c>
      <c r="B196" t="s">
        <v>87</v>
      </c>
      <c r="C196" t="str">
        <f>_xll.BDP("295101QZ Muni","INSURANCE_STATUS")</f>
        <v>#N/A Requesting Data...</v>
      </c>
      <c r="D196" t="str">
        <f>_xll.BDP("295101QZ Muni","STATE_CODE")</f>
        <v>#N/A Requesting Data...</v>
      </c>
      <c r="E196" t="str">
        <f>_xll.BDP("295101QZ Muni","COUNTY_LOCATION_ISSUER")</f>
        <v>#N/A Requesting Data...</v>
      </c>
      <c r="F196" t="str">
        <f>_xll.BDP("295101QZ Muni","DUR_ADJ_MID")</f>
        <v>#N/A Requesting Data...</v>
      </c>
      <c r="G196" t="str">
        <f>_xll.BDP("295101QZ Muni","SPREAD_AT_ISSUANCE_TO_WORST")</f>
        <v>#N/A Requesting Data...</v>
      </c>
      <c r="H196" t="str">
        <f>_xll.BDP("295101QZ Muni","ISSUE_DT")</f>
        <v>#N/A Requesting Data...</v>
      </c>
      <c r="I196" t="str">
        <f>_xll.BDS("295101QZ Muni","MUNI_PURPOSE_SCHED", "aggregate=y")</f>
        <v>#N/A Requesting Data...</v>
      </c>
      <c r="J196" t="str">
        <f>_xll.BDP("295101QZ Muni","CPN")</f>
        <v>#N/A Requesting Data...</v>
      </c>
      <c r="K196" t="str">
        <f>_xll.BDP("295101QZ Muni","MATURITY")</f>
        <v>#N/A Requesting Data...</v>
      </c>
      <c r="L196">
        <v>800000</v>
      </c>
      <c r="M196" t="str">
        <f>_xll.BDP("295101QZ Muni","YIELD_ON_ISSUE_DATE")</f>
        <v>#N/A Requesting Data...</v>
      </c>
      <c r="N196" t="str">
        <f>_xll.BDP("295101QZ Muni","YTW_SPREAD_TO_MATURITY_AT_ISSU")</f>
        <v>#N/A Requesting Data...</v>
      </c>
      <c r="O196" t="str">
        <f>_xll.BDP("295101QZ Muni","BVAL_MID_YTM")</f>
        <v>#N/A Requesting Data...</v>
      </c>
      <c r="P196" t="str">
        <f>_xll.BDP("295101QZ Muni","MUNI_TAX_PROV")</f>
        <v>#N/A Requesting Data...</v>
      </c>
      <c r="Q196" t="str">
        <f>_xll.BDP("295101QZ Muni","MUNI_FED_TAX")</f>
        <v>#N/A Requesting Data...</v>
      </c>
      <c r="R196" t="str">
        <f>_xll.BDP("295101QZ Muni","MUNI_MSRB_VOLUME")</f>
        <v>#N/A Requesting Data...</v>
      </c>
      <c r="S196" t="str">
        <f>_xll.BDP("295101QZ Muni","BB_COMPOSITE")</f>
        <v>#N/A Requesting Data...</v>
      </c>
      <c r="T196" t="str">
        <f>_xll.BDP("295101QZ Muni","LQA_LIQUIDITY_SCORE")</f>
        <v>#N/A Requesting Data...</v>
      </c>
    </row>
    <row r="197" spans="1:20" x14ac:dyDescent="0.25">
      <c r="A197" t="str">
        <f>_xll.BDP("295101RA Muni","ID_CUSIP")</f>
        <v>#N/A Requesting Data...</v>
      </c>
      <c r="B197" t="s">
        <v>87</v>
      </c>
      <c r="C197" t="str">
        <f>_xll.BDP("295101RA Muni","INSURANCE_STATUS")</f>
        <v>#N/A Requesting Data...</v>
      </c>
      <c r="D197" t="str">
        <f>_xll.BDP("295101RA Muni","STATE_CODE")</f>
        <v>#N/A Requesting Data...</v>
      </c>
      <c r="E197" t="str">
        <f>_xll.BDP("295101RA Muni","COUNTY_LOCATION_ISSUER")</f>
        <v>#N/A Requesting Data...</v>
      </c>
      <c r="F197" t="str">
        <f>_xll.BDP("295101RA Muni","DUR_ADJ_MID")</f>
        <v>#N/A Requesting Data...</v>
      </c>
      <c r="G197" t="str">
        <f>_xll.BDP("295101RA Muni","SPREAD_AT_ISSUANCE_TO_WORST")</f>
        <v>#N/A Requesting Data...</v>
      </c>
      <c r="H197" t="str">
        <f>_xll.BDP("295101RA Muni","ISSUE_DT")</f>
        <v>#N/A Requesting Data...</v>
      </c>
      <c r="I197" t="str">
        <f>_xll.BDS("295101RA Muni","MUNI_PURPOSE_SCHED", "aggregate=y")</f>
        <v>#N/A Requesting Data...</v>
      </c>
      <c r="J197" t="str">
        <f>_xll.BDP("295101RA Muni","CPN")</f>
        <v>#N/A Requesting Data...</v>
      </c>
      <c r="K197" t="str">
        <f>_xll.BDP("295101RA Muni","MATURITY")</f>
        <v>#N/A Requesting Data...</v>
      </c>
      <c r="L197">
        <v>980000</v>
      </c>
      <c r="M197" t="str">
        <f>_xll.BDP("295101RA Muni","YIELD_ON_ISSUE_DATE")</f>
        <v>#N/A Requesting Data...</v>
      </c>
      <c r="N197" t="str">
        <f>_xll.BDP("295101RA Muni","YTW_SPREAD_TO_MATURITY_AT_ISSU")</f>
        <v>#N/A Requesting Data...</v>
      </c>
      <c r="O197" t="str">
        <f>_xll.BDP("295101RA Muni","BVAL_MID_YTM")</f>
        <v>#N/A Requesting Data...</v>
      </c>
      <c r="P197" t="str">
        <f>_xll.BDP("295101RA Muni","MUNI_TAX_PROV")</f>
        <v>#N/A Requesting Data...</v>
      </c>
      <c r="Q197" t="str">
        <f>_xll.BDP("295101RA Muni","MUNI_FED_TAX")</f>
        <v>#N/A Requesting Data...</v>
      </c>
      <c r="R197" t="str">
        <f>_xll.BDP("295101RA Muni","MUNI_MSRB_VOLUME")</f>
        <v>#N/A Requesting Data...</v>
      </c>
      <c r="S197" t="str">
        <f>_xll.BDP("295101RA Muni","BB_COMPOSITE")</f>
        <v>#N/A Requesting Data...</v>
      </c>
      <c r="T197" t="str">
        <f>_xll.BDP("295101RA Muni","LQA_LIQUIDITY_SCORE")</f>
        <v>#N/A Requesting Data...</v>
      </c>
    </row>
    <row r="198" spans="1:20" x14ac:dyDescent="0.25">
      <c r="A198" t="str">
        <f>_xll.BDP("295101RB Muni","ID_CUSIP")</f>
        <v>#N/A Requesting Data...</v>
      </c>
      <c r="B198" t="s">
        <v>87</v>
      </c>
      <c r="C198" t="str">
        <f>_xll.BDP("295101RB Muni","INSURANCE_STATUS")</f>
        <v>#N/A Requesting Data...</v>
      </c>
      <c r="D198" t="str">
        <f>_xll.BDP("295101RB Muni","STATE_CODE")</f>
        <v>#N/A Requesting Data...</v>
      </c>
      <c r="E198" t="str">
        <f>_xll.BDP("295101RB Muni","COUNTY_LOCATION_ISSUER")</f>
        <v>#N/A Requesting Data...</v>
      </c>
      <c r="F198" t="str">
        <f>_xll.BDP("295101RB Muni","DUR_ADJ_MID")</f>
        <v>#N/A Requesting Data...</v>
      </c>
      <c r="G198" t="str">
        <f>_xll.BDP("295101RB Muni","SPREAD_AT_ISSUANCE_TO_WORST")</f>
        <v>#N/A Requesting Data...</v>
      </c>
      <c r="H198" t="str">
        <f>_xll.BDP("295101RB Muni","ISSUE_DT")</f>
        <v>#N/A Requesting Data...</v>
      </c>
      <c r="I198" t="str">
        <f>_xll.BDS("295101RB Muni","MUNI_PURPOSE_SCHED", "aggregate=y")</f>
        <v>#N/A Requesting Data...</v>
      </c>
      <c r="J198" t="str">
        <f>_xll.BDP("295101RB Muni","CPN")</f>
        <v>#N/A Requesting Data...</v>
      </c>
      <c r="K198" t="str">
        <f>_xll.BDP("295101RB Muni","MATURITY")</f>
        <v>#N/A Requesting Data...</v>
      </c>
      <c r="L198">
        <v>990000</v>
      </c>
      <c r="M198" t="str">
        <f>_xll.BDP("295101RB Muni","YIELD_ON_ISSUE_DATE")</f>
        <v>#N/A Requesting Data...</v>
      </c>
      <c r="N198" t="str">
        <f>_xll.BDP("295101RB Muni","YTW_SPREAD_TO_MATURITY_AT_ISSU")</f>
        <v>#N/A Requesting Data...</v>
      </c>
      <c r="O198" t="str">
        <f>_xll.BDP("295101RB Muni","BVAL_MID_YTM")</f>
        <v>#N/A Requesting Data...</v>
      </c>
      <c r="P198" t="str">
        <f>_xll.BDP("295101RB Muni","MUNI_TAX_PROV")</f>
        <v>#N/A Requesting Data...</v>
      </c>
      <c r="Q198" t="str">
        <f>_xll.BDP("295101RB Muni","MUNI_FED_TAX")</f>
        <v>#N/A Requesting Data...</v>
      </c>
      <c r="R198" t="str">
        <f>_xll.BDP("295101RB Muni","MUNI_MSRB_VOLUME")</f>
        <v>#N/A Requesting Data...</v>
      </c>
      <c r="S198" t="str">
        <f>_xll.BDP("295101RB Muni","BB_COMPOSITE")</f>
        <v>#N/A Requesting Data...</v>
      </c>
      <c r="T198" t="str">
        <f>_xll.BDP("295101RB Muni","LQA_LIQUIDITY_SCORE")</f>
        <v>#N/A Requesting Data...</v>
      </c>
    </row>
    <row r="199" spans="1:20" x14ac:dyDescent="0.25">
      <c r="A199" t="str">
        <f>_xll.BDP("295101RC Muni","ID_CUSIP")</f>
        <v>#N/A Requesting Data...</v>
      </c>
      <c r="B199" t="s">
        <v>87</v>
      </c>
      <c r="C199" t="str">
        <f>_xll.BDP("295101RC Muni","INSURANCE_STATUS")</f>
        <v>#N/A Requesting Data...</v>
      </c>
      <c r="D199" t="str">
        <f>_xll.BDP("295101RC Muni","STATE_CODE")</f>
        <v>#N/A Requesting Data...</v>
      </c>
      <c r="E199" t="str">
        <f>_xll.BDP("295101RC Muni","COUNTY_LOCATION_ISSUER")</f>
        <v>#N/A Requesting Data...</v>
      </c>
      <c r="F199" t="str">
        <f>_xll.BDP("295101RC Muni","DUR_ADJ_MID")</f>
        <v>#N/A Requesting Data...</v>
      </c>
      <c r="G199" t="str">
        <f>_xll.BDP("295101RC Muni","SPREAD_AT_ISSUANCE_TO_WORST")</f>
        <v>#N/A Requesting Data...</v>
      </c>
      <c r="H199" t="str">
        <f>_xll.BDP("295101RC Muni","ISSUE_DT")</f>
        <v>#N/A Requesting Data...</v>
      </c>
      <c r="I199" t="str">
        <f>_xll.BDS("295101RC Muni","MUNI_PURPOSE_SCHED", "aggregate=y")</f>
        <v>#N/A Requesting Data...</v>
      </c>
      <c r="J199" t="str">
        <f>_xll.BDP("295101RC Muni","CPN")</f>
        <v>#N/A Requesting Data...</v>
      </c>
      <c r="K199" t="str">
        <f>_xll.BDP("295101RC Muni","MATURITY")</f>
        <v>#N/A Requesting Data...</v>
      </c>
      <c r="L199">
        <v>1000000</v>
      </c>
      <c r="M199" t="str">
        <f>_xll.BDP("295101RC Muni","YIELD_ON_ISSUE_DATE")</f>
        <v>#N/A Requesting Data...</v>
      </c>
      <c r="N199" t="str">
        <f>_xll.BDP("295101RC Muni","YTW_SPREAD_TO_MATURITY_AT_ISSU")</f>
        <v>#N/A Requesting Data...</v>
      </c>
      <c r="O199" t="str">
        <f>_xll.BDP("295101RC Muni","BVAL_MID_YTM")</f>
        <v>#N/A Requesting Data...</v>
      </c>
      <c r="P199" t="str">
        <f>_xll.BDP("295101RC Muni","MUNI_TAX_PROV")</f>
        <v>#N/A Requesting Data...</v>
      </c>
      <c r="Q199" t="str">
        <f>_xll.BDP("295101RC Muni","MUNI_FED_TAX")</f>
        <v>#N/A Requesting Data...</v>
      </c>
      <c r="R199" t="str">
        <f>_xll.BDP("295101RC Muni","MUNI_MSRB_VOLUME")</f>
        <v>#N/A Requesting Data...</v>
      </c>
      <c r="S199" t="str">
        <f>_xll.BDP("295101RC Muni","BB_COMPOSITE")</f>
        <v>#N/A Requesting Data...</v>
      </c>
      <c r="T199" t="str">
        <f>_xll.BDP("295101RC Muni","LQA_LIQUIDITY_SCORE")</f>
        <v>#N/A Requesting Data...</v>
      </c>
    </row>
    <row r="200" spans="1:20" x14ac:dyDescent="0.25">
      <c r="A200" t="str">
        <f>_xll.BDP("295542NB Muni","ID_CUSIP")</f>
        <v>#N/A Requesting Data...</v>
      </c>
      <c r="B200" t="s">
        <v>88</v>
      </c>
      <c r="C200" t="str">
        <f>_xll.BDP("295542NB Muni","INSURANCE_STATUS")</f>
        <v>#N/A Requesting Data...</v>
      </c>
      <c r="D200" t="str">
        <f>_xll.BDP("295542NB Muni","STATE_CODE")</f>
        <v>#N/A Requesting Data...</v>
      </c>
      <c r="E200" t="str">
        <f>_xll.BDP("295542NB Muni","COUNTY_LOCATION_ISSUER")</f>
        <v>#N/A Requesting Data...</v>
      </c>
      <c r="F200" t="str">
        <f>_xll.BDP("295542NB Muni","DUR_ADJ_MID")</f>
        <v>#N/A Requesting Data...</v>
      </c>
      <c r="G200" t="str">
        <f>_xll.BDP("295542NB Muni","SPREAD_AT_ISSUANCE_TO_WORST")</f>
        <v>#N/A Requesting Data...</v>
      </c>
      <c r="H200" t="str">
        <f>_xll.BDP("295542NB Muni","ISSUE_DT")</f>
        <v>#N/A Requesting Data...</v>
      </c>
      <c r="I200" t="str">
        <f>_xll.BDS("295542NB Muni","MUNI_PURPOSE_SCHED", "aggregate=y")</f>
        <v>#N/A Requesting Data...</v>
      </c>
      <c r="J200" t="str">
        <f>_xll.BDP("295542NB Muni","CPN")</f>
        <v>#N/A Requesting Data...</v>
      </c>
      <c r="K200" t="str">
        <f>_xll.BDP("295542NB Muni","MATURITY")</f>
        <v>#N/A Requesting Data...</v>
      </c>
      <c r="L200">
        <v>315000</v>
      </c>
      <c r="M200" t="str">
        <f>_xll.BDP("295542NB Muni","YIELD_ON_ISSUE_DATE")</f>
        <v>#N/A Requesting Data...</v>
      </c>
      <c r="N200" t="str">
        <f>_xll.BDP("295542NB Muni","YTW_SPREAD_TO_MATURITY_AT_ISSU")</f>
        <v>#N/A Requesting Data...</v>
      </c>
      <c r="O200" t="str">
        <f>_xll.BDP("295542NB Muni","BVAL_MID_YTM")</f>
        <v>#N/A Requesting Data...</v>
      </c>
      <c r="P200" t="str">
        <f>_xll.BDP("295542NB Muni","MUNI_TAX_PROV")</f>
        <v>#N/A Requesting Data...</v>
      </c>
      <c r="Q200" t="str">
        <f>_xll.BDP("295542NB Muni","MUNI_FED_TAX")</f>
        <v>#N/A Requesting Data...</v>
      </c>
      <c r="R200" t="str">
        <f>_xll.BDP("295542NB Muni","MUNI_MSRB_VOLUME")</f>
        <v>#N/A Requesting Data...</v>
      </c>
      <c r="S200" t="str">
        <f>_xll.BDP("295542NB Muni","BB_COMPOSITE")</f>
        <v>#N/A Requesting Data...</v>
      </c>
      <c r="T200" t="str">
        <f>_xll.BDP("295542NB Muni","LQA_LIQUIDITY_SCORE")</f>
        <v>#N/A Requesting Data...</v>
      </c>
    </row>
    <row r="201" spans="1:20" x14ac:dyDescent="0.25">
      <c r="A201" t="str">
        <f>_xll.BDP("295542NC Muni","ID_CUSIP")</f>
        <v>#N/A Requesting Data...</v>
      </c>
      <c r="B201" t="s">
        <v>88</v>
      </c>
      <c r="C201" t="str">
        <f>_xll.BDP("295542NC Muni","INSURANCE_STATUS")</f>
        <v>#N/A Requesting Data...</v>
      </c>
      <c r="D201" t="str">
        <f>_xll.BDP("295542NC Muni","STATE_CODE")</f>
        <v>#N/A Requesting Data...</v>
      </c>
      <c r="E201" t="str">
        <f>_xll.BDP("295542NC Muni","COUNTY_LOCATION_ISSUER")</f>
        <v>#N/A Requesting Data...</v>
      </c>
      <c r="F201" t="str">
        <f>_xll.BDP("295542NC Muni","DUR_ADJ_MID")</f>
        <v>#N/A Requesting Data...</v>
      </c>
      <c r="G201" t="str">
        <f>_xll.BDP("295542NC Muni","SPREAD_AT_ISSUANCE_TO_WORST")</f>
        <v>#N/A Requesting Data...</v>
      </c>
      <c r="H201" t="str">
        <f>_xll.BDP("295542NC Muni","ISSUE_DT")</f>
        <v>#N/A Requesting Data...</v>
      </c>
      <c r="I201" t="str">
        <f>_xll.BDS("295542NC Muni","MUNI_PURPOSE_SCHED", "aggregate=y")</f>
        <v>#N/A Requesting Data...</v>
      </c>
      <c r="J201" t="str">
        <f>_xll.BDP("295542NC Muni","CPN")</f>
        <v>#N/A Requesting Data...</v>
      </c>
      <c r="K201" t="str">
        <f>_xll.BDP("295542NC Muni","MATURITY")</f>
        <v>#N/A Requesting Data...</v>
      </c>
      <c r="L201">
        <v>330000</v>
      </c>
      <c r="M201" t="str">
        <f>_xll.BDP("295542NC Muni","YIELD_ON_ISSUE_DATE")</f>
        <v>#N/A Requesting Data...</v>
      </c>
      <c r="N201" t="str">
        <f>_xll.BDP("295542NC Muni","YTW_SPREAD_TO_MATURITY_AT_ISSU")</f>
        <v>#N/A Requesting Data...</v>
      </c>
      <c r="O201" t="str">
        <f>_xll.BDP("295542NC Muni","BVAL_MID_YTM")</f>
        <v>#N/A Requesting Data...</v>
      </c>
      <c r="P201" t="str">
        <f>_xll.BDP("295542NC Muni","MUNI_TAX_PROV")</f>
        <v>#N/A Requesting Data...</v>
      </c>
      <c r="Q201" t="str">
        <f>_xll.BDP("295542NC Muni","MUNI_FED_TAX")</f>
        <v>#N/A Requesting Data...</v>
      </c>
      <c r="R201" t="str">
        <f>_xll.BDP("295542NC Muni","MUNI_MSRB_VOLUME")</f>
        <v>#N/A Requesting Data...</v>
      </c>
      <c r="S201" t="str">
        <f>_xll.BDP("295542NC Muni","BB_COMPOSITE")</f>
        <v>#N/A Requesting Data...</v>
      </c>
      <c r="T201" t="str">
        <f>_xll.BDP("295542NC Muni","LQA_LIQUIDITY_SCORE")</f>
        <v>#N/A Requesting Data...</v>
      </c>
    </row>
    <row r="202" spans="1:20" x14ac:dyDescent="0.25">
      <c r="A202" t="str">
        <f>_xll.BDP("295542ND Muni","ID_CUSIP")</f>
        <v>#N/A Requesting Data...</v>
      </c>
      <c r="B202" t="s">
        <v>88</v>
      </c>
      <c r="C202" t="str">
        <f>_xll.BDP("295542ND Muni","INSURANCE_STATUS")</f>
        <v>#N/A Requesting Data...</v>
      </c>
      <c r="D202" t="str">
        <f>_xll.BDP("295542ND Muni","STATE_CODE")</f>
        <v>#N/A Requesting Data...</v>
      </c>
      <c r="E202" t="str">
        <f>_xll.BDP("295542ND Muni","COUNTY_LOCATION_ISSUER")</f>
        <v>#N/A Requesting Data...</v>
      </c>
      <c r="F202" t="str">
        <f>_xll.BDP("295542ND Muni","DUR_ADJ_MID")</f>
        <v>#N/A Requesting Data...</v>
      </c>
      <c r="G202" t="str">
        <f>_xll.BDP("295542ND Muni","SPREAD_AT_ISSUANCE_TO_WORST")</f>
        <v>#N/A Requesting Data...</v>
      </c>
      <c r="H202" t="str">
        <f>_xll.BDP("295542ND Muni","ISSUE_DT")</f>
        <v>#N/A Requesting Data...</v>
      </c>
      <c r="I202" t="str">
        <f>_xll.BDS("295542ND Muni","MUNI_PURPOSE_SCHED", "aggregate=y")</f>
        <v>#N/A Requesting Data...</v>
      </c>
      <c r="J202" t="str">
        <f>_xll.BDP("295542ND Muni","CPN")</f>
        <v>#N/A Requesting Data...</v>
      </c>
      <c r="K202" t="str">
        <f>_xll.BDP("295542ND Muni","MATURITY")</f>
        <v>#N/A Requesting Data...</v>
      </c>
      <c r="L202">
        <v>345000</v>
      </c>
      <c r="M202" t="str">
        <f>_xll.BDP("295542ND Muni","YIELD_ON_ISSUE_DATE")</f>
        <v>#N/A Requesting Data...</v>
      </c>
      <c r="N202" t="str">
        <f>_xll.BDP("295542ND Muni","YTW_SPREAD_TO_MATURITY_AT_ISSU")</f>
        <v>#N/A Requesting Data...</v>
      </c>
      <c r="O202" t="str">
        <f>_xll.BDP("295542ND Muni","BVAL_MID_YTM")</f>
        <v>#N/A Requesting Data...</v>
      </c>
      <c r="P202" t="str">
        <f>_xll.BDP("295542ND Muni","MUNI_TAX_PROV")</f>
        <v>#N/A Requesting Data...</v>
      </c>
      <c r="Q202" t="str">
        <f>_xll.BDP("295542ND Muni","MUNI_FED_TAX")</f>
        <v>#N/A Requesting Data...</v>
      </c>
      <c r="R202" t="str">
        <f>_xll.BDP("295542ND Muni","MUNI_MSRB_VOLUME")</f>
        <v>#N/A Requesting Data...</v>
      </c>
      <c r="S202" t="str">
        <f>_xll.BDP("295542ND Muni","BB_COMPOSITE")</f>
        <v>#N/A Requesting Data...</v>
      </c>
      <c r="T202" t="str">
        <f>_xll.BDP("295542ND Muni","LQA_LIQUIDITY_SCORE")</f>
        <v>#N/A Requesting Data...</v>
      </c>
    </row>
    <row r="203" spans="1:20" x14ac:dyDescent="0.25">
      <c r="A203" t="str">
        <f>_xll.BDP("295542NE Muni","ID_CUSIP")</f>
        <v>#N/A Requesting Data...</v>
      </c>
      <c r="B203" t="s">
        <v>88</v>
      </c>
      <c r="C203" t="str">
        <f>_xll.BDP("295542NE Muni","INSURANCE_STATUS")</f>
        <v>#N/A Requesting Data...</v>
      </c>
      <c r="D203" t="str">
        <f>_xll.BDP("295542NE Muni","STATE_CODE")</f>
        <v>#N/A Requesting Data...</v>
      </c>
      <c r="E203" t="str">
        <f>_xll.BDP("295542NE Muni","COUNTY_LOCATION_ISSUER")</f>
        <v>#N/A Requesting Data...</v>
      </c>
      <c r="F203" t="str">
        <f>_xll.BDP("295542NE Muni","DUR_ADJ_MID")</f>
        <v>#N/A Requesting Data...</v>
      </c>
      <c r="G203" t="str">
        <f>_xll.BDP("295542NE Muni","SPREAD_AT_ISSUANCE_TO_WORST")</f>
        <v>#N/A Requesting Data...</v>
      </c>
      <c r="H203" t="str">
        <f>_xll.BDP("295542NE Muni","ISSUE_DT")</f>
        <v>#N/A Requesting Data...</v>
      </c>
      <c r="I203" t="str">
        <f>_xll.BDS("295542NE Muni","MUNI_PURPOSE_SCHED", "aggregate=y")</f>
        <v>#N/A Requesting Data...</v>
      </c>
      <c r="J203" t="str">
        <f>_xll.BDP("295542NE Muni","CPN")</f>
        <v>#N/A Requesting Data...</v>
      </c>
      <c r="K203" t="str">
        <f>_xll.BDP("295542NE Muni","MATURITY")</f>
        <v>#N/A Requesting Data...</v>
      </c>
      <c r="L203">
        <v>280000</v>
      </c>
      <c r="M203" t="str">
        <f>_xll.BDP("295542NE Muni","YIELD_ON_ISSUE_DATE")</f>
        <v>#N/A Requesting Data...</v>
      </c>
      <c r="N203" t="str">
        <f>_xll.BDP("295542NE Muni","YTW_SPREAD_TO_MATURITY_AT_ISSU")</f>
        <v>#N/A Requesting Data...</v>
      </c>
      <c r="O203" t="str">
        <f>_xll.BDP("295542NE Muni","BVAL_MID_YTM")</f>
        <v>#N/A Requesting Data...</v>
      </c>
      <c r="P203" t="str">
        <f>_xll.BDP("295542NE Muni","MUNI_TAX_PROV")</f>
        <v>#N/A Requesting Data...</v>
      </c>
      <c r="Q203" t="str">
        <f>_xll.BDP("295542NE Muni","MUNI_FED_TAX")</f>
        <v>#N/A Requesting Data...</v>
      </c>
      <c r="R203" t="str">
        <f>_xll.BDP("295542NE Muni","MUNI_MSRB_VOLUME")</f>
        <v>#N/A Requesting Data...</v>
      </c>
      <c r="S203" t="str">
        <f>_xll.BDP("295542NE Muni","BB_COMPOSITE")</f>
        <v>#N/A Requesting Data...</v>
      </c>
      <c r="T203" t="str">
        <f>_xll.BDP("295542NE Muni","LQA_LIQUIDITY_SCORE")</f>
        <v>#N/A Requesting Data...</v>
      </c>
    </row>
    <row r="204" spans="1:20" x14ac:dyDescent="0.25">
      <c r="A204" t="str">
        <f>_xll.BDP("295542NF Muni","ID_CUSIP")</f>
        <v>#N/A Requesting Data...</v>
      </c>
      <c r="B204" t="s">
        <v>88</v>
      </c>
      <c r="C204" t="str">
        <f>_xll.BDP("295542NF Muni","INSURANCE_STATUS")</f>
        <v>#N/A Requesting Data...</v>
      </c>
      <c r="D204" t="str">
        <f>_xll.BDP("295542NF Muni","STATE_CODE")</f>
        <v>#N/A Requesting Data...</v>
      </c>
      <c r="E204" t="str">
        <f>_xll.BDP("295542NF Muni","COUNTY_LOCATION_ISSUER")</f>
        <v>#N/A Requesting Data...</v>
      </c>
      <c r="F204" t="str">
        <f>_xll.BDP("295542NF Muni","DUR_ADJ_MID")</f>
        <v>#N/A Requesting Data...</v>
      </c>
      <c r="G204" t="str">
        <f>_xll.BDP("295542NF Muni","SPREAD_AT_ISSUANCE_TO_WORST")</f>
        <v>#N/A Requesting Data...</v>
      </c>
      <c r="H204" t="str">
        <f>_xll.BDP("295542NF Muni","ISSUE_DT")</f>
        <v>#N/A Requesting Data...</v>
      </c>
      <c r="I204" t="str">
        <f>_xll.BDS("295542NF Muni","MUNI_PURPOSE_SCHED", "aggregate=y")</f>
        <v>#N/A Requesting Data...</v>
      </c>
      <c r="J204" t="str">
        <f>_xll.BDP("295542NF Muni","CPN")</f>
        <v>#N/A Requesting Data...</v>
      </c>
      <c r="K204" t="str">
        <f>_xll.BDP("295542NF Muni","MATURITY")</f>
        <v>#N/A Requesting Data...</v>
      </c>
      <c r="L204">
        <v>290000</v>
      </c>
      <c r="M204" t="str">
        <f>_xll.BDP("295542NF Muni","YIELD_ON_ISSUE_DATE")</f>
        <v>#N/A Requesting Data...</v>
      </c>
      <c r="N204" t="str">
        <f>_xll.BDP("295542NF Muni","YTW_SPREAD_TO_MATURITY_AT_ISSU")</f>
        <v>#N/A Requesting Data...</v>
      </c>
      <c r="O204" t="str">
        <f>_xll.BDP("295542NF Muni","BVAL_MID_YTM")</f>
        <v>#N/A Requesting Data...</v>
      </c>
      <c r="P204" t="str">
        <f>_xll.BDP("295542NF Muni","MUNI_TAX_PROV")</f>
        <v>#N/A Requesting Data...</v>
      </c>
      <c r="Q204" t="str">
        <f>_xll.BDP("295542NF Muni","MUNI_FED_TAX")</f>
        <v>#N/A Requesting Data...</v>
      </c>
      <c r="R204" t="str">
        <f>_xll.BDP("295542NF Muni","MUNI_MSRB_VOLUME")</f>
        <v>#N/A Requesting Data...</v>
      </c>
      <c r="S204" t="str">
        <f>_xll.BDP("295542NF Muni","BB_COMPOSITE")</f>
        <v>#N/A Requesting Data...</v>
      </c>
      <c r="T204" t="str">
        <f>_xll.BDP("295542NF Muni","LQA_LIQUIDITY_SCORE")</f>
        <v>#N/A Requesting Data...</v>
      </c>
    </row>
    <row r="205" spans="1:20" x14ac:dyDescent="0.25">
      <c r="A205" t="str">
        <f>_xll.BDP("295542NG Muni","ID_CUSIP")</f>
        <v>#N/A Requesting Data...</v>
      </c>
      <c r="B205" t="s">
        <v>88</v>
      </c>
      <c r="C205" t="str">
        <f>_xll.BDP("295542NG Muni","INSURANCE_STATUS")</f>
        <v>#N/A Requesting Data...</v>
      </c>
      <c r="D205" t="str">
        <f>_xll.BDP("295542NG Muni","STATE_CODE")</f>
        <v>#N/A Requesting Data...</v>
      </c>
      <c r="E205" t="str">
        <f>_xll.BDP("295542NG Muni","COUNTY_LOCATION_ISSUER")</f>
        <v>#N/A Requesting Data...</v>
      </c>
      <c r="F205" t="str">
        <f>_xll.BDP("295542NG Muni","DUR_ADJ_MID")</f>
        <v>#N/A Requesting Data...</v>
      </c>
      <c r="G205" t="str">
        <f>_xll.BDP("295542NG Muni","SPREAD_AT_ISSUANCE_TO_WORST")</f>
        <v>#N/A Requesting Data...</v>
      </c>
      <c r="H205" t="str">
        <f>_xll.BDP("295542NG Muni","ISSUE_DT")</f>
        <v>#N/A Requesting Data...</v>
      </c>
      <c r="I205" t="str">
        <f>_xll.BDS("295542NG Muni","MUNI_PURPOSE_SCHED", "aggregate=y")</f>
        <v>#N/A Requesting Data...</v>
      </c>
      <c r="J205" t="str">
        <f>_xll.BDP("295542NG Muni","CPN")</f>
        <v>#N/A Requesting Data...</v>
      </c>
      <c r="K205" t="str">
        <f>_xll.BDP("295542NG Muni","MATURITY")</f>
        <v>#N/A Requesting Data...</v>
      </c>
      <c r="L205">
        <v>310000</v>
      </c>
      <c r="M205" t="str">
        <f>_xll.BDP("295542NG Muni","YIELD_ON_ISSUE_DATE")</f>
        <v>#N/A Requesting Data...</v>
      </c>
      <c r="N205" t="str">
        <f>_xll.BDP("295542NG Muni","YTW_SPREAD_TO_MATURITY_AT_ISSU")</f>
        <v>#N/A Requesting Data...</v>
      </c>
      <c r="O205" t="str">
        <f>_xll.BDP("295542NG Muni","BVAL_MID_YTM")</f>
        <v>#N/A Requesting Data...</v>
      </c>
      <c r="P205" t="str">
        <f>_xll.BDP("295542NG Muni","MUNI_TAX_PROV")</f>
        <v>#N/A Requesting Data...</v>
      </c>
      <c r="Q205" t="str">
        <f>_xll.BDP("295542NG Muni","MUNI_FED_TAX")</f>
        <v>#N/A Requesting Data...</v>
      </c>
      <c r="R205" t="str">
        <f>_xll.BDP("295542NG Muni","MUNI_MSRB_VOLUME")</f>
        <v>#N/A Requesting Data...</v>
      </c>
      <c r="S205" t="str">
        <f>_xll.BDP("295542NG Muni","BB_COMPOSITE")</f>
        <v>#N/A Requesting Data...</v>
      </c>
      <c r="T205" t="str">
        <f>_xll.BDP("295542NG Muni","LQA_LIQUIDITY_SCORE")</f>
        <v>#N/A Requesting Data...</v>
      </c>
    </row>
    <row r="206" spans="1:20" x14ac:dyDescent="0.25">
      <c r="A206" t="str">
        <f>_xll.BDP("295542NH Muni","ID_CUSIP")</f>
        <v>#N/A Requesting Data...</v>
      </c>
      <c r="B206" t="s">
        <v>88</v>
      </c>
      <c r="C206" t="str">
        <f>_xll.BDP("295542NH Muni","INSURANCE_STATUS")</f>
        <v>#N/A Requesting Data...</v>
      </c>
      <c r="D206" t="str">
        <f>_xll.BDP("295542NH Muni","STATE_CODE")</f>
        <v>#N/A Requesting Data...</v>
      </c>
      <c r="E206" t="str">
        <f>_xll.BDP("295542NH Muni","COUNTY_LOCATION_ISSUER")</f>
        <v>#N/A Requesting Data...</v>
      </c>
      <c r="F206" t="str">
        <f>_xll.BDP("295542NH Muni","DUR_ADJ_MID")</f>
        <v>#N/A Requesting Data...</v>
      </c>
      <c r="G206" t="str">
        <f>_xll.BDP("295542NH Muni","SPREAD_AT_ISSUANCE_TO_WORST")</f>
        <v>#N/A Requesting Data...</v>
      </c>
      <c r="H206" t="str">
        <f>_xll.BDP("295542NH Muni","ISSUE_DT")</f>
        <v>#N/A Requesting Data...</v>
      </c>
      <c r="I206" t="str">
        <f>_xll.BDS("295542NH Muni","MUNI_PURPOSE_SCHED", "aggregate=y")</f>
        <v>#N/A Requesting Data...</v>
      </c>
      <c r="J206" t="str">
        <f>_xll.BDP("295542NH Muni","CPN")</f>
        <v>#N/A Requesting Data...</v>
      </c>
      <c r="K206" t="str">
        <f>_xll.BDP("295542NH Muni","MATURITY")</f>
        <v>#N/A Requesting Data...</v>
      </c>
      <c r="L206">
        <v>320000</v>
      </c>
      <c r="M206" t="str">
        <f>_xll.BDP("295542NH Muni","YIELD_ON_ISSUE_DATE")</f>
        <v>#N/A Requesting Data...</v>
      </c>
      <c r="N206" t="str">
        <f>_xll.BDP("295542NH Muni","YTW_SPREAD_TO_MATURITY_AT_ISSU")</f>
        <v>#N/A Requesting Data...</v>
      </c>
      <c r="O206" t="str">
        <f>_xll.BDP("295542NH Muni","BVAL_MID_YTM")</f>
        <v>#N/A Requesting Data...</v>
      </c>
      <c r="P206" t="str">
        <f>_xll.BDP("295542NH Muni","MUNI_TAX_PROV")</f>
        <v>#N/A Requesting Data...</v>
      </c>
      <c r="Q206" t="str">
        <f>_xll.BDP("295542NH Muni","MUNI_FED_TAX")</f>
        <v>#N/A Requesting Data...</v>
      </c>
      <c r="R206" t="str">
        <f>_xll.BDP("295542NH Muni","MUNI_MSRB_VOLUME")</f>
        <v>#N/A Requesting Data...</v>
      </c>
      <c r="S206" t="str">
        <f>_xll.BDP("295542NH Muni","BB_COMPOSITE")</f>
        <v>#N/A Requesting Data...</v>
      </c>
      <c r="T206" t="str">
        <f>_xll.BDP("295542NH Muni","LQA_LIQUIDITY_SCORE")</f>
        <v>#N/A Requesting Data...</v>
      </c>
    </row>
    <row r="207" spans="1:20" x14ac:dyDescent="0.25">
      <c r="A207" t="str">
        <f>_xll.BDP("407846DX Muni","ID_CUSIP")</f>
        <v>#N/A Requesting Data...</v>
      </c>
      <c r="B207" t="s">
        <v>89</v>
      </c>
      <c r="C207" t="str">
        <f>_xll.BDP("407846DX Muni","INSURANCE_STATUS")</f>
        <v>#N/A Requesting Data...</v>
      </c>
      <c r="D207" t="str">
        <f>_xll.BDP("407846DX Muni","STATE_CODE")</f>
        <v>#N/A Requesting Data...</v>
      </c>
      <c r="E207" t="str">
        <f>_xll.BDP("407846DX Muni","COUNTY_LOCATION_ISSUER")</f>
        <v>#N/A Requesting Data...</v>
      </c>
      <c r="F207" t="str">
        <f>_xll.BDP("407846DX Muni","DUR_ADJ_MID")</f>
        <v>#N/A Requesting Data...</v>
      </c>
      <c r="G207" t="str">
        <f>_xll.BDP("407846DX Muni","SPREAD_AT_ISSUANCE_TO_WORST")</f>
        <v>#N/A Requesting Data...</v>
      </c>
      <c r="H207" t="str">
        <f>_xll.BDP("407846DX Muni","ISSUE_DT")</f>
        <v>#N/A Requesting Data...</v>
      </c>
      <c r="I207" t="str">
        <f>_xll.BDS("407846DX Muni","MUNI_PURPOSE_SCHED", "aggregate=y")</f>
        <v>#N/A Requesting Data...</v>
      </c>
      <c r="J207" t="str">
        <f>_xll.BDP("407846DX Muni","CPN")</f>
        <v>#N/A Requesting Data...</v>
      </c>
      <c r="K207" t="str">
        <f>_xll.BDP("407846DX Muni","MATURITY")</f>
        <v>#N/A Requesting Data...</v>
      </c>
      <c r="L207">
        <v>65000</v>
      </c>
      <c r="M207" t="str">
        <f>_xll.BDP("407846DX Muni","YIELD_ON_ISSUE_DATE")</f>
        <v>#N/A Requesting Data...</v>
      </c>
      <c r="N207" t="str">
        <f>_xll.BDP("407846DX Muni","YTW_SPREAD_TO_MATURITY_AT_ISSU")</f>
        <v>#N/A Requesting Data...</v>
      </c>
      <c r="O207" t="str">
        <f>_xll.BDP("407846DX Muni","BVAL_MID_YTM")</f>
        <v>#N/A Requesting Data...</v>
      </c>
      <c r="P207" t="str">
        <f>_xll.BDP("407846DX Muni","MUNI_TAX_PROV")</f>
        <v>#N/A Requesting Data...</v>
      </c>
      <c r="Q207" t="str">
        <f>_xll.BDP("407846DX Muni","MUNI_FED_TAX")</f>
        <v>#N/A Requesting Data...</v>
      </c>
      <c r="R207" t="str">
        <f>_xll.BDP("407846DX Muni","MUNI_MSRB_VOLUME")</f>
        <v>#N/A Requesting Data...</v>
      </c>
      <c r="S207" t="str">
        <f>_xll.BDP("407846DX Muni","BB_COMPOSITE")</f>
        <v>#N/A Requesting Data...</v>
      </c>
      <c r="T207" t="str">
        <f>_xll.BDP("407846DX Muni","LQA_LIQUIDITY_SCORE")</f>
        <v>#N/A Requesting Data...</v>
      </c>
    </row>
    <row r="208" spans="1:20" x14ac:dyDescent="0.25">
      <c r="A208" t="str">
        <f>_xll.BDP("407846DY Muni","ID_CUSIP")</f>
        <v>#N/A Requesting Data...</v>
      </c>
      <c r="B208" t="s">
        <v>89</v>
      </c>
      <c r="C208" t="str">
        <f>_xll.BDP("407846DY Muni","INSURANCE_STATUS")</f>
        <v>#N/A Requesting Data...</v>
      </c>
      <c r="D208" t="str">
        <f>_xll.BDP("407846DY Muni","STATE_CODE")</f>
        <v>#N/A Requesting Data...</v>
      </c>
      <c r="E208" t="str">
        <f>_xll.BDP("407846DY Muni","COUNTY_LOCATION_ISSUER")</f>
        <v>#N/A Requesting Data...</v>
      </c>
      <c r="F208" t="str">
        <f>_xll.BDP("407846DY Muni","DUR_ADJ_MID")</f>
        <v>#N/A Requesting Data...</v>
      </c>
      <c r="G208" t="str">
        <f>_xll.BDP("407846DY Muni","SPREAD_AT_ISSUANCE_TO_WORST")</f>
        <v>#N/A Requesting Data...</v>
      </c>
      <c r="H208" t="str">
        <f>_xll.BDP("407846DY Muni","ISSUE_DT")</f>
        <v>#N/A Requesting Data...</v>
      </c>
      <c r="I208" t="str">
        <f>_xll.BDS("407846DY Muni","MUNI_PURPOSE_SCHED", "aggregate=y")</f>
        <v>#N/A Requesting Data...</v>
      </c>
      <c r="J208" t="str">
        <f>_xll.BDP("407846DY Muni","CPN")</f>
        <v>#N/A Requesting Data...</v>
      </c>
      <c r="K208" t="str">
        <f>_xll.BDP("407846DY Muni","MATURITY")</f>
        <v>#N/A Requesting Data...</v>
      </c>
      <c r="L208">
        <v>65000</v>
      </c>
      <c r="M208" t="str">
        <f>_xll.BDP("407846DY Muni","YIELD_ON_ISSUE_DATE")</f>
        <v>#N/A Requesting Data...</v>
      </c>
      <c r="N208" t="str">
        <f>_xll.BDP("407846DY Muni","YTW_SPREAD_TO_MATURITY_AT_ISSU")</f>
        <v>#N/A Requesting Data...</v>
      </c>
      <c r="O208" t="str">
        <f>_xll.BDP("407846DY Muni","BVAL_MID_YTM")</f>
        <v>#N/A Requesting Data...</v>
      </c>
      <c r="P208" t="str">
        <f>_xll.BDP("407846DY Muni","MUNI_TAX_PROV")</f>
        <v>#N/A Requesting Data...</v>
      </c>
      <c r="Q208" t="str">
        <f>_xll.BDP("407846DY Muni","MUNI_FED_TAX")</f>
        <v>#N/A Requesting Data...</v>
      </c>
      <c r="R208" t="str">
        <f>_xll.BDP("407846DY Muni","MUNI_MSRB_VOLUME")</f>
        <v>#N/A Requesting Data...</v>
      </c>
      <c r="S208" t="str">
        <f>_xll.BDP("407846DY Muni","BB_COMPOSITE")</f>
        <v>#N/A Requesting Data...</v>
      </c>
      <c r="T208" t="str">
        <f>_xll.BDP("407846DY Muni","LQA_LIQUIDITY_SCORE")</f>
        <v>#N/A Requesting Data...</v>
      </c>
    </row>
    <row r="209" spans="1:20" x14ac:dyDescent="0.25">
      <c r="A209" t="str">
        <f>_xll.BDP("106053FX Muni","ID_CUSIP")</f>
        <v>#N/A Requesting Data...</v>
      </c>
      <c r="B209" t="s">
        <v>25</v>
      </c>
      <c r="C209" t="str">
        <f>_xll.BDP("106053FX Muni","INSURANCE_STATUS")</f>
        <v>#N/A Requesting Data...</v>
      </c>
      <c r="D209" t="str">
        <f>_xll.BDP("106053FX Muni","STATE_CODE")</f>
        <v>#N/A Requesting Data...</v>
      </c>
      <c r="E209" t="str">
        <f>_xll.BDP("106053FX Muni","COUNTY_LOCATION_ISSUER")</f>
        <v>#N/A Requesting Data...</v>
      </c>
      <c r="F209" t="str">
        <f>_xll.BDP("106053FX Muni","DUR_ADJ_MID")</f>
        <v>#N/A Requesting Data...</v>
      </c>
      <c r="G209" t="str">
        <f>_xll.BDP("106053FX Muni","SPREAD_AT_ISSUANCE_TO_WORST")</f>
        <v>#N/A Requesting Data...</v>
      </c>
      <c r="H209" t="str">
        <f>_xll.BDP("106053FX Muni","ISSUE_DT")</f>
        <v>#N/A Requesting Data...</v>
      </c>
      <c r="I209" t="str">
        <f>_xll.BDS("106053FX Muni","MUNI_PURPOSE_SCHED", "aggregate=y")</f>
        <v>#N/A Requesting Data...</v>
      </c>
      <c r="J209" t="str">
        <f>_xll.BDP("106053FX Muni","CPN")</f>
        <v>#N/A Requesting Data...</v>
      </c>
      <c r="K209" t="str">
        <f>_xll.BDP("106053FX Muni","MATURITY")</f>
        <v>#N/A Requesting Data...</v>
      </c>
      <c r="L209">
        <v>65000</v>
      </c>
      <c r="M209" t="str">
        <f>_xll.BDP("106053FX Muni","YIELD_ON_ISSUE_DATE")</f>
        <v>#N/A Requesting Data...</v>
      </c>
      <c r="N209" t="str">
        <f>_xll.BDP("106053FX Muni","YTW_SPREAD_TO_MATURITY_AT_ISSU")</f>
        <v>#N/A Requesting Data...</v>
      </c>
      <c r="O209" t="str">
        <f>_xll.BDP("106053FX Muni","BVAL_MID_YTM")</f>
        <v>#N/A Requesting Data...</v>
      </c>
      <c r="P209" t="str">
        <f>_xll.BDP("106053FX Muni","MUNI_TAX_PROV")</f>
        <v>#N/A Requesting Data...</v>
      </c>
      <c r="Q209" t="str">
        <f>_xll.BDP("106053FX Muni","MUNI_FED_TAX")</f>
        <v>#N/A Requesting Data...</v>
      </c>
      <c r="R209" t="str">
        <f>_xll.BDP("106053FX Muni","MUNI_MSRB_VOLUME")</f>
        <v>#N/A Requesting Data...</v>
      </c>
      <c r="S209" t="str">
        <f>_xll.BDP("106053FX Muni","BB_COMPOSITE")</f>
        <v>#N/A Requesting Data...</v>
      </c>
      <c r="T209" t="str">
        <f>_xll.BDP("106053FX Muni","LQA_LIQUIDITY_SCORE")</f>
        <v>#N/A Requesting Data...</v>
      </c>
    </row>
    <row r="210" spans="1:20" x14ac:dyDescent="0.25">
      <c r="A210" t="str">
        <f>_xll.BDP("106053FZ Muni","ID_CUSIP")</f>
        <v>#N/A Requesting Data...</v>
      </c>
      <c r="B210" t="s">
        <v>25</v>
      </c>
      <c r="C210" t="str">
        <f>_xll.BDP("106053FZ Muni","INSURANCE_STATUS")</f>
        <v>#N/A Requesting Data...</v>
      </c>
      <c r="D210" t="str">
        <f>_xll.BDP("106053FZ Muni","STATE_CODE")</f>
        <v>#N/A Requesting Data...</v>
      </c>
      <c r="E210" t="str">
        <f>_xll.BDP("106053FZ Muni","COUNTY_LOCATION_ISSUER")</f>
        <v>#N/A Requesting Data...</v>
      </c>
      <c r="F210" t="str">
        <f>_xll.BDP("106053FZ Muni","DUR_ADJ_MID")</f>
        <v>#N/A Requesting Data...</v>
      </c>
      <c r="G210" t="str">
        <f>_xll.BDP("106053FZ Muni","SPREAD_AT_ISSUANCE_TO_WORST")</f>
        <v>#N/A Requesting Data...</v>
      </c>
      <c r="H210" t="str">
        <f>_xll.BDP("106053FZ Muni","ISSUE_DT")</f>
        <v>#N/A Requesting Data...</v>
      </c>
      <c r="I210" t="str">
        <f>_xll.BDS("106053FZ Muni","MUNI_PURPOSE_SCHED", "aggregate=y")</f>
        <v>#N/A Requesting Data...</v>
      </c>
      <c r="J210" t="str">
        <f>_xll.BDP("106053FZ Muni","CPN")</f>
        <v>#N/A Requesting Data...</v>
      </c>
      <c r="K210" t="str">
        <f>_xll.BDP("106053FZ Muni","MATURITY")</f>
        <v>#N/A Requesting Data...</v>
      </c>
      <c r="L210">
        <v>75000</v>
      </c>
      <c r="M210" t="str">
        <f>_xll.BDP("106053FZ Muni","YIELD_ON_ISSUE_DATE")</f>
        <v>#N/A Requesting Data...</v>
      </c>
      <c r="N210" t="str">
        <f>_xll.BDP("106053FZ Muni","YTW_SPREAD_TO_MATURITY_AT_ISSU")</f>
        <v>#N/A Requesting Data...</v>
      </c>
      <c r="O210" t="str">
        <f>_xll.BDP("106053FZ Muni","BVAL_MID_YTM")</f>
        <v>#N/A Requesting Data...</v>
      </c>
      <c r="P210" t="str">
        <f>_xll.BDP("106053FZ Muni","MUNI_TAX_PROV")</f>
        <v>#N/A Requesting Data...</v>
      </c>
      <c r="Q210" t="str">
        <f>_xll.BDP("106053FZ Muni","MUNI_FED_TAX")</f>
        <v>#N/A Requesting Data...</v>
      </c>
      <c r="R210" t="str">
        <f>_xll.BDP("106053FZ Muni","MUNI_MSRB_VOLUME")</f>
        <v>#N/A Requesting Data...</v>
      </c>
      <c r="S210" t="str">
        <f>_xll.BDP("106053FZ Muni","BB_COMPOSITE")</f>
        <v>#N/A Requesting Data...</v>
      </c>
      <c r="T210" t="str">
        <f>_xll.BDP("106053FZ Muni","LQA_LIQUIDITY_SCORE")</f>
        <v>#N/A Requesting Data...</v>
      </c>
    </row>
    <row r="211" spans="1:20" x14ac:dyDescent="0.25">
      <c r="A211" t="str">
        <f>_xll.BDP("10606KGY Muni","ID_CUSIP")</f>
        <v>#N/A Requesting Data...</v>
      </c>
      <c r="B211" t="s">
        <v>27</v>
      </c>
      <c r="C211" t="str">
        <f>_xll.BDP("10606KGY Muni","INSURANCE_STATUS")</f>
        <v>#N/A Requesting Data...</v>
      </c>
      <c r="D211" t="str">
        <f>_xll.BDP("10606KGY Muni","STATE_CODE")</f>
        <v>#N/A Requesting Data...</v>
      </c>
      <c r="E211" t="str">
        <f>_xll.BDP("10606KGY Muni","COUNTY_LOCATION_ISSUER")</f>
        <v>#N/A Requesting Data...</v>
      </c>
      <c r="F211" t="str">
        <f>_xll.BDP("10606KGY Muni","DUR_ADJ_MID")</f>
        <v>#N/A Requesting Data...</v>
      </c>
      <c r="G211" t="str">
        <f>_xll.BDP("10606KGY Muni","SPREAD_AT_ISSUANCE_TO_WORST")</f>
        <v>#N/A Requesting Data...</v>
      </c>
      <c r="H211" t="str">
        <f>_xll.BDP("10606KGY Muni","ISSUE_DT")</f>
        <v>#N/A Requesting Data...</v>
      </c>
      <c r="I211" t="str">
        <f>_xll.BDS("10606KGY Muni","MUNI_PURPOSE_SCHED", "aggregate=y")</f>
        <v>#N/A Requesting Data...</v>
      </c>
      <c r="J211" t="str">
        <f>_xll.BDP("10606KGY Muni","CPN")</f>
        <v>#N/A Requesting Data...</v>
      </c>
      <c r="K211" t="str">
        <f>_xll.BDP("10606KGY Muni","MATURITY")</f>
        <v>#N/A Requesting Data...</v>
      </c>
      <c r="L211">
        <v>250000</v>
      </c>
      <c r="M211" t="str">
        <f>_xll.BDP("10606KGY Muni","YIELD_ON_ISSUE_DATE")</f>
        <v>#N/A Requesting Data...</v>
      </c>
      <c r="N211" t="str">
        <f>_xll.BDP("10606KGY Muni","YTW_SPREAD_TO_MATURITY_AT_ISSU")</f>
        <v>#N/A Requesting Data...</v>
      </c>
      <c r="O211" t="str">
        <f>_xll.BDP("10606KGY Muni","BVAL_MID_YTM")</f>
        <v>#N/A Requesting Data...</v>
      </c>
      <c r="P211" t="str">
        <f>_xll.BDP("10606KGY Muni","MUNI_TAX_PROV")</f>
        <v>#N/A Requesting Data...</v>
      </c>
      <c r="Q211" t="str">
        <f>_xll.BDP("10606KGY Muni","MUNI_FED_TAX")</f>
        <v>#N/A Requesting Data...</v>
      </c>
      <c r="R211" t="str">
        <f>_xll.BDP("10606KGY Muni","MUNI_MSRB_VOLUME")</f>
        <v>#N/A Requesting Data...</v>
      </c>
      <c r="S211" t="str">
        <f>_xll.BDP("10606KGY Muni","BB_COMPOSITE")</f>
        <v>#N/A Requesting Data...</v>
      </c>
      <c r="T211" t="str">
        <f>_xll.BDP("10606KGY Muni","LQA_LIQUIDITY_SCORE")</f>
        <v>#N/A Requesting Data...</v>
      </c>
    </row>
    <row r="212" spans="1:20" x14ac:dyDescent="0.25">
      <c r="A212" t="str">
        <f>_xll.BDP("10606LAD Muni","ID_CUSIP")</f>
        <v>#N/A Requesting Data...</v>
      </c>
      <c r="B212" t="s">
        <v>28</v>
      </c>
      <c r="C212" t="str">
        <f>_xll.BDP("10606LAD Muni","INSURANCE_STATUS")</f>
        <v>#N/A Requesting Data...</v>
      </c>
      <c r="D212" t="str">
        <f>_xll.BDP("10606LAD Muni","STATE_CODE")</f>
        <v>#N/A Requesting Data...</v>
      </c>
      <c r="E212" t="str">
        <f>_xll.BDP("10606LAD Muni","COUNTY_LOCATION_ISSUER")</f>
        <v>#N/A Requesting Data...</v>
      </c>
      <c r="F212" t="str">
        <f>_xll.BDP("10606LAD Muni","DUR_ADJ_MID")</f>
        <v>#N/A Requesting Data...</v>
      </c>
      <c r="G212" t="str">
        <f>_xll.BDP("10606LAD Muni","SPREAD_AT_ISSUANCE_TO_WORST")</f>
        <v>#N/A Requesting Data...</v>
      </c>
      <c r="H212" t="str">
        <f>_xll.BDP("10606LAD Muni","ISSUE_DT")</f>
        <v>#N/A Requesting Data...</v>
      </c>
      <c r="I212" t="str">
        <f>_xll.BDS("10606LAD Muni","MUNI_PURPOSE_SCHED", "aggregate=y")</f>
        <v>#N/A Requesting Data...</v>
      </c>
      <c r="J212" t="str">
        <f>_xll.BDP("10606LAD Muni","CPN")</f>
        <v>#N/A Requesting Data...</v>
      </c>
      <c r="K212" t="str">
        <f>_xll.BDP("10606LAD Muni","MATURITY")</f>
        <v>#N/A Requesting Data...</v>
      </c>
      <c r="L212">
        <v>85000</v>
      </c>
      <c r="M212" t="str">
        <f>_xll.BDP("10606LAD Muni","YIELD_ON_ISSUE_DATE")</f>
        <v>#N/A Requesting Data...</v>
      </c>
      <c r="N212" t="str">
        <f>_xll.BDP("10606LAD Muni","YTW_SPREAD_TO_MATURITY_AT_ISSU")</f>
        <v>#N/A Requesting Data...</v>
      </c>
      <c r="O212" t="str">
        <f>_xll.BDP("10606LAD Muni","BVAL_MID_YTM")</f>
        <v>#N/A Requesting Data...</v>
      </c>
      <c r="P212" t="str">
        <f>_xll.BDP("10606LAD Muni","MUNI_TAX_PROV")</f>
        <v>#N/A Requesting Data...</v>
      </c>
      <c r="Q212" t="str">
        <f>_xll.BDP("10606LAD Muni","MUNI_FED_TAX")</f>
        <v>#N/A Requesting Data...</v>
      </c>
      <c r="R212" t="str">
        <f>_xll.BDP("10606LAD Muni","MUNI_MSRB_VOLUME")</f>
        <v>#N/A Requesting Data...</v>
      </c>
      <c r="S212" t="str">
        <f>_xll.BDP("10606LAD Muni","BB_COMPOSITE")</f>
        <v>#N/A Requesting Data...</v>
      </c>
      <c r="T212" t="str">
        <f>_xll.BDP("10606LAD Muni","LQA_LIQUIDITY_SCORE")</f>
        <v>#N/A Requesting Data...</v>
      </c>
    </row>
    <row r="213" spans="1:20" x14ac:dyDescent="0.25">
      <c r="A213" t="str">
        <f>_xll.BDP("10607FDD Muni","ID_CUSIP")</f>
        <v>#N/A Requesting Data...</v>
      </c>
      <c r="B213" t="s">
        <v>29</v>
      </c>
      <c r="C213" t="str">
        <f>_xll.BDP("10607FDD Muni","INSURANCE_STATUS")</f>
        <v>#N/A Requesting Data...</v>
      </c>
      <c r="D213" t="str">
        <f>_xll.BDP("10607FDD Muni","STATE_CODE")</f>
        <v>#N/A Requesting Data...</v>
      </c>
      <c r="E213" t="str">
        <f>_xll.BDP("10607FDD Muni","COUNTY_LOCATION_ISSUER")</f>
        <v>#N/A Requesting Data...</v>
      </c>
      <c r="F213" t="str">
        <f>_xll.BDP("10607FDD Muni","DUR_ADJ_MID")</f>
        <v>#N/A Requesting Data...</v>
      </c>
      <c r="G213" t="str">
        <f>_xll.BDP("10607FDD Muni","SPREAD_AT_ISSUANCE_TO_WORST")</f>
        <v>#N/A Requesting Data...</v>
      </c>
      <c r="H213" t="str">
        <f>_xll.BDP("10607FDD Muni","ISSUE_DT")</f>
        <v>#N/A Requesting Data...</v>
      </c>
      <c r="I213" t="str">
        <f>_xll.BDS("10607FDD Muni","MUNI_PURPOSE_SCHED", "aggregate=y")</f>
        <v>#N/A Requesting Data...</v>
      </c>
      <c r="J213" t="str">
        <f>_xll.BDP("10607FDD Muni","CPN")</f>
        <v>#N/A Requesting Data...</v>
      </c>
      <c r="K213" t="str">
        <f>_xll.BDP("10607FDD Muni","MATURITY")</f>
        <v>#N/A Requesting Data...</v>
      </c>
      <c r="L213">
        <v>120000</v>
      </c>
      <c r="M213" t="str">
        <f>_xll.BDP("10607FDD Muni","YIELD_ON_ISSUE_DATE")</f>
        <v>#N/A Requesting Data...</v>
      </c>
      <c r="N213" t="str">
        <f>_xll.BDP("10607FDD Muni","YTW_SPREAD_TO_MATURITY_AT_ISSU")</f>
        <v>#N/A Requesting Data...</v>
      </c>
      <c r="O213" t="str">
        <f>_xll.BDP("10607FDD Muni","BVAL_MID_YTM")</f>
        <v>#N/A Requesting Data...</v>
      </c>
      <c r="P213" t="str">
        <f>_xll.BDP("10607FDD Muni","MUNI_TAX_PROV")</f>
        <v>#N/A Requesting Data...</v>
      </c>
      <c r="Q213" t="str">
        <f>_xll.BDP("10607FDD Muni","MUNI_FED_TAX")</f>
        <v>#N/A Requesting Data...</v>
      </c>
      <c r="R213" t="str">
        <f>_xll.BDP("10607FDD Muni","MUNI_MSRB_VOLUME")</f>
        <v>#N/A Requesting Data...</v>
      </c>
      <c r="S213" t="str">
        <f>_xll.BDP("10607FDD Muni","BB_COMPOSITE")</f>
        <v>#N/A Requesting Data...</v>
      </c>
      <c r="T213" t="str">
        <f>_xll.BDP("10607FDD Muni","LQA_LIQUIDITY_SCORE")</f>
        <v>#N/A Requesting Data...</v>
      </c>
    </row>
    <row r="214" spans="1:20" x14ac:dyDescent="0.25">
      <c r="A214" t="str">
        <f>_xll.BDP("34682JTQ Muni","ID_CUSIP")</f>
        <v>#N/A Requesting Data...</v>
      </c>
      <c r="B214" t="s">
        <v>90</v>
      </c>
      <c r="C214" t="str">
        <f>_xll.BDP("34682JTQ Muni","INSURANCE_STATUS")</f>
        <v>#N/A Requesting Data...</v>
      </c>
      <c r="D214" t="str">
        <f>_xll.BDP("34682JTQ Muni","STATE_CODE")</f>
        <v>#N/A Requesting Data...</v>
      </c>
      <c r="E214" t="str">
        <f>_xll.BDP("34682JTQ Muni","COUNTY_LOCATION_ISSUER")</f>
        <v>#N/A Requesting Data...</v>
      </c>
      <c r="F214" t="str">
        <f>_xll.BDP("34682JTQ Muni","DUR_ADJ_MID")</f>
        <v>#N/A Requesting Data...</v>
      </c>
      <c r="G214" t="str">
        <f>_xll.BDP("34682JTQ Muni","SPREAD_AT_ISSUANCE_TO_WORST")</f>
        <v>#N/A Requesting Data...</v>
      </c>
      <c r="H214" t="str">
        <f>_xll.BDP("34682JTQ Muni","ISSUE_DT")</f>
        <v>#N/A Requesting Data...</v>
      </c>
      <c r="I214" t="str">
        <f>_xll.BDS("34682JTQ Muni","MUNI_PURPOSE_SCHED", "aggregate=y")</f>
        <v>#N/A Requesting Data...</v>
      </c>
      <c r="J214" t="str">
        <f>_xll.BDP("34682JTQ Muni","CPN")</f>
        <v>#N/A Requesting Data...</v>
      </c>
      <c r="K214" t="str">
        <f>_xll.BDP("34682JTQ Muni","MATURITY")</f>
        <v>#N/A Requesting Data...</v>
      </c>
      <c r="L214">
        <v>295000</v>
      </c>
      <c r="M214" t="str">
        <f>_xll.BDP("34682JTQ Muni","YIELD_ON_ISSUE_DATE")</f>
        <v>#N/A Requesting Data...</v>
      </c>
      <c r="N214" t="str">
        <f>_xll.BDP("34682JTQ Muni","YTW_SPREAD_TO_MATURITY_AT_ISSU")</f>
        <v>#N/A Requesting Data...</v>
      </c>
      <c r="O214" t="str">
        <f>_xll.BDP("34682JTQ Muni","BVAL_MID_YTM")</f>
        <v>#N/A Requesting Data...</v>
      </c>
      <c r="P214" t="str">
        <f>_xll.BDP("34682JTQ Muni","MUNI_TAX_PROV")</f>
        <v>#N/A Requesting Data...</v>
      </c>
      <c r="Q214" t="str">
        <f>_xll.BDP("34682JTQ Muni","MUNI_FED_TAX")</f>
        <v>#N/A Requesting Data...</v>
      </c>
      <c r="R214" t="str">
        <f>_xll.BDP("34682JTQ Muni","MUNI_MSRB_VOLUME")</f>
        <v>#N/A Requesting Data...</v>
      </c>
      <c r="S214" t="str">
        <f>_xll.BDP("34682JTQ Muni","BB_COMPOSITE")</f>
        <v>#N/A Requesting Data...</v>
      </c>
      <c r="T214" t="str">
        <f>_xll.BDP("34682JTQ Muni","LQA_LIQUIDITY_SCORE")</f>
        <v>#N/A Requesting Data...</v>
      </c>
    </row>
    <row r="215" spans="1:20" x14ac:dyDescent="0.25">
      <c r="A215" t="str">
        <f>_xll.BDP("34682JTR Muni","ID_CUSIP")</f>
        <v>#N/A Requesting Data...</v>
      </c>
      <c r="B215" t="s">
        <v>90</v>
      </c>
      <c r="C215" t="str">
        <f>_xll.BDP("34682JTR Muni","INSURANCE_STATUS")</f>
        <v>#N/A Requesting Data...</v>
      </c>
      <c r="D215" t="str">
        <f>_xll.BDP("34682JTR Muni","STATE_CODE")</f>
        <v>#N/A Requesting Data...</v>
      </c>
      <c r="E215" t="str">
        <f>_xll.BDP("34682JTR Muni","COUNTY_LOCATION_ISSUER")</f>
        <v>#N/A Requesting Data...</v>
      </c>
      <c r="F215" t="str">
        <f>_xll.BDP("34682JTR Muni","DUR_ADJ_MID")</f>
        <v>#N/A Requesting Data...</v>
      </c>
      <c r="G215" t="str">
        <f>_xll.BDP("34682JTR Muni","SPREAD_AT_ISSUANCE_TO_WORST")</f>
        <v>#N/A Requesting Data...</v>
      </c>
      <c r="H215" t="str">
        <f>_xll.BDP("34682JTR Muni","ISSUE_DT")</f>
        <v>#N/A Requesting Data...</v>
      </c>
      <c r="I215" t="str">
        <f>_xll.BDS("34682JTR Muni","MUNI_PURPOSE_SCHED", "aggregate=y")</f>
        <v>#N/A Requesting Data...</v>
      </c>
      <c r="J215" t="str">
        <f>_xll.BDP("34682JTR Muni","CPN")</f>
        <v>#N/A Requesting Data...</v>
      </c>
      <c r="K215" t="str">
        <f>_xll.BDP("34682JTR Muni","MATURITY")</f>
        <v>#N/A Requesting Data...</v>
      </c>
      <c r="L215">
        <v>295000</v>
      </c>
      <c r="M215" t="str">
        <f>_xll.BDP("34682JTR Muni","YIELD_ON_ISSUE_DATE")</f>
        <v>#N/A Requesting Data...</v>
      </c>
      <c r="N215" t="str">
        <f>_xll.BDP("34682JTR Muni","YTW_SPREAD_TO_MATURITY_AT_ISSU")</f>
        <v>#N/A Requesting Data...</v>
      </c>
      <c r="O215" t="str">
        <f>_xll.BDP("34682JTR Muni","BVAL_MID_YTM")</f>
        <v>#N/A Requesting Data...</v>
      </c>
      <c r="P215" t="str">
        <f>_xll.BDP("34682JTR Muni","MUNI_TAX_PROV")</f>
        <v>#N/A Requesting Data...</v>
      </c>
      <c r="Q215" t="str">
        <f>_xll.BDP("34682JTR Muni","MUNI_FED_TAX")</f>
        <v>#N/A Requesting Data...</v>
      </c>
      <c r="R215" t="str">
        <f>_xll.BDP("34682JTR Muni","MUNI_MSRB_VOLUME")</f>
        <v>#N/A Requesting Data...</v>
      </c>
      <c r="S215" t="str">
        <f>_xll.BDP("34682JTR Muni","BB_COMPOSITE")</f>
        <v>#N/A Requesting Data...</v>
      </c>
      <c r="T215" t="str">
        <f>_xll.BDP("34682JTR Muni","LQA_LIQUIDITY_SCORE")</f>
        <v>#N/A Requesting Data...</v>
      </c>
    </row>
    <row r="216" spans="1:20" x14ac:dyDescent="0.25">
      <c r="A216" t="str">
        <f>_xll.BDP("34682JTS Muni","ID_CUSIP")</f>
        <v>#N/A Requesting Data...</v>
      </c>
      <c r="B216" t="s">
        <v>90</v>
      </c>
      <c r="C216" t="str">
        <f>_xll.BDP("34682JTS Muni","INSURANCE_STATUS")</f>
        <v>#N/A Requesting Data...</v>
      </c>
      <c r="D216" t="str">
        <f>_xll.BDP("34682JTS Muni","STATE_CODE")</f>
        <v>#N/A Requesting Data...</v>
      </c>
      <c r="E216" t="str">
        <f>_xll.BDP("34682JTS Muni","COUNTY_LOCATION_ISSUER")</f>
        <v>#N/A Requesting Data...</v>
      </c>
      <c r="F216" t="str">
        <f>_xll.BDP("34682JTS Muni","DUR_ADJ_MID")</f>
        <v>#N/A Requesting Data...</v>
      </c>
      <c r="G216" t="str">
        <f>_xll.BDP("34682JTS Muni","SPREAD_AT_ISSUANCE_TO_WORST")</f>
        <v>#N/A Requesting Data...</v>
      </c>
      <c r="H216" t="str">
        <f>_xll.BDP("34682JTS Muni","ISSUE_DT")</f>
        <v>#N/A Requesting Data...</v>
      </c>
      <c r="I216" t="str">
        <f>_xll.BDS("34682JTS Muni","MUNI_PURPOSE_SCHED", "aggregate=y")</f>
        <v>#N/A Requesting Data...</v>
      </c>
      <c r="J216" t="str">
        <f>_xll.BDP("34682JTS Muni","CPN")</f>
        <v>#N/A Requesting Data...</v>
      </c>
      <c r="K216" t="str">
        <f>_xll.BDP("34682JTS Muni","MATURITY")</f>
        <v>#N/A Requesting Data...</v>
      </c>
      <c r="L216">
        <v>295000</v>
      </c>
      <c r="M216" t="str">
        <f>_xll.BDP("34682JTS Muni","YIELD_ON_ISSUE_DATE")</f>
        <v>#N/A Requesting Data...</v>
      </c>
      <c r="N216" t="str">
        <f>_xll.BDP("34682JTS Muni","YTW_SPREAD_TO_MATURITY_AT_ISSU")</f>
        <v>#N/A Requesting Data...</v>
      </c>
      <c r="O216" t="str">
        <f>_xll.BDP("34682JTS Muni","BVAL_MID_YTM")</f>
        <v>#N/A Requesting Data...</v>
      </c>
      <c r="P216" t="str">
        <f>_xll.BDP("34682JTS Muni","MUNI_TAX_PROV")</f>
        <v>#N/A Requesting Data...</v>
      </c>
      <c r="Q216" t="str">
        <f>_xll.BDP("34682JTS Muni","MUNI_FED_TAX")</f>
        <v>#N/A Requesting Data...</v>
      </c>
      <c r="R216" t="str">
        <f>_xll.BDP("34682JTS Muni","MUNI_MSRB_VOLUME")</f>
        <v>#N/A Requesting Data...</v>
      </c>
      <c r="S216" t="str">
        <f>_xll.BDP("34682JTS Muni","BB_COMPOSITE")</f>
        <v>#N/A Requesting Data...</v>
      </c>
      <c r="T216" t="str">
        <f>_xll.BDP("34682JTS Muni","LQA_LIQUIDITY_SCORE")</f>
        <v>#N/A Requesting Data...</v>
      </c>
    </row>
    <row r="217" spans="1:20" x14ac:dyDescent="0.25">
      <c r="A217" t="str">
        <f>_xll.BDP("34682JUN Muni","ID_CUSIP")</f>
        <v>#N/A Requesting Data...</v>
      </c>
      <c r="B217" t="s">
        <v>90</v>
      </c>
      <c r="C217" t="str">
        <f>_xll.BDP("34682JUN Muni","INSURANCE_STATUS")</f>
        <v>#N/A Requesting Data...</v>
      </c>
      <c r="D217" t="str">
        <f>_xll.BDP("34682JUN Muni","STATE_CODE")</f>
        <v>#N/A Requesting Data...</v>
      </c>
      <c r="E217" t="str">
        <f>_xll.BDP("34682JUN Muni","COUNTY_LOCATION_ISSUER")</f>
        <v>#N/A Requesting Data...</v>
      </c>
      <c r="F217" t="str">
        <f>_xll.BDP("34682JUN Muni","DUR_ADJ_MID")</f>
        <v>#N/A Requesting Data...</v>
      </c>
      <c r="G217" t="str">
        <f>_xll.BDP("34682JUN Muni","SPREAD_AT_ISSUANCE_TO_WORST")</f>
        <v>#N/A Requesting Data...</v>
      </c>
      <c r="H217" t="str">
        <f>_xll.BDP("34682JUN Muni","ISSUE_DT")</f>
        <v>#N/A Requesting Data...</v>
      </c>
      <c r="I217" t="str">
        <f>_xll.BDS("34682JUN Muni","MUNI_PURPOSE_SCHED", "aggregate=y")</f>
        <v>#N/A Requesting Data...</v>
      </c>
      <c r="J217" t="str">
        <f>_xll.BDP("34682JUN Muni","CPN")</f>
        <v>#N/A Requesting Data...</v>
      </c>
      <c r="K217" t="str">
        <f>_xll.BDP("34682JUN Muni","MATURITY")</f>
        <v>#N/A Requesting Data...</v>
      </c>
      <c r="L217">
        <v>105000</v>
      </c>
      <c r="M217" t="str">
        <f>_xll.BDP("34682JUN Muni","YIELD_ON_ISSUE_DATE")</f>
        <v>#N/A Requesting Data...</v>
      </c>
      <c r="N217" t="str">
        <f>_xll.BDP("34682JUN Muni","YTW_SPREAD_TO_MATURITY_AT_ISSU")</f>
        <v>#N/A Requesting Data...</v>
      </c>
      <c r="O217" t="str">
        <f>_xll.BDP("34682JUN Muni","BVAL_MID_YTM")</f>
        <v>#N/A Requesting Data...</v>
      </c>
      <c r="P217" t="str">
        <f>_xll.BDP("34682JUN Muni","MUNI_TAX_PROV")</f>
        <v>#N/A Requesting Data...</v>
      </c>
      <c r="Q217" t="str">
        <f>_xll.BDP("34682JUN Muni","MUNI_FED_TAX")</f>
        <v>#N/A Requesting Data...</v>
      </c>
      <c r="R217" t="str">
        <f>_xll.BDP("34682JUN Muni","MUNI_MSRB_VOLUME")</f>
        <v>#N/A Requesting Data...</v>
      </c>
      <c r="S217" t="str">
        <f>_xll.BDP("34682JUN Muni","BB_COMPOSITE")</f>
        <v>#N/A Requesting Data...</v>
      </c>
      <c r="T217" t="str">
        <f>_xll.BDP("34682JUN Muni","LQA_LIQUIDITY_SCORE")</f>
        <v>#N/A Requesting Data...</v>
      </c>
    </row>
    <row r="218" spans="1:20" x14ac:dyDescent="0.25">
      <c r="A218" t="str">
        <f>_xll.BDP("34682JUP Muni","ID_CUSIP")</f>
        <v>#N/A Requesting Data...</v>
      </c>
      <c r="B218" t="s">
        <v>90</v>
      </c>
      <c r="C218" t="str">
        <f>_xll.BDP("34682JUP Muni","INSURANCE_STATUS")</f>
        <v>#N/A Requesting Data...</v>
      </c>
      <c r="D218" t="str">
        <f>_xll.BDP("34682JUP Muni","STATE_CODE")</f>
        <v>#N/A Requesting Data...</v>
      </c>
      <c r="E218" t="str">
        <f>_xll.BDP("34682JUP Muni","COUNTY_LOCATION_ISSUER")</f>
        <v>#N/A Requesting Data...</v>
      </c>
      <c r="F218" t="str">
        <f>_xll.BDP("34682JUP Muni","DUR_ADJ_MID")</f>
        <v>#N/A Requesting Data...</v>
      </c>
      <c r="G218" t="str">
        <f>_xll.BDP("34682JUP Muni","SPREAD_AT_ISSUANCE_TO_WORST")</f>
        <v>#N/A Requesting Data...</v>
      </c>
      <c r="H218" t="str">
        <f>_xll.BDP("34682JUP Muni","ISSUE_DT")</f>
        <v>#N/A Requesting Data...</v>
      </c>
      <c r="I218" t="str">
        <f>_xll.BDS("34682JUP Muni","MUNI_PURPOSE_SCHED", "aggregate=y")</f>
        <v>#N/A Requesting Data...</v>
      </c>
      <c r="J218" t="str">
        <f>_xll.BDP("34682JUP Muni","CPN")</f>
        <v>#N/A Requesting Data...</v>
      </c>
      <c r="K218" t="str">
        <f>_xll.BDP("34682JUP Muni","MATURITY")</f>
        <v>#N/A Requesting Data...</v>
      </c>
      <c r="L218">
        <v>105000</v>
      </c>
      <c r="M218" t="str">
        <f>_xll.BDP("34682JUP Muni","YIELD_ON_ISSUE_DATE")</f>
        <v>#N/A Requesting Data...</v>
      </c>
      <c r="N218" t="str">
        <f>_xll.BDP("34682JUP Muni","YTW_SPREAD_TO_MATURITY_AT_ISSU")</f>
        <v>#N/A Requesting Data...</v>
      </c>
      <c r="O218" t="str">
        <f>_xll.BDP("34682JUP Muni","BVAL_MID_YTM")</f>
        <v>#N/A Requesting Data...</v>
      </c>
      <c r="P218" t="str">
        <f>_xll.BDP("34682JUP Muni","MUNI_TAX_PROV")</f>
        <v>#N/A Requesting Data...</v>
      </c>
      <c r="Q218" t="str">
        <f>_xll.BDP("34682JUP Muni","MUNI_FED_TAX")</f>
        <v>#N/A Requesting Data...</v>
      </c>
      <c r="R218" t="str">
        <f>_xll.BDP("34682JUP Muni","MUNI_MSRB_VOLUME")</f>
        <v>#N/A Requesting Data...</v>
      </c>
      <c r="S218" t="str">
        <f>_xll.BDP("34682JUP Muni","BB_COMPOSITE")</f>
        <v>#N/A Requesting Data...</v>
      </c>
      <c r="T218" t="str">
        <f>_xll.BDP("34682JUP Muni","LQA_LIQUIDITY_SCORE")</f>
        <v>#N/A Requesting Data...</v>
      </c>
    </row>
    <row r="219" spans="1:20" x14ac:dyDescent="0.25">
      <c r="A219" t="str">
        <f>_xll.BDP("34682JUQ Muni","ID_CUSIP")</f>
        <v>#N/A Requesting Data...</v>
      </c>
      <c r="B219" t="s">
        <v>90</v>
      </c>
      <c r="C219" t="str">
        <f>_xll.BDP("34682JUQ Muni","INSURANCE_STATUS")</f>
        <v>#N/A Requesting Data...</v>
      </c>
      <c r="D219" t="str">
        <f>_xll.BDP("34682JUQ Muni","STATE_CODE")</f>
        <v>#N/A Requesting Data...</v>
      </c>
      <c r="E219" t="str">
        <f>_xll.BDP("34682JUQ Muni","COUNTY_LOCATION_ISSUER")</f>
        <v>#N/A Requesting Data...</v>
      </c>
      <c r="F219" t="str">
        <f>_xll.BDP("34682JUQ Muni","DUR_ADJ_MID")</f>
        <v>#N/A Requesting Data...</v>
      </c>
      <c r="G219" t="str">
        <f>_xll.BDP("34682JUQ Muni","SPREAD_AT_ISSUANCE_TO_WORST")</f>
        <v>#N/A Requesting Data...</v>
      </c>
      <c r="H219" t="str">
        <f>_xll.BDP("34682JUQ Muni","ISSUE_DT")</f>
        <v>#N/A Requesting Data...</v>
      </c>
      <c r="I219" t="str">
        <f>_xll.BDS("34682JUQ Muni","MUNI_PURPOSE_SCHED", "aggregate=y")</f>
        <v>#N/A Requesting Data...</v>
      </c>
      <c r="J219" t="str">
        <f>_xll.BDP("34682JUQ Muni","CPN")</f>
        <v>#N/A Requesting Data...</v>
      </c>
      <c r="K219" t="str">
        <f>_xll.BDP("34682JUQ Muni","MATURITY")</f>
        <v>#N/A Requesting Data...</v>
      </c>
      <c r="L219">
        <v>105000</v>
      </c>
      <c r="M219" t="str">
        <f>_xll.BDP("34682JUQ Muni","YIELD_ON_ISSUE_DATE")</f>
        <v>#N/A Requesting Data...</v>
      </c>
      <c r="N219" t="str">
        <f>_xll.BDP("34682JUQ Muni","YTW_SPREAD_TO_MATURITY_AT_ISSU")</f>
        <v>#N/A Requesting Data...</v>
      </c>
      <c r="O219" t="str">
        <f>_xll.BDP("34682JUQ Muni","BVAL_MID_YTM")</f>
        <v>#N/A Requesting Data...</v>
      </c>
      <c r="P219" t="str">
        <f>_xll.BDP("34682JUQ Muni","MUNI_TAX_PROV")</f>
        <v>#N/A Requesting Data...</v>
      </c>
      <c r="Q219" t="str">
        <f>_xll.BDP("34682JUQ Muni","MUNI_FED_TAX")</f>
        <v>#N/A Requesting Data...</v>
      </c>
      <c r="R219" t="str">
        <f>_xll.BDP("34682JUQ Muni","MUNI_MSRB_VOLUME")</f>
        <v>#N/A Requesting Data...</v>
      </c>
      <c r="S219" t="str">
        <f>_xll.BDP("34682JUQ Muni","BB_COMPOSITE")</f>
        <v>#N/A Requesting Data...</v>
      </c>
      <c r="T219" t="str">
        <f>_xll.BDP("34682JUQ Muni","LQA_LIQUIDITY_SCORE")</f>
        <v>#N/A Requesting Data...</v>
      </c>
    </row>
    <row r="220" spans="1:20" x14ac:dyDescent="0.25">
      <c r="A220" t="str">
        <f>_xll.BDP("34682VGN Muni","ID_CUSIP")</f>
        <v>#N/A Requesting Data...</v>
      </c>
      <c r="B220" t="s">
        <v>91</v>
      </c>
      <c r="C220" t="str">
        <f>_xll.BDP("34682VGN Muni","INSURANCE_STATUS")</f>
        <v>#N/A Requesting Data...</v>
      </c>
      <c r="D220" t="str">
        <f>_xll.BDP("34682VGN Muni","STATE_CODE")</f>
        <v>#N/A Requesting Data...</v>
      </c>
      <c r="E220" t="str">
        <f>_xll.BDP("34682VGN Muni","COUNTY_LOCATION_ISSUER")</f>
        <v>#N/A Requesting Data...</v>
      </c>
      <c r="F220" t="str">
        <f>_xll.BDP("34682VGN Muni","DUR_ADJ_MID")</f>
        <v>#N/A Requesting Data...</v>
      </c>
      <c r="G220" t="str">
        <f>_xll.BDP("34682VGN Muni","SPREAD_AT_ISSUANCE_TO_WORST")</f>
        <v>#N/A Requesting Data...</v>
      </c>
      <c r="H220" t="str">
        <f>_xll.BDP("34682VGN Muni","ISSUE_DT")</f>
        <v>#N/A Requesting Data...</v>
      </c>
      <c r="I220" t="str">
        <f>_xll.BDS("34682VGN Muni","MUNI_PURPOSE_SCHED", "aggregate=y")</f>
        <v>#N/A Requesting Data...</v>
      </c>
      <c r="J220" t="str">
        <f>_xll.BDP("34682VGN Muni","CPN")</f>
        <v>#N/A Requesting Data...</v>
      </c>
      <c r="K220" t="str">
        <f>_xll.BDP("34682VGN Muni","MATURITY")</f>
        <v>#N/A Requesting Data...</v>
      </c>
      <c r="L220">
        <v>210000</v>
      </c>
      <c r="M220" t="str">
        <f>_xll.BDP("34682VGN Muni","YIELD_ON_ISSUE_DATE")</f>
        <v>#N/A Requesting Data...</v>
      </c>
      <c r="N220" t="str">
        <f>_xll.BDP("34682VGN Muni","YTW_SPREAD_TO_MATURITY_AT_ISSU")</f>
        <v>#N/A Requesting Data...</v>
      </c>
      <c r="O220" t="str">
        <f>_xll.BDP("34682VGN Muni","BVAL_MID_YTM")</f>
        <v>#N/A Requesting Data...</v>
      </c>
      <c r="P220" t="str">
        <f>_xll.BDP("34682VGN Muni","MUNI_TAX_PROV")</f>
        <v>#N/A Requesting Data...</v>
      </c>
      <c r="Q220" t="str">
        <f>_xll.BDP("34682VGN Muni","MUNI_FED_TAX")</f>
        <v>#N/A Requesting Data...</v>
      </c>
      <c r="R220" t="str">
        <f>_xll.BDP("34682VGN Muni","MUNI_MSRB_VOLUME")</f>
        <v>#N/A Requesting Data...</v>
      </c>
      <c r="S220" t="str">
        <f>_xll.BDP("34682VGN Muni","BB_COMPOSITE")</f>
        <v>#N/A Requesting Data...</v>
      </c>
      <c r="T220" t="str">
        <f>_xll.BDP("34682VGN Muni","LQA_LIQUIDITY_SCORE")</f>
        <v>#N/A Requesting Data...</v>
      </c>
    </row>
    <row r="221" spans="1:20" x14ac:dyDescent="0.25">
      <c r="A221" t="str">
        <f>_xll.BDP("34682VGP Muni","ID_CUSIP")</f>
        <v>#N/A Requesting Data...</v>
      </c>
      <c r="B221" t="s">
        <v>91</v>
      </c>
      <c r="C221" t="str">
        <f>_xll.BDP("34682VGP Muni","INSURANCE_STATUS")</f>
        <v>#N/A Requesting Data...</v>
      </c>
      <c r="D221" t="str">
        <f>_xll.BDP("34682VGP Muni","STATE_CODE")</f>
        <v>#N/A Requesting Data...</v>
      </c>
      <c r="E221" t="str">
        <f>_xll.BDP("34682VGP Muni","COUNTY_LOCATION_ISSUER")</f>
        <v>#N/A Requesting Data...</v>
      </c>
      <c r="F221" t="str">
        <f>_xll.BDP("34682VGP Muni","DUR_ADJ_MID")</f>
        <v>#N/A Requesting Data...</v>
      </c>
      <c r="G221" t="str">
        <f>_xll.BDP("34682VGP Muni","SPREAD_AT_ISSUANCE_TO_WORST")</f>
        <v>#N/A Requesting Data...</v>
      </c>
      <c r="H221" t="str">
        <f>_xll.BDP("34682VGP Muni","ISSUE_DT")</f>
        <v>#N/A Requesting Data...</v>
      </c>
      <c r="I221" t="str">
        <f>_xll.BDS("34682VGP Muni","MUNI_PURPOSE_SCHED", "aggregate=y")</f>
        <v>#N/A Requesting Data...</v>
      </c>
      <c r="J221" t="str">
        <f>_xll.BDP("34682VGP Muni","CPN")</f>
        <v>#N/A Requesting Data...</v>
      </c>
      <c r="K221" t="str">
        <f>_xll.BDP("34682VGP Muni","MATURITY")</f>
        <v>#N/A Requesting Data...</v>
      </c>
      <c r="L221">
        <v>215000</v>
      </c>
      <c r="M221" t="str">
        <f>_xll.BDP("34682VGP Muni","YIELD_ON_ISSUE_DATE")</f>
        <v>#N/A Requesting Data...</v>
      </c>
      <c r="N221" t="str">
        <f>_xll.BDP("34682VGP Muni","YTW_SPREAD_TO_MATURITY_AT_ISSU")</f>
        <v>#N/A Requesting Data...</v>
      </c>
      <c r="O221" t="str">
        <f>_xll.BDP("34682VGP Muni","BVAL_MID_YTM")</f>
        <v>#N/A Requesting Data...</v>
      </c>
      <c r="P221" t="str">
        <f>_xll.BDP("34682VGP Muni","MUNI_TAX_PROV")</f>
        <v>#N/A Requesting Data...</v>
      </c>
      <c r="Q221" t="str">
        <f>_xll.BDP("34682VGP Muni","MUNI_FED_TAX")</f>
        <v>#N/A Requesting Data...</v>
      </c>
      <c r="R221" t="str">
        <f>_xll.BDP("34682VGP Muni","MUNI_MSRB_VOLUME")</f>
        <v>#N/A Requesting Data...</v>
      </c>
      <c r="S221" t="str">
        <f>_xll.BDP("34682VGP Muni","BB_COMPOSITE")</f>
        <v>#N/A Requesting Data...</v>
      </c>
      <c r="T221" t="str">
        <f>_xll.BDP("34682VGP Muni","LQA_LIQUIDITY_SCORE")</f>
        <v>#N/A Requesting Data...</v>
      </c>
    </row>
    <row r="222" spans="1:20" x14ac:dyDescent="0.25">
      <c r="A222" t="str">
        <f>_xll.BDP("34682XAD Muni","ID_CUSIP")</f>
        <v>#N/A Requesting Data...</v>
      </c>
      <c r="B222" t="s">
        <v>92</v>
      </c>
      <c r="C222" t="str">
        <f>_xll.BDP("34682XAD Muni","INSURANCE_STATUS")</f>
        <v>#N/A Requesting Data...</v>
      </c>
      <c r="D222" t="str">
        <f>_xll.BDP("34682XAD Muni","STATE_CODE")</f>
        <v>#N/A Requesting Data...</v>
      </c>
      <c r="E222" t="str">
        <f>_xll.BDP("34682XAD Muni","COUNTY_LOCATION_ISSUER")</f>
        <v>#N/A Requesting Data...</v>
      </c>
      <c r="F222" t="str">
        <f>_xll.BDP("34682XAD Muni","DUR_ADJ_MID")</f>
        <v>#N/A Requesting Data...</v>
      </c>
      <c r="G222" t="str">
        <f>_xll.BDP("34682XAD Muni","SPREAD_AT_ISSUANCE_TO_WORST")</f>
        <v>#N/A Requesting Data...</v>
      </c>
      <c r="H222" t="str">
        <f>_xll.BDP("34682XAD Muni","ISSUE_DT")</f>
        <v>#N/A Requesting Data...</v>
      </c>
      <c r="I222" t="str">
        <f>_xll.BDS("34682XAD Muni","MUNI_PURPOSE_SCHED", "aggregate=y")</f>
        <v>#N/A Requesting Data...</v>
      </c>
      <c r="J222" t="str">
        <f>_xll.BDP("34682XAD Muni","CPN")</f>
        <v>#N/A Requesting Data...</v>
      </c>
      <c r="K222" t="str">
        <f>_xll.BDP("34682XAD Muni","MATURITY")</f>
        <v>#N/A Requesting Data...</v>
      </c>
      <c r="L222">
        <v>75000</v>
      </c>
      <c r="M222" t="str">
        <f>_xll.BDP("34682XAD Muni","YIELD_ON_ISSUE_DATE")</f>
        <v>#N/A Requesting Data...</v>
      </c>
      <c r="N222" t="str">
        <f>_xll.BDP("34682XAD Muni","YTW_SPREAD_TO_MATURITY_AT_ISSU")</f>
        <v>#N/A Requesting Data...</v>
      </c>
      <c r="O222" t="str">
        <f>_xll.BDP("34682XAD Muni","BVAL_MID_YTM")</f>
        <v>#N/A Requesting Data...</v>
      </c>
      <c r="P222" t="str">
        <f>_xll.BDP("34682XAD Muni","MUNI_TAX_PROV")</f>
        <v>#N/A Requesting Data...</v>
      </c>
      <c r="Q222" t="str">
        <f>_xll.BDP("34682XAD Muni","MUNI_FED_TAX")</f>
        <v>#N/A Requesting Data...</v>
      </c>
      <c r="R222" t="str">
        <f>_xll.BDP("34682XAD Muni","MUNI_MSRB_VOLUME")</f>
        <v>#N/A Requesting Data...</v>
      </c>
      <c r="S222" t="str">
        <f>_xll.BDP("34682XAD Muni","BB_COMPOSITE")</f>
        <v>#N/A Requesting Data...</v>
      </c>
      <c r="T222" t="str">
        <f>_xll.BDP("34682XAD Muni","LQA_LIQUIDITY_SCORE")</f>
        <v>#N/A Requesting Data...</v>
      </c>
    </row>
    <row r="223" spans="1:20" x14ac:dyDescent="0.25">
      <c r="A223" t="str">
        <f>_xll.BDP("34683EJP Muni","ID_CUSIP")</f>
        <v>#N/A Requesting Data...</v>
      </c>
      <c r="B223" t="s">
        <v>93</v>
      </c>
      <c r="C223" t="str">
        <f>_xll.BDP("34683EJP Muni","INSURANCE_STATUS")</f>
        <v>#N/A Requesting Data...</v>
      </c>
      <c r="D223" t="str">
        <f>_xll.BDP("34683EJP Muni","STATE_CODE")</f>
        <v>#N/A Requesting Data...</v>
      </c>
      <c r="E223" t="str">
        <f>_xll.BDP("34683EJP Muni","COUNTY_LOCATION_ISSUER")</f>
        <v>#N/A Requesting Data...</v>
      </c>
      <c r="F223" t="str">
        <f>_xll.BDP("34683EJP Muni","DUR_ADJ_MID")</f>
        <v>#N/A Requesting Data...</v>
      </c>
      <c r="G223" t="str">
        <f>_xll.BDP("34683EJP Muni","SPREAD_AT_ISSUANCE_TO_WORST")</f>
        <v>#N/A Requesting Data...</v>
      </c>
      <c r="H223" t="str">
        <f>_xll.BDP("34683EJP Muni","ISSUE_DT")</f>
        <v>#N/A Requesting Data...</v>
      </c>
      <c r="I223" t="str">
        <f>_xll.BDS("34683EJP Muni","MUNI_PURPOSE_SCHED", "aggregate=y")</f>
        <v>#N/A Requesting Data...</v>
      </c>
      <c r="J223" t="str">
        <f>_xll.BDP("34683EJP Muni","CPN")</f>
        <v>#N/A Requesting Data...</v>
      </c>
      <c r="K223" t="str">
        <f>_xll.BDP("34683EJP Muni","MATURITY")</f>
        <v>#N/A Requesting Data...</v>
      </c>
      <c r="L223">
        <v>220000</v>
      </c>
      <c r="M223" t="str">
        <f>_xll.BDP("34683EJP Muni","YIELD_ON_ISSUE_DATE")</f>
        <v>#N/A Requesting Data...</v>
      </c>
      <c r="N223" t="str">
        <f>_xll.BDP("34683EJP Muni","YTW_SPREAD_TO_MATURITY_AT_ISSU")</f>
        <v>#N/A Requesting Data...</v>
      </c>
      <c r="O223" t="str">
        <f>_xll.BDP("34683EJP Muni","BVAL_MID_YTM")</f>
        <v>#N/A Requesting Data...</v>
      </c>
      <c r="P223" t="str">
        <f>_xll.BDP("34683EJP Muni","MUNI_TAX_PROV")</f>
        <v>#N/A Requesting Data...</v>
      </c>
      <c r="Q223" t="str">
        <f>_xll.BDP("34683EJP Muni","MUNI_FED_TAX")</f>
        <v>#N/A Requesting Data...</v>
      </c>
      <c r="R223" t="str">
        <f>_xll.BDP("34683EJP Muni","MUNI_MSRB_VOLUME")</f>
        <v>#N/A Requesting Data...</v>
      </c>
      <c r="S223" t="str">
        <f>_xll.BDP("34683EJP Muni","BB_COMPOSITE")</f>
        <v>#N/A Requesting Data...</v>
      </c>
      <c r="T223" t="str">
        <f>_xll.BDP("34683EJP Muni","LQA_LIQUIDITY_SCORE")</f>
        <v>#N/A Requesting Data...</v>
      </c>
    </row>
    <row r="224" spans="1:20" x14ac:dyDescent="0.25">
      <c r="A224" t="str">
        <f>_xll.BDP("34683EJQ Muni","ID_CUSIP")</f>
        <v>#N/A Requesting Data...</v>
      </c>
      <c r="B224" t="s">
        <v>93</v>
      </c>
      <c r="C224" t="str">
        <f>_xll.BDP("34683EJQ Muni","INSURANCE_STATUS")</f>
        <v>#N/A Requesting Data...</v>
      </c>
      <c r="D224" t="str">
        <f>_xll.BDP("34683EJQ Muni","STATE_CODE")</f>
        <v>#N/A Requesting Data...</v>
      </c>
      <c r="E224" t="str">
        <f>_xll.BDP("34683EJQ Muni","COUNTY_LOCATION_ISSUER")</f>
        <v>#N/A Requesting Data...</v>
      </c>
      <c r="F224" t="str">
        <f>_xll.BDP("34683EJQ Muni","DUR_ADJ_MID")</f>
        <v>#N/A Requesting Data...</v>
      </c>
      <c r="G224" t="str">
        <f>_xll.BDP("34683EJQ Muni","SPREAD_AT_ISSUANCE_TO_WORST")</f>
        <v>#N/A Requesting Data...</v>
      </c>
      <c r="H224" t="str">
        <f>_xll.BDP("34683EJQ Muni","ISSUE_DT")</f>
        <v>#N/A Requesting Data...</v>
      </c>
      <c r="I224" t="str">
        <f>_xll.BDS("34683EJQ Muni","MUNI_PURPOSE_SCHED", "aggregate=y")</f>
        <v>#N/A Requesting Data...</v>
      </c>
      <c r="J224" t="str">
        <f>_xll.BDP("34683EJQ Muni","CPN")</f>
        <v>#N/A Requesting Data...</v>
      </c>
      <c r="K224" t="str">
        <f>_xll.BDP("34683EJQ Muni","MATURITY")</f>
        <v>#N/A Requesting Data...</v>
      </c>
      <c r="L224">
        <v>220000</v>
      </c>
      <c r="M224" t="str">
        <f>_xll.BDP("34683EJQ Muni","YIELD_ON_ISSUE_DATE")</f>
        <v>#N/A Requesting Data...</v>
      </c>
      <c r="N224" t="str">
        <f>_xll.BDP("34683EJQ Muni","YTW_SPREAD_TO_MATURITY_AT_ISSU")</f>
        <v>#N/A Requesting Data...</v>
      </c>
      <c r="O224" t="str">
        <f>_xll.BDP("34683EJQ Muni","BVAL_MID_YTM")</f>
        <v>#N/A Requesting Data...</v>
      </c>
      <c r="P224" t="str">
        <f>_xll.BDP("34683EJQ Muni","MUNI_TAX_PROV")</f>
        <v>#N/A Requesting Data...</v>
      </c>
      <c r="Q224" t="str">
        <f>_xll.BDP("34683EJQ Muni","MUNI_FED_TAX")</f>
        <v>#N/A Requesting Data...</v>
      </c>
      <c r="R224" t="str">
        <f>_xll.BDP("34683EJQ Muni","MUNI_MSRB_VOLUME")</f>
        <v>#N/A Requesting Data...</v>
      </c>
      <c r="S224" t="str">
        <f>_xll.BDP("34683EJQ Muni","BB_COMPOSITE")</f>
        <v>#N/A Requesting Data...</v>
      </c>
      <c r="T224" t="str">
        <f>_xll.BDP("34683EJQ Muni","LQA_LIQUIDITY_SCORE")</f>
        <v>#N/A Requesting Data...</v>
      </c>
    </row>
    <row r="225" spans="1:20" x14ac:dyDescent="0.25">
      <c r="A225" t="str">
        <f>_xll.BDP("34683EJR Muni","ID_CUSIP")</f>
        <v>#N/A Requesting Data...</v>
      </c>
      <c r="B225" t="s">
        <v>93</v>
      </c>
      <c r="C225" t="str">
        <f>_xll.BDP("34683EJR Muni","INSURANCE_STATUS")</f>
        <v>#N/A Requesting Data...</v>
      </c>
      <c r="D225" t="str">
        <f>_xll.BDP("34683EJR Muni","STATE_CODE")</f>
        <v>#N/A Requesting Data...</v>
      </c>
      <c r="E225" t="str">
        <f>_xll.BDP("34683EJR Muni","COUNTY_LOCATION_ISSUER")</f>
        <v>#N/A Requesting Data...</v>
      </c>
      <c r="F225" t="str">
        <f>_xll.BDP("34683EJR Muni","DUR_ADJ_MID")</f>
        <v>#N/A Requesting Data...</v>
      </c>
      <c r="G225" t="str">
        <f>_xll.BDP("34683EJR Muni","SPREAD_AT_ISSUANCE_TO_WORST")</f>
        <v>#N/A Requesting Data...</v>
      </c>
      <c r="H225" t="str">
        <f>_xll.BDP("34683EJR Muni","ISSUE_DT")</f>
        <v>#N/A Requesting Data...</v>
      </c>
      <c r="I225" t="str">
        <f>_xll.BDS("34683EJR Muni","MUNI_PURPOSE_SCHED", "aggregate=y")</f>
        <v>#N/A Requesting Data...</v>
      </c>
      <c r="J225" t="str">
        <f>_xll.BDP("34683EJR Muni","CPN")</f>
        <v>#N/A Requesting Data...</v>
      </c>
      <c r="K225" t="str">
        <f>_xll.BDP("34683EJR Muni","MATURITY")</f>
        <v>#N/A Requesting Data...</v>
      </c>
      <c r="L225">
        <v>220000</v>
      </c>
      <c r="M225" t="str">
        <f>_xll.BDP("34683EJR Muni","YIELD_ON_ISSUE_DATE")</f>
        <v>#N/A Requesting Data...</v>
      </c>
      <c r="N225" t="str">
        <f>_xll.BDP("34683EJR Muni","YTW_SPREAD_TO_MATURITY_AT_ISSU")</f>
        <v>#N/A Requesting Data...</v>
      </c>
      <c r="O225" t="str">
        <f>_xll.BDP("34683EJR Muni","BVAL_MID_YTM")</f>
        <v>#N/A Requesting Data...</v>
      </c>
      <c r="P225" t="str">
        <f>_xll.BDP("34683EJR Muni","MUNI_TAX_PROV")</f>
        <v>#N/A Requesting Data...</v>
      </c>
      <c r="Q225" t="str">
        <f>_xll.BDP("34683EJR Muni","MUNI_FED_TAX")</f>
        <v>#N/A Requesting Data...</v>
      </c>
      <c r="R225" t="str">
        <f>_xll.BDP("34683EJR Muni","MUNI_MSRB_VOLUME")</f>
        <v>#N/A Requesting Data...</v>
      </c>
      <c r="S225" t="str">
        <f>_xll.BDP("34683EJR Muni","BB_COMPOSITE")</f>
        <v>#N/A Requesting Data...</v>
      </c>
      <c r="T225" t="str">
        <f>_xll.BDP("34683EJR Muni","LQA_LIQUIDITY_SCORE")</f>
        <v>#N/A Requesting Data...</v>
      </c>
    </row>
    <row r="226" spans="1:20" x14ac:dyDescent="0.25">
      <c r="A226" t="str">
        <f>_xll.BDP("34683GDE Muni","ID_CUSIP")</f>
        <v>#N/A Requesting Data...</v>
      </c>
      <c r="B226" t="s">
        <v>94</v>
      </c>
      <c r="C226" t="str">
        <f>_xll.BDP("34683GDE Muni","INSURANCE_STATUS")</f>
        <v>#N/A Requesting Data...</v>
      </c>
      <c r="D226" t="str">
        <f>_xll.BDP("34683GDE Muni","STATE_CODE")</f>
        <v>#N/A Requesting Data...</v>
      </c>
      <c r="E226" t="str">
        <f>_xll.BDP("34683GDE Muni","COUNTY_LOCATION_ISSUER")</f>
        <v>#N/A Requesting Data...</v>
      </c>
      <c r="F226" t="str">
        <f>_xll.BDP("34683GDE Muni","DUR_ADJ_MID")</f>
        <v>#N/A Requesting Data...</v>
      </c>
      <c r="G226" t="str">
        <f>_xll.BDP("34683GDE Muni","SPREAD_AT_ISSUANCE_TO_WORST")</f>
        <v>#N/A Requesting Data...</v>
      </c>
      <c r="H226" t="str">
        <f>_xll.BDP("34683GDE Muni","ISSUE_DT")</f>
        <v>#N/A Requesting Data...</v>
      </c>
      <c r="I226" t="str">
        <f>_xll.BDS("34683GDE Muni","MUNI_PURPOSE_SCHED", "aggregate=y")</f>
        <v>#N/A Requesting Data...</v>
      </c>
      <c r="J226" t="str">
        <f>_xll.BDP("34683GDE Muni","CPN")</f>
        <v>#N/A Requesting Data...</v>
      </c>
      <c r="K226" t="str">
        <f>_xll.BDP("34683GDE Muni","MATURITY")</f>
        <v>#N/A Requesting Data...</v>
      </c>
      <c r="L226">
        <v>150000</v>
      </c>
      <c r="M226" t="str">
        <f>_xll.BDP("34683GDE Muni","YIELD_ON_ISSUE_DATE")</f>
        <v>#N/A Requesting Data...</v>
      </c>
      <c r="N226" t="str">
        <f>_xll.BDP("34683GDE Muni","YTW_SPREAD_TO_MATURITY_AT_ISSU")</f>
        <v>#N/A Requesting Data...</v>
      </c>
      <c r="O226" t="str">
        <f>_xll.BDP("34683GDE Muni","BVAL_MID_YTM")</f>
        <v>#N/A Requesting Data...</v>
      </c>
      <c r="P226" t="str">
        <f>_xll.BDP("34683GDE Muni","MUNI_TAX_PROV")</f>
        <v>#N/A Requesting Data...</v>
      </c>
      <c r="Q226" t="str">
        <f>_xll.BDP("34683GDE Muni","MUNI_FED_TAX")</f>
        <v>#N/A Requesting Data...</v>
      </c>
      <c r="R226" t="str">
        <f>_xll.BDP("34683GDE Muni","MUNI_MSRB_VOLUME")</f>
        <v>#N/A Requesting Data...</v>
      </c>
      <c r="S226" t="str">
        <f>_xll.BDP("34683GDE Muni","BB_COMPOSITE")</f>
        <v>#N/A Requesting Data...</v>
      </c>
      <c r="T226" t="str">
        <f>_xll.BDP("34683GDE Muni","LQA_LIQUIDITY_SCORE")</f>
        <v>#N/A Requesting Data...</v>
      </c>
    </row>
    <row r="227" spans="1:20" x14ac:dyDescent="0.25">
      <c r="A227" t="str">
        <f>_xll.BDP("34683GDF Muni","ID_CUSIP")</f>
        <v>#N/A Requesting Data...</v>
      </c>
      <c r="B227" t="s">
        <v>94</v>
      </c>
      <c r="C227" t="str">
        <f>_xll.BDP("34683GDF Muni","INSURANCE_STATUS")</f>
        <v>#N/A Requesting Data...</v>
      </c>
      <c r="D227" t="str">
        <f>_xll.BDP("34683GDF Muni","STATE_CODE")</f>
        <v>#N/A Requesting Data...</v>
      </c>
      <c r="E227" t="str">
        <f>_xll.BDP("34683GDF Muni","COUNTY_LOCATION_ISSUER")</f>
        <v>#N/A Requesting Data...</v>
      </c>
      <c r="F227" t="str">
        <f>_xll.BDP("34683GDF Muni","DUR_ADJ_MID")</f>
        <v>#N/A Requesting Data...</v>
      </c>
      <c r="G227" t="str">
        <f>_xll.BDP("34683GDF Muni","SPREAD_AT_ISSUANCE_TO_WORST")</f>
        <v>#N/A Requesting Data...</v>
      </c>
      <c r="H227" t="str">
        <f>_xll.BDP("34683GDF Muni","ISSUE_DT")</f>
        <v>#N/A Requesting Data...</v>
      </c>
      <c r="I227" t="str">
        <f>_xll.BDS("34683GDF Muni","MUNI_PURPOSE_SCHED", "aggregate=y")</f>
        <v>#N/A Requesting Data...</v>
      </c>
      <c r="J227" t="str">
        <f>_xll.BDP("34683GDF Muni","CPN")</f>
        <v>#N/A Requesting Data...</v>
      </c>
      <c r="K227" t="str">
        <f>_xll.BDP("34683GDF Muni","MATURITY")</f>
        <v>#N/A Requesting Data...</v>
      </c>
      <c r="L227">
        <v>160000</v>
      </c>
      <c r="M227" t="str">
        <f>_xll.BDP("34683GDF Muni","YIELD_ON_ISSUE_DATE")</f>
        <v>#N/A Requesting Data...</v>
      </c>
      <c r="N227" t="str">
        <f>_xll.BDP("34683GDF Muni","YTW_SPREAD_TO_MATURITY_AT_ISSU")</f>
        <v>#N/A Requesting Data...</v>
      </c>
      <c r="O227" t="str">
        <f>_xll.BDP("34683GDF Muni","BVAL_MID_YTM")</f>
        <v>#N/A Requesting Data...</v>
      </c>
      <c r="P227" t="str">
        <f>_xll.BDP("34683GDF Muni","MUNI_TAX_PROV")</f>
        <v>#N/A Requesting Data...</v>
      </c>
      <c r="Q227" t="str">
        <f>_xll.BDP("34683GDF Muni","MUNI_FED_TAX")</f>
        <v>#N/A Requesting Data...</v>
      </c>
      <c r="R227" t="str">
        <f>_xll.BDP("34683GDF Muni","MUNI_MSRB_VOLUME")</f>
        <v>#N/A Requesting Data...</v>
      </c>
      <c r="S227" t="str">
        <f>_xll.BDP("34683GDF Muni","BB_COMPOSITE")</f>
        <v>#N/A Requesting Data...</v>
      </c>
      <c r="T227" t="str">
        <f>_xll.BDP("34683GDF Muni","LQA_LIQUIDITY_SCORE")</f>
        <v>#N/A Requesting Data...</v>
      </c>
    </row>
    <row r="228" spans="1:20" x14ac:dyDescent="0.25">
      <c r="A228" t="str">
        <f>_xll.BDP("34683JCD Muni","ID_CUSIP")</f>
        <v>#N/A Requesting Data...</v>
      </c>
      <c r="B228" t="s">
        <v>95</v>
      </c>
      <c r="C228" t="str">
        <f>_xll.BDP("34683JCD Muni","INSURANCE_STATUS")</f>
        <v>#N/A Requesting Data...</v>
      </c>
      <c r="D228" t="str">
        <f>_xll.BDP("34683JCD Muni","STATE_CODE")</f>
        <v>#N/A Requesting Data...</v>
      </c>
      <c r="E228" t="str">
        <f>_xll.BDP("34683JCD Muni","COUNTY_LOCATION_ISSUER")</f>
        <v>#N/A Requesting Data...</v>
      </c>
      <c r="F228" t="str">
        <f>_xll.BDP("34683JCD Muni","DUR_ADJ_MID")</f>
        <v>#N/A Requesting Data...</v>
      </c>
      <c r="G228" t="str">
        <f>_xll.BDP("34683JCD Muni","SPREAD_AT_ISSUANCE_TO_WORST")</f>
        <v>#N/A Requesting Data...</v>
      </c>
      <c r="H228" t="str">
        <f>_xll.BDP("34683JCD Muni","ISSUE_DT")</f>
        <v>#N/A Requesting Data...</v>
      </c>
      <c r="I228" t="str">
        <f>_xll.BDS("34683JCD Muni","MUNI_PURPOSE_SCHED", "aggregate=y")</f>
        <v>#N/A Requesting Data...</v>
      </c>
      <c r="J228" t="str">
        <f>_xll.BDP("34683JCD Muni","CPN")</f>
        <v>#N/A Requesting Data...</v>
      </c>
      <c r="K228" t="str">
        <f>_xll.BDP("34683JCD Muni","MATURITY")</f>
        <v>#N/A Requesting Data...</v>
      </c>
      <c r="L228">
        <v>245000</v>
      </c>
      <c r="M228" t="str">
        <f>_xll.BDP("34683JCD Muni","YIELD_ON_ISSUE_DATE")</f>
        <v>#N/A Requesting Data...</v>
      </c>
      <c r="N228" t="str">
        <f>_xll.BDP("34683JCD Muni","YTW_SPREAD_TO_MATURITY_AT_ISSU")</f>
        <v>#N/A Requesting Data...</v>
      </c>
      <c r="O228" t="str">
        <f>_xll.BDP("34683JCD Muni","BVAL_MID_YTM")</f>
        <v>#N/A Requesting Data...</v>
      </c>
      <c r="P228" t="str">
        <f>_xll.BDP("34683JCD Muni","MUNI_TAX_PROV")</f>
        <v>#N/A Requesting Data...</v>
      </c>
      <c r="Q228" t="str">
        <f>_xll.BDP("34683JCD Muni","MUNI_FED_TAX")</f>
        <v>#N/A Requesting Data...</v>
      </c>
      <c r="R228" t="str">
        <f>_xll.BDP("34683JCD Muni","MUNI_MSRB_VOLUME")</f>
        <v>#N/A Requesting Data...</v>
      </c>
      <c r="S228" t="str">
        <f>_xll.BDP("34683JCD Muni","BB_COMPOSITE")</f>
        <v>#N/A Requesting Data...</v>
      </c>
      <c r="T228" t="str">
        <f>_xll.BDP("34683JCD Muni","LQA_LIQUIDITY_SCORE")</f>
        <v>#N/A Requesting Data...</v>
      </c>
    </row>
    <row r="229" spans="1:20" x14ac:dyDescent="0.25">
      <c r="A229" t="str">
        <f>_xll.BDP("34683JCE Muni","ID_CUSIP")</f>
        <v>#N/A Requesting Data...</v>
      </c>
      <c r="B229" t="s">
        <v>95</v>
      </c>
      <c r="C229" t="str">
        <f>_xll.BDP("34683JCE Muni","INSURANCE_STATUS")</f>
        <v>#N/A Requesting Data...</v>
      </c>
      <c r="D229" t="str">
        <f>_xll.BDP("34683JCE Muni","STATE_CODE")</f>
        <v>#N/A Requesting Data...</v>
      </c>
      <c r="E229" t="str">
        <f>_xll.BDP("34683JCE Muni","COUNTY_LOCATION_ISSUER")</f>
        <v>#N/A Requesting Data...</v>
      </c>
      <c r="F229" t="str">
        <f>_xll.BDP("34683JCE Muni","DUR_ADJ_MID")</f>
        <v>#N/A Requesting Data...</v>
      </c>
      <c r="G229" t="str">
        <f>_xll.BDP("34683JCE Muni","SPREAD_AT_ISSUANCE_TO_WORST")</f>
        <v>#N/A Requesting Data...</v>
      </c>
      <c r="H229" t="str">
        <f>_xll.BDP("34683JCE Muni","ISSUE_DT")</f>
        <v>#N/A Requesting Data...</v>
      </c>
      <c r="I229" t="str">
        <f>_xll.BDS("34683JCE Muni","MUNI_PURPOSE_SCHED", "aggregate=y")</f>
        <v>#N/A Requesting Data...</v>
      </c>
      <c r="J229" t="str">
        <f>_xll.BDP("34683JCE Muni","CPN")</f>
        <v>#N/A Requesting Data...</v>
      </c>
      <c r="K229" t="str">
        <f>_xll.BDP("34683JCE Muni","MATURITY")</f>
        <v>#N/A Requesting Data...</v>
      </c>
      <c r="L229">
        <v>255000</v>
      </c>
      <c r="M229" t="str">
        <f>_xll.BDP("34683JCE Muni","YIELD_ON_ISSUE_DATE")</f>
        <v>#N/A Requesting Data...</v>
      </c>
      <c r="N229" t="str">
        <f>_xll.BDP("34683JCE Muni","YTW_SPREAD_TO_MATURITY_AT_ISSU")</f>
        <v>#N/A Requesting Data...</v>
      </c>
      <c r="O229" t="str">
        <f>_xll.BDP("34683JCE Muni","BVAL_MID_YTM")</f>
        <v>#N/A Requesting Data...</v>
      </c>
      <c r="P229" t="str">
        <f>_xll.BDP("34683JCE Muni","MUNI_TAX_PROV")</f>
        <v>#N/A Requesting Data...</v>
      </c>
      <c r="Q229" t="str">
        <f>_xll.BDP("34683JCE Muni","MUNI_FED_TAX")</f>
        <v>#N/A Requesting Data...</v>
      </c>
      <c r="R229" t="str">
        <f>_xll.BDP("34683JCE Muni","MUNI_MSRB_VOLUME")</f>
        <v>#N/A Requesting Data...</v>
      </c>
      <c r="S229" t="str">
        <f>_xll.BDP("34683JCE Muni","BB_COMPOSITE")</f>
        <v>#N/A Requesting Data...</v>
      </c>
      <c r="T229" t="str">
        <f>_xll.BDP("34683JCE Muni","LQA_LIQUIDITY_SCORE")</f>
        <v>#N/A Requesting Data...</v>
      </c>
    </row>
    <row r="230" spans="1:20" x14ac:dyDescent="0.25">
      <c r="A230" t="str">
        <f>_xll.BDP("34683LFE Muni","ID_CUSIP")</f>
        <v>#N/A Requesting Data...</v>
      </c>
      <c r="B230" t="s">
        <v>96</v>
      </c>
      <c r="C230" t="str">
        <f>_xll.BDP("34683LFE Muni","INSURANCE_STATUS")</f>
        <v>#N/A Requesting Data...</v>
      </c>
      <c r="D230" t="str">
        <f>_xll.BDP("34683LFE Muni","STATE_CODE")</f>
        <v>#N/A Requesting Data...</v>
      </c>
      <c r="E230" t="str">
        <f>_xll.BDP("34683LFE Muni","COUNTY_LOCATION_ISSUER")</f>
        <v>#N/A Requesting Data...</v>
      </c>
      <c r="F230" t="str">
        <f>_xll.BDP("34683LFE Muni","DUR_ADJ_MID")</f>
        <v>#N/A Requesting Data...</v>
      </c>
      <c r="G230" t="str">
        <f>_xll.BDP("34683LFE Muni","SPREAD_AT_ISSUANCE_TO_WORST")</f>
        <v>#N/A Requesting Data...</v>
      </c>
      <c r="H230" t="str">
        <f>_xll.BDP("34683LFE Muni","ISSUE_DT")</f>
        <v>#N/A Requesting Data...</v>
      </c>
      <c r="I230" t="str">
        <f>_xll.BDS("34683LFE Muni","MUNI_PURPOSE_SCHED", "aggregate=y")</f>
        <v>#N/A Requesting Data...</v>
      </c>
      <c r="J230" t="str">
        <f>_xll.BDP("34683LFE Muni","CPN")</f>
        <v>#N/A Requesting Data...</v>
      </c>
      <c r="K230" t="str">
        <f>_xll.BDP("34683LFE Muni","MATURITY")</f>
        <v>#N/A Requesting Data...</v>
      </c>
      <c r="L230">
        <v>430000</v>
      </c>
      <c r="M230" t="str">
        <f>_xll.BDP("34683LFE Muni","YIELD_ON_ISSUE_DATE")</f>
        <v>#N/A Requesting Data...</v>
      </c>
      <c r="N230" t="str">
        <f>_xll.BDP("34683LFE Muni","YTW_SPREAD_TO_MATURITY_AT_ISSU")</f>
        <v>#N/A Requesting Data...</v>
      </c>
      <c r="O230" t="str">
        <f>_xll.BDP("34683LFE Muni","BVAL_MID_YTM")</f>
        <v>#N/A Requesting Data...</v>
      </c>
      <c r="P230" t="str">
        <f>_xll.BDP("34683LFE Muni","MUNI_TAX_PROV")</f>
        <v>#N/A Requesting Data...</v>
      </c>
      <c r="Q230" t="str">
        <f>_xll.BDP("34683LFE Muni","MUNI_FED_TAX")</f>
        <v>#N/A Requesting Data...</v>
      </c>
      <c r="R230" t="str">
        <f>_xll.BDP("34683LFE Muni","MUNI_MSRB_VOLUME")</f>
        <v>#N/A Requesting Data...</v>
      </c>
      <c r="S230" t="str">
        <f>_xll.BDP("34683LFE Muni","BB_COMPOSITE")</f>
        <v>#N/A Requesting Data...</v>
      </c>
      <c r="T230" t="str">
        <f>_xll.BDP("34683LFE Muni","LQA_LIQUIDITY_SCORE")</f>
        <v>#N/A Requesting Data...</v>
      </c>
    </row>
    <row r="231" spans="1:20" x14ac:dyDescent="0.25">
      <c r="A231" t="str">
        <f>_xll.BDP("34683LFF Muni","ID_CUSIP")</f>
        <v>#N/A Requesting Data...</v>
      </c>
      <c r="B231" t="s">
        <v>96</v>
      </c>
      <c r="C231" t="str">
        <f>_xll.BDP("34683LFF Muni","INSURANCE_STATUS")</f>
        <v>#N/A Requesting Data...</v>
      </c>
      <c r="D231" t="str">
        <f>_xll.BDP("34683LFF Muni","STATE_CODE")</f>
        <v>#N/A Requesting Data...</v>
      </c>
      <c r="E231" t="str">
        <f>_xll.BDP("34683LFF Muni","COUNTY_LOCATION_ISSUER")</f>
        <v>#N/A Requesting Data...</v>
      </c>
      <c r="F231" t="str">
        <f>_xll.BDP("34683LFF Muni","DUR_ADJ_MID")</f>
        <v>#N/A Requesting Data...</v>
      </c>
      <c r="G231" t="str">
        <f>_xll.BDP("34683LFF Muni","SPREAD_AT_ISSUANCE_TO_WORST")</f>
        <v>#N/A Requesting Data...</v>
      </c>
      <c r="H231" t="str">
        <f>_xll.BDP("34683LFF Muni","ISSUE_DT")</f>
        <v>#N/A Requesting Data...</v>
      </c>
      <c r="I231" t="str">
        <f>_xll.BDS("34683LFF Muni","MUNI_PURPOSE_SCHED", "aggregate=y")</f>
        <v>#N/A Requesting Data...</v>
      </c>
      <c r="J231" t="str">
        <f>_xll.BDP("34683LFF Muni","CPN")</f>
        <v>#N/A Requesting Data...</v>
      </c>
      <c r="K231" t="str">
        <f>_xll.BDP("34683LFF Muni","MATURITY")</f>
        <v>#N/A Requesting Data...</v>
      </c>
      <c r="L231">
        <v>430000</v>
      </c>
      <c r="M231" t="str">
        <f>_xll.BDP("34683LFF Muni","YIELD_ON_ISSUE_DATE")</f>
        <v>#N/A Requesting Data...</v>
      </c>
      <c r="N231" t="str">
        <f>_xll.BDP("34683LFF Muni","YTW_SPREAD_TO_MATURITY_AT_ISSU")</f>
        <v>#N/A Requesting Data...</v>
      </c>
      <c r="O231" t="str">
        <f>_xll.BDP("34683LFF Muni","BVAL_MID_YTM")</f>
        <v>#N/A Requesting Data...</v>
      </c>
      <c r="P231" t="str">
        <f>_xll.BDP("34683LFF Muni","MUNI_TAX_PROV")</f>
        <v>#N/A Requesting Data...</v>
      </c>
      <c r="Q231" t="str">
        <f>_xll.BDP("34683LFF Muni","MUNI_FED_TAX")</f>
        <v>#N/A Requesting Data...</v>
      </c>
      <c r="R231" t="str">
        <f>_xll.BDP("34683LFF Muni","MUNI_MSRB_VOLUME")</f>
        <v>#N/A Requesting Data...</v>
      </c>
      <c r="S231" t="str">
        <f>_xll.BDP("34683LFF Muni","BB_COMPOSITE")</f>
        <v>#N/A Requesting Data...</v>
      </c>
      <c r="T231" t="str">
        <f>_xll.BDP("34683LFF Muni","LQA_LIQUIDITY_SCORE")</f>
        <v>#N/A Requesting Data...</v>
      </c>
    </row>
    <row r="232" spans="1:20" x14ac:dyDescent="0.25">
      <c r="A232" t="str">
        <f>_xll.BDP("34683YBE Muni","ID_CUSIP")</f>
        <v>#N/A Requesting Data...</v>
      </c>
      <c r="B232" t="s">
        <v>35</v>
      </c>
      <c r="C232" t="str">
        <f>_xll.BDP("34683YBE Muni","INSURANCE_STATUS")</f>
        <v>#N/A Requesting Data...</v>
      </c>
      <c r="D232" t="str">
        <f>_xll.BDP("34683YBE Muni","STATE_CODE")</f>
        <v>#N/A Requesting Data...</v>
      </c>
      <c r="E232" t="str">
        <f>_xll.BDP("34683YBE Muni","COUNTY_LOCATION_ISSUER")</f>
        <v>#N/A Requesting Data...</v>
      </c>
      <c r="F232" t="str">
        <f>_xll.BDP("34683YBE Muni","DUR_ADJ_MID")</f>
        <v>#N/A Requesting Data...</v>
      </c>
      <c r="G232" t="str">
        <f>_xll.BDP("34683YBE Muni","SPREAD_AT_ISSUANCE_TO_WORST")</f>
        <v>#N/A Requesting Data...</v>
      </c>
      <c r="H232" t="str">
        <f>_xll.BDP("34683YBE Muni","ISSUE_DT")</f>
        <v>#N/A Requesting Data...</v>
      </c>
      <c r="I232" t="str">
        <f>_xll.BDS("34683YBE Muni","MUNI_PURPOSE_SCHED", "aggregate=y")</f>
        <v>#N/A Requesting Data...</v>
      </c>
      <c r="J232" t="str">
        <f>_xll.BDP("34683YBE Muni","CPN")</f>
        <v>#N/A Requesting Data...</v>
      </c>
      <c r="K232" t="str">
        <f>_xll.BDP("34683YBE Muni","MATURITY")</f>
        <v>#N/A Requesting Data...</v>
      </c>
      <c r="L232">
        <v>100000</v>
      </c>
      <c r="M232" t="str">
        <f>_xll.BDP("34683YBE Muni","YIELD_ON_ISSUE_DATE")</f>
        <v>#N/A Requesting Data...</v>
      </c>
      <c r="N232" t="str">
        <f>_xll.BDP("34683YBE Muni","YTW_SPREAD_TO_MATURITY_AT_ISSU")</f>
        <v>#N/A Requesting Data...</v>
      </c>
      <c r="O232" t="str">
        <f>_xll.BDP("34683YBE Muni","BVAL_MID_YTM")</f>
        <v>#N/A Requesting Data...</v>
      </c>
      <c r="P232" t="str">
        <f>_xll.BDP("34683YBE Muni","MUNI_TAX_PROV")</f>
        <v>#N/A Requesting Data...</v>
      </c>
      <c r="Q232" t="str">
        <f>_xll.BDP("34683YBE Muni","MUNI_FED_TAX")</f>
        <v>#N/A Requesting Data...</v>
      </c>
      <c r="R232" t="str">
        <f>_xll.BDP("34683YBE Muni","MUNI_MSRB_VOLUME")</f>
        <v>#N/A Requesting Data...</v>
      </c>
      <c r="S232" t="str">
        <f>_xll.BDP("34683YBE Muni","BB_COMPOSITE")</f>
        <v>#N/A Requesting Data...</v>
      </c>
      <c r="T232" t="str">
        <f>_xll.BDP("34683YBE Muni","LQA_LIQUIDITY_SCORE")</f>
        <v>#N/A Requesting Data...</v>
      </c>
    </row>
    <row r="233" spans="1:20" x14ac:dyDescent="0.25">
      <c r="A233" t="str">
        <f>_xll.BDP("34684EAD Muni","ID_CUSIP")</f>
        <v>#N/A Requesting Data...</v>
      </c>
      <c r="B233" t="s">
        <v>36</v>
      </c>
      <c r="C233" t="str">
        <f>_xll.BDP("34684EAD Muni","INSURANCE_STATUS")</f>
        <v>#N/A Requesting Data...</v>
      </c>
      <c r="D233" t="str">
        <f>_xll.BDP("34684EAD Muni","STATE_CODE")</f>
        <v>#N/A Requesting Data...</v>
      </c>
      <c r="E233" t="str">
        <f>_xll.BDP("34684EAD Muni","COUNTY_LOCATION_ISSUER")</f>
        <v>#N/A Requesting Data...</v>
      </c>
      <c r="F233" t="str">
        <f>_xll.BDP("34684EAD Muni","DUR_ADJ_MID")</f>
        <v>#N/A Requesting Data...</v>
      </c>
      <c r="G233" t="str">
        <f>_xll.BDP("34684EAD Muni","SPREAD_AT_ISSUANCE_TO_WORST")</f>
        <v>#N/A Requesting Data...</v>
      </c>
      <c r="H233" t="str">
        <f>_xll.BDP("34684EAD Muni","ISSUE_DT")</f>
        <v>#N/A Requesting Data...</v>
      </c>
      <c r="I233" t="str">
        <f>_xll.BDS("34684EAD Muni","MUNI_PURPOSE_SCHED", "aggregate=y")</f>
        <v>#N/A Requesting Data...</v>
      </c>
      <c r="J233" t="str">
        <f>_xll.BDP("34684EAD Muni","CPN")</f>
        <v>#N/A Requesting Data...</v>
      </c>
      <c r="K233" t="str">
        <f>_xll.BDP("34684EAD Muni","MATURITY")</f>
        <v>#N/A Requesting Data...</v>
      </c>
      <c r="L233">
        <v>130000</v>
      </c>
      <c r="M233" t="str">
        <f>_xll.BDP("34684EAD Muni","YIELD_ON_ISSUE_DATE")</f>
        <v>#N/A Requesting Data...</v>
      </c>
      <c r="N233" t="str">
        <f>_xll.BDP("34684EAD Muni","YTW_SPREAD_TO_MATURITY_AT_ISSU")</f>
        <v>#N/A Requesting Data...</v>
      </c>
      <c r="O233" t="str">
        <f>_xll.BDP("34684EAD Muni","BVAL_MID_YTM")</f>
        <v>#N/A Requesting Data...</v>
      </c>
      <c r="P233" t="str">
        <f>_xll.BDP("34684EAD Muni","MUNI_TAX_PROV")</f>
        <v>#N/A Requesting Data...</v>
      </c>
      <c r="Q233" t="str">
        <f>_xll.BDP("34684EAD Muni","MUNI_FED_TAX")</f>
        <v>#N/A Requesting Data...</v>
      </c>
      <c r="R233" t="str">
        <f>_xll.BDP("34684EAD Muni","MUNI_MSRB_VOLUME")</f>
        <v>#N/A Requesting Data...</v>
      </c>
      <c r="S233" t="str">
        <f>_xll.BDP("34684EAD Muni","BB_COMPOSITE")</f>
        <v>#N/A Requesting Data...</v>
      </c>
      <c r="T233" t="str">
        <f>_xll.BDP("34684EAD Muni","LQA_LIQUIDITY_SCORE")</f>
        <v>#N/A Requesting Data...</v>
      </c>
    </row>
    <row r="234" spans="1:20" x14ac:dyDescent="0.25">
      <c r="A234" t="str">
        <f>_xll.BDP("346901YT Muni","ID_CUSIP")</f>
        <v>#N/A Requesting Data...</v>
      </c>
      <c r="B234" t="s">
        <v>37</v>
      </c>
      <c r="C234" t="str">
        <f>_xll.BDP("346901YT Muni","INSURANCE_STATUS")</f>
        <v>#N/A Requesting Data...</v>
      </c>
      <c r="D234" t="str">
        <f>_xll.BDP("346901YT Muni","STATE_CODE")</f>
        <v>#N/A Requesting Data...</v>
      </c>
      <c r="E234" t="str">
        <f>_xll.BDP("346901YT Muni","COUNTY_LOCATION_ISSUER")</f>
        <v>#N/A Requesting Data...</v>
      </c>
      <c r="F234" t="str">
        <f>_xll.BDP("346901YT Muni","DUR_ADJ_MID")</f>
        <v>#N/A Requesting Data...</v>
      </c>
      <c r="G234" t="str">
        <f>_xll.BDP("346901YT Muni","SPREAD_AT_ISSUANCE_TO_WORST")</f>
        <v>#N/A Requesting Data...</v>
      </c>
      <c r="H234" t="str">
        <f>_xll.BDP("346901YT Muni","ISSUE_DT")</f>
        <v>#N/A Requesting Data...</v>
      </c>
      <c r="I234" t="str">
        <f>_xll.BDS("346901YT Muni","MUNI_PURPOSE_SCHED", "aggregate=y")</f>
        <v>#N/A Requesting Data...</v>
      </c>
      <c r="J234" t="str">
        <f>_xll.BDP("346901YT Muni","CPN")</f>
        <v>#N/A Requesting Data...</v>
      </c>
      <c r="K234" t="str">
        <f>_xll.BDP("346901YT Muni","MATURITY")</f>
        <v>#N/A Requesting Data...</v>
      </c>
      <c r="L234">
        <v>225000</v>
      </c>
      <c r="M234" t="str">
        <f>_xll.BDP("346901YT Muni","YIELD_ON_ISSUE_DATE")</f>
        <v>#N/A Requesting Data...</v>
      </c>
      <c r="N234" t="str">
        <f>_xll.BDP("346901YT Muni","YTW_SPREAD_TO_MATURITY_AT_ISSU")</f>
        <v>#N/A Requesting Data...</v>
      </c>
      <c r="O234" t="str">
        <f>_xll.BDP("346901YT Muni","BVAL_MID_YTM")</f>
        <v>#N/A Requesting Data...</v>
      </c>
      <c r="P234" t="str">
        <f>_xll.BDP("346901YT Muni","MUNI_TAX_PROV")</f>
        <v>#N/A Requesting Data...</v>
      </c>
      <c r="Q234" t="str">
        <f>_xll.BDP("346901YT Muni","MUNI_FED_TAX")</f>
        <v>#N/A Requesting Data...</v>
      </c>
      <c r="R234" t="str">
        <f>_xll.BDP("346901YT Muni","MUNI_MSRB_VOLUME")</f>
        <v>#N/A Requesting Data...</v>
      </c>
      <c r="S234" t="str">
        <f>_xll.BDP("346901YT Muni","BB_COMPOSITE")</f>
        <v>#N/A Requesting Data...</v>
      </c>
      <c r="T234" t="str">
        <f>_xll.BDP("346901YT Muni","LQA_LIQUIDITY_SCORE")</f>
        <v>#N/A Requesting Data...</v>
      </c>
    </row>
    <row r="235" spans="1:20" x14ac:dyDescent="0.25">
      <c r="A235" t="str">
        <f>_xll.BDP("346901YV Muni","ID_CUSIP")</f>
        <v>#N/A Requesting Data...</v>
      </c>
      <c r="B235" t="s">
        <v>37</v>
      </c>
      <c r="C235" t="str">
        <f>_xll.BDP("346901YV Muni","INSURANCE_STATUS")</f>
        <v>#N/A Requesting Data...</v>
      </c>
      <c r="D235" t="str">
        <f>_xll.BDP("346901YV Muni","STATE_CODE")</f>
        <v>#N/A Requesting Data...</v>
      </c>
      <c r="E235" t="str">
        <f>_xll.BDP("346901YV Muni","COUNTY_LOCATION_ISSUER")</f>
        <v>#N/A Requesting Data...</v>
      </c>
      <c r="F235" t="str">
        <f>_xll.BDP("346901YV Muni","DUR_ADJ_MID")</f>
        <v>#N/A Requesting Data...</v>
      </c>
      <c r="G235" t="str">
        <f>_xll.BDP("346901YV Muni","SPREAD_AT_ISSUANCE_TO_WORST")</f>
        <v>#N/A Requesting Data...</v>
      </c>
      <c r="H235" t="str">
        <f>_xll.BDP("346901YV Muni","ISSUE_DT")</f>
        <v>#N/A Requesting Data...</v>
      </c>
      <c r="I235" t="str">
        <f>_xll.BDS("346901YV Muni","MUNI_PURPOSE_SCHED", "aggregate=y")</f>
        <v>#N/A Requesting Data...</v>
      </c>
      <c r="J235" t="str">
        <f>_xll.BDP("346901YV Muni","CPN")</f>
        <v>#N/A Requesting Data...</v>
      </c>
      <c r="K235" t="str">
        <f>_xll.BDP("346901YV Muni","MATURITY")</f>
        <v>#N/A Requesting Data...</v>
      </c>
      <c r="L235">
        <v>225000</v>
      </c>
      <c r="M235" t="str">
        <f>_xll.BDP("346901YV Muni","YIELD_ON_ISSUE_DATE")</f>
        <v>#N/A Requesting Data...</v>
      </c>
      <c r="N235" t="str">
        <f>_xll.BDP("346901YV Muni","YTW_SPREAD_TO_MATURITY_AT_ISSU")</f>
        <v>#N/A Requesting Data...</v>
      </c>
      <c r="O235" t="str">
        <f>_xll.BDP("346901YV Muni","BVAL_MID_YTM")</f>
        <v>#N/A Requesting Data...</v>
      </c>
      <c r="P235" t="str">
        <f>_xll.BDP("346901YV Muni","MUNI_TAX_PROV")</f>
        <v>#N/A Requesting Data...</v>
      </c>
      <c r="Q235" t="str">
        <f>_xll.BDP("346901YV Muni","MUNI_FED_TAX")</f>
        <v>#N/A Requesting Data...</v>
      </c>
      <c r="R235" t="str">
        <f>_xll.BDP("346901YV Muni","MUNI_MSRB_VOLUME")</f>
        <v>#N/A Requesting Data...</v>
      </c>
      <c r="S235" t="str">
        <f>_xll.BDP("346901YV Muni","BB_COMPOSITE")</f>
        <v>#N/A Requesting Data...</v>
      </c>
      <c r="T235" t="str">
        <f>_xll.BDP("346901YV Muni","LQA_LIQUIDITY_SCORE")</f>
        <v>#N/A Requesting Data...</v>
      </c>
    </row>
    <row r="236" spans="1:20" x14ac:dyDescent="0.25">
      <c r="A236" t="str">
        <f>_xll.BDP("346915FZ Muni","ID_CUSIP")</f>
        <v>#N/A Requesting Data...</v>
      </c>
      <c r="B236" t="s">
        <v>38</v>
      </c>
      <c r="C236" t="str">
        <f>_xll.BDP("346915FZ Muni","INSURANCE_STATUS")</f>
        <v>#N/A Requesting Data...</v>
      </c>
      <c r="D236" t="str">
        <f>_xll.BDP("346915FZ Muni","STATE_CODE")</f>
        <v>#N/A Requesting Data...</v>
      </c>
      <c r="E236" t="str">
        <f>_xll.BDP("346915FZ Muni","COUNTY_LOCATION_ISSUER")</f>
        <v>#N/A Requesting Data...</v>
      </c>
      <c r="F236" t="str">
        <f>_xll.BDP("346915FZ Muni","DUR_ADJ_MID")</f>
        <v>#N/A Requesting Data...</v>
      </c>
      <c r="G236" t="str">
        <f>_xll.BDP("346915FZ Muni","SPREAD_AT_ISSUANCE_TO_WORST")</f>
        <v>#N/A Requesting Data...</v>
      </c>
      <c r="H236" t="str">
        <f>_xll.BDP("346915FZ Muni","ISSUE_DT")</f>
        <v>#N/A Requesting Data...</v>
      </c>
      <c r="I236" t="str">
        <f>_xll.BDS("346915FZ Muni","MUNI_PURPOSE_SCHED", "aggregate=y")</f>
        <v>#N/A Requesting Data...</v>
      </c>
      <c r="J236" t="str">
        <f>_xll.BDP("346915FZ Muni","CPN")</f>
        <v>#N/A Requesting Data...</v>
      </c>
      <c r="K236" t="str">
        <f>_xll.BDP("346915FZ Muni","MATURITY")</f>
        <v>#N/A Requesting Data...</v>
      </c>
      <c r="L236">
        <v>110000</v>
      </c>
      <c r="M236" t="str">
        <f>_xll.BDP("346915FZ Muni","YIELD_ON_ISSUE_DATE")</f>
        <v>#N/A Requesting Data...</v>
      </c>
      <c r="N236" t="str">
        <f>_xll.BDP("346915FZ Muni","YTW_SPREAD_TO_MATURITY_AT_ISSU")</f>
        <v>#N/A Requesting Data...</v>
      </c>
      <c r="O236" t="str">
        <f>_xll.BDP("346915FZ Muni","BVAL_MID_YTM")</f>
        <v>#N/A Requesting Data...</v>
      </c>
      <c r="P236" t="str">
        <f>_xll.BDP("346915FZ Muni","MUNI_TAX_PROV")</f>
        <v>#N/A Requesting Data...</v>
      </c>
      <c r="Q236" t="str">
        <f>_xll.BDP("346915FZ Muni","MUNI_FED_TAX")</f>
        <v>#N/A Requesting Data...</v>
      </c>
      <c r="R236" t="str">
        <f>_xll.BDP("346915FZ Muni","MUNI_MSRB_VOLUME")</f>
        <v>#N/A Requesting Data...</v>
      </c>
      <c r="S236" t="str">
        <f>_xll.BDP("346915FZ Muni","BB_COMPOSITE")</f>
        <v>#N/A Requesting Data...</v>
      </c>
      <c r="T236" t="str">
        <f>_xll.BDP("346915FZ Muni","LQA_LIQUIDITY_SCORE")</f>
        <v>#N/A Requesting Data...</v>
      </c>
    </row>
    <row r="237" spans="1:20" x14ac:dyDescent="0.25">
      <c r="A237" t="str">
        <f>_xll.BDP("347226VD Muni","ID_CUSIP")</f>
        <v>#N/A Requesting Data...</v>
      </c>
      <c r="B237" t="s">
        <v>39</v>
      </c>
      <c r="C237" t="str">
        <f>_xll.BDP("347226VD Muni","INSURANCE_STATUS")</f>
        <v>#N/A Requesting Data...</v>
      </c>
      <c r="D237" t="str">
        <f>_xll.BDP("347226VD Muni","STATE_CODE")</f>
        <v>#N/A Requesting Data...</v>
      </c>
      <c r="E237" t="str">
        <f>_xll.BDP("347226VD Muni","COUNTY_LOCATION_ISSUER")</f>
        <v>#N/A Requesting Data...</v>
      </c>
      <c r="F237" t="str">
        <f>_xll.BDP("347226VD Muni","DUR_ADJ_MID")</f>
        <v>#N/A Requesting Data...</v>
      </c>
      <c r="G237" t="str">
        <f>_xll.BDP("347226VD Muni","SPREAD_AT_ISSUANCE_TO_WORST")</f>
        <v>#N/A Requesting Data...</v>
      </c>
      <c r="H237" t="str">
        <f>_xll.BDP("347226VD Muni","ISSUE_DT")</f>
        <v>#N/A Requesting Data...</v>
      </c>
      <c r="I237" t="str">
        <f>_xll.BDS("347226VD Muni","MUNI_PURPOSE_SCHED", "aggregate=y")</f>
        <v>#N/A Requesting Data...</v>
      </c>
      <c r="J237" t="str">
        <f>_xll.BDP("347226VD Muni","CPN")</f>
        <v>#N/A Requesting Data...</v>
      </c>
      <c r="K237" t="str">
        <f>_xll.BDP("347226VD Muni","MATURITY")</f>
        <v>#N/A Requesting Data...</v>
      </c>
      <c r="L237">
        <v>515000</v>
      </c>
      <c r="M237" t="str">
        <f>_xll.BDP("347226VD Muni","YIELD_ON_ISSUE_DATE")</f>
        <v>#N/A Requesting Data...</v>
      </c>
      <c r="N237" t="str">
        <f>_xll.BDP("347226VD Muni","YTW_SPREAD_TO_MATURITY_AT_ISSU")</f>
        <v>#N/A Requesting Data...</v>
      </c>
      <c r="O237" t="str">
        <f>_xll.BDP("347226VD Muni","BVAL_MID_YTM")</f>
        <v>#N/A Requesting Data...</v>
      </c>
      <c r="P237" t="str">
        <f>_xll.BDP("347226VD Muni","MUNI_TAX_PROV")</f>
        <v>#N/A Requesting Data...</v>
      </c>
      <c r="Q237" t="str">
        <f>_xll.BDP("347226VD Muni","MUNI_FED_TAX")</f>
        <v>#N/A Requesting Data...</v>
      </c>
      <c r="R237" t="str">
        <f>_xll.BDP("347226VD Muni","MUNI_MSRB_VOLUME")</f>
        <v>#N/A Requesting Data...</v>
      </c>
      <c r="S237" t="str">
        <f>_xll.BDP("347226VD Muni","BB_COMPOSITE")</f>
        <v>#N/A Requesting Data...</v>
      </c>
      <c r="T237" t="str">
        <f>_xll.BDP("347226VD Muni","LQA_LIQUIDITY_SCORE")</f>
        <v>#N/A Requesting Data...</v>
      </c>
    </row>
    <row r="238" spans="1:20" x14ac:dyDescent="0.25">
      <c r="A238" t="str">
        <f>_xll.BDP("150411T7 Muni","ID_CUSIP")</f>
        <v>#N/A Requesting Data...</v>
      </c>
      <c r="B238" t="s">
        <v>40</v>
      </c>
      <c r="C238" t="str">
        <f>_xll.BDP("150411T7 Muni","INSURANCE_STATUS")</f>
        <v>#N/A Requesting Data...</v>
      </c>
      <c r="D238" t="str">
        <f>_xll.BDP("150411T7 Muni","STATE_CODE")</f>
        <v>#N/A Requesting Data...</v>
      </c>
      <c r="E238" t="str">
        <f>_xll.BDP("150411T7 Muni","COUNTY_LOCATION_ISSUER")</f>
        <v>#N/A Requesting Data...</v>
      </c>
      <c r="F238" t="str">
        <f>_xll.BDP("150411T7 Muni","DUR_ADJ_MID")</f>
        <v>#N/A Requesting Data...</v>
      </c>
      <c r="G238" t="str">
        <f>_xll.BDP("150411T7 Muni","SPREAD_AT_ISSUANCE_TO_WORST")</f>
        <v>#N/A Requesting Data...</v>
      </c>
      <c r="H238" t="str">
        <f>_xll.BDP("150411T7 Muni","ISSUE_DT")</f>
        <v>#N/A Requesting Data...</v>
      </c>
      <c r="I238" t="str">
        <f>_xll.BDS("150411T7 Muni","MUNI_PURPOSE_SCHED", "aggregate=y")</f>
        <v>#N/A Requesting Data...</v>
      </c>
      <c r="J238" t="str">
        <f>_xll.BDP("150411T7 Muni","CPN")</f>
        <v>#N/A Requesting Data...</v>
      </c>
      <c r="K238" t="str">
        <f>_xll.BDP("150411T7 Muni","MATURITY")</f>
        <v>#N/A Requesting Data...</v>
      </c>
      <c r="L238">
        <v>230000</v>
      </c>
      <c r="M238" t="str">
        <f>_xll.BDP("150411T7 Muni","YIELD_ON_ISSUE_DATE")</f>
        <v>#N/A Requesting Data...</v>
      </c>
      <c r="N238" t="str">
        <f>_xll.BDP("150411T7 Muni","YTW_SPREAD_TO_MATURITY_AT_ISSU")</f>
        <v>#N/A Requesting Data...</v>
      </c>
      <c r="O238" t="str">
        <f>_xll.BDP("150411T7 Muni","BVAL_MID_YTM")</f>
        <v>#N/A Requesting Data...</v>
      </c>
      <c r="P238" t="str">
        <f>_xll.BDP("150411T7 Muni","MUNI_TAX_PROV")</f>
        <v>#N/A Requesting Data...</v>
      </c>
      <c r="Q238" t="str">
        <f>_xll.BDP("150411T7 Muni","MUNI_FED_TAX")</f>
        <v>#N/A Requesting Data...</v>
      </c>
      <c r="R238" t="str">
        <f>_xll.BDP("150411T7 Muni","MUNI_MSRB_VOLUME")</f>
        <v>#N/A Requesting Data...</v>
      </c>
      <c r="S238" t="str">
        <f>_xll.BDP("150411T7 Muni","BB_COMPOSITE")</f>
        <v>#N/A Requesting Data...</v>
      </c>
      <c r="T238" t="str">
        <f>_xll.BDP("150411T7 Muni","LQA_LIQUIDITY_SCORE")</f>
        <v>#N/A Requesting Data...</v>
      </c>
    </row>
    <row r="239" spans="1:20" x14ac:dyDescent="0.25">
      <c r="A239" t="str">
        <f>_xll.BDP("150411T9 Muni","ID_CUSIP")</f>
        <v>#N/A Requesting Data...</v>
      </c>
      <c r="B239" t="s">
        <v>40</v>
      </c>
      <c r="C239" t="str">
        <f>_xll.BDP("150411T9 Muni","INSURANCE_STATUS")</f>
        <v>#N/A Requesting Data...</v>
      </c>
      <c r="D239" t="str">
        <f>_xll.BDP("150411T9 Muni","STATE_CODE")</f>
        <v>#N/A Requesting Data...</v>
      </c>
      <c r="E239" t="str">
        <f>_xll.BDP("150411T9 Muni","COUNTY_LOCATION_ISSUER")</f>
        <v>#N/A Requesting Data...</v>
      </c>
      <c r="F239" t="str">
        <f>_xll.BDP("150411T9 Muni","DUR_ADJ_MID")</f>
        <v>#N/A Requesting Data...</v>
      </c>
      <c r="G239" t="str">
        <f>_xll.BDP("150411T9 Muni","SPREAD_AT_ISSUANCE_TO_WORST")</f>
        <v>#N/A Requesting Data...</v>
      </c>
      <c r="H239" t="str">
        <f>_xll.BDP("150411T9 Muni","ISSUE_DT")</f>
        <v>#N/A Requesting Data...</v>
      </c>
      <c r="I239" t="str">
        <f>_xll.BDS("150411T9 Muni","MUNI_PURPOSE_SCHED", "aggregate=y")</f>
        <v>#N/A Requesting Data...</v>
      </c>
      <c r="J239" t="str">
        <f>_xll.BDP("150411T9 Muni","CPN")</f>
        <v>#N/A Requesting Data...</v>
      </c>
      <c r="K239" t="str">
        <f>_xll.BDP("150411T9 Muni","MATURITY")</f>
        <v>#N/A Requesting Data...</v>
      </c>
      <c r="L239">
        <v>255000</v>
      </c>
      <c r="M239" t="str">
        <f>_xll.BDP("150411T9 Muni","YIELD_ON_ISSUE_DATE")</f>
        <v>#N/A Requesting Data...</v>
      </c>
      <c r="N239" t="str">
        <f>_xll.BDP("150411T9 Muni","YTW_SPREAD_TO_MATURITY_AT_ISSU")</f>
        <v>#N/A Requesting Data...</v>
      </c>
      <c r="O239" t="str">
        <f>_xll.BDP("150411T9 Muni","BVAL_MID_YTM")</f>
        <v>#N/A Requesting Data...</v>
      </c>
      <c r="P239" t="str">
        <f>_xll.BDP("150411T9 Muni","MUNI_TAX_PROV")</f>
        <v>#N/A Requesting Data...</v>
      </c>
      <c r="Q239" t="str">
        <f>_xll.BDP("150411T9 Muni","MUNI_FED_TAX")</f>
        <v>#N/A Requesting Data...</v>
      </c>
      <c r="R239" t="str">
        <f>_xll.BDP("150411T9 Muni","MUNI_MSRB_VOLUME")</f>
        <v>#N/A Requesting Data...</v>
      </c>
      <c r="S239" t="str">
        <f>_xll.BDP("150411T9 Muni","BB_COMPOSITE")</f>
        <v>#N/A Requesting Data...</v>
      </c>
      <c r="T239" t="str">
        <f>_xll.BDP("150411T9 Muni","LQA_LIQUIDITY_SCORE")</f>
        <v>#N/A Requesting Data...</v>
      </c>
    </row>
    <row r="240" spans="1:20" x14ac:dyDescent="0.25">
      <c r="A240" t="str">
        <f>_xll.BDP("299191FD Muni","ID_CUSIP")</f>
        <v>#N/A Requesting Data...</v>
      </c>
      <c r="B240" t="s">
        <v>97</v>
      </c>
      <c r="C240" t="str">
        <f>_xll.BDP("299191FD Muni","INSURANCE_STATUS")</f>
        <v>#N/A Requesting Data...</v>
      </c>
      <c r="D240" t="str">
        <f>_xll.BDP("299191FD Muni","STATE_CODE")</f>
        <v>#N/A Requesting Data...</v>
      </c>
      <c r="E240" t="str">
        <f>_xll.BDP("299191FD Muni","COUNTY_LOCATION_ISSUER")</f>
        <v>#N/A Requesting Data...</v>
      </c>
      <c r="F240" t="str">
        <f>_xll.BDP("299191FD Muni","DUR_ADJ_MID")</f>
        <v>#N/A Requesting Data...</v>
      </c>
      <c r="G240" t="str">
        <f>_xll.BDP("299191FD Muni","SPREAD_AT_ISSUANCE_TO_WORST")</f>
        <v>#N/A Requesting Data...</v>
      </c>
      <c r="H240" t="str">
        <f>_xll.BDP("299191FD Muni","ISSUE_DT")</f>
        <v>#N/A Requesting Data...</v>
      </c>
      <c r="I240" t="str">
        <f>_xll.BDS("299191FD Muni","MUNI_PURPOSE_SCHED", "aggregate=y")</f>
        <v>#N/A Requesting Data...</v>
      </c>
      <c r="J240" t="str">
        <f>_xll.BDP("299191FD Muni","CPN")</f>
        <v>#N/A Requesting Data...</v>
      </c>
      <c r="K240" t="str">
        <f>_xll.BDP("299191FD Muni","MATURITY")</f>
        <v>#N/A Requesting Data...</v>
      </c>
      <c r="L240">
        <v>505000</v>
      </c>
      <c r="M240" t="str">
        <f>_xll.BDP("299191FD Muni","YIELD_ON_ISSUE_DATE")</f>
        <v>#N/A Requesting Data...</v>
      </c>
      <c r="N240" t="str">
        <f>_xll.BDP("299191FD Muni","YTW_SPREAD_TO_MATURITY_AT_ISSU")</f>
        <v>#N/A Requesting Data...</v>
      </c>
      <c r="O240" t="str">
        <f>_xll.BDP("299191FD Muni","BVAL_MID_YTM")</f>
        <v>#N/A Requesting Data...</v>
      </c>
      <c r="P240" t="str">
        <f>_xll.BDP("299191FD Muni","MUNI_TAX_PROV")</f>
        <v>#N/A Requesting Data...</v>
      </c>
      <c r="Q240" t="str">
        <f>_xll.BDP("299191FD Muni","MUNI_FED_TAX")</f>
        <v>#N/A Requesting Data...</v>
      </c>
      <c r="R240" t="str">
        <f>_xll.BDP("299191FD Muni","MUNI_MSRB_VOLUME")</f>
        <v>#N/A Requesting Data...</v>
      </c>
      <c r="S240" t="str">
        <f>_xll.BDP("299191FD Muni","BB_COMPOSITE")</f>
        <v>#N/A Requesting Data...</v>
      </c>
      <c r="T240" t="str">
        <f>_xll.BDP("299191FD Muni","LQA_LIQUIDITY_SCORE")</f>
        <v>#N/A Requesting Data...</v>
      </c>
    </row>
    <row r="241" spans="1:20" x14ac:dyDescent="0.25">
      <c r="A241" t="str">
        <f>_xll.BDP("299191FE Muni","ID_CUSIP")</f>
        <v>#N/A Requesting Data...</v>
      </c>
      <c r="B241" t="s">
        <v>97</v>
      </c>
      <c r="C241" t="str">
        <f>_xll.BDP("299191FE Muni","INSURANCE_STATUS")</f>
        <v>#N/A Requesting Data...</v>
      </c>
      <c r="D241" t="str">
        <f>_xll.BDP("299191FE Muni","STATE_CODE")</f>
        <v>#N/A Requesting Data...</v>
      </c>
      <c r="E241" t="str">
        <f>_xll.BDP("299191FE Muni","COUNTY_LOCATION_ISSUER")</f>
        <v>#N/A Requesting Data...</v>
      </c>
      <c r="F241" t="str">
        <f>_xll.BDP("299191FE Muni","DUR_ADJ_MID")</f>
        <v>#N/A Requesting Data...</v>
      </c>
      <c r="G241" t="str">
        <f>_xll.BDP("299191FE Muni","SPREAD_AT_ISSUANCE_TO_WORST")</f>
        <v>#N/A Requesting Data...</v>
      </c>
      <c r="H241" t="str">
        <f>_xll.BDP("299191FE Muni","ISSUE_DT")</f>
        <v>#N/A Requesting Data...</v>
      </c>
      <c r="I241" t="str">
        <f>_xll.BDS("299191FE Muni","MUNI_PURPOSE_SCHED", "aggregate=y")</f>
        <v>#N/A Requesting Data...</v>
      </c>
      <c r="J241" t="str">
        <f>_xll.BDP("299191FE Muni","CPN")</f>
        <v>#N/A Requesting Data...</v>
      </c>
      <c r="K241" t="str">
        <f>_xll.BDP("299191FE Muni","MATURITY")</f>
        <v>#N/A Requesting Data...</v>
      </c>
      <c r="L241">
        <v>515000</v>
      </c>
      <c r="M241" t="str">
        <f>_xll.BDP("299191FE Muni","YIELD_ON_ISSUE_DATE")</f>
        <v>#N/A Requesting Data...</v>
      </c>
      <c r="N241" t="str">
        <f>_xll.BDP("299191FE Muni","YTW_SPREAD_TO_MATURITY_AT_ISSU")</f>
        <v>#N/A Requesting Data...</v>
      </c>
      <c r="O241" t="str">
        <f>_xll.BDP("299191FE Muni","BVAL_MID_YTM")</f>
        <v>#N/A Requesting Data...</v>
      </c>
      <c r="P241" t="str">
        <f>_xll.BDP("299191FE Muni","MUNI_TAX_PROV")</f>
        <v>#N/A Requesting Data...</v>
      </c>
      <c r="Q241" t="str">
        <f>_xll.BDP("299191FE Muni","MUNI_FED_TAX")</f>
        <v>#N/A Requesting Data...</v>
      </c>
      <c r="R241" t="str">
        <f>_xll.BDP("299191FE Muni","MUNI_MSRB_VOLUME")</f>
        <v>#N/A Requesting Data...</v>
      </c>
      <c r="S241" t="str">
        <f>_xll.BDP("299191FE Muni","BB_COMPOSITE")</f>
        <v>#N/A Requesting Data...</v>
      </c>
      <c r="T241" t="str">
        <f>_xll.BDP("299191FE Muni","LQA_LIQUIDITY_SCORE")</f>
        <v>#N/A Requesting Data...</v>
      </c>
    </row>
    <row r="242" spans="1:20" x14ac:dyDescent="0.25">
      <c r="A242" t="str">
        <f>_xll.BDP("299191FF Muni","ID_CUSIP")</f>
        <v>#N/A Requesting Data...</v>
      </c>
      <c r="B242" t="s">
        <v>97</v>
      </c>
      <c r="C242" t="str">
        <f>_xll.BDP("299191FF Muni","INSURANCE_STATUS")</f>
        <v>#N/A Requesting Data...</v>
      </c>
      <c r="D242" t="str">
        <f>_xll.BDP("299191FF Muni","STATE_CODE")</f>
        <v>#N/A Requesting Data...</v>
      </c>
      <c r="E242" t="str">
        <f>_xll.BDP("299191FF Muni","COUNTY_LOCATION_ISSUER")</f>
        <v>#N/A Requesting Data...</v>
      </c>
      <c r="F242" t="str">
        <f>_xll.BDP("299191FF Muni","DUR_ADJ_MID")</f>
        <v>#N/A Requesting Data...</v>
      </c>
      <c r="G242" t="str">
        <f>_xll.BDP("299191FF Muni","SPREAD_AT_ISSUANCE_TO_WORST")</f>
        <v>#N/A Requesting Data...</v>
      </c>
      <c r="H242" t="str">
        <f>_xll.BDP("299191FF Muni","ISSUE_DT")</f>
        <v>#N/A Requesting Data...</v>
      </c>
      <c r="I242" t="str">
        <f>_xll.BDS("299191FF Muni","MUNI_PURPOSE_SCHED", "aggregate=y")</f>
        <v>#N/A Requesting Data...</v>
      </c>
      <c r="J242" t="str">
        <f>_xll.BDP("299191FF Muni","CPN")</f>
        <v>#N/A Requesting Data...</v>
      </c>
      <c r="K242" t="str">
        <f>_xll.BDP("299191FF Muni","MATURITY")</f>
        <v>#N/A Requesting Data...</v>
      </c>
      <c r="L242">
        <v>530000</v>
      </c>
      <c r="M242" t="str">
        <f>_xll.BDP("299191FF Muni","YIELD_ON_ISSUE_DATE")</f>
        <v>#N/A Requesting Data...</v>
      </c>
      <c r="N242" t="str">
        <f>_xll.BDP("299191FF Muni","YTW_SPREAD_TO_MATURITY_AT_ISSU")</f>
        <v>#N/A Requesting Data...</v>
      </c>
      <c r="O242" t="str">
        <f>_xll.BDP("299191FF Muni","BVAL_MID_YTM")</f>
        <v>#N/A Requesting Data...</v>
      </c>
      <c r="P242" t="str">
        <f>_xll.BDP("299191FF Muni","MUNI_TAX_PROV")</f>
        <v>#N/A Requesting Data...</v>
      </c>
      <c r="Q242" t="str">
        <f>_xll.BDP("299191FF Muni","MUNI_FED_TAX")</f>
        <v>#N/A Requesting Data...</v>
      </c>
      <c r="R242" t="str">
        <f>_xll.BDP("299191FF Muni","MUNI_MSRB_VOLUME")</f>
        <v>#N/A Requesting Data...</v>
      </c>
      <c r="S242" t="str">
        <f>_xll.BDP("299191FF Muni","BB_COMPOSITE")</f>
        <v>#N/A Requesting Data...</v>
      </c>
      <c r="T242" t="str">
        <f>_xll.BDP("299191FF Muni","LQA_LIQUIDITY_SCORE")</f>
        <v>#N/A Requesting Data...</v>
      </c>
    </row>
    <row r="243" spans="1:20" x14ac:dyDescent="0.25">
      <c r="A243" t="str">
        <f>_xll.BDP("299191FG Muni","ID_CUSIP")</f>
        <v>#N/A Requesting Data...</v>
      </c>
      <c r="B243" t="s">
        <v>97</v>
      </c>
      <c r="C243" t="str">
        <f>_xll.BDP("299191FG Muni","INSURANCE_STATUS")</f>
        <v>#N/A Requesting Data...</v>
      </c>
      <c r="D243" t="str">
        <f>_xll.BDP("299191FG Muni","STATE_CODE")</f>
        <v>#N/A Requesting Data...</v>
      </c>
      <c r="E243" t="str">
        <f>_xll.BDP("299191FG Muni","COUNTY_LOCATION_ISSUER")</f>
        <v>#N/A Requesting Data...</v>
      </c>
      <c r="F243" t="str">
        <f>_xll.BDP("299191FG Muni","DUR_ADJ_MID")</f>
        <v>#N/A Requesting Data...</v>
      </c>
      <c r="G243" t="str">
        <f>_xll.BDP("299191FG Muni","SPREAD_AT_ISSUANCE_TO_WORST")</f>
        <v>#N/A Requesting Data...</v>
      </c>
      <c r="H243" t="str">
        <f>_xll.BDP("299191FG Muni","ISSUE_DT")</f>
        <v>#N/A Requesting Data...</v>
      </c>
      <c r="I243" t="str">
        <f>_xll.BDS("299191FG Muni","MUNI_PURPOSE_SCHED", "aggregate=y")</f>
        <v>#N/A Requesting Data...</v>
      </c>
      <c r="J243" t="str">
        <f>_xll.BDP("299191FG Muni","CPN")</f>
        <v>#N/A Requesting Data...</v>
      </c>
      <c r="K243" t="str">
        <f>_xll.BDP("299191FG Muni","MATURITY")</f>
        <v>#N/A Requesting Data...</v>
      </c>
      <c r="L243">
        <v>535000</v>
      </c>
      <c r="M243" t="str">
        <f>_xll.BDP("299191FG Muni","YIELD_ON_ISSUE_DATE")</f>
        <v>#N/A Requesting Data...</v>
      </c>
      <c r="N243" t="str">
        <f>_xll.BDP("299191FG Muni","YTW_SPREAD_TO_MATURITY_AT_ISSU")</f>
        <v>#N/A Requesting Data...</v>
      </c>
      <c r="O243" t="str">
        <f>_xll.BDP("299191FG Muni","BVAL_MID_YTM")</f>
        <v>#N/A Requesting Data...</v>
      </c>
      <c r="P243" t="str">
        <f>_xll.BDP("299191FG Muni","MUNI_TAX_PROV")</f>
        <v>#N/A Requesting Data...</v>
      </c>
      <c r="Q243" t="str">
        <f>_xll.BDP("299191FG Muni","MUNI_FED_TAX")</f>
        <v>#N/A Requesting Data...</v>
      </c>
      <c r="R243" t="str">
        <f>_xll.BDP("299191FG Muni","MUNI_MSRB_VOLUME")</f>
        <v>#N/A Requesting Data...</v>
      </c>
      <c r="S243" t="str">
        <f>_xll.BDP("299191FG Muni","BB_COMPOSITE")</f>
        <v>#N/A Requesting Data...</v>
      </c>
      <c r="T243" t="str">
        <f>_xll.BDP("299191FG Muni","LQA_LIQUIDITY_SCORE")</f>
        <v>#N/A Requesting Data...</v>
      </c>
    </row>
    <row r="244" spans="1:20" x14ac:dyDescent="0.25">
      <c r="A244" t="str">
        <f>_xll.BDP("358595GP Muni","ID_CUSIP")</f>
        <v>#N/A Requesting Data...</v>
      </c>
      <c r="B244" t="s">
        <v>98</v>
      </c>
      <c r="C244" t="str">
        <f>_xll.BDP("358595GP Muni","INSURANCE_STATUS")</f>
        <v>#N/A Requesting Data...</v>
      </c>
      <c r="D244" t="str">
        <f>_xll.BDP("358595GP Muni","STATE_CODE")</f>
        <v>#N/A Requesting Data...</v>
      </c>
      <c r="E244" t="str">
        <f>_xll.BDP("358595GP Muni","COUNTY_LOCATION_ISSUER")</f>
        <v>#N/A Requesting Data...</v>
      </c>
      <c r="F244" t="str">
        <f>_xll.BDP("358595GP Muni","DUR_ADJ_MID")</f>
        <v>#N/A Requesting Data...</v>
      </c>
      <c r="G244" t="str">
        <f>_xll.BDP("358595GP Muni","SPREAD_AT_ISSUANCE_TO_WORST")</f>
        <v>#N/A Requesting Data...</v>
      </c>
      <c r="H244" t="str">
        <f>_xll.BDP("358595GP Muni","ISSUE_DT")</f>
        <v>#N/A Requesting Data...</v>
      </c>
      <c r="I244" t="str">
        <f>_xll.BDS("358595GP Muni","MUNI_PURPOSE_SCHED", "aggregate=y")</f>
        <v>#N/A Requesting Data...</v>
      </c>
      <c r="J244" t="str">
        <f>_xll.BDP("358595GP Muni","CPN")</f>
        <v>#N/A Requesting Data...</v>
      </c>
      <c r="K244" t="str">
        <f>_xll.BDP("358595GP Muni","MATURITY")</f>
        <v>#N/A Requesting Data...</v>
      </c>
      <c r="L244">
        <v>815000</v>
      </c>
      <c r="M244" t="str">
        <f>_xll.BDP("358595GP Muni","YIELD_ON_ISSUE_DATE")</f>
        <v>#N/A Requesting Data...</v>
      </c>
      <c r="N244" t="str">
        <f>_xll.BDP("358595GP Muni","YTW_SPREAD_TO_MATURITY_AT_ISSU")</f>
        <v>#N/A Requesting Data...</v>
      </c>
      <c r="O244" t="str">
        <f>_xll.BDP("358595GP Muni","BVAL_MID_YTM")</f>
        <v>#N/A Requesting Data...</v>
      </c>
      <c r="P244" t="str">
        <f>_xll.BDP("358595GP Muni","MUNI_TAX_PROV")</f>
        <v>#N/A Requesting Data...</v>
      </c>
      <c r="Q244" t="str">
        <f>_xll.BDP("358595GP Muni","MUNI_FED_TAX")</f>
        <v>#N/A Requesting Data...</v>
      </c>
      <c r="R244" t="str">
        <f>_xll.BDP("358595GP Muni","MUNI_MSRB_VOLUME")</f>
        <v>#N/A Requesting Data...</v>
      </c>
      <c r="S244" t="str">
        <f>_xll.BDP("358595GP Muni","BB_COMPOSITE")</f>
        <v>#N/A Requesting Data...</v>
      </c>
      <c r="T244" t="str">
        <f>_xll.BDP("358595GP Muni","LQA_LIQUIDITY_SCORE")</f>
        <v>#N/A Requesting Data...</v>
      </c>
    </row>
    <row r="245" spans="1:20" x14ac:dyDescent="0.25">
      <c r="A245" t="str">
        <f>_xll.BDP("358595GQ Muni","ID_CUSIP")</f>
        <v>#N/A Requesting Data...</v>
      </c>
      <c r="B245" t="s">
        <v>98</v>
      </c>
      <c r="C245" t="str">
        <f>_xll.BDP("358595GQ Muni","INSURANCE_STATUS")</f>
        <v>#N/A Requesting Data...</v>
      </c>
      <c r="D245" t="str">
        <f>_xll.BDP("358595GQ Muni","STATE_CODE")</f>
        <v>#N/A Requesting Data...</v>
      </c>
      <c r="E245" t="str">
        <f>_xll.BDP("358595GQ Muni","COUNTY_LOCATION_ISSUER")</f>
        <v>#N/A Requesting Data...</v>
      </c>
      <c r="F245" t="str">
        <f>_xll.BDP("358595GQ Muni","DUR_ADJ_MID")</f>
        <v>#N/A Requesting Data...</v>
      </c>
      <c r="G245" t="str">
        <f>_xll.BDP("358595GQ Muni","SPREAD_AT_ISSUANCE_TO_WORST")</f>
        <v>#N/A Requesting Data...</v>
      </c>
      <c r="H245" t="str">
        <f>_xll.BDP("358595GQ Muni","ISSUE_DT")</f>
        <v>#N/A Requesting Data...</v>
      </c>
      <c r="I245" t="str">
        <f>_xll.BDS("358595GQ Muni","MUNI_PURPOSE_SCHED", "aggregate=y")</f>
        <v>#N/A Requesting Data...</v>
      </c>
      <c r="J245" t="str">
        <f>_xll.BDP("358595GQ Muni","CPN")</f>
        <v>#N/A Requesting Data...</v>
      </c>
      <c r="K245" t="str">
        <f>_xll.BDP("358595GQ Muni","MATURITY")</f>
        <v>#N/A Requesting Data...</v>
      </c>
      <c r="L245">
        <v>855000</v>
      </c>
      <c r="M245" t="str">
        <f>_xll.BDP("358595GQ Muni","YIELD_ON_ISSUE_DATE")</f>
        <v>#N/A Requesting Data...</v>
      </c>
      <c r="N245" t="str">
        <f>_xll.BDP("358595GQ Muni","YTW_SPREAD_TO_MATURITY_AT_ISSU")</f>
        <v>#N/A Requesting Data...</v>
      </c>
      <c r="O245" t="str">
        <f>_xll.BDP("358595GQ Muni","BVAL_MID_YTM")</f>
        <v>#N/A Requesting Data...</v>
      </c>
      <c r="P245" t="str">
        <f>_xll.BDP("358595GQ Muni","MUNI_TAX_PROV")</f>
        <v>#N/A Requesting Data...</v>
      </c>
      <c r="Q245" t="str">
        <f>_xll.BDP("358595GQ Muni","MUNI_FED_TAX")</f>
        <v>#N/A Requesting Data...</v>
      </c>
      <c r="R245" t="str">
        <f>_xll.BDP("358595GQ Muni","MUNI_MSRB_VOLUME")</f>
        <v>#N/A Requesting Data...</v>
      </c>
      <c r="S245" t="str">
        <f>_xll.BDP("358595GQ Muni","BB_COMPOSITE")</f>
        <v>#N/A Requesting Data...</v>
      </c>
      <c r="T245" t="str">
        <f>_xll.BDP("358595GQ Muni","LQA_LIQUIDITY_SCORE")</f>
        <v>#N/A Requesting Data...</v>
      </c>
    </row>
    <row r="246" spans="1:20" x14ac:dyDescent="0.25">
      <c r="A246" t="str">
        <f>_xll.BDP("358595GS Muni","ID_CUSIP")</f>
        <v>#N/A Requesting Data...</v>
      </c>
      <c r="B246" t="s">
        <v>98</v>
      </c>
      <c r="C246" t="str">
        <f>_xll.BDP("358595GS Muni","INSURANCE_STATUS")</f>
        <v>#N/A Requesting Data...</v>
      </c>
      <c r="D246" t="str">
        <f>_xll.BDP("358595GS Muni","STATE_CODE")</f>
        <v>#N/A Requesting Data...</v>
      </c>
      <c r="E246" t="str">
        <f>_xll.BDP("358595GS Muni","COUNTY_LOCATION_ISSUER")</f>
        <v>#N/A Requesting Data...</v>
      </c>
      <c r="F246" t="str">
        <f>_xll.BDP("358595GS Muni","DUR_ADJ_MID")</f>
        <v>#N/A Requesting Data...</v>
      </c>
      <c r="G246" t="str">
        <f>_xll.BDP("358595GS Muni","SPREAD_AT_ISSUANCE_TO_WORST")</f>
        <v>#N/A Requesting Data...</v>
      </c>
      <c r="H246" t="str">
        <f>_xll.BDP("358595GS Muni","ISSUE_DT")</f>
        <v>#N/A Requesting Data...</v>
      </c>
      <c r="I246" t="str">
        <f>_xll.BDS("358595GS Muni","MUNI_PURPOSE_SCHED", "aggregate=y")</f>
        <v>#N/A Requesting Data...</v>
      </c>
      <c r="J246" t="str">
        <f>_xll.BDP("358595GS Muni","CPN")</f>
        <v>#N/A Requesting Data...</v>
      </c>
      <c r="K246" t="str">
        <f>_xll.BDP("358595GS Muni","MATURITY")</f>
        <v>#N/A Requesting Data...</v>
      </c>
      <c r="L246">
        <v>945000</v>
      </c>
      <c r="M246" t="str">
        <f>_xll.BDP("358595GS Muni","YIELD_ON_ISSUE_DATE")</f>
        <v>#N/A Requesting Data...</v>
      </c>
      <c r="N246" t="str">
        <f>_xll.BDP("358595GS Muni","YTW_SPREAD_TO_MATURITY_AT_ISSU")</f>
        <v>#N/A Requesting Data...</v>
      </c>
      <c r="O246" t="str">
        <f>_xll.BDP("358595GS Muni","BVAL_MID_YTM")</f>
        <v>#N/A Requesting Data...</v>
      </c>
      <c r="P246" t="str">
        <f>_xll.BDP("358595GS Muni","MUNI_TAX_PROV")</f>
        <v>#N/A Requesting Data...</v>
      </c>
      <c r="Q246" t="str">
        <f>_xll.BDP("358595GS Muni","MUNI_FED_TAX")</f>
        <v>#N/A Requesting Data...</v>
      </c>
      <c r="R246" t="str">
        <f>_xll.BDP("358595GS Muni","MUNI_MSRB_VOLUME")</f>
        <v>#N/A Requesting Data...</v>
      </c>
      <c r="S246" t="str">
        <f>_xll.BDP("358595GS Muni","BB_COMPOSITE")</f>
        <v>#N/A Requesting Data...</v>
      </c>
      <c r="T246" t="str">
        <f>_xll.BDP("358595GS Muni","LQA_LIQUIDITY_SCORE")</f>
        <v>#N/A Requesting Data...</v>
      </c>
    </row>
    <row r="247" spans="1:20" x14ac:dyDescent="0.25">
      <c r="A247" t="str">
        <f>_xll.BDP("358776SA Muni","ID_CUSIP")</f>
        <v>#N/A Requesting Data...</v>
      </c>
      <c r="B247" t="s">
        <v>99</v>
      </c>
      <c r="C247" t="str">
        <f>_xll.BDP("358776SA Muni","INSURANCE_STATUS")</f>
        <v>#N/A Requesting Data...</v>
      </c>
      <c r="D247" t="str">
        <f>_xll.BDP("358776SA Muni","STATE_CODE")</f>
        <v>#N/A Requesting Data...</v>
      </c>
      <c r="E247" t="str">
        <f>_xll.BDP("358776SA Muni","COUNTY_LOCATION_ISSUER")</f>
        <v>#N/A Requesting Data...</v>
      </c>
      <c r="F247" t="str">
        <f>_xll.BDP("358776SA Muni","DUR_ADJ_MID")</f>
        <v>#N/A Requesting Data...</v>
      </c>
      <c r="G247" t="str">
        <f>_xll.BDP("358776SA Muni","SPREAD_AT_ISSUANCE_TO_WORST")</f>
        <v>#N/A Requesting Data...</v>
      </c>
      <c r="H247" t="str">
        <f>_xll.BDP("358776SA Muni","ISSUE_DT")</f>
        <v>#N/A Requesting Data...</v>
      </c>
      <c r="I247" t="str">
        <f>_xll.BDS("358776SA Muni","MUNI_PURPOSE_SCHED", "aggregate=y")</f>
        <v>#N/A Requesting Data...</v>
      </c>
      <c r="J247" t="str">
        <f>_xll.BDP("358776SA Muni","CPN")</f>
        <v>#N/A Requesting Data...</v>
      </c>
      <c r="K247" t="str">
        <f>_xll.BDP("358776SA Muni","MATURITY")</f>
        <v>#N/A Requesting Data...</v>
      </c>
      <c r="L247">
        <v>575000</v>
      </c>
      <c r="M247" t="str">
        <f>_xll.BDP("358776SA Muni","YIELD_ON_ISSUE_DATE")</f>
        <v>#N/A Requesting Data...</v>
      </c>
      <c r="N247" t="str">
        <f>_xll.BDP("358776SA Muni","YTW_SPREAD_TO_MATURITY_AT_ISSU")</f>
        <v>#N/A Requesting Data...</v>
      </c>
      <c r="O247" t="str">
        <f>_xll.BDP("358776SA Muni","BVAL_MID_YTM")</f>
        <v>#N/A Requesting Data...</v>
      </c>
      <c r="P247" t="str">
        <f>_xll.BDP("358776SA Muni","MUNI_TAX_PROV")</f>
        <v>#N/A Requesting Data...</v>
      </c>
      <c r="Q247" t="str">
        <f>_xll.BDP("358776SA Muni","MUNI_FED_TAX")</f>
        <v>#N/A Requesting Data...</v>
      </c>
      <c r="R247" t="str">
        <f>_xll.BDP("358776SA Muni","MUNI_MSRB_VOLUME")</f>
        <v>#N/A Requesting Data...</v>
      </c>
      <c r="S247" t="str">
        <f>_xll.BDP("358776SA Muni","BB_COMPOSITE")</f>
        <v>#N/A Requesting Data...</v>
      </c>
      <c r="T247" t="str">
        <f>_xll.BDP("358776SA Muni","LQA_LIQUIDITY_SCORE")</f>
        <v>#N/A Requesting Data...</v>
      </c>
    </row>
    <row r="248" spans="1:20" x14ac:dyDescent="0.25">
      <c r="A248" t="str">
        <f>_xll.BDP("358776SB Muni","ID_CUSIP")</f>
        <v>#N/A Requesting Data...</v>
      </c>
      <c r="B248" t="s">
        <v>99</v>
      </c>
      <c r="C248" t="str">
        <f>_xll.BDP("358776SB Muni","INSURANCE_STATUS")</f>
        <v>#N/A Requesting Data...</v>
      </c>
      <c r="D248" t="str">
        <f>_xll.BDP("358776SB Muni","STATE_CODE")</f>
        <v>#N/A Requesting Data...</v>
      </c>
      <c r="E248" t="str">
        <f>_xll.BDP("358776SB Muni","COUNTY_LOCATION_ISSUER")</f>
        <v>#N/A Requesting Data...</v>
      </c>
      <c r="F248" t="str">
        <f>_xll.BDP("358776SB Muni","DUR_ADJ_MID")</f>
        <v>#N/A Requesting Data...</v>
      </c>
      <c r="G248" t="str">
        <f>_xll.BDP("358776SB Muni","SPREAD_AT_ISSUANCE_TO_WORST")</f>
        <v>#N/A Requesting Data...</v>
      </c>
      <c r="H248" t="str">
        <f>_xll.BDP("358776SB Muni","ISSUE_DT")</f>
        <v>#N/A Requesting Data...</v>
      </c>
      <c r="I248" t="str">
        <f>_xll.BDS("358776SB Muni","MUNI_PURPOSE_SCHED", "aggregate=y")</f>
        <v>#N/A Requesting Data...</v>
      </c>
      <c r="J248" t="str">
        <f>_xll.BDP("358776SB Muni","CPN")</f>
        <v>#N/A Requesting Data...</v>
      </c>
      <c r="K248" t="str">
        <f>_xll.BDP("358776SB Muni","MATURITY")</f>
        <v>#N/A Requesting Data...</v>
      </c>
      <c r="L248">
        <v>600000</v>
      </c>
      <c r="M248" t="str">
        <f>_xll.BDP("358776SB Muni","YIELD_ON_ISSUE_DATE")</f>
        <v>#N/A Requesting Data...</v>
      </c>
      <c r="N248" t="str">
        <f>_xll.BDP("358776SB Muni","YTW_SPREAD_TO_MATURITY_AT_ISSU")</f>
        <v>#N/A Requesting Data...</v>
      </c>
      <c r="O248" t="str">
        <f>_xll.BDP("358776SB Muni","BVAL_MID_YTM")</f>
        <v>#N/A Requesting Data...</v>
      </c>
      <c r="P248" t="str">
        <f>_xll.BDP("358776SB Muni","MUNI_TAX_PROV")</f>
        <v>#N/A Requesting Data...</v>
      </c>
      <c r="Q248" t="str">
        <f>_xll.BDP("358776SB Muni","MUNI_FED_TAX")</f>
        <v>#N/A Requesting Data...</v>
      </c>
      <c r="R248" t="str">
        <f>_xll.BDP("358776SB Muni","MUNI_MSRB_VOLUME")</f>
        <v>#N/A Requesting Data...</v>
      </c>
      <c r="S248" t="str">
        <f>_xll.BDP("358776SB Muni","BB_COMPOSITE")</f>
        <v>#N/A Requesting Data...</v>
      </c>
      <c r="T248" t="str">
        <f>_xll.BDP("358776SB Muni","LQA_LIQUIDITY_SCORE")</f>
        <v>#N/A Requesting Data...</v>
      </c>
    </row>
    <row r="249" spans="1:20" x14ac:dyDescent="0.25">
      <c r="A249" t="str">
        <f>_xll.BDP("358776SC Muni","ID_CUSIP")</f>
        <v>#N/A Requesting Data...</v>
      </c>
      <c r="B249" t="s">
        <v>99</v>
      </c>
      <c r="C249" t="str">
        <f>_xll.BDP("358776SC Muni","INSURANCE_STATUS")</f>
        <v>#N/A Requesting Data...</v>
      </c>
      <c r="D249" t="str">
        <f>_xll.BDP("358776SC Muni","STATE_CODE")</f>
        <v>#N/A Requesting Data...</v>
      </c>
      <c r="E249" t="str">
        <f>_xll.BDP("358776SC Muni","COUNTY_LOCATION_ISSUER")</f>
        <v>#N/A Requesting Data...</v>
      </c>
      <c r="F249" t="str">
        <f>_xll.BDP("358776SC Muni","DUR_ADJ_MID")</f>
        <v>#N/A Requesting Data...</v>
      </c>
      <c r="G249" t="str">
        <f>_xll.BDP("358776SC Muni","SPREAD_AT_ISSUANCE_TO_WORST")</f>
        <v>#N/A Requesting Data...</v>
      </c>
      <c r="H249" t="str">
        <f>_xll.BDP("358776SC Muni","ISSUE_DT")</f>
        <v>#N/A Requesting Data...</v>
      </c>
      <c r="I249" t="str">
        <f>_xll.BDS("358776SC Muni","MUNI_PURPOSE_SCHED", "aggregate=y")</f>
        <v>#N/A Requesting Data...</v>
      </c>
      <c r="J249" t="str">
        <f>_xll.BDP("358776SC Muni","CPN")</f>
        <v>#N/A Requesting Data...</v>
      </c>
      <c r="K249" t="str">
        <f>_xll.BDP("358776SC Muni","MATURITY")</f>
        <v>#N/A Requesting Data...</v>
      </c>
      <c r="L249">
        <v>630000</v>
      </c>
      <c r="M249" t="str">
        <f>_xll.BDP("358776SC Muni","YIELD_ON_ISSUE_DATE")</f>
        <v>#N/A Requesting Data...</v>
      </c>
      <c r="N249" t="str">
        <f>_xll.BDP("358776SC Muni","YTW_SPREAD_TO_MATURITY_AT_ISSU")</f>
        <v>#N/A Requesting Data...</v>
      </c>
      <c r="O249" t="str">
        <f>_xll.BDP("358776SC Muni","BVAL_MID_YTM")</f>
        <v>#N/A Requesting Data...</v>
      </c>
      <c r="P249" t="str">
        <f>_xll.BDP("358776SC Muni","MUNI_TAX_PROV")</f>
        <v>#N/A Requesting Data...</v>
      </c>
      <c r="Q249" t="str">
        <f>_xll.BDP("358776SC Muni","MUNI_FED_TAX")</f>
        <v>#N/A Requesting Data...</v>
      </c>
      <c r="R249" t="str">
        <f>_xll.BDP("358776SC Muni","MUNI_MSRB_VOLUME")</f>
        <v>#N/A Requesting Data...</v>
      </c>
      <c r="S249" t="str">
        <f>_xll.BDP("358776SC Muni","BB_COMPOSITE")</f>
        <v>#N/A Requesting Data...</v>
      </c>
      <c r="T249" t="str">
        <f>_xll.BDP("358776SC Muni","LQA_LIQUIDITY_SCORE")</f>
        <v>#N/A Requesting Data...</v>
      </c>
    </row>
    <row r="250" spans="1:20" x14ac:dyDescent="0.25">
      <c r="A250" t="str">
        <f>_xll.BDP("358595GN Muni","ID_CUSIP")</f>
        <v>#N/A Requesting Data...</v>
      </c>
      <c r="B250" t="s">
        <v>98</v>
      </c>
      <c r="C250" t="str">
        <f>_xll.BDP("358595GN Muni","INSURANCE_STATUS")</f>
        <v>#N/A Requesting Data...</v>
      </c>
      <c r="D250" t="str">
        <f>_xll.BDP("358595GN Muni","STATE_CODE")</f>
        <v>#N/A Requesting Data...</v>
      </c>
      <c r="E250" t="str">
        <f>_xll.BDP("358595GN Muni","COUNTY_LOCATION_ISSUER")</f>
        <v>#N/A Requesting Data...</v>
      </c>
      <c r="F250" t="str">
        <f>_xll.BDP("358595GN Muni","DUR_ADJ_MID")</f>
        <v>#N/A Requesting Data...</v>
      </c>
      <c r="G250" t="str">
        <f>_xll.BDP("358595GN Muni","SPREAD_AT_ISSUANCE_TO_WORST")</f>
        <v>#N/A Requesting Data...</v>
      </c>
      <c r="H250" t="str">
        <f>_xll.BDP("358595GN Muni","ISSUE_DT")</f>
        <v>#N/A Requesting Data...</v>
      </c>
      <c r="I250" t="str">
        <f>_xll.BDS("358595GN Muni","MUNI_PURPOSE_SCHED", "aggregate=y")</f>
        <v>#N/A Requesting Data...</v>
      </c>
      <c r="J250" t="str">
        <f>_xll.BDP("358595GN Muni","CPN")</f>
        <v>#N/A Requesting Data...</v>
      </c>
      <c r="K250" t="str">
        <f>_xll.BDP("358595GN Muni","MATURITY")</f>
        <v>#N/A Requesting Data...</v>
      </c>
      <c r="L250">
        <v>775000</v>
      </c>
      <c r="M250" t="str">
        <f>_xll.BDP("358595GN Muni","YIELD_ON_ISSUE_DATE")</f>
        <v>#N/A Requesting Data...</v>
      </c>
      <c r="N250" t="str">
        <f>_xll.BDP("358595GN Muni","YTW_SPREAD_TO_MATURITY_AT_ISSU")</f>
        <v>#N/A Requesting Data...</v>
      </c>
      <c r="O250" t="str">
        <f>_xll.BDP("358595GN Muni","BVAL_MID_YTM")</f>
        <v>#N/A Requesting Data...</v>
      </c>
      <c r="P250" t="str">
        <f>_xll.BDP("358595GN Muni","MUNI_TAX_PROV")</f>
        <v>#N/A Requesting Data...</v>
      </c>
      <c r="Q250" t="str">
        <f>_xll.BDP("358595GN Muni","MUNI_FED_TAX")</f>
        <v>#N/A Requesting Data...</v>
      </c>
      <c r="R250" t="str">
        <f>_xll.BDP("358595GN Muni","MUNI_MSRB_VOLUME")</f>
        <v>#N/A Requesting Data...</v>
      </c>
      <c r="S250" t="str">
        <f>_xll.BDP("358595GN Muni","BB_COMPOSITE")</f>
        <v>#N/A Requesting Data...</v>
      </c>
      <c r="T250" t="str">
        <f>_xll.BDP("358595GN Muni","LQA_LIQUIDITY_SCORE")</f>
        <v>#N/A Requesting Data...</v>
      </c>
    </row>
    <row r="251" spans="1:20" x14ac:dyDescent="0.25">
      <c r="A251" t="str">
        <f>_xll.BDP("358595GR Muni","ID_CUSIP")</f>
        <v>#N/A Requesting Data...</v>
      </c>
      <c r="B251" t="s">
        <v>98</v>
      </c>
      <c r="C251" t="str">
        <f>_xll.BDP("358595GR Muni","INSURANCE_STATUS")</f>
        <v>#N/A Requesting Data...</v>
      </c>
      <c r="D251" t="str">
        <f>_xll.BDP("358595GR Muni","STATE_CODE")</f>
        <v>#N/A Requesting Data...</v>
      </c>
      <c r="E251" t="str">
        <f>_xll.BDP("358595GR Muni","COUNTY_LOCATION_ISSUER")</f>
        <v>#N/A Requesting Data...</v>
      </c>
      <c r="F251" t="str">
        <f>_xll.BDP("358595GR Muni","DUR_ADJ_MID")</f>
        <v>#N/A Requesting Data...</v>
      </c>
      <c r="G251" t="str">
        <f>_xll.BDP("358595GR Muni","SPREAD_AT_ISSUANCE_TO_WORST")</f>
        <v>#N/A Requesting Data...</v>
      </c>
      <c r="H251" t="str">
        <f>_xll.BDP("358595GR Muni","ISSUE_DT")</f>
        <v>#N/A Requesting Data...</v>
      </c>
      <c r="I251" t="str">
        <f>_xll.BDS("358595GR Muni","MUNI_PURPOSE_SCHED", "aggregate=y")</f>
        <v>#N/A Requesting Data...</v>
      </c>
      <c r="J251" t="str">
        <f>_xll.BDP("358595GR Muni","CPN")</f>
        <v>#N/A Requesting Data...</v>
      </c>
      <c r="K251" t="str">
        <f>_xll.BDP("358595GR Muni","MATURITY")</f>
        <v>#N/A Requesting Data...</v>
      </c>
      <c r="L251">
        <v>900000</v>
      </c>
      <c r="M251" t="str">
        <f>_xll.BDP("358595GR Muni","YIELD_ON_ISSUE_DATE")</f>
        <v>#N/A Requesting Data...</v>
      </c>
      <c r="N251" t="str">
        <f>_xll.BDP("358595GR Muni","YTW_SPREAD_TO_MATURITY_AT_ISSU")</f>
        <v>#N/A Requesting Data...</v>
      </c>
      <c r="O251" t="str">
        <f>_xll.BDP("358595GR Muni","BVAL_MID_YTM")</f>
        <v>#N/A Requesting Data...</v>
      </c>
      <c r="P251" t="str">
        <f>_xll.BDP("358595GR Muni","MUNI_TAX_PROV")</f>
        <v>#N/A Requesting Data...</v>
      </c>
      <c r="Q251" t="str">
        <f>_xll.BDP("358595GR Muni","MUNI_FED_TAX")</f>
        <v>#N/A Requesting Data...</v>
      </c>
      <c r="R251" t="str">
        <f>_xll.BDP("358595GR Muni","MUNI_MSRB_VOLUME")</f>
        <v>#N/A Requesting Data...</v>
      </c>
      <c r="S251" t="str">
        <f>_xll.BDP("358595GR Muni","BB_COMPOSITE")</f>
        <v>#N/A Requesting Data...</v>
      </c>
      <c r="T251" t="str">
        <f>_xll.BDP("358595GR Muni","LQA_LIQUIDITY_SCORE")</f>
        <v>#N/A Requesting Data...</v>
      </c>
    </row>
    <row r="252" spans="1:20" x14ac:dyDescent="0.25">
      <c r="A252" t="str">
        <f>_xll.BDP("358595GT Muni","ID_CUSIP")</f>
        <v>#N/A Requesting Data...</v>
      </c>
      <c r="B252" t="s">
        <v>98</v>
      </c>
      <c r="C252" t="str">
        <f>_xll.BDP("358595GT Muni","INSURANCE_STATUS")</f>
        <v>#N/A Requesting Data...</v>
      </c>
      <c r="D252" t="str">
        <f>_xll.BDP("358595GT Muni","STATE_CODE")</f>
        <v>#N/A Requesting Data...</v>
      </c>
      <c r="E252" t="str">
        <f>_xll.BDP("358595GT Muni","COUNTY_LOCATION_ISSUER")</f>
        <v>#N/A Requesting Data...</v>
      </c>
      <c r="F252" t="str">
        <f>_xll.BDP("358595GT Muni","DUR_ADJ_MID")</f>
        <v>#N/A Requesting Data...</v>
      </c>
      <c r="G252" t="str">
        <f>_xll.BDP("358595GT Muni","SPREAD_AT_ISSUANCE_TO_WORST")</f>
        <v>#N/A Requesting Data...</v>
      </c>
      <c r="H252" t="str">
        <f>_xll.BDP("358595GT Muni","ISSUE_DT")</f>
        <v>#N/A Requesting Data...</v>
      </c>
      <c r="I252" t="str">
        <f>_xll.BDS("358595GT Muni","MUNI_PURPOSE_SCHED", "aggregate=y")</f>
        <v>#N/A Requesting Data...</v>
      </c>
      <c r="J252" t="str">
        <f>_xll.BDP("358595GT Muni","CPN")</f>
        <v>#N/A Requesting Data...</v>
      </c>
      <c r="K252" t="str">
        <f>_xll.BDP("358595GT Muni","MATURITY")</f>
        <v>#N/A Requesting Data...</v>
      </c>
      <c r="L252">
        <v>995000</v>
      </c>
      <c r="M252" t="str">
        <f>_xll.BDP("358595GT Muni","YIELD_ON_ISSUE_DATE")</f>
        <v>#N/A Requesting Data...</v>
      </c>
      <c r="N252" t="str">
        <f>_xll.BDP("358595GT Muni","YTW_SPREAD_TO_MATURITY_AT_ISSU")</f>
        <v>#N/A Requesting Data...</v>
      </c>
      <c r="O252" t="str">
        <f>_xll.BDP("358595GT Muni","BVAL_MID_YTM")</f>
        <v>#N/A Requesting Data...</v>
      </c>
      <c r="P252" t="str">
        <f>_xll.BDP("358595GT Muni","MUNI_TAX_PROV")</f>
        <v>#N/A Requesting Data...</v>
      </c>
      <c r="Q252" t="str">
        <f>_xll.BDP("358595GT Muni","MUNI_FED_TAX")</f>
        <v>#N/A Requesting Data...</v>
      </c>
      <c r="R252" t="str">
        <f>_xll.BDP("358595GT Muni","MUNI_MSRB_VOLUME")</f>
        <v>#N/A Requesting Data...</v>
      </c>
      <c r="S252" t="str">
        <f>_xll.BDP("358595GT Muni","BB_COMPOSITE")</f>
        <v>#N/A Requesting Data...</v>
      </c>
      <c r="T252" t="str">
        <f>_xll.BDP("358595GT Muni","LQA_LIQUIDITY_SCORE")</f>
        <v>#N/A Requesting Data...</v>
      </c>
    </row>
    <row r="253" spans="1:20" x14ac:dyDescent="0.25">
      <c r="A253" t="str">
        <f>_xll.BDP("358776SD Muni","ID_CUSIP")</f>
        <v>#N/A Requesting Data...</v>
      </c>
      <c r="B253" t="s">
        <v>99</v>
      </c>
      <c r="C253" t="str">
        <f>_xll.BDP("358776SD Muni","INSURANCE_STATUS")</f>
        <v>#N/A Requesting Data...</v>
      </c>
      <c r="D253" t="str">
        <f>_xll.BDP("358776SD Muni","STATE_CODE")</f>
        <v>#N/A Requesting Data...</v>
      </c>
      <c r="E253" t="str">
        <f>_xll.BDP("358776SD Muni","COUNTY_LOCATION_ISSUER")</f>
        <v>#N/A Requesting Data...</v>
      </c>
      <c r="F253" t="str">
        <f>_xll.BDP("358776SD Muni","DUR_ADJ_MID")</f>
        <v>#N/A Requesting Data...</v>
      </c>
      <c r="G253" t="str">
        <f>_xll.BDP("358776SD Muni","SPREAD_AT_ISSUANCE_TO_WORST")</f>
        <v>#N/A Requesting Data...</v>
      </c>
      <c r="H253" t="str">
        <f>_xll.BDP("358776SD Muni","ISSUE_DT")</f>
        <v>#N/A Requesting Data...</v>
      </c>
      <c r="I253" t="str">
        <f>_xll.BDS("358776SD Muni","MUNI_PURPOSE_SCHED", "aggregate=y")</f>
        <v>#N/A Requesting Data...</v>
      </c>
      <c r="J253" t="str">
        <f>_xll.BDP("358776SD Muni","CPN")</f>
        <v>#N/A Requesting Data...</v>
      </c>
      <c r="K253" t="str">
        <f>_xll.BDP("358776SD Muni","MATURITY")</f>
        <v>#N/A Requesting Data...</v>
      </c>
      <c r="L253">
        <v>665000</v>
      </c>
      <c r="M253" t="str">
        <f>_xll.BDP("358776SD Muni","YIELD_ON_ISSUE_DATE")</f>
        <v>#N/A Requesting Data...</v>
      </c>
      <c r="N253" t="str">
        <f>_xll.BDP("358776SD Muni","YTW_SPREAD_TO_MATURITY_AT_ISSU")</f>
        <v>#N/A Requesting Data...</v>
      </c>
      <c r="O253" t="str">
        <f>_xll.BDP("358776SD Muni","BVAL_MID_YTM")</f>
        <v>#N/A Requesting Data...</v>
      </c>
      <c r="P253" t="str">
        <f>_xll.BDP("358776SD Muni","MUNI_TAX_PROV")</f>
        <v>#N/A Requesting Data...</v>
      </c>
      <c r="Q253" t="str">
        <f>_xll.BDP("358776SD Muni","MUNI_FED_TAX")</f>
        <v>#N/A Requesting Data...</v>
      </c>
      <c r="R253" t="str">
        <f>_xll.BDP("358776SD Muni","MUNI_MSRB_VOLUME")</f>
        <v>#N/A Requesting Data...</v>
      </c>
      <c r="S253" t="str">
        <f>_xll.BDP("358776SD Muni","BB_COMPOSITE")</f>
        <v>#N/A Requesting Data...</v>
      </c>
      <c r="T253" t="str">
        <f>_xll.BDP("358776SD Muni","LQA_LIQUIDITY_SCORE")</f>
        <v>#N/A Requesting Data...</v>
      </c>
    </row>
    <row r="254" spans="1:20" x14ac:dyDescent="0.25">
      <c r="A254" t="str">
        <f>_xll.BDP("358776SE Muni","ID_CUSIP")</f>
        <v>#N/A Requesting Data...</v>
      </c>
      <c r="B254" t="s">
        <v>99</v>
      </c>
      <c r="C254" t="str">
        <f>_xll.BDP("358776SE Muni","INSURANCE_STATUS")</f>
        <v>#N/A Requesting Data...</v>
      </c>
      <c r="D254" t="str">
        <f>_xll.BDP("358776SE Muni","STATE_CODE")</f>
        <v>#N/A Requesting Data...</v>
      </c>
      <c r="E254" t="str">
        <f>_xll.BDP("358776SE Muni","COUNTY_LOCATION_ISSUER")</f>
        <v>#N/A Requesting Data...</v>
      </c>
      <c r="F254" t="str">
        <f>_xll.BDP("358776SE Muni","DUR_ADJ_MID")</f>
        <v>#N/A Requesting Data...</v>
      </c>
      <c r="G254" t="str">
        <f>_xll.BDP("358776SE Muni","SPREAD_AT_ISSUANCE_TO_WORST")</f>
        <v>#N/A Requesting Data...</v>
      </c>
      <c r="H254" t="str">
        <f>_xll.BDP("358776SE Muni","ISSUE_DT")</f>
        <v>#N/A Requesting Data...</v>
      </c>
      <c r="I254" t="str">
        <f>_xll.BDS("358776SE Muni","MUNI_PURPOSE_SCHED", "aggregate=y")</f>
        <v>#N/A Requesting Data...</v>
      </c>
      <c r="J254" t="str">
        <f>_xll.BDP("358776SE Muni","CPN")</f>
        <v>#N/A Requesting Data...</v>
      </c>
      <c r="K254" t="str">
        <f>_xll.BDP("358776SE Muni","MATURITY")</f>
        <v>#N/A Requesting Data...</v>
      </c>
      <c r="L254">
        <v>695000</v>
      </c>
      <c r="M254" t="str">
        <f>_xll.BDP("358776SE Muni","YIELD_ON_ISSUE_DATE")</f>
        <v>#N/A Requesting Data...</v>
      </c>
      <c r="N254" t="str">
        <f>_xll.BDP("358776SE Muni","YTW_SPREAD_TO_MATURITY_AT_ISSU")</f>
        <v>#N/A Requesting Data...</v>
      </c>
      <c r="O254" t="str">
        <f>_xll.BDP("358776SE Muni","BVAL_MID_YTM")</f>
        <v>#N/A Requesting Data...</v>
      </c>
      <c r="P254" t="str">
        <f>_xll.BDP("358776SE Muni","MUNI_TAX_PROV")</f>
        <v>#N/A Requesting Data...</v>
      </c>
      <c r="Q254" t="str">
        <f>_xll.BDP("358776SE Muni","MUNI_FED_TAX")</f>
        <v>#N/A Requesting Data...</v>
      </c>
      <c r="R254" t="str">
        <f>_xll.BDP("358776SE Muni","MUNI_MSRB_VOLUME")</f>
        <v>#N/A Requesting Data...</v>
      </c>
      <c r="S254" t="str">
        <f>_xll.BDP("358776SE Muni","BB_COMPOSITE")</f>
        <v>#N/A Requesting Data...</v>
      </c>
      <c r="T254" t="str">
        <f>_xll.BDP("358776SE Muni","LQA_LIQUIDITY_SCORE")</f>
        <v>#N/A Requesting Data...</v>
      </c>
    </row>
    <row r="255" spans="1:20" x14ac:dyDescent="0.25">
      <c r="A255" t="str">
        <f>_xll.BDP("304009GT Muni","ID_CUSIP")</f>
        <v>#N/A Requesting Data...</v>
      </c>
      <c r="B255" t="s">
        <v>100</v>
      </c>
      <c r="C255" t="str">
        <f>_xll.BDP("304009GT Muni","INSURANCE_STATUS")</f>
        <v>#N/A Requesting Data...</v>
      </c>
      <c r="D255" t="str">
        <f>_xll.BDP("304009GT Muni","STATE_CODE")</f>
        <v>#N/A Requesting Data...</v>
      </c>
      <c r="E255" t="str">
        <f>_xll.BDP("304009GT Muni","COUNTY_LOCATION_ISSUER")</f>
        <v>#N/A Requesting Data...</v>
      </c>
      <c r="F255" t="str">
        <f>_xll.BDP("304009GT Muni","DUR_ADJ_MID")</f>
        <v>#N/A Requesting Data...</v>
      </c>
      <c r="G255" t="str">
        <f>_xll.BDP("304009GT Muni","SPREAD_AT_ISSUANCE_TO_WORST")</f>
        <v>#N/A Requesting Data...</v>
      </c>
      <c r="H255" t="str">
        <f>_xll.BDP("304009GT Muni","ISSUE_DT")</f>
        <v>#N/A Requesting Data...</v>
      </c>
      <c r="I255" t="str">
        <f>_xll.BDS("304009GT Muni","MUNI_PURPOSE_SCHED", "aggregate=y")</f>
        <v>#N/A Requesting Data...</v>
      </c>
      <c r="J255" t="str">
        <f>_xll.BDP("304009GT Muni","CPN")</f>
        <v>#N/A Requesting Data...</v>
      </c>
      <c r="K255" t="str">
        <f>_xll.BDP("304009GT Muni","MATURITY")</f>
        <v>#N/A Requesting Data...</v>
      </c>
      <c r="L255">
        <v>115000</v>
      </c>
      <c r="M255" t="str">
        <f>_xll.BDP("304009GT Muni","YIELD_ON_ISSUE_DATE")</f>
        <v>#N/A Requesting Data...</v>
      </c>
      <c r="N255" t="str">
        <f>_xll.BDP("304009GT Muni","YTW_SPREAD_TO_MATURITY_AT_ISSU")</f>
        <v>#N/A Requesting Data...</v>
      </c>
      <c r="O255" t="str">
        <f>_xll.BDP("304009GT Muni","BVAL_MID_YTM")</f>
        <v>#N/A Requesting Data...</v>
      </c>
      <c r="P255" t="str">
        <f>_xll.BDP("304009GT Muni","MUNI_TAX_PROV")</f>
        <v>#N/A Requesting Data...</v>
      </c>
      <c r="Q255" t="str">
        <f>_xll.BDP("304009GT Muni","MUNI_FED_TAX")</f>
        <v>#N/A Requesting Data...</v>
      </c>
      <c r="R255" t="str">
        <f>_xll.BDP("304009GT Muni","MUNI_MSRB_VOLUME")</f>
        <v>#N/A Requesting Data...</v>
      </c>
      <c r="S255" t="str">
        <f>_xll.BDP("304009GT Muni","BB_COMPOSITE")</f>
        <v>#N/A Requesting Data...</v>
      </c>
      <c r="T255" t="str">
        <f>_xll.BDP("304009GT Muni","LQA_LIQUIDITY_SCORE")</f>
        <v>#N/A Requesting Data...</v>
      </c>
    </row>
    <row r="256" spans="1:20" x14ac:dyDescent="0.25">
      <c r="A256" t="str">
        <f>_xll.BDP("35986CAD Muni","ID_CUSIP")</f>
        <v>#N/A Requesting Data...</v>
      </c>
      <c r="B256" t="s">
        <v>101</v>
      </c>
      <c r="C256" t="str">
        <f>_xll.BDP("35986CAD Muni","INSURANCE_STATUS")</f>
        <v>#N/A Requesting Data...</v>
      </c>
      <c r="D256" t="str">
        <f>_xll.BDP("35986CAD Muni","STATE_CODE")</f>
        <v>#N/A Requesting Data...</v>
      </c>
      <c r="E256" t="str">
        <f>_xll.BDP("35986CAD Muni","COUNTY_LOCATION_ISSUER")</f>
        <v>#N/A Requesting Data...</v>
      </c>
      <c r="F256" t="str">
        <f>_xll.BDP("35986CAD Muni","DUR_ADJ_MID")</f>
        <v>#N/A Requesting Data...</v>
      </c>
      <c r="G256" t="str">
        <f>_xll.BDP("35986CAD Muni","SPREAD_AT_ISSUANCE_TO_WORST")</f>
        <v>#N/A Requesting Data...</v>
      </c>
      <c r="H256" t="str">
        <f>_xll.BDP("35986CAD Muni","ISSUE_DT")</f>
        <v>#N/A Requesting Data...</v>
      </c>
      <c r="I256" t="str">
        <f>_xll.BDS("35986CAD Muni","MUNI_PURPOSE_SCHED", "aggregate=y")</f>
        <v>#N/A Requesting Data...</v>
      </c>
      <c r="J256" t="str">
        <f>_xll.BDP("35986CAD Muni","CPN")</f>
        <v>#N/A Requesting Data...</v>
      </c>
      <c r="K256" t="str">
        <f>_xll.BDP("35986CAD Muni","MATURITY")</f>
        <v>#N/A Requesting Data...</v>
      </c>
      <c r="L256">
        <v>135000</v>
      </c>
      <c r="M256" t="str">
        <f>_xll.BDP("35986CAD Muni","YIELD_ON_ISSUE_DATE")</f>
        <v>#N/A Requesting Data...</v>
      </c>
      <c r="N256" t="str">
        <f>_xll.BDP("35986CAD Muni","YTW_SPREAD_TO_MATURITY_AT_ISSU")</f>
        <v>#N/A Requesting Data...</v>
      </c>
      <c r="O256" t="str">
        <f>_xll.BDP("35986CAD Muni","BVAL_MID_YTM")</f>
        <v>#N/A Requesting Data...</v>
      </c>
      <c r="P256" t="str">
        <f>_xll.BDP("35986CAD Muni","MUNI_TAX_PROV")</f>
        <v>#N/A Requesting Data...</v>
      </c>
      <c r="Q256" t="str">
        <f>_xll.BDP("35986CAD Muni","MUNI_FED_TAX")</f>
        <v>#N/A Requesting Data...</v>
      </c>
      <c r="R256" t="str">
        <f>_xll.BDP("35986CAD Muni","MUNI_MSRB_VOLUME")</f>
        <v>#N/A Requesting Data...</v>
      </c>
      <c r="S256" t="str">
        <f>_xll.BDP("35986CAD Muni","BB_COMPOSITE")</f>
        <v>#N/A Requesting Data...</v>
      </c>
      <c r="T256" t="str">
        <f>_xll.BDP("35986CAD Muni","LQA_LIQUIDITY_SCORE")</f>
        <v>#N/A Requesting Data...</v>
      </c>
    </row>
    <row r="257" spans="1:20" x14ac:dyDescent="0.25">
      <c r="A257" t="str">
        <f>_xll.BDP("306297S9 Muni","ID_CUSIP")</f>
        <v>#N/A Requesting Data...</v>
      </c>
      <c r="B257" t="s">
        <v>102</v>
      </c>
      <c r="C257" t="str">
        <f>_xll.BDP("306297S9 Muni","INSURANCE_STATUS")</f>
        <v>#N/A Requesting Data...</v>
      </c>
      <c r="D257" t="str">
        <f>_xll.BDP("306297S9 Muni","STATE_CODE")</f>
        <v>#N/A Requesting Data...</v>
      </c>
      <c r="E257" t="str">
        <f>_xll.BDP("306297S9 Muni","COUNTY_LOCATION_ISSUER")</f>
        <v>#N/A Requesting Data...</v>
      </c>
      <c r="F257" t="str">
        <f>_xll.BDP("306297S9 Muni","DUR_ADJ_MID")</f>
        <v>#N/A Requesting Data...</v>
      </c>
      <c r="G257" t="str">
        <f>_xll.BDP("306297S9 Muni","SPREAD_AT_ISSUANCE_TO_WORST")</f>
        <v>#N/A Requesting Data...</v>
      </c>
      <c r="H257" t="str">
        <f>_xll.BDP("306297S9 Muni","ISSUE_DT")</f>
        <v>#N/A Requesting Data...</v>
      </c>
      <c r="I257" t="str">
        <f>_xll.BDS("306297S9 Muni","MUNI_PURPOSE_SCHED", "aggregate=y")</f>
        <v>#N/A Requesting Data...</v>
      </c>
      <c r="J257" t="str">
        <f>_xll.BDP("306297S9 Muni","CPN")</f>
        <v>#N/A Requesting Data...</v>
      </c>
      <c r="K257" t="str">
        <f>_xll.BDP("306297S9 Muni","MATURITY")</f>
        <v>#N/A Requesting Data...</v>
      </c>
      <c r="L257">
        <v>370000</v>
      </c>
      <c r="M257" t="str">
        <f>_xll.BDP("306297S9 Muni","YIELD_ON_ISSUE_DATE")</f>
        <v>#N/A Requesting Data...</v>
      </c>
      <c r="N257" t="str">
        <f>_xll.BDP("306297S9 Muni","YTW_SPREAD_TO_MATURITY_AT_ISSU")</f>
        <v>#N/A Requesting Data...</v>
      </c>
      <c r="O257" t="str">
        <f>_xll.BDP("306297S9 Muni","BVAL_MID_YTM")</f>
        <v>#N/A Requesting Data...</v>
      </c>
      <c r="P257" t="str">
        <f>_xll.BDP("306297S9 Muni","MUNI_TAX_PROV")</f>
        <v>#N/A Requesting Data...</v>
      </c>
      <c r="Q257" t="str">
        <f>_xll.BDP("306297S9 Muni","MUNI_FED_TAX")</f>
        <v>#N/A Requesting Data...</v>
      </c>
      <c r="R257" t="str">
        <f>_xll.BDP("306297S9 Muni","MUNI_MSRB_VOLUME")</f>
        <v>#N/A Requesting Data...</v>
      </c>
      <c r="S257" t="str">
        <f>_xll.BDP("306297S9 Muni","BB_COMPOSITE")</f>
        <v>#N/A Requesting Data...</v>
      </c>
      <c r="T257" t="str">
        <f>_xll.BDP("306297S9 Muni","LQA_LIQUIDITY_SCORE")</f>
        <v>#N/A Requesting Data...</v>
      </c>
    </row>
    <row r="258" spans="1:20" x14ac:dyDescent="0.25">
      <c r="A258" t="str">
        <f>_xll.BDP("306297T2 Muni","ID_CUSIP")</f>
        <v>#N/A Requesting Data...</v>
      </c>
      <c r="B258" t="s">
        <v>102</v>
      </c>
      <c r="C258" t="str">
        <f>_xll.BDP("306297T2 Muni","INSURANCE_STATUS")</f>
        <v>#N/A Requesting Data...</v>
      </c>
      <c r="D258" t="str">
        <f>_xll.BDP("306297T2 Muni","STATE_CODE")</f>
        <v>#N/A Requesting Data...</v>
      </c>
      <c r="E258" t="str">
        <f>_xll.BDP("306297T2 Muni","COUNTY_LOCATION_ISSUER")</f>
        <v>#N/A Requesting Data...</v>
      </c>
      <c r="F258" t="str">
        <f>_xll.BDP("306297T2 Muni","DUR_ADJ_MID")</f>
        <v>#N/A Requesting Data...</v>
      </c>
      <c r="G258" t="str">
        <f>_xll.BDP("306297T2 Muni","SPREAD_AT_ISSUANCE_TO_WORST")</f>
        <v>#N/A Requesting Data...</v>
      </c>
      <c r="H258" t="str">
        <f>_xll.BDP("306297T2 Muni","ISSUE_DT")</f>
        <v>#N/A Requesting Data...</v>
      </c>
      <c r="I258" t="str">
        <f>_xll.BDS("306297T2 Muni","MUNI_PURPOSE_SCHED", "aggregate=y")</f>
        <v>#N/A Requesting Data...</v>
      </c>
      <c r="J258" t="str">
        <f>_xll.BDP("306297T2 Muni","CPN")</f>
        <v>#N/A Requesting Data...</v>
      </c>
      <c r="K258" t="str">
        <f>_xll.BDP("306297T2 Muni","MATURITY")</f>
        <v>#N/A Requesting Data...</v>
      </c>
      <c r="L258">
        <v>400000</v>
      </c>
      <c r="M258" t="str">
        <f>_xll.BDP("306297T2 Muni","YIELD_ON_ISSUE_DATE")</f>
        <v>#N/A Requesting Data...</v>
      </c>
      <c r="N258" t="str">
        <f>_xll.BDP("306297T2 Muni","YTW_SPREAD_TO_MATURITY_AT_ISSU")</f>
        <v>#N/A Requesting Data...</v>
      </c>
      <c r="O258" t="str">
        <f>_xll.BDP("306297T2 Muni","BVAL_MID_YTM")</f>
        <v>#N/A Requesting Data...</v>
      </c>
      <c r="P258" t="str">
        <f>_xll.BDP("306297T2 Muni","MUNI_TAX_PROV")</f>
        <v>#N/A Requesting Data...</v>
      </c>
      <c r="Q258" t="str">
        <f>_xll.BDP("306297T2 Muni","MUNI_FED_TAX")</f>
        <v>#N/A Requesting Data...</v>
      </c>
      <c r="R258" t="str">
        <f>_xll.BDP("306297T2 Muni","MUNI_MSRB_VOLUME")</f>
        <v>#N/A Requesting Data...</v>
      </c>
      <c r="S258" t="str">
        <f>_xll.BDP("306297T2 Muni","BB_COMPOSITE")</f>
        <v>#N/A Requesting Data...</v>
      </c>
      <c r="T258" t="str">
        <f>_xll.BDP("306297T2 Muni","LQA_LIQUIDITY_SCORE")</f>
        <v>#N/A Requesting Data...</v>
      </c>
    </row>
    <row r="259" spans="1:20" x14ac:dyDescent="0.25">
      <c r="A259" t="str">
        <f>_xll.BDP("306297T3 Muni","ID_CUSIP")</f>
        <v>#N/A Requesting Data...</v>
      </c>
      <c r="B259" t="s">
        <v>102</v>
      </c>
      <c r="C259" t="str">
        <f>_xll.BDP("306297T3 Muni","INSURANCE_STATUS")</f>
        <v>#N/A Requesting Data...</v>
      </c>
      <c r="D259" t="str">
        <f>_xll.BDP("306297T3 Muni","STATE_CODE")</f>
        <v>#N/A Requesting Data...</v>
      </c>
      <c r="E259" t="str">
        <f>_xll.BDP("306297T3 Muni","COUNTY_LOCATION_ISSUER")</f>
        <v>#N/A Requesting Data...</v>
      </c>
      <c r="F259" t="str">
        <f>_xll.BDP("306297T3 Muni","DUR_ADJ_MID")</f>
        <v>#N/A Requesting Data...</v>
      </c>
      <c r="G259" t="str">
        <f>_xll.BDP("306297T3 Muni","SPREAD_AT_ISSUANCE_TO_WORST")</f>
        <v>#N/A Requesting Data...</v>
      </c>
      <c r="H259" t="str">
        <f>_xll.BDP("306297T3 Muni","ISSUE_DT")</f>
        <v>#N/A Requesting Data...</v>
      </c>
      <c r="I259" t="str">
        <f>_xll.BDS("306297T3 Muni","MUNI_PURPOSE_SCHED", "aggregate=y")</f>
        <v>#N/A Requesting Data...</v>
      </c>
      <c r="J259" t="str">
        <f>_xll.BDP("306297T3 Muni","CPN")</f>
        <v>#N/A Requesting Data...</v>
      </c>
      <c r="K259" t="str">
        <f>_xll.BDP("306297T3 Muni","MATURITY")</f>
        <v>#N/A Requesting Data...</v>
      </c>
      <c r="L259">
        <v>285000</v>
      </c>
      <c r="M259" t="str">
        <f>_xll.BDP("306297T3 Muni","YIELD_ON_ISSUE_DATE")</f>
        <v>#N/A Requesting Data...</v>
      </c>
      <c r="N259" t="str">
        <f>_xll.BDP("306297T3 Muni","YTW_SPREAD_TO_MATURITY_AT_ISSU")</f>
        <v>#N/A Requesting Data...</v>
      </c>
      <c r="O259" t="str">
        <f>_xll.BDP("306297T3 Muni","BVAL_MID_YTM")</f>
        <v>#N/A Requesting Data...</v>
      </c>
      <c r="P259" t="str">
        <f>_xll.BDP("306297T3 Muni","MUNI_TAX_PROV")</f>
        <v>#N/A Requesting Data...</v>
      </c>
      <c r="Q259" t="str">
        <f>_xll.BDP("306297T3 Muni","MUNI_FED_TAX")</f>
        <v>#N/A Requesting Data...</v>
      </c>
      <c r="R259" t="str">
        <f>_xll.BDP("306297T3 Muni","MUNI_MSRB_VOLUME")</f>
        <v>#N/A Requesting Data...</v>
      </c>
      <c r="S259" t="str">
        <f>_xll.BDP("306297T3 Muni","BB_COMPOSITE")</f>
        <v>#N/A Requesting Data...</v>
      </c>
      <c r="T259" t="str">
        <f>_xll.BDP("306297T3 Muni","LQA_LIQUIDITY_SCORE")</f>
        <v>#N/A Requesting Data...</v>
      </c>
    </row>
    <row r="260" spans="1:20" x14ac:dyDescent="0.25">
      <c r="A260" t="str">
        <f>_xll.BDP("306297T5 Muni","ID_CUSIP")</f>
        <v>#N/A Requesting Data...</v>
      </c>
      <c r="B260" t="s">
        <v>102</v>
      </c>
      <c r="C260" t="str">
        <f>_xll.BDP("306297T5 Muni","INSURANCE_STATUS")</f>
        <v>#N/A Requesting Data...</v>
      </c>
      <c r="D260" t="str">
        <f>_xll.BDP("306297T5 Muni","STATE_CODE")</f>
        <v>#N/A Requesting Data...</v>
      </c>
      <c r="E260" t="str">
        <f>_xll.BDP("306297T5 Muni","COUNTY_LOCATION_ISSUER")</f>
        <v>#N/A Requesting Data...</v>
      </c>
      <c r="F260" t="str">
        <f>_xll.BDP("306297T5 Muni","DUR_ADJ_MID")</f>
        <v>#N/A Requesting Data...</v>
      </c>
      <c r="G260" t="str">
        <f>_xll.BDP("306297T5 Muni","SPREAD_AT_ISSUANCE_TO_WORST")</f>
        <v>#N/A Requesting Data...</v>
      </c>
      <c r="H260" t="str">
        <f>_xll.BDP("306297T5 Muni","ISSUE_DT")</f>
        <v>#N/A Requesting Data...</v>
      </c>
      <c r="I260" t="str">
        <f>_xll.BDS("306297T5 Muni","MUNI_PURPOSE_SCHED", "aggregate=y")</f>
        <v>#N/A Requesting Data...</v>
      </c>
      <c r="J260" t="str">
        <f>_xll.BDP("306297T5 Muni","CPN")</f>
        <v>#N/A Requesting Data...</v>
      </c>
      <c r="K260" t="str">
        <f>_xll.BDP("306297T5 Muni","MATURITY")</f>
        <v>#N/A Requesting Data...</v>
      </c>
      <c r="L260">
        <v>320000</v>
      </c>
      <c r="M260" t="str">
        <f>_xll.BDP("306297T5 Muni","YIELD_ON_ISSUE_DATE")</f>
        <v>#N/A Requesting Data...</v>
      </c>
      <c r="N260" t="str">
        <f>_xll.BDP("306297T5 Muni","YTW_SPREAD_TO_MATURITY_AT_ISSU")</f>
        <v>#N/A Requesting Data...</v>
      </c>
      <c r="O260" t="str">
        <f>_xll.BDP("306297T5 Muni","BVAL_MID_YTM")</f>
        <v>#N/A Requesting Data...</v>
      </c>
      <c r="P260" t="str">
        <f>_xll.BDP("306297T5 Muni","MUNI_TAX_PROV")</f>
        <v>#N/A Requesting Data...</v>
      </c>
      <c r="Q260" t="str">
        <f>_xll.BDP("306297T5 Muni","MUNI_FED_TAX")</f>
        <v>#N/A Requesting Data...</v>
      </c>
      <c r="R260" t="str">
        <f>_xll.BDP("306297T5 Muni","MUNI_MSRB_VOLUME")</f>
        <v>#N/A Requesting Data...</v>
      </c>
      <c r="S260" t="str">
        <f>_xll.BDP("306297T5 Muni","BB_COMPOSITE")</f>
        <v>#N/A Requesting Data...</v>
      </c>
      <c r="T260" t="str">
        <f>_xll.BDP("306297T5 Muni","LQA_LIQUIDITY_SCORE")</f>
        <v>#N/A Requesting Data...</v>
      </c>
    </row>
    <row r="261" spans="1:20" x14ac:dyDescent="0.25">
      <c r="A261" t="str">
        <f>_xll.BDP("307342HF Muni","ID_CUSIP")</f>
        <v>#N/A Requesting Data...</v>
      </c>
      <c r="B261" t="s">
        <v>74</v>
      </c>
      <c r="C261" t="str">
        <f>_xll.BDP("307342HF Muni","INSURANCE_STATUS")</f>
        <v>#N/A Requesting Data...</v>
      </c>
      <c r="D261" t="str">
        <f>_xll.BDP("307342HF Muni","STATE_CODE")</f>
        <v>#N/A Requesting Data...</v>
      </c>
      <c r="E261" t="str">
        <f>_xll.BDP("307342HF Muni","COUNTY_LOCATION_ISSUER")</f>
        <v>#N/A Requesting Data...</v>
      </c>
      <c r="F261" t="str">
        <f>_xll.BDP("307342HF Muni","DUR_ADJ_MID")</f>
        <v>#N/A Requesting Data...</v>
      </c>
      <c r="G261" t="str">
        <f>_xll.BDP("307342HF Muni","SPREAD_AT_ISSUANCE_TO_WORST")</f>
        <v>#N/A Requesting Data...</v>
      </c>
      <c r="H261" t="str">
        <f>_xll.BDP("307342HF Muni","ISSUE_DT")</f>
        <v>#N/A Requesting Data...</v>
      </c>
      <c r="I261" t="str">
        <f>_xll.BDS("307342HF Muni","MUNI_PURPOSE_SCHED", "aggregate=y")</f>
        <v>#N/A Requesting Data...</v>
      </c>
      <c r="J261" t="str">
        <f>_xll.BDP("307342HF Muni","CPN")</f>
        <v>#N/A Requesting Data...</v>
      </c>
      <c r="K261" t="str">
        <f>_xll.BDP("307342HF Muni","MATURITY")</f>
        <v>#N/A Requesting Data...</v>
      </c>
      <c r="L261">
        <v>40000</v>
      </c>
      <c r="M261" t="str">
        <f>_xll.BDP("307342HF Muni","YIELD_ON_ISSUE_DATE")</f>
        <v>#N/A Requesting Data...</v>
      </c>
      <c r="N261" t="str">
        <f>_xll.BDP("307342HF Muni","YTW_SPREAD_TO_MATURITY_AT_ISSU")</f>
        <v>#N/A Requesting Data...</v>
      </c>
      <c r="O261" t="str">
        <f>_xll.BDP("307342HF Muni","BVAL_MID_YTM")</f>
        <v>#N/A Requesting Data...</v>
      </c>
      <c r="P261" t="str">
        <f>_xll.BDP("307342HF Muni","MUNI_TAX_PROV")</f>
        <v>#N/A Requesting Data...</v>
      </c>
      <c r="Q261" t="str">
        <f>_xll.BDP("307342HF Muni","MUNI_FED_TAX")</f>
        <v>#N/A Requesting Data...</v>
      </c>
      <c r="R261" t="str">
        <f>_xll.BDP("307342HF Muni","MUNI_MSRB_VOLUME")</f>
        <v>#N/A Requesting Data...</v>
      </c>
      <c r="S261" t="str">
        <f>_xll.BDP("307342HF Muni","BB_COMPOSITE")</f>
        <v>#N/A Requesting Data...</v>
      </c>
      <c r="T261" t="str">
        <f>_xll.BDP("307342HF Muni","LQA_LIQUIDITY_SCORE")</f>
        <v>#N/A Requesting Data...</v>
      </c>
    </row>
    <row r="262" spans="1:20" x14ac:dyDescent="0.25">
      <c r="A262" t="str">
        <f>_xll.BDP("307342HG Muni","ID_CUSIP")</f>
        <v>#N/A Requesting Data...</v>
      </c>
      <c r="B262" t="s">
        <v>74</v>
      </c>
      <c r="C262" t="str">
        <f>_xll.BDP("307342HG Muni","INSURANCE_STATUS")</f>
        <v>#N/A Requesting Data...</v>
      </c>
      <c r="D262" t="str">
        <f>_xll.BDP("307342HG Muni","STATE_CODE")</f>
        <v>#N/A Requesting Data...</v>
      </c>
      <c r="E262" t="str">
        <f>_xll.BDP("307342HG Muni","COUNTY_LOCATION_ISSUER")</f>
        <v>#N/A Requesting Data...</v>
      </c>
      <c r="F262" t="str">
        <f>_xll.BDP("307342HG Muni","DUR_ADJ_MID")</f>
        <v>#N/A Requesting Data...</v>
      </c>
      <c r="G262" t="str">
        <f>_xll.BDP("307342HG Muni","SPREAD_AT_ISSUANCE_TO_WORST")</f>
        <v>#N/A Requesting Data...</v>
      </c>
      <c r="H262" t="str">
        <f>_xll.BDP("307342HG Muni","ISSUE_DT")</f>
        <v>#N/A Requesting Data...</v>
      </c>
      <c r="I262" t="str">
        <f>_xll.BDS("307342HG Muni","MUNI_PURPOSE_SCHED", "aggregate=y")</f>
        <v>#N/A Requesting Data...</v>
      </c>
      <c r="J262" t="str">
        <f>_xll.BDP("307342HG Muni","CPN")</f>
        <v>#N/A Requesting Data...</v>
      </c>
      <c r="K262" t="str">
        <f>_xll.BDP("307342HG Muni","MATURITY")</f>
        <v>#N/A Requesting Data...</v>
      </c>
      <c r="L262">
        <v>40000</v>
      </c>
      <c r="M262" t="str">
        <f>_xll.BDP("307342HG Muni","YIELD_ON_ISSUE_DATE")</f>
        <v>#N/A Requesting Data...</v>
      </c>
      <c r="N262" t="str">
        <f>_xll.BDP("307342HG Muni","YTW_SPREAD_TO_MATURITY_AT_ISSU")</f>
        <v>#N/A Requesting Data...</v>
      </c>
      <c r="O262" t="str">
        <f>_xll.BDP("307342HG Muni","BVAL_MID_YTM")</f>
        <v>#N/A Requesting Data...</v>
      </c>
      <c r="P262" t="str">
        <f>_xll.BDP("307342HG Muni","MUNI_TAX_PROV")</f>
        <v>#N/A Requesting Data...</v>
      </c>
      <c r="Q262" t="str">
        <f>_xll.BDP("307342HG Muni","MUNI_FED_TAX")</f>
        <v>#N/A Requesting Data...</v>
      </c>
      <c r="R262" t="str">
        <f>_xll.BDP("307342HG Muni","MUNI_MSRB_VOLUME")</f>
        <v>#N/A Requesting Data...</v>
      </c>
      <c r="S262" t="str">
        <f>_xll.BDP("307342HG Muni","BB_COMPOSITE")</f>
        <v>#N/A Requesting Data...</v>
      </c>
      <c r="T262" t="str">
        <f>_xll.BDP("307342HG Muni","LQA_LIQUIDITY_SCORE")</f>
        <v>#N/A Requesting Data...</v>
      </c>
    </row>
    <row r="263" spans="1:20" x14ac:dyDescent="0.25">
      <c r="A263" t="str">
        <f>_xll.BDP("364224LM Muni","ID_CUSIP")</f>
        <v>#N/A Requesting Data...</v>
      </c>
      <c r="B263" t="s">
        <v>103</v>
      </c>
      <c r="C263" t="str">
        <f>_xll.BDP("364224LM Muni","INSURANCE_STATUS")</f>
        <v>#N/A Requesting Data...</v>
      </c>
      <c r="D263" t="str">
        <f>_xll.BDP("364224LM Muni","STATE_CODE")</f>
        <v>#N/A Requesting Data...</v>
      </c>
      <c r="E263" t="str">
        <f>_xll.BDP("364224LM Muni","COUNTY_LOCATION_ISSUER")</f>
        <v>#N/A Requesting Data...</v>
      </c>
      <c r="F263" t="str">
        <f>_xll.BDP("364224LM Muni","DUR_ADJ_MID")</f>
        <v>#N/A Requesting Data...</v>
      </c>
      <c r="G263" t="str">
        <f>_xll.BDP("364224LM Muni","SPREAD_AT_ISSUANCE_TO_WORST")</f>
        <v>#N/A Requesting Data...</v>
      </c>
      <c r="H263" t="str">
        <f>_xll.BDP("364224LM Muni","ISSUE_DT")</f>
        <v>#N/A Requesting Data...</v>
      </c>
      <c r="I263" t="str">
        <f>_xll.BDS("364224LM Muni","MUNI_PURPOSE_SCHED", "aggregate=y")</f>
        <v>#N/A Requesting Data...</v>
      </c>
      <c r="J263" t="str">
        <f>_xll.BDP("364224LM Muni","CPN")</f>
        <v>#N/A Requesting Data...</v>
      </c>
      <c r="K263" t="str">
        <f>_xll.BDP("364224LM Muni","MATURITY")</f>
        <v>#N/A Requesting Data...</v>
      </c>
      <c r="L263">
        <v>375000</v>
      </c>
      <c r="M263" t="str">
        <f>_xll.BDP("364224LM Muni","YIELD_ON_ISSUE_DATE")</f>
        <v>#N/A Requesting Data...</v>
      </c>
      <c r="N263" t="str">
        <f>_xll.BDP("364224LM Muni","YTW_SPREAD_TO_MATURITY_AT_ISSU")</f>
        <v>#N/A Requesting Data...</v>
      </c>
      <c r="O263" t="str">
        <f>_xll.BDP("364224LM Muni","BVAL_MID_YTM")</f>
        <v>#N/A Requesting Data...</v>
      </c>
      <c r="P263" t="str">
        <f>_xll.BDP("364224LM Muni","MUNI_TAX_PROV")</f>
        <v>#N/A Requesting Data...</v>
      </c>
      <c r="Q263" t="str">
        <f>_xll.BDP("364224LM Muni","MUNI_FED_TAX")</f>
        <v>#N/A Requesting Data...</v>
      </c>
      <c r="R263" t="str">
        <f>_xll.BDP("364224LM Muni","MUNI_MSRB_VOLUME")</f>
        <v>#N/A Requesting Data...</v>
      </c>
      <c r="S263" t="str">
        <f>_xll.BDP("364224LM Muni","BB_COMPOSITE")</f>
        <v>#N/A Requesting Data...</v>
      </c>
      <c r="T263" t="str">
        <f>_xll.BDP("364224LM Muni","LQA_LIQUIDITY_SCORE")</f>
        <v>#N/A Requesting Data...</v>
      </c>
    </row>
    <row r="264" spans="1:20" x14ac:dyDescent="0.25">
      <c r="A264" t="str">
        <f>_xll.BDP("364224LN Muni","ID_CUSIP")</f>
        <v>#N/A Requesting Data...</v>
      </c>
      <c r="B264" t="s">
        <v>103</v>
      </c>
      <c r="C264" t="str">
        <f>_xll.BDP("364224LN Muni","INSURANCE_STATUS")</f>
        <v>#N/A Requesting Data...</v>
      </c>
      <c r="D264" t="str">
        <f>_xll.BDP("364224LN Muni","STATE_CODE")</f>
        <v>#N/A Requesting Data...</v>
      </c>
      <c r="E264" t="str">
        <f>_xll.BDP("364224LN Muni","COUNTY_LOCATION_ISSUER")</f>
        <v>#N/A Requesting Data...</v>
      </c>
      <c r="F264" t="str">
        <f>_xll.BDP("364224LN Muni","DUR_ADJ_MID")</f>
        <v>#N/A Requesting Data...</v>
      </c>
      <c r="G264" t="str">
        <f>_xll.BDP("364224LN Muni","SPREAD_AT_ISSUANCE_TO_WORST")</f>
        <v>#N/A Requesting Data...</v>
      </c>
      <c r="H264" t="str">
        <f>_xll.BDP("364224LN Muni","ISSUE_DT")</f>
        <v>#N/A Requesting Data...</v>
      </c>
      <c r="I264" t="str">
        <f>_xll.BDS("364224LN Muni","MUNI_PURPOSE_SCHED", "aggregate=y")</f>
        <v>#N/A Requesting Data...</v>
      </c>
      <c r="J264" t="str">
        <f>_xll.BDP("364224LN Muni","CPN")</f>
        <v>#N/A Requesting Data...</v>
      </c>
      <c r="K264" t="str">
        <f>_xll.BDP("364224LN Muni","MATURITY")</f>
        <v>#N/A Requesting Data...</v>
      </c>
      <c r="L264">
        <v>400000</v>
      </c>
      <c r="M264" t="str">
        <f>_xll.BDP("364224LN Muni","YIELD_ON_ISSUE_DATE")</f>
        <v>#N/A Requesting Data...</v>
      </c>
      <c r="N264" t="str">
        <f>_xll.BDP("364224LN Muni","YTW_SPREAD_TO_MATURITY_AT_ISSU")</f>
        <v>#N/A Requesting Data...</v>
      </c>
      <c r="O264" t="str">
        <f>_xll.BDP("364224LN Muni","BVAL_MID_YTM")</f>
        <v>#N/A Requesting Data...</v>
      </c>
      <c r="P264" t="str">
        <f>_xll.BDP("364224LN Muni","MUNI_TAX_PROV")</f>
        <v>#N/A Requesting Data...</v>
      </c>
      <c r="Q264" t="str">
        <f>_xll.BDP("364224LN Muni","MUNI_FED_TAX")</f>
        <v>#N/A Requesting Data...</v>
      </c>
      <c r="R264" t="str">
        <f>_xll.BDP("364224LN Muni","MUNI_MSRB_VOLUME")</f>
        <v>#N/A Requesting Data...</v>
      </c>
      <c r="S264" t="str">
        <f>_xll.BDP("364224LN Muni","BB_COMPOSITE")</f>
        <v>#N/A Requesting Data...</v>
      </c>
      <c r="T264" t="str">
        <f>_xll.BDP("364224LN Muni","LQA_LIQUIDITY_SCORE")</f>
        <v>#N/A Requesting Data...</v>
      </c>
    </row>
    <row r="265" spans="1:20" x14ac:dyDescent="0.25">
      <c r="A265" t="str">
        <f>_xll.BDP("36422PCG Muni","ID_CUSIP")</f>
        <v>#N/A Requesting Data...</v>
      </c>
      <c r="B265" t="s">
        <v>76</v>
      </c>
      <c r="C265" t="str">
        <f>_xll.BDP("36422PCG Muni","INSURANCE_STATUS")</f>
        <v>#N/A Requesting Data...</v>
      </c>
      <c r="D265" t="str">
        <f>_xll.BDP("36422PCG Muni","STATE_CODE")</f>
        <v>#N/A Requesting Data...</v>
      </c>
      <c r="E265" t="str">
        <f>_xll.BDP("36422PCG Muni","COUNTY_LOCATION_ISSUER")</f>
        <v>#N/A Requesting Data...</v>
      </c>
      <c r="F265" t="str">
        <f>_xll.BDP("36422PCG Muni","DUR_ADJ_MID")</f>
        <v>#N/A Requesting Data...</v>
      </c>
      <c r="G265" t="str">
        <f>_xll.BDP("36422PCG Muni","SPREAD_AT_ISSUANCE_TO_WORST")</f>
        <v>#N/A Requesting Data...</v>
      </c>
      <c r="H265" t="str">
        <f>_xll.BDP("36422PCG Muni","ISSUE_DT")</f>
        <v>#N/A Requesting Data...</v>
      </c>
      <c r="I265" t="str">
        <f>_xll.BDS("36422PCG Muni","MUNI_PURPOSE_SCHED", "aggregate=y")</f>
        <v>#N/A Requesting Data...</v>
      </c>
      <c r="J265" t="str">
        <f>_xll.BDP("36422PCG Muni","CPN")</f>
        <v>#N/A Requesting Data...</v>
      </c>
      <c r="K265" t="str">
        <f>_xll.BDP("36422PCG Muni","MATURITY")</f>
        <v>#N/A Requesting Data...</v>
      </c>
      <c r="L265">
        <v>80000</v>
      </c>
      <c r="M265" t="str">
        <f>_xll.BDP("36422PCG Muni","YIELD_ON_ISSUE_DATE")</f>
        <v>#N/A Requesting Data...</v>
      </c>
      <c r="N265" t="str">
        <f>_xll.BDP("36422PCG Muni","YTW_SPREAD_TO_MATURITY_AT_ISSU")</f>
        <v>#N/A Requesting Data...</v>
      </c>
      <c r="O265" t="str">
        <f>_xll.BDP("36422PCG Muni","BVAL_MID_YTM")</f>
        <v>#N/A Requesting Data...</v>
      </c>
      <c r="P265" t="str">
        <f>_xll.BDP("36422PCG Muni","MUNI_TAX_PROV")</f>
        <v>#N/A Requesting Data...</v>
      </c>
      <c r="Q265" t="str">
        <f>_xll.BDP("36422PCG Muni","MUNI_FED_TAX")</f>
        <v>#N/A Requesting Data...</v>
      </c>
      <c r="R265" t="str">
        <f>_xll.BDP("36422PCG Muni","MUNI_MSRB_VOLUME")</f>
        <v>#N/A Requesting Data...</v>
      </c>
      <c r="S265" t="str">
        <f>_xll.BDP("36422PCG Muni","BB_COMPOSITE")</f>
        <v>#N/A Requesting Data...</v>
      </c>
      <c r="T265" t="str">
        <f>_xll.BDP("36422PCG Muni","LQA_LIQUIDITY_SCORE")</f>
        <v>#N/A Requesting Data...</v>
      </c>
    </row>
    <row r="266" spans="1:20" x14ac:dyDescent="0.25">
      <c r="A266" t="str">
        <f>_xll.BDP("36422RCD Muni","ID_CUSIP")</f>
        <v>#N/A Requesting Data...</v>
      </c>
      <c r="B266" t="s">
        <v>77</v>
      </c>
      <c r="C266" t="str">
        <f>_xll.BDP("36422RCD Muni","INSURANCE_STATUS")</f>
        <v>#N/A Requesting Data...</v>
      </c>
      <c r="D266" t="str">
        <f>_xll.BDP("36422RCD Muni","STATE_CODE")</f>
        <v>#N/A Requesting Data...</v>
      </c>
      <c r="E266" t="str">
        <f>_xll.BDP("36422RCD Muni","COUNTY_LOCATION_ISSUER")</f>
        <v>#N/A Requesting Data...</v>
      </c>
      <c r="F266" t="str">
        <f>_xll.BDP("36422RCD Muni","DUR_ADJ_MID")</f>
        <v>#N/A Requesting Data...</v>
      </c>
      <c r="G266" t="str">
        <f>_xll.BDP("36422RCD Muni","SPREAD_AT_ISSUANCE_TO_WORST")</f>
        <v>#N/A Requesting Data...</v>
      </c>
      <c r="H266" t="str">
        <f>_xll.BDP("36422RCD Muni","ISSUE_DT")</f>
        <v>#N/A Requesting Data...</v>
      </c>
      <c r="I266" t="str">
        <f>_xll.BDS("36422RCD Muni","MUNI_PURPOSE_SCHED", "aggregate=y")</f>
        <v>#N/A Requesting Data...</v>
      </c>
      <c r="J266" t="str">
        <f>_xll.BDP("36422RCD Muni","CPN")</f>
        <v>#N/A Requesting Data...</v>
      </c>
      <c r="K266" t="str">
        <f>_xll.BDP("36422RCD Muni","MATURITY")</f>
        <v>#N/A Requesting Data...</v>
      </c>
      <c r="L266">
        <v>230000</v>
      </c>
      <c r="M266" t="str">
        <f>_xll.BDP("36422RCD Muni","YIELD_ON_ISSUE_DATE")</f>
        <v>#N/A Requesting Data...</v>
      </c>
      <c r="N266" t="str">
        <f>_xll.BDP("36422RCD Muni","YTW_SPREAD_TO_MATURITY_AT_ISSU")</f>
        <v>#N/A Requesting Data...</v>
      </c>
      <c r="O266" t="str">
        <f>_xll.BDP("36422RCD Muni","BVAL_MID_YTM")</f>
        <v>#N/A Requesting Data...</v>
      </c>
      <c r="P266" t="str">
        <f>_xll.BDP("36422RCD Muni","MUNI_TAX_PROV")</f>
        <v>#N/A Requesting Data...</v>
      </c>
      <c r="Q266" t="str">
        <f>_xll.BDP("36422RCD Muni","MUNI_FED_TAX")</f>
        <v>#N/A Requesting Data...</v>
      </c>
      <c r="R266" t="str">
        <f>_xll.BDP("36422RCD Muni","MUNI_MSRB_VOLUME")</f>
        <v>#N/A Requesting Data...</v>
      </c>
      <c r="S266" t="str">
        <f>_xll.BDP("36422RCD Muni","BB_COMPOSITE")</f>
        <v>#N/A Requesting Data...</v>
      </c>
      <c r="T266" t="str">
        <f>_xll.BDP("36422RCD Muni","LQA_LIQUIDITY_SCORE")</f>
        <v>#N/A Requesting Data...</v>
      </c>
    </row>
    <row r="267" spans="1:20" x14ac:dyDescent="0.25">
      <c r="A267" t="str">
        <f>_xll.BDP("289425WK Muni","ID_CUSIP")</f>
        <v>#N/A Requesting Data...</v>
      </c>
      <c r="B267" t="s">
        <v>79</v>
      </c>
      <c r="C267" t="str">
        <f>_xll.BDP("289425WK Muni","INSURANCE_STATUS")</f>
        <v>#N/A Requesting Data...</v>
      </c>
      <c r="D267" t="str">
        <f>_xll.BDP("289425WK Muni","STATE_CODE")</f>
        <v>#N/A Requesting Data...</v>
      </c>
      <c r="E267" t="str">
        <f>_xll.BDP("289425WK Muni","COUNTY_LOCATION_ISSUER")</f>
        <v>#N/A Requesting Data...</v>
      </c>
      <c r="F267" t="str">
        <f>_xll.BDP("289425WK Muni","DUR_ADJ_MID")</f>
        <v>#N/A Requesting Data...</v>
      </c>
      <c r="G267" t="str">
        <f>_xll.BDP("289425WK Muni","SPREAD_AT_ISSUANCE_TO_WORST")</f>
        <v>#N/A Requesting Data...</v>
      </c>
      <c r="H267" t="str">
        <f>_xll.BDP("289425WK Muni","ISSUE_DT")</f>
        <v>#N/A Requesting Data...</v>
      </c>
      <c r="I267" t="str">
        <f>_xll.BDS("289425WK Muni","MUNI_PURPOSE_SCHED", "aggregate=y")</f>
        <v>#N/A Requesting Data...</v>
      </c>
      <c r="J267" t="str">
        <f>_xll.BDP("289425WK Muni","CPN")</f>
        <v>#N/A Requesting Data...</v>
      </c>
      <c r="K267" t="str">
        <f>_xll.BDP("289425WK Muni","MATURITY")</f>
        <v>#N/A Requesting Data...</v>
      </c>
      <c r="L267">
        <v>365000</v>
      </c>
      <c r="M267" t="str">
        <f>_xll.BDP("289425WK Muni","YIELD_ON_ISSUE_DATE")</f>
        <v>#N/A Requesting Data...</v>
      </c>
      <c r="N267" t="str">
        <f>_xll.BDP("289425WK Muni","YTW_SPREAD_TO_MATURITY_AT_ISSU")</f>
        <v>#N/A Requesting Data...</v>
      </c>
      <c r="O267" t="str">
        <f>_xll.BDP("289425WK Muni","BVAL_MID_YTM")</f>
        <v>#N/A Requesting Data...</v>
      </c>
      <c r="P267" t="str">
        <f>_xll.BDP("289425WK Muni","MUNI_TAX_PROV")</f>
        <v>#N/A Requesting Data...</v>
      </c>
      <c r="Q267" t="str">
        <f>_xll.BDP("289425WK Muni","MUNI_FED_TAX")</f>
        <v>#N/A Requesting Data...</v>
      </c>
      <c r="R267" t="str">
        <f>_xll.BDP("289425WK Muni","MUNI_MSRB_VOLUME")</f>
        <v>#N/A Requesting Data...</v>
      </c>
      <c r="S267" t="str">
        <f>_xll.BDP("289425WK Muni","BB_COMPOSITE")</f>
        <v>#N/A Requesting Data...</v>
      </c>
      <c r="T267" t="str">
        <f>_xll.BDP("289425WK Muni","LQA_LIQUIDITY_SCORE")</f>
        <v>#N/A Requesting Data...</v>
      </c>
    </row>
    <row r="268" spans="1:20" x14ac:dyDescent="0.25">
      <c r="A268" t="str">
        <f>_xll.BDP("289425WM Muni","ID_CUSIP")</f>
        <v>#N/A Requesting Data...</v>
      </c>
      <c r="B268" t="s">
        <v>79</v>
      </c>
      <c r="C268" t="str">
        <f>_xll.BDP("289425WM Muni","INSURANCE_STATUS")</f>
        <v>#N/A Requesting Data...</v>
      </c>
      <c r="D268" t="str">
        <f>_xll.BDP("289425WM Muni","STATE_CODE")</f>
        <v>#N/A Requesting Data...</v>
      </c>
      <c r="E268" t="str">
        <f>_xll.BDP("289425WM Muni","COUNTY_LOCATION_ISSUER")</f>
        <v>#N/A Requesting Data...</v>
      </c>
      <c r="F268" t="str">
        <f>_xll.BDP("289425WM Muni","DUR_ADJ_MID")</f>
        <v>#N/A Requesting Data...</v>
      </c>
      <c r="G268" t="str">
        <f>_xll.BDP("289425WM Muni","SPREAD_AT_ISSUANCE_TO_WORST")</f>
        <v>#N/A Requesting Data...</v>
      </c>
      <c r="H268" t="str">
        <f>_xll.BDP("289425WM Muni","ISSUE_DT")</f>
        <v>#N/A Requesting Data...</v>
      </c>
      <c r="I268" t="str">
        <f>_xll.BDS("289425WM Muni","MUNI_PURPOSE_SCHED", "aggregate=y")</f>
        <v>#N/A Requesting Data...</v>
      </c>
      <c r="J268" t="str">
        <f>_xll.BDP("289425WM Muni","CPN")</f>
        <v>#N/A Requesting Data...</v>
      </c>
      <c r="K268" t="str">
        <f>_xll.BDP("289425WM Muni","MATURITY")</f>
        <v>#N/A Requesting Data...</v>
      </c>
      <c r="L268">
        <v>405000</v>
      </c>
      <c r="M268" t="str">
        <f>_xll.BDP("289425WM Muni","YIELD_ON_ISSUE_DATE")</f>
        <v>#N/A Requesting Data...</v>
      </c>
      <c r="N268" t="str">
        <f>_xll.BDP("289425WM Muni","YTW_SPREAD_TO_MATURITY_AT_ISSU")</f>
        <v>#N/A Requesting Data...</v>
      </c>
      <c r="O268" t="str">
        <f>_xll.BDP("289425WM Muni","BVAL_MID_YTM")</f>
        <v>#N/A Requesting Data...</v>
      </c>
      <c r="P268" t="str">
        <f>_xll.BDP("289425WM Muni","MUNI_TAX_PROV")</f>
        <v>#N/A Requesting Data...</v>
      </c>
      <c r="Q268" t="str">
        <f>_xll.BDP("289425WM Muni","MUNI_FED_TAX")</f>
        <v>#N/A Requesting Data...</v>
      </c>
      <c r="R268" t="str">
        <f>_xll.BDP("289425WM Muni","MUNI_MSRB_VOLUME")</f>
        <v>#N/A Requesting Data...</v>
      </c>
      <c r="S268" t="str">
        <f>_xll.BDP("289425WM Muni","BB_COMPOSITE")</f>
        <v>#N/A Requesting Data...</v>
      </c>
      <c r="T268" t="str">
        <f>_xll.BDP("289425WM Muni","LQA_LIQUIDITY_SCORE")</f>
        <v>#N/A Requesting Data...</v>
      </c>
    </row>
    <row r="269" spans="1:20" x14ac:dyDescent="0.25">
      <c r="A269" t="str">
        <f>_xll.BDP("289425WP Muni","ID_CUSIP")</f>
        <v>#N/A Requesting Data...</v>
      </c>
      <c r="B269" t="s">
        <v>79</v>
      </c>
      <c r="C269" t="str">
        <f>_xll.BDP("289425WP Muni","INSURANCE_STATUS")</f>
        <v>#N/A Requesting Data...</v>
      </c>
      <c r="D269" t="str">
        <f>_xll.BDP("289425WP Muni","STATE_CODE")</f>
        <v>#N/A Requesting Data...</v>
      </c>
      <c r="E269" t="str">
        <f>_xll.BDP("289425WP Muni","COUNTY_LOCATION_ISSUER")</f>
        <v>#N/A Requesting Data...</v>
      </c>
      <c r="F269" t="str">
        <f>_xll.BDP("289425WP Muni","DUR_ADJ_MID")</f>
        <v>#N/A Requesting Data...</v>
      </c>
      <c r="G269" t="str">
        <f>_xll.BDP("289425WP Muni","SPREAD_AT_ISSUANCE_TO_WORST")</f>
        <v>#N/A Requesting Data...</v>
      </c>
      <c r="H269" t="str">
        <f>_xll.BDP("289425WP Muni","ISSUE_DT")</f>
        <v>#N/A Requesting Data...</v>
      </c>
      <c r="I269" t="str">
        <f>_xll.BDS("289425WP Muni","MUNI_PURPOSE_SCHED", "aggregate=y")</f>
        <v>#N/A Requesting Data...</v>
      </c>
      <c r="J269" t="str">
        <f>_xll.BDP("289425WP Muni","CPN")</f>
        <v>#N/A Requesting Data...</v>
      </c>
      <c r="K269" t="str">
        <f>_xll.BDP("289425WP Muni","MATURITY")</f>
        <v>#N/A Requesting Data...</v>
      </c>
      <c r="L269">
        <v>445000</v>
      </c>
      <c r="M269" t="str">
        <f>_xll.BDP("289425WP Muni","YIELD_ON_ISSUE_DATE")</f>
        <v>#N/A Requesting Data...</v>
      </c>
      <c r="N269" t="str">
        <f>_xll.BDP("289425WP Muni","YTW_SPREAD_TO_MATURITY_AT_ISSU")</f>
        <v>#N/A Requesting Data...</v>
      </c>
      <c r="O269" t="str">
        <f>_xll.BDP("289425WP Muni","BVAL_MID_YTM")</f>
        <v>#N/A Requesting Data...</v>
      </c>
      <c r="P269" t="str">
        <f>_xll.BDP("289425WP Muni","MUNI_TAX_PROV")</f>
        <v>#N/A Requesting Data...</v>
      </c>
      <c r="Q269" t="str">
        <f>_xll.BDP("289425WP Muni","MUNI_FED_TAX")</f>
        <v>#N/A Requesting Data...</v>
      </c>
      <c r="R269" t="str">
        <f>_xll.BDP("289425WP Muni","MUNI_MSRB_VOLUME")</f>
        <v>#N/A Requesting Data...</v>
      </c>
      <c r="S269" t="str">
        <f>_xll.BDP("289425WP Muni","BB_COMPOSITE")</f>
        <v>#N/A Requesting Data...</v>
      </c>
      <c r="T269" t="str">
        <f>_xll.BDP("289425WP Muni","LQA_LIQUIDITY_SCORE")</f>
        <v>#N/A Requesting Data...</v>
      </c>
    </row>
    <row r="270" spans="1:20" x14ac:dyDescent="0.25">
      <c r="A270" t="str">
        <f>_xll.BDP("36423BFF Muni","ID_CUSIP")</f>
        <v>#N/A Requesting Data...</v>
      </c>
      <c r="B270" t="s">
        <v>80</v>
      </c>
      <c r="C270" t="str">
        <f>_xll.BDP("36423BFF Muni","INSURANCE_STATUS")</f>
        <v>#N/A Requesting Data...</v>
      </c>
      <c r="D270" t="str">
        <f>_xll.BDP("36423BFF Muni","STATE_CODE")</f>
        <v>#N/A Requesting Data...</v>
      </c>
      <c r="E270" t="str">
        <f>_xll.BDP("36423BFF Muni","COUNTY_LOCATION_ISSUER")</f>
        <v>#N/A Requesting Data...</v>
      </c>
      <c r="F270" t="str">
        <f>_xll.BDP("36423BFF Muni","DUR_ADJ_MID")</f>
        <v>#N/A Requesting Data...</v>
      </c>
      <c r="G270" t="str">
        <f>_xll.BDP("36423BFF Muni","SPREAD_AT_ISSUANCE_TO_WORST")</f>
        <v>#N/A Requesting Data...</v>
      </c>
      <c r="H270" t="str">
        <f>_xll.BDP("36423BFF Muni","ISSUE_DT")</f>
        <v>#N/A Requesting Data...</v>
      </c>
      <c r="I270" t="str">
        <f>_xll.BDS("36423BFF Muni","MUNI_PURPOSE_SCHED", "aggregate=y")</f>
        <v>#N/A Requesting Data...</v>
      </c>
      <c r="J270" t="str">
        <f>_xll.BDP("36423BFF Muni","CPN")</f>
        <v>#N/A Requesting Data...</v>
      </c>
      <c r="K270" t="str">
        <f>_xll.BDP("36423BFF Muni","MATURITY")</f>
        <v>#N/A Requesting Data...</v>
      </c>
      <c r="L270">
        <v>125000</v>
      </c>
      <c r="M270" t="str">
        <f>_xll.BDP("36423BFF Muni","YIELD_ON_ISSUE_DATE")</f>
        <v>#N/A Requesting Data...</v>
      </c>
      <c r="N270" t="str">
        <f>_xll.BDP("36423BFF Muni","YTW_SPREAD_TO_MATURITY_AT_ISSU")</f>
        <v>#N/A Requesting Data...</v>
      </c>
      <c r="O270" t="str">
        <f>_xll.BDP("36423BFF Muni","BVAL_MID_YTM")</f>
        <v>#N/A Requesting Data...</v>
      </c>
      <c r="P270" t="str">
        <f>_xll.BDP("36423BFF Muni","MUNI_TAX_PROV")</f>
        <v>#N/A Requesting Data...</v>
      </c>
      <c r="Q270" t="str">
        <f>_xll.BDP("36423BFF Muni","MUNI_FED_TAX")</f>
        <v>#N/A Requesting Data...</v>
      </c>
      <c r="R270" t="str">
        <f>_xll.BDP("36423BFF Muni","MUNI_MSRB_VOLUME")</f>
        <v>#N/A Requesting Data...</v>
      </c>
      <c r="S270" t="str">
        <f>_xll.BDP("36423BFF Muni","BB_COMPOSITE")</f>
        <v>#N/A Requesting Data...</v>
      </c>
      <c r="T270" t="str">
        <f>_xll.BDP("36423BFF Muni","LQA_LIQUIDITY_SCORE")</f>
        <v>#N/A Requesting Data...</v>
      </c>
    </row>
    <row r="271" spans="1:20" x14ac:dyDescent="0.25">
      <c r="A271" t="str">
        <f>_xll.BDP("36423EDT Muni","ID_CUSIP")</f>
        <v>#N/A Requesting Data...</v>
      </c>
      <c r="B271" t="s">
        <v>82</v>
      </c>
      <c r="C271" t="str">
        <f>_xll.BDP("36423EDT Muni","INSURANCE_STATUS")</f>
        <v>#N/A Requesting Data...</v>
      </c>
      <c r="D271" t="str">
        <f>_xll.BDP("36423EDT Muni","STATE_CODE")</f>
        <v>#N/A Requesting Data...</v>
      </c>
      <c r="E271" t="str">
        <f>_xll.BDP("36423EDT Muni","COUNTY_LOCATION_ISSUER")</f>
        <v>#N/A Requesting Data...</v>
      </c>
      <c r="F271" t="str">
        <f>_xll.BDP("36423EDT Muni","DUR_ADJ_MID")</f>
        <v>#N/A Requesting Data...</v>
      </c>
      <c r="G271" t="str">
        <f>_xll.BDP("36423EDT Muni","SPREAD_AT_ISSUANCE_TO_WORST")</f>
        <v>#N/A Requesting Data...</v>
      </c>
      <c r="H271" t="str">
        <f>_xll.BDP("36423EDT Muni","ISSUE_DT")</f>
        <v>#N/A Requesting Data...</v>
      </c>
      <c r="I271" t="str">
        <f>_xll.BDS("36423EDT Muni","MUNI_PURPOSE_SCHED", "aggregate=y")</f>
        <v>#N/A Requesting Data...</v>
      </c>
      <c r="J271" t="str">
        <f>_xll.BDP("36423EDT Muni","CPN")</f>
        <v>#N/A Requesting Data...</v>
      </c>
      <c r="K271" t="str">
        <f>_xll.BDP("36423EDT Muni","MATURITY")</f>
        <v>#N/A Requesting Data...</v>
      </c>
      <c r="L271">
        <v>140000</v>
      </c>
      <c r="M271" t="str">
        <f>_xll.BDP("36423EDT Muni","YIELD_ON_ISSUE_DATE")</f>
        <v>#N/A Requesting Data...</v>
      </c>
      <c r="N271" t="str">
        <f>_xll.BDP("36423EDT Muni","YTW_SPREAD_TO_MATURITY_AT_ISSU")</f>
        <v>#N/A Requesting Data...</v>
      </c>
      <c r="O271" t="str">
        <f>_xll.BDP("36423EDT Muni","BVAL_MID_YTM")</f>
        <v>#N/A Requesting Data...</v>
      </c>
      <c r="P271" t="str">
        <f>_xll.BDP("36423EDT Muni","MUNI_TAX_PROV")</f>
        <v>#N/A Requesting Data...</v>
      </c>
      <c r="Q271" t="str">
        <f>_xll.BDP("36423EDT Muni","MUNI_FED_TAX")</f>
        <v>#N/A Requesting Data...</v>
      </c>
      <c r="R271" t="str">
        <f>_xll.BDP("36423EDT Muni","MUNI_MSRB_VOLUME")</f>
        <v>#N/A Requesting Data...</v>
      </c>
      <c r="S271" t="str">
        <f>_xll.BDP("36423EDT Muni","BB_COMPOSITE")</f>
        <v>#N/A Requesting Data...</v>
      </c>
      <c r="T271" t="str">
        <f>_xll.BDP("36423EDT Muni","LQA_LIQUIDITY_SCORE")</f>
        <v>#N/A Requesting Data...</v>
      </c>
    </row>
    <row r="272" spans="1:20" x14ac:dyDescent="0.25">
      <c r="A272" t="str">
        <f>_xll.BDP("36423GBF Muni","ID_CUSIP")</f>
        <v>#N/A Requesting Data...</v>
      </c>
      <c r="B272" t="s">
        <v>83</v>
      </c>
      <c r="C272" t="str">
        <f>_xll.BDP("36423GBF Muni","INSURANCE_STATUS")</f>
        <v>#N/A Requesting Data...</v>
      </c>
      <c r="D272" t="str">
        <f>_xll.BDP("36423GBF Muni","STATE_CODE")</f>
        <v>#N/A Requesting Data...</v>
      </c>
      <c r="E272" t="str">
        <f>_xll.BDP("36423GBF Muni","COUNTY_LOCATION_ISSUER")</f>
        <v>#N/A Requesting Data...</v>
      </c>
      <c r="F272" t="str">
        <f>_xll.BDP("36423GBF Muni","DUR_ADJ_MID")</f>
        <v>#N/A Requesting Data...</v>
      </c>
      <c r="G272" t="str">
        <f>_xll.BDP("36423GBF Muni","SPREAD_AT_ISSUANCE_TO_WORST")</f>
        <v>#N/A Requesting Data...</v>
      </c>
      <c r="H272" t="str">
        <f>_xll.BDP("36423GBF Muni","ISSUE_DT")</f>
        <v>#N/A Requesting Data...</v>
      </c>
      <c r="I272" t="str">
        <f>_xll.BDS("36423GBF Muni","MUNI_PURPOSE_SCHED", "aggregate=y")</f>
        <v>#N/A Requesting Data...</v>
      </c>
      <c r="J272" t="str">
        <f>_xll.BDP("36423GBF Muni","CPN")</f>
        <v>#N/A Requesting Data...</v>
      </c>
      <c r="K272" t="str">
        <f>_xll.BDP("36423GBF Muni","MATURITY")</f>
        <v>#N/A Requesting Data...</v>
      </c>
      <c r="L272">
        <v>220000</v>
      </c>
      <c r="M272" t="str">
        <f>_xll.BDP("36423GBF Muni","YIELD_ON_ISSUE_DATE")</f>
        <v>#N/A Requesting Data...</v>
      </c>
      <c r="N272" t="str">
        <f>_xll.BDP("36423GBF Muni","YTW_SPREAD_TO_MATURITY_AT_ISSU")</f>
        <v>#N/A Requesting Data...</v>
      </c>
      <c r="O272" t="str">
        <f>_xll.BDP("36423GBF Muni","BVAL_MID_YTM")</f>
        <v>#N/A Requesting Data...</v>
      </c>
      <c r="P272" t="str">
        <f>_xll.BDP("36423GBF Muni","MUNI_TAX_PROV")</f>
        <v>#N/A Requesting Data...</v>
      </c>
      <c r="Q272" t="str">
        <f>_xll.BDP("36423GBF Muni","MUNI_FED_TAX")</f>
        <v>#N/A Requesting Data...</v>
      </c>
      <c r="R272" t="str">
        <f>_xll.BDP("36423GBF Muni","MUNI_MSRB_VOLUME")</f>
        <v>#N/A Requesting Data...</v>
      </c>
      <c r="S272" t="str">
        <f>_xll.BDP("36423GBF Muni","BB_COMPOSITE")</f>
        <v>#N/A Requesting Data...</v>
      </c>
      <c r="T272" t="str">
        <f>_xll.BDP("36423GBF Muni","LQA_LIQUIDITY_SCORE")</f>
        <v>#N/A Requesting Data...</v>
      </c>
    </row>
    <row r="273" spans="1:20" x14ac:dyDescent="0.25">
      <c r="A273" t="str">
        <f>_xll.BDP("292281F6 Muni","ID_CUSIP")</f>
        <v>#N/A Requesting Data...</v>
      </c>
      <c r="B273" t="s">
        <v>104</v>
      </c>
      <c r="C273" t="str">
        <f>_xll.BDP("292281F6 Muni","INSURANCE_STATUS")</f>
        <v>#N/A Requesting Data...</v>
      </c>
      <c r="D273" t="str">
        <f>_xll.BDP("292281F6 Muni","STATE_CODE")</f>
        <v>#N/A Requesting Data...</v>
      </c>
      <c r="E273" t="str">
        <f>_xll.BDP("292281F6 Muni","COUNTY_LOCATION_ISSUER")</f>
        <v>#N/A Requesting Data...</v>
      </c>
      <c r="F273" t="str">
        <f>_xll.BDP("292281F6 Muni","DUR_ADJ_MID")</f>
        <v>#N/A Requesting Data...</v>
      </c>
      <c r="G273" t="str">
        <f>_xll.BDP("292281F6 Muni","SPREAD_AT_ISSUANCE_TO_WORST")</f>
        <v>#N/A Requesting Data...</v>
      </c>
      <c r="H273" t="str">
        <f>_xll.BDP("292281F6 Muni","ISSUE_DT")</f>
        <v>#N/A Requesting Data...</v>
      </c>
      <c r="I273" t="str">
        <f>_xll.BDS("292281F6 Muni","MUNI_PURPOSE_SCHED", "aggregate=y")</f>
        <v>#N/A Requesting Data...</v>
      </c>
      <c r="J273" t="str">
        <f>_xll.BDP("292281F6 Muni","CPN")</f>
        <v>#N/A Requesting Data...</v>
      </c>
      <c r="K273" t="str">
        <f>_xll.BDP("292281F6 Muni","MATURITY")</f>
        <v>#N/A Requesting Data...</v>
      </c>
      <c r="L273">
        <v>580000</v>
      </c>
      <c r="M273" t="str">
        <f>_xll.BDP("292281F6 Muni","YIELD_ON_ISSUE_DATE")</f>
        <v>#N/A Requesting Data...</v>
      </c>
      <c r="N273" t="str">
        <f>_xll.BDP("292281F6 Muni","YTW_SPREAD_TO_MATURITY_AT_ISSU")</f>
        <v>#N/A Requesting Data...</v>
      </c>
      <c r="O273" t="str">
        <f>_xll.BDP("292281F6 Muni","BVAL_MID_YTM")</f>
        <v>#N/A Requesting Data...</v>
      </c>
      <c r="P273" t="str">
        <f>_xll.BDP("292281F6 Muni","MUNI_TAX_PROV")</f>
        <v>#N/A Requesting Data...</v>
      </c>
      <c r="Q273" t="str">
        <f>_xll.BDP("292281F6 Muni","MUNI_FED_TAX")</f>
        <v>#N/A Requesting Data...</v>
      </c>
      <c r="R273" t="str">
        <f>_xll.BDP("292281F6 Muni","MUNI_MSRB_VOLUME")</f>
        <v>#N/A Requesting Data...</v>
      </c>
      <c r="S273" t="str">
        <f>_xll.BDP("292281F6 Muni","BB_COMPOSITE")</f>
        <v>#N/A Requesting Data...</v>
      </c>
      <c r="T273" t="str">
        <f>_xll.BDP("292281F6 Muni","LQA_LIQUIDITY_SCORE")</f>
        <v>#N/A Requesting Data...</v>
      </c>
    </row>
    <row r="274" spans="1:20" x14ac:dyDescent="0.25">
      <c r="A274" t="str">
        <f>_xll.BDP("292281F7 Muni","ID_CUSIP")</f>
        <v>#N/A Requesting Data...</v>
      </c>
      <c r="B274" t="s">
        <v>104</v>
      </c>
      <c r="C274" t="str">
        <f>_xll.BDP("292281F7 Muni","INSURANCE_STATUS")</f>
        <v>#N/A Requesting Data...</v>
      </c>
      <c r="D274" t="str">
        <f>_xll.BDP("292281F7 Muni","STATE_CODE")</f>
        <v>#N/A Requesting Data...</v>
      </c>
      <c r="E274" t="str">
        <f>_xll.BDP("292281F7 Muni","COUNTY_LOCATION_ISSUER")</f>
        <v>#N/A Requesting Data...</v>
      </c>
      <c r="F274" t="str">
        <f>_xll.BDP("292281F7 Muni","DUR_ADJ_MID")</f>
        <v>#N/A Requesting Data...</v>
      </c>
      <c r="G274" t="str">
        <f>_xll.BDP("292281F7 Muni","SPREAD_AT_ISSUANCE_TO_WORST")</f>
        <v>#N/A Requesting Data...</v>
      </c>
      <c r="H274" t="str">
        <f>_xll.BDP("292281F7 Muni","ISSUE_DT")</f>
        <v>#N/A Requesting Data...</v>
      </c>
      <c r="I274" t="str">
        <f>_xll.BDS("292281F7 Muni","MUNI_PURPOSE_SCHED", "aggregate=y")</f>
        <v>#N/A Requesting Data...</v>
      </c>
      <c r="J274" t="str">
        <f>_xll.BDP("292281F7 Muni","CPN")</f>
        <v>#N/A Requesting Data...</v>
      </c>
      <c r="K274" t="str">
        <f>_xll.BDP("292281F7 Muni","MATURITY")</f>
        <v>#N/A Requesting Data...</v>
      </c>
      <c r="L274">
        <v>605000</v>
      </c>
      <c r="M274" t="str">
        <f>_xll.BDP("292281F7 Muni","YIELD_ON_ISSUE_DATE")</f>
        <v>#N/A Requesting Data...</v>
      </c>
      <c r="N274" t="str">
        <f>_xll.BDP("292281F7 Muni","YTW_SPREAD_TO_MATURITY_AT_ISSU")</f>
        <v>#N/A Requesting Data...</v>
      </c>
      <c r="O274" t="str">
        <f>_xll.BDP("292281F7 Muni","BVAL_MID_YTM")</f>
        <v>#N/A Requesting Data...</v>
      </c>
      <c r="P274" t="str">
        <f>_xll.BDP("292281F7 Muni","MUNI_TAX_PROV")</f>
        <v>#N/A Requesting Data...</v>
      </c>
      <c r="Q274" t="str">
        <f>_xll.BDP("292281F7 Muni","MUNI_FED_TAX")</f>
        <v>#N/A Requesting Data...</v>
      </c>
      <c r="R274" t="str">
        <f>_xll.BDP("292281F7 Muni","MUNI_MSRB_VOLUME")</f>
        <v>#N/A Requesting Data...</v>
      </c>
      <c r="S274" t="str">
        <f>_xll.BDP("292281F7 Muni","BB_COMPOSITE")</f>
        <v>#N/A Requesting Data...</v>
      </c>
      <c r="T274" t="str">
        <f>_xll.BDP("292281F7 Muni","LQA_LIQUIDITY_SCORE")</f>
        <v>#N/A Requesting Data...</v>
      </c>
    </row>
    <row r="275" spans="1:20" x14ac:dyDescent="0.25">
      <c r="A275" t="str">
        <f>_xll.BDP("292281F8 Muni","ID_CUSIP")</f>
        <v>#N/A Requesting Data...</v>
      </c>
      <c r="B275" t="s">
        <v>104</v>
      </c>
      <c r="C275" t="str">
        <f>_xll.BDP("292281F8 Muni","INSURANCE_STATUS")</f>
        <v>#N/A Requesting Data...</v>
      </c>
      <c r="D275" t="str">
        <f>_xll.BDP("292281F8 Muni","STATE_CODE")</f>
        <v>#N/A Requesting Data...</v>
      </c>
      <c r="E275" t="str">
        <f>_xll.BDP("292281F8 Muni","COUNTY_LOCATION_ISSUER")</f>
        <v>#N/A Requesting Data...</v>
      </c>
      <c r="F275" t="str">
        <f>_xll.BDP("292281F8 Muni","DUR_ADJ_MID")</f>
        <v>#N/A Requesting Data...</v>
      </c>
      <c r="G275" t="str">
        <f>_xll.BDP("292281F8 Muni","SPREAD_AT_ISSUANCE_TO_WORST")</f>
        <v>#N/A Requesting Data...</v>
      </c>
      <c r="H275" t="str">
        <f>_xll.BDP("292281F8 Muni","ISSUE_DT")</f>
        <v>#N/A Requesting Data...</v>
      </c>
      <c r="I275" t="str">
        <f>_xll.BDS("292281F8 Muni","MUNI_PURPOSE_SCHED", "aggregate=y")</f>
        <v>#N/A Requesting Data...</v>
      </c>
      <c r="J275" t="str">
        <f>_xll.BDP("292281F8 Muni","CPN")</f>
        <v>#N/A Requesting Data...</v>
      </c>
      <c r="K275" t="str">
        <f>_xll.BDP("292281F8 Muni","MATURITY")</f>
        <v>#N/A Requesting Data...</v>
      </c>
      <c r="L275">
        <v>505000</v>
      </c>
      <c r="M275" t="str">
        <f>_xll.BDP("292281F8 Muni","YIELD_ON_ISSUE_DATE")</f>
        <v>#N/A Requesting Data...</v>
      </c>
      <c r="N275" t="str">
        <f>_xll.BDP("292281F8 Muni","YTW_SPREAD_TO_MATURITY_AT_ISSU")</f>
        <v>#N/A Requesting Data...</v>
      </c>
      <c r="O275" t="str">
        <f>_xll.BDP("292281F8 Muni","BVAL_MID_YTM")</f>
        <v>#N/A Requesting Data...</v>
      </c>
      <c r="P275" t="str">
        <f>_xll.BDP("292281F8 Muni","MUNI_TAX_PROV")</f>
        <v>#N/A Requesting Data...</v>
      </c>
      <c r="Q275" t="str">
        <f>_xll.BDP("292281F8 Muni","MUNI_FED_TAX")</f>
        <v>#N/A Requesting Data...</v>
      </c>
      <c r="R275" t="str">
        <f>_xll.BDP("292281F8 Muni","MUNI_MSRB_VOLUME")</f>
        <v>#N/A Requesting Data...</v>
      </c>
      <c r="S275" t="str">
        <f>_xll.BDP("292281F8 Muni","BB_COMPOSITE")</f>
        <v>#N/A Requesting Data...</v>
      </c>
      <c r="T275" t="str">
        <f>_xll.BDP("292281F8 Muni","LQA_LIQUIDITY_SCORE")</f>
        <v>#N/A Requesting Data...</v>
      </c>
    </row>
    <row r="276" spans="1:20" x14ac:dyDescent="0.25">
      <c r="A276" t="str">
        <f>_xll.BDP("292281F9 Muni","ID_CUSIP")</f>
        <v>#N/A Requesting Data...</v>
      </c>
      <c r="B276" t="s">
        <v>104</v>
      </c>
      <c r="C276" t="str">
        <f>_xll.BDP("292281F9 Muni","INSURANCE_STATUS")</f>
        <v>#N/A Requesting Data...</v>
      </c>
      <c r="D276" t="str">
        <f>_xll.BDP("292281F9 Muni","STATE_CODE")</f>
        <v>#N/A Requesting Data...</v>
      </c>
      <c r="E276" t="str">
        <f>_xll.BDP("292281F9 Muni","COUNTY_LOCATION_ISSUER")</f>
        <v>#N/A Requesting Data...</v>
      </c>
      <c r="F276" t="str">
        <f>_xll.BDP("292281F9 Muni","DUR_ADJ_MID")</f>
        <v>#N/A Requesting Data...</v>
      </c>
      <c r="G276" t="str">
        <f>_xll.BDP("292281F9 Muni","SPREAD_AT_ISSUANCE_TO_WORST")</f>
        <v>#N/A Requesting Data...</v>
      </c>
      <c r="H276" t="str">
        <f>_xll.BDP("292281F9 Muni","ISSUE_DT")</f>
        <v>#N/A Requesting Data...</v>
      </c>
      <c r="I276" t="str">
        <f>_xll.BDS("292281F9 Muni","MUNI_PURPOSE_SCHED", "aggregate=y")</f>
        <v>#N/A Requesting Data...</v>
      </c>
      <c r="J276" t="str">
        <f>_xll.BDP("292281F9 Muni","CPN")</f>
        <v>#N/A Requesting Data...</v>
      </c>
      <c r="K276" t="str">
        <f>_xll.BDP("292281F9 Muni","MATURITY")</f>
        <v>#N/A Requesting Data...</v>
      </c>
      <c r="L276">
        <v>515000</v>
      </c>
      <c r="M276" t="str">
        <f>_xll.BDP("292281F9 Muni","YIELD_ON_ISSUE_DATE")</f>
        <v>#N/A Requesting Data...</v>
      </c>
      <c r="N276" t="str">
        <f>_xll.BDP("292281F9 Muni","YTW_SPREAD_TO_MATURITY_AT_ISSU")</f>
        <v>#N/A Requesting Data...</v>
      </c>
      <c r="O276" t="str">
        <f>_xll.BDP("292281F9 Muni","BVAL_MID_YTM")</f>
        <v>#N/A Requesting Data...</v>
      </c>
      <c r="P276" t="str">
        <f>_xll.BDP("292281F9 Muni","MUNI_TAX_PROV")</f>
        <v>#N/A Requesting Data...</v>
      </c>
      <c r="Q276" t="str">
        <f>_xll.BDP("292281F9 Muni","MUNI_FED_TAX")</f>
        <v>#N/A Requesting Data...</v>
      </c>
      <c r="R276" t="str">
        <f>_xll.BDP("292281F9 Muni","MUNI_MSRB_VOLUME")</f>
        <v>#N/A Requesting Data...</v>
      </c>
      <c r="S276" t="str">
        <f>_xll.BDP("292281F9 Muni","BB_COMPOSITE")</f>
        <v>#N/A Requesting Data...</v>
      </c>
      <c r="T276" t="str">
        <f>_xll.BDP("292281F9 Muni","LQA_LIQUIDITY_SCORE")</f>
        <v>#N/A Requesting Data...</v>
      </c>
    </row>
    <row r="277" spans="1:20" x14ac:dyDescent="0.25">
      <c r="A277" t="str">
        <f>_xll.BDP("292507JF Muni","ID_CUSIP")</f>
        <v>#N/A Requesting Data...</v>
      </c>
      <c r="B277" t="s">
        <v>105</v>
      </c>
      <c r="C277" t="str">
        <f>_xll.BDP("292507JF Muni","INSURANCE_STATUS")</f>
        <v>#N/A Requesting Data...</v>
      </c>
      <c r="D277" t="str">
        <f>_xll.BDP("292507JF Muni","STATE_CODE")</f>
        <v>#N/A Requesting Data...</v>
      </c>
      <c r="E277" t="str">
        <f>_xll.BDP("292507JF Muni","COUNTY_LOCATION_ISSUER")</f>
        <v>#N/A Requesting Data...</v>
      </c>
      <c r="F277" t="str">
        <f>_xll.BDP("292507JF Muni","DUR_ADJ_MID")</f>
        <v>#N/A Requesting Data...</v>
      </c>
      <c r="G277" t="str">
        <f>_xll.BDP("292507JF Muni","SPREAD_AT_ISSUANCE_TO_WORST")</f>
        <v>#N/A Requesting Data...</v>
      </c>
      <c r="H277" t="str">
        <f>_xll.BDP("292507JF Muni","ISSUE_DT")</f>
        <v>#N/A Requesting Data...</v>
      </c>
      <c r="I277" t="str">
        <f>_xll.BDS("292507JF Muni","MUNI_PURPOSE_SCHED", "aggregate=y")</f>
        <v>#N/A Requesting Data...</v>
      </c>
      <c r="J277" t="str">
        <f>_xll.BDP("292507JF Muni","CPN")</f>
        <v>#N/A Requesting Data...</v>
      </c>
      <c r="K277" t="str">
        <f>_xll.BDP("292507JF Muni","MATURITY")</f>
        <v>#N/A Requesting Data...</v>
      </c>
      <c r="L277">
        <v>350000</v>
      </c>
      <c r="M277" t="str">
        <f>_xll.BDP("292507JF Muni","YIELD_ON_ISSUE_DATE")</f>
        <v>#N/A Requesting Data...</v>
      </c>
      <c r="N277" t="str">
        <f>_xll.BDP("292507JF Muni","YTW_SPREAD_TO_MATURITY_AT_ISSU")</f>
        <v>#N/A Requesting Data...</v>
      </c>
      <c r="O277" t="str">
        <f>_xll.BDP("292507JF Muni","BVAL_MID_YTM")</f>
        <v>#N/A Requesting Data...</v>
      </c>
      <c r="P277" t="str">
        <f>_xll.BDP("292507JF Muni","MUNI_TAX_PROV")</f>
        <v>#N/A Requesting Data...</v>
      </c>
      <c r="Q277" t="str">
        <f>_xll.BDP("292507JF Muni","MUNI_FED_TAX")</f>
        <v>#N/A Requesting Data...</v>
      </c>
      <c r="R277" t="str">
        <f>_xll.BDP("292507JF Muni","MUNI_MSRB_VOLUME")</f>
        <v>#N/A Requesting Data...</v>
      </c>
      <c r="S277" t="str">
        <f>_xll.BDP("292507JF Muni","BB_COMPOSITE")</f>
        <v>#N/A Requesting Data...</v>
      </c>
      <c r="T277" t="str">
        <f>_xll.BDP("292507JF Muni","LQA_LIQUIDITY_SCORE")</f>
        <v>#N/A Requesting Data...</v>
      </c>
    </row>
    <row r="278" spans="1:20" x14ac:dyDescent="0.25">
      <c r="A278" t="str">
        <f>_xll.BDP("292507JG Muni","ID_CUSIP")</f>
        <v>#N/A Requesting Data...</v>
      </c>
      <c r="B278" t="s">
        <v>105</v>
      </c>
      <c r="C278" t="str">
        <f>_xll.BDP("292507JG Muni","INSURANCE_STATUS")</f>
        <v>#N/A Requesting Data...</v>
      </c>
      <c r="D278" t="str">
        <f>_xll.BDP("292507JG Muni","STATE_CODE")</f>
        <v>#N/A Requesting Data...</v>
      </c>
      <c r="E278" t="str">
        <f>_xll.BDP("292507JG Muni","COUNTY_LOCATION_ISSUER")</f>
        <v>#N/A Requesting Data...</v>
      </c>
      <c r="F278" t="str">
        <f>_xll.BDP("292507JG Muni","DUR_ADJ_MID")</f>
        <v>#N/A Requesting Data...</v>
      </c>
      <c r="G278" t="str">
        <f>_xll.BDP("292507JG Muni","SPREAD_AT_ISSUANCE_TO_WORST")</f>
        <v>#N/A Requesting Data...</v>
      </c>
      <c r="H278" t="str">
        <f>_xll.BDP("292507JG Muni","ISSUE_DT")</f>
        <v>#N/A Requesting Data...</v>
      </c>
      <c r="I278" t="str">
        <f>_xll.BDS("292507JG Muni","MUNI_PURPOSE_SCHED", "aggregate=y")</f>
        <v>#N/A Requesting Data...</v>
      </c>
      <c r="J278" t="str">
        <f>_xll.BDP("292507JG Muni","CPN")</f>
        <v>#N/A Requesting Data...</v>
      </c>
      <c r="K278" t="str">
        <f>_xll.BDP("292507JG Muni","MATURITY")</f>
        <v>#N/A Requesting Data...</v>
      </c>
      <c r="L278">
        <v>350000</v>
      </c>
      <c r="M278" t="str">
        <f>_xll.BDP("292507JG Muni","YIELD_ON_ISSUE_DATE")</f>
        <v>#N/A Requesting Data...</v>
      </c>
      <c r="N278" t="str">
        <f>_xll.BDP("292507JG Muni","YTW_SPREAD_TO_MATURITY_AT_ISSU")</f>
        <v>#N/A Requesting Data...</v>
      </c>
      <c r="O278" t="str">
        <f>_xll.BDP("292507JG Muni","BVAL_MID_YTM")</f>
        <v>#N/A Requesting Data...</v>
      </c>
      <c r="P278" t="str">
        <f>_xll.BDP("292507JG Muni","MUNI_TAX_PROV")</f>
        <v>#N/A Requesting Data...</v>
      </c>
      <c r="Q278" t="str">
        <f>_xll.BDP("292507JG Muni","MUNI_FED_TAX")</f>
        <v>#N/A Requesting Data...</v>
      </c>
      <c r="R278" t="str">
        <f>_xll.BDP("292507JG Muni","MUNI_MSRB_VOLUME")</f>
        <v>#N/A Requesting Data...</v>
      </c>
      <c r="S278" t="str">
        <f>_xll.BDP("292507JG Muni","BB_COMPOSITE")</f>
        <v>#N/A Requesting Data...</v>
      </c>
      <c r="T278" t="str">
        <f>_xll.BDP("292507JG Muni","LQA_LIQUIDITY_SCORE")</f>
        <v>#N/A Requesting Data...</v>
      </c>
    </row>
    <row r="279" spans="1:20" x14ac:dyDescent="0.25">
      <c r="A279" t="str">
        <f>_xll.BDP("3434875R Muni","ID_CUSIP")</f>
        <v>#N/A Requesting Data...</v>
      </c>
      <c r="B279" t="s">
        <v>20</v>
      </c>
      <c r="C279" t="str">
        <f>_xll.BDP("3434875R Muni","INSURANCE_STATUS")</f>
        <v>#N/A Requesting Data...</v>
      </c>
      <c r="D279" t="str">
        <f>_xll.BDP("3434875R Muni","STATE_CODE")</f>
        <v>#N/A Requesting Data...</v>
      </c>
      <c r="E279" t="str">
        <f>_xll.BDP("3434875R Muni","COUNTY_LOCATION_ISSUER")</f>
        <v>#N/A Requesting Data...</v>
      </c>
      <c r="F279" t="str">
        <f>_xll.BDP("3434875R Muni","DUR_ADJ_MID")</f>
        <v>#N/A Requesting Data...</v>
      </c>
      <c r="G279" t="str">
        <f>_xll.BDP("3434875R Muni","SPREAD_AT_ISSUANCE_TO_WORST")</f>
        <v>#N/A Requesting Data...</v>
      </c>
      <c r="H279" t="str">
        <f>_xll.BDP("3434875R Muni","ISSUE_DT")</f>
        <v>#N/A Requesting Data...</v>
      </c>
      <c r="I279" t="str">
        <f>_xll.BDS("3434875R Muni","MUNI_PURPOSE_SCHED", "aggregate=y")</f>
        <v>#N/A Requesting Data...</v>
      </c>
      <c r="J279" t="str">
        <f>_xll.BDP("3434875R Muni","CPN")</f>
        <v>#N/A Requesting Data...</v>
      </c>
      <c r="K279" t="str">
        <f>_xll.BDP("3434875R Muni","MATURITY")</f>
        <v>#N/A Requesting Data...</v>
      </c>
      <c r="L279">
        <v>395000</v>
      </c>
      <c r="M279" t="str">
        <f>_xll.BDP("3434875R Muni","YIELD_ON_ISSUE_DATE")</f>
        <v>#N/A Requesting Data...</v>
      </c>
      <c r="N279" t="str">
        <f>_xll.BDP("3434875R Muni","YTW_SPREAD_TO_MATURITY_AT_ISSU")</f>
        <v>#N/A Requesting Data...</v>
      </c>
      <c r="O279" t="str">
        <f>_xll.BDP("3434875R Muni","BVAL_MID_YTM")</f>
        <v>#N/A Requesting Data...</v>
      </c>
      <c r="P279" t="str">
        <f>_xll.BDP("3434875R Muni","MUNI_TAX_PROV")</f>
        <v>#N/A Requesting Data...</v>
      </c>
      <c r="Q279" t="str">
        <f>_xll.BDP("3434875R Muni","MUNI_FED_TAX")</f>
        <v>#N/A Requesting Data...</v>
      </c>
      <c r="R279" t="str">
        <f>_xll.BDP("3434875R Muni","MUNI_MSRB_VOLUME")</f>
        <v>#N/A Requesting Data...</v>
      </c>
      <c r="S279" t="str">
        <f>_xll.BDP("3434875R Muni","BB_COMPOSITE")</f>
        <v>#N/A Requesting Data...</v>
      </c>
      <c r="T279" t="str">
        <f>_xll.BDP("3434875R Muni","LQA_LIQUIDITY_SCORE")</f>
        <v>#N/A Requesting Data...</v>
      </c>
    </row>
    <row r="280" spans="1:20" x14ac:dyDescent="0.25">
      <c r="A280" t="str">
        <f>_xll.BDP("3434875S Muni","ID_CUSIP")</f>
        <v>#N/A Requesting Data...</v>
      </c>
      <c r="B280" t="s">
        <v>20</v>
      </c>
      <c r="C280" t="str">
        <f>_xll.BDP("3434875S Muni","INSURANCE_STATUS")</f>
        <v>#N/A Requesting Data...</v>
      </c>
      <c r="D280" t="str">
        <f>_xll.BDP("3434875S Muni","STATE_CODE")</f>
        <v>#N/A Requesting Data...</v>
      </c>
      <c r="E280" t="str">
        <f>_xll.BDP("3434875S Muni","COUNTY_LOCATION_ISSUER")</f>
        <v>#N/A Requesting Data...</v>
      </c>
      <c r="F280" t="str">
        <f>_xll.BDP("3434875S Muni","DUR_ADJ_MID")</f>
        <v>#N/A Requesting Data...</v>
      </c>
      <c r="G280" t="str">
        <f>_xll.BDP("3434875S Muni","SPREAD_AT_ISSUANCE_TO_WORST")</f>
        <v>#N/A Requesting Data...</v>
      </c>
      <c r="H280" t="str">
        <f>_xll.BDP("3434875S Muni","ISSUE_DT")</f>
        <v>#N/A Requesting Data...</v>
      </c>
      <c r="I280" t="str">
        <f>_xll.BDS("3434875S Muni","MUNI_PURPOSE_SCHED", "aggregate=y")</f>
        <v>#N/A Requesting Data...</v>
      </c>
      <c r="J280" t="str">
        <f>_xll.BDP("3434875S Muni","CPN")</f>
        <v>#N/A Requesting Data...</v>
      </c>
      <c r="K280" t="str">
        <f>_xll.BDP("3434875S Muni","MATURITY")</f>
        <v>#N/A Requesting Data...</v>
      </c>
      <c r="L280">
        <v>415000</v>
      </c>
      <c r="M280" t="str">
        <f>_xll.BDP("3434875S Muni","YIELD_ON_ISSUE_DATE")</f>
        <v>#N/A Requesting Data...</v>
      </c>
      <c r="N280" t="str">
        <f>_xll.BDP("3434875S Muni","YTW_SPREAD_TO_MATURITY_AT_ISSU")</f>
        <v>#N/A Requesting Data...</v>
      </c>
      <c r="O280" t="str">
        <f>_xll.BDP("3434875S Muni","BVAL_MID_YTM")</f>
        <v>#N/A Requesting Data...</v>
      </c>
      <c r="P280" t="str">
        <f>_xll.BDP("3434875S Muni","MUNI_TAX_PROV")</f>
        <v>#N/A Requesting Data...</v>
      </c>
      <c r="Q280" t="str">
        <f>_xll.BDP("3434875S Muni","MUNI_FED_TAX")</f>
        <v>#N/A Requesting Data...</v>
      </c>
      <c r="R280" t="str">
        <f>_xll.BDP("3434875S Muni","MUNI_MSRB_VOLUME")</f>
        <v>#N/A Requesting Data...</v>
      </c>
      <c r="S280" t="str">
        <f>_xll.BDP("3434875S Muni","BB_COMPOSITE")</f>
        <v>#N/A Requesting Data...</v>
      </c>
      <c r="T280" t="str">
        <f>_xll.BDP("3434875S Muni","LQA_LIQUIDITY_SCORE")</f>
        <v>#N/A Requesting Data...</v>
      </c>
    </row>
    <row r="281" spans="1:20" x14ac:dyDescent="0.25">
      <c r="A281" t="str">
        <f>_xll.BDP("344414BM Muni","ID_CUSIP")</f>
        <v>#N/A Requesting Data...</v>
      </c>
      <c r="B281" t="s">
        <v>106</v>
      </c>
      <c r="C281" t="str">
        <f>_xll.BDP("344414BM Muni","INSURANCE_STATUS")</f>
        <v>#N/A Requesting Data...</v>
      </c>
      <c r="D281" t="str">
        <f>_xll.BDP("344414BM Muni","STATE_CODE")</f>
        <v>#N/A Requesting Data...</v>
      </c>
      <c r="E281" t="str">
        <f>_xll.BDP("344414BM Muni","COUNTY_LOCATION_ISSUER")</f>
        <v>#N/A Requesting Data...</v>
      </c>
      <c r="F281" t="str">
        <f>_xll.BDP("344414BM Muni","DUR_ADJ_MID")</f>
        <v>#N/A Requesting Data...</v>
      </c>
      <c r="G281" t="str">
        <f>_xll.BDP("344414BM Muni","SPREAD_AT_ISSUANCE_TO_WORST")</f>
        <v>#N/A Requesting Data...</v>
      </c>
      <c r="H281" t="str">
        <f>_xll.BDP("344414BM Muni","ISSUE_DT")</f>
        <v>#N/A Requesting Data...</v>
      </c>
      <c r="I281" t="str">
        <f>_xll.BDS("344414BM Muni","MUNI_PURPOSE_SCHED", "aggregate=y")</f>
        <v>#N/A Requesting Data...</v>
      </c>
      <c r="J281" t="str">
        <f>_xll.BDP("344414BM Muni","CPN")</f>
        <v>#N/A Requesting Data...</v>
      </c>
      <c r="K281" t="str">
        <f>_xll.BDP("344414BM Muni","MATURITY")</f>
        <v>#N/A Requesting Data...</v>
      </c>
      <c r="L281">
        <v>135000</v>
      </c>
      <c r="M281" t="str">
        <f>_xll.BDP("344414BM Muni","YIELD_ON_ISSUE_DATE")</f>
        <v>#N/A Requesting Data...</v>
      </c>
      <c r="N281" t="str">
        <f>_xll.BDP("344414BM Muni","YTW_SPREAD_TO_MATURITY_AT_ISSU")</f>
        <v>#N/A Requesting Data...</v>
      </c>
      <c r="O281" t="str">
        <f>_xll.BDP("344414BM Muni","BVAL_MID_YTM")</f>
        <v>#N/A Requesting Data...</v>
      </c>
      <c r="P281" t="str">
        <f>_xll.BDP("344414BM Muni","MUNI_TAX_PROV")</f>
        <v>#N/A Requesting Data...</v>
      </c>
      <c r="Q281" t="str">
        <f>_xll.BDP("344414BM Muni","MUNI_FED_TAX")</f>
        <v>#N/A Requesting Data...</v>
      </c>
      <c r="R281" t="str">
        <f>_xll.BDP("344414BM Muni","MUNI_MSRB_VOLUME")</f>
        <v>#N/A Requesting Data...</v>
      </c>
      <c r="S281" t="str">
        <f>_xll.BDP("344414BM Muni","BB_COMPOSITE")</f>
        <v>#N/A Requesting Data...</v>
      </c>
      <c r="T281" t="str">
        <f>_xll.BDP("344414BM Muni","LQA_LIQUIDITY_SCORE")</f>
        <v>#N/A Requesting Data...</v>
      </c>
    </row>
    <row r="282" spans="1:20" x14ac:dyDescent="0.25">
      <c r="A282" t="str">
        <f>_xll.BDP("344414BP Muni","ID_CUSIP")</f>
        <v>#N/A Requesting Data...</v>
      </c>
      <c r="B282" t="s">
        <v>106</v>
      </c>
      <c r="C282" t="str">
        <f>_xll.BDP("344414BP Muni","INSURANCE_STATUS")</f>
        <v>#N/A Requesting Data...</v>
      </c>
      <c r="D282" t="str">
        <f>_xll.BDP("344414BP Muni","STATE_CODE")</f>
        <v>#N/A Requesting Data...</v>
      </c>
      <c r="E282" t="str">
        <f>_xll.BDP("344414BP Muni","COUNTY_LOCATION_ISSUER")</f>
        <v>#N/A Requesting Data...</v>
      </c>
      <c r="F282" t="str">
        <f>_xll.BDP("344414BP Muni","DUR_ADJ_MID")</f>
        <v>#N/A Requesting Data...</v>
      </c>
      <c r="G282" t="str">
        <f>_xll.BDP("344414BP Muni","SPREAD_AT_ISSUANCE_TO_WORST")</f>
        <v>#N/A Requesting Data...</v>
      </c>
      <c r="H282" t="str">
        <f>_xll.BDP("344414BP Muni","ISSUE_DT")</f>
        <v>#N/A Requesting Data...</v>
      </c>
      <c r="I282" t="str">
        <f>_xll.BDS("344414BP Muni","MUNI_PURPOSE_SCHED", "aggregate=y")</f>
        <v>#N/A Requesting Data...</v>
      </c>
      <c r="J282" t="str">
        <f>_xll.BDP("344414BP Muni","CPN")</f>
        <v>#N/A Requesting Data...</v>
      </c>
      <c r="K282" t="str">
        <f>_xll.BDP("344414BP Muni","MATURITY")</f>
        <v>#N/A Requesting Data...</v>
      </c>
      <c r="L282">
        <v>155000</v>
      </c>
      <c r="M282" t="str">
        <f>_xll.BDP("344414BP Muni","YIELD_ON_ISSUE_DATE")</f>
        <v>#N/A Requesting Data...</v>
      </c>
      <c r="N282" t="str">
        <f>_xll.BDP("344414BP Muni","YTW_SPREAD_TO_MATURITY_AT_ISSU")</f>
        <v>#N/A Requesting Data...</v>
      </c>
      <c r="O282" t="str">
        <f>_xll.BDP("344414BP Muni","BVAL_MID_YTM")</f>
        <v>#N/A Requesting Data...</v>
      </c>
      <c r="P282" t="str">
        <f>_xll.BDP("344414BP Muni","MUNI_TAX_PROV")</f>
        <v>#N/A Requesting Data...</v>
      </c>
      <c r="Q282" t="str">
        <f>_xll.BDP("344414BP Muni","MUNI_FED_TAX")</f>
        <v>#N/A Requesting Data...</v>
      </c>
      <c r="R282" t="str">
        <f>_xll.BDP("344414BP Muni","MUNI_MSRB_VOLUME")</f>
        <v>#N/A Requesting Data...</v>
      </c>
      <c r="S282" t="str">
        <f>_xll.BDP("344414BP Muni","BB_COMPOSITE")</f>
        <v>#N/A Requesting Data...</v>
      </c>
      <c r="T282" t="str">
        <f>_xll.BDP("344414BP Muni","LQA_LIQUIDITY_SCORE")</f>
        <v>#N/A Requesting Data...</v>
      </c>
    </row>
    <row r="283" spans="1:20" x14ac:dyDescent="0.25">
      <c r="A283" t="str">
        <f>_xll.BDP("023108MC Muni","ID_CUSIP")</f>
        <v>#N/A Requesting Data...</v>
      </c>
      <c r="B283" t="s">
        <v>107</v>
      </c>
      <c r="C283" t="str">
        <f>_xll.BDP("023108MC Muni","INSURANCE_STATUS")</f>
        <v>#N/A Requesting Data...</v>
      </c>
      <c r="D283" t="str">
        <f>_xll.BDP("023108MC Muni","STATE_CODE")</f>
        <v>#N/A Requesting Data...</v>
      </c>
      <c r="E283" t="str">
        <f>_xll.BDP("023108MC Muni","COUNTY_LOCATION_ISSUER")</f>
        <v>#N/A Requesting Data...</v>
      </c>
      <c r="F283" t="str">
        <f>_xll.BDP("023108MC Muni","DUR_ADJ_MID")</f>
        <v>#N/A Requesting Data...</v>
      </c>
      <c r="G283" t="str">
        <f>_xll.BDP("023108MC Muni","SPREAD_AT_ISSUANCE_TO_WORST")</f>
        <v>#N/A Requesting Data...</v>
      </c>
      <c r="H283" t="str">
        <f>_xll.BDP("023108MC Muni","ISSUE_DT")</f>
        <v>#N/A Requesting Data...</v>
      </c>
      <c r="I283" t="str">
        <f>_xll.BDS("023108MC Muni","MUNI_PURPOSE_SCHED", "aggregate=y")</f>
        <v>#N/A Requesting Data...</v>
      </c>
      <c r="J283" t="str">
        <f>_xll.BDP("023108MC Muni","CPN")</f>
        <v>#N/A Requesting Data...</v>
      </c>
      <c r="K283" t="str">
        <f>_xll.BDP("023108MC Muni","MATURITY")</f>
        <v>#N/A Requesting Data...</v>
      </c>
      <c r="L283">
        <v>600000</v>
      </c>
      <c r="M283" t="str">
        <f>_xll.BDP("023108MC Muni","YIELD_ON_ISSUE_DATE")</f>
        <v>#N/A Requesting Data...</v>
      </c>
      <c r="N283" t="str">
        <f>_xll.BDP("023108MC Muni","YTW_SPREAD_TO_MATURITY_AT_ISSU")</f>
        <v>#N/A Requesting Data...</v>
      </c>
      <c r="O283" t="str">
        <f>_xll.BDP("023108MC Muni","BVAL_MID_YTM")</f>
        <v>#N/A Requesting Data...</v>
      </c>
      <c r="P283" t="str">
        <f>_xll.BDP("023108MC Muni","MUNI_TAX_PROV")</f>
        <v>#N/A Requesting Data...</v>
      </c>
      <c r="Q283" t="str">
        <f>_xll.BDP("023108MC Muni","MUNI_FED_TAX")</f>
        <v>#N/A Requesting Data...</v>
      </c>
      <c r="R283" t="str">
        <f>_xll.BDP("023108MC Muni","MUNI_MSRB_VOLUME")</f>
        <v>#N/A Requesting Data...</v>
      </c>
      <c r="S283" t="str">
        <f>_xll.BDP("023108MC Muni","BB_COMPOSITE")</f>
        <v>#N/A Requesting Data...</v>
      </c>
      <c r="T283" t="str">
        <f>_xll.BDP("023108MC Muni","LQA_LIQUIDITY_SCORE")</f>
        <v>#N/A Requesting Data...</v>
      </c>
    </row>
    <row r="284" spans="1:20" x14ac:dyDescent="0.25">
      <c r="A284" t="str">
        <f>_xll.BDP("023108MF Muni","ID_CUSIP")</f>
        <v>#N/A Requesting Data...</v>
      </c>
      <c r="B284" t="s">
        <v>107</v>
      </c>
      <c r="C284" t="str">
        <f>_xll.BDP("023108MF Muni","INSURANCE_STATUS")</f>
        <v>#N/A Requesting Data...</v>
      </c>
      <c r="D284" t="str">
        <f>_xll.BDP("023108MF Muni","STATE_CODE")</f>
        <v>#N/A Requesting Data...</v>
      </c>
      <c r="E284" t="str">
        <f>_xll.BDP("023108MF Muni","COUNTY_LOCATION_ISSUER")</f>
        <v>#N/A Requesting Data...</v>
      </c>
      <c r="F284" t="str">
        <f>_xll.BDP("023108MF Muni","DUR_ADJ_MID")</f>
        <v>#N/A Requesting Data...</v>
      </c>
      <c r="G284" t="str">
        <f>_xll.BDP("023108MF Muni","SPREAD_AT_ISSUANCE_TO_WORST")</f>
        <v>#N/A Requesting Data...</v>
      </c>
      <c r="H284" t="str">
        <f>_xll.BDP("023108MF Muni","ISSUE_DT")</f>
        <v>#N/A Requesting Data...</v>
      </c>
      <c r="I284" t="str">
        <f>_xll.BDS("023108MF Muni","MUNI_PURPOSE_SCHED", "aggregate=y")</f>
        <v>#N/A Requesting Data...</v>
      </c>
      <c r="J284" t="str">
        <f>_xll.BDP("023108MF Muni","CPN")</f>
        <v>#N/A Requesting Data...</v>
      </c>
      <c r="K284" t="str">
        <f>_xll.BDP("023108MF Muni","MATURITY")</f>
        <v>#N/A Requesting Data...</v>
      </c>
      <c r="L284">
        <v>690000</v>
      </c>
      <c r="M284" t="str">
        <f>_xll.BDP("023108MF Muni","YIELD_ON_ISSUE_DATE")</f>
        <v>#N/A Requesting Data...</v>
      </c>
      <c r="N284" t="str">
        <f>_xll.BDP("023108MF Muni","YTW_SPREAD_TO_MATURITY_AT_ISSU")</f>
        <v>#N/A Requesting Data...</v>
      </c>
      <c r="O284" t="str">
        <f>_xll.BDP("023108MF Muni","BVAL_MID_YTM")</f>
        <v>#N/A Requesting Data...</v>
      </c>
      <c r="P284" t="str">
        <f>_xll.BDP("023108MF Muni","MUNI_TAX_PROV")</f>
        <v>#N/A Requesting Data...</v>
      </c>
      <c r="Q284" t="str">
        <f>_xll.BDP("023108MF Muni","MUNI_FED_TAX")</f>
        <v>#N/A Requesting Data...</v>
      </c>
      <c r="R284" t="str">
        <f>_xll.BDP("023108MF Muni","MUNI_MSRB_VOLUME")</f>
        <v>#N/A Requesting Data...</v>
      </c>
      <c r="S284" t="str">
        <f>_xll.BDP("023108MF Muni","BB_COMPOSITE")</f>
        <v>#N/A Requesting Data...</v>
      </c>
      <c r="T284" t="str">
        <f>_xll.BDP("023108MF Muni","LQA_LIQUIDITY_SCORE")</f>
        <v>#N/A Requesting Data...</v>
      </c>
    </row>
    <row r="285" spans="1:20" x14ac:dyDescent="0.25">
      <c r="A285" t="str">
        <f>_xll.BDP("14045AAQ Muni","ID_CUSIP")</f>
        <v>#N/A Requesting Data...</v>
      </c>
      <c r="B285" t="s">
        <v>108</v>
      </c>
      <c r="C285" t="str">
        <f>_xll.BDP("14045AAQ Muni","INSURANCE_STATUS")</f>
        <v>#N/A Requesting Data...</v>
      </c>
      <c r="D285" t="str">
        <f>_xll.BDP("14045AAQ Muni","STATE_CODE")</f>
        <v>#N/A Requesting Data...</v>
      </c>
      <c r="E285" t="str">
        <f>_xll.BDP("14045AAQ Muni","COUNTY_LOCATION_ISSUER")</f>
        <v>#N/A Requesting Data...</v>
      </c>
      <c r="F285" t="str">
        <f>_xll.BDP("14045AAQ Muni","DUR_ADJ_MID")</f>
        <v>#N/A Requesting Data...</v>
      </c>
      <c r="G285" t="str">
        <f>_xll.BDP("14045AAQ Muni","SPREAD_AT_ISSUANCE_TO_WORST")</f>
        <v>#N/A Requesting Data...</v>
      </c>
      <c r="H285" t="str">
        <f>_xll.BDP("14045AAQ Muni","ISSUE_DT")</f>
        <v>#N/A Requesting Data...</v>
      </c>
      <c r="I285" t="str">
        <f>_xll.BDS("14045AAQ Muni","MUNI_PURPOSE_SCHED", "aggregate=y")</f>
        <v>#N/A Requesting Data...</v>
      </c>
      <c r="J285" t="str">
        <f>_xll.BDP("14045AAQ Muni","CPN")</f>
        <v>#N/A Requesting Data...</v>
      </c>
      <c r="K285" t="str">
        <f>_xll.BDP("14045AAQ Muni","MATURITY")</f>
        <v>#N/A Requesting Data...</v>
      </c>
      <c r="L285">
        <v>6150000</v>
      </c>
      <c r="M285" t="str">
        <f>_xll.BDP("14045AAQ Muni","YIELD_ON_ISSUE_DATE")</f>
        <v>#N/A Requesting Data...</v>
      </c>
      <c r="N285" t="str">
        <f>_xll.BDP("14045AAQ Muni","YTW_SPREAD_TO_MATURITY_AT_ISSU")</f>
        <v>#N/A Requesting Data...</v>
      </c>
      <c r="O285" t="str">
        <f>_xll.BDP("14045AAQ Muni","BVAL_MID_YTM")</f>
        <v>#N/A Requesting Data...</v>
      </c>
      <c r="P285" t="str">
        <f>_xll.BDP("14045AAQ Muni","MUNI_TAX_PROV")</f>
        <v>#N/A Requesting Data...</v>
      </c>
      <c r="Q285" t="str">
        <f>_xll.BDP("14045AAQ Muni","MUNI_FED_TAX")</f>
        <v>#N/A Requesting Data...</v>
      </c>
      <c r="R285" t="str">
        <f>_xll.BDP("14045AAQ Muni","MUNI_MSRB_VOLUME")</f>
        <v>#N/A Requesting Data...</v>
      </c>
      <c r="S285" t="str">
        <f>_xll.BDP("14045AAQ Muni","BB_COMPOSITE")</f>
        <v>#N/A Requesting Data...</v>
      </c>
      <c r="T285" t="str">
        <f>_xll.BDP("14045AAQ Muni","LQA_LIQUIDITY_SCORE")</f>
        <v>#N/A Requesting Data...</v>
      </c>
    </row>
    <row r="286" spans="1:20" x14ac:dyDescent="0.25">
      <c r="A286" t="str">
        <f>_xll.BDP("14045AAS Muni","ID_CUSIP")</f>
        <v>#N/A Requesting Data...</v>
      </c>
      <c r="B286" t="s">
        <v>108</v>
      </c>
      <c r="C286" t="str">
        <f>_xll.BDP("14045AAS Muni","INSURANCE_STATUS")</f>
        <v>#N/A Requesting Data...</v>
      </c>
      <c r="D286" t="str">
        <f>_xll.BDP("14045AAS Muni","STATE_CODE")</f>
        <v>#N/A Requesting Data...</v>
      </c>
      <c r="E286" t="str">
        <f>_xll.BDP("14045AAS Muni","COUNTY_LOCATION_ISSUER")</f>
        <v>#N/A Requesting Data...</v>
      </c>
      <c r="F286" t="str">
        <f>_xll.BDP("14045AAS Muni","DUR_ADJ_MID")</f>
        <v>#N/A Requesting Data...</v>
      </c>
      <c r="G286" t="str">
        <f>_xll.BDP("14045AAS Muni","SPREAD_AT_ISSUANCE_TO_WORST")</f>
        <v>#N/A Requesting Data...</v>
      </c>
      <c r="H286" t="str">
        <f>_xll.BDP("14045AAS Muni","ISSUE_DT")</f>
        <v>#N/A Requesting Data...</v>
      </c>
      <c r="I286" t="str">
        <f>_xll.BDS("14045AAS Muni","MUNI_PURPOSE_SCHED", "aggregate=y")</f>
        <v>#N/A Requesting Data...</v>
      </c>
      <c r="J286" t="str">
        <f>_xll.BDP("14045AAS Muni","CPN")</f>
        <v>#N/A Requesting Data...</v>
      </c>
      <c r="K286" t="str">
        <f>_xll.BDP("14045AAS Muni","MATURITY")</f>
        <v>#N/A Requesting Data...</v>
      </c>
      <c r="L286">
        <v>6780000</v>
      </c>
      <c r="M286" t="str">
        <f>_xll.BDP("14045AAS Muni","YIELD_ON_ISSUE_DATE")</f>
        <v>#N/A Requesting Data...</v>
      </c>
      <c r="N286" t="str">
        <f>_xll.BDP("14045AAS Muni","YTW_SPREAD_TO_MATURITY_AT_ISSU")</f>
        <v>#N/A Requesting Data...</v>
      </c>
      <c r="O286" t="str">
        <f>_xll.BDP("14045AAS Muni","BVAL_MID_YTM")</f>
        <v>#N/A Requesting Data...</v>
      </c>
      <c r="P286" t="str">
        <f>_xll.BDP("14045AAS Muni","MUNI_TAX_PROV")</f>
        <v>#N/A Requesting Data...</v>
      </c>
      <c r="Q286" t="str">
        <f>_xll.BDP("14045AAS Muni","MUNI_FED_TAX")</f>
        <v>#N/A Requesting Data...</v>
      </c>
      <c r="R286" t="str">
        <f>_xll.BDP("14045AAS Muni","MUNI_MSRB_VOLUME")</f>
        <v>#N/A Requesting Data...</v>
      </c>
      <c r="S286" t="str">
        <f>_xll.BDP("14045AAS Muni","BB_COMPOSITE")</f>
        <v>#N/A Requesting Data...</v>
      </c>
      <c r="T286" t="str">
        <f>_xll.BDP("14045AAS Muni","LQA_LIQUIDITY_SCORE")</f>
        <v>#N/A Requesting Data...</v>
      </c>
    </row>
    <row r="287" spans="1:20" x14ac:dyDescent="0.25">
      <c r="A287" t="str">
        <f>_xll.BDP("14063YBW Muni","ID_CUSIP")</f>
        <v>#N/A Requesting Data...</v>
      </c>
      <c r="B287" t="s">
        <v>109</v>
      </c>
      <c r="C287" t="str">
        <f>_xll.BDP("14063YBW Muni","INSURANCE_STATUS")</f>
        <v>#N/A Requesting Data...</v>
      </c>
      <c r="D287" t="str">
        <f>_xll.BDP("14063YBW Muni","STATE_CODE")</f>
        <v>#N/A Requesting Data...</v>
      </c>
      <c r="E287" t="str">
        <f>_xll.BDP("14063YBW Muni","COUNTY_LOCATION_ISSUER")</f>
        <v>#N/A Requesting Data...</v>
      </c>
      <c r="F287" t="str">
        <f>_xll.BDP("14063YBW Muni","DUR_ADJ_MID")</f>
        <v>#N/A Requesting Data...</v>
      </c>
      <c r="G287" t="str">
        <f>_xll.BDP("14063YBW Muni","SPREAD_AT_ISSUANCE_TO_WORST")</f>
        <v>#N/A Requesting Data...</v>
      </c>
      <c r="H287" t="str">
        <f>_xll.BDP("14063YBW Muni","ISSUE_DT")</f>
        <v>#N/A Requesting Data...</v>
      </c>
      <c r="I287" t="str">
        <f>_xll.BDS("14063YBW Muni","MUNI_PURPOSE_SCHED", "aggregate=y")</f>
        <v>#N/A Requesting Data...</v>
      </c>
      <c r="J287" t="str">
        <f>_xll.BDP("14063YBW Muni","CPN")</f>
        <v>#N/A Requesting Data...</v>
      </c>
      <c r="K287" t="str">
        <f>_xll.BDP("14063YBW Muni","MATURITY")</f>
        <v>#N/A Requesting Data...</v>
      </c>
      <c r="L287">
        <v>405000</v>
      </c>
      <c r="M287" t="str">
        <f>_xll.BDP("14063YBW Muni","YIELD_ON_ISSUE_DATE")</f>
        <v>#N/A Requesting Data...</v>
      </c>
      <c r="N287" t="str">
        <f>_xll.BDP("14063YBW Muni","YTW_SPREAD_TO_MATURITY_AT_ISSU")</f>
        <v>#N/A Requesting Data...</v>
      </c>
      <c r="O287" t="str">
        <f>_xll.BDP("14063YBW Muni","BVAL_MID_YTM")</f>
        <v>#N/A Requesting Data...</v>
      </c>
      <c r="P287" t="str">
        <f>_xll.BDP("14063YBW Muni","MUNI_TAX_PROV")</f>
        <v>#N/A Requesting Data...</v>
      </c>
      <c r="Q287" t="str">
        <f>_xll.BDP("14063YBW Muni","MUNI_FED_TAX")</f>
        <v>#N/A Requesting Data...</v>
      </c>
      <c r="R287" t="str">
        <f>_xll.BDP("14063YBW Muni","MUNI_MSRB_VOLUME")</f>
        <v>#N/A Requesting Data...</v>
      </c>
      <c r="S287" t="str">
        <f>_xll.BDP("14063YBW Muni","BB_COMPOSITE")</f>
        <v>#N/A Requesting Data...</v>
      </c>
      <c r="T287" t="str">
        <f>_xll.BDP("14063YBW Muni","LQA_LIQUIDITY_SCORE")</f>
        <v>#N/A Requesting Data...</v>
      </c>
    </row>
    <row r="288" spans="1:20" x14ac:dyDescent="0.25">
      <c r="A288" t="str">
        <f>_xll.BDP("14063YBY Muni","ID_CUSIP")</f>
        <v>#N/A Requesting Data...</v>
      </c>
      <c r="B288" t="s">
        <v>109</v>
      </c>
      <c r="C288" t="str">
        <f>_xll.BDP("14063YBY Muni","INSURANCE_STATUS")</f>
        <v>#N/A Requesting Data...</v>
      </c>
      <c r="D288" t="str">
        <f>_xll.BDP("14063YBY Muni","STATE_CODE")</f>
        <v>#N/A Requesting Data...</v>
      </c>
      <c r="E288" t="str">
        <f>_xll.BDP("14063YBY Muni","COUNTY_LOCATION_ISSUER")</f>
        <v>#N/A Requesting Data...</v>
      </c>
      <c r="F288" t="str">
        <f>_xll.BDP("14063YBY Muni","DUR_ADJ_MID")</f>
        <v>#N/A Requesting Data...</v>
      </c>
      <c r="G288" t="str">
        <f>_xll.BDP("14063YBY Muni","SPREAD_AT_ISSUANCE_TO_WORST")</f>
        <v>#N/A Requesting Data...</v>
      </c>
      <c r="H288" t="str">
        <f>_xll.BDP("14063YBY Muni","ISSUE_DT")</f>
        <v>#N/A Requesting Data...</v>
      </c>
      <c r="I288" t="str">
        <f>_xll.BDS("14063YBY Muni","MUNI_PURPOSE_SCHED", "aggregate=y")</f>
        <v>#N/A Requesting Data...</v>
      </c>
      <c r="J288" t="str">
        <f>_xll.BDP("14063YBY Muni","CPN")</f>
        <v>#N/A Requesting Data...</v>
      </c>
      <c r="K288" t="str">
        <f>_xll.BDP("14063YBY Muni","MATURITY")</f>
        <v>#N/A Requesting Data...</v>
      </c>
      <c r="L288">
        <v>425000</v>
      </c>
      <c r="M288" t="str">
        <f>_xll.BDP("14063YBY Muni","YIELD_ON_ISSUE_DATE")</f>
        <v>#N/A Requesting Data...</v>
      </c>
      <c r="N288" t="str">
        <f>_xll.BDP("14063YBY Muni","YTW_SPREAD_TO_MATURITY_AT_ISSU")</f>
        <v>#N/A Requesting Data...</v>
      </c>
      <c r="O288" t="str">
        <f>_xll.BDP("14063YBY Muni","BVAL_MID_YTM")</f>
        <v>#N/A Requesting Data...</v>
      </c>
      <c r="P288" t="str">
        <f>_xll.BDP("14063YBY Muni","MUNI_TAX_PROV")</f>
        <v>#N/A Requesting Data...</v>
      </c>
      <c r="Q288" t="str">
        <f>_xll.BDP("14063YBY Muni","MUNI_FED_TAX")</f>
        <v>#N/A Requesting Data...</v>
      </c>
      <c r="R288" t="str">
        <f>_xll.BDP("14063YBY Muni","MUNI_MSRB_VOLUME")</f>
        <v>#N/A Requesting Data...</v>
      </c>
      <c r="S288" t="str">
        <f>_xll.BDP("14063YBY Muni","BB_COMPOSITE")</f>
        <v>#N/A Requesting Data...</v>
      </c>
      <c r="T288" t="str">
        <f>_xll.BDP("14063YBY Muni","LQA_LIQUIDITY_SCORE")</f>
        <v>#N/A Requesting Data...</v>
      </c>
    </row>
    <row r="289" spans="1:20" x14ac:dyDescent="0.25">
      <c r="A289" t="str">
        <f>_xll.BDP("14063YCA Muni","ID_CUSIP")</f>
        <v>#N/A Requesting Data...</v>
      </c>
      <c r="B289" t="s">
        <v>109</v>
      </c>
      <c r="C289" t="str">
        <f>_xll.BDP("14063YCA Muni","INSURANCE_STATUS")</f>
        <v>#N/A Requesting Data...</v>
      </c>
      <c r="D289" t="str">
        <f>_xll.BDP("14063YCA Muni","STATE_CODE")</f>
        <v>#N/A Requesting Data...</v>
      </c>
      <c r="E289" t="str">
        <f>_xll.BDP("14063YCA Muni","COUNTY_LOCATION_ISSUER")</f>
        <v>#N/A Requesting Data...</v>
      </c>
      <c r="F289" t="str">
        <f>_xll.BDP("14063YCA Muni","DUR_ADJ_MID")</f>
        <v>#N/A Requesting Data...</v>
      </c>
      <c r="G289" t="str">
        <f>_xll.BDP("14063YCA Muni","SPREAD_AT_ISSUANCE_TO_WORST")</f>
        <v>#N/A Requesting Data...</v>
      </c>
      <c r="H289" t="str">
        <f>_xll.BDP("14063YCA Muni","ISSUE_DT")</f>
        <v>#N/A Requesting Data...</v>
      </c>
      <c r="I289" t="str">
        <f>_xll.BDS("14063YCA Muni","MUNI_PURPOSE_SCHED", "aggregate=y")</f>
        <v>#N/A Requesting Data...</v>
      </c>
      <c r="J289" t="str">
        <f>_xll.BDP("14063YCA Muni","CPN")</f>
        <v>#N/A Requesting Data...</v>
      </c>
      <c r="K289" t="str">
        <f>_xll.BDP("14063YCA Muni","MATURITY")</f>
        <v>#N/A Requesting Data...</v>
      </c>
      <c r="L289">
        <v>460000</v>
      </c>
      <c r="M289" t="str">
        <f>_xll.BDP("14063YCA Muni","YIELD_ON_ISSUE_DATE")</f>
        <v>#N/A Requesting Data...</v>
      </c>
      <c r="N289" t="str">
        <f>_xll.BDP("14063YCA Muni","YTW_SPREAD_TO_MATURITY_AT_ISSU")</f>
        <v>#N/A Requesting Data...</v>
      </c>
      <c r="O289" t="str">
        <f>_xll.BDP("14063YCA Muni","BVAL_MID_YTM")</f>
        <v>#N/A Requesting Data...</v>
      </c>
      <c r="P289" t="str">
        <f>_xll.BDP("14063YCA Muni","MUNI_TAX_PROV")</f>
        <v>#N/A Requesting Data...</v>
      </c>
      <c r="Q289" t="str">
        <f>_xll.BDP("14063YCA Muni","MUNI_FED_TAX")</f>
        <v>#N/A Requesting Data...</v>
      </c>
      <c r="R289" t="str">
        <f>_xll.BDP("14063YCA Muni","MUNI_MSRB_VOLUME")</f>
        <v>#N/A Requesting Data...</v>
      </c>
      <c r="S289" t="str">
        <f>_xll.BDP("14063YCA Muni","BB_COMPOSITE")</f>
        <v>#N/A Requesting Data...</v>
      </c>
      <c r="T289" t="str">
        <f>_xll.BDP("14063YCA Muni","LQA_LIQUIDITY_SCORE")</f>
        <v>#N/A Requesting Data...</v>
      </c>
    </row>
    <row r="290" spans="1:20" x14ac:dyDescent="0.25">
      <c r="A290" t="str">
        <f>_xll.BDP("304009GR Muni","ID_CUSIP")</f>
        <v>#N/A Requesting Data...</v>
      </c>
      <c r="B290" t="s">
        <v>100</v>
      </c>
      <c r="C290" t="str">
        <f>_xll.BDP("304009GR Muni","INSURANCE_STATUS")</f>
        <v>#N/A Requesting Data...</v>
      </c>
      <c r="D290" t="str">
        <f>_xll.BDP("304009GR Muni","STATE_CODE")</f>
        <v>#N/A Requesting Data...</v>
      </c>
      <c r="E290" t="str">
        <f>_xll.BDP("304009GR Muni","COUNTY_LOCATION_ISSUER")</f>
        <v>#N/A Requesting Data...</v>
      </c>
      <c r="F290" t="str">
        <f>_xll.BDP("304009GR Muni","DUR_ADJ_MID")</f>
        <v>#N/A Requesting Data...</v>
      </c>
      <c r="G290" t="str">
        <f>_xll.BDP("304009GR Muni","SPREAD_AT_ISSUANCE_TO_WORST")</f>
        <v>#N/A Requesting Data...</v>
      </c>
      <c r="H290" t="str">
        <f>_xll.BDP("304009GR Muni","ISSUE_DT")</f>
        <v>#N/A Requesting Data...</v>
      </c>
      <c r="I290" t="str">
        <f>_xll.BDS("304009GR Muni","MUNI_PURPOSE_SCHED", "aggregate=y")</f>
        <v>#N/A Requesting Data...</v>
      </c>
      <c r="J290" t="str">
        <f>_xll.BDP("304009GR Muni","CPN")</f>
        <v>#N/A Requesting Data...</v>
      </c>
      <c r="K290" t="str">
        <f>_xll.BDP("304009GR Muni","MATURITY")</f>
        <v>#N/A Requesting Data...</v>
      </c>
      <c r="L290">
        <v>110000</v>
      </c>
      <c r="M290" t="str">
        <f>_xll.BDP("304009GR Muni","YIELD_ON_ISSUE_DATE")</f>
        <v>#N/A Requesting Data...</v>
      </c>
      <c r="N290" t="str">
        <f>_xll.BDP("304009GR Muni","YTW_SPREAD_TO_MATURITY_AT_ISSU")</f>
        <v>#N/A Requesting Data...</v>
      </c>
      <c r="O290" t="str">
        <f>_xll.BDP("304009GR Muni","BVAL_MID_YTM")</f>
        <v>#N/A Requesting Data...</v>
      </c>
      <c r="P290" t="str">
        <f>_xll.BDP("304009GR Muni","MUNI_TAX_PROV")</f>
        <v>#N/A Requesting Data...</v>
      </c>
      <c r="Q290" t="str">
        <f>_xll.BDP("304009GR Muni","MUNI_FED_TAX")</f>
        <v>#N/A Requesting Data...</v>
      </c>
      <c r="R290" t="str">
        <f>_xll.BDP("304009GR Muni","MUNI_MSRB_VOLUME")</f>
        <v>#N/A Requesting Data...</v>
      </c>
      <c r="S290" t="str">
        <f>_xll.BDP("304009GR Muni","BB_COMPOSITE")</f>
        <v>#N/A Requesting Data...</v>
      </c>
      <c r="T290" t="str">
        <f>_xll.BDP("304009GR Muni","LQA_LIQUIDITY_SCORE")</f>
        <v>#N/A Requesting Data...</v>
      </c>
    </row>
    <row r="291" spans="1:20" x14ac:dyDescent="0.25">
      <c r="A291" t="str">
        <f>_xll.BDP("304009GS Muni","ID_CUSIP")</f>
        <v>#N/A Requesting Data...</v>
      </c>
      <c r="B291" t="s">
        <v>100</v>
      </c>
      <c r="C291" t="str">
        <f>_xll.BDP("304009GS Muni","INSURANCE_STATUS")</f>
        <v>#N/A Requesting Data...</v>
      </c>
      <c r="D291" t="str">
        <f>_xll.BDP("304009GS Muni","STATE_CODE")</f>
        <v>#N/A Requesting Data...</v>
      </c>
      <c r="E291" t="str">
        <f>_xll.BDP("304009GS Muni","COUNTY_LOCATION_ISSUER")</f>
        <v>#N/A Requesting Data...</v>
      </c>
      <c r="F291" t="str">
        <f>_xll.BDP("304009GS Muni","DUR_ADJ_MID")</f>
        <v>#N/A Requesting Data...</v>
      </c>
      <c r="G291" t="str">
        <f>_xll.BDP("304009GS Muni","SPREAD_AT_ISSUANCE_TO_WORST")</f>
        <v>#N/A Requesting Data...</v>
      </c>
      <c r="H291" t="str">
        <f>_xll.BDP("304009GS Muni","ISSUE_DT")</f>
        <v>#N/A Requesting Data...</v>
      </c>
      <c r="I291" t="str">
        <f>_xll.BDS("304009GS Muni","MUNI_PURPOSE_SCHED", "aggregate=y")</f>
        <v>#N/A Requesting Data...</v>
      </c>
      <c r="J291" t="str">
        <f>_xll.BDP("304009GS Muni","CPN")</f>
        <v>#N/A Requesting Data...</v>
      </c>
      <c r="K291" t="str">
        <f>_xll.BDP("304009GS Muni","MATURITY")</f>
        <v>#N/A Requesting Data...</v>
      </c>
      <c r="L291">
        <v>110000</v>
      </c>
      <c r="M291" t="str">
        <f>_xll.BDP("304009GS Muni","YIELD_ON_ISSUE_DATE")</f>
        <v>#N/A Requesting Data...</v>
      </c>
      <c r="N291" t="str">
        <f>_xll.BDP("304009GS Muni","YTW_SPREAD_TO_MATURITY_AT_ISSU")</f>
        <v>#N/A Requesting Data...</v>
      </c>
      <c r="O291" t="str">
        <f>_xll.BDP("304009GS Muni","BVAL_MID_YTM")</f>
        <v>#N/A Requesting Data...</v>
      </c>
      <c r="P291" t="str">
        <f>_xll.BDP("304009GS Muni","MUNI_TAX_PROV")</f>
        <v>#N/A Requesting Data...</v>
      </c>
      <c r="Q291" t="str">
        <f>_xll.BDP("304009GS Muni","MUNI_FED_TAX")</f>
        <v>#N/A Requesting Data...</v>
      </c>
      <c r="R291" t="str">
        <f>_xll.BDP("304009GS Muni","MUNI_MSRB_VOLUME")</f>
        <v>#N/A Requesting Data...</v>
      </c>
      <c r="S291" t="str">
        <f>_xll.BDP("304009GS Muni","BB_COMPOSITE")</f>
        <v>#N/A Requesting Data...</v>
      </c>
      <c r="T291" t="str">
        <f>_xll.BDP("304009GS Muni","LQA_LIQUIDITY_SCORE")</f>
        <v>#N/A Requesting Data...</v>
      </c>
    </row>
    <row r="292" spans="1:20" x14ac:dyDescent="0.25">
      <c r="A292" t="str">
        <f>_xll.BDP("304009GU Muni","ID_CUSIP")</f>
        <v>#N/A Requesting Data...</v>
      </c>
      <c r="B292" t="s">
        <v>100</v>
      </c>
      <c r="C292" t="str">
        <f>_xll.BDP("304009GU Muni","INSURANCE_STATUS")</f>
        <v>#N/A Requesting Data...</v>
      </c>
      <c r="D292" t="str">
        <f>_xll.BDP("304009GU Muni","STATE_CODE")</f>
        <v>#N/A Requesting Data...</v>
      </c>
      <c r="E292" t="str">
        <f>_xll.BDP("304009GU Muni","COUNTY_LOCATION_ISSUER")</f>
        <v>#N/A Requesting Data...</v>
      </c>
      <c r="F292" t="str">
        <f>_xll.BDP("304009GU Muni","DUR_ADJ_MID")</f>
        <v>#N/A Requesting Data...</v>
      </c>
      <c r="G292" t="str">
        <f>_xll.BDP("304009GU Muni","SPREAD_AT_ISSUANCE_TO_WORST")</f>
        <v>#N/A Requesting Data...</v>
      </c>
      <c r="H292" t="str">
        <f>_xll.BDP("304009GU Muni","ISSUE_DT")</f>
        <v>#N/A Requesting Data...</v>
      </c>
      <c r="I292" t="str">
        <f>_xll.BDS("304009GU Muni","MUNI_PURPOSE_SCHED", "aggregate=y")</f>
        <v>#N/A Requesting Data...</v>
      </c>
      <c r="J292" t="str">
        <f>_xll.BDP("304009GU Muni","CPN")</f>
        <v>#N/A Requesting Data...</v>
      </c>
      <c r="K292" t="str">
        <f>_xll.BDP("304009GU Muni","MATURITY")</f>
        <v>#N/A Requesting Data...</v>
      </c>
      <c r="L292">
        <v>115000</v>
      </c>
      <c r="M292" t="str">
        <f>_xll.BDP("304009GU Muni","YIELD_ON_ISSUE_DATE")</f>
        <v>#N/A Requesting Data...</v>
      </c>
      <c r="N292" t="str">
        <f>_xll.BDP("304009GU Muni","YTW_SPREAD_TO_MATURITY_AT_ISSU")</f>
        <v>#N/A Requesting Data...</v>
      </c>
      <c r="O292" t="str">
        <f>_xll.BDP("304009GU Muni","BVAL_MID_YTM")</f>
        <v>#N/A Requesting Data...</v>
      </c>
      <c r="P292" t="str">
        <f>_xll.BDP("304009GU Muni","MUNI_TAX_PROV")</f>
        <v>#N/A Requesting Data...</v>
      </c>
      <c r="Q292" t="str">
        <f>_xll.BDP("304009GU Muni","MUNI_FED_TAX")</f>
        <v>#N/A Requesting Data...</v>
      </c>
      <c r="R292" t="str">
        <f>_xll.BDP("304009GU Muni","MUNI_MSRB_VOLUME")</f>
        <v>#N/A Requesting Data...</v>
      </c>
      <c r="S292" t="str">
        <f>_xll.BDP("304009GU Muni","BB_COMPOSITE")</f>
        <v>#N/A Requesting Data...</v>
      </c>
      <c r="T292" t="str">
        <f>_xll.BDP("304009GU Muni","LQA_LIQUIDITY_SCORE")</f>
        <v>#N/A Requesting Data...</v>
      </c>
    </row>
    <row r="293" spans="1:20" x14ac:dyDescent="0.25">
      <c r="A293" t="str">
        <f>_xll.BDP("35986CAE Muni","ID_CUSIP")</f>
        <v>#N/A Requesting Data...</v>
      </c>
      <c r="B293" t="s">
        <v>101</v>
      </c>
      <c r="C293" t="str">
        <f>_xll.BDP("35986CAE Muni","INSURANCE_STATUS")</f>
        <v>#N/A Requesting Data...</v>
      </c>
      <c r="D293" t="str">
        <f>_xll.BDP("35986CAE Muni","STATE_CODE")</f>
        <v>#N/A Requesting Data...</v>
      </c>
      <c r="E293" t="str">
        <f>_xll.BDP("35986CAE Muni","COUNTY_LOCATION_ISSUER")</f>
        <v>#N/A Requesting Data...</v>
      </c>
      <c r="F293" t="str">
        <f>_xll.BDP("35986CAE Muni","DUR_ADJ_MID")</f>
        <v>#N/A Requesting Data...</v>
      </c>
      <c r="G293" t="str">
        <f>_xll.BDP("35986CAE Muni","SPREAD_AT_ISSUANCE_TO_WORST")</f>
        <v>#N/A Requesting Data...</v>
      </c>
      <c r="H293" t="str">
        <f>_xll.BDP("35986CAE Muni","ISSUE_DT")</f>
        <v>#N/A Requesting Data...</v>
      </c>
      <c r="I293" t="str">
        <f>_xll.BDS("35986CAE Muni","MUNI_PURPOSE_SCHED", "aggregate=y")</f>
        <v>#N/A Requesting Data...</v>
      </c>
      <c r="J293" t="str">
        <f>_xll.BDP("35986CAE Muni","CPN")</f>
        <v>#N/A Requesting Data...</v>
      </c>
      <c r="K293" t="str">
        <f>_xll.BDP("35986CAE Muni","MATURITY")</f>
        <v>#N/A Requesting Data...</v>
      </c>
      <c r="L293">
        <v>140000</v>
      </c>
      <c r="M293" t="str">
        <f>_xll.BDP("35986CAE Muni","YIELD_ON_ISSUE_DATE")</f>
        <v>#N/A Requesting Data...</v>
      </c>
      <c r="N293" t="str">
        <f>_xll.BDP("35986CAE Muni","YTW_SPREAD_TO_MATURITY_AT_ISSU")</f>
        <v>#N/A Requesting Data...</v>
      </c>
      <c r="O293" t="str">
        <f>_xll.BDP("35986CAE Muni","BVAL_MID_YTM")</f>
        <v>#N/A Requesting Data...</v>
      </c>
      <c r="P293" t="str">
        <f>_xll.BDP("35986CAE Muni","MUNI_TAX_PROV")</f>
        <v>#N/A Requesting Data...</v>
      </c>
      <c r="Q293" t="str">
        <f>_xll.BDP("35986CAE Muni","MUNI_FED_TAX")</f>
        <v>#N/A Requesting Data...</v>
      </c>
      <c r="R293" t="str">
        <f>_xll.BDP("35986CAE Muni","MUNI_MSRB_VOLUME")</f>
        <v>#N/A Requesting Data...</v>
      </c>
      <c r="S293" t="str">
        <f>_xll.BDP("35986CAE Muni","BB_COMPOSITE")</f>
        <v>#N/A Requesting Data...</v>
      </c>
      <c r="T293" t="str">
        <f>_xll.BDP("35986CAE Muni","LQA_LIQUIDITY_SCORE")</f>
        <v>#N/A Requesting Data...</v>
      </c>
    </row>
    <row r="294" spans="1:20" x14ac:dyDescent="0.25">
      <c r="A294" t="str">
        <f>_xll.BDP("306297T4 Muni","ID_CUSIP")</f>
        <v>#N/A Requesting Data...</v>
      </c>
      <c r="B294" t="s">
        <v>102</v>
      </c>
      <c r="C294" t="str">
        <f>_xll.BDP("306297T4 Muni","INSURANCE_STATUS")</f>
        <v>#N/A Requesting Data...</v>
      </c>
      <c r="D294" t="str">
        <f>_xll.BDP("306297T4 Muni","STATE_CODE")</f>
        <v>#N/A Requesting Data...</v>
      </c>
      <c r="E294" t="str">
        <f>_xll.BDP("306297T4 Muni","COUNTY_LOCATION_ISSUER")</f>
        <v>#N/A Requesting Data...</v>
      </c>
      <c r="F294" t="str">
        <f>_xll.BDP("306297T4 Muni","DUR_ADJ_MID")</f>
        <v>#N/A Requesting Data...</v>
      </c>
      <c r="G294" t="str">
        <f>_xll.BDP("306297T4 Muni","SPREAD_AT_ISSUANCE_TO_WORST")</f>
        <v>#N/A Requesting Data...</v>
      </c>
      <c r="H294" t="str">
        <f>_xll.BDP("306297T4 Muni","ISSUE_DT")</f>
        <v>#N/A Requesting Data...</v>
      </c>
      <c r="I294" t="str">
        <f>_xll.BDS("306297T4 Muni","MUNI_PURPOSE_SCHED", "aggregate=y")</f>
        <v>#N/A Requesting Data...</v>
      </c>
      <c r="J294" t="str">
        <f>_xll.BDP("306297T4 Muni","CPN")</f>
        <v>#N/A Requesting Data...</v>
      </c>
      <c r="K294" t="str">
        <f>_xll.BDP("306297T4 Muni","MATURITY")</f>
        <v>#N/A Requesting Data...</v>
      </c>
      <c r="L294">
        <v>295000</v>
      </c>
      <c r="M294" t="str">
        <f>_xll.BDP("306297T4 Muni","YIELD_ON_ISSUE_DATE")</f>
        <v>#N/A Requesting Data...</v>
      </c>
      <c r="N294" t="str">
        <f>_xll.BDP("306297T4 Muni","YTW_SPREAD_TO_MATURITY_AT_ISSU")</f>
        <v>#N/A Requesting Data...</v>
      </c>
      <c r="O294" t="str">
        <f>_xll.BDP("306297T4 Muni","BVAL_MID_YTM")</f>
        <v>#N/A Requesting Data...</v>
      </c>
      <c r="P294" t="str">
        <f>_xll.BDP("306297T4 Muni","MUNI_TAX_PROV")</f>
        <v>#N/A Requesting Data...</v>
      </c>
      <c r="Q294" t="str">
        <f>_xll.BDP("306297T4 Muni","MUNI_FED_TAX")</f>
        <v>#N/A Requesting Data...</v>
      </c>
      <c r="R294" t="str">
        <f>_xll.BDP("306297T4 Muni","MUNI_MSRB_VOLUME")</f>
        <v>#N/A Requesting Data...</v>
      </c>
      <c r="S294" t="str">
        <f>_xll.BDP("306297T4 Muni","BB_COMPOSITE")</f>
        <v>#N/A Requesting Data...</v>
      </c>
      <c r="T294" t="str">
        <f>_xll.BDP("306297T4 Muni","LQA_LIQUIDITY_SCORE")</f>
        <v>#N/A Requesting Data...</v>
      </c>
    </row>
    <row r="295" spans="1:20" x14ac:dyDescent="0.25">
      <c r="A295" t="str">
        <f>_xll.BDP("306297T6 Muni","ID_CUSIP")</f>
        <v>#N/A Requesting Data...</v>
      </c>
      <c r="B295" t="s">
        <v>102</v>
      </c>
      <c r="C295" t="str">
        <f>_xll.BDP("306297T6 Muni","INSURANCE_STATUS")</f>
        <v>#N/A Requesting Data...</v>
      </c>
      <c r="D295" t="str">
        <f>_xll.BDP("306297T6 Muni","STATE_CODE")</f>
        <v>#N/A Requesting Data...</v>
      </c>
      <c r="E295" t="str">
        <f>_xll.BDP("306297T6 Muni","COUNTY_LOCATION_ISSUER")</f>
        <v>#N/A Requesting Data...</v>
      </c>
      <c r="F295" t="str">
        <f>_xll.BDP("306297T6 Muni","DUR_ADJ_MID")</f>
        <v>#N/A Requesting Data...</v>
      </c>
      <c r="G295" t="str">
        <f>_xll.BDP("306297T6 Muni","SPREAD_AT_ISSUANCE_TO_WORST")</f>
        <v>#N/A Requesting Data...</v>
      </c>
      <c r="H295" t="str">
        <f>_xll.BDP("306297T6 Muni","ISSUE_DT")</f>
        <v>#N/A Requesting Data...</v>
      </c>
      <c r="I295" t="str">
        <f>_xll.BDS("306297T6 Muni","MUNI_PURPOSE_SCHED", "aggregate=y")</f>
        <v>#N/A Requesting Data...</v>
      </c>
      <c r="J295" t="str">
        <f>_xll.BDP("306297T6 Muni","CPN")</f>
        <v>#N/A Requesting Data...</v>
      </c>
      <c r="K295" t="str">
        <f>_xll.BDP("306297T6 Muni","MATURITY")</f>
        <v>#N/A Requesting Data...</v>
      </c>
      <c r="L295">
        <v>330000</v>
      </c>
      <c r="M295" t="str">
        <f>_xll.BDP("306297T6 Muni","YIELD_ON_ISSUE_DATE")</f>
        <v>#N/A Requesting Data...</v>
      </c>
      <c r="N295" t="str">
        <f>_xll.BDP("306297T6 Muni","YTW_SPREAD_TO_MATURITY_AT_ISSU")</f>
        <v>#N/A Requesting Data...</v>
      </c>
      <c r="O295" t="str">
        <f>_xll.BDP("306297T6 Muni","BVAL_MID_YTM")</f>
        <v>#N/A Requesting Data...</v>
      </c>
      <c r="P295" t="str">
        <f>_xll.BDP("306297T6 Muni","MUNI_TAX_PROV")</f>
        <v>#N/A Requesting Data...</v>
      </c>
      <c r="Q295" t="str">
        <f>_xll.BDP("306297T6 Muni","MUNI_FED_TAX")</f>
        <v>#N/A Requesting Data...</v>
      </c>
      <c r="R295" t="str">
        <f>_xll.BDP("306297T6 Muni","MUNI_MSRB_VOLUME")</f>
        <v>#N/A Requesting Data...</v>
      </c>
      <c r="S295" t="str">
        <f>_xll.BDP("306297T6 Muni","BB_COMPOSITE")</f>
        <v>#N/A Requesting Data...</v>
      </c>
      <c r="T295" t="str">
        <f>_xll.BDP("306297T6 Muni","LQA_LIQUIDITY_SCORE")</f>
        <v>#N/A Requesting Data...</v>
      </c>
    </row>
    <row r="296" spans="1:20" x14ac:dyDescent="0.25">
      <c r="A296" t="str">
        <f>_xll.BDP("260655NB Muni","ID_CUSIP")</f>
        <v>#N/A Requesting Data...</v>
      </c>
      <c r="B296" t="s">
        <v>110</v>
      </c>
      <c r="C296" t="str">
        <f>_xll.BDP("260655NB Muni","INSURANCE_STATUS")</f>
        <v>#N/A Requesting Data...</v>
      </c>
      <c r="D296" t="str">
        <f>_xll.BDP("260655NB Muni","STATE_CODE")</f>
        <v>#N/A Requesting Data...</v>
      </c>
      <c r="E296" t="str">
        <f>_xll.BDP("260655NB Muni","COUNTY_LOCATION_ISSUER")</f>
        <v>#N/A Requesting Data...</v>
      </c>
      <c r="F296" t="str">
        <f>_xll.BDP("260655NB Muni","DUR_ADJ_MID")</f>
        <v>#N/A Requesting Data...</v>
      </c>
      <c r="G296" t="str">
        <f>_xll.BDP("260655NB Muni","SPREAD_AT_ISSUANCE_TO_WORST")</f>
        <v>#N/A Requesting Data...</v>
      </c>
      <c r="H296" t="str">
        <f>_xll.BDP("260655NB Muni","ISSUE_DT")</f>
        <v>#N/A Requesting Data...</v>
      </c>
      <c r="I296" t="str">
        <f>_xll.BDS("260655NB Muni","MUNI_PURPOSE_SCHED", "aggregate=y")</f>
        <v>#N/A Requesting Data...</v>
      </c>
      <c r="J296" t="str">
        <f>_xll.BDP("260655NB Muni","CPN")</f>
        <v>#N/A Requesting Data...</v>
      </c>
      <c r="K296" t="str">
        <f>_xll.BDP("260655NB Muni","MATURITY")</f>
        <v>#N/A Requesting Data...</v>
      </c>
      <c r="L296">
        <v>50000</v>
      </c>
      <c r="M296" t="str">
        <f>_xll.BDP("260655NB Muni","YIELD_ON_ISSUE_DATE")</f>
        <v>#N/A Requesting Data...</v>
      </c>
      <c r="N296" t="str">
        <f>_xll.BDP("260655NB Muni","YTW_SPREAD_TO_MATURITY_AT_ISSU")</f>
        <v>#N/A Requesting Data...</v>
      </c>
      <c r="O296" t="str">
        <f>_xll.BDP("260655NB Muni","BVAL_MID_YTM")</f>
        <v>#N/A Requesting Data...</v>
      </c>
      <c r="P296" t="str">
        <f>_xll.BDP("260655NB Muni","MUNI_TAX_PROV")</f>
        <v>#N/A Requesting Data...</v>
      </c>
      <c r="Q296" t="str">
        <f>_xll.BDP("260655NB Muni","MUNI_FED_TAX")</f>
        <v>#N/A Requesting Data...</v>
      </c>
      <c r="R296" t="str">
        <f>_xll.BDP("260655NB Muni","MUNI_MSRB_VOLUME")</f>
        <v>#N/A Requesting Data...</v>
      </c>
      <c r="S296" t="str">
        <f>_xll.BDP("260655NB Muni","BB_COMPOSITE")</f>
        <v>#N/A Requesting Data...</v>
      </c>
      <c r="T296" t="str">
        <f>_xll.BDP("260655NB Muni","LQA_LIQUIDITY_SCORE")</f>
        <v>#N/A Requesting Data...</v>
      </c>
    </row>
    <row r="297" spans="1:20" x14ac:dyDescent="0.25">
      <c r="A297" t="str">
        <f>_xll.BDP("260655NC Muni","ID_CUSIP")</f>
        <v>#N/A Requesting Data...</v>
      </c>
      <c r="B297" t="s">
        <v>110</v>
      </c>
      <c r="C297" t="str">
        <f>_xll.BDP("260655NC Muni","INSURANCE_STATUS")</f>
        <v>#N/A Requesting Data...</v>
      </c>
      <c r="D297" t="str">
        <f>_xll.BDP("260655NC Muni","STATE_CODE")</f>
        <v>#N/A Requesting Data...</v>
      </c>
      <c r="E297" t="str">
        <f>_xll.BDP("260655NC Muni","COUNTY_LOCATION_ISSUER")</f>
        <v>#N/A Requesting Data...</v>
      </c>
      <c r="F297" t="str">
        <f>_xll.BDP("260655NC Muni","DUR_ADJ_MID")</f>
        <v>#N/A Requesting Data...</v>
      </c>
      <c r="G297" t="str">
        <f>_xll.BDP("260655NC Muni","SPREAD_AT_ISSUANCE_TO_WORST")</f>
        <v>#N/A Requesting Data...</v>
      </c>
      <c r="H297" t="str">
        <f>_xll.BDP("260655NC Muni","ISSUE_DT")</f>
        <v>#N/A Requesting Data...</v>
      </c>
      <c r="I297" t="str">
        <f>_xll.BDS("260655NC Muni","MUNI_PURPOSE_SCHED", "aggregate=y")</f>
        <v>#N/A Requesting Data...</v>
      </c>
      <c r="J297" t="str">
        <f>_xll.BDP("260655NC Muni","CPN")</f>
        <v>#N/A Requesting Data...</v>
      </c>
      <c r="K297" t="str">
        <f>_xll.BDP("260655NC Muni","MATURITY")</f>
        <v>#N/A Requesting Data...</v>
      </c>
      <c r="L297">
        <v>50000</v>
      </c>
      <c r="M297" t="str">
        <f>_xll.BDP("260655NC Muni","YIELD_ON_ISSUE_DATE")</f>
        <v>#N/A Requesting Data...</v>
      </c>
      <c r="N297" t="str">
        <f>_xll.BDP("260655NC Muni","YTW_SPREAD_TO_MATURITY_AT_ISSU")</f>
        <v>#N/A Requesting Data...</v>
      </c>
      <c r="O297" t="str">
        <f>_xll.BDP("260655NC Muni","BVAL_MID_YTM")</f>
        <v>#N/A Requesting Data...</v>
      </c>
      <c r="P297" t="str">
        <f>_xll.BDP("260655NC Muni","MUNI_TAX_PROV")</f>
        <v>#N/A Requesting Data...</v>
      </c>
      <c r="Q297" t="str">
        <f>_xll.BDP("260655NC Muni","MUNI_FED_TAX")</f>
        <v>#N/A Requesting Data...</v>
      </c>
      <c r="R297" t="str">
        <f>_xll.BDP("260655NC Muni","MUNI_MSRB_VOLUME")</f>
        <v>#N/A Requesting Data...</v>
      </c>
      <c r="S297" t="str">
        <f>_xll.BDP("260655NC Muni","BB_COMPOSITE")</f>
        <v>#N/A Requesting Data...</v>
      </c>
      <c r="T297" t="str">
        <f>_xll.BDP("260655NC Muni","LQA_LIQUIDITY_SCORE")</f>
        <v>#N/A Requesting Data...</v>
      </c>
    </row>
    <row r="298" spans="1:20" x14ac:dyDescent="0.25">
      <c r="A298" t="str">
        <f>_xll.BDP("265179GH Muni","ID_CUSIP")</f>
        <v>#N/A Requesting Data...</v>
      </c>
      <c r="B298" t="s">
        <v>111</v>
      </c>
      <c r="C298" t="str">
        <f>_xll.BDP("265179GH Muni","INSURANCE_STATUS")</f>
        <v>#N/A Requesting Data...</v>
      </c>
      <c r="D298" t="str">
        <f>_xll.BDP("265179GH Muni","STATE_CODE")</f>
        <v>#N/A Requesting Data...</v>
      </c>
      <c r="E298" t="str">
        <f>_xll.BDP("265179GH Muni","COUNTY_LOCATION_ISSUER")</f>
        <v>#N/A Requesting Data...</v>
      </c>
      <c r="F298" t="str">
        <f>_xll.BDP("265179GH Muni","DUR_ADJ_MID")</f>
        <v>#N/A Requesting Data...</v>
      </c>
      <c r="G298" t="str">
        <f>_xll.BDP("265179GH Muni","SPREAD_AT_ISSUANCE_TO_WORST")</f>
        <v>#N/A Requesting Data...</v>
      </c>
      <c r="H298" t="str">
        <f>_xll.BDP("265179GH Muni","ISSUE_DT")</f>
        <v>#N/A Requesting Data...</v>
      </c>
      <c r="I298" t="str">
        <f>_xll.BDS("265179GH Muni","MUNI_PURPOSE_SCHED", "aggregate=y")</f>
        <v>#N/A Requesting Data...</v>
      </c>
      <c r="J298" t="str">
        <f>_xll.BDP("265179GH Muni","CPN")</f>
        <v>#N/A Requesting Data...</v>
      </c>
      <c r="K298" t="str">
        <f>_xll.BDP("265179GH Muni","MATURITY")</f>
        <v>#N/A Requesting Data...</v>
      </c>
      <c r="L298">
        <v>45000</v>
      </c>
      <c r="M298" t="str">
        <f>_xll.BDP("265179GH Muni","YIELD_ON_ISSUE_DATE")</f>
        <v>#N/A Requesting Data...</v>
      </c>
      <c r="N298" t="str">
        <f>_xll.BDP("265179GH Muni","YTW_SPREAD_TO_MATURITY_AT_ISSU")</f>
        <v>#N/A Requesting Data...</v>
      </c>
      <c r="O298" t="str">
        <f>_xll.BDP("265179GH Muni","BVAL_MID_YTM")</f>
        <v>#N/A Requesting Data...</v>
      </c>
      <c r="P298" t="str">
        <f>_xll.BDP("265179GH Muni","MUNI_TAX_PROV")</f>
        <v>#N/A Requesting Data...</v>
      </c>
      <c r="Q298" t="str">
        <f>_xll.BDP("265179GH Muni","MUNI_FED_TAX")</f>
        <v>#N/A Requesting Data...</v>
      </c>
      <c r="R298" t="str">
        <f>_xll.BDP("265179GH Muni","MUNI_MSRB_VOLUME")</f>
        <v>#N/A Requesting Data...</v>
      </c>
      <c r="S298" t="str">
        <f>_xll.BDP("265179GH Muni","BB_COMPOSITE")</f>
        <v>#N/A Requesting Data...</v>
      </c>
      <c r="T298" t="str">
        <f>_xll.BDP("265179GH Muni","LQA_LIQUIDITY_SCORE")</f>
        <v>#N/A Requesting Data...</v>
      </c>
    </row>
    <row r="299" spans="1:20" x14ac:dyDescent="0.25">
      <c r="A299" t="str">
        <f>_xll.BDP("265179GJ Muni","ID_CUSIP")</f>
        <v>#N/A Requesting Data...</v>
      </c>
      <c r="B299" t="s">
        <v>111</v>
      </c>
      <c r="C299" t="str">
        <f>_xll.BDP("265179GJ Muni","INSURANCE_STATUS")</f>
        <v>#N/A Requesting Data...</v>
      </c>
      <c r="D299" t="str">
        <f>_xll.BDP("265179GJ Muni","STATE_CODE")</f>
        <v>#N/A Requesting Data...</v>
      </c>
      <c r="E299" t="str">
        <f>_xll.BDP("265179GJ Muni","COUNTY_LOCATION_ISSUER")</f>
        <v>#N/A Requesting Data...</v>
      </c>
      <c r="F299" t="str">
        <f>_xll.BDP("265179GJ Muni","DUR_ADJ_MID")</f>
        <v>#N/A Requesting Data...</v>
      </c>
      <c r="G299" t="str">
        <f>_xll.BDP("265179GJ Muni","SPREAD_AT_ISSUANCE_TO_WORST")</f>
        <v>#N/A Requesting Data...</v>
      </c>
      <c r="H299" t="str">
        <f>_xll.BDP("265179GJ Muni","ISSUE_DT")</f>
        <v>#N/A Requesting Data...</v>
      </c>
      <c r="I299" t="str">
        <f>_xll.BDS("265179GJ Muni","MUNI_PURPOSE_SCHED", "aggregate=y")</f>
        <v>#N/A Requesting Data...</v>
      </c>
      <c r="J299" t="str">
        <f>_xll.BDP("265179GJ Muni","CPN")</f>
        <v>#N/A Requesting Data...</v>
      </c>
      <c r="K299" t="str">
        <f>_xll.BDP("265179GJ Muni","MATURITY")</f>
        <v>#N/A Requesting Data...</v>
      </c>
      <c r="L299">
        <v>50000</v>
      </c>
      <c r="M299" t="str">
        <f>_xll.BDP("265179GJ Muni","YIELD_ON_ISSUE_DATE")</f>
        <v>#N/A Requesting Data...</v>
      </c>
      <c r="N299" t="str">
        <f>_xll.BDP("265179GJ Muni","YTW_SPREAD_TO_MATURITY_AT_ISSU")</f>
        <v>#N/A Requesting Data...</v>
      </c>
      <c r="O299" t="str">
        <f>_xll.BDP("265179GJ Muni","BVAL_MID_YTM")</f>
        <v>#N/A Requesting Data...</v>
      </c>
      <c r="P299" t="str">
        <f>_xll.BDP("265179GJ Muni","MUNI_TAX_PROV")</f>
        <v>#N/A Requesting Data...</v>
      </c>
      <c r="Q299" t="str">
        <f>_xll.BDP("265179GJ Muni","MUNI_FED_TAX")</f>
        <v>#N/A Requesting Data...</v>
      </c>
      <c r="R299" t="str">
        <f>_xll.BDP("265179GJ Muni","MUNI_MSRB_VOLUME")</f>
        <v>#N/A Requesting Data...</v>
      </c>
      <c r="S299" t="str">
        <f>_xll.BDP("265179GJ Muni","BB_COMPOSITE")</f>
        <v>#N/A Requesting Data...</v>
      </c>
      <c r="T299" t="str">
        <f>_xll.BDP("265179GJ Muni","LQA_LIQUIDITY_SCORE")</f>
        <v>#N/A Requesting Data...</v>
      </c>
    </row>
    <row r="300" spans="1:20" x14ac:dyDescent="0.25">
      <c r="A300" t="str">
        <f>_xll.BDP("265179GK Muni","ID_CUSIP")</f>
        <v>#N/A Requesting Data...</v>
      </c>
      <c r="B300" t="s">
        <v>111</v>
      </c>
      <c r="C300" t="str">
        <f>_xll.BDP("265179GK Muni","INSURANCE_STATUS")</f>
        <v>#N/A Requesting Data...</v>
      </c>
      <c r="D300" t="str">
        <f>_xll.BDP("265179GK Muni","STATE_CODE")</f>
        <v>#N/A Requesting Data...</v>
      </c>
      <c r="E300" t="str">
        <f>_xll.BDP("265179GK Muni","COUNTY_LOCATION_ISSUER")</f>
        <v>#N/A Requesting Data...</v>
      </c>
      <c r="F300" t="str">
        <f>_xll.BDP("265179GK Muni","DUR_ADJ_MID")</f>
        <v>#N/A Requesting Data...</v>
      </c>
      <c r="G300" t="str">
        <f>_xll.BDP("265179GK Muni","SPREAD_AT_ISSUANCE_TO_WORST")</f>
        <v>#N/A Requesting Data...</v>
      </c>
      <c r="H300" t="str">
        <f>_xll.BDP("265179GK Muni","ISSUE_DT")</f>
        <v>#N/A Requesting Data...</v>
      </c>
      <c r="I300" t="str">
        <f>_xll.BDS("265179GK Muni","MUNI_PURPOSE_SCHED", "aggregate=y")</f>
        <v>#N/A Requesting Data...</v>
      </c>
      <c r="J300" t="str">
        <f>_xll.BDP("265179GK Muni","CPN")</f>
        <v>#N/A Requesting Data...</v>
      </c>
      <c r="K300" t="str">
        <f>_xll.BDP("265179GK Muni","MATURITY")</f>
        <v>#N/A Requesting Data...</v>
      </c>
      <c r="L300">
        <v>50000</v>
      </c>
      <c r="M300" t="str">
        <f>_xll.BDP("265179GK Muni","YIELD_ON_ISSUE_DATE")</f>
        <v>#N/A Requesting Data...</v>
      </c>
      <c r="N300" t="str">
        <f>_xll.BDP("265179GK Muni","YTW_SPREAD_TO_MATURITY_AT_ISSU")</f>
        <v>#N/A Requesting Data...</v>
      </c>
      <c r="O300" t="str">
        <f>_xll.BDP("265179GK Muni","BVAL_MID_YTM")</f>
        <v>#N/A Requesting Data...</v>
      </c>
      <c r="P300" t="str">
        <f>_xll.BDP("265179GK Muni","MUNI_TAX_PROV")</f>
        <v>#N/A Requesting Data...</v>
      </c>
      <c r="Q300" t="str">
        <f>_xll.BDP("265179GK Muni","MUNI_FED_TAX")</f>
        <v>#N/A Requesting Data...</v>
      </c>
      <c r="R300" t="str">
        <f>_xll.BDP("265179GK Muni","MUNI_MSRB_VOLUME")</f>
        <v>#N/A Requesting Data...</v>
      </c>
      <c r="S300" t="str">
        <f>_xll.BDP("265179GK Muni","BB_COMPOSITE")</f>
        <v>#N/A Requesting Data...</v>
      </c>
      <c r="T300" t="str">
        <f>_xll.BDP("265179GK Muni","LQA_LIQUIDITY_SCORE")</f>
        <v>#N/A Requesting Data...</v>
      </c>
    </row>
    <row r="301" spans="1:20" x14ac:dyDescent="0.25">
      <c r="A301" t="str">
        <f>_xll.BDP("265179GL Muni","ID_CUSIP")</f>
        <v>#N/A Requesting Data...</v>
      </c>
      <c r="B301" t="s">
        <v>111</v>
      </c>
      <c r="C301" t="str">
        <f>_xll.BDP("265179GL Muni","INSURANCE_STATUS")</f>
        <v>#N/A Requesting Data...</v>
      </c>
      <c r="D301" t="str">
        <f>_xll.BDP("265179GL Muni","STATE_CODE")</f>
        <v>#N/A Requesting Data...</v>
      </c>
      <c r="E301" t="str">
        <f>_xll.BDP("265179GL Muni","COUNTY_LOCATION_ISSUER")</f>
        <v>#N/A Requesting Data...</v>
      </c>
      <c r="F301" t="str">
        <f>_xll.BDP("265179GL Muni","DUR_ADJ_MID")</f>
        <v>#N/A Requesting Data...</v>
      </c>
      <c r="G301" t="str">
        <f>_xll.BDP("265179GL Muni","SPREAD_AT_ISSUANCE_TO_WORST")</f>
        <v>#N/A Requesting Data...</v>
      </c>
      <c r="H301" t="str">
        <f>_xll.BDP("265179GL Muni","ISSUE_DT")</f>
        <v>#N/A Requesting Data...</v>
      </c>
      <c r="I301" t="str">
        <f>_xll.BDS("265179GL Muni","MUNI_PURPOSE_SCHED", "aggregate=y")</f>
        <v>#N/A Requesting Data...</v>
      </c>
      <c r="J301" t="str">
        <f>_xll.BDP("265179GL Muni","CPN")</f>
        <v>#N/A Requesting Data...</v>
      </c>
      <c r="K301" t="str">
        <f>_xll.BDP("265179GL Muni","MATURITY")</f>
        <v>#N/A Requesting Data...</v>
      </c>
      <c r="L301">
        <v>55000</v>
      </c>
      <c r="M301" t="str">
        <f>_xll.BDP("265179GL Muni","YIELD_ON_ISSUE_DATE")</f>
        <v>#N/A Requesting Data...</v>
      </c>
      <c r="N301" t="str">
        <f>_xll.BDP("265179GL Muni","YTW_SPREAD_TO_MATURITY_AT_ISSU")</f>
        <v>#N/A Requesting Data...</v>
      </c>
      <c r="O301" t="str">
        <f>_xll.BDP("265179GL Muni","BVAL_MID_YTM")</f>
        <v>#N/A Requesting Data...</v>
      </c>
      <c r="P301" t="str">
        <f>_xll.BDP("265179GL Muni","MUNI_TAX_PROV")</f>
        <v>#N/A Requesting Data...</v>
      </c>
      <c r="Q301" t="str">
        <f>_xll.BDP("265179GL Muni","MUNI_FED_TAX")</f>
        <v>#N/A Requesting Data...</v>
      </c>
      <c r="R301" t="str">
        <f>_xll.BDP("265179GL Muni","MUNI_MSRB_VOLUME")</f>
        <v>#N/A Requesting Data...</v>
      </c>
      <c r="S301" t="str">
        <f>_xll.BDP("265179GL Muni","BB_COMPOSITE")</f>
        <v>#N/A Requesting Data...</v>
      </c>
      <c r="T301" t="str">
        <f>_xll.BDP("265179GL Muni","LQA_LIQUIDITY_SCORE")</f>
        <v>#N/A Requesting Data...</v>
      </c>
    </row>
    <row r="302" spans="1:20" x14ac:dyDescent="0.25">
      <c r="A302" t="str">
        <f>_xll.BDP("265179GM Muni","ID_CUSIP")</f>
        <v>#N/A Requesting Data...</v>
      </c>
      <c r="B302" t="s">
        <v>111</v>
      </c>
      <c r="C302" t="str">
        <f>_xll.BDP("265179GM Muni","INSURANCE_STATUS")</f>
        <v>#N/A Requesting Data...</v>
      </c>
      <c r="D302" t="str">
        <f>_xll.BDP("265179GM Muni","STATE_CODE")</f>
        <v>#N/A Requesting Data...</v>
      </c>
      <c r="E302" t="str">
        <f>_xll.BDP("265179GM Muni","COUNTY_LOCATION_ISSUER")</f>
        <v>#N/A Requesting Data...</v>
      </c>
      <c r="F302" t="str">
        <f>_xll.BDP("265179GM Muni","DUR_ADJ_MID")</f>
        <v>#N/A Requesting Data...</v>
      </c>
      <c r="G302" t="str">
        <f>_xll.BDP("265179GM Muni","SPREAD_AT_ISSUANCE_TO_WORST")</f>
        <v>#N/A Requesting Data...</v>
      </c>
      <c r="H302" t="str">
        <f>_xll.BDP("265179GM Muni","ISSUE_DT")</f>
        <v>#N/A Requesting Data...</v>
      </c>
      <c r="I302" t="str">
        <f>_xll.BDS("265179GM Muni","MUNI_PURPOSE_SCHED", "aggregate=y")</f>
        <v>#N/A Requesting Data...</v>
      </c>
      <c r="J302" t="str">
        <f>_xll.BDP("265179GM Muni","CPN")</f>
        <v>#N/A Requesting Data...</v>
      </c>
      <c r="K302" t="str">
        <f>_xll.BDP("265179GM Muni","MATURITY")</f>
        <v>#N/A Requesting Data...</v>
      </c>
      <c r="L302">
        <v>55000</v>
      </c>
      <c r="M302" t="str">
        <f>_xll.BDP("265179GM Muni","YIELD_ON_ISSUE_DATE")</f>
        <v>#N/A Requesting Data...</v>
      </c>
      <c r="N302" t="str">
        <f>_xll.BDP("265179GM Muni","YTW_SPREAD_TO_MATURITY_AT_ISSU")</f>
        <v>#N/A Requesting Data...</v>
      </c>
      <c r="O302" t="str">
        <f>_xll.BDP("265179GM Muni","BVAL_MID_YTM")</f>
        <v>#N/A Requesting Data...</v>
      </c>
      <c r="P302" t="str">
        <f>_xll.BDP("265179GM Muni","MUNI_TAX_PROV")</f>
        <v>#N/A Requesting Data...</v>
      </c>
      <c r="Q302" t="str">
        <f>_xll.BDP("265179GM Muni","MUNI_FED_TAX")</f>
        <v>#N/A Requesting Data...</v>
      </c>
      <c r="R302" t="str">
        <f>_xll.BDP("265179GM Muni","MUNI_MSRB_VOLUME")</f>
        <v>#N/A Requesting Data...</v>
      </c>
      <c r="S302" t="str">
        <f>_xll.BDP("265179GM Muni","BB_COMPOSITE")</f>
        <v>#N/A Requesting Data...</v>
      </c>
      <c r="T302" t="str">
        <f>_xll.BDP("265179GM Muni","LQA_LIQUIDITY_SCORE")</f>
        <v>#N/A Requesting Data...</v>
      </c>
    </row>
    <row r="303" spans="1:20" x14ac:dyDescent="0.25">
      <c r="A303" t="str">
        <f>_xll.BDP("265179GN Muni","ID_CUSIP")</f>
        <v>#N/A Requesting Data...</v>
      </c>
      <c r="B303" t="s">
        <v>111</v>
      </c>
      <c r="C303" t="str">
        <f>_xll.BDP("265179GN Muni","INSURANCE_STATUS")</f>
        <v>#N/A Requesting Data...</v>
      </c>
      <c r="D303" t="str">
        <f>_xll.BDP("265179GN Muni","STATE_CODE")</f>
        <v>#N/A Requesting Data...</v>
      </c>
      <c r="E303" t="str">
        <f>_xll.BDP("265179GN Muni","COUNTY_LOCATION_ISSUER")</f>
        <v>#N/A Requesting Data...</v>
      </c>
      <c r="F303" t="str">
        <f>_xll.BDP("265179GN Muni","DUR_ADJ_MID")</f>
        <v>#N/A Requesting Data...</v>
      </c>
      <c r="G303" t="str">
        <f>_xll.BDP("265179GN Muni","SPREAD_AT_ISSUANCE_TO_WORST")</f>
        <v>#N/A Requesting Data...</v>
      </c>
      <c r="H303" t="str">
        <f>_xll.BDP("265179GN Muni","ISSUE_DT")</f>
        <v>#N/A Requesting Data...</v>
      </c>
      <c r="I303" t="str">
        <f>_xll.BDS("265179GN Muni","MUNI_PURPOSE_SCHED", "aggregate=y")</f>
        <v>#N/A Requesting Data...</v>
      </c>
      <c r="J303" t="str">
        <f>_xll.BDP("265179GN Muni","CPN")</f>
        <v>#N/A Requesting Data...</v>
      </c>
      <c r="K303" t="str">
        <f>_xll.BDP("265179GN Muni","MATURITY")</f>
        <v>#N/A Requesting Data...</v>
      </c>
      <c r="L303">
        <v>55000</v>
      </c>
      <c r="M303" t="str">
        <f>_xll.BDP("265179GN Muni","YIELD_ON_ISSUE_DATE")</f>
        <v>#N/A Requesting Data...</v>
      </c>
      <c r="N303" t="str">
        <f>_xll.BDP("265179GN Muni","YTW_SPREAD_TO_MATURITY_AT_ISSU")</f>
        <v>#N/A Requesting Data...</v>
      </c>
      <c r="O303" t="str">
        <f>_xll.BDP("265179GN Muni","BVAL_MID_YTM")</f>
        <v>#N/A Requesting Data...</v>
      </c>
      <c r="P303" t="str">
        <f>_xll.BDP("265179GN Muni","MUNI_TAX_PROV")</f>
        <v>#N/A Requesting Data...</v>
      </c>
      <c r="Q303" t="str">
        <f>_xll.BDP("265179GN Muni","MUNI_FED_TAX")</f>
        <v>#N/A Requesting Data...</v>
      </c>
      <c r="R303" t="str">
        <f>_xll.BDP("265179GN Muni","MUNI_MSRB_VOLUME")</f>
        <v>#N/A Requesting Data...</v>
      </c>
      <c r="S303" t="str">
        <f>_xll.BDP("265179GN Muni","BB_COMPOSITE")</f>
        <v>#N/A Requesting Data...</v>
      </c>
      <c r="T303" t="str">
        <f>_xll.BDP("265179GN Muni","LQA_LIQUIDITY_SCORE")</f>
        <v>#N/A Requesting Data...</v>
      </c>
    </row>
    <row r="304" spans="1:20" x14ac:dyDescent="0.25">
      <c r="A304" t="str">
        <f>_xll.BDP("271470LM Muni","ID_CUSIP")</f>
        <v>#N/A Requesting Data...</v>
      </c>
      <c r="B304" t="s">
        <v>112</v>
      </c>
      <c r="C304" t="str">
        <f>_xll.BDP("271470LM Muni","INSURANCE_STATUS")</f>
        <v>#N/A Requesting Data...</v>
      </c>
      <c r="D304" t="str">
        <f>_xll.BDP("271470LM Muni","STATE_CODE")</f>
        <v>#N/A Requesting Data...</v>
      </c>
      <c r="E304" t="str">
        <f>_xll.BDP("271470LM Muni","COUNTY_LOCATION_ISSUER")</f>
        <v>#N/A Requesting Data...</v>
      </c>
      <c r="F304" t="str">
        <f>_xll.BDP("271470LM Muni","DUR_ADJ_MID")</f>
        <v>#N/A Requesting Data...</v>
      </c>
      <c r="G304" t="str">
        <f>_xll.BDP("271470LM Muni","SPREAD_AT_ISSUANCE_TO_WORST")</f>
        <v>#N/A Requesting Data...</v>
      </c>
      <c r="H304" t="str">
        <f>_xll.BDP("271470LM Muni","ISSUE_DT")</f>
        <v>#N/A Requesting Data...</v>
      </c>
      <c r="I304" t="str">
        <f>_xll.BDS("271470LM Muni","MUNI_PURPOSE_SCHED", "aggregate=y")</f>
        <v>#N/A Requesting Data...</v>
      </c>
      <c r="J304" t="str">
        <f>_xll.BDP("271470LM Muni","CPN")</f>
        <v>#N/A Requesting Data...</v>
      </c>
      <c r="K304" t="str">
        <f>_xll.BDP("271470LM Muni","MATURITY")</f>
        <v>#N/A Requesting Data...</v>
      </c>
      <c r="L304">
        <v>195000</v>
      </c>
      <c r="M304" t="str">
        <f>_xll.BDP("271470LM Muni","YIELD_ON_ISSUE_DATE")</f>
        <v>#N/A Requesting Data...</v>
      </c>
      <c r="N304" t="str">
        <f>_xll.BDP("271470LM Muni","YTW_SPREAD_TO_MATURITY_AT_ISSU")</f>
        <v>#N/A Requesting Data...</v>
      </c>
      <c r="O304" t="str">
        <f>_xll.BDP("271470LM Muni","BVAL_MID_YTM")</f>
        <v>#N/A Requesting Data...</v>
      </c>
      <c r="P304" t="str">
        <f>_xll.BDP("271470LM Muni","MUNI_TAX_PROV")</f>
        <v>#N/A Requesting Data...</v>
      </c>
      <c r="Q304" t="str">
        <f>_xll.BDP("271470LM Muni","MUNI_FED_TAX")</f>
        <v>#N/A Requesting Data...</v>
      </c>
      <c r="R304" t="str">
        <f>_xll.BDP("271470LM Muni","MUNI_MSRB_VOLUME")</f>
        <v>#N/A Requesting Data...</v>
      </c>
      <c r="S304" t="str">
        <f>_xll.BDP("271470LM Muni","BB_COMPOSITE")</f>
        <v>#N/A Requesting Data...</v>
      </c>
      <c r="T304" t="str">
        <f>_xll.BDP("271470LM Muni","LQA_LIQUIDITY_SCORE")</f>
        <v>#N/A Requesting Data...</v>
      </c>
    </row>
    <row r="305" spans="1:20" x14ac:dyDescent="0.25">
      <c r="A305" t="str">
        <f>_xll.BDP("273533RP Muni","ID_CUSIP")</f>
        <v>#N/A Requesting Data...</v>
      </c>
      <c r="B305" t="s">
        <v>113</v>
      </c>
      <c r="C305" t="str">
        <f>_xll.BDP("273533RP Muni","INSURANCE_STATUS")</f>
        <v>#N/A Requesting Data...</v>
      </c>
      <c r="D305" t="str">
        <f>_xll.BDP("273533RP Muni","STATE_CODE")</f>
        <v>#N/A Requesting Data...</v>
      </c>
      <c r="E305" t="str">
        <f>_xll.BDP("273533RP Muni","COUNTY_LOCATION_ISSUER")</f>
        <v>#N/A Requesting Data...</v>
      </c>
      <c r="F305" t="str">
        <f>_xll.BDP("273533RP Muni","DUR_ADJ_MID")</f>
        <v>#N/A Requesting Data...</v>
      </c>
      <c r="G305" t="str">
        <f>_xll.BDP("273533RP Muni","SPREAD_AT_ISSUANCE_TO_WORST")</f>
        <v>#N/A Requesting Data...</v>
      </c>
      <c r="H305" t="str">
        <f>_xll.BDP("273533RP Muni","ISSUE_DT")</f>
        <v>#N/A Requesting Data...</v>
      </c>
      <c r="I305" t="str">
        <f>_xll.BDS("273533RP Muni","MUNI_PURPOSE_SCHED", "aggregate=y")</f>
        <v>#N/A Requesting Data...</v>
      </c>
      <c r="J305" t="str">
        <f>_xll.BDP("273533RP Muni","CPN")</f>
        <v>#N/A Requesting Data...</v>
      </c>
      <c r="K305" t="str">
        <f>_xll.BDP("273533RP Muni","MATURITY")</f>
        <v>#N/A Requesting Data...</v>
      </c>
      <c r="L305">
        <v>385000</v>
      </c>
      <c r="M305" t="str">
        <f>_xll.BDP("273533RP Muni","YIELD_ON_ISSUE_DATE")</f>
        <v>#N/A Requesting Data...</v>
      </c>
      <c r="N305" t="str">
        <f>_xll.BDP("273533RP Muni","YTW_SPREAD_TO_MATURITY_AT_ISSU")</f>
        <v>#N/A Requesting Data...</v>
      </c>
      <c r="O305" t="str">
        <f>_xll.BDP("273533RP Muni","BVAL_MID_YTM")</f>
        <v>#N/A Requesting Data...</v>
      </c>
      <c r="P305" t="str">
        <f>_xll.BDP("273533RP Muni","MUNI_TAX_PROV")</f>
        <v>#N/A Requesting Data...</v>
      </c>
      <c r="Q305" t="str">
        <f>_xll.BDP("273533RP Muni","MUNI_FED_TAX")</f>
        <v>#N/A Requesting Data...</v>
      </c>
      <c r="R305" t="str">
        <f>_xll.BDP("273533RP Muni","MUNI_MSRB_VOLUME")</f>
        <v>#N/A Requesting Data...</v>
      </c>
      <c r="S305" t="str">
        <f>_xll.BDP("273533RP Muni","BB_COMPOSITE")</f>
        <v>#N/A Requesting Data...</v>
      </c>
      <c r="T305" t="str">
        <f>_xll.BDP("273533RP Muni","LQA_LIQUIDITY_SCORE")</f>
        <v>#N/A Requesting Data...</v>
      </c>
    </row>
    <row r="306" spans="1:20" x14ac:dyDescent="0.25">
      <c r="A306" t="str">
        <f>_xll.BDP("273533RQ Muni","ID_CUSIP")</f>
        <v>#N/A Requesting Data...</v>
      </c>
      <c r="B306" t="s">
        <v>113</v>
      </c>
      <c r="C306" t="str">
        <f>_xll.BDP("273533RQ Muni","INSURANCE_STATUS")</f>
        <v>#N/A Requesting Data...</v>
      </c>
      <c r="D306" t="str">
        <f>_xll.BDP("273533RQ Muni","STATE_CODE")</f>
        <v>#N/A Requesting Data...</v>
      </c>
      <c r="E306" t="str">
        <f>_xll.BDP("273533RQ Muni","COUNTY_LOCATION_ISSUER")</f>
        <v>#N/A Requesting Data...</v>
      </c>
      <c r="F306" t="str">
        <f>_xll.BDP("273533RQ Muni","DUR_ADJ_MID")</f>
        <v>#N/A Requesting Data...</v>
      </c>
      <c r="G306" t="str">
        <f>_xll.BDP("273533RQ Muni","SPREAD_AT_ISSUANCE_TO_WORST")</f>
        <v>#N/A Requesting Data...</v>
      </c>
      <c r="H306" t="str">
        <f>_xll.BDP("273533RQ Muni","ISSUE_DT")</f>
        <v>#N/A Requesting Data...</v>
      </c>
      <c r="I306" t="str">
        <f>_xll.BDS("273533RQ Muni","MUNI_PURPOSE_SCHED", "aggregate=y")</f>
        <v>#N/A Requesting Data...</v>
      </c>
      <c r="J306" t="str">
        <f>_xll.BDP("273533RQ Muni","CPN")</f>
        <v>#N/A Requesting Data...</v>
      </c>
      <c r="K306" t="str">
        <f>_xll.BDP("273533RQ Muni","MATURITY")</f>
        <v>#N/A Requesting Data...</v>
      </c>
      <c r="L306">
        <v>380000</v>
      </c>
      <c r="M306" t="str">
        <f>_xll.BDP("273533RQ Muni","YIELD_ON_ISSUE_DATE")</f>
        <v>#N/A Requesting Data...</v>
      </c>
      <c r="N306" t="str">
        <f>_xll.BDP("273533RQ Muni","YTW_SPREAD_TO_MATURITY_AT_ISSU")</f>
        <v>#N/A Requesting Data...</v>
      </c>
      <c r="O306" t="str">
        <f>_xll.BDP("273533RQ Muni","BVAL_MID_YTM")</f>
        <v>#N/A Requesting Data...</v>
      </c>
      <c r="P306" t="str">
        <f>_xll.BDP("273533RQ Muni","MUNI_TAX_PROV")</f>
        <v>#N/A Requesting Data...</v>
      </c>
      <c r="Q306" t="str">
        <f>_xll.BDP("273533RQ Muni","MUNI_FED_TAX")</f>
        <v>#N/A Requesting Data...</v>
      </c>
      <c r="R306" t="str">
        <f>_xll.BDP("273533RQ Muni","MUNI_MSRB_VOLUME")</f>
        <v>#N/A Requesting Data...</v>
      </c>
      <c r="S306" t="str">
        <f>_xll.BDP("273533RQ Muni","BB_COMPOSITE")</f>
        <v>#N/A Requesting Data...</v>
      </c>
      <c r="T306" t="str">
        <f>_xll.BDP("273533RQ Muni","LQA_LIQUIDITY_SCORE")</f>
        <v>#N/A Requesting Data...</v>
      </c>
    </row>
    <row r="307" spans="1:20" x14ac:dyDescent="0.25">
      <c r="A307" t="str">
        <f>_xll.BDP("273533RR Muni","ID_CUSIP")</f>
        <v>#N/A Requesting Data...</v>
      </c>
      <c r="B307" t="s">
        <v>113</v>
      </c>
      <c r="C307" t="str">
        <f>_xll.BDP("273533RR Muni","INSURANCE_STATUS")</f>
        <v>#N/A Requesting Data...</v>
      </c>
      <c r="D307" t="str">
        <f>_xll.BDP("273533RR Muni","STATE_CODE")</f>
        <v>#N/A Requesting Data...</v>
      </c>
      <c r="E307" t="str">
        <f>_xll.BDP("273533RR Muni","COUNTY_LOCATION_ISSUER")</f>
        <v>#N/A Requesting Data...</v>
      </c>
      <c r="F307" t="str">
        <f>_xll.BDP("273533RR Muni","DUR_ADJ_MID")</f>
        <v>#N/A Requesting Data...</v>
      </c>
      <c r="G307" t="str">
        <f>_xll.BDP("273533RR Muni","SPREAD_AT_ISSUANCE_TO_WORST")</f>
        <v>#N/A Requesting Data...</v>
      </c>
      <c r="H307" t="str">
        <f>_xll.BDP("273533RR Muni","ISSUE_DT")</f>
        <v>#N/A Requesting Data...</v>
      </c>
      <c r="I307" t="str">
        <f>_xll.BDS("273533RR Muni","MUNI_PURPOSE_SCHED", "aggregate=y")</f>
        <v>#N/A Requesting Data...</v>
      </c>
      <c r="J307" t="str">
        <f>_xll.BDP("273533RR Muni","CPN")</f>
        <v>#N/A Requesting Data...</v>
      </c>
      <c r="K307" t="str">
        <f>_xll.BDP("273533RR Muni","MATURITY")</f>
        <v>#N/A Requesting Data...</v>
      </c>
      <c r="L307">
        <v>380000</v>
      </c>
      <c r="M307" t="str">
        <f>_xll.BDP("273533RR Muni","YIELD_ON_ISSUE_DATE")</f>
        <v>#N/A Requesting Data...</v>
      </c>
      <c r="N307" t="str">
        <f>_xll.BDP("273533RR Muni","YTW_SPREAD_TO_MATURITY_AT_ISSU")</f>
        <v>#N/A Requesting Data...</v>
      </c>
      <c r="O307" t="str">
        <f>_xll.BDP("273533RR Muni","BVAL_MID_YTM")</f>
        <v>#N/A Requesting Data...</v>
      </c>
      <c r="P307" t="str">
        <f>_xll.BDP("273533RR Muni","MUNI_TAX_PROV")</f>
        <v>#N/A Requesting Data...</v>
      </c>
      <c r="Q307" t="str">
        <f>_xll.BDP("273533RR Muni","MUNI_FED_TAX")</f>
        <v>#N/A Requesting Data...</v>
      </c>
      <c r="R307" t="str">
        <f>_xll.BDP("273533RR Muni","MUNI_MSRB_VOLUME")</f>
        <v>#N/A Requesting Data...</v>
      </c>
      <c r="S307" t="str">
        <f>_xll.BDP("273533RR Muni","BB_COMPOSITE")</f>
        <v>#N/A Requesting Data...</v>
      </c>
      <c r="T307" t="str">
        <f>_xll.BDP("273533RR Muni","LQA_LIQUIDITY_SCORE")</f>
        <v>#N/A Requesting Data...</v>
      </c>
    </row>
    <row r="308" spans="1:20" x14ac:dyDescent="0.25">
      <c r="A308" t="str">
        <f>_xll.BDP("273533RS Muni","ID_CUSIP")</f>
        <v>#N/A Requesting Data...</v>
      </c>
      <c r="B308" t="s">
        <v>113</v>
      </c>
      <c r="C308" t="str">
        <f>_xll.BDP("273533RS Muni","INSURANCE_STATUS")</f>
        <v>#N/A Requesting Data...</v>
      </c>
      <c r="D308" t="str">
        <f>_xll.BDP("273533RS Muni","STATE_CODE")</f>
        <v>#N/A Requesting Data...</v>
      </c>
      <c r="E308" t="str">
        <f>_xll.BDP("273533RS Muni","COUNTY_LOCATION_ISSUER")</f>
        <v>#N/A Requesting Data...</v>
      </c>
      <c r="F308" t="str">
        <f>_xll.BDP("273533RS Muni","DUR_ADJ_MID")</f>
        <v>#N/A Requesting Data...</v>
      </c>
      <c r="G308" t="str">
        <f>_xll.BDP("273533RS Muni","SPREAD_AT_ISSUANCE_TO_WORST")</f>
        <v>#N/A Requesting Data...</v>
      </c>
      <c r="H308" t="str">
        <f>_xll.BDP("273533RS Muni","ISSUE_DT")</f>
        <v>#N/A Requesting Data...</v>
      </c>
      <c r="I308" t="str">
        <f>_xll.BDS("273533RS Muni","MUNI_PURPOSE_SCHED", "aggregate=y")</f>
        <v>#N/A Requesting Data...</v>
      </c>
      <c r="J308" t="str">
        <f>_xll.BDP("273533RS Muni","CPN")</f>
        <v>#N/A Requesting Data...</v>
      </c>
      <c r="K308" t="str">
        <f>_xll.BDP("273533RS Muni","MATURITY")</f>
        <v>#N/A Requesting Data...</v>
      </c>
      <c r="L308">
        <v>380000</v>
      </c>
      <c r="M308" t="str">
        <f>_xll.BDP("273533RS Muni","YIELD_ON_ISSUE_DATE")</f>
        <v>#N/A Requesting Data...</v>
      </c>
      <c r="N308" t="str">
        <f>_xll.BDP("273533RS Muni","YTW_SPREAD_TO_MATURITY_AT_ISSU")</f>
        <v>#N/A Requesting Data...</v>
      </c>
      <c r="O308" t="str">
        <f>_xll.BDP("273533RS Muni","BVAL_MID_YTM")</f>
        <v>#N/A Requesting Data...</v>
      </c>
      <c r="P308" t="str">
        <f>_xll.BDP("273533RS Muni","MUNI_TAX_PROV")</f>
        <v>#N/A Requesting Data...</v>
      </c>
      <c r="Q308" t="str">
        <f>_xll.BDP("273533RS Muni","MUNI_FED_TAX")</f>
        <v>#N/A Requesting Data...</v>
      </c>
      <c r="R308" t="str">
        <f>_xll.BDP("273533RS Muni","MUNI_MSRB_VOLUME")</f>
        <v>#N/A Requesting Data...</v>
      </c>
      <c r="S308" t="str">
        <f>_xll.BDP("273533RS Muni","BB_COMPOSITE")</f>
        <v>#N/A Requesting Data...</v>
      </c>
      <c r="T308" t="str">
        <f>_xll.BDP("273533RS Muni","LQA_LIQUIDITY_SCORE")</f>
        <v>#N/A Requesting Data...</v>
      </c>
    </row>
    <row r="309" spans="1:20" x14ac:dyDescent="0.25">
      <c r="A309" t="str">
        <f>_xll.BDP("273533RU Muni","ID_CUSIP")</f>
        <v>#N/A Requesting Data...</v>
      </c>
      <c r="B309" t="s">
        <v>113</v>
      </c>
      <c r="C309" t="str">
        <f>_xll.BDP("273533RU Muni","INSURANCE_STATUS")</f>
        <v>#N/A Requesting Data...</v>
      </c>
      <c r="D309" t="str">
        <f>_xll.BDP("273533RU Muni","STATE_CODE")</f>
        <v>#N/A Requesting Data...</v>
      </c>
      <c r="E309" t="str">
        <f>_xll.BDP("273533RU Muni","COUNTY_LOCATION_ISSUER")</f>
        <v>#N/A Requesting Data...</v>
      </c>
      <c r="F309" t="str">
        <f>_xll.BDP("273533RU Muni","DUR_ADJ_MID")</f>
        <v>#N/A Requesting Data...</v>
      </c>
      <c r="G309" t="str">
        <f>_xll.BDP("273533RU Muni","SPREAD_AT_ISSUANCE_TO_WORST")</f>
        <v>#N/A Requesting Data...</v>
      </c>
      <c r="H309" t="str">
        <f>_xll.BDP("273533RU Muni","ISSUE_DT")</f>
        <v>#N/A Requesting Data...</v>
      </c>
      <c r="I309" t="str">
        <f>_xll.BDS("273533RU Muni","MUNI_PURPOSE_SCHED", "aggregate=y")</f>
        <v>#N/A Requesting Data...</v>
      </c>
      <c r="J309" t="str">
        <f>_xll.BDP("273533RU Muni","CPN")</f>
        <v>#N/A Requesting Data...</v>
      </c>
      <c r="K309" t="str">
        <f>_xll.BDP("273533RU Muni","MATURITY")</f>
        <v>#N/A Requesting Data...</v>
      </c>
      <c r="L309">
        <v>375000</v>
      </c>
      <c r="M309" t="str">
        <f>_xll.BDP("273533RU Muni","YIELD_ON_ISSUE_DATE")</f>
        <v>#N/A Requesting Data...</v>
      </c>
      <c r="N309" t="str">
        <f>_xll.BDP("273533RU Muni","YTW_SPREAD_TO_MATURITY_AT_ISSU")</f>
        <v>#N/A Requesting Data...</v>
      </c>
      <c r="O309" t="str">
        <f>_xll.BDP("273533RU Muni","BVAL_MID_YTM")</f>
        <v>#N/A Requesting Data...</v>
      </c>
      <c r="P309" t="str">
        <f>_xll.BDP("273533RU Muni","MUNI_TAX_PROV")</f>
        <v>#N/A Requesting Data...</v>
      </c>
      <c r="Q309" t="str">
        <f>_xll.BDP("273533RU Muni","MUNI_FED_TAX")</f>
        <v>#N/A Requesting Data...</v>
      </c>
      <c r="R309" t="str">
        <f>_xll.BDP("273533RU Muni","MUNI_MSRB_VOLUME")</f>
        <v>#N/A Requesting Data...</v>
      </c>
      <c r="S309" t="str">
        <f>_xll.BDP("273533RU Muni","BB_COMPOSITE")</f>
        <v>#N/A Requesting Data...</v>
      </c>
      <c r="T309" t="str">
        <f>_xll.BDP("273533RU Muni","LQA_LIQUIDITY_SCORE")</f>
        <v>#N/A Requesting Data...</v>
      </c>
    </row>
    <row r="310" spans="1:20" x14ac:dyDescent="0.25">
      <c r="A310" t="str">
        <f>_xll.BDP("27373CBD Muni","ID_CUSIP")</f>
        <v>#N/A Requesting Data...</v>
      </c>
      <c r="B310" t="s">
        <v>114</v>
      </c>
      <c r="C310" t="str">
        <f>_xll.BDP("27373CBD Muni","INSURANCE_STATUS")</f>
        <v>#N/A Requesting Data...</v>
      </c>
      <c r="D310" t="str">
        <f>_xll.BDP("27373CBD Muni","STATE_CODE")</f>
        <v>#N/A Requesting Data...</v>
      </c>
      <c r="E310" t="str">
        <f>_xll.BDP("27373CBD Muni","COUNTY_LOCATION_ISSUER")</f>
        <v>#N/A Requesting Data...</v>
      </c>
      <c r="F310" t="str">
        <f>_xll.BDP("27373CBD Muni","DUR_ADJ_MID")</f>
        <v>#N/A Requesting Data...</v>
      </c>
      <c r="G310" t="str">
        <f>_xll.BDP("27373CBD Muni","SPREAD_AT_ISSUANCE_TO_WORST")</f>
        <v>#N/A Requesting Data...</v>
      </c>
      <c r="H310" t="str">
        <f>_xll.BDP("27373CBD Muni","ISSUE_DT")</f>
        <v>#N/A Requesting Data...</v>
      </c>
      <c r="I310" t="str">
        <f>_xll.BDS("27373CBD Muni","MUNI_PURPOSE_SCHED", "aggregate=y")</f>
        <v>#N/A Requesting Data...</v>
      </c>
      <c r="J310" t="str">
        <f>_xll.BDP("27373CBD Muni","CPN")</f>
        <v>#N/A Requesting Data...</v>
      </c>
      <c r="K310" t="str">
        <f>_xll.BDP("27373CBD Muni","MATURITY")</f>
        <v>#N/A Requesting Data...</v>
      </c>
      <c r="L310">
        <v>65000</v>
      </c>
      <c r="M310" t="str">
        <f>_xll.BDP("27373CBD Muni","YIELD_ON_ISSUE_DATE")</f>
        <v>#N/A Requesting Data...</v>
      </c>
      <c r="N310" t="str">
        <f>_xll.BDP("27373CBD Muni","YTW_SPREAD_TO_MATURITY_AT_ISSU")</f>
        <v>#N/A Requesting Data...</v>
      </c>
      <c r="O310" t="str">
        <f>_xll.BDP("27373CBD Muni","BVAL_MID_YTM")</f>
        <v>#N/A Requesting Data...</v>
      </c>
      <c r="P310" t="str">
        <f>_xll.BDP("27373CBD Muni","MUNI_TAX_PROV")</f>
        <v>#N/A Requesting Data...</v>
      </c>
      <c r="Q310" t="str">
        <f>_xll.BDP("27373CBD Muni","MUNI_FED_TAX")</f>
        <v>#N/A Requesting Data...</v>
      </c>
      <c r="R310" t="str">
        <f>_xll.BDP("27373CBD Muni","MUNI_MSRB_VOLUME")</f>
        <v>#N/A Requesting Data...</v>
      </c>
      <c r="S310" t="str">
        <f>_xll.BDP("27373CBD Muni","BB_COMPOSITE")</f>
        <v>#N/A Requesting Data...</v>
      </c>
      <c r="T310" t="str">
        <f>_xll.BDP("27373CBD Muni","LQA_LIQUIDITY_SCORE")</f>
        <v>#N/A Requesting Data...</v>
      </c>
    </row>
    <row r="311" spans="1:20" x14ac:dyDescent="0.25">
      <c r="A311" t="str">
        <f>_xll.BDP("27373PCD Muni","ID_CUSIP")</f>
        <v>#N/A Requesting Data...</v>
      </c>
      <c r="B311" t="s">
        <v>115</v>
      </c>
      <c r="C311" t="str">
        <f>_xll.BDP("27373PCD Muni","INSURANCE_STATUS")</f>
        <v>#N/A Requesting Data...</v>
      </c>
      <c r="D311" t="str">
        <f>_xll.BDP("27373PCD Muni","STATE_CODE")</f>
        <v>#N/A Requesting Data...</v>
      </c>
      <c r="E311" t="str">
        <f>_xll.BDP("27373PCD Muni","COUNTY_LOCATION_ISSUER")</f>
        <v>#N/A Requesting Data...</v>
      </c>
      <c r="F311" t="str">
        <f>_xll.BDP("27373PCD Muni","DUR_ADJ_MID")</f>
        <v>#N/A Requesting Data...</v>
      </c>
      <c r="G311" t="str">
        <f>_xll.BDP("27373PCD Muni","SPREAD_AT_ISSUANCE_TO_WORST")</f>
        <v>#N/A Requesting Data...</v>
      </c>
      <c r="H311" t="str">
        <f>_xll.BDP("27373PCD Muni","ISSUE_DT")</f>
        <v>#N/A Requesting Data...</v>
      </c>
      <c r="I311" t="str">
        <f>_xll.BDS("27373PCD Muni","MUNI_PURPOSE_SCHED", "aggregate=y")</f>
        <v>#N/A Requesting Data...</v>
      </c>
      <c r="J311" t="str">
        <f>_xll.BDP("27373PCD Muni","CPN")</f>
        <v>#N/A Requesting Data...</v>
      </c>
      <c r="K311" t="str">
        <f>_xll.BDP("27373PCD Muni","MATURITY")</f>
        <v>#N/A Requesting Data...</v>
      </c>
      <c r="L311">
        <v>135000</v>
      </c>
      <c r="M311" t="str">
        <f>_xll.BDP("27373PCD Muni","YIELD_ON_ISSUE_DATE")</f>
        <v>#N/A Requesting Data...</v>
      </c>
      <c r="N311" t="str">
        <f>_xll.BDP("27373PCD Muni","YTW_SPREAD_TO_MATURITY_AT_ISSU")</f>
        <v>#N/A Requesting Data...</v>
      </c>
      <c r="O311" t="str">
        <f>_xll.BDP("27373PCD Muni","BVAL_MID_YTM")</f>
        <v>#N/A Requesting Data...</v>
      </c>
      <c r="P311" t="str">
        <f>_xll.BDP("27373PCD Muni","MUNI_TAX_PROV")</f>
        <v>#N/A Requesting Data...</v>
      </c>
      <c r="Q311" t="str">
        <f>_xll.BDP("27373PCD Muni","MUNI_FED_TAX")</f>
        <v>#N/A Requesting Data...</v>
      </c>
      <c r="R311" t="str">
        <f>_xll.BDP("27373PCD Muni","MUNI_MSRB_VOLUME")</f>
        <v>#N/A Requesting Data...</v>
      </c>
      <c r="S311" t="str">
        <f>_xll.BDP("27373PCD Muni","BB_COMPOSITE")</f>
        <v>#N/A Requesting Data...</v>
      </c>
      <c r="T311" t="str">
        <f>_xll.BDP("27373PCD Muni","LQA_LIQUIDITY_SCORE")</f>
        <v>#N/A Requesting Data...</v>
      </c>
    </row>
    <row r="312" spans="1:20" x14ac:dyDescent="0.25">
      <c r="A312" t="str">
        <f>_xll.BDP("112857EP Muni","ID_CUSIP")</f>
        <v>#N/A Requesting Data...</v>
      </c>
      <c r="B312" t="s">
        <v>116</v>
      </c>
      <c r="C312" t="str">
        <f>_xll.BDP("112857EP Muni","INSURANCE_STATUS")</f>
        <v>#N/A Requesting Data...</v>
      </c>
      <c r="D312" t="str">
        <f>_xll.BDP("112857EP Muni","STATE_CODE")</f>
        <v>#N/A Requesting Data...</v>
      </c>
      <c r="E312" t="str">
        <f>_xll.BDP("112857EP Muni","COUNTY_LOCATION_ISSUER")</f>
        <v>#N/A Requesting Data...</v>
      </c>
      <c r="F312" t="str">
        <f>_xll.BDP("112857EP Muni","DUR_ADJ_MID")</f>
        <v>#N/A Requesting Data...</v>
      </c>
      <c r="G312" t="str">
        <f>_xll.BDP("112857EP Muni","SPREAD_AT_ISSUANCE_TO_WORST")</f>
        <v>#N/A Requesting Data...</v>
      </c>
      <c r="H312" t="str">
        <f>_xll.BDP("112857EP Muni","ISSUE_DT")</f>
        <v>#N/A Requesting Data...</v>
      </c>
      <c r="I312" t="str">
        <f>_xll.BDS("112857EP Muni","MUNI_PURPOSE_SCHED", "aggregate=y")</f>
        <v>#N/A Requesting Data...</v>
      </c>
      <c r="J312" t="str">
        <f>_xll.BDP("112857EP Muni","CPN")</f>
        <v>#N/A Requesting Data...</v>
      </c>
      <c r="K312" t="str">
        <f>_xll.BDP("112857EP Muni","MATURITY")</f>
        <v>#N/A Requesting Data...</v>
      </c>
      <c r="L312">
        <v>400000</v>
      </c>
      <c r="M312" t="str">
        <f>_xll.BDP("112857EP Muni","YIELD_ON_ISSUE_DATE")</f>
        <v>#N/A Requesting Data...</v>
      </c>
      <c r="N312" t="str">
        <f>_xll.BDP("112857EP Muni","YTW_SPREAD_TO_MATURITY_AT_ISSU")</f>
        <v>#N/A Requesting Data...</v>
      </c>
      <c r="O312" t="str">
        <f>_xll.BDP("112857EP Muni","BVAL_MID_YTM")</f>
        <v>#N/A Requesting Data...</v>
      </c>
      <c r="P312" t="str">
        <f>_xll.BDP("112857EP Muni","MUNI_TAX_PROV")</f>
        <v>#N/A Requesting Data...</v>
      </c>
      <c r="Q312" t="str">
        <f>_xll.BDP("112857EP Muni","MUNI_FED_TAX")</f>
        <v>#N/A Requesting Data...</v>
      </c>
      <c r="R312" t="str">
        <f>_xll.BDP("112857EP Muni","MUNI_MSRB_VOLUME")</f>
        <v>#N/A Requesting Data...</v>
      </c>
      <c r="S312" t="str">
        <f>_xll.BDP("112857EP Muni","BB_COMPOSITE")</f>
        <v>#N/A Requesting Data...</v>
      </c>
      <c r="T312" t="str">
        <f>_xll.BDP("112857EP Muni","LQA_LIQUIDITY_SCORE")</f>
        <v>#N/A Requesting Data...</v>
      </c>
    </row>
    <row r="313" spans="1:20" x14ac:dyDescent="0.25">
      <c r="A313" t="str">
        <f>_xll.BDP("112857ER Muni","ID_CUSIP")</f>
        <v>#N/A Requesting Data...</v>
      </c>
      <c r="B313" t="s">
        <v>116</v>
      </c>
      <c r="C313" t="str">
        <f>_xll.BDP("112857ER Muni","INSURANCE_STATUS")</f>
        <v>#N/A Requesting Data...</v>
      </c>
      <c r="D313" t="str">
        <f>_xll.BDP("112857ER Muni","STATE_CODE")</f>
        <v>#N/A Requesting Data...</v>
      </c>
      <c r="E313" t="str">
        <f>_xll.BDP("112857ER Muni","COUNTY_LOCATION_ISSUER")</f>
        <v>#N/A Requesting Data...</v>
      </c>
      <c r="F313" t="str">
        <f>_xll.BDP("112857ER Muni","DUR_ADJ_MID")</f>
        <v>#N/A Requesting Data...</v>
      </c>
      <c r="G313" t="str">
        <f>_xll.BDP("112857ER Muni","SPREAD_AT_ISSUANCE_TO_WORST")</f>
        <v>#N/A Requesting Data...</v>
      </c>
      <c r="H313" t="str">
        <f>_xll.BDP("112857ER Muni","ISSUE_DT")</f>
        <v>#N/A Requesting Data...</v>
      </c>
      <c r="I313" t="str">
        <f>_xll.BDS("112857ER Muni","MUNI_PURPOSE_SCHED", "aggregate=y")</f>
        <v>#N/A Requesting Data...</v>
      </c>
      <c r="J313" t="str">
        <f>_xll.BDP("112857ER Muni","CPN")</f>
        <v>#N/A Requesting Data...</v>
      </c>
      <c r="K313" t="str">
        <f>_xll.BDP("112857ER Muni","MATURITY")</f>
        <v>#N/A Requesting Data...</v>
      </c>
      <c r="L313">
        <v>400000</v>
      </c>
      <c r="M313" t="str">
        <f>_xll.BDP("112857ER Muni","YIELD_ON_ISSUE_DATE")</f>
        <v>#N/A Requesting Data...</v>
      </c>
      <c r="N313" t="str">
        <f>_xll.BDP("112857ER Muni","YTW_SPREAD_TO_MATURITY_AT_ISSU")</f>
        <v>#N/A Requesting Data...</v>
      </c>
      <c r="O313" t="str">
        <f>_xll.BDP("112857ER Muni","BVAL_MID_YTM")</f>
        <v>#N/A Requesting Data...</v>
      </c>
      <c r="P313" t="str">
        <f>_xll.BDP("112857ER Muni","MUNI_TAX_PROV")</f>
        <v>#N/A Requesting Data...</v>
      </c>
      <c r="Q313" t="str">
        <f>_xll.BDP("112857ER Muni","MUNI_FED_TAX")</f>
        <v>#N/A Requesting Data...</v>
      </c>
      <c r="R313" t="str">
        <f>_xll.BDP("112857ER Muni","MUNI_MSRB_VOLUME")</f>
        <v>#N/A Requesting Data...</v>
      </c>
      <c r="S313" t="str">
        <f>_xll.BDP("112857ER Muni","BB_COMPOSITE")</f>
        <v>#N/A Requesting Data...</v>
      </c>
      <c r="T313" t="str">
        <f>_xll.BDP("112857ER Muni","LQA_LIQUIDITY_SCORE")</f>
        <v>#N/A Requesting Data...</v>
      </c>
    </row>
    <row r="314" spans="1:20" x14ac:dyDescent="0.25">
      <c r="A314" t="str">
        <f>_xll.BDP("112857EU Muni","ID_CUSIP")</f>
        <v>#N/A Requesting Data...</v>
      </c>
      <c r="B314" t="s">
        <v>116</v>
      </c>
      <c r="C314" t="str">
        <f>_xll.BDP("112857EU Muni","INSURANCE_STATUS")</f>
        <v>#N/A Requesting Data...</v>
      </c>
      <c r="D314" t="str">
        <f>_xll.BDP("112857EU Muni","STATE_CODE")</f>
        <v>#N/A Requesting Data...</v>
      </c>
      <c r="E314" t="str">
        <f>_xll.BDP("112857EU Muni","COUNTY_LOCATION_ISSUER")</f>
        <v>#N/A Requesting Data...</v>
      </c>
      <c r="F314" t="str">
        <f>_xll.BDP("112857EU Muni","DUR_ADJ_MID")</f>
        <v>#N/A Requesting Data...</v>
      </c>
      <c r="G314" t="str">
        <f>_xll.BDP("112857EU Muni","SPREAD_AT_ISSUANCE_TO_WORST")</f>
        <v>#N/A Requesting Data...</v>
      </c>
      <c r="H314" t="str">
        <f>_xll.BDP("112857EU Muni","ISSUE_DT")</f>
        <v>#N/A Requesting Data...</v>
      </c>
      <c r="I314" t="str">
        <f>_xll.BDS("112857EU Muni","MUNI_PURPOSE_SCHED", "aggregate=y")</f>
        <v>#N/A Requesting Data...</v>
      </c>
      <c r="J314" t="str">
        <f>_xll.BDP("112857EU Muni","CPN")</f>
        <v>#N/A Requesting Data...</v>
      </c>
      <c r="K314" t="str">
        <f>_xll.BDP("112857EU Muni","MATURITY")</f>
        <v>#N/A Requesting Data...</v>
      </c>
      <c r="L314">
        <v>400000</v>
      </c>
      <c r="M314" t="str">
        <f>_xll.BDP("112857EU Muni","YIELD_ON_ISSUE_DATE")</f>
        <v>#N/A Requesting Data...</v>
      </c>
      <c r="N314" t="str">
        <f>_xll.BDP("112857EU Muni","YTW_SPREAD_TO_MATURITY_AT_ISSU")</f>
        <v>#N/A Requesting Data...</v>
      </c>
      <c r="O314" t="str">
        <f>_xll.BDP("112857EU Muni","BVAL_MID_YTM")</f>
        <v>#N/A Requesting Data...</v>
      </c>
      <c r="P314" t="str">
        <f>_xll.BDP("112857EU Muni","MUNI_TAX_PROV")</f>
        <v>#N/A Requesting Data...</v>
      </c>
      <c r="Q314" t="str">
        <f>_xll.BDP("112857EU Muni","MUNI_FED_TAX")</f>
        <v>#N/A Requesting Data...</v>
      </c>
      <c r="R314" t="str">
        <f>_xll.BDP("112857EU Muni","MUNI_MSRB_VOLUME")</f>
        <v>#N/A Requesting Data...</v>
      </c>
      <c r="S314" t="str">
        <f>_xll.BDP("112857EU Muni","BB_COMPOSITE")</f>
        <v>#N/A Requesting Data...</v>
      </c>
      <c r="T314" t="str">
        <f>_xll.BDP("112857EU Muni","LQA_LIQUIDITY_SCORE")</f>
        <v>#N/A Requesting Data...</v>
      </c>
    </row>
    <row r="315" spans="1:20" x14ac:dyDescent="0.25">
      <c r="A315" t="str">
        <f>_xll.BDP("113835R4 Muni","ID_CUSIP")</f>
        <v>#N/A Requesting Data...</v>
      </c>
      <c r="B315" t="s">
        <v>117</v>
      </c>
      <c r="C315" t="str">
        <f>_xll.BDP("113835R4 Muni","INSURANCE_STATUS")</f>
        <v>#N/A Requesting Data...</v>
      </c>
      <c r="D315" t="str">
        <f>_xll.BDP("113835R4 Muni","STATE_CODE")</f>
        <v>#N/A Requesting Data...</v>
      </c>
      <c r="E315" t="str">
        <f>_xll.BDP("113835R4 Muni","COUNTY_LOCATION_ISSUER")</f>
        <v>#N/A Requesting Data...</v>
      </c>
      <c r="F315" t="str">
        <f>_xll.BDP("113835R4 Muni","DUR_ADJ_MID")</f>
        <v>#N/A Requesting Data...</v>
      </c>
      <c r="G315" t="str">
        <f>_xll.BDP("113835R4 Muni","SPREAD_AT_ISSUANCE_TO_WORST")</f>
        <v>#N/A Requesting Data...</v>
      </c>
      <c r="H315" t="str">
        <f>_xll.BDP("113835R4 Muni","ISSUE_DT")</f>
        <v>#N/A Requesting Data...</v>
      </c>
      <c r="I315" t="str">
        <f>_xll.BDS("113835R4 Muni","MUNI_PURPOSE_SCHED", "aggregate=y")</f>
        <v>#N/A Requesting Data...</v>
      </c>
      <c r="J315" t="str">
        <f>_xll.BDP("113835R4 Muni","CPN")</f>
        <v>#N/A Requesting Data...</v>
      </c>
      <c r="K315" t="str">
        <f>_xll.BDP("113835R4 Muni","MATURITY")</f>
        <v>#N/A Requesting Data...</v>
      </c>
      <c r="L315">
        <v>800000</v>
      </c>
      <c r="M315" t="str">
        <f>_xll.BDP("113835R4 Muni","YIELD_ON_ISSUE_DATE")</f>
        <v>#N/A Requesting Data...</v>
      </c>
      <c r="N315" t="str">
        <f>_xll.BDP("113835R4 Muni","YTW_SPREAD_TO_MATURITY_AT_ISSU")</f>
        <v>#N/A Requesting Data...</v>
      </c>
      <c r="O315" t="str">
        <f>_xll.BDP("113835R4 Muni","BVAL_MID_YTM")</f>
        <v>#N/A Requesting Data...</v>
      </c>
      <c r="P315" t="str">
        <f>_xll.BDP("113835R4 Muni","MUNI_TAX_PROV")</f>
        <v>#N/A Requesting Data...</v>
      </c>
      <c r="Q315" t="str">
        <f>_xll.BDP("113835R4 Muni","MUNI_FED_TAX")</f>
        <v>#N/A Requesting Data...</v>
      </c>
      <c r="R315" t="str">
        <f>_xll.BDP("113835R4 Muni","MUNI_MSRB_VOLUME")</f>
        <v>#N/A Requesting Data...</v>
      </c>
      <c r="S315" t="str">
        <f>_xll.BDP("113835R4 Muni","BB_COMPOSITE")</f>
        <v>#N/A Requesting Data...</v>
      </c>
      <c r="T315" t="str">
        <f>_xll.BDP("113835R4 Muni","LQA_LIQUIDITY_SCORE")</f>
        <v>#N/A Requesting Data...</v>
      </c>
    </row>
    <row r="316" spans="1:20" x14ac:dyDescent="0.25">
      <c r="A316" t="str">
        <f>_xll.BDP("113835R6 Muni","ID_CUSIP")</f>
        <v>#N/A Requesting Data...</v>
      </c>
      <c r="B316" t="s">
        <v>117</v>
      </c>
      <c r="C316" t="str">
        <f>_xll.BDP("113835R6 Muni","INSURANCE_STATUS")</f>
        <v>#N/A Requesting Data...</v>
      </c>
      <c r="D316" t="str">
        <f>_xll.BDP("113835R6 Muni","STATE_CODE")</f>
        <v>#N/A Requesting Data...</v>
      </c>
      <c r="E316" t="str">
        <f>_xll.BDP("113835R6 Muni","COUNTY_LOCATION_ISSUER")</f>
        <v>#N/A Requesting Data...</v>
      </c>
      <c r="F316" t="str">
        <f>_xll.BDP("113835R6 Muni","DUR_ADJ_MID")</f>
        <v>#N/A Requesting Data...</v>
      </c>
      <c r="G316" t="str">
        <f>_xll.BDP("113835R6 Muni","SPREAD_AT_ISSUANCE_TO_WORST")</f>
        <v>#N/A Requesting Data...</v>
      </c>
      <c r="H316" t="str">
        <f>_xll.BDP("113835R6 Muni","ISSUE_DT")</f>
        <v>#N/A Requesting Data...</v>
      </c>
      <c r="I316" t="str">
        <f>_xll.BDS("113835R6 Muni","MUNI_PURPOSE_SCHED", "aggregate=y")</f>
        <v>#N/A Requesting Data...</v>
      </c>
      <c r="J316" t="str">
        <f>_xll.BDP("113835R6 Muni","CPN")</f>
        <v>#N/A Requesting Data...</v>
      </c>
      <c r="K316" t="str">
        <f>_xll.BDP("113835R6 Muni","MATURITY")</f>
        <v>#N/A Requesting Data...</v>
      </c>
      <c r="L316">
        <v>865000</v>
      </c>
      <c r="M316" t="str">
        <f>_xll.BDP("113835R6 Muni","YIELD_ON_ISSUE_DATE")</f>
        <v>#N/A Requesting Data...</v>
      </c>
      <c r="N316" t="str">
        <f>_xll.BDP("113835R6 Muni","YTW_SPREAD_TO_MATURITY_AT_ISSU")</f>
        <v>#N/A Requesting Data...</v>
      </c>
      <c r="O316" t="str">
        <f>_xll.BDP("113835R6 Muni","BVAL_MID_YTM")</f>
        <v>#N/A Requesting Data...</v>
      </c>
      <c r="P316" t="str">
        <f>_xll.BDP("113835R6 Muni","MUNI_TAX_PROV")</f>
        <v>#N/A Requesting Data...</v>
      </c>
      <c r="Q316" t="str">
        <f>_xll.BDP("113835R6 Muni","MUNI_FED_TAX")</f>
        <v>#N/A Requesting Data...</v>
      </c>
      <c r="R316" t="str">
        <f>_xll.BDP("113835R6 Muni","MUNI_MSRB_VOLUME")</f>
        <v>#N/A Requesting Data...</v>
      </c>
      <c r="S316" t="str">
        <f>_xll.BDP("113835R6 Muni","BB_COMPOSITE")</f>
        <v>#N/A Requesting Data...</v>
      </c>
      <c r="T316" t="str">
        <f>_xll.BDP("113835R6 Muni","LQA_LIQUIDITY_SCORE")</f>
        <v>#N/A Requesting Data...</v>
      </c>
    </row>
    <row r="317" spans="1:20" x14ac:dyDescent="0.25">
      <c r="A317" t="str">
        <f>_xll.BDP("114264AQ Muni","ID_CUSIP")</f>
        <v>#N/A Requesting Data...</v>
      </c>
      <c r="B317" t="s">
        <v>118</v>
      </c>
      <c r="C317" t="str">
        <f>_xll.BDP("114264AQ Muni","INSURANCE_STATUS")</f>
        <v>#N/A Requesting Data...</v>
      </c>
      <c r="D317" t="str">
        <f>_xll.BDP("114264AQ Muni","STATE_CODE")</f>
        <v>#N/A Requesting Data...</v>
      </c>
      <c r="E317" t="str">
        <f>_xll.BDP("114264AQ Muni","COUNTY_LOCATION_ISSUER")</f>
        <v>#N/A Requesting Data...</v>
      </c>
      <c r="F317" t="str">
        <f>_xll.BDP("114264AQ Muni","DUR_ADJ_MID")</f>
        <v>#N/A Requesting Data...</v>
      </c>
      <c r="G317" t="str">
        <f>_xll.BDP("114264AQ Muni","SPREAD_AT_ISSUANCE_TO_WORST")</f>
        <v>#N/A Requesting Data...</v>
      </c>
      <c r="H317" t="str">
        <f>_xll.BDP("114264AQ Muni","ISSUE_DT")</f>
        <v>#N/A Requesting Data...</v>
      </c>
      <c r="I317" t="str">
        <f>_xll.BDS("114264AQ Muni","MUNI_PURPOSE_SCHED", "aggregate=y")</f>
        <v>#N/A Requesting Data...</v>
      </c>
      <c r="J317" t="str">
        <f>_xll.BDP("114264AQ Muni","CPN")</f>
        <v>#N/A Requesting Data...</v>
      </c>
      <c r="K317" t="str">
        <f>_xll.BDP("114264AQ Muni","MATURITY")</f>
        <v>#N/A Requesting Data...</v>
      </c>
      <c r="L317">
        <v>50000</v>
      </c>
      <c r="M317" t="str">
        <f>_xll.BDP("114264AQ Muni","YIELD_ON_ISSUE_DATE")</f>
        <v>#N/A Requesting Data...</v>
      </c>
      <c r="N317" t="str">
        <f>_xll.BDP("114264AQ Muni","YTW_SPREAD_TO_MATURITY_AT_ISSU")</f>
        <v>#N/A Requesting Data...</v>
      </c>
      <c r="O317" t="str">
        <f>_xll.BDP("114264AQ Muni","BVAL_MID_YTM")</f>
        <v>#N/A Requesting Data...</v>
      </c>
      <c r="P317" t="str">
        <f>_xll.BDP("114264AQ Muni","MUNI_TAX_PROV")</f>
        <v>#N/A Requesting Data...</v>
      </c>
      <c r="Q317" t="str">
        <f>_xll.BDP("114264AQ Muni","MUNI_FED_TAX")</f>
        <v>#N/A Requesting Data...</v>
      </c>
      <c r="R317" t="str">
        <f>_xll.BDP("114264AQ Muni","MUNI_MSRB_VOLUME")</f>
        <v>#N/A Requesting Data...</v>
      </c>
      <c r="S317" t="str">
        <f>_xll.BDP("114264AQ Muni","BB_COMPOSITE")</f>
        <v>#N/A Requesting Data...</v>
      </c>
      <c r="T317" t="str">
        <f>_xll.BDP("114264AQ Muni","LQA_LIQUIDITY_SCORE")</f>
        <v>#N/A Requesting Data...</v>
      </c>
    </row>
    <row r="318" spans="1:20" x14ac:dyDescent="0.25">
      <c r="A318" t="str">
        <f>_xll.BDP("114264AS Muni","ID_CUSIP")</f>
        <v>#N/A Requesting Data...</v>
      </c>
      <c r="B318" t="s">
        <v>118</v>
      </c>
      <c r="C318" t="str">
        <f>_xll.BDP("114264AS Muni","INSURANCE_STATUS")</f>
        <v>#N/A Requesting Data...</v>
      </c>
      <c r="D318" t="str">
        <f>_xll.BDP("114264AS Muni","STATE_CODE")</f>
        <v>#N/A Requesting Data...</v>
      </c>
      <c r="E318" t="str">
        <f>_xll.BDP("114264AS Muni","COUNTY_LOCATION_ISSUER")</f>
        <v>#N/A Requesting Data...</v>
      </c>
      <c r="F318" t="str">
        <f>_xll.BDP("114264AS Muni","DUR_ADJ_MID")</f>
        <v>#N/A Requesting Data...</v>
      </c>
      <c r="G318" t="str">
        <f>_xll.BDP("114264AS Muni","SPREAD_AT_ISSUANCE_TO_WORST")</f>
        <v>#N/A Requesting Data...</v>
      </c>
      <c r="H318" t="str">
        <f>_xll.BDP("114264AS Muni","ISSUE_DT")</f>
        <v>#N/A Requesting Data...</v>
      </c>
      <c r="I318" t="str">
        <f>_xll.BDS("114264AS Muni","MUNI_PURPOSE_SCHED", "aggregate=y")</f>
        <v>#N/A Requesting Data...</v>
      </c>
      <c r="J318" t="str">
        <f>_xll.BDP("114264AS Muni","CPN")</f>
        <v>#N/A Requesting Data...</v>
      </c>
      <c r="K318" t="str">
        <f>_xll.BDP("114264AS Muni","MATURITY")</f>
        <v>#N/A Requesting Data...</v>
      </c>
      <c r="L318">
        <v>55000</v>
      </c>
      <c r="M318" t="str">
        <f>_xll.BDP("114264AS Muni","YIELD_ON_ISSUE_DATE")</f>
        <v>#N/A Requesting Data...</v>
      </c>
      <c r="N318" t="str">
        <f>_xll.BDP("114264AS Muni","YTW_SPREAD_TO_MATURITY_AT_ISSU")</f>
        <v>#N/A Requesting Data...</v>
      </c>
      <c r="O318" t="str">
        <f>_xll.BDP("114264AS Muni","BVAL_MID_YTM")</f>
        <v>#N/A Requesting Data...</v>
      </c>
      <c r="P318" t="str">
        <f>_xll.BDP("114264AS Muni","MUNI_TAX_PROV")</f>
        <v>#N/A Requesting Data...</v>
      </c>
      <c r="Q318" t="str">
        <f>_xll.BDP("114264AS Muni","MUNI_FED_TAX")</f>
        <v>#N/A Requesting Data...</v>
      </c>
      <c r="R318" t="str">
        <f>_xll.BDP("114264AS Muni","MUNI_MSRB_VOLUME")</f>
        <v>#N/A Requesting Data...</v>
      </c>
      <c r="S318" t="str">
        <f>_xll.BDP("114264AS Muni","BB_COMPOSITE")</f>
        <v>#N/A Requesting Data...</v>
      </c>
      <c r="T318" t="str">
        <f>_xll.BDP("114264AS Muni","LQA_LIQUIDITY_SCORE")</f>
        <v>#N/A Requesting Data...</v>
      </c>
    </row>
    <row r="319" spans="1:20" x14ac:dyDescent="0.25">
      <c r="A319" t="str">
        <f>_xll.BDP("094780U6 Muni","ID_CUSIP")</f>
        <v>#N/A Requesting Data...</v>
      </c>
      <c r="B319" t="s">
        <v>119</v>
      </c>
      <c r="C319" t="str">
        <f>_xll.BDP("094780U6 Muni","INSURANCE_STATUS")</f>
        <v>#N/A Requesting Data...</v>
      </c>
      <c r="D319" t="str">
        <f>_xll.BDP("094780U6 Muni","STATE_CODE")</f>
        <v>#N/A Requesting Data...</v>
      </c>
      <c r="E319" t="str">
        <f>_xll.BDP("094780U6 Muni","COUNTY_LOCATION_ISSUER")</f>
        <v>#N/A Requesting Data...</v>
      </c>
      <c r="F319" t="str">
        <f>_xll.BDP("094780U6 Muni","DUR_ADJ_MID")</f>
        <v>#N/A Requesting Data...</v>
      </c>
      <c r="G319" t="str">
        <f>_xll.BDP("094780U6 Muni","SPREAD_AT_ISSUANCE_TO_WORST")</f>
        <v>#N/A Requesting Data...</v>
      </c>
      <c r="H319" t="str">
        <f>_xll.BDP("094780U6 Muni","ISSUE_DT")</f>
        <v>#N/A Requesting Data...</v>
      </c>
      <c r="I319" t="str">
        <f>_xll.BDS("094780U6 Muni","MUNI_PURPOSE_SCHED", "aggregate=y")</f>
        <v>#N/A Requesting Data...</v>
      </c>
      <c r="J319" t="str">
        <f>_xll.BDP("094780U6 Muni","CPN")</f>
        <v>#N/A Requesting Data...</v>
      </c>
      <c r="K319" t="str">
        <f>_xll.BDP("094780U6 Muni","MATURITY")</f>
        <v>#N/A Requesting Data...</v>
      </c>
      <c r="L319">
        <v>515000</v>
      </c>
      <c r="M319" t="str">
        <f>_xll.BDP("094780U6 Muni","YIELD_ON_ISSUE_DATE")</f>
        <v>#N/A Requesting Data...</v>
      </c>
      <c r="N319" t="str">
        <f>_xll.BDP("094780U6 Muni","YTW_SPREAD_TO_MATURITY_AT_ISSU")</f>
        <v>#N/A Requesting Data...</v>
      </c>
      <c r="O319" t="str">
        <f>_xll.BDP("094780U6 Muni","BVAL_MID_YTM")</f>
        <v>#N/A Requesting Data...</v>
      </c>
      <c r="P319" t="str">
        <f>_xll.BDP("094780U6 Muni","MUNI_TAX_PROV")</f>
        <v>#N/A Requesting Data...</v>
      </c>
      <c r="Q319" t="str">
        <f>_xll.BDP("094780U6 Muni","MUNI_FED_TAX")</f>
        <v>#N/A Requesting Data...</v>
      </c>
      <c r="R319" t="str">
        <f>_xll.BDP("094780U6 Muni","MUNI_MSRB_VOLUME")</f>
        <v>#N/A Requesting Data...</v>
      </c>
      <c r="S319" t="str">
        <f>_xll.BDP("094780U6 Muni","BB_COMPOSITE")</f>
        <v>#N/A Requesting Data...</v>
      </c>
      <c r="T319" t="str">
        <f>_xll.BDP("094780U6 Muni","LQA_LIQUIDITY_SCORE")</f>
        <v>#N/A Requesting Data...</v>
      </c>
    </row>
    <row r="320" spans="1:20" x14ac:dyDescent="0.25">
      <c r="A320" t="str">
        <f>_xll.BDP("094780U7 Muni","ID_CUSIP")</f>
        <v>#N/A Requesting Data...</v>
      </c>
      <c r="B320" t="s">
        <v>119</v>
      </c>
      <c r="C320" t="str">
        <f>_xll.BDP("094780U7 Muni","INSURANCE_STATUS")</f>
        <v>#N/A Requesting Data...</v>
      </c>
      <c r="D320" t="str">
        <f>_xll.BDP("094780U7 Muni","STATE_CODE")</f>
        <v>#N/A Requesting Data...</v>
      </c>
      <c r="E320" t="str">
        <f>_xll.BDP("094780U7 Muni","COUNTY_LOCATION_ISSUER")</f>
        <v>#N/A Requesting Data...</v>
      </c>
      <c r="F320" t="str">
        <f>_xll.BDP("094780U7 Muni","DUR_ADJ_MID")</f>
        <v>#N/A Requesting Data...</v>
      </c>
      <c r="G320" t="str">
        <f>_xll.BDP("094780U7 Muni","SPREAD_AT_ISSUANCE_TO_WORST")</f>
        <v>#N/A Requesting Data...</v>
      </c>
      <c r="H320" t="str">
        <f>_xll.BDP("094780U7 Muni","ISSUE_DT")</f>
        <v>#N/A Requesting Data...</v>
      </c>
      <c r="I320" t="str">
        <f>_xll.BDS("094780U7 Muni","MUNI_PURPOSE_SCHED", "aggregate=y")</f>
        <v>#N/A Requesting Data...</v>
      </c>
      <c r="J320" t="str">
        <f>_xll.BDP("094780U7 Muni","CPN")</f>
        <v>#N/A Requesting Data...</v>
      </c>
      <c r="K320" t="str">
        <f>_xll.BDP("094780U7 Muni","MATURITY")</f>
        <v>#N/A Requesting Data...</v>
      </c>
      <c r="L320">
        <v>540000</v>
      </c>
      <c r="M320" t="str">
        <f>_xll.BDP("094780U7 Muni","YIELD_ON_ISSUE_DATE")</f>
        <v>#N/A Requesting Data...</v>
      </c>
      <c r="N320" t="str">
        <f>_xll.BDP("094780U7 Muni","YTW_SPREAD_TO_MATURITY_AT_ISSU")</f>
        <v>#N/A Requesting Data...</v>
      </c>
      <c r="O320" t="str">
        <f>_xll.BDP("094780U7 Muni","BVAL_MID_YTM")</f>
        <v>#N/A Requesting Data...</v>
      </c>
      <c r="P320" t="str">
        <f>_xll.BDP("094780U7 Muni","MUNI_TAX_PROV")</f>
        <v>#N/A Requesting Data...</v>
      </c>
      <c r="Q320" t="str">
        <f>_xll.BDP("094780U7 Muni","MUNI_FED_TAX")</f>
        <v>#N/A Requesting Data...</v>
      </c>
      <c r="R320" t="str">
        <f>_xll.BDP("094780U7 Muni","MUNI_MSRB_VOLUME")</f>
        <v>#N/A Requesting Data...</v>
      </c>
      <c r="S320" t="str">
        <f>_xll.BDP("094780U7 Muni","BB_COMPOSITE")</f>
        <v>#N/A Requesting Data...</v>
      </c>
      <c r="T320" t="str">
        <f>_xll.BDP("094780U7 Muni","LQA_LIQUIDITY_SCORE")</f>
        <v>#N/A Requesting Data...</v>
      </c>
    </row>
    <row r="321" spans="1:20" x14ac:dyDescent="0.25">
      <c r="A321" t="str">
        <f>_xll.BDP("095221BN Muni","ID_CUSIP")</f>
        <v>#N/A Requesting Data...</v>
      </c>
      <c r="B321" t="s">
        <v>120</v>
      </c>
      <c r="C321" t="str">
        <f>_xll.BDP("095221BN Muni","INSURANCE_STATUS")</f>
        <v>#N/A Requesting Data...</v>
      </c>
      <c r="D321" t="str">
        <f>_xll.BDP("095221BN Muni","STATE_CODE")</f>
        <v>#N/A Requesting Data...</v>
      </c>
      <c r="E321" t="str">
        <f>_xll.BDP("095221BN Muni","COUNTY_LOCATION_ISSUER")</f>
        <v>#N/A Requesting Data...</v>
      </c>
      <c r="F321" t="str">
        <f>_xll.BDP("095221BN Muni","DUR_ADJ_MID")</f>
        <v>#N/A Requesting Data...</v>
      </c>
      <c r="G321" t="str">
        <f>_xll.BDP("095221BN Muni","SPREAD_AT_ISSUANCE_TO_WORST")</f>
        <v>#N/A Requesting Data...</v>
      </c>
      <c r="H321" t="str">
        <f>_xll.BDP("095221BN Muni","ISSUE_DT")</f>
        <v>#N/A Requesting Data...</v>
      </c>
      <c r="I321" t="str">
        <f>_xll.BDS("095221BN Muni","MUNI_PURPOSE_SCHED", "aggregate=y")</f>
        <v>#N/A Requesting Data...</v>
      </c>
      <c r="J321" t="str">
        <f>_xll.BDP("095221BN Muni","CPN")</f>
        <v>#N/A Requesting Data...</v>
      </c>
      <c r="K321" t="str">
        <f>_xll.BDP("095221BN Muni","MATURITY")</f>
        <v>#N/A Requesting Data...</v>
      </c>
      <c r="L321">
        <v>120000</v>
      </c>
      <c r="M321" t="str">
        <f>_xll.BDP("095221BN Muni","YIELD_ON_ISSUE_DATE")</f>
        <v>#N/A Requesting Data...</v>
      </c>
      <c r="N321" t="str">
        <f>_xll.BDP("095221BN Muni","YTW_SPREAD_TO_MATURITY_AT_ISSU")</f>
        <v>#N/A Requesting Data...</v>
      </c>
      <c r="O321" t="str">
        <f>_xll.BDP("095221BN Muni","BVAL_MID_YTM")</f>
        <v>#N/A Requesting Data...</v>
      </c>
      <c r="P321" t="str">
        <f>_xll.BDP("095221BN Muni","MUNI_TAX_PROV")</f>
        <v>#N/A Requesting Data...</v>
      </c>
      <c r="Q321" t="str">
        <f>_xll.BDP("095221BN Muni","MUNI_FED_TAX")</f>
        <v>#N/A Requesting Data...</v>
      </c>
      <c r="R321" t="str">
        <f>_xll.BDP("095221BN Muni","MUNI_MSRB_VOLUME")</f>
        <v>#N/A Requesting Data...</v>
      </c>
      <c r="S321" t="str">
        <f>_xll.BDP("095221BN Muni","BB_COMPOSITE")</f>
        <v>#N/A Requesting Data...</v>
      </c>
      <c r="T321" t="str">
        <f>_xll.BDP("095221BN Muni","LQA_LIQUIDITY_SCORE")</f>
        <v>#N/A Requesting Data...</v>
      </c>
    </row>
    <row r="322" spans="1:20" x14ac:dyDescent="0.25">
      <c r="A322" t="str">
        <f>_xll.BDP("13077EFR Muni","ID_CUSIP")</f>
        <v>#N/A Requesting Data...</v>
      </c>
      <c r="B322" t="s">
        <v>121</v>
      </c>
      <c r="C322" t="str">
        <f>_xll.BDP("13077EFR Muni","INSURANCE_STATUS")</f>
        <v>#N/A Requesting Data...</v>
      </c>
      <c r="D322" t="str">
        <f>_xll.BDP("13077EFR Muni","STATE_CODE")</f>
        <v>#N/A Requesting Data...</v>
      </c>
      <c r="E322" t="str">
        <f>_xll.BDP("13077EFR Muni","COUNTY_LOCATION_ISSUER")</f>
        <v>#N/A Requesting Data...</v>
      </c>
      <c r="F322" t="str">
        <f>_xll.BDP("13077EFR Muni","DUR_ADJ_MID")</f>
        <v>#N/A Requesting Data...</v>
      </c>
      <c r="G322" t="str">
        <f>_xll.BDP("13077EFR Muni","SPREAD_AT_ISSUANCE_TO_WORST")</f>
        <v>#N/A Requesting Data...</v>
      </c>
      <c r="H322" t="str">
        <f>_xll.BDP("13077EFR Muni","ISSUE_DT")</f>
        <v>#N/A Requesting Data...</v>
      </c>
      <c r="I322" t="str">
        <f>_xll.BDS("13077EFR Muni","MUNI_PURPOSE_SCHED", "aggregate=y")</f>
        <v>#N/A Requesting Data...</v>
      </c>
      <c r="J322" t="str">
        <f>_xll.BDP("13077EFR Muni","CPN")</f>
        <v>#N/A Requesting Data...</v>
      </c>
      <c r="K322" t="str">
        <f>_xll.BDP("13077EFR Muni","MATURITY")</f>
        <v>#N/A Requesting Data...</v>
      </c>
      <c r="L322">
        <v>105000</v>
      </c>
      <c r="M322" t="str">
        <f>_xll.BDP("13077EFR Muni","YIELD_ON_ISSUE_DATE")</f>
        <v>#N/A Requesting Data...</v>
      </c>
      <c r="N322" t="str">
        <f>_xll.BDP("13077EFR Muni","YTW_SPREAD_TO_MATURITY_AT_ISSU")</f>
        <v>#N/A Requesting Data...</v>
      </c>
      <c r="O322" t="str">
        <f>_xll.BDP("13077EFR Muni","BVAL_MID_YTM")</f>
        <v>#N/A Requesting Data...</v>
      </c>
      <c r="P322" t="str">
        <f>_xll.BDP("13077EFR Muni","MUNI_TAX_PROV")</f>
        <v>#N/A Requesting Data...</v>
      </c>
      <c r="Q322" t="str">
        <f>_xll.BDP("13077EFR Muni","MUNI_FED_TAX")</f>
        <v>#N/A Requesting Data...</v>
      </c>
      <c r="R322" t="str">
        <f>_xll.BDP("13077EFR Muni","MUNI_MSRB_VOLUME")</f>
        <v>#N/A Requesting Data...</v>
      </c>
      <c r="S322" t="str">
        <f>_xll.BDP("13077EFR Muni","BB_COMPOSITE")</f>
        <v>#N/A Requesting Data...</v>
      </c>
      <c r="T322" t="str">
        <f>_xll.BDP("13077EFR Muni","LQA_LIQUIDITY_SCORE")</f>
        <v>#N/A Requesting Data...</v>
      </c>
    </row>
    <row r="323" spans="1:20" x14ac:dyDescent="0.25">
      <c r="A323" t="str">
        <f>_xll.BDP("13077EFS Muni","ID_CUSIP")</f>
        <v>#N/A Requesting Data...</v>
      </c>
      <c r="B323" t="s">
        <v>121</v>
      </c>
      <c r="C323" t="str">
        <f>_xll.BDP("13077EFS Muni","INSURANCE_STATUS")</f>
        <v>#N/A Requesting Data...</v>
      </c>
      <c r="D323" t="str">
        <f>_xll.BDP("13077EFS Muni","STATE_CODE")</f>
        <v>#N/A Requesting Data...</v>
      </c>
      <c r="E323" t="str">
        <f>_xll.BDP("13077EFS Muni","COUNTY_LOCATION_ISSUER")</f>
        <v>#N/A Requesting Data...</v>
      </c>
      <c r="F323" t="str">
        <f>_xll.BDP("13077EFS Muni","DUR_ADJ_MID")</f>
        <v>#N/A Requesting Data...</v>
      </c>
      <c r="G323" t="str">
        <f>_xll.BDP("13077EFS Muni","SPREAD_AT_ISSUANCE_TO_WORST")</f>
        <v>#N/A Requesting Data...</v>
      </c>
      <c r="H323" t="str">
        <f>_xll.BDP("13077EFS Muni","ISSUE_DT")</f>
        <v>#N/A Requesting Data...</v>
      </c>
      <c r="I323" t="str">
        <f>_xll.BDS("13077EFS Muni","MUNI_PURPOSE_SCHED", "aggregate=y")</f>
        <v>#N/A Requesting Data...</v>
      </c>
      <c r="J323" t="str">
        <f>_xll.BDP("13077EFS Muni","CPN")</f>
        <v>#N/A Requesting Data...</v>
      </c>
      <c r="K323" t="str">
        <f>_xll.BDP("13077EFS Muni","MATURITY")</f>
        <v>#N/A Requesting Data...</v>
      </c>
      <c r="L323">
        <v>130000</v>
      </c>
      <c r="M323" t="str">
        <f>_xll.BDP("13077EFS Muni","YIELD_ON_ISSUE_DATE")</f>
        <v>#N/A Requesting Data...</v>
      </c>
      <c r="N323" t="str">
        <f>_xll.BDP("13077EFS Muni","YTW_SPREAD_TO_MATURITY_AT_ISSU")</f>
        <v>#N/A Requesting Data...</v>
      </c>
      <c r="O323" t="str">
        <f>_xll.BDP("13077EFS Muni","BVAL_MID_YTM")</f>
        <v>#N/A Requesting Data...</v>
      </c>
      <c r="P323" t="str">
        <f>_xll.BDP("13077EFS Muni","MUNI_TAX_PROV")</f>
        <v>#N/A Requesting Data...</v>
      </c>
      <c r="Q323" t="str">
        <f>_xll.BDP("13077EFS Muni","MUNI_FED_TAX")</f>
        <v>#N/A Requesting Data...</v>
      </c>
      <c r="R323" t="str">
        <f>_xll.BDP("13077EFS Muni","MUNI_MSRB_VOLUME")</f>
        <v>#N/A Requesting Data...</v>
      </c>
      <c r="S323" t="str">
        <f>_xll.BDP("13077EFS Muni","BB_COMPOSITE")</f>
        <v>#N/A Requesting Data...</v>
      </c>
      <c r="T323" t="str">
        <f>_xll.BDP("13077EFS Muni","LQA_LIQUIDITY_SCORE")</f>
        <v>#N/A Requesting Data...</v>
      </c>
    </row>
    <row r="324" spans="1:20" x14ac:dyDescent="0.25">
      <c r="A324" t="str">
        <f>_xll.BDP("13077EFU Muni","ID_CUSIP")</f>
        <v>#N/A Requesting Data...</v>
      </c>
      <c r="B324" t="s">
        <v>121</v>
      </c>
      <c r="C324" t="str">
        <f>_xll.BDP("13077EFU Muni","INSURANCE_STATUS")</f>
        <v>#N/A Requesting Data...</v>
      </c>
      <c r="D324" t="str">
        <f>_xll.BDP("13077EFU Muni","STATE_CODE")</f>
        <v>#N/A Requesting Data...</v>
      </c>
      <c r="E324" t="str">
        <f>_xll.BDP("13077EFU Muni","COUNTY_LOCATION_ISSUER")</f>
        <v>#N/A Requesting Data...</v>
      </c>
      <c r="F324" t="str">
        <f>_xll.BDP("13077EFU Muni","DUR_ADJ_MID")</f>
        <v>#N/A Requesting Data...</v>
      </c>
      <c r="G324" t="str">
        <f>_xll.BDP("13077EFU Muni","SPREAD_AT_ISSUANCE_TO_WORST")</f>
        <v>#N/A Requesting Data...</v>
      </c>
      <c r="H324" t="str">
        <f>_xll.BDP("13077EFU Muni","ISSUE_DT")</f>
        <v>#N/A Requesting Data...</v>
      </c>
      <c r="I324" t="str">
        <f>_xll.BDS("13077EFU Muni","MUNI_PURPOSE_SCHED", "aggregate=y")</f>
        <v>#N/A Requesting Data...</v>
      </c>
      <c r="J324" t="str">
        <f>_xll.BDP("13077EFU Muni","CPN")</f>
        <v>#N/A Requesting Data...</v>
      </c>
      <c r="K324" t="str">
        <f>_xll.BDP("13077EFU Muni","MATURITY")</f>
        <v>#N/A Requesting Data...</v>
      </c>
      <c r="L324">
        <v>185000</v>
      </c>
      <c r="M324" t="str">
        <f>_xll.BDP("13077EFU Muni","YIELD_ON_ISSUE_DATE")</f>
        <v>#N/A Requesting Data...</v>
      </c>
      <c r="N324" t="str">
        <f>_xll.BDP("13077EFU Muni","YTW_SPREAD_TO_MATURITY_AT_ISSU")</f>
        <v>#N/A Requesting Data...</v>
      </c>
      <c r="O324" t="str">
        <f>_xll.BDP("13077EFU Muni","BVAL_MID_YTM")</f>
        <v>#N/A Requesting Data...</v>
      </c>
      <c r="P324" t="str">
        <f>_xll.BDP("13077EFU Muni","MUNI_TAX_PROV")</f>
        <v>#N/A Requesting Data...</v>
      </c>
      <c r="Q324" t="str">
        <f>_xll.BDP("13077EFU Muni","MUNI_FED_TAX")</f>
        <v>#N/A Requesting Data...</v>
      </c>
      <c r="R324" t="str">
        <f>_xll.BDP("13077EFU Muni","MUNI_MSRB_VOLUME")</f>
        <v>#N/A Requesting Data...</v>
      </c>
      <c r="S324" t="str">
        <f>_xll.BDP("13077EFU Muni","BB_COMPOSITE")</f>
        <v>#N/A Requesting Data...</v>
      </c>
      <c r="T324" t="str">
        <f>_xll.BDP("13077EFU Muni","LQA_LIQUIDITY_SCORE")</f>
        <v>#N/A Requesting Data...</v>
      </c>
    </row>
    <row r="325" spans="1:20" x14ac:dyDescent="0.25">
      <c r="A325" t="str">
        <f>_xll.BDP("13077EFW Muni","ID_CUSIP")</f>
        <v>#N/A Requesting Data...</v>
      </c>
      <c r="B325" t="s">
        <v>121</v>
      </c>
      <c r="C325" t="str">
        <f>_xll.BDP("13077EFW Muni","INSURANCE_STATUS")</f>
        <v>#N/A Requesting Data...</v>
      </c>
      <c r="D325" t="str">
        <f>_xll.BDP("13077EFW Muni","STATE_CODE")</f>
        <v>#N/A Requesting Data...</v>
      </c>
      <c r="E325" t="str">
        <f>_xll.BDP("13077EFW Muni","COUNTY_LOCATION_ISSUER")</f>
        <v>#N/A Requesting Data...</v>
      </c>
      <c r="F325" t="str">
        <f>_xll.BDP("13077EFW Muni","DUR_ADJ_MID")</f>
        <v>#N/A Requesting Data...</v>
      </c>
      <c r="G325" t="str">
        <f>_xll.BDP("13077EFW Muni","SPREAD_AT_ISSUANCE_TO_WORST")</f>
        <v>#N/A Requesting Data...</v>
      </c>
      <c r="H325" t="str">
        <f>_xll.BDP("13077EFW Muni","ISSUE_DT")</f>
        <v>#N/A Requesting Data...</v>
      </c>
      <c r="I325" t="str">
        <f>_xll.BDS("13077EFW Muni","MUNI_PURPOSE_SCHED", "aggregate=y")</f>
        <v>#N/A Requesting Data...</v>
      </c>
      <c r="J325" t="str">
        <f>_xll.BDP("13077EFW Muni","CPN")</f>
        <v>#N/A Requesting Data...</v>
      </c>
      <c r="K325" t="str">
        <f>_xll.BDP("13077EFW Muni","MATURITY")</f>
        <v>#N/A Requesting Data...</v>
      </c>
      <c r="L325">
        <v>250000</v>
      </c>
      <c r="M325" t="str">
        <f>_xll.BDP("13077EFW Muni","YIELD_ON_ISSUE_DATE")</f>
        <v>#N/A Requesting Data...</v>
      </c>
      <c r="N325" t="str">
        <f>_xll.BDP("13077EFW Muni","YTW_SPREAD_TO_MATURITY_AT_ISSU")</f>
        <v>#N/A Requesting Data...</v>
      </c>
      <c r="O325" t="str">
        <f>_xll.BDP("13077EFW Muni","BVAL_MID_YTM")</f>
        <v>#N/A Requesting Data...</v>
      </c>
      <c r="P325" t="str">
        <f>_xll.BDP("13077EFW Muni","MUNI_TAX_PROV")</f>
        <v>#N/A Requesting Data...</v>
      </c>
      <c r="Q325" t="str">
        <f>_xll.BDP("13077EFW Muni","MUNI_FED_TAX")</f>
        <v>#N/A Requesting Data...</v>
      </c>
      <c r="R325" t="str">
        <f>_xll.BDP("13077EFW Muni","MUNI_MSRB_VOLUME")</f>
        <v>#N/A Requesting Data...</v>
      </c>
      <c r="S325" t="str">
        <f>_xll.BDP("13077EFW Muni","BB_COMPOSITE")</f>
        <v>#N/A Requesting Data...</v>
      </c>
      <c r="T325" t="str">
        <f>_xll.BDP("13077EFW Muni","LQA_LIQUIDITY_SCORE")</f>
        <v>#N/A Requesting Data...</v>
      </c>
    </row>
    <row r="326" spans="1:20" x14ac:dyDescent="0.25">
      <c r="A326" t="str">
        <f>_xll.BDP("13077EFX Muni","ID_CUSIP")</f>
        <v>#N/A Requesting Data...</v>
      </c>
      <c r="B326" t="s">
        <v>121</v>
      </c>
      <c r="C326" t="str">
        <f>_xll.BDP("13077EFX Muni","INSURANCE_STATUS")</f>
        <v>#N/A Requesting Data...</v>
      </c>
      <c r="D326" t="str">
        <f>_xll.BDP("13077EFX Muni","STATE_CODE")</f>
        <v>#N/A Requesting Data...</v>
      </c>
      <c r="E326" t="str">
        <f>_xll.BDP("13077EFX Muni","COUNTY_LOCATION_ISSUER")</f>
        <v>#N/A Requesting Data...</v>
      </c>
      <c r="F326" t="str">
        <f>_xll.BDP("13077EFX Muni","DUR_ADJ_MID")</f>
        <v>#N/A Requesting Data...</v>
      </c>
      <c r="G326" t="str">
        <f>_xll.BDP("13077EFX Muni","SPREAD_AT_ISSUANCE_TO_WORST")</f>
        <v>#N/A Requesting Data...</v>
      </c>
      <c r="H326" t="str">
        <f>_xll.BDP("13077EFX Muni","ISSUE_DT")</f>
        <v>#N/A Requesting Data...</v>
      </c>
      <c r="I326" t="str">
        <f>_xll.BDS("13077EFX Muni","MUNI_PURPOSE_SCHED", "aggregate=y")</f>
        <v>#N/A Requesting Data...</v>
      </c>
      <c r="J326" t="str">
        <f>_xll.BDP("13077EFX Muni","CPN")</f>
        <v>#N/A Requesting Data...</v>
      </c>
      <c r="K326" t="str">
        <f>_xll.BDP("13077EFX Muni","MATURITY")</f>
        <v>#N/A Requesting Data...</v>
      </c>
      <c r="L326">
        <v>285000</v>
      </c>
      <c r="M326" t="str">
        <f>_xll.BDP("13077EFX Muni","YIELD_ON_ISSUE_DATE")</f>
        <v>#N/A Requesting Data...</v>
      </c>
      <c r="N326" t="str">
        <f>_xll.BDP("13077EFX Muni","YTW_SPREAD_TO_MATURITY_AT_ISSU")</f>
        <v>#N/A Requesting Data...</v>
      </c>
      <c r="O326" t="str">
        <f>_xll.BDP("13077EFX Muni","BVAL_MID_YTM")</f>
        <v>#N/A Requesting Data...</v>
      </c>
      <c r="P326" t="str">
        <f>_xll.BDP("13077EFX Muni","MUNI_TAX_PROV")</f>
        <v>#N/A Requesting Data...</v>
      </c>
      <c r="Q326" t="str">
        <f>_xll.BDP("13077EFX Muni","MUNI_FED_TAX")</f>
        <v>#N/A Requesting Data...</v>
      </c>
      <c r="R326" t="str">
        <f>_xll.BDP("13077EFX Muni","MUNI_MSRB_VOLUME")</f>
        <v>#N/A Requesting Data...</v>
      </c>
      <c r="S326" t="str">
        <f>_xll.BDP("13077EFX Muni","BB_COMPOSITE")</f>
        <v>#N/A Requesting Data...</v>
      </c>
      <c r="T326" t="str">
        <f>_xll.BDP("13077EFX Muni","LQA_LIQUIDITY_SCORE")</f>
        <v>#N/A Requesting Data...</v>
      </c>
    </row>
    <row r="327" spans="1:20" x14ac:dyDescent="0.25">
      <c r="A327" t="str">
        <f>_xll.BDP("098041JG Muni","ID_CUSIP")</f>
        <v>#N/A Requesting Data...</v>
      </c>
      <c r="B327" t="s">
        <v>122</v>
      </c>
      <c r="C327" t="str">
        <f>_xll.BDP("098041JG Muni","INSURANCE_STATUS")</f>
        <v>#N/A Requesting Data...</v>
      </c>
      <c r="D327" t="str">
        <f>_xll.BDP("098041JG Muni","STATE_CODE")</f>
        <v>#N/A Requesting Data...</v>
      </c>
      <c r="E327" t="str">
        <f>_xll.BDP("098041JG Muni","COUNTY_LOCATION_ISSUER")</f>
        <v>#N/A Requesting Data...</v>
      </c>
      <c r="F327" t="str">
        <f>_xll.BDP("098041JG Muni","DUR_ADJ_MID")</f>
        <v>#N/A Requesting Data...</v>
      </c>
      <c r="G327" t="str">
        <f>_xll.BDP("098041JG Muni","SPREAD_AT_ISSUANCE_TO_WORST")</f>
        <v>#N/A Requesting Data...</v>
      </c>
      <c r="H327" t="str">
        <f>_xll.BDP("098041JG Muni","ISSUE_DT")</f>
        <v>#N/A Requesting Data...</v>
      </c>
      <c r="I327" t="str">
        <f>_xll.BDS("098041JG Muni","MUNI_PURPOSE_SCHED", "aggregate=y")</f>
        <v>#N/A Requesting Data...</v>
      </c>
      <c r="J327" t="str">
        <f>_xll.BDP("098041JG Muni","CPN")</f>
        <v>#N/A Requesting Data...</v>
      </c>
      <c r="K327" t="str">
        <f>_xll.BDP("098041JG Muni","MATURITY")</f>
        <v>#N/A Requesting Data...</v>
      </c>
      <c r="L327">
        <v>255000</v>
      </c>
      <c r="M327" t="str">
        <f>_xll.BDP("098041JG Muni","YIELD_ON_ISSUE_DATE")</f>
        <v>#N/A Requesting Data...</v>
      </c>
      <c r="N327" t="str">
        <f>_xll.BDP("098041JG Muni","YTW_SPREAD_TO_MATURITY_AT_ISSU")</f>
        <v>#N/A Requesting Data...</v>
      </c>
      <c r="O327" t="str">
        <f>_xll.BDP("098041JG Muni","BVAL_MID_YTM")</f>
        <v>#N/A Requesting Data...</v>
      </c>
      <c r="P327" t="str">
        <f>_xll.BDP("098041JG Muni","MUNI_TAX_PROV")</f>
        <v>#N/A Requesting Data...</v>
      </c>
      <c r="Q327" t="str">
        <f>_xll.BDP("098041JG Muni","MUNI_FED_TAX")</f>
        <v>#N/A Requesting Data...</v>
      </c>
      <c r="R327" t="str">
        <f>_xll.BDP("098041JG Muni","MUNI_MSRB_VOLUME")</f>
        <v>#N/A Requesting Data...</v>
      </c>
      <c r="S327" t="str">
        <f>_xll.BDP("098041JG Muni","BB_COMPOSITE")</f>
        <v>#N/A Requesting Data...</v>
      </c>
      <c r="T327" t="str">
        <f>_xll.BDP("098041JG Muni","LQA_LIQUIDITY_SCORE")</f>
        <v>#N/A Requesting Data...</v>
      </c>
    </row>
    <row r="328" spans="1:20" x14ac:dyDescent="0.25">
      <c r="A328" t="str">
        <f>_xll.BDP("098041JJ Muni","ID_CUSIP")</f>
        <v>#N/A Requesting Data...</v>
      </c>
      <c r="B328" t="s">
        <v>122</v>
      </c>
      <c r="C328" t="str">
        <f>_xll.BDP("098041JJ Muni","INSURANCE_STATUS")</f>
        <v>#N/A Requesting Data...</v>
      </c>
      <c r="D328" t="str">
        <f>_xll.BDP("098041JJ Muni","STATE_CODE")</f>
        <v>#N/A Requesting Data...</v>
      </c>
      <c r="E328" t="str">
        <f>_xll.BDP("098041JJ Muni","COUNTY_LOCATION_ISSUER")</f>
        <v>#N/A Requesting Data...</v>
      </c>
      <c r="F328" t="str">
        <f>_xll.BDP("098041JJ Muni","DUR_ADJ_MID")</f>
        <v>#N/A Requesting Data...</v>
      </c>
      <c r="G328" t="str">
        <f>_xll.BDP("098041JJ Muni","SPREAD_AT_ISSUANCE_TO_WORST")</f>
        <v>#N/A Requesting Data...</v>
      </c>
      <c r="H328" t="str">
        <f>_xll.BDP("098041JJ Muni","ISSUE_DT")</f>
        <v>#N/A Requesting Data...</v>
      </c>
      <c r="I328" t="str">
        <f>_xll.BDS("098041JJ Muni","MUNI_PURPOSE_SCHED", "aggregate=y")</f>
        <v>#N/A Requesting Data...</v>
      </c>
      <c r="J328" t="str">
        <f>_xll.BDP("098041JJ Muni","CPN")</f>
        <v>#N/A Requesting Data...</v>
      </c>
      <c r="K328" t="str">
        <f>_xll.BDP("098041JJ Muni","MATURITY")</f>
        <v>#N/A Requesting Data...</v>
      </c>
      <c r="L328">
        <v>265000</v>
      </c>
      <c r="M328" t="str">
        <f>_xll.BDP("098041JJ Muni","YIELD_ON_ISSUE_DATE")</f>
        <v>#N/A Requesting Data...</v>
      </c>
      <c r="N328" t="str">
        <f>_xll.BDP("098041JJ Muni","YTW_SPREAD_TO_MATURITY_AT_ISSU")</f>
        <v>#N/A Requesting Data...</v>
      </c>
      <c r="O328" t="str">
        <f>_xll.BDP("098041JJ Muni","BVAL_MID_YTM")</f>
        <v>#N/A Requesting Data...</v>
      </c>
      <c r="P328" t="str">
        <f>_xll.BDP("098041JJ Muni","MUNI_TAX_PROV")</f>
        <v>#N/A Requesting Data...</v>
      </c>
      <c r="Q328" t="str">
        <f>_xll.BDP("098041JJ Muni","MUNI_FED_TAX")</f>
        <v>#N/A Requesting Data...</v>
      </c>
      <c r="R328" t="str">
        <f>_xll.BDP("098041JJ Muni","MUNI_MSRB_VOLUME")</f>
        <v>#N/A Requesting Data...</v>
      </c>
      <c r="S328" t="str">
        <f>_xll.BDP("098041JJ Muni","BB_COMPOSITE")</f>
        <v>#N/A Requesting Data...</v>
      </c>
      <c r="T328" t="str">
        <f>_xll.BDP("098041JJ Muni","LQA_LIQUIDITY_SCORE")</f>
        <v>#N/A Requesting Data...</v>
      </c>
    </row>
    <row r="329" spans="1:20" x14ac:dyDescent="0.25">
      <c r="A329" t="str">
        <f>_xll.BDP("132339A6 Muni","ID_CUSIP")</f>
        <v>#N/A Requesting Data...</v>
      </c>
      <c r="B329" t="s">
        <v>123</v>
      </c>
      <c r="C329" t="str">
        <f>_xll.BDP("132339A6 Muni","INSURANCE_STATUS")</f>
        <v>#N/A Requesting Data...</v>
      </c>
      <c r="D329" t="str">
        <f>_xll.BDP("132339A6 Muni","STATE_CODE")</f>
        <v>#N/A Requesting Data...</v>
      </c>
      <c r="E329" t="str">
        <f>_xll.BDP("132339A6 Muni","COUNTY_LOCATION_ISSUER")</f>
        <v>#N/A Requesting Data...</v>
      </c>
      <c r="F329" t="str">
        <f>_xll.BDP("132339A6 Muni","DUR_ADJ_MID")</f>
        <v>#N/A Requesting Data...</v>
      </c>
      <c r="G329" t="str">
        <f>_xll.BDP("132339A6 Muni","SPREAD_AT_ISSUANCE_TO_WORST")</f>
        <v>#N/A Requesting Data...</v>
      </c>
      <c r="H329" t="str">
        <f>_xll.BDP("132339A6 Muni","ISSUE_DT")</f>
        <v>#N/A Requesting Data...</v>
      </c>
      <c r="I329" t="str">
        <f>_xll.BDS("132339A6 Muni","MUNI_PURPOSE_SCHED", "aggregate=y")</f>
        <v>#N/A Requesting Data...</v>
      </c>
      <c r="J329" t="str">
        <f>_xll.BDP("132339A6 Muni","CPN")</f>
        <v>#N/A Requesting Data...</v>
      </c>
      <c r="K329" t="str">
        <f>_xll.BDP("132339A6 Muni","MATURITY")</f>
        <v>#N/A Requesting Data...</v>
      </c>
      <c r="L329">
        <v>350000</v>
      </c>
      <c r="M329" t="str">
        <f>_xll.BDP("132339A6 Muni","YIELD_ON_ISSUE_DATE")</f>
        <v>#N/A Requesting Data...</v>
      </c>
      <c r="N329" t="str">
        <f>_xll.BDP("132339A6 Muni","YTW_SPREAD_TO_MATURITY_AT_ISSU")</f>
        <v>#N/A Requesting Data...</v>
      </c>
      <c r="O329" t="str">
        <f>_xll.BDP("132339A6 Muni","BVAL_MID_YTM")</f>
        <v>#N/A Requesting Data...</v>
      </c>
      <c r="P329" t="str">
        <f>_xll.BDP("132339A6 Muni","MUNI_TAX_PROV")</f>
        <v>#N/A Requesting Data...</v>
      </c>
      <c r="Q329" t="str">
        <f>_xll.BDP("132339A6 Muni","MUNI_FED_TAX")</f>
        <v>#N/A Requesting Data...</v>
      </c>
      <c r="R329" t="str">
        <f>_xll.BDP("132339A6 Muni","MUNI_MSRB_VOLUME")</f>
        <v>#N/A Requesting Data...</v>
      </c>
      <c r="S329" t="str">
        <f>_xll.BDP("132339A6 Muni","BB_COMPOSITE")</f>
        <v>#N/A Requesting Data...</v>
      </c>
      <c r="T329" t="str">
        <f>_xll.BDP("132339A6 Muni","LQA_LIQUIDITY_SCORE")</f>
        <v>#N/A Requesting Data...</v>
      </c>
    </row>
    <row r="330" spans="1:20" x14ac:dyDescent="0.25">
      <c r="A330" t="str">
        <f>_xll.BDP("101029UT Muni","ID_CUSIP")</f>
        <v>#N/A Requesting Data...</v>
      </c>
      <c r="B330" t="s">
        <v>124</v>
      </c>
      <c r="C330" t="str">
        <f>_xll.BDP("101029UT Muni","INSURANCE_STATUS")</f>
        <v>#N/A Requesting Data...</v>
      </c>
      <c r="D330" t="str">
        <f>_xll.BDP("101029UT Muni","STATE_CODE")</f>
        <v>#N/A Requesting Data...</v>
      </c>
      <c r="E330" t="str">
        <f>_xll.BDP("101029UT Muni","COUNTY_LOCATION_ISSUER")</f>
        <v>#N/A Requesting Data...</v>
      </c>
      <c r="F330" t="str">
        <f>_xll.BDP("101029UT Muni","DUR_ADJ_MID")</f>
        <v>#N/A Requesting Data...</v>
      </c>
      <c r="G330" t="str">
        <f>_xll.BDP("101029UT Muni","SPREAD_AT_ISSUANCE_TO_WORST")</f>
        <v>#N/A Requesting Data...</v>
      </c>
      <c r="H330" t="str">
        <f>_xll.BDP("101029UT Muni","ISSUE_DT")</f>
        <v>#N/A Requesting Data...</v>
      </c>
      <c r="I330" t="str">
        <f>_xll.BDS("101029UT Muni","MUNI_PURPOSE_SCHED", "aggregate=y")</f>
        <v>#N/A Requesting Data...</v>
      </c>
      <c r="J330" t="str">
        <f>_xll.BDP("101029UT Muni","CPN")</f>
        <v>#N/A Requesting Data...</v>
      </c>
      <c r="K330" t="str">
        <f>_xll.BDP("101029UT Muni","MATURITY")</f>
        <v>#N/A Requesting Data...</v>
      </c>
      <c r="L330">
        <v>500000</v>
      </c>
      <c r="M330" t="str">
        <f>_xll.BDP("101029UT Muni","YIELD_ON_ISSUE_DATE")</f>
        <v>#N/A Requesting Data...</v>
      </c>
      <c r="N330" t="str">
        <f>_xll.BDP("101029UT Muni","YTW_SPREAD_TO_MATURITY_AT_ISSU")</f>
        <v>#N/A Requesting Data...</v>
      </c>
      <c r="O330" t="str">
        <f>_xll.BDP("101029UT Muni","BVAL_MID_YTM")</f>
        <v>#N/A Requesting Data...</v>
      </c>
      <c r="P330" t="str">
        <f>_xll.BDP("101029UT Muni","MUNI_TAX_PROV")</f>
        <v>#N/A Requesting Data...</v>
      </c>
      <c r="Q330" t="str">
        <f>_xll.BDP("101029UT Muni","MUNI_FED_TAX")</f>
        <v>#N/A Requesting Data...</v>
      </c>
      <c r="R330" t="str">
        <f>_xll.BDP("101029UT Muni","MUNI_MSRB_VOLUME")</f>
        <v>#N/A Requesting Data...</v>
      </c>
      <c r="S330" t="str">
        <f>_xll.BDP("101029UT Muni","BB_COMPOSITE")</f>
        <v>#N/A Requesting Data...</v>
      </c>
      <c r="T330" t="str">
        <f>_xll.BDP("101029UT Muni","LQA_LIQUIDITY_SCORE")</f>
        <v>#N/A Requesting Data...</v>
      </c>
    </row>
    <row r="331" spans="1:20" x14ac:dyDescent="0.25">
      <c r="A331" t="str">
        <f>_xll.BDP("101029UV Muni","ID_CUSIP")</f>
        <v>#N/A Requesting Data...</v>
      </c>
      <c r="B331" t="s">
        <v>124</v>
      </c>
      <c r="C331" t="str">
        <f>_xll.BDP("101029UV Muni","INSURANCE_STATUS")</f>
        <v>#N/A Requesting Data...</v>
      </c>
      <c r="D331" t="str">
        <f>_xll.BDP("101029UV Muni","STATE_CODE")</f>
        <v>#N/A Requesting Data...</v>
      </c>
      <c r="E331" t="str">
        <f>_xll.BDP("101029UV Muni","COUNTY_LOCATION_ISSUER")</f>
        <v>#N/A Requesting Data...</v>
      </c>
      <c r="F331" t="str">
        <f>_xll.BDP("101029UV Muni","DUR_ADJ_MID")</f>
        <v>#N/A Requesting Data...</v>
      </c>
      <c r="G331" t="str">
        <f>_xll.BDP("101029UV Muni","SPREAD_AT_ISSUANCE_TO_WORST")</f>
        <v>#N/A Requesting Data...</v>
      </c>
      <c r="H331" t="str">
        <f>_xll.BDP("101029UV Muni","ISSUE_DT")</f>
        <v>#N/A Requesting Data...</v>
      </c>
      <c r="I331" t="str">
        <f>_xll.BDS("101029UV Muni","MUNI_PURPOSE_SCHED", "aggregate=y")</f>
        <v>#N/A Requesting Data...</v>
      </c>
      <c r="J331" t="str">
        <f>_xll.BDP("101029UV Muni","CPN")</f>
        <v>#N/A Requesting Data...</v>
      </c>
      <c r="K331" t="str">
        <f>_xll.BDP("101029UV Muni","MATURITY")</f>
        <v>#N/A Requesting Data...</v>
      </c>
      <c r="L331">
        <v>500000</v>
      </c>
      <c r="M331" t="str">
        <f>_xll.BDP("101029UV Muni","YIELD_ON_ISSUE_DATE")</f>
        <v>#N/A Requesting Data...</v>
      </c>
      <c r="N331" t="str">
        <f>_xll.BDP("101029UV Muni","YTW_SPREAD_TO_MATURITY_AT_ISSU")</f>
        <v>#N/A Requesting Data...</v>
      </c>
      <c r="O331" t="str">
        <f>_xll.BDP("101029UV Muni","BVAL_MID_YTM")</f>
        <v>#N/A Requesting Data...</v>
      </c>
      <c r="P331" t="str">
        <f>_xll.BDP("101029UV Muni","MUNI_TAX_PROV")</f>
        <v>#N/A Requesting Data...</v>
      </c>
      <c r="Q331" t="str">
        <f>_xll.BDP("101029UV Muni","MUNI_FED_TAX")</f>
        <v>#N/A Requesting Data...</v>
      </c>
      <c r="R331" t="str">
        <f>_xll.BDP("101029UV Muni","MUNI_MSRB_VOLUME")</f>
        <v>#N/A Requesting Data...</v>
      </c>
      <c r="S331" t="str">
        <f>_xll.BDP("101029UV Muni","BB_COMPOSITE")</f>
        <v>#N/A Requesting Data...</v>
      </c>
      <c r="T331" t="str">
        <f>_xll.BDP("101029UV Muni","LQA_LIQUIDITY_SCORE")</f>
        <v>#N/A Requesting Data...</v>
      </c>
    </row>
    <row r="332" spans="1:20" x14ac:dyDescent="0.25">
      <c r="A332" t="str">
        <f>_xll.BDP("10146HLK Muni","ID_CUSIP")</f>
        <v>#N/A Requesting Data...</v>
      </c>
      <c r="B332" t="s">
        <v>125</v>
      </c>
      <c r="C332" t="str">
        <f>_xll.BDP("10146HLK Muni","INSURANCE_STATUS")</f>
        <v>#N/A Requesting Data...</v>
      </c>
      <c r="D332" t="str">
        <f>_xll.BDP("10146HLK Muni","STATE_CODE")</f>
        <v>#N/A Requesting Data...</v>
      </c>
      <c r="E332" t="str">
        <f>_xll.BDP("10146HLK Muni","COUNTY_LOCATION_ISSUER")</f>
        <v>#N/A Requesting Data...</v>
      </c>
      <c r="F332" t="str">
        <f>_xll.BDP("10146HLK Muni","DUR_ADJ_MID")</f>
        <v>#N/A Requesting Data...</v>
      </c>
      <c r="G332" t="str">
        <f>_xll.BDP("10146HLK Muni","SPREAD_AT_ISSUANCE_TO_WORST")</f>
        <v>#N/A Requesting Data...</v>
      </c>
      <c r="H332" t="str">
        <f>_xll.BDP("10146HLK Muni","ISSUE_DT")</f>
        <v>#N/A Requesting Data...</v>
      </c>
      <c r="I332" t="str">
        <f>_xll.BDS("10146HLK Muni","MUNI_PURPOSE_SCHED", "aggregate=y")</f>
        <v>#N/A Requesting Data...</v>
      </c>
      <c r="J332" t="str">
        <f>_xll.BDP("10146HLK Muni","CPN")</f>
        <v>#N/A Requesting Data...</v>
      </c>
      <c r="K332" t="str">
        <f>_xll.BDP("10146HLK Muni","MATURITY")</f>
        <v>#N/A Requesting Data...</v>
      </c>
      <c r="L332">
        <v>1575000</v>
      </c>
      <c r="M332" t="str">
        <f>_xll.BDP("10146HLK Muni","YIELD_ON_ISSUE_DATE")</f>
        <v>#N/A Requesting Data...</v>
      </c>
      <c r="N332" t="str">
        <f>_xll.BDP("10146HLK Muni","YTW_SPREAD_TO_MATURITY_AT_ISSU")</f>
        <v>#N/A Requesting Data...</v>
      </c>
      <c r="O332" t="str">
        <f>_xll.BDP("10146HLK Muni","BVAL_MID_YTM")</f>
        <v>#N/A Requesting Data...</v>
      </c>
      <c r="P332" t="str">
        <f>_xll.BDP("10146HLK Muni","MUNI_TAX_PROV")</f>
        <v>#N/A Requesting Data...</v>
      </c>
      <c r="Q332" t="str">
        <f>_xll.BDP("10146HLK Muni","MUNI_FED_TAX")</f>
        <v>#N/A Requesting Data...</v>
      </c>
      <c r="R332" t="str">
        <f>_xll.BDP("10146HLK Muni","MUNI_MSRB_VOLUME")</f>
        <v>#N/A Requesting Data...</v>
      </c>
      <c r="S332" t="str">
        <f>_xll.BDP("10146HLK Muni","BB_COMPOSITE")</f>
        <v>#N/A Requesting Data...</v>
      </c>
      <c r="T332" t="str">
        <f>_xll.BDP("10146HLK Muni","LQA_LIQUIDITY_SCORE")</f>
        <v>#N/A Requesting Data...</v>
      </c>
    </row>
    <row r="333" spans="1:20" x14ac:dyDescent="0.25">
      <c r="A333" t="str">
        <f>_xll.BDP("10146HLL Muni","ID_CUSIP")</f>
        <v>#N/A Requesting Data...</v>
      </c>
      <c r="B333" t="s">
        <v>125</v>
      </c>
      <c r="C333" t="str">
        <f>_xll.BDP("10146HLL Muni","INSURANCE_STATUS")</f>
        <v>#N/A Requesting Data...</v>
      </c>
      <c r="D333" t="str">
        <f>_xll.BDP("10146HLL Muni","STATE_CODE")</f>
        <v>#N/A Requesting Data...</v>
      </c>
      <c r="E333" t="str">
        <f>_xll.BDP("10146HLL Muni","COUNTY_LOCATION_ISSUER")</f>
        <v>#N/A Requesting Data...</v>
      </c>
      <c r="F333" t="str">
        <f>_xll.BDP("10146HLL Muni","DUR_ADJ_MID")</f>
        <v>#N/A Requesting Data...</v>
      </c>
      <c r="G333" t="str">
        <f>_xll.BDP("10146HLL Muni","SPREAD_AT_ISSUANCE_TO_WORST")</f>
        <v>#N/A Requesting Data...</v>
      </c>
      <c r="H333" t="str">
        <f>_xll.BDP("10146HLL Muni","ISSUE_DT")</f>
        <v>#N/A Requesting Data...</v>
      </c>
      <c r="I333" t="str">
        <f>_xll.BDS("10146HLL Muni","MUNI_PURPOSE_SCHED", "aggregate=y")</f>
        <v>#N/A Requesting Data...</v>
      </c>
      <c r="J333" t="str">
        <f>_xll.BDP("10146HLL Muni","CPN")</f>
        <v>#N/A Requesting Data...</v>
      </c>
      <c r="K333" t="str">
        <f>_xll.BDP("10146HLL Muni","MATURITY")</f>
        <v>#N/A Requesting Data...</v>
      </c>
      <c r="L333">
        <v>1620000</v>
      </c>
      <c r="M333" t="str">
        <f>_xll.BDP("10146HLL Muni","YIELD_ON_ISSUE_DATE")</f>
        <v>#N/A Requesting Data...</v>
      </c>
      <c r="N333" t="str">
        <f>_xll.BDP("10146HLL Muni","YTW_SPREAD_TO_MATURITY_AT_ISSU")</f>
        <v>#N/A Requesting Data...</v>
      </c>
      <c r="O333" t="str">
        <f>_xll.BDP("10146HLL Muni","BVAL_MID_YTM")</f>
        <v>#N/A Requesting Data...</v>
      </c>
      <c r="P333" t="str">
        <f>_xll.BDP("10146HLL Muni","MUNI_TAX_PROV")</f>
        <v>#N/A Requesting Data...</v>
      </c>
      <c r="Q333" t="str">
        <f>_xll.BDP("10146HLL Muni","MUNI_FED_TAX")</f>
        <v>#N/A Requesting Data...</v>
      </c>
      <c r="R333" t="str">
        <f>_xll.BDP("10146HLL Muni","MUNI_MSRB_VOLUME")</f>
        <v>#N/A Requesting Data...</v>
      </c>
      <c r="S333" t="str">
        <f>_xll.BDP("10146HLL Muni","BB_COMPOSITE")</f>
        <v>#N/A Requesting Data...</v>
      </c>
      <c r="T333" t="str">
        <f>_xll.BDP("10146HLL Muni","LQA_LIQUIDITY_SCORE")</f>
        <v>#N/A Requesting Data...</v>
      </c>
    </row>
    <row r="334" spans="1:20" x14ac:dyDescent="0.25">
      <c r="A334" t="str">
        <f>_xll.BDP("196632N9 Muni","ID_CUSIP")</f>
        <v>#N/A Requesting Data...</v>
      </c>
      <c r="B334" t="s">
        <v>126</v>
      </c>
      <c r="C334" t="str">
        <f>_xll.BDP("196632N9 Muni","INSURANCE_STATUS")</f>
        <v>#N/A Requesting Data...</v>
      </c>
      <c r="D334" t="str">
        <f>_xll.BDP("196632N9 Muni","STATE_CODE")</f>
        <v>#N/A Requesting Data...</v>
      </c>
      <c r="E334" t="str">
        <f>_xll.BDP("196632N9 Muni","COUNTY_LOCATION_ISSUER")</f>
        <v>#N/A Requesting Data...</v>
      </c>
      <c r="F334" t="str">
        <f>_xll.BDP("196632N9 Muni","DUR_ADJ_MID")</f>
        <v>#N/A Requesting Data...</v>
      </c>
      <c r="G334" t="str">
        <f>_xll.BDP("196632N9 Muni","SPREAD_AT_ISSUANCE_TO_WORST")</f>
        <v>#N/A Requesting Data...</v>
      </c>
      <c r="H334" t="str">
        <f>_xll.BDP("196632N9 Muni","ISSUE_DT")</f>
        <v>#N/A Requesting Data...</v>
      </c>
      <c r="I334" t="str">
        <f>_xll.BDS("196632N9 Muni","MUNI_PURPOSE_SCHED", "aggregate=y")</f>
        <v>#N/A Requesting Data...</v>
      </c>
      <c r="J334" t="str">
        <f>_xll.BDP("196632N9 Muni","CPN")</f>
        <v>#N/A Requesting Data...</v>
      </c>
      <c r="K334" t="str">
        <f>_xll.BDP("196632N9 Muni","MATURITY")</f>
        <v>#N/A Requesting Data...</v>
      </c>
      <c r="L334">
        <v>1085000</v>
      </c>
      <c r="M334" t="str">
        <f>_xll.BDP("196632N9 Muni","YIELD_ON_ISSUE_DATE")</f>
        <v>#N/A Requesting Data...</v>
      </c>
      <c r="N334" t="str">
        <f>_xll.BDP("196632N9 Muni","YTW_SPREAD_TO_MATURITY_AT_ISSU")</f>
        <v>#N/A Requesting Data...</v>
      </c>
      <c r="O334" t="str">
        <f>_xll.BDP("196632N9 Muni","BVAL_MID_YTM")</f>
        <v>#N/A Requesting Data...</v>
      </c>
      <c r="P334" t="str">
        <f>_xll.BDP("196632N9 Muni","MUNI_TAX_PROV")</f>
        <v>#N/A Requesting Data...</v>
      </c>
      <c r="Q334" t="str">
        <f>_xll.BDP("196632N9 Muni","MUNI_FED_TAX")</f>
        <v>#N/A Requesting Data...</v>
      </c>
      <c r="R334" t="str">
        <f>_xll.BDP("196632N9 Muni","MUNI_MSRB_VOLUME")</f>
        <v>#N/A Requesting Data...</v>
      </c>
      <c r="S334" t="str">
        <f>_xll.BDP("196632N9 Muni","BB_COMPOSITE")</f>
        <v>#N/A Requesting Data...</v>
      </c>
      <c r="T334" t="str">
        <f>_xll.BDP("196632N9 Muni","LQA_LIQUIDITY_SCORE")</f>
        <v>#N/A Requesting Data...</v>
      </c>
    </row>
    <row r="335" spans="1:20" x14ac:dyDescent="0.25">
      <c r="A335" t="str">
        <f>_xll.BDP("196632P2 Muni","ID_CUSIP")</f>
        <v>#N/A Requesting Data...</v>
      </c>
      <c r="B335" t="s">
        <v>126</v>
      </c>
      <c r="C335" t="str">
        <f>_xll.BDP("196632P2 Muni","INSURANCE_STATUS")</f>
        <v>#N/A Requesting Data...</v>
      </c>
      <c r="D335" t="str">
        <f>_xll.BDP("196632P2 Muni","STATE_CODE")</f>
        <v>#N/A Requesting Data...</v>
      </c>
      <c r="E335" t="str">
        <f>_xll.BDP("196632P2 Muni","COUNTY_LOCATION_ISSUER")</f>
        <v>#N/A Requesting Data...</v>
      </c>
      <c r="F335" t="str">
        <f>_xll.BDP("196632P2 Muni","DUR_ADJ_MID")</f>
        <v>#N/A Requesting Data...</v>
      </c>
      <c r="G335" t="str">
        <f>_xll.BDP("196632P2 Muni","SPREAD_AT_ISSUANCE_TO_WORST")</f>
        <v>#N/A Requesting Data...</v>
      </c>
      <c r="H335" t="str">
        <f>_xll.BDP("196632P2 Muni","ISSUE_DT")</f>
        <v>#N/A Requesting Data...</v>
      </c>
      <c r="I335" t="str">
        <f>_xll.BDS("196632P2 Muni","MUNI_PURPOSE_SCHED", "aggregate=y")</f>
        <v>#N/A Requesting Data...</v>
      </c>
      <c r="J335" t="str">
        <f>_xll.BDP("196632P2 Muni","CPN")</f>
        <v>#N/A Requesting Data...</v>
      </c>
      <c r="K335" t="str">
        <f>_xll.BDP("196632P2 Muni","MATURITY")</f>
        <v>#N/A Requesting Data...</v>
      </c>
      <c r="L335">
        <v>1135000</v>
      </c>
      <c r="M335" t="str">
        <f>_xll.BDP("196632P2 Muni","YIELD_ON_ISSUE_DATE")</f>
        <v>#N/A Requesting Data...</v>
      </c>
      <c r="N335" t="str">
        <f>_xll.BDP("196632P2 Muni","YTW_SPREAD_TO_MATURITY_AT_ISSU")</f>
        <v>#N/A Requesting Data...</v>
      </c>
      <c r="O335" t="str">
        <f>_xll.BDP("196632P2 Muni","BVAL_MID_YTM")</f>
        <v>#N/A Requesting Data...</v>
      </c>
      <c r="P335" t="str">
        <f>_xll.BDP("196632P2 Muni","MUNI_TAX_PROV")</f>
        <v>#N/A Requesting Data...</v>
      </c>
      <c r="Q335" t="str">
        <f>_xll.BDP("196632P2 Muni","MUNI_FED_TAX")</f>
        <v>#N/A Requesting Data...</v>
      </c>
      <c r="R335" t="str">
        <f>_xll.BDP("196632P2 Muni","MUNI_MSRB_VOLUME")</f>
        <v>#N/A Requesting Data...</v>
      </c>
      <c r="S335" t="str">
        <f>_xll.BDP("196632P2 Muni","BB_COMPOSITE")</f>
        <v>#N/A Requesting Data...</v>
      </c>
      <c r="T335" t="str">
        <f>_xll.BDP("196632P2 Muni","LQA_LIQUIDITY_SCORE")</f>
        <v>#N/A Requesting Data...</v>
      </c>
    </row>
    <row r="336" spans="1:20" x14ac:dyDescent="0.25">
      <c r="A336" t="str">
        <f>_xll.BDP("196632P3 Muni","ID_CUSIP")</f>
        <v>#N/A Requesting Data...</v>
      </c>
      <c r="B336" t="s">
        <v>126</v>
      </c>
      <c r="C336" t="str">
        <f>_xll.BDP("196632P3 Muni","INSURANCE_STATUS")</f>
        <v>#N/A Requesting Data...</v>
      </c>
      <c r="D336" t="str">
        <f>_xll.BDP("196632P3 Muni","STATE_CODE")</f>
        <v>#N/A Requesting Data...</v>
      </c>
      <c r="E336" t="str">
        <f>_xll.BDP("196632P3 Muni","COUNTY_LOCATION_ISSUER")</f>
        <v>#N/A Requesting Data...</v>
      </c>
      <c r="F336" t="str">
        <f>_xll.BDP("196632P3 Muni","DUR_ADJ_MID")</f>
        <v>#N/A Requesting Data...</v>
      </c>
      <c r="G336" t="str">
        <f>_xll.BDP("196632P3 Muni","SPREAD_AT_ISSUANCE_TO_WORST")</f>
        <v>#N/A Requesting Data...</v>
      </c>
      <c r="H336" t="str">
        <f>_xll.BDP("196632P3 Muni","ISSUE_DT")</f>
        <v>#N/A Requesting Data...</v>
      </c>
      <c r="I336" t="str">
        <f>_xll.BDS("196632P3 Muni","MUNI_PURPOSE_SCHED", "aggregate=y")</f>
        <v>#N/A Requesting Data...</v>
      </c>
      <c r="J336" t="str">
        <f>_xll.BDP("196632P3 Muni","CPN")</f>
        <v>#N/A Requesting Data...</v>
      </c>
      <c r="K336" t="str">
        <f>_xll.BDP("196632P3 Muni","MATURITY")</f>
        <v>#N/A Requesting Data...</v>
      </c>
      <c r="L336">
        <v>1195000</v>
      </c>
      <c r="M336" t="str">
        <f>_xll.BDP("196632P3 Muni","YIELD_ON_ISSUE_DATE")</f>
        <v>#N/A Requesting Data...</v>
      </c>
      <c r="N336" t="str">
        <f>_xll.BDP("196632P3 Muni","YTW_SPREAD_TO_MATURITY_AT_ISSU")</f>
        <v>#N/A Requesting Data...</v>
      </c>
      <c r="O336" t="str">
        <f>_xll.BDP("196632P3 Muni","BVAL_MID_YTM")</f>
        <v>#N/A Requesting Data...</v>
      </c>
      <c r="P336" t="str">
        <f>_xll.BDP("196632P3 Muni","MUNI_TAX_PROV")</f>
        <v>#N/A Requesting Data...</v>
      </c>
      <c r="Q336" t="str">
        <f>_xll.BDP("196632P3 Muni","MUNI_FED_TAX")</f>
        <v>#N/A Requesting Data...</v>
      </c>
      <c r="R336" t="str">
        <f>_xll.BDP("196632P3 Muni","MUNI_MSRB_VOLUME")</f>
        <v>#N/A Requesting Data...</v>
      </c>
      <c r="S336" t="str">
        <f>_xll.BDP("196632P3 Muni","BB_COMPOSITE")</f>
        <v>#N/A Requesting Data...</v>
      </c>
      <c r="T336" t="str">
        <f>_xll.BDP("196632P3 Muni","LQA_LIQUIDITY_SCORE")</f>
        <v>#N/A Requesting Data...</v>
      </c>
    </row>
    <row r="337" spans="1:20" x14ac:dyDescent="0.25">
      <c r="A337" t="str">
        <f>_xll.BDP("196632P4 Muni","ID_CUSIP")</f>
        <v>#N/A Requesting Data...</v>
      </c>
      <c r="B337" t="s">
        <v>126</v>
      </c>
      <c r="C337" t="str">
        <f>_xll.BDP("196632P4 Muni","INSURANCE_STATUS")</f>
        <v>#N/A Requesting Data...</v>
      </c>
      <c r="D337" t="str">
        <f>_xll.BDP("196632P4 Muni","STATE_CODE")</f>
        <v>#N/A Requesting Data...</v>
      </c>
      <c r="E337" t="str">
        <f>_xll.BDP("196632P4 Muni","COUNTY_LOCATION_ISSUER")</f>
        <v>#N/A Requesting Data...</v>
      </c>
      <c r="F337" t="str">
        <f>_xll.BDP("196632P4 Muni","DUR_ADJ_MID")</f>
        <v>#N/A Requesting Data...</v>
      </c>
      <c r="G337" t="str">
        <f>_xll.BDP("196632P4 Muni","SPREAD_AT_ISSUANCE_TO_WORST")</f>
        <v>#N/A Requesting Data...</v>
      </c>
      <c r="H337" t="str">
        <f>_xll.BDP("196632P4 Muni","ISSUE_DT")</f>
        <v>#N/A Requesting Data...</v>
      </c>
      <c r="I337" t="str">
        <f>_xll.BDS("196632P4 Muni","MUNI_PURPOSE_SCHED", "aggregate=y")</f>
        <v>#N/A Requesting Data...</v>
      </c>
      <c r="J337" t="str">
        <f>_xll.BDP("196632P4 Muni","CPN")</f>
        <v>#N/A Requesting Data...</v>
      </c>
      <c r="K337" t="str">
        <f>_xll.BDP("196632P4 Muni","MATURITY")</f>
        <v>#N/A Requesting Data...</v>
      </c>
      <c r="L337">
        <v>1255000</v>
      </c>
      <c r="M337" t="str">
        <f>_xll.BDP("196632P4 Muni","YIELD_ON_ISSUE_DATE")</f>
        <v>#N/A Requesting Data...</v>
      </c>
      <c r="N337" t="str">
        <f>_xll.BDP("196632P4 Muni","YTW_SPREAD_TO_MATURITY_AT_ISSU")</f>
        <v>#N/A Requesting Data...</v>
      </c>
      <c r="O337" t="str">
        <f>_xll.BDP("196632P4 Muni","BVAL_MID_YTM")</f>
        <v>#N/A Requesting Data...</v>
      </c>
      <c r="P337" t="str">
        <f>_xll.BDP("196632P4 Muni","MUNI_TAX_PROV")</f>
        <v>#N/A Requesting Data...</v>
      </c>
      <c r="Q337" t="str">
        <f>_xll.BDP("196632P4 Muni","MUNI_FED_TAX")</f>
        <v>#N/A Requesting Data...</v>
      </c>
      <c r="R337" t="str">
        <f>_xll.BDP("196632P4 Muni","MUNI_MSRB_VOLUME")</f>
        <v>#N/A Requesting Data...</v>
      </c>
      <c r="S337" t="str">
        <f>_xll.BDP("196632P4 Muni","BB_COMPOSITE")</f>
        <v>#N/A Requesting Data...</v>
      </c>
      <c r="T337" t="str">
        <f>_xll.BDP("196632P4 Muni","LQA_LIQUIDITY_SCORE")</f>
        <v>#N/A Requesting Data...</v>
      </c>
    </row>
    <row r="338" spans="1:20" x14ac:dyDescent="0.25">
      <c r="A338" t="str">
        <f>_xll.BDP("196632P5 Muni","ID_CUSIP")</f>
        <v>#N/A Requesting Data...</v>
      </c>
      <c r="B338" t="s">
        <v>126</v>
      </c>
      <c r="C338" t="str">
        <f>_xll.BDP("196632P5 Muni","INSURANCE_STATUS")</f>
        <v>#N/A Requesting Data...</v>
      </c>
      <c r="D338" t="str">
        <f>_xll.BDP("196632P5 Muni","STATE_CODE")</f>
        <v>#N/A Requesting Data...</v>
      </c>
      <c r="E338" t="str">
        <f>_xll.BDP("196632P5 Muni","COUNTY_LOCATION_ISSUER")</f>
        <v>#N/A Requesting Data...</v>
      </c>
      <c r="F338" t="str">
        <f>_xll.BDP("196632P5 Muni","DUR_ADJ_MID")</f>
        <v>#N/A Requesting Data...</v>
      </c>
      <c r="G338" t="str">
        <f>_xll.BDP("196632P5 Muni","SPREAD_AT_ISSUANCE_TO_WORST")</f>
        <v>#N/A Requesting Data...</v>
      </c>
      <c r="H338" t="str">
        <f>_xll.BDP("196632P5 Muni","ISSUE_DT")</f>
        <v>#N/A Requesting Data...</v>
      </c>
      <c r="I338" t="str">
        <f>_xll.BDS("196632P5 Muni","MUNI_PURPOSE_SCHED", "aggregate=y")</f>
        <v>#N/A Requesting Data...</v>
      </c>
      <c r="J338" t="str">
        <f>_xll.BDP("196632P5 Muni","CPN")</f>
        <v>#N/A Requesting Data...</v>
      </c>
      <c r="K338" t="str">
        <f>_xll.BDP("196632P5 Muni","MATURITY")</f>
        <v>#N/A Requesting Data...</v>
      </c>
      <c r="L338">
        <v>1315000</v>
      </c>
      <c r="M338" t="str">
        <f>_xll.BDP("196632P5 Muni","YIELD_ON_ISSUE_DATE")</f>
        <v>#N/A Requesting Data...</v>
      </c>
      <c r="N338" t="str">
        <f>_xll.BDP("196632P5 Muni","YTW_SPREAD_TO_MATURITY_AT_ISSU")</f>
        <v>#N/A Requesting Data...</v>
      </c>
      <c r="O338" t="str">
        <f>_xll.BDP("196632P5 Muni","BVAL_MID_YTM")</f>
        <v>#N/A Requesting Data...</v>
      </c>
      <c r="P338" t="str">
        <f>_xll.BDP("196632P5 Muni","MUNI_TAX_PROV")</f>
        <v>#N/A Requesting Data...</v>
      </c>
      <c r="Q338" t="str">
        <f>_xll.BDP("196632P5 Muni","MUNI_FED_TAX")</f>
        <v>#N/A Requesting Data...</v>
      </c>
      <c r="R338" t="str">
        <f>_xll.BDP("196632P5 Muni","MUNI_MSRB_VOLUME")</f>
        <v>#N/A Requesting Data...</v>
      </c>
      <c r="S338" t="str">
        <f>_xll.BDP("196632P5 Muni","BB_COMPOSITE")</f>
        <v>#N/A Requesting Data...</v>
      </c>
      <c r="T338" t="str">
        <f>_xll.BDP("196632P5 Muni","LQA_LIQUIDITY_SCORE")</f>
        <v>#N/A Requesting Data...</v>
      </c>
    </row>
    <row r="339" spans="1:20" x14ac:dyDescent="0.25">
      <c r="A339" t="str">
        <f>_xll.BDP("196632P6 Muni","ID_CUSIP")</f>
        <v>#N/A Requesting Data...</v>
      </c>
      <c r="B339" t="s">
        <v>126</v>
      </c>
      <c r="C339" t="str">
        <f>_xll.BDP("196632P6 Muni","INSURANCE_STATUS")</f>
        <v>#N/A Requesting Data...</v>
      </c>
      <c r="D339" t="str">
        <f>_xll.BDP("196632P6 Muni","STATE_CODE")</f>
        <v>#N/A Requesting Data...</v>
      </c>
      <c r="E339" t="str">
        <f>_xll.BDP("196632P6 Muni","COUNTY_LOCATION_ISSUER")</f>
        <v>#N/A Requesting Data...</v>
      </c>
      <c r="F339" t="str">
        <f>_xll.BDP("196632P6 Muni","DUR_ADJ_MID")</f>
        <v>#N/A Requesting Data...</v>
      </c>
      <c r="G339" t="str">
        <f>_xll.BDP("196632P6 Muni","SPREAD_AT_ISSUANCE_TO_WORST")</f>
        <v>#N/A Requesting Data...</v>
      </c>
      <c r="H339" t="str">
        <f>_xll.BDP("196632P6 Muni","ISSUE_DT")</f>
        <v>#N/A Requesting Data...</v>
      </c>
      <c r="I339" t="str">
        <f>_xll.BDS("196632P6 Muni","MUNI_PURPOSE_SCHED", "aggregate=y")</f>
        <v>#N/A Requesting Data...</v>
      </c>
      <c r="J339" t="str">
        <f>_xll.BDP("196632P6 Muni","CPN")</f>
        <v>#N/A Requesting Data...</v>
      </c>
      <c r="K339" t="str">
        <f>_xll.BDP("196632P6 Muni","MATURITY")</f>
        <v>#N/A Requesting Data...</v>
      </c>
      <c r="L339">
        <v>1385000</v>
      </c>
      <c r="M339" t="str">
        <f>_xll.BDP("196632P6 Muni","YIELD_ON_ISSUE_DATE")</f>
        <v>#N/A Requesting Data...</v>
      </c>
      <c r="N339" t="str">
        <f>_xll.BDP("196632P6 Muni","YTW_SPREAD_TO_MATURITY_AT_ISSU")</f>
        <v>#N/A Requesting Data...</v>
      </c>
      <c r="O339" t="str">
        <f>_xll.BDP("196632P6 Muni","BVAL_MID_YTM")</f>
        <v>#N/A Requesting Data...</v>
      </c>
      <c r="P339" t="str">
        <f>_xll.BDP("196632P6 Muni","MUNI_TAX_PROV")</f>
        <v>#N/A Requesting Data...</v>
      </c>
      <c r="Q339" t="str">
        <f>_xll.BDP("196632P6 Muni","MUNI_FED_TAX")</f>
        <v>#N/A Requesting Data...</v>
      </c>
      <c r="R339" t="str">
        <f>_xll.BDP("196632P6 Muni","MUNI_MSRB_VOLUME")</f>
        <v>#N/A Requesting Data...</v>
      </c>
      <c r="S339" t="str">
        <f>_xll.BDP("196632P6 Muni","BB_COMPOSITE")</f>
        <v>#N/A Requesting Data...</v>
      </c>
      <c r="T339" t="str">
        <f>_xll.BDP("196632P6 Muni","LQA_LIQUIDITY_SCORE")</f>
        <v>#N/A Requesting Data...</v>
      </c>
    </row>
    <row r="340" spans="1:20" x14ac:dyDescent="0.25">
      <c r="A340" t="str">
        <f>_xll.BDP("196632P7 Muni","ID_CUSIP")</f>
        <v>#N/A Requesting Data...</v>
      </c>
      <c r="B340" t="s">
        <v>126</v>
      </c>
      <c r="C340" t="str">
        <f>_xll.BDP("196632P7 Muni","INSURANCE_STATUS")</f>
        <v>#N/A Requesting Data...</v>
      </c>
      <c r="D340" t="str">
        <f>_xll.BDP("196632P7 Muni","STATE_CODE")</f>
        <v>#N/A Requesting Data...</v>
      </c>
      <c r="E340" t="str">
        <f>_xll.BDP("196632P7 Muni","COUNTY_LOCATION_ISSUER")</f>
        <v>#N/A Requesting Data...</v>
      </c>
      <c r="F340" t="str">
        <f>_xll.BDP("196632P7 Muni","DUR_ADJ_MID")</f>
        <v>#N/A Requesting Data...</v>
      </c>
      <c r="G340" t="str">
        <f>_xll.BDP("196632P7 Muni","SPREAD_AT_ISSUANCE_TO_WORST")</f>
        <v>#N/A Requesting Data...</v>
      </c>
      <c r="H340" t="str">
        <f>_xll.BDP("196632P7 Muni","ISSUE_DT")</f>
        <v>#N/A Requesting Data...</v>
      </c>
      <c r="I340" t="str">
        <f>_xll.BDS("196632P7 Muni","MUNI_PURPOSE_SCHED", "aggregate=y")</f>
        <v>#N/A Requesting Data...</v>
      </c>
      <c r="J340" t="str">
        <f>_xll.BDP("196632P7 Muni","CPN")</f>
        <v>#N/A Requesting Data...</v>
      </c>
      <c r="K340" t="str">
        <f>_xll.BDP("196632P7 Muni","MATURITY")</f>
        <v>#N/A Requesting Data...</v>
      </c>
      <c r="L340">
        <v>1450000</v>
      </c>
      <c r="M340" t="str">
        <f>_xll.BDP("196632P7 Muni","YIELD_ON_ISSUE_DATE")</f>
        <v>#N/A Requesting Data...</v>
      </c>
      <c r="N340" t="str">
        <f>_xll.BDP("196632P7 Muni","YTW_SPREAD_TO_MATURITY_AT_ISSU")</f>
        <v>#N/A Requesting Data...</v>
      </c>
      <c r="O340" t="str">
        <f>_xll.BDP("196632P7 Muni","BVAL_MID_YTM")</f>
        <v>#N/A Requesting Data...</v>
      </c>
      <c r="P340" t="str">
        <f>_xll.BDP("196632P7 Muni","MUNI_TAX_PROV")</f>
        <v>#N/A Requesting Data...</v>
      </c>
      <c r="Q340" t="str">
        <f>_xll.BDP("196632P7 Muni","MUNI_FED_TAX")</f>
        <v>#N/A Requesting Data...</v>
      </c>
      <c r="R340" t="str">
        <f>_xll.BDP("196632P7 Muni","MUNI_MSRB_VOLUME")</f>
        <v>#N/A Requesting Data...</v>
      </c>
      <c r="S340" t="str">
        <f>_xll.BDP("196632P7 Muni","BB_COMPOSITE")</f>
        <v>#N/A Requesting Data...</v>
      </c>
      <c r="T340" t="str">
        <f>_xll.BDP("196632P7 Muni","LQA_LIQUIDITY_SCORE")</f>
        <v>#N/A Requesting Data...</v>
      </c>
    </row>
    <row r="341" spans="1:20" x14ac:dyDescent="0.25">
      <c r="A341" t="str">
        <f>_xll.BDP("196797V3 Muni","ID_CUSIP")</f>
        <v>#N/A Requesting Data...</v>
      </c>
      <c r="B341" t="s">
        <v>127</v>
      </c>
      <c r="C341" t="str">
        <f>_xll.BDP("196797V3 Muni","INSURANCE_STATUS")</f>
        <v>#N/A Requesting Data...</v>
      </c>
      <c r="D341" t="str">
        <f>_xll.BDP("196797V3 Muni","STATE_CODE")</f>
        <v>#N/A Requesting Data...</v>
      </c>
      <c r="E341" t="str">
        <f>_xll.BDP("196797V3 Muni","COUNTY_LOCATION_ISSUER")</f>
        <v>#N/A Requesting Data...</v>
      </c>
      <c r="F341" t="str">
        <f>_xll.BDP("196797V3 Muni","DUR_ADJ_MID")</f>
        <v>#N/A Requesting Data...</v>
      </c>
      <c r="G341" t="str">
        <f>_xll.BDP("196797V3 Muni","SPREAD_AT_ISSUANCE_TO_WORST")</f>
        <v>#N/A Requesting Data...</v>
      </c>
      <c r="H341" t="str">
        <f>_xll.BDP("196797V3 Muni","ISSUE_DT")</f>
        <v>#N/A Requesting Data...</v>
      </c>
      <c r="I341" t="str">
        <f>_xll.BDS("196797V3 Muni","MUNI_PURPOSE_SCHED", "aggregate=y")</f>
        <v>#N/A Requesting Data...</v>
      </c>
      <c r="J341" t="str">
        <f>_xll.BDP("196797V3 Muni","CPN")</f>
        <v>#N/A Requesting Data...</v>
      </c>
      <c r="K341" t="str">
        <f>_xll.BDP("196797V3 Muni","MATURITY")</f>
        <v>#N/A Requesting Data...</v>
      </c>
      <c r="L341">
        <v>515000</v>
      </c>
      <c r="M341" t="str">
        <f>_xll.BDP("196797V3 Muni","YIELD_ON_ISSUE_DATE")</f>
        <v>#N/A Requesting Data...</v>
      </c>
      <c r="N341" t="str">
        <f>_xll.BDP("196797V3 Muni","YTW_SPREAD_TO_MATURITY_AT_ISSU")</f>
        <v>#N/A Requesting Data...</v>
      </c>
      <c r="O341" t="str">
        <f>_xll.BDP("196797V3 Muni","BVAL_MID_YTM")</f>
        <v>#N/A Requesting Data...</v>
      </c>
      <c r="P341" t="str">
        <f>_xll.BDP("196797V3 Muni","MUNI_TAX_PROV")</f>
        <v>#N/A Requesting Data...</v>
      </c>
      <c r="Q341" t="str">
        <f>_xll.BDP("196797V3 Muni","MUNI_FED_TAX")</f>
        <v>#N/A Requesting Data...</v>
      </c>
      <c r="R341" t="str">
        <f>_xll.BDP("196797V3 Muni","MUNI_MSRB_VOLUME")</f>
        <v>#N/A Requesting Data...</v>
      </c>
      <c r="S341" t="str">
        <f>_xll.BDP("196797V3 Muni","BB_COMPOSITE")</f>
        <v>#N/A Requesting Data...</v>
      </c>
      <c r="T341" t="str">
        <f>_xll.BDP("196797V3 Muni","LQA_LIQUIDITY_SCORE")</f>
        <v>#N/A Requesting Data...</v>
      </c>
    </row>
    <row r="342" spans="1:20" x14ac:dyDescent="0.25">
      <c r="A342" t="str">
        <f>_xll.BDP("196797V4 Muni","ID_CUSIP")</f>
        <v>#N/A Requesting Data...</v>
      </c>
      <c r="B342" t="s">
        <v>127</v>
      </c>
      <c r="C342" t="str">
        <f>_xll.BDP("196797V4 Muni","INSURANCE_STATUS")</f>
        <v>#N/A Requesting Data...</v>
      </c>
      <c r="D342" t="str">
        <f>_xll.BDP("196797V4 Muni","STATE_CODE")</f>
        <v>#N/A Requesting Data...</v>
      </c>
      <c r="E342" t="str">
        <f>_xll.BDP("196797V4 Muni","COUNTY_LOCATION_ISSUER")</f>
        <v>#N/A Requesting Data...</v>
      </c>
      <c r="F342" t="str">
        <f>_xll.BDP("196797V4 Muni","DUR_ADJ_MID")</f>
        <v>#N/A Requesting Data...</v>
      </c>
      <c r="G342" t="str">
        <f>_xll.BDP("196797V4 Muni","SPREAD_AT_ISSUANCE_TO_WORST")</f>
        <v>#N/A Requesting Data...</v>
      </c>
      <c r="H342" t="str">
        <f>_xll.BDP("196797V4 Muni","ISSUE_DT")</f>
        <v>#N/A Requesting Data...</v>
      </c>
      <c r="I342" t="str">
        <f>_xll.BDS("196797V4 Muni","MUNI_PURPOSE_SCHED", "aggregate=y")</f>
        <v>#N/A Requesting Data...</v>
      </c>
      <c r="J342" t="str">
        <f>_xll.BDP("196797V4 Muni","CPN")</f>
        <v>#N/A Requesting Data...</v>
      </c>
      <c r="K342" t="str">
        <f>_xll.BDP("196797V4 Muni","MATURITY")</f>
        <v>#N/A Requesting Data...</v>
      </c>
      <c r="L342">
        <v>515000</v>
      </c>
      <c r="M342" t="str">
        <f>_xll.BDP("196797V4 Muni","YIELD_ON_ISSUE_DATE")</f>
        <v>#N/A Requesting Data...</v>
      </c>
      <c r="N342" t="str">
        <f>_xll.BDP("196797V4 Muni","YTW_SPREAD_TO_MATURITY_AT_ISSU")</f>
        <v>#N/A Requesting Data...</v>
      </c>
      <c r="O342" t="str">
        <f>_xll.BDP("196797V4 Muni","BVAL_MID_YTM")</f>
        <v>#N/A Requesting Data...</v>
      </c>
      <c r="P342" t="str">
        <f>_xll.BDP("196797V4 Muni","MUNI_TAX_PROV")</f>
        <v>#N/A Requesting Data...</v>
      </c>
      <c r="Q342" t="str">
        <f>_xll.BDP("196797V4 Muni","MUNI_FED_TAX")</f>
        <v>#N/A Requesting Data...</v>
      </c>
      <c r="R342" t="str">
        <f>_xll.BDP("196797V4 Muni","MUNI_MSRB_VOLUME")</f>
        <v>#N/A Requesting Data...</v>
      </c>
      <c r="S342" t="str">
        <f>_xll.BDP("196797V4 Muni","BB_COMPOSITE")</f>
        <v>#N/A Requesting Data...</v>
      </c>
      <c r="T342" t="str">
        <f>_xll.BDP("196797V4 Muni","LQA_LIQUIDITY_SCORE")</f>
        <v>#N/A Requesting Data...</v>
      </c>
    </row>
    <row r="343" spans="1:20" x14ac:dyDescent="0.25">
      <c r="A343" t="str">
        <f>_xll.BDP("196797V5 Muni","ID_CUSIP")</f>
        <v>#N/A Requesting Data...</v>
      </c>
      <c r="B343" t="s">
        <v>127</v>
      </c>
      <c r="C343" t="str">
        <f>_xll.BDP("196797V5 Muni","INSURANCE_STATUS")</f>
        <v>#N/A Requesting Data...</v>
      </c>
      <c r="D343" t="str">
        <f>_xll.BDP("196797V5 Muni","STATE_CODE")</f>
        <v>#N/A Requesting Data...</v>
      </c>
      <c r="E343" t="str">
        <f>_xll.BDP("196797V5 Muni","COUNTY_LOCATION_ISSUER")</f>
        <v>#N/A Requesting Data...</v>
      </c>
      <c r="F343" t="str">
        <f>_xll.BDP("196797V5 Muni","DUR_ADJ_MID")</f>
        <v>#N/A Requesting Data...</v>
      </c>
      <c r="G343" t="str">
        <f>_xll.BDP("196797V5 Muni","SPREAD_AT_ISSUANCE_TO_WORST")</f>
        <v>#N/A Requesting Data...</v>
      </c>
      <c r="H343" t="str">
        <f>_xll.BDP("196797V5 Muni","ISSUE_DT")</f>
        <v>#N/A Requesting Data...</v>
      </c>
      <c r="I343" t="str">
        <f>_xll.BDS("196797V5 Muni","MUNI_PURPOSE_SCHED", "aggregate=y")</f>
        <v>#N/A Requesting Data...</v>
      </c>
      <c r="J343" t="str">
        <f>_xll.BDP("196797V5 Muni","CPN")</f>
        <v>#N/A Requesting Data...</v>
      </c>
      <c r="K343" t="str">
        <f>_xll.BDP("196797V5 Muni","MATURITY")</f>
        <v>#N/A Requesting Data...</v>
      </c>
      <c r="L343">
        <v>510000</v>
      </c>
      <c r="M343" t="str">
        <f>_xll.BDP("196797V5 Muni","YIELD_ON_ISSUE_DATE")</f>
        <v>#N/A Requesting Data...</v>
      </c>
      <c r="N343" t="str">
        <f>_xll.BDP("196797V5 Muni","YTW_SPREAD_TO_MATURITY_AT_ISSU")</f>
        <v>#N/A Requesting Data...</v>
      </c>
      <c r="O343" t="str">
        <f>_xll.BDP("196797V5 Muni","BVAL_MID_YTM")</f>
        <v>#N/A Requesting Data...</v>
      </c>
      <c r="P343" t="str">
        <f>_xll.BDP("196797V5 Muni","MUNI_TAX_PROV")</f>
        <v>#N/A Requesting Data...</v>
      </c>
      <c r="Q343" t="str">
        <f>_xll.BDP("196797V5 Muni","MUNI_FED_TAX")</f>
        <v>#N/A Requesting Data...</v>
      </c>
      <c r="R343" t="str">
        <f>_xll.BDP("196797V5 Muni","MUNI_MSRB_VOLUME")</f>
        <v>#N/A Requesting Data...</v>
      </c>
      <c r="S343" t="str">
        <f>_xll.BDP("196797V5 Muni","BB_COMPOSITE")</f>
        <v>#N/A Requesting Data...</v>
      </c>
      <c r="T343" t="str">
        <f>_xll.BDP("196797V5 Muni","LQA_LIQUIDITY_SCORE")</f>
        <v>#N/A Requesting Data...</v>
      </c>
    </row>
    <row r="344" spans="1:20" x14ac:dyDescent="0.25">
      <c r="A344" t="str">
        <f>_xll.BDP("196797V6 Muni","ID_CUSIP")</f>
        <v>#N/A Requesting Data...</v>
      </c>
      <c r="B344" t="s">
        <v>127</v>
      </c>
      <c r="C344" t="str">
        <f>_xll.BDP("196797V6 Muni","INSURANCE_STATUS")</f>
        <v>#N/A Requesting Data...</v>
      </c>
      <c r="D344" t="str">
        <f>_xll.BDP("196797V6 Muni","STATE_CODE")</f>
        <v>#N/A Requesting Data...</v>
      </c>
      <c r="E344" t="str">
        <f>_xll.BDP("196797V6 Muni","COUNTY_LOCATION_ISSUER")</f>
        <v>#N/A Requesting Data...</v>
      </c>
      <c r="F344" t="str">
        <f>_xll.BDP("196797V6 Muni","DUR_ADJ_MID")</f>
        <v>#N/A Requesting Data...</v>
      </c>
      <c r="G344" t="str">
        <f>_xll.BDP("196797V6 Muni","SPREAD_AT_ISSUANCE_TO_WORST")</f>
        <v>#N/A Requesting Data...</v>
      </c>
      <c r="H344" t="str">
        <f>_xll.BDP("196797V6 Muni","ISSUE_DT")</f>
        <v>#N/A Requesting Data...</v>
      </c>
      <c r="I344" t="str">
        <f>_xll.BDS("196797V6 Muni","MUNI_PURPOSE_SCHED", "aggregate=y")</f>
        <v>#N/A Requesting Data...</v>
      </c>
      <c r="J344" t="str">
        <f>_xll.BDP("196797V6 Muni","CPN")</f>
        <v>#N/A Requesting Data...</v>
      </c>
      <c r="K344" t="str">
        <f>_xll.BDP("196797V6 Muni","MATURITY")</f>
        <v>#N/A Requesting Data...</v>
      </c>
      <c r="L344">
        <v>505000</v>
      </c>
      <c r="M344" t="str">
        <f>_xll.BDP("196797V6 Muni","YIELD_ON_ISSUE_DATE")</f>
        <v>#N/A Requesting Data...</v>
      </c>
      <c r="N344" t="str">
        <f>_xll.BDP("196797V6 Muni","YTW_SPREAD_TO_MATURITY_AT_ISSU")</f>
        <v>#N/A Requesting Data...</v>
      </c>
      <c r="O344" t="str">
        <f>_xll.BDP("196797V6 Muni","BVAL_MID_YTM")</f>
        <v>#N/A Requesting Data...</v>
      </c>
      <c r="P344" t="str">
        <f>_xll.BDP("196797V6 Muni","MUNI_TAX_PROV")</f>
        <v>#N/A Requesting Data...</v>
      </c>
      <c r="Q344" t="str">
        <f>_xll.BDP("196797V6 Muni","MUNI_FED_TAX")</f>
        <v>#N/A Requesting Data...</v>
      </c>
      <c r="R344" t="str">
        <f>_xll.BDP("196797V6 Muni","MUNI_MSRB_VOLUME")</f>
        <v>#N/A Requesting Data...</v>
      </c>
      <c r="S344" t="str">
        <f>_xll.BDP("196797V6 Muni","BB_COMPOSITE")</f>
        <v>#N/A Requesting Data...</v>
      </c>
      <c r="T344" t="str">
        <f>_xll.BDP("196797V6 Muni","LQA_LIQUIDITY_SCORE")</f>
        <v>#N/A Requesting Data...</v>
      </c>
    </row>
    <row r="345" spans="1:20" x14ac:dyDescent="0.25">
      <c r="A345" t="str">
        <f>_xll.BDP("196797V7 Muni","ID_CUSIP")</f>
        <v>#N/A Requesting Data...</v>
      </c>
      <c r="B345" t="s">
        <v>127</v>
      </c>
      <c r="C345" t="str">
        <f>_xll.BDP("196797V7 Muni","INSURANCE_STATUS")</f>
        <v>#N/A Requesting Data...</v>
      </c>
      <c r="D345" t="str">
        <f>_xll.BDP("196797V7 Muni","STATE_CODE")</f>
        <v>#N/A Requesting Data...</v>
      </c>
      <c r="E345" t="str">
        <f>_xll.BDP("196797V7 Muni","COUNTY_LOCATION_ISSUER")</f>
        <v>#N/A Requesting Data...</v>
      </c>
      <c r="F345" t="str">
        <f>_xll.BDP("196797V7 Muni","DUR_ADJ_MID")</f>
        <v>#N/A Requesting Data...</v>
      </c>
      <c r="G345" t="str">
        <f>_xll.BDP("196797V7 Muni","SPREAD_AT_ISSUANCE_TO_WORST")</f>
        <v>#N/A Requesting Data...</v>
      </c>
      <c r="H345" t="str">
        <f>_xll.BDP("196797V7 Muni","ISSUE_DT")</f>
        <v>#N/A Requesting Data...</v>
      </c>
      <c r="I345" t="str">
        <f>_xll.BDS("196797V7 Muni","MUNI_PURPOSE_SCHED", "aggregate=y")</f>
        <v>#N/A Requesting Data...</v>
      </c>
      <c r="J345" t="str">
        <f>_xll.BDP("196797V7 Muni","CPN")</f>
        <v>#N/A Requesting Data...</v>
      </c>
      <c r="K345" t="str">
        <f>_xll.BDP("196797V7 Muni","MATURITY")</f>
        <v>#N/A Requesting Data...</v>
      </c>
      <c r="L345">
        <v>510000</v>
      </c>
      <c r="M345" t="str">
        <f>_xll.BDP("196797V7 Muni","YIELD_ON_ISSUE_DATE")</f>
        <v>#N/A Requesting Data...</v>
      </c>
      <c r="N345" t="str">
        <f>_xll.BDP("196797V7 Muni","YTW_SPREAD_TO_MATURITY_AT_ISSU")</f>
        <v>#N/A Requesting Data...</v>
      </c>
      <c r="O345" t="str">
        <f>_xll.BDP("196797V7 Muni","BVAL_MID_YTM")</f>
        <v>#N/A Requesting Data...</v>
      </c>
      <c r="P345" t="str">
        <f>_xll.BDP("196797V7 Muni","MUNI_TAX_PROV")</f>
        <v>#N/A Requesting Data...</v>
      </c>
      <c r="Q345" t="str">
        <f>_xll.BDP("196797V7 Muni","MUNI_FED_TAX")</f>
        <v>#N/A Requesting Data...</v>
      </c>
      <c r="R345" t="str">
        <f>_xll.BDP("196797V7 Muni","MUNI_MSRB_VOLUME")</f>
        <v>#N/A Requesting Data...</v>
      </c>
      <c r="S345" t="str">
        <f>_xll.BDP("196797V7 Muni","BB_COMPOSITE")</f>
        <v>#N/A Requesting Data...</v>
      </c>
      <c r="T345" t="str">
        <f>_xll.BDP("196797V7 Muni","LQA_LIQUIDITY_SCORE")</f>
        <v>#N/A Requesting Data...</v>
      </c>
    </row>
    <row r="346" spans="1:20" x14ac:dyDescent="0.25">
      <c r="A346" t="str">
        <f>_xll.BDP("196797V8 Muni","ID_CUSIP")</f>
        <v>#N/A Requesting Data...</v>
      </c>
      <c r="B346" t="s">
        <v>127</v>
      </c>
      <c r="C346" t="str">
        <f>_xll.BDP("196797V8 Muni","INSURANCE_STATUS")</f>
        <v>#N/A Requesting Data...</v>
      </c>
      <c r="D346" t="str">
        <f>_xll.BDP("196797V8 Muni","STATE_CODE")</f>
        <v>#N/A Requesting Data...</v>
      </c>
      <c r="E346" t="str">
        <f>_xll.BDP("196797V8 Muni","COUNTY_LOCATION_ISSUER")</f>
        <v>#N/A Requesting Data...</v>
      </c>
      <c r="F346" t="str">
        <f>_xll.BDP("196797V8 Muni","DUR_ADJ_MID")</f>
        <v>#N/A Requesting Data...</v>
      </c>
      <c r="G346" t="str">
        <f>_xll.BDP("196797V8 Muni","SPREAD_AT_ISSUANCE_TO_WORST")</f>
        <v>#N/A Requesting Data...</v>
      </c>
      <c r="H346" t="str">
        <f>_xll.BDP("196797V8 Muni","ISSUE_DT")</f>
        <v>#N/A Requesting Data...</v>
      </c>
      <c r="I346" t="str">
        <f>_xll.BDS("196797V8 Muni","MUNI_PURPOSE_SCHED", "aggregate=y")</f>
        <v>#N/A Requesting Data...</v>
      </c>
      <c r="J346" t="str">
        <f>_xll.BDP("196797V8 Muni","CPN")</f>
        <v>#N/A Requesting Data...</v>
      </c>
      <c r="K346" t="str">
        <f>_xll.BDP("196797V8 Muni","MATURITY")</f>
        <v>#N/A Requesting Data...</v>
      </c>
      <c r="L346">
        <v>495000</v>
      </c>
      <c r="M346" t="str">
        <f>_xll.BDP("196797V8 Muni","YIELD_ON_ISSUE_DATE")</f>
        <v>#N/A Requesting Data...</v>
      </c>
      <c r="N346" t="str">
        <f>_xll.BDP("196797V8 Muni","YTW_SPREAD_TO_MATURITY_AT_ISSU")</f>
        <v>#N/A Requesting Data...</v>
      </c>
      <c r="O346" t="str">
        <f>_xll.BDP("196797V8 Muni","BVAL_MID_YTM")</f>
        <v>#N/A Requesting Data...</v>
      </c>
      <c r="P346" t="str">
        <f>_xll.BDP("196797V8 Muni","MUNI_TAX_PROV")</f>
        <v>#N/A Requesting Data...</v>
      </c>
      <c r="Q346" t="str">
        <f>_xll.BDP("196797V8 Muni","MUNI_FED_TAX")</f>
        <v>#N/A Requesting Data...</v>
      </c>
      <c r="R346" t="str">
        <f>_xll.BDP("196797V8 Muni","MUNI_MSRB_VOLUME")</f>
        <v>#N/A Requesting Data...</v>
      </c>
      <c r="S346" t="str">
        <f>_xll.BDP("196797V8 Muni","BB_COMPOSITE")</f>
        <v>#N/A Requesting Data...</v>
      </c>
      <c r="T346" t="str">
        <f>_xll.BDP("196797V8 Muni","LQA_LIQUIDITY_SCORE")</f>
        <v>#N/A Requesting Data...</v>
      </c>
    </row>
    <row r="347" spans="1:20" x14ac:dyDescent="0.25">
      <c r="A347" t="str">
        <f>_xll.BDP("196797V9 Muni","ID_CUSIP")</f>
        <v>#N/A Requesting Data...</v>
      </c>
      <c r="B347" t="s">
        <v>127</v>
      </c>
      <c r="C347" t="str">
        <f>_xll.BDP("196797V9 Muni","INSURANCE_STATUS")</f>
        <v>#N/A Requesting Data...</v>
      </c>
      <c r="D347" t="str">
        <f>_xll.BDP("196797V9 Muni","STATE_CODE")</f>
        <v>#N/A Requesting Data...</v>
      </c>
      <c r="E347" t="str">
        <f>_xll.BDP("196797V9 Muni","COUNTY_LOCATION_ISSUER")</f>
        <v>#N/A Requesting Data...</v>
      </c>
      <c r="F347" t="str">
        <f>_xll.BDP("196797V9 Muni","DUR_ADJ_MID")</f>
        <v>#N/A Requesting Data...</v>
      </c>
      <c r="G347" t="str">
        <f>_xll.BDP("196797V9 Muni","SPREAD_AT_ISSUANCE_TO_WORST")</f>
        <v>#N/A Requesting Data...</v>
      </c>
      <c r="H347" t="str">
        <f>_xll.BDP("196797V9 Muni","ISSUE_DT")</f>
        <v>#N/A Requesting Data...</v>
      </c>
      <c r="I347" t="str">
        <f>_xll.BDS("196797V9 Muni","MUNI_PURPOSE_SCHED", "aggregate=y")</f>
        <v>#N/A Requesting Data...</v>
      </c>
      <c r="J347" t="str">
        <f>_xll.BDP("196797V9 Muni","CPN")</f>
        <v>#N/A Requesting Data...</v>
      </c>
      <c r="K347" t="str">
        <f>_xll.BDP("196797V9 Muni","MATURITY")</f>
        <v>#N/A Requesting Data...</v>
      </c>
      <c r="L347">
        <v>480000</v>
      </c>
      <c r="M347" t="str">
        <f>_xll.BDP("196797V9 Muni","YIELD_ON_ISSUE_DATE")</f>
        <v>#N/A Requesting Data...</v>
      </c>
      <c r="N347" t="str">
        <f>_xll.BDP("196797V9 Muni","YTW_SPREAD_TO_MATURITY_AT_ISSU")</f>
        <v>#N/A Requesting Data...</v>
      </c>
      <c r="O347" t="str">
        <f>_xll.BDP("196797V9 Muni","BVAL_MID_YTM")</f>
        <v>#N/A Requesting Data...</v>
      </c>
      <c r="P347" t="str">
        <f>_xll.BDP("196797V9 Muni","MUNI_TAX_PROV")</f>
        <v>#N/A Requesting Data...</v>
      </c>
      <c r="Q347" t="str">
        <f>_xll.BDP("196797V9 Muni","MUNI_FED_TAX")</f>
        <v>#N/A Requesting Data...</v>
      </c>
      <c r="R347" t="str">
        <f>_xll.BDP("196797V9 Muni","MUNI_MSRB_VOLUME")</f>
        <v>#N/A Requesting Data...</v>
      </c>
      <c r="S347" t="str">
        <f>_xll.BDP("196797V9 Muni","BB_COMPOSITE")</f>
        <v>#N/A Requesting Data...</v>
      </c>
      <c r="T347" t="str">
        <f>_xll.BDP("196797V9 Muni","LQA_LIQUIDITY_SCORE")</f>
        <v>#N/A Requesting Data...</v>
      </c>
    </row>
    <row r="348" spans="1:20" x14ac:dyDescent="0.25">
      <c r="A348" t="str">
        <f>_xll.BDP("19679ESK Muni","ID_CUSIP")</f>
        <v>#N/A Requesting Data...</v>
      </c>
      <c r="B348" t="s">
        <v>127</v>
      </c>
      <c r="C348" t="str">
        <f>_xll.BDP("19679ESK Muni","INSURANCE_STATUS")</f>
        <v>#N/A Requesting Data...</v>
      </c>
      <c r="D348" t="str">
        <f>_xll.BDP("19679ESK Muni","STATE_CODE")</f>
        <v>#N/A Requesting Data...</v>
      </c>
      <c r="E348" t="str">
        <f>_xll.BDP("19679ESK Muni","COUNTY_LOCATION_ISSUER")</f>
        <v>#N/A Requesting Data...</v>
      </c>
      <c r="F348" t="str">
        <f>_xll.BDP("19679ESK Muni","DUR_ADJ_MID")</f>
        <v>#N/A Requesting Data...</v>
      </c>
      <c r="G348" t="str">
        <f>_xll.BDP("19679ESK Muni","SPREAD_AT_ISSUANCE_TO_WORST")</f>
        <v>#N/A Requesting Data...</v>
      </c>
      <c r="H348" t="str">
        <f>_xll.BDP("19679ESK Muni","ISSUE_DT")</f>
        <v>#N/A Requesting Data...</v>
      </c>
      <c r="I348" t="str">
        <f>_xll.BDS("19679ESK Muni","MUNI_PURPOSE_SCHED", "aggregate=y")</f>
        <v>#N/A Requesting Data...</v>
      </c>
      <c r="J348" t="str">
        <f>_xll.BDP("19679ESK Muni","CPN")</f>
        <v>#N/A Requesting Data...</v>
      </c>
      <c r="K348" t="str">
        <f>_xll.BDP("19679ESK Muni","MATURITY")</f>
        <v>#N/A Requesting Data...</v>
      </c>
      <c r="L348">
        <v>280000</v>
      </c>
      <c r="M348" t="str">
        <f>_xll.BDP("19679ESK Muni","YIELD_ON_ISSUE_DATE")</f>
        <v>#N/A Requesting Data...</v>
      </c>
      <c r="N348" t="str">
        <f>_xll.BDP("19679ESK Muni","YTW_SPREAD_TO_MATURITY_AT_ISSU")</f>
        <v>#N/A Requesting Data...</v>
      </c>
      <c r="O348" t="str">
        <f>_xll.BDP("19679ESK Muni","BVAL_MID_YTM")</f>
        <v>#N/A Requesting Data...</v>
      </c>
      <c r="P348" t="str">
        <f>_xll.BDP("19679ESK Muni","MUNI_TAX_PROV")</f>
        <v>#N/A Requesting Data...</v>
      </c>
      <c r="Q348" t="str">
        <f>_xll.BDP("19679ESK Muni","MUNI_FED_TAX")</f>
        <v>#N/A Requesting Data...</v>
      </c>
      <c r="R348" t="str">
        <f>_xll.BDP("19679ESK Muni","MUNI_MSRB_VOLUME")</f>
        <v>#N/A Requesting Data...</v>
      </c>
      <c r="S348" t="str">
        <f>_xll.BDP("19679ESK Muni","BB_COMPOSITE")</f>
        <v>#N/A Requesting Data...</v>
      </c>
      <c r="T348" t="str">
        <f>_xll.BDP("19679ESK Muni","LQA_LIQUIDITY_SCORE")</f>
        <v>#N/A Requesting Data...</v>
      </c>
    </row>
    <row r="349" spans="1:20" x14ac:dyDescent="0.25">
      <c r="A349" t="str">
        <f>_xll.BDP("19679ESL Muni","ID_CUSIP")</f>
        <v>#N/A Requesting Data...</v>
      </c>
      <c r="B349" t="s">
        <v>127</v>
      </c>
      <c r="C349" t="str">
        <f>_xll.BDP("19679ESL Muni","INSURANCE_STATUS")</f>
        <v>#N/A Requesting Data...</v>
      </c>
      <c r="D349" t="str">
        <f>_xll.BDP("19679ESL Muni","STATE_CODE")</f>
        <v>#N/A Requesting Data...</v>
      </c>
      <c r="E349" t="str">
        <f>_xll.BDP("19679ESL Muni","COUNTY_LOCATION_ISSUER")</f>
        <v>#N/A Requesting Data...</v>
      </c>
      <c r="F349" t="str">
        <f>_xll.BDP("19679ESL Muni","DUR_ADJ_MID")</f>
        <v>#N/A Requesting Data...</v>
      </c>
      <c r="G349" t="str">
        <f>_xll.BDP("19679ESL Muni","SPREAD_AT_ISSUANCE_TO_WORST")</f>
        <v>#N/A Requesting Data...</v>
      </c>
      <c r="H349" t="str">
        <f>_xll.BDP("19679ESL Muni","ISSUE_DT")</f>
        <v>#N/A Requesting Data...</v>
      </c>
      <c r="I349" t="str">
        <f>_xll.BDS("19679ESL Muni","MUNI_PURPOSE_SCHED", "aggregate=y")</f>
        <v>#N/A Requesting Data...</v>
      </c>
      <c r="J349" t="str">
        <f>_xll.BDP("19679ESL Muni","CPN")</f>
        <v>#N/A Requesting Data...</v>
      </c>
      <c r="K349" t="str">
        <f>_xll.BDP("19679ESL Muni","MATURITY")</f>
        <v>#N/A Requesting Data...</v>
      </c>
      <c r="L349">
        <v>275000</v>
      </c>
      <c r="M349" t="str">
        <f>_xll.BDP("19679ESL Muni","YIELD_ON_ISSUE_DATE")</f>
        <v>#N/A Requesting Data...</v>
      </c>
      <c r="N349" t="str">
        <f>_xll.BDP("19679ESL Muni","YTW_SPREAD_TO_MATURITY_AT_ISSU")</f>
        <v>#N/A Requesting Data...</v>
      </c>
      <c r="O349" t="str">
        <f>_xll.BDP("19679ESL Muni","BVAL_MID_YTM")</f>
        <v>#N/A Requesting Data...</v>
      </c>
      <c r="P349" t="str">
        <f>_xll.BDP("19679ESL Muni","MUNI_TAX_PROV")</f>
        <v>#N/A Requesting Data...</v>
      </c>
      <c r="Q349" t="str">
        <f>_xll.BDP("19679ESL Muni","MUNI_FED_TAX")</f>
        <v>#N/A Requesting Data...</v>
      </c>
      <c r="R349" t="str">
        <f>_xll.BDP("19679ESL Muni","MUNI_MSRB_VOLUME")</f>
        <v>#N/A Requesting Data...</v>
      </c>
      <c r="S349" t="str">
        <f>_xll.BDP("19679ESL Muni","BB_COMPOSITE")</f>
        <v>#N/A Requesting Data...</v>
      </c>
      <c r="T349" t="str">
        <f>_xll.BDP("19679ESL Muni","LQA_LIQUIDITY_SCORE")</f>
        <v>#N/A Requesting Data...</v>
      </c>
    </row>
    <row r="350" spans="1:20" x14ac:dyDescent="0.25">
      <c r="A350" t="str">
        <f>_xll.BDP("19679ESM Muni","ID_CUSIP")</f>
        <v>#N/A Requesting Data...</v>
      </c>
      <c r="B350" t="s">
        <v>127</v>
      </c>
      <c r="C350" t="str">
        <f>_xll.BDP("19679ESM Muni","INSURANCE_STATUS")</f>
        <v>#N/A Requesting Data...</v>
      </c>
      <c r="D350" t="str">
        <f>_xll.BDP("19679ESM Muni","STATE_CODE")</f>
        <v>#N/A Requesting Data...</v>
      </c>
      <c r="E350" t="str">
        <f>_xll.BDP("19679ESM Muni","COUNTY_LOCATION_ISSUER")</f>
        <v>#N/A Requesting Data...</v>
      </c>
      <c r="F350" t="str">
        <f>_xll.BDP("19679ESM Muni","DUR_ADJ_MID")</f>
        <v>#N/A Requesting Data...</v>
      </c>
      <c r="G350" t="str">
        <f>_xll.BDP("19679ESM Muni","SPREAD_AT_ISSUANCE_TO_WORST")</f>
        <v>#N/A Requesting Data...</v>
      </c>
      <c r="H350" t="str">
        <f>_xll.BDP("19679ESM Muni","ISSUE_DT")</f>
        <v>#N/A Requesting Data...</v>
      </c>
      <c r="I350" t="str">
        <f>_xll.BDS("19679ESM Muni","MUNI_PURPOSE_SCHED", "aggregate=y")</f>
        <v>#N/A Requesting Data...</v>
      </c>
      <c r="J350" t="str">
        <f>_xll.BDP("19679ESM Muni","CPN")</f>
        <v>#N/A Requesting Data...</v>
      </c>
      <c r="K350" t="str">
        <f>_xll.BDP("19679ESM Muni","MATURITY")</f>
        <v>#N/A Requesting Data...</v>
      </c>
      <c r="L350">
        <v>275000</v>
      </c>
      <c r="M350" t="str">
        <f>_xll.BDP("19679ESM Muni","YIELD_ON_ISSUE_DATE")</f>
        <v>#N/A Requesting Data...</v>
      </c>
      <c r="N350" t="str">
        <f>_xll.BDP("19679ESM Muni","YTW_SPREAD_TO_MATURITY_AT_ISSU")</f>
        <v>#N/A Requesting Data...</v>
      </c>
      <c r="O350" t="str">
        <f>_xll.BDP("19679ESM Muni","BVAL_MID_YTM")</f>
        <v>#N/A Requesting Data...</v>
      </c>
      <c r="P350" t="str">
        <f>_xll.BDP("19679ESM Muni","MUNI_TAX_PROV")</f>
        <v>#N/A Requesting Data...</v>
      </c>
      <c r="Q350" t="str">
        <f>_xll.BDP("19679ESM Muni","MUNI_FED_TAX")</f>
        <v>#N/A Requesting Data...</v>
      </c>
      <c r="R350" t="str">
        <f>_xll.BDP("19679ESM Muni","MUNI_MSRB_VOLUME")</f>
        <v>#N/A Requesting Data...</v>
      </c>
      <c r="S350" t="str">
        <f>_xll.BDP("19679ESM Muni","BB_COMPOSITE")</f>
        <v>#N/A Requesting Data...</v>
      </c>
      <c r="T350" t="str">
        <f>_xll.BDP("19679ESM Muni","LQA_LIQUIDITY_SCORE")</f>
        <v>#N/A Requesting Data...</v>
      </c>
    </row>
    <row r="351" spans="1:20" x14ac:dyDescent="0.25">
      <c r="A351" t="str">
        <f>_xll.BDP("19679ESN Muni","ID_CUSIP")</f>
        <v>#N/A Requesting Data...</v>
      </c>
      <c r="B351" t="s">
        <v>127</v>
      </c>
      <c r="C351" t="str">
        <f>_xll.BDP("19679ESN Muni","INSURANCE_STATUS")</f>
        <v>#N/A Requesting Data...</v>
      </c>
      <c r="D351" t="str">
        <f>_xll.BDP("19679ESN Muni","STATE_CODE")</f>
        <v>#N/A Requesting Data...</v>
      </c>
      <c r="E351" t="str">
        <f>_xll.BDP("19679ESN Muni","COUNTY_LOCATION_ISSUER")</f>
        <v>#N/A Requesting Data...</v>
      </c>
      <c r="F351" t="str">
        <f>_xll.BDP("19679ESN Muni","DUR_ADJ_MID")</f>
        <v>#N/A Requesting Data...</v>
      </c>
      <c r="G351" t="str">
        <f>_xll.BDP("19679ESN Muni","SPREAD_AT_ISSUANCE_TO_WORST")</f>
        <v>#N/A Requesting Data...</v>
      </c>
      <c r="H351" t="str">
        <f>_xll.BDP("19679ESN Muni","ISSUE_DT")</f>
        <v>#N/A Requesting Data...</v>
      </c>
      <c r="I351" t="str">
        <f>_xll.BDS("19679ESN Muni","MUNI_PURPOSE_SCHED", "aggregate=y")</f>
        <v>#N/A Requesting Data...</v>
      </c>
      <c r="J351" t="str">
        <f>_xll.BDP("19679ESN Muni","CPN")</f>
        <v>#N/A Requesting Data...</v>
      </c>
      <c r="K351" t="str">
        <f>_xll.BDP("19679ESN Muni","MATURITY")</f>
        <v>#N/A Requesting Data...</v>
      </c>
      <c r="L351">
        <v>265000</v>
      </c>
      <c r="M351" t="str">
        <f>_xll.BDP("19679ESN Muni","YIELD_ON_ISSUE_DATE")</f>
        <v>#N/A Requesting Data...</v>
      </c>
      <c r="N351" t="str">
        <f>_xll.BDP("19679ESN Muni","YTW_SPREAD_TO_MATURITY_AT_ISSU")</f>
        <v>#N/A Requesting Data...</v>
      </c>
      <c r="O351" t="str">
        <f>_xll.BDP("19679ESN Muni","BVAL_MID_YTM")</f>
        <v>#N/A Requesting Data...</v>
      </c>
      <c r="P351" t="str">
        <f>_xll.BDP("19679ESN Muni","MUNI_TAX_PROV")</f>
        <v>#N/A Requesting Data...</v>
      </c>
      <c r="Q351" t="str">
        <f>_xll.BDP("19679ESN Muni","MUNI_FED_TAX")</f>
        <v>#N/A Requesting Data...</v>
      </c>
      <c r="R351" t="str">
        <f>_xll.BDP("19679ESN Muni","MUNI_MSRB_VOLUME")</f>
        <v>#N/A Requesting Data...</v>
      </c>
      <c r="S351" t="str">
        <f>_xll.BDP("19679ESN Muni","BB_COMPOSITE")</f>
        <v>#N/A Requesting Data...</v>
      </c>
      <c r="T351" t="str">
        <f>_xll.BDP("19679ESN Muni","LQA_LIQUIDITY_SCORE")</f>
        <v>#N/A Requesting Data...</v>
      </c>
    </row>
    <row r="352" spans="1:20" x14ac:dyDescent="0.25">
      <c r="A352" t="str">
        <f>_xll.BDP("19679ESP Muni","ID_CUSIP")</f>
        <v>#N/A Requesting Data...</v>
      </c>
      <c r="B352" t="s">
        <v>127</v>
      </c>
      <c r="C352" t="str">
        <f>_xll.BDP("19679ESP Muni","INSURANCE_STATUS")</f>
        <v>#N/A Requesting Data...</v>
      </c>
      <c r="D352" t="str">
        <f>_xll.BDP("19679ESP Muni","STATE_CODE")</f>
        <v>#N/A Requesting Data...</v>
      </c>
      <c r="E352" t="str">
        <f>_xll.BDP("19679ESP Muni","COUNTY_LOCATION_ISSUER")</f>
        <v>#N/A Requesting Data...</v>
      </c>
      <c r="F352" t="str">
        <f>_xll.BDP("19679ESP Muni","DUR_ADJ_MID")</f>
        <v>#N/A Requesting Data...</v>
      </c>
      <c r="G352" t="str">
        <f>_xll.BDP("19679ESP Muni","SPREAD_AT_ISSUANCE_TO_WORST")</f>
        <v>#N/A Requesting Data...</v>
      </c>
      <c r="H352" t="str">
        <f>_xll.BDP("19679ESP Muni","ISSUE_DT")</f>
        <v>#N/A Requesting Data...</v>
      </c>
      <c r="I352" t="str">
        <f>_xll.BDS("19679ESP Muni","MUNI_PURPOSE_SCHED", "aggregate=y")</f>
        <v>#N/A Requesting Data...</v>
      </c>
      <c r="J352" t="str">
        <f>_xll.BDP("19679ESP Muni","CPN")</f>
        <v>#N/A Requesting Data...</v>
      </c>
      <c r="K352" t="str">
        <f>_xll.BDP("19679ESP Muni","MATURITY")</f>
        <v>#N/A Requesting Data...</v>
      </c>
      <c r="L352">
        <v>260000</v>
      </c>
      <c r="M352" t="str">
        <f>_xll.BDP("19679ESP Muni","YIELD_ON_ISSUE_DATE")</f>
        <v>#N/A Requesting Data...</v>
      </c>
      <c r="N352" t="str">
        <f>_xll.BDP("19679ESP Muni","YTW_SPREAD_TO_MATURITY_AT_ISSU")</f>
        <v>#N/A Requesting Data...</v>
      </c>
      <c r="O352" t="str">
        <f>_xll.BDP("19679ESP Muni","BVAL_MID_YTM")</f>
        <v>#N/A Requesting Data...</v>
      </c>
      <c r="P352" t="str">
        <f>_xll.BDP("19679ESP Muni","MUNI_TAX_PROV")</f>
        <v>#N/A Requesting Data...</v>
      </c>
      <c r="Q352" t="str">
        <f>_xll.BDP("19679ESP Muni","MUNI_FED_TAX")</f>
        <v>#N/A Requesting Data...</v>
      </c>
      <c r="R352" t="str">
        <f>_xll.BDP("19679ESP Muni","MUNI_MSRB_VOLUME")</f>
        <v>#N/A Requesting Data...</v>
      </c>
      <c r="S352" t="str">
        <f>_xll.BDP("19679ESP Muni","BB_COMPOSITE")</f>
        <v>#N/A Requesting Data...</v>
      </c>
      <c r="T352" t="str">
        <f>_xll.BDP("19679ESP Muni","LQA_LIQUIDITY_SCORE")</f>
        <v>#N/A Requesting Data...</v>
      </c>
    </row>
    <row r="353" spans="1:20" x14ac:dyDescent="0.25">
      <c r="A353" t="str">
        <f>_xll.BDP("19679ESQ Muni","ID_CUSIP")</f>
        <v>#N/A Requesting Data...</v>
      </c>
      <c r="B353" t="s">
        <v>127</v>
      </c>
      <c r="C353" t="str">
        <f>_xll.BDP("19679ESQ Muni","INSURANCE_STATUS")</f>
        <v>#N/A Requesting Data...</v>
      </c>
      <c r="D353" t="str">
        <f>_xll.BDP("19679ESQ Muni","STATE_CODE")</f>
        <v>#N/A Requesting Data...</v>
      </c>
      <c r="E353" t="str">
        <f>_xll.BDP("19679ESQ Muni","COUNTY_LOCATION_ISSUER")</f>
        <v>#N/A Requesting Data...</v>
      </c>
      <c r="F353" t="str">
        <f>_xll.BDP("19679ESQ Muni","DUR_ADJ_MID")</f>
        <v>#N/A Requesting Data...</v>
      </c>
      <c r="G353" t="str">
        <f>_xll.BDP("19679ESQ Muni","SPREAD_AT_ISSUANCE_TO_WORST")</f>
        <v>#N/A Requesting Data...</v>
      </c>
      <c r="H353" t="str">
        <f>_xll.BDP("19679ESQ Muni","ISSUE_DT")</f>
        <v>#N/A Requesting Data...</v>
      </c>
      <c r="I353" t="str">
        <f>_xll.BDS("19679ESQ Muni","MUNI_PURPOSE_SCHED", "aggregate=y")</f>
        <v>#N/A Requesting Data...</v>
      </c>
      <c r="J353" t="str">
        <f>_xll.BDP("19679ESQ Muni","CPN")</f>
        <v>#N/A Requesting Data...</v>
      </c>
      <c r="K353" t="str">
        <f>_xll.BDP("19679ESQ Muni","MATURITY")</f>
        <v>#N/A Requesting Data...</v>
      </c>
      <c r="L353">
        <v>255000</v>
      </c>
      <c r="M353" t="str">
        <f>_xll.BDP("19679ESQ Muni","YIELD_ON_ISSUE_DATE")</f>
        <v>#N/A Requesting Data...</v>
      </c>
      <c r="N353" t="str">
        <f>_xll.BDP("19679ESQ Muni","YTW_SPREAD_TO_MATURITY_AT_ISSU")</f>
        <v>#N/A Requesting Data...</v>
      </c>
      <c r="O353" t="str">
        <f>_xll.BDP("19679ESQ Muni","BVAL_MID_YTM")</f>
        <v>#N/A Requesting Data...</v>
      </c>
      <c r="P353" t="str">
        <f>_xll.BDP("19679ESQ Muni","MUNI_TAX_PROV")</f>
        <v>#N/A Requesting Data...</v>
      </c>
      <c r="Q353" t="str">
        <f>_xll.BDP("19679ESQ Muni","MUNI_FED_TAX")</f>
        <v>#N/A Requesting Data...</v>
      </c>
      <c r="R353" t="str">
        <f>_xll.BDP("19679ESQ Muni","MUNI_MSRB_VOLUME")</f>
        <v>#N/A Requesting Data...</v>
      </c>
      <c r="S353" t="str">
        <f>_xll.BDP("19679ESQ Muni","BB_COMPOSITE")</f>
        <v>#N/A Requesting Data...</v>
      </c>
      <c r="T353" t="str">
        <f>_xll.BDP("19679ESQ Muni","LQA_LIQUIDITY_SCORE")</f>
        <v>#N/A Requesting Data...</v>
      </c>
    </row>
    <row r="354" spans="1:20" x14ac:dyDescent="0.25">
      <c r="A354" t="str">
        <f>_xll.BDP("04184KUU Muni","ID_CUSIP")</f>
        <v>#N/A Requesting Data...</v>
      </c>
      <c r="B354" t="s">
        <v>128</v>
      </c>
      <c r="C354" t="str">
        <f>_xll.BDP("04184KUU Muni","INSURANCE_STATUS")</f>
        <v>#N/A Requesting Data...</v>
      </c>
      <c r="D354" t="str">
        <f>_xll.BDP("04184KUU Muni","STATE_CODE")</f>
        <v>#N/A Requesting Data...</v>
      </c>
      <c r="E354" t="str">
        <f>_xll.BDP("04184KUU Muni","COUNTY_LOCATION_ISSUER")</f>
        <v>#N/A Requesting Data...</v>
      </c>
      <c r="F354" t="str">
        <f>_xll.BDP("04184KUU Muni","DUR_ADJ_MID")</f>
        <v>#N/A Requesting Data...</v>
      </c>
      <c r="G354" t="str">
        <f>_xll.BDP("04184KUU Muni","SPREAD_AT_ISSUANCE_TO_WORST")</f>
        <v>#N/A Requesting Data...</v>
      </c>
      <c r="H354" t="str">
        <f>_xll.BDP("04184KUU Muni","ISSUE_DT")</f>
        <v>#N/A Requesting Data...</v>
      </c>
      <c r="I354" t="str">
        <f>_xll.BDS("04184KUU Muni","MUNI_PURPOSE_SCHED", "aggregate=y")</f>
        <v>#N/A Requesting Data...</v>
      </c>
      <c r="J354" t="str">
        <f>_xll.BDP("04184KUU Muni","CPN")</f>
        <v>#N/A Requesting Data...</v>
      </c>
      <c r="K354" t="str">
        <f>_xll.BDP("04184KUU Muni","MATURITY")</f>
        <v>#N/A Requesting Data...</v>
      </c>
      <c r="L354">
        <v>1640000</v>
      </c>
      <c r="M354" t="str">
        <f>_xll.BDP("04184KUU Muni","YIELD_ON_ISSUE_DATE")</f>
        <v>#N/A Requesting Data...</v>
      </c>
      <c r="N354" t="str">
        <f>_xll.BDP("04184KUU Muni","YTW_SPREAD_TO_MATURITY_AT_ISSU")</f>
        <v>#N/A Requesting Data...</v>
      </c>
      <c r="O354" t="str">
        <f>_xll.BDP("04184KUU Muni","BVAL_MID_YTM")</f>
        <v>#N/A Requesting Data...</v>
      </c>
      <c r="P354" t="str">
        <f>_xll.BDP("04184KUU Muni","MUNI_TAX_PROV")</f>
        <v>#N/A Requesting Data...</v>
      </c>
      <c r="Q354" t="str">
        <f>_xll.BDP("04184KUU Muni","MUNI_FED_TAX")</f>
        <v>#N/A Requesting Data...</v>
      </c>
      <c r="R354" t="str">
        <f>_xll.BDP("04184KUU Muni","MUNI_MSRB_VOLUME")</f>
        <v>#N/A Requesting Data...</v>
      </c>
      <c r="S354" t="str">
        <f>_xll.BDP("04184KUU Muni","BB_COMPOSITE")</f>
        <v>#N/A Requesting Data...</v>
      </c>
      <c r="T354" t="str">
        <f>_xll.BDP("04184KUU Muni","LQA_LIQUIDITY_SCORE")</f>
        <v>#N/A Requesting Data...</v>
      </c>
    </row>
    <row r="355" spans="1:20" x14ac:dyDescent="0.25">
      <c r="A355" t="str">
        <f>_xll.BDP("04184KUX Muni","ID_CUSIP")</f>
        <v>#N/A Requesting Data...</v>
      </c>
      <c r="B355" t="s">
        <v>128</v>
      </c>
      <c r="C355" t="str">
        <f>_xll.BDP("04184KUX Muni","INSURANCE_STATUS")</f>
        <v>#N/A Requesting Data...</v>
      </c>
      <c r="D355" t="str">
        <f>_xll.BDP("04184KUX Muni","STATE_CODE")</f>
        <v>#N/A Requesting Data...</v>
      </c>
      <c r="E355" t="str">
        <f>_xll.BDP("04184KUX Muni","COUNTY_LOCATION_ISSUER")</f>
        <v>#N/A Requesting Data...</v>
      </c>
      <c r="F355" t="str">
        <f>_xll.BDP("04184KUX Muni","DUR_ADJ_MID")</f>
        <v>#N/A Requesting Data...</v>
      </c>
      <c r="G355" t="str">
        <f>_xll.BDP("04184KUX Muni","SPREAD_AT_ISSUANCE_TO_WORST")</f>
        <v>#N/A Requesting Data...</v>
      </c>
      <c r="H355" t="str">
        <f>_xll.BDP("04184KUX Muni","ISSUE_DT")</f>
        <v>#N/A Requesting Data...</v>
      </c>
      <c r="I355" t="str">
        <f>_xll.BDS("04184KUX Muni","MUNI_PURPOSE_SCHED", "aggregate=y")</f>
        <v>#N/A Requesting Data...</v>
      </c>
      <c r="J355" t="str">
        <f>_xll.BDP("04184KUX Muni","CPN")</f>
        <v>#N/A Requesting Data...</v>
      </c>
      <c r="K355" t="str">
        <f>_xll.BDP("04184KUX Muni","MATURITY")</f>
        <v>#N/A Requesting Data...</v>
      </c>
      <c r="L355">
        <v>1640000</v>
      </c>
      <c r="M355" t="str">
        <f>_xll.BDP("04184KUX Muni","YIELD_ON_ISSUE_DATE")</f>
        <v>#N/A Requesting Data...</v>
      </c>
      <c r="N355" t="str">
        <f>_xll.BDP("04184KUX Muni","YTW_SPREAD_TO_MATURITY_AT_ISSU")</f>
        <v>#N/A Requesting Data...</v>
      </c>
      <c r="O355" t="str">
        <f>_xll.BDP("04184KUX Muni","BVAL_MID_YTM")</f>
        <v>#N/A Requesting Data...</v>
      </c>
      <c r="P355" t="str">
        <f>_xll.BDP("04184KUX Muni","MUNI_TAX_PROV")</f>
        <v>#N/A Requesting Data...</v>
      </c>
      <c r="Q355" t="str">
        <f>_xll.BDP("04184KUX Muni","MUNI_FED_TAX")</f>
        <v>#N/A Requesting Data...</v>
      </c>
      <c r="R355" t="str">
        <f>_xll.BDP("04184KUX Muni","MUNI_MSRB_VOLUME")</f>
        <v>#N/A Requesting Data...</v>
      </c>
      <c r="S355" t="str">
        <f>_xll.BDP("04184KUX Muni","BB_COMPOSITE")</f>
        <v>#N/A Requesting Data...</v>
      </c>
      <c r="T355" t="str">
        <f>_xll.BDP("04184KUX Muni","LQA_LIQUIDITY_SCORE")</f>
        <v>#N/A Requesting Data...</v>
      </c>
    </row>
    <row r="356" spans="1:20" x14ac:dyDescent="0.25">
      <c r="A356" t="str">
        <f>_xll.BDP("043053CQ Muni","ID_CUSIP")</f>
        <v>#N/A Requesting Data...</v>
      </c>
      <c r="B356" t="s">
        <v>129</v>
      </c>
      <c r="C356" t="str">
        <f>_xll.BDP("043053CQ Muni","INSURANCE_STATUS")</f>
        <v>#N/A Requesting Data...</v>
      </c>
      <c r="D356" t="str">
        <f>_xll.BDP("043053CQ Muni","STATE_CODE")</f>
        <v>#N/A Requesting Data...</v>
      </c>
      <c r="E356" t="str">
        <f>_xll.BDP("043053CQ Muni","COUNTY_LOCATION_ISSUER")</f>
        <v>#N/A Requesting Data...</v>
      </c>
      <c r="F356" t="str">
        <f>_xll.BDP("043053CQ Muni","DUR_ADJ_MID")</f>
        <v>#N/A Requesting Data...</v>
      </c>
      <c r="G356" t="str">
        <f>_xll.BDP("043053CQ Muni","SPREAD_AT_ISSUANCE_TO_WORST")</f>
        <v>#N/A Requesting Data...</v>
      </c>
      <c r="H356" t="str">
        <f>_xll.BDP("043053CQ Muni","ISSUE_DT")</f>
        <v>#N/A Requesting Data...</v>
      </c>
      <c r="I356" t="str">
        <f>_xll.BDS("043053CQ Muni","MUNI_PURPOSE_SCHED", "aggregate=y")</f>
        <v>#N/A Requesting Data...</v>
      </c>
      <c r="J356" t="str">
        <f>_xll.BDP("043053CQ Muni","CPN")</f>
        <v>#N/A Requesting Data...</v>
      </c>
      <c r="K356" t="str">
        <f>_xll.BDP("043053CQ Muni","MATURITY")</f>
        <v>#N/A Requesting Data...</v>
      </c>
      <c r="L356">
        <v>300000</v>
      </c>
      <c r="M356" t="str">
        <f>_xll.BDP("043053CQ Muni","YIELD_ON_ISSUE_DATE")</f>
        <v>#N/A Requesting Data...</v>
      </c>
      <c r="N356" t="str">
        <f>_xll.BDP("043053CQ Muni","YTW_SPREAD_TO_MATURITY_AT_ISSU")</f>
        <v>#N/A Requesting Data...</v>
      </c>
      <c r="O356" t="str">
        <f>_xll.BDP("043053CQ Muni","BVAL_MID_YTM")</f>
        <v>#N/A Requesting Data...</v>
      </c>
      <c r="P356" t="str">
        <f>_xll.BDP("043053CQ Muni","MUNI_TAX_PROV")</f>
        <v>#N/A Requesting Data...</v>
      </c>
      <c r="Q356" t="str">
        <f>_xll.BDP("043053CQ Muni","MUNI_FED_TAX")</f>
        <v>#N/A Requesting Data...</v>
      </c>
      <c r="R356" t="str">
        <f>_xll.BDP("043053CQ Muni","MUNI_MSRB_VOLUME")</f>
        <v>#N/A Requesting Data...</v>
      </c>
      <c r="S356" t="str">
        <f>_xll.BDP("043053CQ Muni","BB_COMPOSITE")</f>
        <v>#N/A Requesting Data...</v>
      </c>
      <c r="T356" t="str">
        <f>_xll.BDP("043053CQ Muni","LQA_LIQUIDITY_SCORE")</f>
        <v>#N/A Requesting Data...</v>
      </c>
    </row>
    <row r="357" spans="1:20" x14ac:dyDescent="0.25">
      <c r="A357" t="str">
        <f>_xll.BDP("043053CR Muni","ID_CUSIP")</f>
        <v>#N/A Requesting Data...</v>
      </c>
      <c r="B357" t="s">
        <v>129</v>
      </c>
      <c r="C357" t="str">
        <f>_xll.BDP("043053CR Muni","INSURANCE_STATUS")</f>
        <v>#N/A Requesting Data...</v>
      </c>
      <c r="D357" t="str">
        <f>_xll.BDP("043053CR Muni","STATE_CODE")</f>
        <v>#N/A Requesting Data...</v>
      </c>
      <c r="E357" t="str">
        <f>_xll.BDP("043053CR Muni","COUNTY_LOCATION_ISSUER")</f>
        <v>#N/A Requesting Data...</v>
      </c>
      <c r="F357" t="str">
        <f>_xll.BDP("043053CR Muni","DUR_ADJ_MID")</f>
        <v>#N/A Requesting Data...</v>
      </c>
      <c r="G357" t="str">
        <f>_xll.BDP("043053CR Muni","SPREAD_AT_ISSUANCE_TO_WORST")</f>
        <v>#N/A Requesting Data...</v>
      </c>
      <c r="H357" t="str">
        <f>_xll.BDP("043053CR Muni","ISSUE_DT")</f>
        <v>#N/A Requesting Data...</v>
      </c>
      <c r="I357" t="str">
        <f>_xll.BDS("043053CR Muni","MUNI_PURPOSE_SCHED", "aggregate=y")</f>
        <v>#N/A Requesting Data...</v>
      </c>
      <c r="J357" t="str">
        <f>_xll.BDP("043053CR Muni","CPN")</f>
        <v>#N/A Requesting Data...</v>
      </c>
      <c r="K357" t="str">
        <f>_xll.BDP("043053CR Muni","MATURITY")</f>
        <v>#N/A Requesting Data...</v>
      </c>
      <c r="L357">
        <v>310000</v>
      </c>
      <c r="M357" t="str">
        <f>_xll.BDP("043053CR Muni","YIELD_ON_ISSUE_DATE")</f>
        <v>#N/A Requesting Data...</v>
      </c>
      <c r="N357" t="str">
        <f>_xll.BDP("043053CR Muni","YTW_SPREAD_TO_MATURITY_AT_ISSU")</f>
        <v>#N/A Requesting Data...</v>
      </c>
      <c r="O357" t="str">
        <f>_xll.BDP("043053CR Muni","BVAL_MID_YTM")</f>
        <v>#N/A Requesting Data...</v>
      </c>
      <c r="P357" t="str">
        <f>_xll.BDP("043053CR Muni","MUNI_TAX_PROV")</f>
        <v>#N/A Requesting Data...</v>
      </c>
      <c r="Q357" t="str">
        <f>_xll.BDP("043053CR Muni","MUNI_FED_TAX")</f>
        <v>#N/A Requesting Data...</v>
      </c>
      <c r="R357" t="str">
        <f>_xll.BDP("043053CR Muni","MUNI_MSRB_VOLUME")</f>
        <v>#N/A Requesting Data...</v>
      </c>
      <c r="S357" t="str">
        <f>_xll.BDP("043053CR Muni","BB_COMPOSITE")</f>
        <v>#N/A Requesting Data...</v>
      </c>
      <c r="T357" t="str">
        <f>_xll.BDP("043053CR Muni","LQA_LIQUIDITY_SCORE")</f>
        <v>#N/A Requesting Data...</v>
      </c>
    </row>
    <row r="358" spans="1:20" x14ac:dyDescent="0.25">
      <c r="A358" t="str">
        <f>_xll.BDP("073177GG Muni","ID_CUSIP")</f>
        <v>#N/A Requesting Data...</v>
      </c>
      <c r="B358" t="s">
        <v>130</v>
      </c>
      <c r="C358" t="str">
        <f>_xll.BDP("073177GG Muni","INSURANCE_STATUS")</f>
        <v>#N/A Requesting Data...</v>
      </c>
      <c r="D358" t="str">
        <f>_xll.BDP("073177GG Muni","STATE_CODE")</f>
        <v>#N/A Requesting Data...</v>
      </c>
      <c r="E358" t="str">
        <f>_xll.BDP("073177GG Muni","COUNTY_LOCATION_ISSUER")</f>
        <v>#N/A Requesting Data...</v>
      </c>
      <c r="F358" t="str">
        <f>_xll.BDP("073177GG Muni","DUR_ADJ_MID")</f>
        <v>#N/A Requesting Data...</v>
      </c>
      <c r="G358" t="str">
        <f>_xll.BDP("073177GG Muni","SPREAD_AT_ISSUANCE_TO_WORST")</f>
        <v>#N/A Requesting Data...</v>
      </c>
      <c r="H358" t="str">
        <f>_xll.BDP("073177GG Muni","ISSUE_DT")</f>
        <v>#N/A Requesting Data...</v>
      </c>
      <c r="I358" t="str">
        <f>_xll.BDS("073177GG Muni","MUNI_PURPOSE_SCHED", "aggregate=y")</f>
        <v>#N/A Requesting Data...</v>
      </c>
      <c r="J358" t="str">
        <f>_xll.BDP("073177GG Muni","CPN")</f>
        <v>#N/A Requesting Data...</v>
      </c>
      <c r="K358" t="str">
        <f>_xll.BDP("073177GG Muni","MATURITY")</f>
        <v>#N/A Requesting Data...</v>
      </c>
      <c r="L358">
        <v>1000000</v>
      </c>
      <c r="M358" t="str">
        <f>_xll.BDP("073177GG Muni","YIELD_ON_ISSUE_DATE")</f>
        <v>#N/A Requesting Data...</v>
      </c>
      <c r="N358" t="str">
        <f>_xll.BDP("073177GG Muni","YTW_SPREAD_TO_MATURITY_AT_ISSU")</f>
        <v>#N/A Requesting Data...</v>
      </c>
      <c r="O358" t="str">
        <f>_xll.BDP("073177GG Muni","BVAL_MID_YTM")</f>
        <v>#N/A Requesting Data...</v>
      </c>
      <c r="P358" t="str">
        <f>_xll.BDP("073177GG Muni","MUNI_TAX_PROV")</f>
        <v>#N/A Requesting Data...</v>
      </c>
      <c r="Q358" t="str">
        <f>_xll.BDP("073177GG Muni","MUNI_FED_TAX")</f>
        <v>#N/A Requesting Data...</v>
      </c>
      <c r="R358" t="str">
        <f>_xll.BDP("073177GG Muni","MUNI_MSRB_VOLUME")</f>
        <v>#N/A Requesting Data...</v>
      </c>
      <c r="S358" t="str">
        <f>_xll.BDP("073177GG Muni","BB_COMPOSITE")</f>
        <v>#N/A Requesting Data...</v>
      </c>
      <c r="T358" t="str">
        <f>_xll.BDP("073177GG Muni","LQA_LIQUIDITY_SCORE")</f>
        <v>#N/A Requesting Data...</v>
      </c>
    </row>
    <row r="359" spans="1:20" x14ac:dyDescent="0.25">
      <c r="A359" t="str">
        <f>_xll.BDP("073177GH Muni","ID_CUSIP")</f>
        <v>#N/A Requesting Data...</v>
      </c>
      <c r="B359" t="s">
        <v>130</v>
      </c>
      <c r="C359" t="str">
        <f>_xll.BDP("073177GH Muni","INSURANCE_STATUS")</f>
        <v>#N/A Requesting Data...</v>
      </c>
      <c r="D359" t="str">
        <f>_xll.BDP("073177GH Muni","STATE_CODE")</f>
        <v>#N/A Requesting Data...</v>
      </c>
      <c r="E359" t="str">
        <f>_xll.BDP("073177GH Muni","COUNTY_LOCATION_ISSUER")</f>
        <v>#N/A Requesting Data...</v>
      </c>
      <c r="F359" t="str">
        <f>_xll.BDP("073177GH Muni","DUR_ADJ_MID")</f>
        <v>#N/A Requesting Data...</v>
      </c>
      <c r="G359" t="str">
        <f>_xll.BDP("073177GH Muni","SPREAD_AT_ISSUANCE_TO_WORST")</f>
        <v>#N/A Requesting Data...</v>
      </c>
      <c r="H359" t="str">
        <f>_xll.BDP("073177GH Muni","ISSUE_DT")</f>
        <v>#N/A Requesting Data...</v>
      </c>
      <c r="I359" t="str">
        <f>_xll.BDS("073177GH Muni","MUNI_PURPOSE_SCHED", "aggregate=y")</f>
        <v>#N/A Requesting Data...</v>
      </c>
      <c r="J359" t="str">
        <f>_xll.BDP("073177GH Muni","CPN")</f>
        <v>#N/A Requesting Data...</v>
      </c>
      <c r="K359" t="str">
        <f>_xll.BDP("073177GH Muni","MATURITY")</f>
        <v>#N/A Requesting Data...</v>
      </c>
      <c r="L359">
        <v>1000000</v>
      </c>
      <c r="M359" t="str">
        <f>_xll.BDP("073177GH Muni","YIELD_ON_ISSUE_DATE")</f>
        <v>#N/A Requesting Data...</v>
      </c>
      <c r="N359" t="str">
        <f>_xll.BDP("073177GH Muni","YTW_SPREAD_TO_MATURITY_AT_ISSU")</f>
        <v>#N/A Requesting Data...</v>
      </c>
      <c r="O359" t="str">
        <f>_xll.BDP("073177GH Muni","BVAL_MID_YTM")</f>
        <v>#N/A Requesting Data...</v>
      </c>
      <c r="P359" t="str">
        <f>_xll.BDP("073177GH Muni","MUNI_TAX_PROV")</f>
        <v>#N/A Requesting Data...</v>
      </c>
      <c r="Q359" t="str">
        <f>_xll.BDP("073177GH Muni","MUNI_FED_TAX")</f>
        <v>#N/A Requesting Data...</v>
      </c>
      <c r="R359" t="str">
        <f>_xll.BDP("073177GH Muni","MUNI_MSRB_VOLUME")</f>
        <v>#N/A Requesting Data...</v>
      </c>
      <c r="S359" t="str">
        <f>_xll.BDP("073177GH Muni","BB_COMPOSITE")</f>
        <v>#N/A Requesting Data...</v>
      </c>
      <c r="T359" t="str">
        <f>_xll.BDP("073177GH Muni","LQA_LIQUIDITY_SCORE")</f>
        <v>#N/A Requesting Data...</v>
      </c>
    </row>
    <row r="360" spans="1:20" x14ac:dyDescent="0.25">
      <c r="A360" t="str">
        <f>_xll.BDP("073177GJ Muni","ID_CUSIP")</f>
        <v>#N/A Requesting Data...</v>
      </c>
      <c r="B360" t="s">
        <v>130</v>
      </c>
      <c r="C360" t="str">
        <f>_xll.BDP("073177GJ Muni","INSURANCE_STATUS")</f>
        <v>#N/A Requesting Data...</v>
      </c>
      <c r="D360" t="str">
        <f>_xll.BDP("073177GJ Muni","STATE_CODE")</f>
        <v>#N/A Requesting Data...</v>
      </c>
      <c r="E360" t="str">
        <f>_xll.BDP("073177GJ Muni","COUNTY_LOCATION_ISSUER")</f>
        <v>#N/A Requesting Data...</v>
      </c>
      <c r="F360" t="str">
        <f>_xll.BDP("073177GJ Muni","DUR_ADJ_MID")</f>
        <v>#N/A Requesting Data...</v>
      </c>
      <c r="G360" t="str">
        <f>_xll.BDP("073177GJ Muni","SPREAD_AT_ISSUANCE_TO_WORST")</f>
        <v>#N/A Requesting Data...</v>
      </c>
      <c r="H360" t="str">
        <f>_xll.BDP("073177GJ Muni","ISSUE_DT")</f>
        <v>#N/A Requesting Data...</v>
      </c>
      <c r="I360" t="str">
        <f>_xll.BDS("073177GJ Muni","MUNI_PURPOSE_SCHED", "aggregate=y")</f>
        <v>#N/A Requesting Data...</v>
      </c>
      <c r="J360" t="str">
        <f>_xll.BDP("073177GJ Muni","CPN")</f>
        <v>#N/A Requesting Data...</v>
      </c>
      <c r="K360" t="str">
        <f>_xll.BDP("073177GJ Muni","MATURITY")</f>
        <v>#N/A Requesting Data...</v>
      </c>
      <c r="L360">
        <v>1000000</v>
      </c>
      <c r="M360" t="str">
        <f>_xll.BDP("073177GJ Muni","YIELD_ON_ISSUE_DATE")</f>
        <v>#N/A Requesting Data...</v>
      </c>
      <c r="N360" t="str">
        <f>_xll.BDP("073177GJ Muni","YTW_SPREAD_TO_MATURITY_AT_ISSU")</f>
        <v>#N/A Requesting Data...</v>
      </c>
      <c r="O360" t="str">
        <f>_xll.BDP("073177GJ Muni","BVAL_MID_YTM")</f>
        <v>#N/A Requesting Data...</v>
      </c>
      <c r="P360" t="str">
        <f>_xll.BDP("073177GJ Muni","MUNI_TAX_PROV")</f>
        <v>#N/A Requesting Data...</v>
      </c>
      <c r="Q360" t="str">
        <f>_xll.BDP("073177GJ Muni","MUNI_FED_TAX")</f>
        <v>#N/A Requesting Data...</v>
      </c>
      <c r="R360" t="str">
        <f>_xll.BDP("073177GJ Muni","MUNI_MSRB_VOLUME")</f>
        <v>#N/A Requesting Data...</v>
      </c>
      <c r="S360" t="str">
        <f>_xll.BDP("073177GJ Muni","BB_COMPOSITE")</f>
        <v>#N/A Requesting Data...</v>
      </c>
      <c r="T360" t="str">
        <f>_xll.BDP("073177GJ Muni","LQA_LIQUIDITY_SCORE")</f>
        <v>#N/A Requesting Data...</v>
      </c>
    </row>
    <row r="361" spans="1:20" x14ac:dyDescent="0.25">
      <c r="A361" t="str">
        <f>_xll.BDP("073177GK Muni","ID_CUSIP")</f>
        <v>#N/A Requesting Data...</v>
      </c>
      <c r="B361" t="s">
        <v>130</v>
      </c>
      <c r="C361" t="str">
        <f>_xll.BDP("073177GK Muni","INSURANCE_STATUS")</f>
        <v>#N/A Requesting Data...</v>
      </c>
      <c r="D361" t="str">
        <f>_xll.BDP("073177GK Muni","STATE_CODE")</f>
        <v>#N/A Requesting Data...</v>
      </c>
      <c r="E361" t="str">
        <f>_xll.BDP("073177GK Muni","COUNTY_LOCATION_ISSUER")</f>
        <v>#N/A Requesting Data...</v>
      </c>
      <c r="F361" t="str">
        <f>_xll.BDP("073177GK Muni","DUR_ADJ_MID")</f>
        <v>#N/A Requesting Data...</v>
      </c>
      <c r="G361" t="str">
        <f>_xll.BDP("073177GK Muni","SPREAD_AT_ISSUANCE_TO_WORST")</f>
        <v>#N/A Requesting Data...</v>
      </c>
      <c r="H361" t="str">
        <f>_xll.BDP("073177GK Muni","ISSUE_DT")</f>
        <v>#N/A Requesting Data...</v>
      </c>
      <c r="I361" t="str">
        <f>_xll.BDS("073177GK Muni","MUNI_PURPOSE_SCHED", "aggregate=y")</f>
        <v>#N/A Requesting Data...</v>
      </c>
      <c r="J361" t="str">
        <f>_xll.BDP("073177GK Muni","CPN")</f>
        <v>#N/A Requesting Data...</v>
      </c>
      <c r="K361" t="str">
        <f>_xll.BDP("073177GK Muni","MATURITY")</f>
        <v>#N/A Requesting Data...</v>
      </c>
      <c r="L361">
        <v>1000000</v>
      </c>
      <c r="M361" t="str">
        <f>_xll.BDP("073177GK Muni","YIELD_ON_ISSUE_DATE")</f>
        <v>#N/A Requesting Data...</v>
      </c>
      <c r="N361" t="str">
        <f>_xll.BDP("073177GK Muni","YTW_SPREAD_TO_MATURITY_AT_ISSU")</f>
        <v>#N/A Requesting Data...</v>
      </c>
      <c r="O361" t="str">
        <f>_xll.BDP("073177GK Muni","BVAL_MID_YTM")</f>
        <v>#N/A Requesting Data...</v>
      </c>
      <c r="P361" t="str">
        <f>_xll.BDP("073177GK Muni","MUNI_TAX_PROV")</f>
        <v>#N/A Requesting Data...</v>
      </c>
      <c r="Q361" t="str">
        <f>_xll.BDP("073177GK Muni","MUNI_FED_TAX")</f>
        <v>#N/A Requesting Data...</v>
      </c>
      <c r="R361" t="str">
        <f>_xll.BDP("073177GK Muni","MUNI_MSRB_VOLUME")</f>
        <v>#N/A Requesting Data...</v>
      </c>
      <c r="S361" t="str">
        <f>_xll.BDP("073177GK Muni","BB_COMPOSITE")</f>
        <v>#N/A Requesting Data...</v>
      </c>
      <c r="T361" t="str">
        <f>_xll.BDP("073177GK Muni","LQA_LIQUIDITY_SCORE")</f>
        <v>#N/A Requesting Data...</v>
      </c>
    </row>
    <row r="362" spans="1:20" x14ac:dyDescent="0.25">
      <c r="A362" t="str">
        <f>_xll.BDP("073177GL Muni","ID_CUSIP")</f>
        <v>#N/A Requesting Data...</v>
      </c>
      <c r="B362" t="s">
        <v>130</v>
      </c>
      <c r="C362" t="str">
        <f>_xll.BDP("073177GL Muni","INSURANCE_STATUS")</f>
        <v>#N/A Requesting Data...</v>
      </c>
      <c r="D362" t="str">
        <f>_xll.BDP("073177GL Muni","STATE_CODE")</f>
        <v>#N/A Requesting Data...</v>
      </c>
      <c r="E362" t="str">
        <f>_xll.BDP("073177GL Muni","COUNTY_LOCATION_ISSUER")</f>
        <v>#N/A Requesting Data...</v>
      </c>
      <c r="F362" t="str">
        <f>_xll.BDP("073177GL Muni","DUR_ADJ_MID")</f>
        <v>#N/A Requesting Data...</v>
      </c>
      <c r="G362" t="str">
        <f>_xll.BDP("073177GL Muni","SPREAD_AT_ISSUANCE_TO_WORST")</f>
        <v>#N/A Requesting Data...</v>
      </c>
      <c r="H362" t="str">
        <f>_xll.BDP("073177GL Muni","ISSUE_DT")</f>
        <v>#N/A Requesting Data...</v>
      </c>
      <c r="I362" t="str">
        <f>_xll.BDS("073177GL Muni","MUNI_PURPOSE_SCHED", "aggregate=y")</f>
        <v>#N/A Requesting Data...</v>
      </c>
      <c r="J362" t="str">
        <f>_xll.BDP("073177GL Muni","CPN")</f>
        <v>#N/A Requesting Data...</v>
      </c>
      <c r="K362" t="str">
        <f>_xll.BDP("073177GL Muni","MATURITY")</f>
        <v>#N/A Requesting Data...</v>
      </c>
      <c r="L362">
        <v>1000000</v>
      </c>
      <c r="M362" t="str">
        <f>_xll.BDP("073177GL Muni","YIELD_ON_ISSUE_DATE")</f>
        <v>#N/A Requesting Data...</v>
      </c>
      <c r="N362" t="str">
        <f>_xll.BDP("073177GL Muni","YTW_SPREAD_TO_MATURITY_AT_ISSU")</f>
        <v>#N/A Requesting Data...</v>
      </c>
      <c r="O362" t="str">
        <f>_xll.BDP("073177GL Muni","BVAL_MID_YTM")</f>
        <v>#N/A Requesting Data...</v>
      </c>
      <c r="P362" t="str">
        <f>_xll.BDP("073177GL Muni","MUNI_TAX_PROV")</f>
        <v>#N/A Requesting Data...</v>
      </c>
      <c r="Q362" t="str">
        <f>_xll.BDP("073177GL Muni","MUNI_FED_TAX")</f>
        <v>#N/A Requesting Data...</v>
      </c>
      <c r="R362" t="str">
        <f>_xll.BDP("073177GL Muni","MUNI_MSRB_VOLUME")</f>
        <v>#N/A Requesting Data...</v>
      </c>
      <c r="S362" t="str">
        <f>_xll.BDP("073177GL Muni","BB_COMPOSITE")</f>
        <v>#N/A Requesting Data...</v>
      </c>
      <c r="T362" t="str">
        <f>_xll.BDP("073177GL Muni","LQA_LIQUIDITY_SCORE")</f>
        <v>#N/A Requesting Data...</v>
      </c>
    </row>
    <row r="363" spans="1:20" x14ac:dyDescent="0.25">
      <c r="A363" t="str">
        <f>_xll.BDP("073177GM Muni","ID_CUSIP")</f>
        <v>#N/A Requesting Data...</v>
      </c>
      <c r="B363" t="s">
        <v>130</v>
      </c>
      <c r="C363" t="str">
        <f>_xll.BDP("073177GM Muni","INSURANCE_STATUS")</f>
        <v>#N/A Requesting Data...</v>
      </c>
      <c r="D363" t="str">
        <f>_xll.BDP("073177GM Muni","STATE_CODE")</f>
        <v>#N/A Requesting Data...</v>
      </c>
      <c r="E363" t="str">
        <f>_xll.BDP("073177GM Muni","COUNTY_LOCATION_ISSUER")</f>
        <v>#N/A Requesting Data...</v>
      </c>
      <c r="F363" t="str">
        <f>_xll.BDP("073177GM Muni","DUR_ADJ_MID")</f>
        <v>#N/A Requesting Data...</v>
      </c>
      <c r="G363" t="str">
        <f>_xll.BDP("073177GM Muni","SPREAD_AT_ISSUANCE_TO_WORST")</f>
        <v>#N/A Requesting Data...</v>
      </c>
      <c r="H363" t="str">
        <f>_xll.BDP("073177GM Muni","ISSUE_DT")</f>
        <v>#N/A Requesting Data...</v>
      </c>
      <c r="I363" t="str">
        <f>_xll.BDS("073177GM Muni","MUNI_PURPOSE_SCHED", "aggregate=y")</f>
        <v>#N/A Requesting Data...</v>
      </c>
      <c r="J363" t="str">
        <f>_xll.BDP("073177GM Muni","CPN")</f>
        <v>#N/A Requesting Data...</v>
      </c>
      <c r="K363" t="str">
        <f>_xll.BDP("073177GM Muni","MATURITY")</f>
        <v>#N/A Requesting Data...</v>
      </c>
      <c r="L363">
        <v>1000000</v>
      </c>
      <c r="M363" t="str">
        <f>_xll.BDP("073177GM Muni","YIELD_ON_ISSUE_DATE")</f>
        <v>#N/A Requesting Data...</v>
      </c>
      <c r="N363" t="str">
        <f>_xll.BDP("073177GM Muni","YTW_SPREAD_TO_MATURITY_AT_ISSU")</f>
        <v>#N/A Requesting Data...</v>
      </c>
      <c r="O363" t="str">
        <f>_xll.BDP("073177GM Muni","BVAL_MID_YTM")</f>
        <v>#N/A Requesting Data...</v>
      </c>
      <c r="P363" t="str">
        <f>_xll.BDP("073177GM Muni","MUNI_TAX_PROV")</f>
        <v>#N/A Requesting Data...</v>
      </c>
      <c r="Q363" t="str">
        <f>_xll.BDP("073177GM Muni","MUNI_FED_TAX")</f>
        <v>#N/A Requesting Data...</v>
      </c>
      <c r="R363" t="str">
        <f>_xll.BDP("073177GM Muni","MUNI_MSRB_VOLUME")</f>
        <v>#N/A Requesting Data...</v>
      </c>
      <c r="S363" t="str">
        <f>_xll.BDP("073177GM Muni","BB_COMPOSITE")</f>
        <v>#N/A Requesting Data...</v>
      </c>
      <c r="T363" t="str">
        <f>_xll.BDP("073177GM Muni","LQA_LIQUIDITY_SCORE")</f>
        <v>#N/A Requesting Data...</v>
      </c>
    </row>
    <row r="364" spans="1:20" x14ac:dyDescent="0.25">
      <c r="A364" t="str">
        <f>_xll.BDP("073613AD Muni","ID_CUSIP")</f>
        <v>#N/A Requesting Data...</v>
      </c>
      <c r="B364" t="s">
        <v>131</v>
      </c>
      <c r="C364" t="str">
        <f>_xll.BDP("073613AD Muni","INSURANCE_STATUS")</f>
        <v>#N/A Requesting Data...</v>
      </c>
      <c r="D364" t="str">
        <f>_xll.BDP("073613AD Muni","STATE_CODE")</f>
        <v>#N/A Requesting Data...</v>
      </c>
      <c r="E364" t="str">
        <f>_xll.BDP("073613AD Muni","COUNTY_LOCATION_ISSUER")</f>
        <v>#N/A Requesting Data...</v>
      </c>
      <c r="F364" t="str">
        <f>_xll.BDP("073613AD Muni","DUR_ADJ_MID")</f>
        <v>#N/A Requesting Data...</v>
      </c>
      <c r="G364" t="str">
        <f>_xll.BDP("073613AD Muni","SPREAD_AT_ISSUANCE_TO_WORST")</f>
        <v>#N/A Requesting Data...</v>
      </c>
      <c r="H364" t="str">
        <f>_xll.BDP("073613AD Muni","ISSUE_DT")</f>
        <v>#N/A Requesting Data...</v>
      </c>
      <c r="I364" t="str">
        <f>_xll.BDS("073613AD Muni","MUNI_PURPOSE_SCHED", "aggregate=y")</f>
        <v>#N/A Requesting Data...</v>
      </c>
      <c r="J364" t="str">
        <f>_xll.BDP("073613AD Muni","CPN")</f>
        <v>#N/A Requesting Data...</v>
      </c>
      <c r="K364" t="str">
        <f>_xll.BDP("073613AD Muni","MATURITY")</f>
        <v>#N/A Requesting Data...</v>
      </c>
      <c r="L364">
        <v>130000</v>
      </c>
      <c r="M364" t="str">
        <f>_xll.BDP("073613AD Muni","YIELD_ON_ISSUE_DATE")</f>
        <v>#N/A Requesting Data...</v>
      </c>
      <c r="N364" t="str">
        <f>_xll.BDP("073613AD Muni","YTW_SPREAD_TO_MATURITY_AT_ISSU")</f>
        <v>#N/A Requesting Data...</v>
      </c>
      <c r="O364" t="str">
        <f>_xll.BDP("073613AD Muni","BVAL_MID_YTM")</f>
        <v>#N/A Requesting Data...</v>
      </c>
      <c r="P364" t="str">
        <f>_xll.BDP("073613AD Muni","MUNI_TAX_PROV")</f>
        <v>#N/A Requesting Data...</v>
      </c>
      <c r="Q364" t="str">
        <f>_xll.BDP("073613AD Muni","MUNI_FED_TAX")</f>
        <v>#N/A Requesting Data...</v>
      </c>
      <c r="R364" t="str">
        <f>_xll.BDP("073613AD Muni","MUNI_MSRB_VOLUME")</f>
        <v>#N/A Requesting Data...</v>
      </c>
      <c r="S364" t="str">
        <f>_xll.BDP("073613AD Muni","BB_COMPOSITE")</f>
        <v>#N/A Requesting Data...</v>
      </c>
      <c r="T364" t="str">
        <f>_xll.BDP("073613AD Muni","LQA_LIQUIDITY_SCORE")</f>
        <v>#N/A Requesting Data...</v>
      </c>
    </row>
    <row r="365" spans="1:20" x14ac:dyDescent="0.25">
      <c r="A365" t="str">
        <f>_xll.BDP("073613AE Muni","ID_CUSIP")</f>
        <v>#N/A Requesting Data...</v>
      </c>
      <c r="B365" t="s">
        <v>131</v>
      </c>
      <c r="C365" t="str">
        <f>_xll.BDP("073613AE Muni","INSURANCE_STATUS")</f>
        <v>#N/A Requesting Data...</v>
      </c>
      <c r="D365" t="str">
        <f>_xll.BDP("073613AE Muni","STATE_CODE")</f>
        <v>#N/A Requesting Data...</v>
      </c>
      <c r="E365" t="str">
        <f>_xll.BDP("073613AE Muni","COUNTY_LOCATION_ISSUER")</f>
        <v>#N/A Requesting Data...</v>
      </c>
      <c r="F365" t="str">
        <f>_xll.BDP("073613AE Muni","DUR_ADJ_MID")</f>
        <v>#N/A Requesting Data...</v>
      </c>
      <c r="G365" t="str">
        <f>_xll.BDP("073613AE Muni","SPREAD_AT_ISSUANCE_TO_WORST")</f>
        <v>#N/A Requesting Data...</v>
      </c>
      <c r="H365" t="str">
        <f>_xll.BDP("073613AE Muni","ISSUE_DT")</f>
        <v>#N/A Requesting Data...</v>
      </c>
      <c r="I365" t="str">
        <f>_xll.BDS("073613AE Muni","MUNI_PURPOSE_SCHED", "aggregate=y")</f>
        <v>#N/A Requesting Data...</v>
      </c>
      <c r="J365" t="str">
        <f>_xll.BDP("073613AE Muni","CPN")</f>
        <v>#N/A Requesting Data...</v>
      </c>
      <c r="K365" t="str">
        <f>_xll.BDP("073613AE Muni","MATURITY")</f>
        <v>#N/A Requesting Data...</v>
      </c>
      <c r="L365">
        <v>130000</v>
      </c>
      <c r="M365" t="str">
        <f>_xll.BDP("073613AE Muni","YIELD_ON_ISSUE_DATE")</f>
        <v>#N/A Requesting Data...</v>
      </c>
      <c r="N365" t="str">
        <f>_xll.BDP("073613AE Muni","YTW_SPREAD_TO_MATURITY_AT_ISSU")</f>
        <v>#N/A Requesting Data...</v>
      </c>
      <c r="O365" t="str">
        <f>_xll.BDP("073613AE Muni","BVAL_MID_YTM")</f>
        <v>#N/A Requesting Data...</v>
      </c>
      <c r="P365" t="str">
        <f>_xll.BDP("073613AE Muni","MUNI_TAX_PROV")</f>
        <v>#N/A Requesting Data...</v>
      </c>
      <c r="Q365" t="str">
        <f>_xll.BDP("073613AE Muni","MUNI_FED_TAX")</f>
        <v>#N/A Requesting Data...</v>
      </c>
      <c r="R365" t="str">
        <f>_xll.BDP("073613AE Muni","MUNI_MSRB_VOLUME")</f>
        <v>#N/A Requesting Data...</v>
      </c>
      <c r="S365" t="str">
        <f>_xll.BDP("073613AE Muni","BB_COMPOSITE")</f>
        <v>#N/A Requesting Data...</v>
      </c>
      <c r="T365" t="str">
        <f>_xll.BDP("073613AE Muni","LQA_LIQUIDITY_SCORE")</f>
        <v>#N/A Requesting Data...</v>
      </c>
    </row>
    <row r="366" spans="1:20" x14ac:dyDescent="0.25">
      <c r="A366" t="str">
        <f>_xll.BDP("073613AF Muni","ID_CUSIP")</f>
        <v>#N/A Requesting Data...</v>
      </c>
      <c r="B366" t="s">
        <v>131</v>
      </c>
      <c r="C366" t="str">
        <f>_xll.BDP("073613AF Muni","INSURANCE_STATUS")</f>
        <v>#N/A Requesting Data...</v>
      </c>
      <c r="D366" t="str">
        <f>_xll.BDP("073613AF Muni","STATE_CODE")</f>
        <v>#N/A Requesting Data...</v>
      </c>
      <c r="E366" t="str">
        <f>_xll.BDP("073613AF Muni","COUNTY_LOCATION_ISSUER")</f>
        <v>#N/A Requesting Data...</v>
      </c>
      <c r="F366" t="str">
        <f>_xll.BDP("073613AF Muni","DUR_ADJ_MID")</f>
        <v>#N/A Requesting Data...</v>
      </c>
      <c r="G366" t="str">
        <f>_xll.BDP("073613AF Muni","SPREAD_AT_ISSUANCE_TO_WORST")</f>
        <v>#N/A Requesting Data...</v>
      </c>
      <c r="H366" t="str">
        <f>_xll.BDP("073613AF Muni","ISSUE_DT")</f>
        <v>#N/A Requesting Data...</v>
      </c>
      <c r="I366" t="str">
        <f>_xll.BDS("073613AF Muni","MUNI_PURPOSE_SCHED", "aggregate=y")</f>
        <v>#N/A Requesting Data...</v>
      </c>
      <c r="J366" t="str">
        <f>_xll.BDP("073613AF Muni","CPN")</f>
        <v>#N/A Requesting Data...</v>
      </c>
      <c r="K366" t="str">
        <f>_xll.BDP("073613AF Muni","MATURITY")</f>
        <v>#N/A Requesting Data...</v>
      </c>
      <c r="L366">
        <v>140000</v>
      </c>
      <c r="M366" t="str">
        <f>_xll.BDP("073613AF Muni","YIELD_ON_ISSUE_DATE")</f>
        <v>#N/A Requesting Data...</v>
      </c>
      <c r="N366" t="str">
        <f>_xll.BDP("073613AF Muni","YTW_SPREAD_TO_MATURITY_AT_ISSU")</f>
        <v>#N/A Requesting Data...</v>
      </c>
      <c r="O366" t="str">
        <f>_xll.BDP("073613AF Muni","BVAL_MID_YTM")</f>
        <v>#N/A Requesting Data...</v>
      </c>
      <c r="P366" t="str">
        <f>_xll.BDP("073613AF Muni","MUNI_TAX_PROV")</f>
        <v>#N/A Requesting Data...</v>
      </c>
      <c r="Q366" t="str">
        <f>_xll.BDP("073613AF Muni","MUNI_FED_TAX")</f>
        <v>#N/A Requesting Data...</v>
      </c>
      <c r="R366" t="str">
        <f>_xll.BDP("073613AF Muni","MUNI_MSRB_VOLUME")</f>
        <v>#N/A Requesting Data...</v>
      </c>
      <c r="S366" t="str">
        <f>_xll.BDP("073613AF Muni","BB_COMPOSITE")</f>
        <v>#N/A Requesting Data...</v>
      </c>
      <c r="T366" t="str">
        <f>_xll.BDP("073613AF Muni","LQA_LIQUIDITY_SCORE")</f>
        <v>#N/A Requesting Data...</v>
      </c>
    </row>
    <row r="367" spans="1:20" x14ac:dyDescent="0.25">
      <c r="A367" t="str">
        <f>_xll.BDP("073613AG Muni","ID_CUSIP")</f>
        <v>#N/A Requesting Data...</v>
      </c>
      <c r="B367" t="s">
        <v>131</v>
      </c>
      <c r="C367" t="str">
        <f>_xll.BDP("073613AG Muni","INSURANCE_STATUS")</f>
        <v>#N/A Requesting Data...</v>
      </c>
      <c r="D367" t="str">
        <f>_xll.BDP("073613AG Muni","STATE_CODE")</f>
        <v>#N/A Requesting Data...</v>
      </c>
      <c r="E367" t="str">
        <f>_xll.BDP("073613AG Muni","COUNTY_LOCATION_ISSUER")</f>
        <v>#N/A Requesting Data...</v>
      </c>
      <c r="F367" t="str">
        <f>_xll.BDP("073613AG Muni","DUR_ADJ_MID")</f>
        <v>#N/A Requesting Data...</v>
      </c>
      <c r="G367" t="str">
        <f>_xll.BDP("073613AG Muni","SPREAD_AT_ISSUANCE_TO_WORST")</f>
        <v>#N/A Requesting Data...</v>
      </c>
      <c r="H367" t="str">
        <f>_xll.BDP("073613AG Muni","ISSUE_DT")</f>
        <v>#N/A Requesting Data...</v>
      </c>
      <c r="I367" t="str">
        <f>_xll.BDS("073613AG Muni","MUNI_PURPOSE_SCHED", "aggregate=y")</f>
        <v>#N/A Requesting Data...</v>
      </c>
      <c r="J367" t="str">
        <f>_xll.BDP("073613AG Muni","CPN")</f>
        <v>#N/A Requesting Data...</v>
      </c>
      <c r="K367" t="str">
        <f>_xll.BDP("073613AG Muni","MATURITY")</f>
        <v>#N/A Requesting Data...</v>
      </c>
      <c r="L367">
        <v>150000</v>
      </c>
      <c r="M367" t="str">
        <f>_xll.BDP("073613AG Muni","YIELD_ON_ISSUE_DATE")</f>
        <v>#N/A Requesting Data...</v>
      </c>
      <c r="N367" t="str">
        <f>_xll.BDP("073613AG Muni","YTW_SPREAD_TO_MATURITY_AT_ISSU")</f>
        <v>#N/A Requesting Data...</v>
      </c>
      <c r="O367" t="str">
        <f>_xll.BDP("073613AG Muni","BVAL_MID_YTM")</f>
        <v>#N/A Requesting Data...</v>
      </c>
      <c r="P367" t="str">
        <f>_xll.BDP("073613AG Muni","MUNI_TAX_PROV")</f>
        <v>#N/A Requesting Data...</v>
      </c>
      <c r="Q367" t="str">
        <f>_xll.BDP("073613AG Muni","MUNI_FED_TAX")</f>
        <v>#N/A Requesting Data...</v>
      </c>
      <c r="R367" t="str">
        <f>_xll.BDP("073613AG Muni","MUNI_MSRB_VOLUME")</f>
        <v>#N/A Requesting Data...</v>
      </c>
      <c r="S367" t="str">
        <f>_xll.BDP("073613AG Muni","BB_COMPOSITE")</f>
        <v>#N/A Requesting Data...</v>
      </c>
      <c r="T367" t="str">
        <f>_xll.BDP("073613AG Muni","LQA_LIQUIDITY_SCORE")</f>
        <v>#N/A Requesting Data...</v>
      </c>
    </row>
    <row r="368" spans="1:20" x14ac:dyDescent="0.25">
      <c r="A368" t="str">
        <f>_xll.BDP("073613AH Muni","ID_CUSIP")</f>
        <v>#N/A Requesting Data...</v>
      </c>
      <c r="B368" t="s">
        <v>131</v>
      </c>
      <c r="C368" t="str">
        <f>_xll.BDP("073613AH Muni","INSURANCE_STATUS")</f>
        <v>#N/A Requesting Data...</v>
      </c>
      <c r="D368" t="str">
        <f>_xll.BDP("073613AH Muni","STATE_CODE")</f>
        <v>#N/A Requesting Data...</v>
      </c>
      <c r="E368" t="str">
        <f>_xll.BDP("073613AH Muni","COUNTY_LOCATION_ISSUER")</f>
        <v>#N/A Requesting Data...</v>
      </c>
      <c r="F368" t="str">
        <f>_xll.BDP("073613AH Muni","DUR_ADJ_MID")</f>
        <v>#N/A Requesting Data...</v>
      </c>
      <c r="G368" t="str">
        <f>_xll.BDP("073613AH Muni","SPREAD_AT_ISSUANCE_TO_WORST")</f>
        <v>#N/A Requesting Data...</v>
      </c>
      <c r="H368" t="str">
        <f>_xll.BDP("073613AH Muni","ISSUE_DT")</f>
        <v>#N/A Requesting Data...</v>
      </c>
      <c r="I368" t="str">
        <f>_xll.BDS("073613AH Muni","MUNI_PURPOSE_SCHED", "aggregate=y")</f>
        <v>#N/A Requesting Data...</v>
      </c>
      <c r="J368" t="str">
        <f>_xll.BDP("073613AH Muni","CPN")</f>
        <v>#N/A Requesting Data...</v>
      </c>
      <c r="K368" t="str">
        <f>_xll.BDP("073613AH Muni","MATURITY")</f>
        <v>#N/A Requesting Data...</v>
      </c>
      <c r="L368">
        <v>155000</v>
      </c>
      <c r="M368" t="str">
        <f>_xll.BDP("073613AH Muni","YIELD_ON_ISSUE_DATE")</f>
        <v>#N/A Requesting Data...</v>
      </c>
      <c r="N368" t="str">
        <f>_xll.BDP("073613AH Muni","YTW_SPREAD_TO_MATURITY_AT_ISSU")</f>
        <v>#N/A Requesting Data...</v>
      </c>
      <c r="O368" t="str">
        <f>_xll.BDP("073613AH Muni","BVAL_MID_YTM")</f>
        <v>#N/A Requesting Data...</v>
      </c>
      <c r="P368" t="str">
        <f>_xll.BDP("073613AH Muni","MUNI_TAX_PROV")</f>
        <v>#N/A Requesting Data...</v>
      </c>
      <c r="Q368" t="str">
        <f>_xll.BDP("073613AH Muni","MUNI_FED_TAX")</f>
        <v>#N/A Requesting Data...</v>
      </c>
      <c r="R368" t="str">
        <f>_xll.BDP("073613AH Muni","MUNI_MSRB_VOLUME")</f>
        <v>#N/A Requesting Data...</v>
      </c>
      <c r="S368" t="str">
        <f>_xll.BDP("073613AH Muni","BB_COMPOSITE")</f>
        <v>#N/A Requesting Data...</v>
      </c>
      <c r="T368" t="str">
        <f>_xll.BDP("073613AH Muni","LQA_LIQUIDITY_SCORE")</f>
        <v>#N/A Requesting Data...</v>
      </c>
    </row>
    <row r="369" spans="1:20" x14ac:dyDescent="0.25">
      <c r="A369" t="str">
        <f>_xll.BDP("073613AJ Muni","ID_CUSIP")</f>
        <v>#N/A Requesting Data...</v>
      </c>
      <c r="B369" t="s">
        <v>131</v>
      </c>
      <c r="C369" t="str">
        <f>_xll.BDP("073613AJ Muni","INSURANCE_STATUS")</f>
        <v>#N/A Requesting Data...</v>
      </c>
      <c r="D369" t="str">
        <f>_xll.BDP("073613AJ Muni","STATE_CODE")</f>
        <v>#N/A Requesting Data...</v>
      </c>
      <c r="E369" t="str">
        <f>_xll.BDP("073613AJ Muni","COUNTY_LOCATION_ISSUER")</f>
        <v>#N/A Requesting Data...</v>
      </c>
      <c r="F369" t="str">
        <f>_xll.BDP("073613AJ Muni","DUR_ADJ_MID")</f>
        <v>#N/A Requesting Data...</v>
      </c>
      <c r="G369" t="str">
        <f>_xll.BDP("073613AJ Muni","SPREAD_AT_ISSUANCE_TO_WORST")</f>
        <v>#N/A Requesting Data...</v>
      </c>
      <c r="H369" t="str">
        <f>_xll.BDP("073613AJ Muni","ISSUE_DT")</f>
        <v>#N/A Requesting Data...</v>
      </c>
      <c r="I369" t="str">
        <f>_xll.BDS("073613AJ Muni","MUNI_PURPOSE_SCHED", "aggregate=y")</f>
        <v>#N/A Requesting Data...</v>
      </c>
      <c r="J369" t="str">
        <f>_xll.BDP("073613AJ Muni","CPN")</f>
        <v>#N/A Requesting Data...</v>
      </c>
      <c r="K369" t="str">
        <f>_xll.BDP("073613AJ Muni","MATURITY")</f>
        <v>#N/A Requesting Data...</v>
      </c>
      <c r="L369">
        <v>160000</v>
      </c>
      <c r="M369" t="str">
        <f>_xll.BDP("073613AJ Muni","YIELD_ON_ISSUE_DATE")</f>
        <v>#N/A Requesting Data...</v>
      </c>
      <c r="N369" t="str">
        <f>_xll.BDP("073613AJ Muni","YTW_SPREAD_TO_MATURITY_AT_ISSU")</f>
        <v>#N/A Requesting Data...</v>
      </c>
      <c r="O369" t="str">
        <f>_xll.BDP("073613AJ Muni","BVAL_MID_YTM")</f>
        <v>#N/A Requesting Data...</v>
      </c>
      <c r="P369" t="str">
        <f>_xll.BDP("073613AJ Muni","MUNI_TAX_PROV")</f>
        <v>#N/A Requesting Data...</v>
      </c>
      <c r="Q369" t="str">
        <f>_xll.BDP("073613AJ Muni","MUNI_FED_TAX")</f>
        <v>#N/A Requesting Data...</v>
      </c>
      <c r="R369" t="str">
        <f>_xll.BDP("073613AJ Muni","MUNI_MSRB_VOLUME")</f>
        <v>#N/A Requesting Data...</v>
      </c>
      <c r="S369" t="str">
        <f>_xll.BDP("073613AJ Muni","BB_COMPOSITE")</f>
        <v>#N/A Requesting Data...</v>
      </c>
      <c r="T369" t="str">
        <f>_xll.BDP("073613AJ Muni","LQA_LIQUIDITY_SCORE")</f>
        <v>#N/A Requesting Data...</v>
      </c>
    </row>
    <row r="370" spans="1:20" x14ac:dyDescent="0.25">
      <c r="A370" t="str">
        <f>_xll.BDP("132339A4 Muni","ID_CUSIP")</f>
        <v>#N/A Requesting Data...</v>
      </c>
      <c r="B370" t="s">
        <v>123</v>
      </c>
      <c r="C370" t="str">
        <f>_xll.BDP("132339A4 Muni","INSURANCE_STATUS")</f>
        <v>#N/A Requesting Data...</v>
      </c>
      <c r="D370" t="str">
        <f>_xll.BDP("132339A4 Muni","STATE_CODE")</f>
        <v>#N/A Requesting Data...</v>
      </c>
      <c r="E370" t="str">
        <f>_xll.BDP("132339A4 Muni","COUNTY_LOCATION_ISSUER")</f>
        <v>#N/A Requesting Data...</v>
      </c>
      <c r="F370" t="str">
        <f>_xll.BDP("132339A4 Muni","DUR_ADJ_MID")</f>
        <v>#N/A Requesting Data...</v>
      </c>
      <c r="G370" t="str">
        <f>_xll.BDP("132339A4 Muni","SPREAD_AT_ISSUANCE_TO_WORST")</f>
        <v>#N/A Requesting Data...</v>
      </c>
      <c r="H370" t="str">
        <f>_xll.BDP("132339A4 Muni","ISSUE_DT")</f>
        <v>#N/A Requesting Data...</v>
      </c>
      <c r="I370" t="str">
        <f>_xll.BDS("132339A4 Muni","MUNI_PURPOSE_SCHED", "aggregate=y")</f>
        <v>#N/A Requesting Data...</v>
      </c>
      <c r="J370" t="str">
        <f>_xll.BDP("132339A4 Muni","CPN")</f>
        <v>#N/A Requesting Data...</v>
      </c>
      <c r="K370" t="str">
        <f>_xll.BDP("132339A4 Muni","MATURITY")</f>
        <v>#N/A Requesting Data...</v>
      </c>
      <c r="L370">
        <v>335000</v>
      </c>
      <c r="M370" t="str">
        <f>_xll.BDP("132339A4 Muni","YIELD_ON_ISSUE_DATE")</f>
        <v>#N/A Requesting Data...</v>
      </c>
      <c r="N370" t="str">
        <f>_xll.BDP("132339A4 Muni","YTW_SPREAD_TO_MATURITY_AT_ISSU")</f>
        <v>#N/A Requesting Data...</v>
      </c>
      <c r="O370" t="str">
        <f>_xll.BDP("132339A4 Muni","BVAL_MID_YTM")</f>
        <v>#N/A Requesting Data...</v>
      </c>
      <c r="P370" t="str">
        <f>_xll.BDP("132339A4 Muni","MUNI_TAX_PROV")</f>
        <v>#N/A Requesting Data...</v>
      </c>
      <c r="Q370" t="str">
        <f>_xll.BDP("132339A4 Muni","MUNI_FED_TAX")</f>
        <v>#N/A Requesting Data...</v>
      </c>
      <c r="R370" t="str">
        <f>_xll.BDP("132339A4 Muni","MUNI_MSRB_VOLUME")</f>
        <v>#N/A Requesting Data...</v>
      </c>
      <c r="S370" t="str">
        <f>_xll.BDP("132339A4 Muni","BB_COMPOSITE")</f>
        <v>#N/A Requesting Data...</v>
      </c>
      <c r="T370" t="str">
        <f>_xll.BDP("132339A4 Muni","LQA_LIQUIDITY_SCORE")</f>
        <v>#N/A Requesting Data...</v>
      </c>
    </row>
    <row r="371" spans="1:20" x14ac:dyDescent="0.25">
      <c r="A371" t="str">
        <f>_xll.BDP("132339A5 Muni","ID_CUSIP")</f>
        <v>#N/A Requesting Data...</v>
      </c>
      <c r="B371" t="s">
        <v>123</v>
      </c>
      <c r="C371" t="str">
        <f>_xll.BDP("132339A5 Muni","INSURANCE_STATUS")</f>
        <v>#N/A Requesting Data...</v>
      </c>
      <c r="D371" t="str">
        <f>_xll.BDP("132339A5 Muni","STATE_CODE")</f>
        <v>#N/A Requesting Data...</v>
      </c>
      <c r="E371" t="str">
        <f>_xll.BDP("132339A5 Muni","COUNTY_LOCATION_ISSUER")</f>
        <v>#N/A Requesting Data...</v>
      </c>
      <c r="F371" t="str">
        <f>_xll.BDP("132339A5 Muni","DUR_ADJ_MID")</f>
        <v>#N/A Requesting Data...</v>
      </c>
      <c r="G371" t="str">
        <f>_xll.BDP("132339A5 Muni","SPREAD_AT_ISSUANCE_TO_WORST")</f>
        <v>#N/A Requesting Data...</v>
      </c>
      <c r="H371" t="str">
        <f>_xll.BDP("132339A5 Muni","ISSUE_DT")</f>
        <v>#N/A Requesting Data...</v>
      </c>
      <c r="I371" t="str">
        <f>_xll.BDS("132339A5 Muni","MUNI_PURPOSE_SCHED", "aggregate=y")</f>
        <v>#N/A Requesting Data...</v>
      </c>
      <c r="J371" t="str">
        <f>_xll.BDP("132339A5 Muni","CPN")</f>
        <v>#N/A Requesting Data...</v>
      </c>
      <c r="K371" t="str">
        <f>_xll.BDP("132339A5 Muni","MATURITY")</f>
        <v>#N/A Requesting Data...</v>
      </c>
      <c r="L371">
        <v>345000</v>
      </c>
      <c r="M371" t="str">
        <f>_xll.BDP("132339A5 Muni","YIELD_ON_ISSUE_DATE")</f>
        <v>#N/A Requesting Data...</v>
      </c>
      <c r="N371" t="str">
        <f>_xll.BDP("132339A5 Muni","YTW_SPREAD_TO_MATURITY_AT_ISSU")</f>
        <v>#N/A Requesting Data...</v>
      </c>
      <c r="O371" t="str">
        <f>_xll.BDP("132339A5 Muni","BVAL_MID_YTM")</f>
        <v>#N/A Requesting Data...</v>
      </c>
      <c r="P371" t="str">
        <f>_xll.BDP("132339A5 Muni","MUNI_TAX_PROV")</f>
        <v>#N/A Requesting Data...</v>
      </c>
      <c r="Q371" t="str">
        <f>_xll.BDP("132339A5 Muni","MUNI_FED_TAX")</f>
        <v>#N/A Requesting Data...</v>
      </c>
      <c r="R371" t="str">
        <f>_xll.BDP("132339A5 Muni","MUNI_MSRB_VOLUME")</f>
        <v>#N/A Requesting Data...</v>
      </c>
      <c r="S371" t="str">
        <f>_xll.BDP("132339A5 Muni","BB_COMPOSITE")</f>
        <v>#N/A Requesting Data...</v>
      </c>
      <c r="T371" t="str">
        <f>_xll.BDP("132339A5 Muni","LQA_LIQUIDITY_SCORE")</f>
        <v>#N/A Requesting Data...</v>
      </c>
    </row>
    <row r="372" spans="1:20" x14ac:dyDescent="0.25">
      <c r="A372" t="str">
        <f>_xll.BDP("132339A7 Muni","ID_CUSIP")</f>
        <v>#N/A Requesting Data...</v>
      </c>
      <c r="B372" t="s">
        <v>123</v>
      </c>
      <c r="C372" t="str">
        <f>_xll.BDP("132339A7 Muni","INSURANCE_STATUS")</f>
        <v>#N/A Requesting Data...</v>
      </c>
      <c r="D372" t="str">
        <f>_xll.BDP("132339A7 Muni","STATE_CODE")</f>
        <v>#N/A Requesting Data...</v>
      </c>
      <c r="E372" t="str">
        <f>_xll.BDP("132339A7 Muni","COUNTY_LOCATION_ISSUER")</f>
        <v>#N/A Requesting Data...</v>
      </c>
      <c r="F372" t="str">
        <f>_xll.BDP("132339A7 Muni","DUR_ADJ_MID")</f>
        <v>#N/A Requesting Data...</v>
      </c>
      <c r="G372" t="str">
        <f>_xll.BDP("132339A7 Muni","SPREAD_AT_ISSUANCE_TO_WORST")</f>
        <v>#N/A Requesting Data...</v>
      </c>
      <c r="H372" t="str">
        <f>_xll.BDP("132339A7 Muni","ISSUE_DT")</f>
        <v>#N/A Requesting Data...</v>
      </c>
      <c r="I372" t="str">
        <f>_xll.BDS("132339A7 Muni","MUNI_PURPOSE_SCHED", "aggregate=y")</f>
        <v>#N/A Requesting Data...</v>
      </c>
      <c r="J372" t="str">
        <f>_xll.BDP("132339A7 Muni","CPN")</f>
        <v>#N/A Requesting Data...</v>
      </c>
      <c r="K372" t="str">
        <f>_xll.BDP("132339A7 Muni","MATURITY")</f>
        <v>#N/A Requesting Data...</v>
      </c>
      <c r="L372">
        <v>365000</v>
      </c>
      <c r="M372" t="str">
        <f>_xll.BDP("132339A7 Muni","YIELD_ON_ISSUE_DATE")</f>
        <v>#N/A Requesting Data...</v>
      </c>
      <c r="N372" t="str">
        <f>_xll.BDP("132339A7 Muni","YTW_SPREAD_TO_MATURITY_AT_ISSU")</f>
        <v>#N/A Requesting Data...</v>
      </c>
      <c r="O372" t="str">
        <f>_xll.BDP("132339A7 Muni","BVAL_MID_YTM")</f>
        <v>#N/A Requesting Data...</v>
      </c>
      <c r="P372" t="str">
        <f>_xll.BDP("132339A7 Muni","MUNI_TAX_PROV")</f>
        <v>#N/A Requesting Data...</v>
      </c>
      <c r="Q372" t="str">
        <f>_xll.BDP("132339A7 Muni","MUNI_FED_TAX")</f>
        <v>#N/A Requesting Data...</v>
      </c>
      <c r="R372" t="str">
        <f>_xll.BDP("132339A7 Muni","MUNI_MSRB_VOLUME")</f>
        <v>#N/A Requesting Data...</v>
      </c>
      <c r="S372" t="str">
        <f>_xll.BDP("132339A7 Muni","BB_COMPOSITE")</f>
        <v>#N/A Requesting Data...</v>
      </c>
      <c r="T372" t="str">
        <f>_xll.BDP("132339A7 Muni","LQA_LIQUIDITY_SCORE")</f>
        <v>#N/A Requesting Data...</v>
      </c>
    </row>
    <row r="373" spans="1:20" x14ac:dyDescent="0.25">
      <c r="A373" t="str">
        <f>_xll.BDP("101029UU Muni","ID_CUSIP")</f>
        <v>#N/A Requesting Data...</v>
      </c>
      <c r="B373" t="s">
        <v>124</v>
      </c>
      <c r="C373" t="str">
        <f>_xll.BDP("101029UU Muni","INSURANCE_STATUS")</f>
        <v>#N/A Requesting Data...</v>
      </c>
      <c r="D373" t="str">
        <f>_xll.BDP("101029UU Muni","STATE_CODE")</f>
        <v>#N/A Requesting Data...</v>
      </c>
      <c r="E373" t="str">
        <f>_xll.BDP("101029UU Muni","COUNTY_LOCATION_ISSUER")</f>
        <v>#N/A Requesting Data...</v>
      </c>
      <c r="F373" t="str">
        <f>_xll.BDP("101029UU Muni","DUR_ADJ_MID")</f>
        <v>#N/A Requesting Data...</v>
      </c>
      <c r="G373" t="str">
        <f>_xll.BDP("101029UU Muni","SPREAD_AT_ISSUANCE_TO_WORST")</f>
        <v>#N/A Requesting Data...</v>
      </c>
      <c r="H373" t="str">
        <f>_xll.BDP("101029UU Muni","ISSUE_DT")</f>
        <v>#N/A Requesting Data...</v>
      </c>
      <c r="I373" t="str">
        <f>_xll.BDS("101029UU Muni","MUNI_PURPOSE_SCHED", "aggregate=y")</f>
        <v>#N/A Requesting Data...</v>
      </c>
      <c r="J373" t="str">
        <f>_xll.BDP("101029UU Muni","CPN")</f>
        <v>#N/A Requesting Data...</v>
      </c>
      <c r="K373" t="str">
        <f>_xll.BDP("101029UU Muni","MATURITY")</f>
        <v>#N/A Requesting Data...</v>
      </c>
      <c r="L373">
        <v>500000</v>
      </c>
      <c r="M373" t="str">
        <f>_xll.BDP("101029UU Muni","YIELD_ON_ISSUE_DATE")</f>
        <v>#N/A Requesting Data...</v>
      </c>
      <c r="N373" t="str">
        <f>_xll.BDP("101029UU Muni","YTW_SPREAD_TO_MATURITY_AT_ISSU")</f>
        <v>#N/A Requesting Data...</v>
      </c>
      <c r="O373" t="str">
        <f>_xll.BDP("101029UU Muni","BVAL_MID_YTM")</f>
        <v>#N/A Requesting Data...</v>
      </c>
      <c r="P373" t="str">
        <f>_xll.BDP("101029UU Muni","MUNI_TAX_PROV")</f>
        <v>#N/A Requesting Data...</v>
      </c>
      <c r="Q373" t="str">
        <f>_xll.BDP("101029UU Muni","MUNI_FED_TAX")</f>
        <v>#N/A Requesting Data...</v>
      </c>
      <c r="R373" t="str">
        <f>_xll.BDP("101029UU Muni","MUNI_MSRB_VOLUME")</f>
        <v>#N/A Requesting Data...</v>
      </c>
      <c r="S373" t="str">
        <f>_xll.BDP("101029UU Muni","BB_COMPOSITE")</f>
        <v>#N/A Requesting Data...</v>
      </c>
      <c r="T373" t="str">
        <f>_xll.BDP("101029UU Muni","LQA_LIQUIDITY_SCORE")</f>
        <v>#N/A Requesting Data...</v>
      </c>
    </row>
    <row r="374" spans="1:20" x14ac:dyDescent="0.25">
      <c r="A374" t="str">
        <f>_xll.BDP("101029UW Muni","ID_CUSIP")</f>
        <v>#N/A Requesting Data...</v>
      </c>
      <c r="B374" t="s">
        <v>124</v>
      </c>
      <c r="C374" t="str">
        <f>_xll.BDP("101029UW Muni","INSURANCE_STATUS")</f>
        <v>#N/A Requesting Data...</v>
      </c>
      <c r="D374" t="str">
        <f>_xll.BDP("101029UW Muni","STATE_CODE")</f>
        <v>#N/A Requesting Data...</v>
      </c>
      <c r="E374" t="str">
        <f>_xll.BDP("101029UW Muni","COUNTY_LOCATION_ISSUER")</f>
        <v>#N/A Requesting Data...</v>
      </c>
      <c r="F374" t="str">
        <f>_xll.BDP("101029UW Muni","DUR_ADJ_MID")</f>
        <v>#N/A Requesting Data...</v>
      </c>
      <c r="G374" t="str">
        <f>_xll.BDP("101029UW Muni","SPREAD_AT_ISSUANCE_TO_WORST")</f>
        <v>#N/A Requesting Data...</v>
      </c>
      <c r="H374" t="str">
        <f>_xll.BDP("101029UW Muni","ISSUE_DT")</f>
        <v>#N/A Requesting Data...</v>
      </c>
      <c r="I374" t="str">
        <f>_xll.BDS("101029UW Muni","MUNI_PURPOSE_SCHED", "aggregate=y")</f>
        <v>#N/A Requesting Data...</v>
      </c>
      <c r="J374" t="str">
        <f>_xll.BDP("101029UW Muni","CPN")</f>
        <v>#N/A Requesting Data...</v>
      </c>
      <c r="K374" t="str">
        <f>_xll.BDP("101029UW Muni","MATURITY")</f>
        <v>#N/A Requesting Data...</v>
      </c>
      <c r="L374">
        <v>500000</v>
      </c>
      <c r="M374" t="str">
        <f>_xll.BDP("101029UW Muni","YIELD_ON_ISSUE_DATE")</f>
        <v>#N/A Requesting Data...</v>
      </c>
      <c r="N374" t="str">
        <f>_xll.BDP("101029UW Muni","YTW_SPREAD_TO_MATURITY_AT_ISSU")</f>
        <v>#N/A Requesting Data...</v>
      </c>
      <c r="O374" t="str">
        <f>_xll.BDP("101029UW Muni","BVAL_MID_YTM")</f>
        <v>#N/A Requesting Data...</v>
      </c>
      <c r="P374" t="str">
        <f>_xll.BDP("101029UW Muni","MUNI_TAX_PROV")</f>
        <v>#N/A Requesting Data...</v>
      </c>
      <c r="Q374" t="str">
        <f>_xll.BDP("101029UW Muni","MUNI_FED_TAX")</f>
        <v>#N/A Requesting Data...</v>
      </c>
      <c r="R374" t="str">
        <f>_xll.BDP("101029UW Muni","MUNI_MSRB_VOLUME")</f>
        <v>#N/A Requesting Data...</v>
      </c>
      <c r="S374" t="str">
        <f>_xll.BDP("101029UW Muni","BB_COMPOSITE")</f>
        <v>#N/A Requesting Data...</v>
      </c>
      <c r="T374" t="str">
        <f>_xll.BDP("101029UW Muni","LQA_LIQUIDITY_SCORE")</f>
        <v>#N/A Requesting Data...</v>
      </c>
    </row>
    <row r="375" spans="1:20" x14ac:dyDescent="0.25">
      <c r="A375" t="str">
        <f>_xll.BDP("10146HLM Muni","ID_CUSIP")</f>
        <v>#N/A Requesting Data...</v>
      </c>
      <c r="B375" t="s">
        <v>125</v>
      </c>
      <c r="C375" t="str">
        <f>_xll.BDP("10146HLM Muni","INSURANCE_STATUS")</f>
        <v>#N/A Requesting Data...</v>
      </c>
      <c r="D375" t="str">
        <f>_xll.BDP("10146HLM Muni","STATE_CODE")</f>
        <v>#N/A Requesting Data...</v>
      </c>
      <c r="E375" t="str">
        <f>_xll.BDP("10146HLM Muni","COUNTY_LOCATION_ISSUER")</f>
        <v>#N/A Requesting Data...</v>
      </c>
      <c r="F375" t="str">
        <f>_xll.BDP("10146HLM Muni","DUR_ADJ_MID")</f>
        <v>#N/A Requesting Data...</v>
      </c>
      <c r="G375" t="str">
        <f>_xll.BDP("10146HLM Muni","SPREAD_AT_ISSUANCE_TO_WORST")</f>
        <v>#N/A Requesting Data...</v>
      </c>
      <c r="H375" t="str">
        <f>_xll.BDP("10146HLM Muni","ISSUE_DT")</f>
        <v>#N/A Requesting Data...</v>
      </c>
      <c r="I375" t="str">
        <f>_xll.BDS("10146HLM Muni","MUNI_PURPOSE_SCHED", "aggregate=y")</f>
        <v>#N/A Requesting Data...</v>
      </c>
      <c r="J375" t="str">
        <f>_xll.BDP("10146HLM Muni","CPN")</f>
        <v>#N/A Requesting Data...</v>
      </c>
      <c r="K375" t="str">
        <f>_xll.BDP("10146HLM Muni","MATURITY")</f>
        <v>#N/A Requesting Data...</v>
      </c>
      <c r="L375">
        <v>1670000</v>
      </c>
      <c r="M375" t="str">
        <f>_xll.BDP("10146HLM Muni","YIELD_ON_ISSUE_DATE")</f>
        <v>#N/A Requesting Data...</v>
      </c>
      <c r="N375" t="str">
        <f>_xll.BDP("10146HLM Muni","YTW_SPREAD_TO_MATURITY_AT_ISSU")</f>
        <v>#N/A Requesting Data...</v>
      </c>
      <c r="O375" t="str">
        <f>_xll.BDP("10146HLM Muni","BVAL_MID_YTM")</f>
        <v>#N/A Requesting Data...</v>
      </c>
      <c r="P375" t="str">
        <f>_xll.BDP("10146HLM Muni","MUNI_TAX_PROV")</f>
        <v>#N/A Requesting Data...</v>
      </c>
      <c r="Q375" t="str">
        <f>_xll.BDP("10146HLM Muni","MUNI_FED_TAX")</f>
        <v>#N/A Requesting Data...</v>
      </c>
      <c r="R375" t="str">
        <f>_xll.BDP("10146HLM Muni","MUNI_MSRB_VOLUME")</f>
        <v>#N/A Requesting Data...</v>
      </c>
      <c r="S375" t="str">
        <f>_xll.BDP("10146HLM Muni","BB_COMPOSITE")</f>
        <v>#N/A Requesting Data...</v>
      </c>
      <c r="T375" t="str">
        <f>_xll.BDP("10146HLM Muni","LQA_LIQUIDITY_SCORE")</f>
        <v>#N/A Requesting Data...</v>
      </c>
    </row>
    <row r="376" spans="1:20" x14ac:dyDescent="0.25">
      <c r="A376" t="str">
        <f>_xll.BDP("10146HLN Muni","ID_CUSIP")</f>
        <v>#N/A Requesting Data...</v>
      </c>
      <c r="B376" t="s">
        <v>125</v>
      </c>
      <c r="C376" t="str">
        <f>_xll.BDP("10146HLN Muni","INSURANCE_STATUS")</f>
        <v>#N/A Requesting Data...</v>
      </c>
      <c r="D376" t="str">
        <f>_xll.BDP("10146HLN Muni","STATE_CODE")</f>
        <v>#N/A Requesting Data...</v>
      </c>
      <c r="E376" t="str">
        <f>_xll.BDP("10146HLN Muni","COUNTY_LOCATION_ISSUER")</f>
        <v>#N/A Requesting Data...</v>
      </c>
      <c r="F376" t="str">
        <f>_xll.BDP("10146HLN Muni","DUR_ADJ_MID")</f>
        <v>#N/A Requesting Data...</v>
      </c>
      <c r="G376" t="str">
        <f>_xll.BDP("10146HLN Muni","SPREAD_AT_ISSUANCE_TO_WORST")</f>
        <v>#N/A Requesting Data...</v>
      </c>
      <c r="H376" t="str">
        <f>_xll.BDP("10146HLN Muni","ISSUE_DT")</f>
        <v>#N/A Requesting Data...</v>
      </c>
      <c r="I376" t="str">
        <f>_xll.BDS("10146HLN Muni","MUNI_PURPOSE_SCHED", "aggregate=y")</f>
        <v>#N/A Requesting Data...</v>
      </c>
      <c r="J376" t="str">
        <f>_xll.BDP("10146HLN Muni","CPN")</f>
        <v>#N/A Requesting Data...</v>
      </c>
      <c r="K376" t="str">
        <f>_xll.BDP("10146HLN Muni","MATURITY")</f>
        <v>#N/A Requesting Data...</v>
      </c>
      <c r="L376">
        <v>1720000</v>
      </c>
      <c r="M376" t="str">
        <f>_xll.BDP("10146HLN Muni","YIELD_ON_ISSUE_DATE")</f>
        <v>#N/A Requesting Data...</v>
      </c>
      <c r="N376" t="str">
        <f>_xll.BDP("10146HLN Muni","YTW_SPREAD_TO_MATURITY_AT_ISSU")</f>
        <v>#N/A Requesting Data...</v>
      </c>
      <c r="O376" t="str">
        <f>_xll.BDP("10146HLN Muni","BVAL_MID_YTM")</f>
        <v>#N/A Requesting Data...</v>
      </c>
      <c r="P376" t="str">
        <f>_xll.BDP("10146HLN Muni","MUNI_TAX_PROV")</f>
        <v>#N/A Requesting Data...</v>
      </c>
      <c r="Q376" t="str">
        <f>_xll.BDP("10146HLN Muni","MUNI_FED_TAX")</f>
        <v>#N/A Requesting Data...</v>
      </c>
      <c r="R376" t="str">
        <f>_xll.BDP("10146HLN Muni","MUNI_MSRB_VOLUME")</f>
        <v>#N/A Requesting Data...</v>
      </c>
      <c r="S376" t="str">
        <f>_xll.BDP("10146HLN Muni","BB_COMPOSITE")</f>
        <v>#N/A Requesting Data...</v>
      </c>
      <c r="T376" t="str">
        <f>_xll.BDP("10146HLN Muni","LQA_LIQUIDITY_SCORE")</f>
        <v>#N/A Requesting Data...</v>
      </c>
    </row>
    <row r="377" spans="1:20" x14ac:dyDescent="0.25">
      <c r="A377" t="str">
        <f>_xll.BDP("102835JM Muni","ID_CUSIP")</f>
        <v>#N/A Requesting Data...</v>
      </c>
      <c r="B377" t="s">
        <v>132</v>
      </c>
      <c r="C377" t="str">
        <f>_xll.BDP("102835JM Muni","INSURANCE_STATUS")</f>
        <v>#N/A Requesting Data...</v>
      </c>
      <c r="D377" t="str">
        <f>_xll.BDP("102835JM Muni","STATE_CODE")</f>
        <v>#N/A Requesting Data...</v>
      </c>
      <c r="E377" t="str">
        <f>_xll.BDP("102835JM Muni","COUNTY_LOCATION_ISSUER")</f>
        <v>#N/A Requesting Data...</v>
      </c>
      <c r="F377" t="str">
        <f>_xll.BDP("102835JM Muni","DUR_ADJ_MID")</f>
        <v>#N/A Requesting Data...</v>
      </c>
      <c r="G377" t="str">
        <f>_xll.BDP("102835JM Muni","SPREAD_AT_ISSUANCE_TO_WORST")</f>
        <v>#N/A Requesting Data...</v>
      </c>
      <c r="H377" t="str">
        <f>_xll.BDP("102835JM Muni","ISSUE_DT")</f>
        <v>#N/A Requesting Data...</v>
      </c>
      <c r="I377" t="str">
        <f>_xll.BDS("102835JM Muni","MUNI_PURPOSE_SCHED", "aggregate=y")</f>
        <v>#N/A Requesting Data...</v>
      </c>
      <c r="J377" t="str">
        <f>_xll.BDP("102835JM Muni","CPN")</f>
        <v>#N/A Requesting Data...</v>
      </c>
      <c r="K377" t="str">
        <f>_xll.BDP("102835JM Muni","MATURITY")</f>
        <v>#N/A Requesting Data...</v>
      </c>
      <c r="L377">
        <v>280000</v>
      </c>
      <c r="M377" t="str">
        <f>_xll.BDP("102835JM Muni","YIELD_ON_ISSUE_DATE")</f>
        <v>#N/A Requesting Data...</v>
      </c>
      <c r="N377" t="str">
        <f>_xll.BDP("102835JM Muni","YTW_SPREAD_TO_MATURITY_AT_ISSU")</f>
        <v>#N/A Requesting Data...</v>
      </c>
      <c r="O377" t="str">
        <f>_xll.BDP("102835JM Muni","BVAL_MID_YTM")</f>
        <v>#N/A Requesting Data...</v>
      </c>
      <c r="P377" t="str">
        <f>_xll.BDP("102835JM Muni","MUNI_TAX_PROV")</f>
        <v>#N/A Requesting Data...</v>
      </c>
      <c r="Q377" t="str">
        <f>_xll.BDP("102835JM Muni","MUNI_FED_TAX")</f>
        <v>#N/A Requesting Data...</v>
      </c>
      <c r="R377" t="str">
        <f>_xll.BDP("102835JM Muni","MUNI_MSRB_VOLUME")</f>
        <v>#N/A Requesting Data...</v>
      </c>
      <c r="S377" t="str">
        <f>_xll.BDP("102835JM Muni","BB_COMPOSITE")</f>
        <v>#N/A Requesting Data...</v>
      </c>
      <c r="T377" t="str">
        <f>_xll.BDP("102835JM Muni","LQA_LIQUIDITY_SCORE")</f>
        <v>#N/A Requesting Data...</v>
      </c>
    </row>
    <row r="378" spans="1:20" x14ac:dyDescent="0.25">
      <c r="A378" t="str">
        <f>_xll.BDP("137699ZG Muni","ID_CUSIP")</f>
        <v>#N/A Requesting Data...</v>
      </c>
      <c r="B378" t="s">
        <v>133</v>
      </c>
      <c r="C378" t="str">
        <f>_xll.BDP("137699ZG Muni","INSURANCE_STATUS")</f>
        <v>#N/A Requesting Data...</v>
      </c>
      <c r="D378" t="str">
        <f>_xll.BDP("137699ZG Muni","STATE_CODE")</f>
        <v>#N/A Requesting Data...</v>
      </c>
      <c r="E378" t="str">
        <f>_xll.BDP("137699ZG Muni","COUNTY_LOCATION_ISSUER")</f>
        <v>#N/A Requesting Data...</v>
      </c>
      <c r="F378" t="str">
        <f>_xll.BDP("137699ZG Muni","DUR_ADJ_MID")</f>
        <v>#N/A Requesting Data...</v>
      </c>
      <c r="G378" t="str">
        <f>_xll.BDP("137699ZG Muni","SPREAD_AT_ISSUANCE_TO_WORST")</f>
        <v>#N/A Requesting Data...</v>
      </c>
      <c r="H378" t="str">
        <f>_xll.BDP("137699ZG Muni","ISSUE_DT")</f>
        <v>#N/A Requesting Data...</v>
      </c>
      <c r="I378" t="str">
        <f>_xll.BDS("137699ZG Muni","MUNI_PURPOSE_SCHED", "aggregate=y")</f>
        <v>#N/A Requesting Data...</v>
      </c>
      <c r="J378" t="str">
        <f>_xll.BDP("137699ZG Muni","CPN")</f>
        <v>#N/A Requesting Data...</v>
      </c>
      <c r="K378" t="str">
        <f>_xll.BDP("137699ZG Muni","MATURITY")</f>
        <v>#N/A Requesting Data...</v>
      </c>
      <c r="L378">
        <v>200000</v>
      </c>
      <c r="M378" t="str">
        <f>_xll.BDP("137699ZG Muni","YIELD_ON_ISSUE_DATE")</f>
        <v>#N/A Requesting Data...</v>
      </c>
      <c r="N378" t="str">
        <f>_xll.BDP("137699ZG Muni","YTW_SPREAD_TO_MATURITY_AT_ISSU")</f>
        <v>#N/A Requesting Data...</v>
      </c>
      <c r="O378" t="str">
        <f>_xll.BDP("137699ZG Muni","BVAL_MID_YTM")</f>
        <v>#N/A Requesting Data...</v>
      </c>
      <c r="P378" t="str">
        <f>_xll.BDP("137699ZG Muni","MUNI_TAX_PROV")</f>
        <v>#N/A Requesting Data...</v>
      </c>
      <c r="Q378" t="str">
        <f>_xll.BDP("137699ZG Muni","MUNI_FED_TAX")</f>
        <v>#N/A Requesting Data...</v>
      </c>
      <c r="R378" t="str">
        <f>_xll.BDP("137699ZG Muni","MUNI_MSRB_VOLUME")</f>
        <v>#N/A Requesting Data...</v>
      </c>
      <c r="S378" t="str">
        <f>_xll.BDP("137699ZG Muni","BB_COMPOSITE")</f>
        <v>#N/A Requesting Data...</v>
      </c>
      <c r="T378" t="str">
        <f>_xll.BDP("137699ZG Muni","LQA_LIQUIDITY_SCORE")</f>
        <v>#N/A Requesting Data...</v>
      </c>
    </row>
    <row r="379" spans="1:20" x14ac:dyDescent="0.25">
      <c r="A379" t="str">
        <f>_xll.BDP("137699ZJ Muni","ID_CUSIP")</f>
        <v>#N/A Requesting Data...</v>
      </c>
      <c r="B379" t="s">
        <v>133</v>
      </c>
      <c r="C379" t="str">
        <f>_xll.BDP("137699ZJ Muni","INSURANCE_STATUS")</f>
        <v>#N/A Requesting Data...</v>
      </c>
      <c r="D379" t="str">
        <f>_xll.BDP("137699ZJ Muni","STATE_CODE")</f>
        <v>#N/A Requesting Data...</v>
      </c>
      <c r="E379" t="str">
        <f>_xll.BDP("137699ZJ Muni","COUNTY_LOCATION_ISSUER")</f>
        <v>#N/A Requesting Data...</v>
      </c>
      <c r="F379" t="str">
        <f>_xll.BDP("137699ZJ Muni","DUR_ADJ_MID")</f>
        <v>#N/A Requesting Data...</v>
      </c>
      <c r="G379" t="str">
        <f>_xll.BDP("137699ZJ Muni","SPREAD_AT_ISSUANCE_TO_WORST")</f>
        <v>#N/A Requesting Data...</v>
      </c>
      <c r="H379" t="str">
        <f>_xll.BDP("137699ZJ Muni","ISSUE_DT")</f>
        <v>#N/A Requesting Data...</v>
      </c>
      <c r="I379" t="str">
        <f>_xll.BDS("137699ZJ Muni","MUNI_PURPOSE_SCHED", "aggregate=y")</f>
        <v>#N/A Requesting Data...</v>
      </c>
      <c r="J379" t="str">
        <f>_xll.BDP("137699ZJ Muni","CPN")</f>
        <v>#N/A Requesting Data...</v>
      </c>
      <c r="K379" t="str">
        <f>_xll.BDP("137699ZJ Muni","MATURITY")</f>
        <v>#N/A Requesting Data...</v>
      </c>
      <c r="L379">
        <v>210000</v>
      </c>
      <c r="M379" t="str">
        <f>_xll.BDP("137699ZJ Muni","YIELD_ON_ISSUE_DATE")</f>
        <v>#N/A Requesting Data...</v>
      </c>
      <c r="N379" t="str">
        <f>_xll.BDP("137699ZJ Muni","YTW_SPREAD_TO_MATURITY_AT_ISSU")</f>
        <v>#N/A Requesting Data...</v>
      </c>
      <c r="O379" t="str">
        <f>_xll.BDP("137699ZJ Muni","BVAL_MID_YTM")</f>
        <v>#N/A Requesting Data...</v>
      </c>
      <c r="P379" t="str">
        <f>_xll.BDP("137699ZJ Muni","MUNI_TAX_PROV")</f>
        <v>#N/A Requesting Data...</v>
      </c>
      <c r="Q379" t="str">
        <f>_xll.BDP("137699ZJ Muni","MUNI_FED_TAX")</f>
        <v>#N/A Requesting Data...</v>
      </c>
      <c r="R379" t="str">
        <f>_xll.BDP("137699ZJ Muni","MUNI_MSRB_VOLUME")</f>
        <v>#N/A Requesting Data...</v>
      </c>
      <c r="S379" t="str">
        <f>_xll.BDP("137699ZJ Muni","BB_COMPOSITE")</f>
        <v>#N/A Requesting Data...</v>
      </c>
      <c r="T379" t="str">
        <f>_xll.BDP("137699ZJ Muni","LQA_LIQUIDITY_SCORE")</f>
        <v>#N/A Requesting Data...</v>
      </c>
    </row>
    <row r="380" spans="1:20" x14ac:dyDescent="0.25">
      <c r="A380" t="str">
        <f>_xll.BDP("104889C5 Muni","ID_CUSIP")</f>
        <v>#N/A Requesting Data...</v>
      </c>
      <c r="B380" t="s">
        <v>134</v>
      </c>
      <c r="C380" t="str">
        <f>_xll.BDP("104889C5 Muni","INSURANCE_STATUS")</f>
        <v>#N/A Requesting Data...</v>
      </c>
      <c r="D380" t="str">
        <f>_xll.BDP("104889C5 Muni","STATE_CODE")</f>
        <v>#N/A Requesting Data...</v>
      </c>
      <c r="E380" t="str">
        <f>_xll.BDP("104889C5 Muni","COUNTY_LOCATION_ISSUER")</f>
        <v>#N/A Requesting Data...</v>
      </c>
      <c r="F380" t="str">
        <f>_xll.BDP("104889C5 Muni","DUR_ADJ_MID")</f>
        <v>#N/A Requesting Data...</v>
      </c>
      <c r="G380" t="str">
        <f>_xll.BDP("104889C5 Muni","SPREAD_AT_ISSUANCE_TO_WORST")</f>
        <v>#N/A Requesting Data...</v>
      </c>
      <c r="H380" t="str">
        <f>_xll.BDP("104889C5 Muni","ISSUE_DT")</f>
        <v>#N/A Requesting Data...</v>
      </c>
      <c r="I380" t="str">
        <f>_xll.BDS("104889C5 Muni","MUNI_PURPOSE_SCHED", "aggregate=y")</f>
        <v>#N/A Requesting Data...</v>
      </c>
      <c r="J380" t="str">
        <f>_xll.BDP("104889C5 Muni","CPN")</f>
        <v>#N/A Requesting Data...</v>
      </c>
      <c r="K380" t="str">
        <f>_xll.BDP("104889C5 Muni","MATURITY")</f>
        <v>#N/A Requesting Data...</v>
      </c>
      <c r="L380">
        <v>675000</v>
      </c>
      <c r="M380" t="str">
        <f>_xll.BDP("104889C5 Muni","YIELD_ON_ISSUE_DATE")</f>
        <v>#N/A Requesting Data...</v>
      </c>
      <c r="N380" t="str">
        <f>_xll.BDP("104889C5 Muni","YTW_SPREAD_TO_MATURITY_AT_ISSU")</f>
        <v>#N/A Requesting Data...</v>
      </c>
      <c r="O380" t="str">
        <f>_xll.BDP("104889C5 Muni","BVAL_MID_YTM")</f>
        <v>#N/A Requesting Data...</v>
      </c>
      <c r="P380" t="str">
        <f>_xll.BDP("104889C5 Muni","MUNI_TAX_PROV")</f>
        <v>#N/A Requesting Data...</v>
      </c>
      <c r="Q380" t="str">
        <f>_xll.BDP("104889C5 Muni","MUNI_FED_TAX")</f>
        <v>#N/A Requesting Data...</v>
      </c>
      <c r="R380" t="str">
        <f>_xll.BDP("104889C5 Muni","MUNI_MSRB_VOLUME")</f>
        <v>#N/A Requesting Data...</v>
      </c>
      <c r="S380" t="str">
        <f>_xll.BDP("104889C5 Muni","BB_COMPOSITE")</f>
        <v>#N/A Requesting Data...</v>
      </c>
      <c r="T380" t="str">
        <f>_xll.BDP("104889C5 Muni","LQA_LIQUIDITY_SCORE")</f>
        <v>#N/A Requesting Data...</v>
      </c>
    </row>
    <row r="381" spans="1:20" x14ac:dyDescent="0.25">
      <c r="A381" t="str">
        <f>_xll.BDP("104889C6 Muni","ID_CUSIP")</f>
        <v>#N/A Requesting Data...</v>
      </c>
      <c r="B381" t="s">
        <v>134</v>
      </c>
      <c r="C381" t="str">
        <f>_xll.BDP("104889C6 Muni","INSURANCE_STATUS")</f>
        <v>#N/A Requesting Data...</v>
      </c>
      <c r="D381" t="str">
        <f>_xll.BDP("104889C6 Muni","STATE_CODE")</f>
        <v>#N/A Requesting Data...</v>
      </c>
      <c r="E381" t="str">
        <f>_xll.BDP("104889C6 Muni","COUNTY_LOCATION_ISSUER")</f>
        <v>#N/A Requesting Data...</v>
      </c>
      <c r="F381" t="str">
        <f>_xll.BDP("104889C6 Muni","DUR_ADJ_MID")</f>
        <v>#N/A Requesting Data...</v>
      </c>
      <c r="G381" t="str">
        <f>_xll.BDP("104889C6 Muni","SPREAD_AT_ISSUANCE_TO_WORST")</f>
        <v>#N/A Requesting Data...</v>
      </c>
      <c r="H381" t="str">
        <f>_xll.BDP("104889C6 Muni","ISSUE_DT")</f>
        <v>#N/A Requesting Data...</v>
      </c>
      <c r="I381" t="str">
        <f>_xll.BDS("104889C6 Muni","MUNI_PURPOSE_SCHED", "aggregate=y")</f>
        <v>#N/A Requesting Data...</v>
      </c>
      <c r="J381" t="str">
        <f>_xll.BDP("104889C6 Muni","CPN")</f>
        <v>#N/A Requesting Data...</v>
      </c>
      <c r="K381" t="str">
        <f>_xll.BDP("104889C6 Muni","MATURITY")</f>
        <v>#N/A Requesting Data...</v>
      </c>
      <c r="L381">
        <v>415000</v>
      </c>
      <c r="M381" t="str">
        <f>_xll.BDP("104889C6 Muni","YIELD_ON_ISSUE_DATE")</f>
        <v>#N/A Requesting Data...</v>
      </c>
      <c r="N381" t="str">
        <f>_xll.BDP("104889C6 Muni","YTW_SPREAD_TO_MATURITY_AT_ISSU")</f>
        <v>#N/A Requesting Data...</v>
      </c>
      <c r="O381" t="str">
        <f>_xll.BDP("104889C6 Muni","BVAL_MID_YTM")</f>
        <v>#N/A Requesting Data...</v>
      </c>
      <c r="P381" t="str">
        <f>_xll.BDP("104889C6 Muni","MUNI_TAX_PROV")</f>
        <v>#N/A Requesting Data...</v>
      </c>
      <c r="Q381" t="str">
        <f>_xll.BDP("104889C6 Muni","MUNI_FED_TAX")</f>
        <v>#N/A Requesting Data...</v>
      </c>
      <c r="R381" t="str">
        <f>_xll.BDP("104889C6 Muni","MUNI_MSRB_VOLUME")</f>
        <v>#N/A Requesting Data...</v>
      </c>
      <c r="S381" t="str">
        <f>_xll.BDP("104889C6 Muni","BB_COMPOSITE")</f>
        <v>#N/A Requesting Data...</v>
      </c>
      <c r="T381" t="str">
        <f>_xll.BDP("104889C6 Muni","LQA_LIQUIDITY_SCORE")</f>
        <v>#N/A Requesting Data...</v>
      </c>
    </row>
    <row r="382" spans="1:20" x14ac:dyDescent="0.25">
      <c r="A382" t="str">
        <f>_xll.BDP("104889C7 Muni","ID_CUSIP")</f>
        <v>#N/A Requesting Data...</v>
      </c>
      <c r="B382" t="s">
        <v>134</v>
      </c>
      <c r="C382" t="str">
        <f>_xll.BDP("104889C7 Muni","INSURANCE_STATUS")</f>
        <v>#N/A Requesting Data...</v>
      </c>
      <c r="D382" t="str">
        <f>_xll.BDP("104889C7 Muni","STATE_CODE")</f>
        <v>#N/A Requesting Data...</v>
      </c>
      <c r="E382" t="str">
        <f>_xll.BDP("104889C7 Muni","COUNTY_LOCATION_ISSUER")</f>
        <v>#N/A Requesting Data...</v>
      </c>
      <c r="F382" t="str">
        <f>_xll.BDP("104889C7 Muni","DUR_ADJ_MID")</f>
        <v>#N/A Requesting Data...</v>
      </c>
      <c r="G382" t="str">
        <f>_xll.BDP("104889C7 Muni","SPREAD_AT_ISSUANCE_TO_WORST")</f>
        <v>#N/A Requesting Data...</v>
      </c>
      <c r="H382" t="str">
        <f>_xll.BDP("104889C7 Muni","ISSUE_DT")</f>
        <v>#N/A Requesting Data...</v>
      </c>
      <c r="I382" t="str">
        <f>_xll.BDS("104889C7 Muni","MUNI_PURPOSE_SCHED", "aggregate=y")</f>
        <v>#N/A Requesting Data...</v>
      </c>
      <c r="J382" t="str">
        <f>_xll.BDP("104889C7 Muni","CPN")</f>
        <v>#N/A Requesting Data...</v>
      </c>
      <c r="K382" t="str">
        <f>_xll.BDP("104889C7 Muni","MATURITY")</f>
        <v>#N/A Requesting Data...</v>
      </c>
      <c r="L382">
        <v>430000</v>
      </c>
      <c r="M382" t="str">
        <f>_xll.BDP("104889C7 Muni","YIELD_ON_ISSUE_DATE")</f>
        <v>#N/A Requesting Data...</v>
      </c>
      <c r="N382" t="str">
        <f>_xll.BDP("104889C7 Muni","YTW_SPREAD_TO_MATURITY_AT_ISSU")</f>
        <v>#N/A Requesting Data...</v>
      </c>
      <c r="O382" t="str">
        <f>_xll.BDP("104889C7 Muni","BVAL_MID_YTM")</f>
        <v>#N/A Requesting Data...</v>
      </c>
      <c r="P382" t="str">
        <f>_xll.BDP("104889C7 Muni","MUNI_TAX_PROV")</f>
        <v>#N/A Requesting Data...</v>
      </c>
      <c r="Q382" t="str">
        <f>_xll.BDP("104889C7 Muni","MUNI_FED_TAX")</f>
        <v>#N/A Requesting Data...</v>
      </c>
      <c r="R382" t="str">
        <f>_xll.BDP("104889C7 Muni","MUNI_MSRB_VOLUME")</f>
        <v>#N/A Requesting Data...</v>
      </c>
      <c r="S382" t="str">
        <f>_xll.BDP("104889C7 Muni","BB_COMPOSITE")</f>
        <v>#N/A Requesting Data...</v>
      </c>
      <c r="T382" t="str">
        <f>_xll.BDP("104889C7 Muni","LQA_LIQUIDITY_SCORE")</f>
        <v>#N/A Requesting Data...</v>
      </c>
    </row>
    <row r="383" spans="1:20" x14ac:dyDescent="0.25">
      <c r="A383" t="str">
        <f>_xll.BDP("104889C8 Muni","ID_CUSIP")</f>
        <v>#N/A Requesting Data...</v>
      </c>
      <c r="B383" t="s">
        <v>134</v>
      </c>
      <c r="C383" t="str">
        <f>_xll.BDP("104889C8 Muni","INSURANCE_STATUS")</f>
        <v>#N/A Requesting Data...</v>
      </c>
      <c r="D383" t="str">
        <f>_xll.BDP("104889C8 Muni","STATE_CODE")</f>
        <v>#N/A Requesting Data...</v>
      </c>
      <c r="E383" t="str">
        <f>_xll.BDP("104889C8 Muni","COUNTY_LOCATION_ISSUER")</f>
        <v>#N/A Requesting Data...</v>
      </c>
      <c r="F383" t="str">
        <f>_xll.BDP("104889C8 Muni","DUR_ADJ_MID")</f>
        <v>#N/A Requesting Data...</v>
      </c>
      <c r="G383" t="str">
        <f>_xll.BDP("104889C8 Muni","SPREAD_AT_ISSUANCE_TO_WORST")</f>
        <v>#N/A Requesting Data...</v>
      </c>
      <c r="H383" t="str">
        <f>_xll.BDP("104889C8 Muni","ISSUE_DT")</f>
        <v>#N/A Requesting Data...</v>
      </c>
      <c r="I383" t="str">
        <f>_xll.BDS("104889C8 Muni","MUNI_PURPOSE_SCHED", "aggregate=y")</f>
        <v>#N/A Requesting Data...</v>
      </c>
      <c r="J383" t="str">
        <f>_xll.BDP("104889C8 Muni","CPN")</f>
        <v>#N/A Requesting Data...</v>
      </c>
      <c r="K383" t="str">
        <f>_xll.BDP("104889C8 Muni","MATURITY")</f>
        <v>#N/A Requesting Data...</v>
      </c>
      <c r="L383">
        <v>440000</v>
      </c>
      <c r="M383" t="str">
        <f>_xll.BDP("104889C8 Muni","YIELD_ON_ISSUE_DATE")</f>
        <v>#N/A Requesting Data...</v>
      </c>
      <c r="N383" t="str">
        <f>_xll.BDP("104889C8 Muni","YTW_SPREAD_TO_MATURITY_AT_ISSU")</f>
        <v>#N/A Requesting Data...</v>
      </c>
      <c r="O383" t="str">
        <f>_xll.BDP("104889C8 Muni","BVAL_MID_YTM")</f>
        <v>#N/A Requesting Data...</v>
      </c>
      <c r="P383" t="str">
        <f>_xll.BDP("104889C8 Muni","MUNI_TAX_PROV")</f>
        <v>#N/A Requesting Data...</v>
      </c>
      <c r="Q383" t="str">
        <f>_xll.BDP("104889C8 Muni","MUNI_FED_TAX")</f>
        <v>#N/A Requesting Data...</v>
      </c>
      <c r="R383" t="str">
        <f>_xll.BDP("104889C8 Muni","MUNI_MSRB_VOLUME")</f>
        <v>#N/A Requesting Data...</v>
      </c>
      <c r="S383" t="str">
        <f>_xll.BDP("104889C8 Muni","BB_COMPOSITE")</f>
        <v>#N/A Requesting Data...</v>
      </c>
      <c r="T383" t="str">
        <f>_xll.BDP("104889C8 Muni","LQA_LIQUIDITY_SCORE")</f>
        <v>#N/A Requesting Data...</v>
      </c>
    </row>
    <row r="384" spans="1:20" x14ac:dyDescent="0.25">
      <c r="A384" t="str">
        <f>_xll.BDP("1050252H Muni","ID_CUSIP")</f>
        <v>#N/A Requesting Data...</v>
      </c>
      <c r="B384" t="s">
        <v>135</v>
      </c>
      <c r="C384" t="str">
        <f>_xll.BDP("1050252H Muni","INSURANCE_STATUS")</f>
        <v>#N/A Requesting Data...</v>
      </c>
      <c r="D384" t="str">
        <f>_xll.BDP("1050252H Muni","STATE_CODE")</f>
        <v>#N/A Requesting Data...</v>
      </c>
      <c r="E384" t="str">
        <f>_xll.BDP("1050252H Muni","COUNTY_LOCATION_ISSUER")</f>
        <v>#N/A Requesting Data...</v>
      </c>
      <c r="F384" t="str">
        <f>_xll.BDP("1050252H Muni","DUR_ADJ_MID")</f>
        <v>#N/A Requesting Data...</v>
      </c>
      <c r="G384" t="str">
        <f>_xll.BDP("1050252H Muni","SPREAD_AT_ISSUANCE_TO_WORST")</f>
        <v>#N/A Requesting Data...</v>
      </c>
      <c r="H384" t="str">
        <f>_xll.BDP("1050252H Muni","ISSUE_DT")</f>
        <v>#N/A Requesting Data...</v>
      </c>
      <c r="I384" t="str">
        <f>_xll.BDS("1050252H Muni","MUNI_PURPOSE_SCHED", "aggregate=y")</f>
        <v>#N/A Requesting Data...</v>
      </c>
      <c r="J384" t="str">
        <f>_xll.BDP("1050252H Muni","CPN")</f>
        <v>#N/A Requesting Data...</v>
      </c>
      <c r="K384" t="str">
        <f>_xll.BDP("1050252H Muni","MATURITY")</f>
        <v>#N/A Requesting Data...</v>
      </c>
      <c r="L384">
        <v>1020000</v>
      </c>
      <c r="M384" t="str">
        <f>_xll.BDP("1050252H Muni","YIELD_ON_ISSUE_DATE")</f>
        <v>#N/A Requesting Data...</v>
      </c>
      <c r="N384" t="str">
        <f>_xll.BDP("1050252H Muni","YTW_SPREAD_TO_MATURITY_AT_ISSU")</f>
        <v>#N/A Requesting Data...</v>
      </c>
      <c r="O384" t="str">
        <f>_xll.BDP("1050252H Muni","BVAL_MID_YTM")</f>
        <v>#N/A Requesting Data...</v>
      </c>
      <c r="P384" t="str">
        <f>_xll.BDP("1050252H Muni","MUNI_TAX_PROV")</f>
        <v>#N/A Requesting Data...</v>
      </c>
      <c r="Q384" t="str">
        <f>_xll.BDP("1050252H Muni","MUNI_FED_TAX")</f>
        <v>#N/A Requesting Data...</v>
      </c>
      <c r="R384" t="str">
        <f>_xll.BDP("1050252H Muni","MUNI_MSRB_VOLUME")</f>
        <v>#N/A Requesting Data...</v>
      </c>
      <c r="S384" t="str">
        <f>_xll.BDP("1050252H Muni","BB_COMPOSITE")</f>
        <v>#N/A Requesting Data...</v>
      </c>
      <c r="T384" t="str">
        <f>_xll.BDP("1050252H Muni","LQA_LIQUIDITY_SCORE")</f>
        <v>#N/A Requesting Data...</v>
      </c>
    </row>
    <row r="385" spans="1:20" x14ac:dyDescent="0.25">
      <c r="A385" t="str">
        <f>_xll.BDP("1050252J Muni","ID_CUSIP")</f>
        <v>#N/A Requesting Data...</v>
      </c>
      <c r="B385" t="s">
        <v>135</v>
      </c>
      <c r="C385" t="str">
        <f>_xll.BDP("1050252J Muni","INSURANCE_STATUS")</f>
        <v>#N/A Requesting Data...</v>
      </c>
      <c r="D385" t="str">
        <f>_xll.BDP("1050252J Muni","STATE_CODE")</f>
        <v>#N/A Requesting Data...</v>
      </c>
      <c r="E385" t="str">
        <f>_xll.BDP("1050252J Muni","COUNTY_LOCATION_ISSUER")</f>
        <v>#N/A Requesting Data...</v>
      </c>
      <c r="F385" t="str">
        <f>_xll.BDP("1050252J Muni","DUR_ADJ_MID")</f>
        <v>#N/A Requesting Data...</v>
      </c>
      <c r="G385" t="str">
        <f>_xll.BDP("1050252J Muni","SPREAD_AT_ISSUANCE_TO_WORST")</f>
        <v>#N/A Requesting Data...</v>
      </c>
      <c r="H385" t="str">
        <f>_xll.BDP("1050252J Muni","ISSUE_DT")</f>
        <v>#N/A Requesting Data...</v>
      </c>
      <c r="I385" t="str">
        <f>_xll.BDS("1050252J Muni","MUNI_PURPOSE_SCHED", "aggregate=y")</f>
        <v>#N/A Requesting Data...</v>
      </c>
      <c r="J385" t="str">
        <f>_xll.BDP("1050252J Muni","CPN")</f>
        <v>#N/A Requesting Data...</v>
      </c>
      <c r="K385" t="str">
        <f>_xll.BDP("1050252J Muni","MATURITY")</f>
        <v>#N/A Requesting Data...</v>
      </c>
      <c r="L385">
        <v>780000</v>
      </c>
      <c r="M385" t="str">
        <f>_xll.BDP("1050252J Muni","YIELD_ON_ISSUE_DATE")</f>
        <v>#N/A Requesting Data...</v>
      </c>
      <c r="N385" t="str">
        <f>_xll.BDP("1050252J Muni","YTW_SPREAD_TO_MATURITY_AT_ISSU")</f>
        <v>#N/A Requesting Data...</v>
      </c>
      <c r="O385" t="str">
        <f>_xll.BDP("1050252J Muni","BVAL_MID_YTM")</f>
        <v>#N/A Requesting Data...</v>
      </c>
      <c r="P385" t="str">
        <f>_xll.BDP("1050252J Muni","MUNI_TAX_PROV")</f>
        <v>#N/A Requesting Data...</v>
      </c>
      <c r="Q385" t="str">
        <f>_xll.BDP("1050252J Muni","MUNI_FED_TAX")</f>
        <v>#N/A Requesting Data...</v>
      </c>
      <c r="R385" t="str">
        <f>_xll.BDP("1050252J Muni","MUNI_MSRB_VOLUME")</f>
        <v>#N/A Requesting Data...</v>
      </c>
      <c r="S385" t="str">
        <f>_xll.BDP("1050252J Muni","BB_COMPOSITE")</f>
        <v>#N/A Requesting Data...</v>
      </c>
      <c r="T385" t="str">
        <f>_xll.BDP("1050252J Muni","LQA_LIQUIDITY_SCORE")</f>
        <v>#N/A Requesting Data...</v>
      </c>
    </row>
    <row r="386" spans="1:20" x14ac:dyDescent="0.25">
      <c r="A386" t="str">
        <f>_xll.BDP("1050252K Muni","ID_CUSIP")</f>
        <v>#N/A Requesting Data...</v>
      </c>
      <c r="B386" t="s">
        <v>135</v>
      </c>
      <c r="C386" t="str">
        <f>_xll.BDP("1050252K Muni","INSURANCE_STATUS")</f>
        <v>#N/A Requesting Data...</v>
      </c>
      <c r="D386" t="str">
        <f>_xll.BDP("1050252K Muni","STATE_CODE")</f>
        <v>#N/A Requesting Data...</v>
      </c>
      <c r="E386" t="str">
        <f>_xll.BDP("1050252K Muni","COUNTY_LOCATION_ISSUER")</f>
        <v>#N/A Requesting Data...</v>
      </c>
      <c r="F386" t="str">
        <f>_xll.BDP("1050252K Muni","DUR_ADJ_MID")</f>
        <v>#N/A Requesting Data...</v>
      </c>
      <c r="G386" t="str">
        <f>_xll.BDP("1050252K Muni","SPREAD_AT_ISSUANCE_TO_WORST")</f>
        <v>#N/A Requesting Data...</v>
      </c>
      <c r="H386" t="str">
        <f>_xll.BDP("1050252K Muni","ISSUE_DT")</f>
        <v>#N/A Requesting Data...</v>
      </c>
      <c r="I386" t="str">
        <f>_xll.BDS("1050252K Muni","MUNI_PURPOSE_SCHED", "aggregate=y")</f>
        <v>#N/A Requesting Data...</v>
      </c>
      <c r="J386" t="str">
        <f>_xll.BDP("1050252K Muni","CPN")</f>
        <v>#N/A Requesting Data...</v>
      </c>
      <c r="K386" t="str">
        <f>_xll.BDP("1050252K Muni","MATURITY")</f>
        <v>#N/A Requesting Data...</v>
      </c>
      <c r="L386">
        <v>805000</v>
      </c>
      <c r="M386" t="str">
        <f>_xll.BDP("1050252K Muni","YIELD_ON_ISSUE_DATE")</f>
        <v>#N/A Requesting Data...</v>
      </c>
      <c r="N386" t="str">
        <f>_xll.BDP("1050252K Muni","YTW_SPREAD_TO_MATURITY_AT_ISSU")</f>
        <v>#N/A Requesting Data...</v>
      </c>
      <c r="O386" t="str">
        <f>_xll.BDP("1050252K Muni","BVAL_MID_YTM")</f>
        <v>#N/A Requesting Data...</v>
      </c>
      <c r="P386" t="str">
        <f>_xll.BDP("1050252K Muni","MUNI_TAX_PROV")</f>
        <v>#N/A Requesting Data...</v>
      </c>
      <c r="Q386" t="str">
        <f>_xll.BDP("1050252K Muni","MUNI_FED_TAX")</f>
        <v>#N/A Requesting Data...</v>
      </c>
      <c r="R386" t="str">
        <f>_xll.BDP("1050252K Muni","MUNI_MSRB_VOLUME")</f>
        <v>#N/A Requesting Data...</v>
      </c>
      <c r="S386" t="str">
        <f>_xll.BDP("1050252K Muni","BB_COMPOSITE")</f>
        <v>#N/A Requesting Data...</v>
      </c>
      <c r="T386" t="str">
        <f>_xll.BDP("1050252K Muni","LQA_LIQUIDITY_SCORE")</f>
        <v>#N/A Requesting Data...</v>
      </c>
    </row>
    <row r="387" spans="1:20" x14ac:dyDescent="0.25">
      <c r="A387" t="str">
        <f>_xll.BDP("1050252L Muni","ID_CUSIP")</f>
        <v>#N/A Requesting Data...</v>
      </c>
      <c r="B387" t="s">
        <v>135</v>
      </c>
      <c r="C387" t="str">
        <f>_xll.BDP("1050252L Muni","INSURANCE_STATUS")</f>
        <v>#N/A Requesting Data...</v>
      </c>
      <c r="D387" t="str">
        <f>_xll.BDP("1050252L Muni","STATE_CODE")</f>
        <v>#N/A Requesting Data...</v>
      </c>
      <c r="E387" t="str">
        <f>_xll.BDP("1050252L Muni","COUNTY_LOCATION_ISSUER")</f>
        <v>#N/A Requesting Data...</v>
      </c>
      <c r="F387" t="str">
        <f>_xll.BDP("1050252L Muni","DUR_ADJ_MID")</f>
        <v>#N/A Requesting Data...</v>
      </c>
      <c r="G387" t="str">
        <f>_xll.BDP("1050252L Muni","SPREAD_AT_ISSUANCE_TO_WORST")</f>
        <v>#N/A Requesting Data...</v>
      </c>
      <c r="H387" t="str">
        <f>_xll.BDP("1050252L Muni","ISSUE_DT")</f>
        <v>#N/A Requesting Data...</v>
      </c>
      <c r="I387" t="str">
        <f>_xll.BDS("1050252L Muni","MUNI_PURPOSE_SCHED", "aggregate=y")</f>
        <v>#N/A Requesting Data...</v>
      </c>
      <c r="J387" t="str">
        <f>_xll.BDP("1050252L Muni","CPN")</f>
        <v>#N/A Requesting Data...</v>
      </c>
      <c r="K387" t="str">
        <f>_xll.BDP("1050252L Muni","MATURITY")</f>
        <v>#N/A Requesting Data...</v>
      </c>
      <c r="L387">
        <v>820000</v>
      </c>
      <c r="M387" t="str">
        <f>_xll.BDP("1050252L Muni","YIELD_ON_ISSUE_DATE")</f>
        <v>#N/A Requesting Data...</v>
      </c>
      <c r="N387" t="str">
        <f>_xll.BDP("1050252L Muni","YTW_SPREAD_TO_MATURITY_AT_ISSU")</f>
        <v>#N/A Requesting Data...</v>
      </c>
      <c r="O387" t="str">
        <f>_xll.BDP("1050252L Muni","BVAL_MID_YTM")</f>
        <v>#N/A Requesting Data...</v>
      </c>
      <c r="P387" t="str">
        <f>_xll.BDP("1050252L Muni","MUNI_TAX_PROV")</f>
        <v>#N/A Requesting Data...</v>
      </c>
      <c r="Q387" t="str">
        <f>_xll.BDP("1050252L Muni","MUNI_FED_TAX")</f>
        <v>#N/A Requesting Data...</v>
      </c>
      <c r="R387" t="str">
        <f>_xll.BDP("1050252L Muni","MUNI_MSRB_VOLUME")</f>
        <v>#N/A Requesting Data...</v>
      </c>
      <c r="S387" t="str">
        <f>_xll.BDP("1050252L Muni","BB_COMPOSITE")</f>
        <v>#N/A Requesting Data...</v>
      </c>
      <c r="T387" t="str">
        <f>_xll.BDP("1050252L Muni","LQA_LIQUIDITY_SCORE")</f>
        <v>#N/A Requesting Data...</v>
      </c>
    </row>
    <row r="388" spans="1:20" x14ac:dyDescent="0.25">
      <c r="A388" t="str">
        <f>_xll.BDP("1050252M Muni","ID_CUSIP")</f>
        <v>#N/A Requesting Data...</v>
      </c>
      <c r="B388" t="s">
        <v>135</v>
      </c>
      <c r="C388" t="str">
        <f>_xll.BDP("1050252M Muni","INSURANCE_STATUS")</f>
        <v>#N/A Requesting Data...</v>
      </c>
      <c r="D388" t="str">
        <f>_xll.BDP("1050252M Muni","STATE_CODE")</f>
        <v>#N/A Requesting Data...</v>
      </c>
      <c r="E388" t="str">
        <f>_xll.BDP("1050252M Muni","COUNTY_LOCATION_ISSUER")</f>
        <v>#N/A Requesting Data...</v>
      </c>
      <c r="F388" t="str">
        <f>_xll.BDP("1050252M Muni","DUR_ADJ_MID")</f>
        <v>#N/A Requesting Data...</v>
      </c>
      <c r="G388" t="str">
        <f>_xll.BDP("1050252M Muni","SPREAD_AT_ISSUANCE_TO_WORST")</f>
        <v>#N/A Requesting Data...</v>
      </c>
      <c r="H388" t="str">
        <f>_xll.BDP("1050252M Muni","ISSUE_DT")</f>
        <v>#N/A Requesting Data...</v>
      </c>
      <c r="I388" t="str">
        <f>_xll.BDS("1050252M Muni","MUNI_PURPOSE_SCHED", "aggregate=y")</f>
        <v>#N/A Requesting Data...</v>
      </c>
      <c r="J388" t="str">
        <f>_xll.BDP("1050252M Muni","CPN")</f>
        <v>#N/A Requesting Data...</v>
      </c>
      <c r="K388" t="str">
        <f>_xll.BDP("1050252M Muni","MATURITY")</f>
        <v>#N/A Requesting Data...</v>
      </c>
      <c r="L388">
        <v>840000</v>
      </c>
      <c r="M388" t="str">
        <f>_xll.BDP("1050252M Muni","YIELD_ON_ISSUE_DATE")</f>
        <v>#N/A Requesting Data...</v>
      </c>
      <c r="N388" t="str">
        <f>_xll.BDP("1050252M Muni","YTW_SPREAD_TO_MATURITY_AT_ISSU")</f>
        <v>#N/A Requesting Data...</v>
      </c>
      <c r="O388" t="str">
        <f>_xll.BDP("1050252M Muni","BVAL_MID_YTM")</f>
        <v>#N/A Requesting Data...</v>
      </c>
      <c r="P388" t="str">
        <f>_xll.BDP("1050252M Muni","MUNI_TAX_PROV")</f>
        <v>#N/A Requesting Data...</v>
      </c>
      <c r="Q388" t="str">
        <f>_xll.BDP("1050252M Muni","MUNI_FED_TAX")</f>
        <v>#N/A Requesting Data...</v>
      </c>
      <c r="R388" t="str">
        <f>_xll.BDP("1050252M Muni","MUNI_MSRB_VOLUME")</f>
        <v>#N/A Requesting Data...</v>
      </c>
      <c r="S388" t="str">
        <f>_xll.BDP("1050252M Muni","BB_COMPOSITE")</f>
        <v>#N/A Requesting Data...</v>
      </c>
      <c r="T388" t="str">
        <f>_xll.BDP("1050252M Muni","LQA_LIQUIDITY_SCORE")</f>
        <v>#N/A Requesting Data...</v>
      </c>
    </row>
    <row r="389" spans="1:20" x14ac:dyDescent="0.25">
      <c r="A389" t="str">
        <f>_xll.BDP("1050252N Muni","ID_CUSIP")</f>
        <v>#N/A Requesting Data...</v>
      </c>
      <c r="B389" t="s">
        <v>135</v>
      </c>
      <c r="C389" t="str">
        <f>_xll.BDP("1050252N Muni","INSURANCE_STATUS")</f>
        <v>#N/A Requesting Data...</v>
      </c>
      <c r="D389" t="str">
        <f>_xll.BDP("1050252N Muni","STATE_CODE")</f>
        <v>#N/A Requesting Data...</v>
      </c>
      <c r="E389" t="str">
        <f>_xll.BDP("1050252N Muni","COUNTY_LOCATION_ISSUER")</f>
        <v>#N/A Requesting Data...</v>
      </c>
      <c r="F389" t="str">
        <f>_xll.BDP("1050252N Muni","DUR_ADJ_MID")</f>
        <v>#N/A Requesting Data...</v>
      </c>
      <c r="G389" t="str">
        <f>_xll.BDP("1050252N Muni","SPREAD_AT_ISSUANCE_TO_WORST")</f>
        <v>#N/A Requesting Data...</v>
      </c>
      <c r="H389" t="str">
        <f>_xll.BDP("1050252N Muni","ISSUE_DT")</f>
        <v>#N/A Requesting Data...</v>
      </c>
      <c r="I389" t="str">
        <f>_xll.BDS("1050252N Muni","MUNI_PURPOSE_SCHED", "aggregate=y")</f>
        <v>#N/A Requesting Data...</v>
      </c>
      <c r="J389" t="str">
        <f>_xll.BDP("1050252N Muni","CPN")</f>
        <v>#N/A Requesting Data...</v>
      </c>
      <c r="K389" t="str">
        <f>_xll.BDP("1050252N Muni","MATURITY")</f>
        <v>#N/A Requesting Data...</v>
      </c>
      <c r="L389">
        <v>865000</v>
      </c>
      <c r="M389" t="str">
        <f>_xll.BDP("1050252N Muni","YIELD_ON_ISSUE_DATE")</f>
        <v>#N/A Requesting Data...</v>
      </c>
      <c r="N389" t="str">
        <f>_xll.BDP("1050252N Muni","YTW_SPREAD_TO_MATURITY_AT_ISSU")</f>
        <v>#N/A Requesting Data...</v>
      </c>
      <c r="O389" t="str">
        <f>_xll.BDP("1050252N Muni","BVAL_MID_YTM")</f>
        <v>#N/A Requesting Data...</v>
      </c>
      <c r="P389" t="str">
        <f>_xll.BDP("1050252N Muni","MUNI_TAX_PROV")</f>
        <v>#N/A Requesting Data...</v>
      </c>
      <c r="Q389" t="str">
        <f>_xll.BDP("1050252N Muni","MUNI_FED_TAX")</f>
        <v>#N/A Requesting Data...</v>
      </c>
      <c r="R389" t="str">
        <f>_xll.BDP("1050252N Muni","MUNI_MSRB_VOLUME")</f>
        <v>#N/A Requesting Data...</v>
      </c>
      <c r="S389" t="str">
        <f>_xll.BDP("1050252N Muni","BB_COMPOSITE")</f>
        <v>#N/A Requesting Data...</v>
      </c>
      <c r="T389" t="str">
        <f>_xll.BDP("1050252N Muni","LQA_LIQUIDITY_SCORE")</f>
        <v>#N/A Requesting Data...</v>
      </c>
    </row>
    <row r="390" spans="1:20" x14ac:dyDescent="0.25">
      <c r="A390" t="str">
        <f>_xll.BDP("198504YB Muni","ID_CUSIP")</f>
        <v>#N/A Requesting Data...</v>
      </c>
      <c r="B390" t="s">
        <v>136</v>
      </c>
      <c r="C390" t="str">
        <f>_xll.BDP("198504YB Muni","INSURANCE_STATUS")</f>
        <v>#N/A Requesting Data...</v>
      </c>
      <c r="D390" t="str">
        <f>_xll.BDP("198504YB Muni","STATE_CODE")</f>
        <v>#N/A Requesting Data...</v>
      </c>
      <c r="E390" t="str">
        <f>_xll.BDP("198504YB Muni","COUNTY_LOCATION_ISSUER")</f>
        <v>#N/A Requesting Data...</v>
      </c>
      <c r="F390" t="str">
        <f>_xll.BDP("198504YB Muni","DUR_ADJ_MID")</f>
        <v>#N/A Requesting Data...</v>
      </c>
      <c r="G390" t="str">
        <f>_xll.BDP("198504YB Muni","SPREAD_AT_ISSUANCE_TO_WORST")</f>
        <v>#N/A Requesting Data...</v>
      </c>
      <c r="H390" t="str">
        <f>_xll.BDP("198504YB Muni","ISSUE_DT")</f>
        <v>#N/A Requesting Data...</v>
      </c>
      <c r="I390" t="str">
        <f>_xll.BDS("198504YB Muni","MUNI_PURPOSE_SCHED", "aggregate=y")</f>
        <v>#N/A Requesting Data...</v>
      </c>
      <c r="J390" t="str">
        <f>_xll.BDP("198504YB Muni","CPN")</f>
        <v>#N/A Requesting Data...</v>
      </c>
      <c r="K390" t="str">
        <f>_xll.BDP("198504YB Muni","MATURITY")</f>
        <v>#N/A Requesting Data...</v>
      </c>
      <c r="L390">
        <v>750000</v>
      </c>
      <c r="M390" t="str">
        <f>_xll.BDP("198504YB Muni","YIELD_ON_ISSUE_DATE")</f>
        <v>#N/A Requesting Data...</v>
      </c>
      <c r="N390" t="str">
        <f>_xll.BDP("198504YB Muni","YTW_SPREAD_TO_MATURITY_AT_ISSU")</f>
        <v>#N/A Requesting Data...</v>
      </c>
      <c r="O390" t="str">
        <f>_xll.BDP("198504YB Muni","BVAL_MID_YTM")</f>
        <v>#N/A Requesting Data...</v>
      </c>
      <c r="P390" t="str">
        <f>_xll.BDP("198504YB Muni","MUNI_TAX_PROV")</f>
        <v>#N/A Requesting Data...</v>
      </c>
      <c r="Q390" t="str">
        <f>_xll.BDP("198504YB Muni","MUNI_FED_TAX")</f>
        <v>#N/A Requesting Data...</v>
      </c>
      <c r="R390" t="str">
        <f>_xll.BDP("198504YB Muni","MUNI_MSRB_VOLUME")</f>
        <v>#N/A Requesting Data...</v>
      </c>
      <c r="S390" t="str">
        <f>_xll.BDP("198504YB Muni","BB_COMPOSITE")</f>
        <v>#N/A Requesting Data...</v>
      </c>
      <c r="T390" t="str">
        <f>_xll.BDP("198504YB Muni","LQA_LIQUIDITY_SCORE")</f>
        <v>#N/A Requesting Data...</v>
      </c>
    </row>
    <row r="391" spans="1:20" x14ac:dyDescent="0.25">
      <c r="A391" t="str">
        <f>_xll.BDP("198504YC Muni","ID_CUSIP")</f>
        <v>#N/A Requesting Data...</v>
      </c>
      <c r="B391" t="s">
        <v>136</v>
      </c>
      <c r="C391" t="str">
        <f>_xll.BDP("198504YC Muni","INSURANCE_STATUS")</f>
        <v>#N/A Requesting Data...</v>
      </c>
      <c r="D391" t="str">
        <f>_xll.BDP("198504YC Muni","STATE_CODE")</f>
        <v>#N/A Requesting Data...</v>
      </c>
      <c r="E391" t="str">
        <f>_xll.BDP("198504YC Muni","COUNTY_LOCATION_ISSUER")</f>
        <v>#N/A Requesting Data...</v>
      </c>
      <c r="F391" t="str">
        <f>_xll.BDP("198504YC Muni","DUR_ADJ_MID")</f>
        <v>#N/A Requesting Data...</v>
      </c>
      <c r="G391" t="str">
        <f>_xll.BDP("198504YC Muni","SPREAD_AT_ISSUANCE_TO_WORST")</f>
        <v>#N/A Requesting Data...</v>
      </c>
      <c r="H391" t="str">
        <f>_xll.BDP("198504YC Muni","ISSUE_DT")</f>
        <v>#N/A Requesting Data...</v>
      </c>
      <c r="I391" t="str">
        <f>_xll.BDS("198504YC Muni","MUNI_PURPOSE_SCHED", "aggregate=y")</f>
        <v>#N/A Requesting Data...</v>
      </c>
      <c r="J391" t="str">
        <f>_xll.BDP("198504YC Muni","CPN")</f>
        <v>#N/A Requesting Data...</v>
      </c>
      <c r="K391" t="str">
        <f>_xll.BDP("198504YC Muni","MATURITY")</f>
        <v>#N/A Requesting Data...</v>
      </c>
      <c r="L391">
        <v>965000</v>
      </c>
      <c r="M391" t="str">
        <f>_xll.BDP("198504YC Muni","YIELD_ON_ISSUE_DATE")</f>
        <v>#N/A Requesting Data...</v>
      </c>
      <c r="N391" t="str">
        <f>_xll.BDP("198504YC Muni","YTW_SPREAD_TO_MATURITY_AT_ISSU")</f>
        <v>#N/A Requesting Data...</v>
      </c>
      <c r="O391" t="str">
        <f>_xll.BDP("198504YC Muni","BVAL_MID_YTM")</f>
        <v>#N/A Requesting Data...</v>
      </c>
      <c r="P391" t="str">
        <f>_xll.BDP("198504YC Muni","MUNI_TAX_PROV")</f>
        <v>#N/A Requesting Data...</v>
      </c>
      <c r="Q391" t="str">
        <f>_xll.BDP("198504YC Muni","MUNI_FED_TAX")</f>
        <v>#N/A Requesting Data...</v>
      </c>
      <c r="R391" t="str">
        <f>_xll.BDP("198504YC Muni","MUNI_MSRB_VOLUME")</f>
        <v>#N/A Requesting Data...</v>
      </c>
      <c r="S391" t="str">
        <f>_xll.BDP("198504YC Muni","BB_COMPOSITE")</f>
        <v>#N/A Requesting Data...</v>
      </c>
      <c r="T391" t="str">
        <f>_xll.BDP("198504YC Muni","LQA_LIQUIDITY_SCORE")</f>
        <v>#N/A Requesting Data...</v>
      </c>
    </row>
    <row r="392" spans="1:20" x14ac:dyDescent="0.25">
      <c r="A392" t="str">
        <f>_xll.BDP("198504YD Muni","ID_CUSIP")</f>
        <v>#N/A Requesting Data...</v>
      </c>
      <c r="B392" t="s">
        <v>136</v>
      </c>
      <c r="C392" t="str">
        <f>_xll.BDP("198504YD Muni","INSURANCE_STATUS")</f>
        <v>#N/A Requesting Data...</v>
      </c>
      <c r="D392" t="str">
        <f>_xll.BDP("198504YD Muni","STATE_CODE")</f>
        <v>#N/A Requesting Data...</v>
      </c>
      <c r="E392" t="str">
        <f>_xll.BDP("198504YD Muni","COUNTY_LOCATION_ISSUER")</f>
        <v>#N/A Requesting Data...</v>
      </c>
      <c r="F392" t="str">
        <f>_xll.BDP("198504YD Muni","DUR_ADJ_MID")</f>
        <v>#N/A Requesting Data...</v>
      </c>
      <c r="G392" t="str">
        <f>_xll.BDP("198504YD Muni","SPREAD_AT_ISSUANCE_TO_WORST")</f>
        <v>#N/A Requesting Data...</v>
      </c>
      <c r="H392" t="str">
        <f>_xll.BDP("198504YD Muni","ISSUE_DT")</f>
        <v>#N/A Requesting Data...</v>
      </c>
      <c r="I392" t="str">
        <f>_xll.BDS("198504YD Muni","MUNI_PURPOSE_SCHED", "aggregate=y")</f>
        <v>#N/A Requesting Data...</v>
      </c>
      <c r="J392" t="str">
        <f>_xll.BDP("198504YD Muni","CPN")</f>
        <v>#N/A Requesting Data...</v>
      </c>
      <c r="K392" t="str">
        <f>_xll.BDP("198504YD Muni","MATURITY")</f>
        <v>#N/A Requesting Data...</v>
      </c>
      <c r="L392">
        <v>1785000</v>
      </c>
      <c r="M392" t="str">
        <f>_xll.BDP("198504YD Muni","YIELD_ON_ISSUE_DATE")</f>
        <v>#N/A Requesting Data...</v>
      </c>
      <c r="N392" t="str">
        <f>_xll.BDP("198504YD Muni","YTW_SPREAD_TO_MATURITY_AT_ISSU")</f>
        <v>#N/A Requesting Data...</v>
      </c>
      <c r="O392" t="str">
        <f>_xll.BDP("198504YD Muni","BVAL_MID_YTM")</f>
        <v>#N/A Requesting Data...</v>
      </c>
      <c r="P392" t="str">
        <f>_xll.BDP("198504YD Muni","MUNI_TAX_PROV")</f>
        <v>#N/A Requesting Data...</v>
      </c>
      <c r="Q392" t="str">
        <f>_xll.BDP("198504YD Muni","MUNI_FED_TAX")</f>
        <v>#N/A Requesting Data...</v>
      </c>
      <c r="R392" t="str">
        <f>_xll.BDP("198504YD Muni","MUNI_MSRB_VOLUME")</f>
        <v>#N/A Requesting Data...</v>
      </c>
      <c r="S392" t="str">
        <f>_xll.BDP("198504YD Muni","BB_COMPOSITE")</f>
        <v>#N/A Requesting Data...</v>
      </c>
      <c r="T392" t="str">
        <f>_xll.BDP("198504YD Muni","LQA_LIQUIDITY_SCORE")</f>
        <v>#N/A Requesting Data...</v>
      </c>
    </row>
    <row r="393" spans="1:20" x14ac:dyDescent="0.25">
      <c r="A393" t="str">
        <f>_xll.BDP("198504YE Muni","ID_CUSIP")</f>
        <v>#N/A Requesting Data...</v>
      </c>
      <c r="B393" t="s">
        <v>136</v>
      </c>
      <c r="C393" t="str">
        <f>_xll.BDP("198504YE Muni","INSURANCE_STATUS")</f>
        <v>#N/A Requesting Data...</v>
      </c>
      <c r="D393" t="str">
        <f>_xll.BDP("198504YE Muni","STATE_CODE")</f>
        <v>#N/A Requesting Data...</v>
      </c>
      <c r="E393" t="str">
        <f>_xll.BDP("198504YE Muni","COUNTY_LOCATION_ISSUER")</f>
        <v>#N/A Requesting Data...</v>
      </c>
      <c r="F393" t="str">
        <f>_xll.BDP("198504YE Muni","DUR_ADJ_MID")</f>
        <v>#N/A Requesting Data...</v>
      </c>
      <c r="G393" t="str">
        <f>_xll.BDP("198504YE Muni","SPREAD_AT_ISSUANCE_TO_WORST")</f>
        <v>#N/A Requesting Data...</v>
      </c>
      <c r="H393" t="str">
        <f>_xll.BDP("198504YE Muni","ISSUE_DT")</f>
        <v>#N/A Requesting Data...</v>
      </c>
      <c r="I393" t="str">
        <f>_xll.BDS("198504YE Muni","MUNI_PURPOSE_SCHED", "aggregate=y")</f>
        <v>#N/A Requesting Data...</v>
      </c>
      <c r="J393" t="str">
        <f>_xll.BDP("198504YE Muni","CPN")</f>
        <v>#N/A Requesting Data...</v>
      </c>
      <c r="K393" t="str">
        <f>_xll.BDP("198504YE Muni","MATURITY")</f>
        <v>#N/A Requesting Data...</v>
      </c>
      <c r="L393">
        <v>1875000</v>
      </c>
      <c r="M393" t="str">
        <f>_xll.BDP("198504YE Muni","YIELD_ON_ISSUE_DATE")</f>
        <v>#N/A Requesting Data...</v>
      </c>
      <c r="N393" t="str">
        <f>_xll.BDP("198504YE Muni","YTW_SPREAD_TO_MATURITY_AT_ISSU")</f>
        <v>#N/A Requesting Data...</v>
      </c>
      <c r="O393" t="str">
        <f>_xll.BDP("198504YE Muni","BVAL_MID_YTM")</f>
        <v>#N/A Requesting Data...</v>
      </c>
      <c r="P393" t="str">
        <f>_xll.BDP("198504YE Muni","MUNI_TAX_PROV")</f>
        <v>#N/A Requesting Data...</v>
      </c>
      <c r="Q393" t="str">
        <f>_xll.BDP("198504YE Muni","MUNI_FED_TAX")</f>
        <v>#N/A Requesting Data...</v>
      </c>
      <c r="R393" t="str">
        <f>_xll.BDP("198504YE Muni","MUNI_MSRB_VOLUME")</f>
        <v>#N/A Requesting Data...</v>
      </c>
      <c r="S393" t="str">
        <f>_xll.BDP("198504YE Muni","BB_COMPOSITE")</f>
        <v>#N/A Requesting Data...</v>
      </c>
      <c r="T393" t="str">
        <f>_xll.BDP("198504YE Muni","LQA_LIQUIDITY_SCORE")</f>
        <v>#N/A Requesting Data...</v>
      </c>
    </row>
    <row r="394" spans="1:20" x14ac:dyDescent="0.25">
      <c r="A394" t="str">
        <f>_xll.BDP("198504YF Muni","ID_CUSIP")</f>
        <v>#N/A Requesting Data...</v>
      </c>
      <c r="B394" t="s">
        <v>136</v>
      </c>
      <c r="C394" t="str">
        <f>_xll.BDP("198504YF Muni","INSURANCE_STATUS")</f>
        <v>#N/A Requesting Data...</v>
      </c>
      <c r="D394" t="str">
        <f>_xll.BDP("198504YF Muni","STATE_CODE")</f>
        <v>#N/A Requesting Data...</v>
      </c>
      <c r="E394" t="str">
        <f>_xll.BDP("198504YF Muni","COUNTY_LOCATION_ISSUER")</f>
        <v>#N/A Requesting Data...</v>
      </c>
      <c r="F394" t="str">
        <f>_xll.BDP("198504YF Muni","DUR_ADJ_MID")</f>
        <v>#N/A Requesting Data...</v>
      </c>
      <c r="G394" t="str">
        <f>_xll.BDP("198504YF Muni","SPREAD_AT_ISSUANCE_TO_WORST")</f>
        <v>#N/A Requesting Data...</v>
      </c>
      <c r="H394" t="str">
        <f>_xll.BDP("198504YF Muni","ISSUE_DT")</f>
        <v>#N/A Requesting Data...</v>
      </c>
      <c r="I394" t="str">
        <f>_xll.BDS("198504YF Muni","MUNI_PURPOSE_SCHED", "aggregate=y")</f>
        <v>#N/A Requesting Data...</v>
      </c>
      <c r="J394" t="str">
        <f>_xll.BDP("198504YF Muni","CPN")</f>
        <v>#N/A Requesting Data...</v>
      </c>
      <c r="K394" t="str">
        <f>_xll.BDP("198504YF Muni","MATURITY")</f>
        <v>#N/A Requesting Data...</v>
      </c>
      <c r="L394">
        <v>1970000</v>
      </c>
      <c r="M394" t="str">
        <f>_xll.BDP("198504YF Muni","YIELD_ON_ISSUE_DATE")</f>
        <v>#N/A Requesting Data...</v>
      </c>
      <c r="N394" t="str">
        <f>_xll.BDP("198504YF Muni","YTW_SPREAD_TO_MATURITY_AT_ISSU")</f>
        <v>#N/A Requesting Data...</v>
      </c>
      <c r="O394" t="str">
        <f>_xll.BDP("198504YF Muni","BVAL_MID_YTM")</f>
        <v>#N/A Requesting Data...</v>
      </c>
      <c r="P394" t="str">
        <f>_xll.BDP("198504YF Muni","MUNI_TAX_PROV")</f>
        <v>#N/A Requesting Data...</v>
      </c>
      <c r="Q394" t="str">
        <f>_xll.BDP("198504YF Muni","MUNI_FED_TAX")</f>
        <v>#N/A Requesting Data...</v>
      </c>
      <c r="R394" t="str">
        <f>_xll.BDP("198504YF Muni","MUNI_MSRB_VOLUME")</f>
        <v>#N/A Requesting Data...</v>
      </c>
      <c r="S394" t="str">
        <f>_xll.BDP("198504YF Muni","BB_COMPOSITE")</f>
        <v>#N/A Requesting Data...</v>
      </c>
      <c r="T394" t="str">
        <f>_xll.BDP("198504YF Muni","LQA_LIQUIDITY_SCORE")</f>
        <v>#N/A Requesting Data...</v>
      </c>
    </row>
    <row r="395" spans="1:20" x14ac:dyDescent="0.25">
      <c r="A395" t="str">
        <f>_xll.BDP("198504YG Muni","ID_CUSIP")</f>
        <v>#N/A Requesting Data...</v>
      </c>
      <c r="B395" t="s">
        <v>136</v>
      </c>
      <c r="C395" t="str">
        <f>_xll.BDP("198504YG Muni","INSURANCE_STATUS")</f>
        <v>#N/A Requesting Data...</v>
      </c>
      <c r="D395" t="str">
        <f>_xll.BDP("198504YG Muni","STATE_CODE")</f>
        <v>#N/A Requesting Data...</v>
      </c>
      <c r="E395" t="str">
        <f>_xll.BDP("198504YG Muni","COUNTY_LOCATION_ISSUER")</f>
        <v>#N/A Requesting Data...</v>
      </c>
      <c r="F395" t="str">
        <f>_xll.BDP("198504YG Muni","DUR_ADJ_MID")</f>
        <v>#N/A Requesting Data...</v>
      </c>
      <c r="G395" t="str">
        <f>_xll.BDP("198504YG Muni","SPREAD_AT_ISSUANCE_TO_WORST")</f>
        <v>#N/A Requesting Data...</v>
      </c>
      <c r="H395" t="str">
        <f>_xll.BDP("198504YG Muni","ISSUE_DT")</f>
        <v>#N/A Requesting Data...</v>
      </c>
      <c r="I395" t="str">
        <f>_xll.BDS("198504YG Muni","MUNI_PURPOSE_SCHED", "aggregate=y")</f>
        <v>#N/A Requesting Data...</v>
      </c>
      <c r="J395" t="str">
        <f>_xll.BDP("198504YG Muni","CPN")</f>
        <v>#N/A Requesting Data...</v>
      </c>
      <c r="K395" t="str">
        <f>_xll.BDP("198504YG Muni","MATURITY")</f>
        <v>#N/A Requesting Data...</v>
      </c>
      <c r="L395">
        <v>2065000</v>
      </c>
      <c r="M395" t="str">
        <f>_xll.BDP("198504YG Muni","YIELD_ON_ISSUE_DATE")</f>
        <v>#N/A Requesting Data...</v>
      </c>
      <c r="N395" t="str">
        <f>_xll.BDP("198504YG Muni","YTW_SPREAD_TO_MATURITY_AT_ISSU")</f>
        <v>#N/A Requesting Data...</v>
      </c>
      <c r="O395" t="str">
        <f>_xll.BDP("198504YG Muni","BVAL_MID_YTM")</f>
        <v>#N/A Requesting Data...</v>
      </c>
      <c r="P395" t="str">
        <f>_xll.BDP("198504YG Muni","MUNI_TAX_PROV")</f>
        <v>#N/A Requesting Data...</v>
      </c>
      <c r="Q395" t="str">
        <f>_xll.BDP("198504YG Muni","MUNI_FED_TAX")</f>
        <v>#N/A Requesting Data...</v>
      </c>
      <c r="R395" t="str">
        <f>_xll.BDP("198504YG Muni","MUNI_MSRB_VOLUME")</f>
        <v>#N/A Requesting Data...</v>
      </c>
      <c r="S395" t="str">
        <f>_xll.BDP("198504YG Muni","BB_COMPOSITE")</f>
        <v>#N/A Requesting Data...</v>
      </c>
      <c r="T395" t="str">
        <f>_xll.BDP("198504YG Muni","LQA_LIQUIDITY_SCORE")</f>
        <v>#N/A Requesting Data...</v>
      </c>
    </row>
    <row r="396" spans="1:20" x14ac:dyDescent="0.25">
      <c r="A396" t="str">
        <f>_xll.BDP("198504YH Muni","ID_CUSIP")</f>
        <v>#N/A Requesting Data...</v>
      </c>
      <c r="B396" t="s">
        <v>136</v>
      </c>
      <c r="C396" t="str">
        <f>_xll.BDP("198504YH Muni","INSURANCE_STATUS")</f>
        <v>#N/A Requesting Data...</v>
      </c>
      <c r="D396" t="str">
        <f>_xll.BDP("198504YH Muni","STATE_CODE")</f>
        <v>#N/A Requesting Data...</v>
      </c>
      <c r="E396" t="str">
        <f>_xll.BDP("198504YH Muni","COUNTY_LOCATION_ISSUER")</f>
        <v>#N/A Requesting Data...</v>
      </c>
      <c r="F396" t="str">
        <f>_xll.BDP("198504YH Muni","DUR_ADJ_MID")</f>
        <v>#N/A Requesting Data...</v>
      </c>
      <c r="G396" t="str">
        <f>_xll.BDP("198504YH Muni","SPREAD_AT_ISSUANCE_TO_WORST")</f>
        <v>#N/A Requesting Data...</v>
      </c>
      <c r="H396" t="str">
        <f>_xll.BDP("198504YH Muni","ISSUE_DT")</f>
        <v>#N/A Requesting Data...</v>
      </c>
      <c r="I396" t="str">
        <f>_xll.BDS("198504YH Muni","MUNI_PURPOSE_SCHED", "aggregate=y")</f>
        <v>#N/A Requesting Data...</v>
      </c>
      <c r="J396" t="str">
        <f>_xll.BDP("198504YH Muni","CPN")</f>
        <v>#N/A Requesting Data...</v>
      </c>
      <c r="K396" t="str">
        <f>_xll.BDP("198504YH Muni","MATURITY")</f>
        <v>#N/A Requesting Data...</v>
      </c>
      <c r="L396">
        <v>2170000</v>
      </c>
      <c r="M396" t="str">
        <f>_xll.BDP("198504YH Muni","YIELD_ON_ISSUE_DATE")</f>
        <v>#N/A Requesting Data...</v>
      </c>
      <c r="N396" t="str">
        <f>_xll.BDP("198504YH Muni","YTW_SPREAD_TO_MATURITY_AT_ISSU")</f>
        <v>#N/A Requesting Data...</v>
      </c>
      <c r="O396" t="str">
        <f>_xll.BDP("198504YH Muni","BVAL_MID_YTM")</f>
        <v>#N/A Requesting Data...</v>
      </c>
      <c r="P396" t="str">
        <f>_xll.BDP("198504YH Muni","MUNI_TAX_PROV")</f>
        <v>#N/A Requesting Data...</v>
      </c>
      <c r="Q396" t="str">
        <f>_xll.BDP("198504YH Muni","MUNI_FED_TAX")</f>
        <v>#N/A Requesting Data...</v>
      </c>
      <c r="R396" t="str">
        <f>_xll.BDP("198504YH Muni","MUNI_MSRB_VOLUME")</f>
        <v>#N/A Requesting Data...</v>
      </c>
      <c r="S396" t="str">
        <f>_xll.BDP("198504YH Muni","BB_COMPOSITE")</f>
        <v>#N/A Requesting Data...</v>
      </c>
      <c r="T396" t="str">
        <f>_xll.BDP("198504YH Muni","LQA_LIQUIDITY_SCORE")</f>
        <v>#N/A Requesting Data...</v>
      </c>
    </row>
    <row r="397" spans="1:20" x14ac:dyDescent="0.25">
      <c r="A397" t="str">
        <f>_xll.BDP("206400MB Muni","ID_CUSIP")</f>
        <v>#N/A Requesting Data...</v>
      </c>
      <c r="B397" t="s">
        <v>137</v>
      </c>
      <c r="C397" t="str">
        <f>_xll.BDP("206400MB Muni","INSURANCE_STATUS")</f>
        <v>#N/A Requesting Data...</v>
      </c>
      <c r="D397" t="str">
        <f>_xll.BDP("206400MB Muni","STATE_CODE")</f>
        <v>#N/A Requesting Data...</v>
      </c>
      <c r="E397" t="str">
        <f>_xll.BDP("206400MB Muni","COUNTY_LOCATION_ISSUER")</f>
        <v>#N/A Requesting Data...</v>
      </c>
      <c r="F397" t="str">
        <f>_xll.BDP("206400MB Muni","DUR_ADJ_MID")</f>
        <v>#N/A Requesting Data...</v>
      </c>
      <c r="G397" t="str">
        <f>_xll.BDP("206400MB Muni","SPREAD_AT_ISSUANCE_TO_WORST")</f>
        <v>#N/A Requesting Data...</v>
      </c>
      <c r="H397" t="str">
        <f>_xll.BDP("206400MB Muni","ISSUE_DT")</f>
        <v>#N/A Requesting Data...</v>
      </c>
      <c r="I397" t="str">
        <f>_xll.BDS("206400MB Muni","MUNI_PURPOSE_SCHED", "aggregate=y")</f>
        <v>#N/A Requesting Data...</v>
      </c>
      <c r="J397" t="str">
        <f>_xll.BDP("206400MB Muni","CPN")</f>
        <v>#N/A Requesting Data...</v>
      </c>
      <c r="K397" t="str">
        <f>_xll.BDP("206400MB Muni","MATURITY")</f>
        <v>#N/A Requesting Data...</v>
      </c>
      <c r="L397">
        <v>1180000</v>
      </c>
      <c r="M397" t="str">
        <f>_xll.BDP("206400MB Muni","YIELD_ON_ISSUE_DATE")</f>
        <v>#N/A Requesting Data...</v>
      </c>
      <c r="N397" t="str">
        <f>_xll.BDP("206400MB Muni","YTW_SPREAD_TO_MATURITY_AT_ISSU")</f>
        <v>#N/A Requesting Data...</v>
      </c>
      <c r="O397" t="str">
        <f>_xll.BDP("206400MB Muni","BVAL_MID_YTM")</f>
        <v>#N/A Requesting Data...</v>
      </c>
      <c r="P397" t="str">
        <f>_xll.BDP("206400MB Muni","MUNI_TAX_PROV")</f>
        <v>#N/A Requesting Data...</v>
      </c>
      <c r="Q397" t="str">
        <f>_xll.BDP("206400MB Muni","MUNI_FED_TAX")</f>
        <v>#N/A Requesting Data...</v>
      </c>
      <c r="R397" t="str">
        <f>_xll.BDP("206400MB Muni","MUNI_MSRB_VOLUME")</f>
        <v>#N/A Requesting Data...</v>
      </c>
      <c r="S397" t="str">
        <f>_xll.BDP("206400MB Muni","BB_COMPOSITE")</f>
        <v>#N/A Requesting Data...</v>
      </c>
      <c r="T397" t="str">
        <f>_xll.BDP("206400MB Muni","LQA_LIQUIDITY_SCORE")</f>
        <v>#N/A Requesting Data...</v>
      </c>
    </row>
    <row r="398" spans="1:20" x14ac:dyDescent="0.25">
      <c r="A398" t="str">
        <f>_xll.BDP("206400MC Muni","ID_CUSIP")</f>
        <v>#N/A Requesting Data...</v>
      </c>
      <c r="B398" t="s">
        <v>137</v>
      </c>
      <c r="C398" t="str">
        <f>_xll.BDP("206400MC Muni","INSURANCE_STATUS")</f>
        <v>#N/A Requesting Data...</v>
      </c>
      <c r="D398" t="str">
        <f>_xll.BDP("206400MC Muni","STATE_CODE")</f>
        <v>#N/A Requesting Data...</v>
      </c>
      <c r="E398" t="str">
        <f>_xll.BDP("206400MC Muni","COUNTY_LOCATION_ISSUER")</f>
        <v>#N/A Requesting Data...</v>
      </c>
      <c r="F398" t="str">
        <f>_xll.BDP("206400MC Muni","DUR_ADJ_MID")</f>
        <v>#N/A Requesting Data...</v>
      </c>
      <c r="G398" t="str">
        <f>_xll.BDP("206400MC Muni","SPREAD_AT_ISSUANCE_TO_WORST")</f>
        <v>#N/A Requesting Data...</v>
      </c>
      <c r="H398" t="str">
        <f>_xll.BDP("206400MC Muni","ISSUE_DT")</f>
        <v>#N/A Requesting Data...</v>
      </c>
      <c r="I398" t="str">
        <f>_xll.BDS("206400MC Muni","MUNI_PURPOSE_SCHED", "aggregate=y")</f>
        <v>#N/A Requesting Data...</v>
      </c>
      <c r="J398" t="str">
        <f>_xll.BDP("206400MC Muni","CPN")</f>
        <v>#N/A Requesting Data...</v>
      </c>
      <c r="K398" t="str">
        <f>_xll.BDP("206400MC Muni","MATURITY")</f>
        <v>#N/A Requesting Data...</v>
      </c>
      <c r="L398">
        <v>1120000</v>
      </c>
      <c r="M398" t="str">
        <f>_xll.BDP("206400MC Muni","YIELD_ON_ISSUE_DATE")</f>
        <v>#N/A Requesting Data...</v>
      </c>
      <c r="N398" t="str">
        <f>_xll.BDP("206400MC Muni","YTW_SPREAD_TO_MATURITY_AT_ISSU")</f>
        <v>#N/A Requesting Data...</v>
      </c>
      <c r="O398" t="str">
        <f>_xll.BDP("206400MC Muni","BVAL_MID_YTM")</f>
        <v>#N/A Requesting Data...</v>
      </c>
      <c r="P398" t="str">
        <f>_xll.BDP("206400MC Muni","MUNI_TAX_PROV")</f>
        <v>#N/A Requesting Data...</v>
      </c>
      <c r="Q398" t="str">
        <f>_xll.BDP("206400MC Muni","MUNI_FED_TAX")</f>
        <v>#N/A Requesting Data...</v>
      </c>
      <c r="R398" t="str">
        <f>_xll.BDP("206400MC Muni","MUNI_MSRB_VOLUME")</f>
        <v>#N/A Requesting Data...</v>
      </c>
      <c r="S398" t="str">
        <f>_xll.BDP("206400MC Muni","BB_COMPOSITE")</f>
        <v>#N/A Requesting Data...</v>
      </c>
      <c r="T398" t="str">
        <f>_xll.BDP("206400MC Muni","LQA_LIQUIDITY_SCORE")</f>
        <v>#N/A Requesting Data...</v>
      </c>
    </row>
    <row r="399" spans="1:20" x14ac:dyDescent="0.25">
      <c r="A399" t="str">
        <f>_xll.BDP("206400MD Muni","ID_CUSIP")</f>
        <v>#N/A Requesting Data...</v>
      </c>
      <c r="B399" t="s">
        <v>137</v>
      </c>
      <c r="C399" t="str">
        <f>_xll.BDP("206400MD Muni","INSURANCE_STATUS")</f>
        <v>#N/A Requesting Data...</v>
      </c>
      <c r="D399" t="str">
        <f>_xll.BDP("206400MD Muni","STATE_CODE")</f>
        <v>#N/A Requesting Data...</v>
      </c>
      <c r="E399" t="str">
        <f>_xll.BDP("206400MD Muni","COUNTY_LOCATION_ISSUER")</f>
        <v>#N/A Requesting Data...</v>
      </c>
      <c r="F399" t="str">
        <f>_xll.BDP("206400MD Muni","DUR_ADJ_MID")</f>
        <v>#N/A Requesting Data...</v>
      </c>
      <c r="G399" t="str">
        <f>_xll.BDP("206400MD Muni","SPREAD_AT_ISSUANCE_TO_WORST")</f>
        <v>#N/A Requesting Data...</v>
      </c>
      <c r="H399" t="str">
        <f>_xll.BDP("206400MD Muni","ISSUE_DT")</f>
        <v>#N/A Requesting Data...</v>
      </c>
      <c r="I399" t="str">
        <f>_xll.BDS("206400MD Muni","MUNI_PURPOSE_SCHED", "aggregate=y")</f>
        <v>#N/A Requesting Data...</v>
      </c>
      <c r="J399" t="str">
        <f>_xll.BDP("206400MD Muni","CPN")</f>
        <v>#N/A Requesting Data...</v>
      </c>
      <c r="K399" t="str">
        <f>_xll.BDP("206400MD Muni","MATURITY")</f>
        <v>#N/A Requesting Data...</v>
      </c>
      <c r="L399">
        <v>1115000</v>
      </c>
      <c r="M399" t="str">
        <f>_xll.BDP("206400MD Muni","YIELD_ON_ISSUE_DATE")</f>
        <v>#N/A Requesting Data...</v>
      </c>
      <c r="N399" t="str">
        <f>_xll.BDP("206400MD Muni","YTW_SPREAD_TO_MATURITY_AT_ISSU")</f>
        <v>#N/A Requesting Data...</v>
      </c>
      <c r="O399" t="str">
        <f>_xll.BDP("206400MD Muni","BVAL_MID_YTM")</f>
        <v>#N/A Requesting Data...</v>
      </c>
      <c r="P399" t="str">
        <f>_xll.BDP("206400MD Muni","MUNI_TAX_PROV")</f>
        <v>#N/A Requesting Data...</v>
      </c>
      <c r="Q399" t="str">
        <f>_xll.BDP("206400MD Muni","MUNI_FED_TAX")</f>
        <v>#N/A Requesting Data...</v>
      </c>
      <c r="R399" t="str">
        <f>_xll.BDP("206400MD Muni","MUNI_MSRB_VOLUME")</f>
        <v>#N/A Requesting Data...</v>
      </c>
      <c r="S399" t="str">
        <f>_xll.BDP("206400MD Muni","BB_COMPOSITE")</f>
        <v>#N/A Requesting Data...</v>
      </c>
      <c r="T399" t="str">
        <f>_xll.BDP("206400MD Muni","LQA_LIQUIDITY_SCORE")</f>
        <v>#N/A Requesting Data...</v>
      </c>
    </row>
    <row r="400" spans="1:20" x14ac:dyDescent="0.25">
      <c r="A400" t="str">
        <f>_xll.BDP("206400ME Muni","ID_CUSIP")</f>
        <v>#N/A Requesting Data...</v>
      </c>
      <c r="B400" t="s">
        <v>137</v>
      </c>
      <c r="C400" t="str">
        <f>_xll.BDP("206400ME Muni","INSURANCE_STATUS")</f>
        <v>#N/A Requesting Data...</v>
      </c>
      <c r="D400" t="str">
        <f>_xll.BDP("206400ME Muni","STATE_CODE")</f>
        <v>#N/A Requesting Data...</v>
      </c>
      <c r="E400" t="str">
        <f>_xll.BDP("206400ME Muni","COUNTY_LOCATION_ISSUER")</f>
        <v>#N/A Requesting Data...</v>
      </c>
      <c r="F400" t="str">
        <f>_xll.BDP("206400ME Muni","DUR_ADJ_MID")</f>
        <v>#N/A Requesting Data...</v>
      </c>
      <c r="G400" t="str">
        <f>_xll.BDP("206400ME Muni","SPREAD_AT_ISSUANCE_TO_WORST")</f>
        <v>#N/A Requesting Data...</v>
      </c>
      <c r="H400" t="str">
        <f>_xll.BDP("206400ME Muni","ISSUE_DT")</f>
        <v>#N/A Requesting Data...</v>
      </c>
      <c r="I400" t="str">
        <f>_xll.BDS("206400ME Muni","MUNI_PURPOSE_SCHED", "aggregate=y")</f>
        <v>#N/A Requesting Data...</v>
      </c>
      <c r="J400" t="str">
        <f>_xll.BDP("206400ME Muni","CPN")</f>
        <v>#N/A Requesting Data...</v>
      </c>
      <c r="K400" t="str">
        <f>_xll.BDP("206400ME Muni","MATURITY")</f>
        <v>#N/A Requesting Data...</v>
      </c>
      <c r="L400">
        <v>1035000</v>
      </c>
      <c r="M400" t="str">
        <f>_xll.BDP("206400ME Muni","YIELD_ON_ISSUE_DATE")</f>
        <v>#N/A Requesting Data...</v>
      </c>
      <c r="N400" t="str">
        <f>_xll.BDP("206400ME Muni","YTW_SPREAD_TO_MATURITY_AT_ISSU")</f>
        <v>#N/A Requesting Data...</v>
      </c>
      <c r="O400" t="str">
        <f>_xll.BDP("206400ME Muni","BVAL_MID_YTM")</f>
        <v>#N/A Requesting Data...</v>
      </c>
      <c r="P400" t="str">
        <f>_xll.BDP("206400ME Muni","MUNI_TAX_PROV")</f>
        <v>#N/A Requesting Data...</v>
      </c>
      <c r="Q400" t="str">
        <f>_xll.BDP("206400ME Muni","MUNI_FED_TAX")</f>
        <v>#N/A Requesting Data...</v>
      </c>
      <c r="R400" t="str">
        <f>_xll.BDP("206400ME Muni","MUNI_MSRB_VOLUME")</f>
        <v>#N/A Requesting Data...</v>
      </c>
      <c r="S400" t="str">
        <f>_xll.BDP("206400ME Muni","BB_COMPOSITE")</f>
        <v>#N/A Requesting Data...</v>
      </c>
      <c r="T400" t="str">
        <f>_xll.BDP("206400ME Muni","LQA_LIQUIDITY_SCORE")</f>
        <v>#N/A Requesting Data...</v>
      </c>
    </row>
    <row r="401" spans="1:20" x14ac:dyDescent="0.25">
      <c r="A401" t="str">
        <f>_xll.BDP("206400MF Muni","ID_CUSIP")</f>
        <v>#N/A Requesting Data...</v>
      </c>
      <c r="B401" t="s">
        <v>137</v>
      </c>
      <c r="C401" t="str">
        <f>_xll.BDP("206400MF Muni","INSURANCE_STATUS")</f>
        <v>#N/A Requesting Data...</v>
      </c>
      <c r="D401" t="str">
        <f>_xll.BDP("206400MF Muni","STATE_CODE")</f>
        <v>#N/A Requesting Data...</v>
      </c>
      <c r="E401" t="str">
        <f>_xll.BDP("206400MF Muni","COUNTY_LOCATION_ISSUER")</f>
        <v>#N/A Requesting Data...</v>
      </c>
      <c r="F401" t="str">
        <f>_xll.BDP("206400MF Muni","DUR_ADJ_MID")</f>
        <v>#N/A Requesting Data...</v>
      </c>
      <c r="G401" t="str">
        <f>_xll.BDP("206400MF Muni","SPREAD_AT_ISSUANCE_TO_WORST")</f>
        <v>#N/A Requesting Data...</v>
      </c>
      <c r="H401" t="str">
        <f>_xll.BDP("206400MF Muni","ISSUE_DT")</f>
        <v>#N/A Requesting Data...</v>
      </c>
      <c r="I401" t="str">
        <f>_xll.BDS("206400MF Muni","MUNI_PURPOSE_SCHED", "aggregate=y")</f>
        <v>#N/A Requesting Data...</v>
      </c>
      <c r="J401" t="str">
        <f>_xll.BDP("206400MF Muni","CPN")</f>
        <v>#N/A Requesting Data...</v>
      </c>
      <c r="K401" t="str">
        <f>_xll.BDP("206400MF Muni","MATURITY")</f>
        <v>#N/A Requesting Data...</v>
      </c>
      <c r="L401">
        <v>1020000</v>
      </c>
      <c r="M401" t="str">
        <f>_xll.BDP("206400MF Muni","YIELD_ON_ISSUE_DATE")</f>
        <v>#N/A Requesting Data...</v>
      </c>
      <c r="N401" t="str">
        <f>_xll.BDP("206400MF Muni","YTW_SPREAD_TO_MATURITY_AT_ISSU")</f>
        <v>#N/A Requesting Data...</v>
      </c>
      <c r="O401" t="str">
        <f>_xll.BDP("206400MF Muni","BVAL_MID_YTM")</f>
        <v>#N/A Requesting Data...</v>
      </c>
      <c r="P401" t="str">
        <f>_xll.BDP("206400MF Muni","MUNI_TAX_PROV")</f>
        <v>#N/A Requesting Data...</v>
      </c>
      <c r="Q401" t="str">
        <f>_xll.BDP("206400MF Muni","MUNI_FED_TAX")</f>
        <v>#N/A Requesting Data...</v>
      </c>
      <c r="R401" t="str">
        <f>_xll.BDP("206400MF Muni","MUNI_MSRB_VOLUME")</f>
        <v>#N/A Requesting Data...</v>
      </c>
      <c r="S401" t="str">
        <f>_xll.BDP("206400MF Muni","BB_COMPOSITE")</f>
        <v>#N/A Requesting Data...</v>
      </c>
      <c r="T401" t="str">
        <f>_xll.BDP("206400MF Muni","LQA_LIQUIDITY_SCORE")</f>
        <v>#N/A Requesting Data...</v>
      </c>
    </row>
    <row r="402" spans="1:20" x14ac:dyDescent="0.25">
      <c r="A402" t="str">
        <f>_xll.BDP("206400MG Muni","ID_CUSIP")</f>
        <v>#N/A Requesting Data...</v>
      </c>
      <c r="B402" t="s">
        <v>137</v>
      </c>
      <c r="C402" t="str">
        <f>_xll.BDP("206400MG Muni","INSURANCE_STATUS")</f>
        <v>#N/A Requesting Data...</v>
      </c>
      <c r="D402" t="str">
        <f>_xll.BDP("206400MG Muni","STATE_CODE")</f>
        <v>#N/A Requesting Data...</v>
      </c>
      <c r="E402" t="str">
        <f>_xll.BDP("206400MG Muni","COUNTY_LOCATION_ISSUER")</f>
        <v>#N/A Requesting Data...</v>
      </c>
      <c r="F402" t="str">
        <f>_xll.BDP("206400MG Muni","DUR_ADJ_MID")</f>
        <v>#N/A Requesting Data...</v>
      </c>
      <c r="G402" t="str">
        <f>_xll.BDP("206400MG Muni","SPREAD_AT_ISSUANCE_TO_WORST")</f>
        <v>#N/A Requesting Data...</v>
      </c>
      <c r="H402" t="str">
        <f>_xll.BDP("206400MG Muni","ISSUE_DT")</f>
        <v>#N/A Requesting Data...</v>
      </c>
      <c r="I402" t="str">
        <f>_xll.BDS("206400MG Muni","MUNI_PURPOSE_SCHED", "aggregate=y")</f>
        <v>#N/A Requesting Data...</v>
      </c>
      <c r="J402" t="str">
        <f>_xll.BDP("206400MG Muni","CPN")</f>
        <v>#N/A Requesting Data...</v>
      </c>
      <c r="K402" t="str">
        <f>_xll.BDP("206400MG Muni","MATURITY")</f>
        <v>#N/A Requesting Data...</v>
      </c>
      <c r="L402">
        <v>990000</v>
      </c>
      <c r="M402" t="str">
        <f>_xll.BDP("206400MG Muni","YIELD_ON_ISSUE_DATE")</f>
        <v>#N/A Requesting Data...</v>
      </c>
      <c r="N402" t="str">
        <f>_xll.BDP("206400MG Muni","YTW_SPREAD_TO_MATURITY_AT_ISSU")</f>
        <v>#N/A Requesting Data...</v>
      </c>
      <c r="O402" t="str">
        <f>_xll.BDP("206400MG Muni","BVAL_MID_YTM")</f>
        <v>#N/A Requesting Data...</v>
      </c>
      <c r="P402" t="str">
        <f>_xll.BDP("206400MG Muni","MUNI_TAX_PROV")</f>
        <v>#N/A Requesting Data...</v>
      </c>
      <c r="Q402" t="str">
        <f>_xll.BDP("206400MG Muni","MUNI_FED_TAX")</f>
        <v>#N/A Requesting Data...</v>
      </c>
      <c r="R402" t="str">
        <f>_xll.BDP("206400MG Muni","MUNI_MSRB_VOLUME")</f>
        <v>#N/A Requesting Data...</v>
      </c>
      <c r="S402" t="str">
        <f>_xll.BDP("206400MG Muni","BB_COMPOSITE")</f>
        <v>#N/A Requesting Data...</v>
      </c>
      <c r="T402" t="str">
        <f>_xll.BDP("206400MG Muni","LQA_LIQUIDITY_SCORE")</f>
        <v>#N/A Requesting Data...</v>
      </c>
    </row>
    <row r="403" spans="1:20" x14ac:dyDescent="0.25">
      <c r="A403" t="str">
        <f>_xll.BDP("20772KCE Muni","ID_CUSIP")</f>
        <v>#N/A Requesting Data...</v>
      </c>
      <c r="B403" t="s">
        <v>138</v>
      </c>
      <c r="C403" t="str">
        <f>_xll.BDP("20772KCE Muni","INSURANCE_STATUS")</f>
        <v>#N/A Requesting Data...</v>
      </c>
      <c r="D403" t="str">
        <f>_xll.BDP("20772KCE Muni","STATE_CODE")</f>
        <v>#N/A Requesting Data...</v>
      </c>
      <c r="E403" t="str">
        <f>_xll.BDP("20772KCE Muni","COUNTY_LOCATION_ISSUER")</f>
        <v>#N/A Requesting Data...</v>
      </c>
      <c r="F403" t="str">
        <f>_xll.BDP("20772KCE Muni","DUR_ADJ_MID")</f>
        <v>#N/A Requesting Data...</v>
      </c>
      <c r="G403" t="str">
        <f>_xll.BDP("20772KCE Muni","SPREAD_AT_ISSUANCE_TO_WORST")</f>
        <v>#N/A Requesting Data...</v>
      </c>
      <c r="H403" t="str">
        <f>_xll.BDP("20772KCE Muni","ISSUE_DT")</f>
        <v>#N/A Requesting Data...</v>
      </c>
      <c r="I403" t="str">
        <f>_xll.BDS("20772KCE Muni","MUNI_PURPOSE_SCHED", "aggregate=y")</f>
        <v>#N/A Requesting Data...</v>
      </c>
      <c r="J403" t="str">
        <f>_xll.BDP("20772KCE Muni","CPN")</f>
        <v>#N/A Requesting Data...</v>
      </c>
      <c r="K403" t="str">
        <f>_xll.BDP("20772KCE Muni","MATURITY")</f>
        <v>#N/A Requesting Data...</v>
      </c>
      <c r="L403">
        <v>29190000</v>
      </c>
      <c r="M403" t="str">
        <f>_xll.BDP("20772KCE Muni","YIELD_ON_ISSUE_DATE")</f>
        <v>#N/A Requesting Data...</v>
      </c>
      <c r="N403" t="str">
        <f>_xll.BDP("20772KCE Muni","YTW_SPREAD_TO_MATURITY_AT_ISSU")</f>
        <v>#N/A Requesting Data...</v>
      </c>
      <c r="O403" t="str">
        <f>_xll.BDP("20772KCE Muni","BVAL_MID_YTM")</f>
        <v>#N/A Requesting Data...</v>
      </c>
      <c r="P403" t="str">
        <f>_xll.BDP("20772KCE Muni","MUNI_TAX_PROV")</f>
        <v>#N/A Requesting Data...</v>
      </c>
      <c r="Q403" t="str">
        <f>_xll.BDP("20772KCE Muni","MUNI_FED_TAX")</f>
        <v>#N/A Requesting Data...</v>
      </c>
      <c r="R403" t="str">
        <f>_xll.BDP("20772KCE Muni","MUNI_MSRB_VOLUME")</f>
        <v>#N/A Requesting Data...</v>
      </c>
      <c r="S403" t="str">
        <f>_xll.BDP("20772KCE Muni","BB_COMPOSITE")</f>
        <v>#N/A Requesting Data...</v>
      </c>
      <c r="T403" t="str">
        <f>_xll.BDP("20772KCE Muni","LQA_LIQUIDITY_SCORE")</f>
        <v>#N/A Requesting Data...</v>
      </c>
    </row>
    <row r="404" spans="1:20" x14ac:dyDescent="0.25">
      <c r="A404" t="str">
        <f>_xll.BDP("20772KCG Muni","ID_CUSIP")</f>
        <v>#N/A Requesting Data...</v>
      </c>
      <c r="B404" t="s">
        <v>138</v>
      </c>
      <c r="C404" t="str">
        <f>_xll.BDP("20772KCG Muni","INSURANCE_STATUS")</f>
        <v>#N/A Requesting Data...</v>
      </c>
      <c r="D404" t="str">
        <f>_xll.BDP("20772KCG Muni","STATE_CODE")</f>
        <v>#N/A Requesting Data...</v>
      </c>
      <c r="E404" t="str">
        <f>_xll.BDP("20772KCG Muni","COUNTY_LOCATION_ISSUER")</f>
        <v>#N/A Requesting Data...</v>
      </c>
      <c r="F404" t="str">
        <f>_xll.BDP("20772KCG Muni","DUR_ADJ_MID")</f>
        <v>#N/A Requesting Data...</v>
      </c>
      <c r="G404" t="str">
        <f>_xll.BDP("20772KCG Muni","SPREAD_AT_ISSUANCE_TO_WORST")</f>
        <v>#N/A Requesting Data...</v>
      </c>
      <c r="H404" t="str">
        <f>_xll.BDP("20772KCG Muni","ISSUE_DT")</f>
        <v>#N/A Requesting Data...</v>
      </c>
      <c r="I404" t="str">
        <f>_xll.BDS("20772KCG Muni","MUNI_PURPOSE_SCHED", "aggregate=y")</f>
        <v>#N/A Requesting Data...</v>
      </c>
      <c r="J404" t="str">
        <f>_xll.BDP("20772KCG Muni","CPN")</f>
        <v>#N/A Requesting Data...</v>
      </c>
      <c r="K404" t="str">
        <f>_xll.BDP("20772KCG Muni","MATURITY")</f>
        <v>#N/A Requesting Data...</v>
      </c>
      <c r="L404">
        <v>1575000</v>
      </c>
      <c r="M404" t="str">
        <f>_xll.BDP("20772KCG Muni","YIELD_ON_ISSUE_DATE")</f>
        <v>#N/A Requesting Data...</v>
      </c>
      <c r="N404" t="str">
        <f>_xll.BDP("20772KCG Muni","YTW_SPREAD_TO_MATURITY_AT_ISSU")</f>
        <v>#N/A Requesting Data...</v>
      </c>
      <c r="O404" t="str">
        <f>_xll.BDP("20772KCG Muni","BVAL_MID_YTM")</f>
        <v>#N/A Requesting Data...</v>
      </c>
      <c r="P404" t="str">
        <f>_xll.BDP("20772KCG Muni","MUNI_TAX_PROV")</f>
        <v>#N/A Requesting Data...</v>
      </c>
      <c r="Q404" t="str">
        <f>_xll.BDP("20772KCG Muni","MUNI_FED_TAX")</f>
        <v>#N/A Requesting Data...</v>
      </c>
      <c r="R404" t="str">
        <f>_xll.BDP("20772KCG Muni","MUNI_MSRB_VOLUME")</f>
        <v>#N/A Requesting Data...</v>
      </c>
      <c r="S404" t="str">
        <f>_xll.BDP("20772KCG Muni","BB_COMPOSITE")</f>
        <v>#N/A Requesting Data...</v>
      </c>
      <c r="T404" t="str">
        <f>_xll.BDP("20772KCG Muni","LQA_LIQUIDITY_SCORE")</f>
        <v>#N/A Requesting Data...</v>
      </c>
    </row>
    <row r="405" spans="1:20" x14ac:dyDescent="0.25">
      <c r="A405" t="str">
        <f>_xll.BDP("20772KCJ Muni","ID_CUSIP")</f>
        <v>#N/A Requesting Data...</v>
      </c>
      <c r="B405" t="s">
        <v>138</v>
      </c>
      <c r="C405" t="str">
        <f>_xll.BDP("20772KCJ Muni","INSURANCE_STATUS")</f>
        <v>#N/A Requesting Data...</v>
      </c>
      <c r="D405" t="str">
        <f>_xll.BDP("20772KCJ Muni","STATE_CODE")</f>
        <v>#N/A Requesting Data...</v>
      </c>
      <c r="E405" t="str">
        <f>_xll.BDP("20772KCJ Muni","COUNTY_LOCATION_ISSUER")</f>
        <v>#N/A Requesting Data...</v>
      </c>
      <c r="F405" t="str">
        <f>_xll.BDP("20772KCJ Muni","DUR_ADJ_MID")</f>
        <v>#N/A Requesting Data...</v>
      </c>
      <c r="G405" t="str">
        <f>_xll.BDP("20772KCJ Muni","SPREAD_AT_ISSUANCE_TO_WORST")</f>
        <v>#N/A Requesting Data...</v>
      </c>
      <c r="H405" t="str">
        <f>_xll.BDP("20772KCJ Muni","ISSUE_DT")</f>
        <v>#N/A Requesting Data...</v>
      </c>
      <c r="I405" t="str">
        <f>_xll.BDS("20772KCJ Muni","MUNI_PURPOSE_SCHED", "aggregate=y")</f>
        <v>#N/A Requesting Data...</v>
      </c>
      <c r="J405" t="str">
        <f>_xll.BDP("20772KCJ Muni","CPN")</f>
        <v>#N/A Requesting Data...</v>
      </c>
      <c r="K405" t="str">
        <f>_xll.BDP("20772KCJ Muni","MATURITY")</f>
        <v>#N/A Requesting Data...</v>
      </c>
      <c r="L405">
        <v>2375000</v>
      </c>
      <c r="M405" t="str">
        <f>_xll.BDP("20772KCJ Muni","YIELD_ON_ISSUE_DATE")</f>
        <v>#N/A Requesting Data...</v>
      </c>
      <c r="N405" t="str">
        <f>_xll.BDP("20772KCJ Muni","YTW_SPREAD_TO_MATURITY_AT_ISSU")</f>
        <v>#N/A Requesting Data...</v>
      </c>
      <c r="O405" t="str">
        <f>_xll.BDP("20772KCJ Muni","BVAL_MID_YTM")</f>
        <v>#N/A Requesting Data...</v>
      </c>
      <c r="P405" t="str">
        <f>_xll.BDP("20772KCJ Muni","MUNI_TAX_PROV")</f>
        <v>#N/A Requesting Data...</v>
      </c>
      <c r="Q405" t="str">
        <f>_xll.BDP("20772KCJ Muni","MUNI_FED_TAX")</f>
        <v>#N/A Requesting Data...</v>
      </c>
      <c r="R405" t="str">
        <f>_xll.BDP("20772KCJ Muni","MUNI_MSRB_VOLUME")</f>
        <v>#N/A Requesting Data...</v>
      </c>
      <c r="S405" t="str">
        <f>_xll.BDP("20772KCJ Muni","BB_COMPOSITE")</f>
        <v>#N/A Requesting Data...</v>
      </c>
      <c r="T405" t="str">
        <f>_xll.BDP("20772KCJ Muni","LQA_LIQUIDITY_SCORE")</f>
        <v>#N/A Requesting Data...</v>
      </c>
    </row>
    <row r="406" spans="1:20" x14ac:dyDescent="0.25">
      <c r="A406" t="str">
        <f>_xll.BDP("20772KCL Muni","ID_CUSIP")</f>
        <v>#N/A Requesting Data...</v>
      </c>
      <c r="B406" t="s">
        <v>138</v>
      </c>
      <c r="C406" t="str">
        <f>_xll.BDP("20772KCL Muni","INSURANCE_STATUS")</f>
        <v>#N/A Requesting Data...</v>
      </c>
      <c r="D406" t="str">
        <f>_xll.BDP("20772KCL Muni","STATE_CODE")</f>
        <v>#N/A Requesting Data...</v>
      </c>
      <c r="E406" t="str">
        <f>_xll.BDP("20772KCL Muni","COUNTY_LOCATION_ISSUER")</f>
        <v>#N/A Requesting Data...</v>
      </c>
      <c r="F406" t="str">
        <f>_xll.BDP("20772KCL Muni","DUR_ADJ_MID")</f>
        <v>#N/A Requesting Data...</v>
      </c>
      <c r="G406" t="str">
        <f>_xll.BDP("20772KCL Muni","SPREAD_AT_ISSUANCE_TO_WORST")</f>
        <v>#N/A Requesting Data...</v>
      </c>
      <c r="H406" t="str">
        <f>_xll.BDP("20772KCL Muni","ISSUE_DT")</f>
        <v>#N/A Requesting Data...</v>
      </c>
      <c r="I406" t="str">
        <f>_xll.BDS("20772KCL Muni","MUNI_PURPOSE_SCHED", "aggregate=y")</f>
        <v>#N/A Requesting Data...</v>
      </c>
      <c r="J406" t="str">
        <f>_xll.BDP("20772KCL Muni","CPN")</f>
        <v>#N/A Requesting Data...</v>
      </c>
      <c r="K406" t="str">
        <f>_xll.BDP("20772KCL Muni","MATURITY")</f>
        <v>#N/A Requesting Data...</v>
      </c>
      <c r="L406">
        <v>31150000</v>
      </c>
      <c r="M406" t="str">
        <f>_xll.BDP("20772KCL Muni","YIELD_ON_ISSUE_DATE")</f>
        <v>#N/A Requesting Data...</v>
      </c>
      <c r="N406" t="str">
        <f>_xll.BDP("20772KCL Muni","YTW_SPREAD_TO_MATURITY_AT_ISSU")</f>
        <v>#N/A Requesting Data...</v>
      </c>
      <c r="O406" t="str">
        <f>_xll.BDP("20772KCL Muni","BVAL_MID_YTM")</f>
        <v>#N/A Requesting Data...</v>
      </c>
      <c r="P406" t="str">
        <f>_xll.BDP("20772KCL Muni","MUNI_TAX_PROV")</f>
        <v>#N/A Requesting Data...</v>
      </c>
      <c r="Q406" t="str">
        <f>_xll.BDP("20772KCL Muni","MUNI_FED_TAX")</f>
        <v>#N/A Requesting Data...</v>
      </c>
      <c r="R406" t="str">
        <f>_xll.BDP("20772KCL Muni","MUNI_MSRB_VOLUME")</f>
        <v>#N/A Requesting Data...</v>
      </c>
      <c r="S406" t="str">
        <f>_xll.BDP("20772KCL Muni","BB_COMPOSITE")</f>
        <v>#N/A Requesting Data...</v>
      </c>
      <c r="T406" t="str">
        <f>_xll.BDP("20772KCL Muni","LQA_LIQUIDITY_SCORE")</f>
        <v>#N/A Requesting Data...</v>
      </c>
    </row>
    <row r="407" spans="1:20" x14ac:dyDescent="0.25">
      <c r="A407" t="str">
        <f>_xll.BDP("182234EH Muni","ID_CUSIP")</f>
        <v>#N/A Requesting Data...</v>
      </c>
      <c r="B407" t="s">
        <v>139</v>
      </c>
      <c r="C407" t="str">
        <f>_xll.BDP("182234EH Muni","INSURANCE_STATUS")</f>
        <v>#N/A Requesting Data...</v>
      </c>
      <c r="D407" t="str">
        <f>_xll.BDP("182234EH Muni","STATE_CODE")</f>
        <v>#N/A Requesting Data...</v>
      </c>
      <c r="E407" t="str">
        <f>_xll.BDP("182234EH Muni","COUNTY_LOCATION_ISSUER")</f>
        <v>#N/A Requesting Data...</v>
      </c>
      <c r="F407" t="str">
        <f>_xll.BDP("182234EH Muni","DUR_ADJ_MID")</f>
        <v>#N/A Requesting Data...</v>
      </c>
      <c r="G407" t="str">
        <f>_xll.BDP("182234EH Muni","SPREAD_AT_ISSUANCE_TO_WORST")</f>
        <v>#N/A Requesting Data...</v>
      </c>
      <c r="H407" t="str">
        <f>_xll.BDP("182234EH Muni","ISSUE_DT")</f>
        <v>#N/A Requesting Data...</v>
      </c>
      <c r="I407" t="str">
        <f>_xll.BDS("182234EH Muni","MUNI_PURPOSE_SCHED", "aggregate=y")</f>
        <v>#N/A Requesting Data...</v>
      </c>
      <c r="J407" t="str">
        <f>_xll.BDP("182234EH Muni","CPN")</f>
        <v>#N/A Requesting Data...</v>
      </c>
      <c r="K407" t="str">
        <f>_xll.BDP("182234EH Muni","MATURITY")</f>
        <v>#N/A Requesting Data...</v>
      </c>
      <c r="L407">
        <v>45000</v>
      </c>
      <c r="M407" t="str">
        <f>_xll.BDP("182234EH Muni","YIELD_ON_ISSUE_DATE")</f>
        <v>#N/A Requesting Data...</v>
      </c>
      <c r="N407" t="str">
        <f>_xll.BDP("182234EH Muni","YTW_SPREAD_TO_MATURITY_AT_ISSU")</f>
        <v>#N/A Requesting Data...</v>
      </c>
      <c r="O407" t="str">
        <f>_xll.BDP("182234EH Muni","BVAL_MID_YTM")</f>
        <v>#N/A Requesting Data...</v>
      </c>
      <c r="P407" t="str">
        <f>_xll.BDP("182234EH Muni","MUNI_TAX_PROV")</f>
        <v>#N/A Requesting Data...</v>
      </c>
      <c r="Q407" t="str">
        <f>_xll.BDP("182234EH Muni","MUNI_FED_TAX")</f>
        <v>#N/A Requesting Data...</v>
      </c>
      <c r="R407" t="str">
        <f>_xll.BDP("182234EH Muni","MUNI_MSRB_VOLUME")</f>
        <v>#N/A Requesting Data...</v>
      </c>
      <c r="S407" t="str">
        <f>_xll.BDP("182234EH Muni","BB_COMPOSITE")</f>
        <v>#N/A Requesting Data...</v>
      </c>
      <c r="T407" t="str">
        <f>_xll.BDP("182234EH Muni","LQA_LIQUIDITY_SCORE")</f>
        <v>#N/A Requesting Data...</v>
      </c>
    </row>
    <row r="408" spans="1:20" x14ac:dyDescent="0.25">
      <c r="A408" t="str">
        <f>_xll.BDP("182234EM Muni","ID_CUSIP")</f>
        <v>#N/A Requesting Data...</v>
      </c>
      <c r="B408" t="s">
        <v>139</v>
      </c>
      <c r="C408" t="str">
        <f>_xll.BDP("182234EM Muni","INSURANCE_STATUS")</f>
        <v>#N/A Requesting Data...</v>
      </c>
      <c r="D408" t="str">
        <f>_xll.BDP("182234EM Muni","STATE_CODE")</f>
        <v>#N/A Requesting Data...</v>
      </c>
      <c r="E408" t="str">
        <f>_xll.BDP("182234EM Muni","COUNTY_LOCATION_ISSUER")</f>
        <v>#N/A Requesting Data...</v>
      </c>
      <c r="F408" t="str">
        <f>_xll.BDP("182234EM Muni","DUR_ADJ_MID")</f>
        <v>#N/A Requesting Data...</v>
      </c>
      <c r="G408" t="str">
        <f>_xll.BDP("182234EM Muni","SPREAD_AT_ISSUANCE_TO_WORST")</f>
        <v>#N/A Requesting Data...</v>
      </c>
      <c r="H408" t="str">
        <f>_xll.BDP("182234EM Muni","ISSUE_DT")</f>
        <v>#N/A Requesting Data...</v>
      </c>
      <c r="I408" t="str">
        <f>_xll.BDS("182234EM Muni","MUNI_PURPOSE_SCHED", "aggregate=y")</f>
        <v>#N/A Requesting Data...</v>
      </c>
      <c r="J408" t="str">
        <f>_xll.BDP("182234EM Muni","CPN")</f>
        <v>#N/A Requesting Data...</v>
      </c>
      <c r="K408" t="str">
        <f>_xll.BDP("182234EM Muni","MATURITY")</f>
        <v>#N/A Requesting Data...</v>
      </c>
      <c r="L408">
        <v>10000</v>
      </c>
      <c r="M408" t="str">
        <f>_xll.BDP("182234EM Muni","YIELD_ON_ISSUE_DATE")</f>
        <v>#N/A Requesting Data...</v>
      </c>
      <c r="N408" t="str">
        <f>_xll.BDP("182234EM Muni","YTW_SPREAD_TO_MATURITY_AT_ISSU")</f>
        <v>#N/A Requesting Data...</v>
      </c>
      <c r="O408" t="str">
        <f>_xll.BDP("182234EM Muni","BVAL_MID_YTM")</f>
        <v>#N/A Requesting Data...</v>
      </c>
      <c r="P408" t="str">
        <f>_xll.BDP("182234EM Muni","MUNI_TAX_PROV")</f>
        <v>#N/A Requesting Data...</v>
      </c>
      <c r="Q408" t="str">
        <f>_xll.BDP("182234EM Muni","MUNI_FED_TAX")</f>
        <v>#N/A Requesting Data...</v>
      </c>
      <c r="R408" t="str">
        <f>_xll.BDP("182234EM Muni","MUNI_MSRB_VOLUME")</f>
        <v>#N/A Requesting Data...</v>
      </c>
      <c r="S408" t="str">
        <f>_xll.BDP("182234EM Muni","BB_COMPOSITE")</f>
        <v>#N/A Requesting Data...</v>
      </c>
      <c r="T408" t="str">
        <f>_xll.BDP("182234EM Muni","LQA_LIQUIDITY_SCORE")</f>
        <v>#N/A Requesting Data...</v>
      </c>
    </row>
    <row r="409" spans="1:20" x14ac:dyDescent="0.25">
      <c r="A409" t="str">
        <f>_xll.BDP("102835JN Muni","ID_CUSIP")</f>
        <v>#N/A Requesting Data...</v>
      </c>
      <c r="B409" t="s">
        <v>132</v>
      </c>
      <c r="C409" t="str">
        <f>_xll.BDP("102835JN Muni","INSURANCE_STATUS")</f>
        <v>#N/A Requesting Data...</v>
      </c>
      <c r="D409" t="str">
        <f>_xll.BDP("102835JN Muni","STATE_CODE")</f>
        <v>#N/A Requesting Data...</v>
      </c>
      <c r="E409" t="str">
        <f>_xll.BDP("102835JN Muni","COUNTY_LOCATION_ISSUER")</f>
        <v>#N/A Requesting Data...</v>
      </c>
      <c r="F409" t="str">
        <f>_xll.BDP("102835JN Muni","DUR_ADJ_MID")</f>
        <v>#N/A Requesting Data...</v>
      </c>
      <c r="G409" t="str">
        <f>_xll.BDP("102835JN Muni","SPREAD_AT_ISSUANCE_TO_WORST")</f>
        <v>#N/A Requesting Data...</v>
      </c>
      <c r="H409" t="str">
        <f>_xll.BDP("102835JN Muni","ISSUE_DT")</f>
        <v>#N/A Requesting Data...</v>
      </c>
      <c r="I409" t="str">
        <f>_xll.BDS("102835JN Muni","MUNI_PURPOSE_SCHED", "aggregate=y")</f>
        <v>#N/A Requesting Data...</v>
      </c>
      <c r="J409" t="str">
        <f>_xll.BDP("102835JN Muni","CPN")</f>
        <v>#N/A Requesting Data...</v>
      </c>
      <c r="K409" t="str">
        <f>_xll.BDP("102835JN Muni","MATURITY")</f>
        <v>#N/A Requesting Data...</v>
      </c>
      <c r="L409">
        <v>285000</v>
      </c>
      <c r="M409" t="str">
        <f>_xll.BDP("102835JN Muni","YIELD_ON_ISSUE_DATE")</f>
        <v>#N/A Requesting Data...</v>
      </c>
      <c r="N409" t="str">
        <f>_xll.BDP("102835JN Muni","YTW_SPREAD_TO_MATURITY_AT_ISSU")</f>
        <v>#N/A Requesting Data...</v>
      </c>
      <c r="O409" t="str">
        <f>_xll.BDP("102835JN Muni","BVAL_MID_YTM")</f>
        <v>#N/A Requesting Data...</v>
      </c>
      <c r="P409" t="str">
        <f>_xll.BDP("102835JN Muni","MUNI_TAX_PROV")</f>
        <v>#N/A Requesting Data...</v>
      </c>
      <c r="Q409" t="str">
        <f>_xll.BDP("102835JN Muni","MUNI_FED_TAX")</f>
        <v>#N/A Requesting Data...</v>
      </c>
      <c r="R409" t="str">
        <f>_xll.BDP("102835JN Muni","MUNI_MSRB_VOLUME")</f>
        <v>#N/A Requesting Data...</v>
      </c>
      <c r="S409" t="str">
        <f>_xll.BDP("102835JN Muni","BB_COMPOSITE")</f>
        <v>#N/A Requesting Data...</v>
      </c>
      <c r="T409" t="str">
        <f>_xll.BDP("102835JN Muni","LQA_LIQUIDITY_SCORE")</f>
        <v>#N/A Requesting Data...</v>
      </c>
    </row>
    <row r="410" spans="1:20" x14ac:dyDescent="0.25">
      <c r="A410" t="str">
        <f>_xll.BDP("137699ZH Muni","ID_CUSIP")</f>
        <v>#N/A Requesting Data...</v>
      </c>
      <c r="B410" t="s">
        <v>133</v>
      </c>
      <c r="C410" t="str">
        <f>_xll.BDP("137699ZH Muni","INSURANCE_STATUS")</f>
        <v>#N/A Requesting Data...</v>
      </c>
      <c r="D410" t="str">
        <f>_xll.BDP("137699ZH Muni","STATE_CODE")</f>
        <v>#N/A Requesting Data...</v>
      </c>
      <c r="E410" t="str">
        <f>_xll.BDP("137699ZH Muni","COUNTY_LOCATION_ISSUER")</f>
        <v>#N/A Requesting Data...</v>
      </c>
      <c r="F410" t="str">
        <f>_xll.BDP("137699ZH Muni","DUR_ADJ_MID")</f>
        <v>#N/A Requesting Data...</v>
      </c>
      <c r="G410" t="str">
        <f>_xll.BDP("137699ZH Muni","SPREAD_AT_ISSUANCE_TO_WORST")</f>
        <v>#N/A Requesting Data...</v>
      </c>
      <c r="H410" t="str">
        <f>_xll.BDP("137699ZH Muni","ISSUE_DT")</f>
        <v>#N/A Requesting Data...</v>
      </c>
      <c r="I410" t="str">
        <f>_xll.BDS("137699ZH Muni","MUNI_PURPOSE_SCHED", "aggregate=y")</f>
        <v>#N/A Requesting Data...</v>
      </c>
      <c r="J410" t="str">
        <f>_xll.BDP("137699ZH Muni","CPN")</f>
        <v>#N/A Requesting Data...</v>
      </c>
      <c r="K410" t="str">
        <f>_xll.BDP("137699ZH Muni","MATURITY")</f>
        <v>#N/A Requesting Data...</v>
      </c>
      <c r="L410">
        <v>200000</v>
      </c>
      <c r="M410" t="str">
        <f>_xll.BDP("137699ZH Muni","YIELD_ON_ISSUE_DATE")</f>
        <v>#N/A Requesting Data...</v>
      </c>
      <c r="N410" t="str">
        <f>_xll.BDP("137699ZH Muni","YTW_SPREAD_TO_MATURITY_AT_ISSU")</f>
        <v>#N/A Requesting Data...</v>
      </c>
      <c r="O410" t="str">
        <f>_xll.BDP("137699ZH Muni","BVAL_MID_YTM")</f>
        <v>#N/A Requesting Data...</v>
      </c>
      <c r="P410" t="str">
        <f>_xll.BDP("137699ZH Muni","MUNI_TAX_PROV")</f>
        <v>#N/A Requesting Data...</v>
      </c>
      <c r="Q410" t="str">
        <f>_xll.BDP("137699ZH Muni","MUNI_FED_TAX")</f>
        <v>#N/A Requesting Data...</v>
      </c>
      <c r="R410" t="str">
        <f>_xll.BDP("137699ZH Muni","MUNI_MSRB_VOLUME")</f>
        <v>#N/A Requesting Data...</v>
      </c>
      <c r="S410" t="str">
        <f>_xll.BDP("137699ZH Muni","BB_COMPOSITE")</f>
        <v>#N/A Requesting Data...</v>
      </c>
      <c r="T410" t="str">
        <f>_xll.BDP("137699ZH Muni","LQA_LIQUIDITY_SCORE")</f>
        <v>#N/A Requesting Data...</v>
      </c>
    </row>
    <row r="411" spans="1:20" x14ac:dyDescent="0.25">
      <c r="A411" t="str">
        <f>_xll.BDP("137699ZK Muni","ID_CUSIP")</f>
        <v>#N/A Requesting Data...</v>
      </c>
      <c r="B411" t="s">
        <v>133</v>
      </c>
      <c r="C411" t="str">
        <f>_xll.BDP("137699ZK Muni","INSURANCE_STATUS")</f>
        <v>#N/A Requesting Data...</v>
      </c>
      <c r="D411" t="str">
        <f>_xll.BDP("137699ZK Muni","STATE_CODE")</f>
        <v>#N/A Requesting Data...</v>
      </c>
      <c r="E411" t="str">
        <f>_xll.BDP("137699ZK Muni","COUNTY_LOCATION_ISSUER")</f>
        <v>#N/A Requesting Data...</v>
      </c>
      <c r="F411" t="str">
        <f>_xll.BDP("137699ZK Muni","DUR_ADJ_MID")</f>
        <v>#N/A Requesting Data...</v>
      </c>
      <c r="G411" t="str">
        <f>_xll.BDP("137699ZK Muni","SPREAD_AT_ISSUANCE_TO_WORST")</f>
        <v>#N/A Requesting Data...</v>
      </c>
      <c r="H411" t="str">
        <f>_xll.BDP("137699ZK Muni","ISSUE_DT")</f>
        <v>#N/A Requesting Data...</v>
      </c>
      <c r="I411" t="str">
        <f>_xll.BDS("137699ZK Muni","MUNI_PURPOSE_SCHED", "aggregate=y")</f>
        <v>#N/A Requesting Data...</v>
      </c>
      <c r="J411" t="str">
        <f>_xll.BDP("137699ZK Muni","CPN")</f>
        <v>#N/A Requesting Data...</v>
      </c>
      <c r="K411" t="str">
        <f>_xll.BDP("137699ZK Muni","MATURITY")</f>
        <v>#N/A Requesting Data...</v>
      </c>
      <c r="L411">
        <v>215000</v>
      </c>
      <c r="M411" t="str">
        <f>_xll.BDP("137699ZK Muni","YIELD_ON_ISSUE_DATE")</f>
        <v>#N/A Requesting Data...</v>
      </c>
      <c r="N411" t="str">
        <f>_xll.BDP("137699ZK Muni","YTW_SPREAD_TO_MATURITY_AT_ISSU")</f>
        <v>#N/A Requesting Data...</v>
      </c>
      <c r="O411" t="str">
        <f>_xll.BDP("137699ZK Muni","BVAL_MID_YTM")</f>
        <v>#N/A Requesting Data...</v>
      </c>
      <c r="P411" t="str">
        <f>_xll.BDP("137699ZK Muni","MUNI_TAX_PROV")</f>
        <v>#N/A Requesting Data...</v>
      </c>
      <c r="Q411" t="str">
        <f>_xll.BDP("137699ZK Muni","MUNI_FED_TAX")</f>
        <v>#N/A Requesting Data...</v>
      </c>
      <c r="R411" t="str">
        <f>_xll.BDP("137699ZK Muni","MUNI_MSRB_VOLUME")</f>
        <v>#N/A Requesting Data...</v>
      </c>
      <c r="S411" t="str">
        <f>_xll.BDP("137699ZK Muni","BB_COMPOSITE")</f>
        <v>#N/A Requesting Data...</v>
      </c>
      <c r="T411" t="str">
        <f>_xll.BDP("137699ZK Muni","LQA_LIQUIDITY_SCORE")</f>
        <v>#N/A Requesting Data...</v>
      </c>
    </row>
    <row r="412" spans="1:20" x14ac:dyDescent="0.25">
      <c r="A412" t="str">
        <f>_xll.BDP("20772KCD Muni","ID_CUSIP")</f>
        <v>#N/A Requesting Data...</v>
      </c>
      <c r="B412" t="s">
        <v>138</v>
      </c>
      <c r="C412" t="str">
        <f>_xll.BDP("20772KCD Muni","INSURANCE_STATUS")</f>
        <v>#N/A Requesting Data...</v>
      </c>
      <c r="D412" t="str">
        <f>_xll.BDP("20772KCD Muni","STATE_CODE")</f>
        <v>#N/A Requesting Data...</v>
      </c>
      <c r="E412" t="str">
        <f>_xll.BDP("20772KCD Muni","COUNTY_LOCATION_ISSUER")</f>
        <v>#N/A Requesting Data...</v>
      </c>
      <c r="F412" t="str">
        <f>_xll.BDP("20772KCD Muni","DUR_ADJ_MID")</f>
        <v>#N/A Requesting Data...</v>
      </c>
      <c r="G412" t="str">
        <f>_xll.BDP("20772KCD Muni","SPREAD_AT_ISSUANCE_TO_WORST")</f>
        <v>#N/A Requesting Data...</v>
      </c>
      <c r="H412" t="str">
        <f>_xll.BDP("20772KCD Muni","ISSUE_DT")</f>
        <v>#N/A Requesting Data...</v>
      </c>
      <c r="I412" t="str">
        <f>_xll.BDS("20772KCD Muni","MUNI_PURPOSE_SCHED", "aggregate=y")</f>
        <v>#N/A Requesting Data...</v>
      </c>
      <c r="J412" t="str">
        <f>_xll.BDP("20772KCD Muni","CPN")</f>
        <v>#N/A Requesting Data...</v>
      </c>
      <c r="K412" t="str">
        <f>_xll.BDP("20772KCD Muni","MATURITY")</f>
        <v>#N/A Requesting Data...</v>
      </c>
      <c r="L412">
        <v>20000000</v>
      </c>
      <c r="M412" t="str">
        <f>_xll.BDP("20772KCD Muni","YIELD_ON_ISSUE_DATE")</f>
        <v>#N/A Requesting Data...</v>
      </c>
      <c r="N412" t="str">
        <f>_xll.BDP("20772KCD Muni","YTW_SPREAD_TO_MATURITY_AT_ISSU")</f>
        <v>#N/A Requesting Data...</v>
      </c>
      <c r="O412" t="str">
        <f>_xll.BDP("20772KCD Muni","BVAL_MID_YTM")</f>
        <v>#N/A Requesting Data...</v>
      </c>
      <c r="P412" t="str">
        <f>_xll.BDP("20772KCD Muni","MUNI_TAX_PROV")</f>
        <v>#N/A Requesting Data...</v>
      </c>
      <c r="Q412" t="str">
        <f>_xll.BDP("20772KCD Muni","MUNI_FED_TAX")</f>
        <v>#N/A Requesting Data...</v>
      </c>
      <c r="R412" t="str">
        <f>_xll.BDP("20772KCD Muni","MUNI_MSRB_VOLUME")</f>
        <v>#N/A Requesting Data...</v>
      </c>
      <c r="S412" t="str">
        <f>_xll.BDP("20772KCD Muni","BB_COMPOSITE")</f>
        <v>#N/A Requesting Data...</v>
      </c>
      <c r="T412" t="str">
        <f>_xll.BDP("20772KCD Muni","LQA_LIQUIDITY_SCORE")</f>
        <v>#N/A Requesting Data...</v>
      </c>
    </row>
    <row r="413" spans="1:20" x14ac:dyDescent="0.25">
      <c r="A413" t="str">
        <f>_xll.BDP("20772KCF Muni","ID_CUSIP")</f>
        <v>#N/A Requesting Data...</v>
      </c>
      <c r="B413" t="s">
        <v>138</v>
      </c>
      <c r="C413" t="str">
        <f>_xll.BDP("20772KCF Muni","INSURANCE_STATUS")</f>
        <v>#N/A Requesting Data...</v>
      </c>
      <c r="D413" t="str">
        <f>_xll.BDP("20772KCF Muni","STATE_CODE")</f>
        <v>#N/A Requesting Data...</v>
      </c>
      <c r="E413" t="str">
        <f>_xll.BDP("20772KCF Muni","COUNTY_LOCATION_ISSUER")</f>
        <v>#N/A Requesting Data...</v>
      </c>
      <c r="F413" t="str">
        <f>_xll.BDP("20772KCF Muni","DUR_ADJ_MID")</f>
        <v>#N/A Requesting Data...</v>
      </c>
      <c r="G413" t="str">
        <f>_xll.BDP("20772KCF Muni","SPREAD_AT_ISSUANCE_TO_WORST")</f>
        <v>#N/A Requesting Data...</v>
      </c>
      <c r="H413" t="str">
        <f>_xll.BDP("20772KCF Muni","ISSUE_DT")</f>
        <v>#N/A Requesting Data...</v>
      </c>
      <c r="I413" t="str">
        <f>_xll.BDS("20772KCF Muni","MUNI_PURPOSE_SCHED", "aggregate=y")</f>
        <v>#N/A Requesting Data...</v>
      </c>
      <c r="J413" t="str">
        <f>_xll.BDP("20772KCF Muni","CPN")</f>
        <v>#N/A Requesting Data...</v>
      </c>
      <c r="K413" t="str">
        <f>_xll.BDP("20772KCF Muni","MATURITY")</f>
        <v>#N/A Requesting Data...</v>
      </c>
      <c r="L413">
        <v>20000000</v>
      </c>
      <c r="M413" t="str">
        <f>_xll.BDP("20772KCF Muni","YIELD_ON_ISSUE_DATE")</f>
        <v>#N/A Requesting Data...</v>
      </c>
      <c r="N413" t="str">
        <f>_xll.BDP("20772KCF Muni","YTW_SPREAD_TO_MATURITY_AT_ISSU")</f>
        <v>#N/A Requesting Data...</v>
      </c>
      <c r="O413" t="str">
        <f>_xll.BDP("20772KCF Muni","BVAL_MID_YTM")</f>
        <v>#N/A Requesting Data...</v>
      </c>
      <c r="P413" t="str">
        <f>_xll.BDP("20772KCF Muni","MUNI_TAX_PROV")</f>
        <v>#N/A Requesting Data...</v>
      </c>
      <c r="Q413" t="str">
        <f>_xll.BDP("20772KCF Muni","MUNI_FED_TAX")</f>
        <v>#N/A Requesting Data...</v>
      </c>
      <c r="R413" t="str">
        <f>_xll.BDP("20772KCF Muni","MUNI_MSRB_VOLUME")</f>
        <v>#N/A Requesting Data...</v>
      </c>
      <c r="S413" t="str">
        <f>_xll.BDP("20772KCF Muni","BB_COMPOSITE")</f>
        <v>#N/A Requesting Data...</v>
      </c>
      <c r="T413" t="str">
        <f>_xll.BDP("20772KCF Muni","LQA_LIQUIDITY_SCORE")</f>
        <v>#N/A Requesting Data...</v>
      </c>
    </row>
    <row r="414" spans="1:20" x14ac:dyDescent="0.25">
      <c r="A414" t="str">
        <f>_xll.BDP("20772KCH Muni","ID_CUSIP")</f>
        <v>#N/A Requesting Data...</v>
      </c>
      <c r="B414" t="s">
        <v>138</v>
      </c>
      <c r="C414" t="str">
        <f>_xll.BDP("20772KCH Muni","INSURANCE_STATUS")</f>
        <v>#N/A Requesting Data...</v>
      </c>
      <c r="D414" t="str">
        <f>_xll.BDP("20772KCH Muni","STATE_CODE")</f>
        <v>#N/A Requesting Data...</v>
      </c>
      <c r="E414" t="str">
        <f>_xll.BDP("20772KCH Muni","COUNTY_LOCATION_ISSUER")</f>
        <v>#N/A Requesting Data...</v>
      </c>
      <c r="F414" t="str">
        <f>_xll.BDP("20772KCH Muni","DUR_ADJ_MID")</f>
        <v>#N/A Requesting Data...</v>
      </c>
      <c r="G414" t="str">
        <f>_xll.BDP("20772KCH Muni","SPREAD_AT_ISSUANCE_TO_WORST")</f>
        <v>#N/A Requesting Data...</v>
      </c>
      <c r="H414" t="str">
        <f>_xll.BDP("20772KCH Muni","ISSUE_DT")</f>
        <v>#N/A Requesting Data...</v>
      </c>
      <c r="I414" t="str">
        <f>_xll.BDS("20772KCH Muni","MUNI_PURPOSE_SCHED", "aggregate=y")</f>
        <v>#N/A Requesting Data...</v>
      </c>
      <c r="J414" t="str">
        <f>_xll.BDP("20772KCH Muni","CPN")</f>
        <v>#N/A Requesting Data...</v>
      </c>
      <c r="K414" t="str">
        <f>_xll.BDP("20772KCH Muni","MATURITY")</f>
        <v>#N/A Requesting Data...</v>
      </c>
      <c r="L414">
        <v>23460000</v>
      </c>
      <c r="M414" t="str">
        <f>_xll.BDP("20772KCH Muni","YIELD_ON_ISSUE_DATE")</f>
        <v>#N/A Requesting Data...</v>
      </c>
      <c r="N414" t="str">
        <f>_xll.BDP("20772KCH Muni","YTW_SPREAD_TO_MATURITY_AT_ISSU")</f>
        <v>#N/A Requesting Data...</v>
      </c>
      <c r="O414" t="str">
        <f>_xll.BDP("20772KCH Muni","BVAL_MID_YTM")</f>
        <v>#N/A Requesting Data...</v>
      </c>
      <c r="P414" t="str">
        <f>_xll.BDP("20772KCH Muni","MUNI_TAX_PROV")</f>
        <v>#N/A Requesting Data...</v>
      </c>
      <c r="Q414" t="str">
        <f>_xll.BDP("20772KCH Muni","MUNI_FED_TAX")</f>
        <v>#N/A Requesting Data...</v>
      </c>
      <c r="R414" t="str">
        <f>_xll.BDP("20772KCH Muni","MUNI_MSRB_VOLUME")</f>
        <v>#N/A Requesting Data...</v>
      </c>
      <c r="S414" t="str">
        <f>_xll.BDP("20772KCH Muni","BB_COMPOSITE")</f>
        <v>#N/A Requesting Data...</v>
      </c>
      <c r="T414" t="str">
        <f>_xll.BDP("20772KCH Muni","LQA_LIQUIDITY_SCORE")</f>
        <v>#N/A Requesting Data...</v>
      </c>
    </row>
    <row r="415" spans="1:20" x14ac:dyDescent="0.25">
      <c r="A415" t="str">
        <f>_xll.BDP("20772KCK Muni","ID_CUSIP")</f>
        <v>#N/A Requesting Data...</v>
      </c>
      <c r="B415" t="s">
        <v>138</v>
      </c>
      <c r="C415" t="str">
        <f>_xll.BDP("20772KCK Muni","INSURANCE_STATUS")</f>
        <v>#N/A Requesting Data...</v>
      </c>
      <c r="D415" t="str">
        <f>_xll.BDP("20772KCK Muni","STATE_CODE")</f>
        <v>#N/A Requesting Data...</v>
      </c>
      <c r="E415" t="str">
        <f>_xll.BDP("20772KCK Muni","COUNTY_LOCATION_ISSUER")</f>
        <v>#N/A Requesting Data...</v>
      </c>
      <c r="F415" t="str">
        <f>_xll.BDP("20772KCK Muni","DUR_ADJ_MID")</f>
        <v>#N/A Requesting Data...</v>
      </c>
      <c r="G415" t="str">
        <f>_xll.BDP("20772KCK Muni","SPREAD_AT_ISSUANCE_TO_WORST")</f>
        <v>#N/A Requesting Data...</v>
      </c>
      <c r="H415" t="str">
        <f>_xll.BDP("20772KCK Muni","ISSUE_DT")</f>
        <v>#N/A Requesting Data...</v>
      </c>
      <c r="I415" t="str">
        <f>_xll.BDS("20772KCK Muni","MUNI_PURPOSE_SCHED", "aggregate=y")</f>
        <v>#N/A Requesting Data...</v>
      </c>
      <c r="J415" t="str">
        <f>_xll.BDP("20772KCK Muni","CPN")</f>
        <v>#N/A Requesting Data...</v>
      </c>
      <c r="K415" t="str">
        <f>_xll.BDP("20772KCK Muni","MATURITY")</f>
        <v>#N/A Requesting Data...</v>
      </c>
      <c r="L415">
        <v>30125000</v>
      </c>
      <c r="M415" t="str">
        <f>_xll.BDP("20772KCK Muni","YIELD_ON_ISSUE_DATE")</f>
        <v>#N/A Requesting Data...</v>
      </c>
      <c r="N415" t="str">
        <f>_xll.BDP("20772KCK Muni","YTW_SPREAD_TO_MATURITY_AT_ISSU")</f>
        <v>#N/A Requesting Data...</v>
      </c>
      <c r="O415" t="str">
        <f>_xll.BDP("20772KCK Muni","BVAL_MID_YTM")</f>
        <v>#N/A Requesting Data...</v>
      </c>
      <c r="P415" t="str">
        <f>_xll.BDP("20772KCK Muni","MUNI_TAX_PROV")</f>
        <v>#N/A Requesting Data...</v>
      </c>
      <c r="Q415" t="str">
        <f>_xll.BDP("20772KCK Muni","MUNI_FED_TAX")</f>
        <v>#N/A Requesting Data...</v>
      </c>
      <c r="R415" t="str">
        <f>_xll.BDP("20772KCK Muni","MUNI_MSRB_VOLUME")</f>
        <v>#N/A Requesting Data...</v>
      </c>
      <c r="S415" t="str">
        <f>_xll.BDP("20772KCK Muni","BB_COMPOSITE")</f>
        <v>#N/A Requesting Data...</v>
      </c>
      <c r="T415" t="str">
        <f>_xll.BDP("20772KCK Muni","LQA_LIQUIDITY_SCORE")</f>
        <v>#N/A Requesting Data...</v>
      </c>
    </row>
    <row r="416" spans="1:20" x14ac:dyDescent="0.25">
      <c r="A416" t="str">
        <f>_xll.BDP("182234EJ Muni","ID_CUSIP")</f>
        <v>#N/A Requesting Data...</v>
      </c>
      <c r="B416" t="s">
        <v>139</v>
      </c>
      <c r="C416" t="str">
        <f>_xll.BDP("182234EJ Muni","INSURANCE_STATUS")</f>
        <v>#N/A Requesting Data...</v>
      </c>
      <c r="D416" t="str">
        <f>_xll.BDP("182234EJ Muni","STATE_CODE")</f>
        <v>#N/A Requesting Data...</v>
      </c>
      <c r="E416" t="str">
        <f>_xll.BDP("182234EJ Muni","COUNTY_LOCATION_ISSUER")</f>
        <v>#N/A Requesting Data...</v>
      </c>
      <c r="F416" t="str">
        <f>_xll.BDP("182234EJ Muni","DUR_ADJ_MID")</f>
        <v>#N/A Requesting Data...</v>
      </c>
      <c r="G416" t="str">
        <f>_xll.BDP("182234EJ Muni","SPREAD_AT_ISSUANCE_TO_WORST")</f>
        <v>#N/A Requesting Data...</v>
      </c>
      <c r="H416" t="str">
        <f>_xll.BDP("182234EJ Muni","ISSUE_DT")</f>
        <v>#N/A Requesting Data...</v>
      </c>
      <c r="I416" t="str">
        <f>_xll.BDS("182234EJ Muni","MUNI_PURPOSE_SCHED", "aggregate=y")</f>
        <v>#N/A Requesting Data...</v>
      </c>
      <c r="J416" t="str">
        <f>_xll.BDP("182234EJ Muni","CPN")</f>
        <v>#N/A Requesting Data...</v>
      </c>
      <c r="K416" t="str">
        <f>_xll.BDP("182234EJ Muni","MATURITY")</f>
        <v>#N/A Requesting Data...</v>
      </c>
      <c r="L416">
        <v>45000</v>
      </c>
      <c r="M416" t="str">
        <f>_xll.BDP("182234EJ Muni","YIELD_ON_ISSUE_DATE")</f>
        <v>#N/A Requesting Data...</v>
      </c>
      <c r="N416" t="str">
        <f>_xll.BDP("182234EJ Muni","YTW_SPREAD_TO_MATURITY_AT_ISSU")</f>
        <v>#N/A Requesting Data...</v>
      </c>
      <c r="O416" t="str">
        <f>_xll.BDP("182234EJ Muni","BVAL_MID_YTM")</f>
        <v>#N/A Requesting Data...</v>
      </c>
      <c r="P416" t="str">
        <f>_xll.BDP("182234EJ Muni","MUNI_TAX_PROV")</f>
        <v>#N/A Requesting Data...</v>
      </c>
      <c r="Q416" t="str">
        <f>_xll.BDP("182234EJ Muni","MUNI_FED_TAX")</f>
        <v>#N/A Requesting Data...</v>
      </c>
      <c r="R416" t="str">
        <f>_xll.BDP("182234EJ Muni","MUNI_MSRB_VOLUME")</f>
        <v>#N/A Requesting Data...</v>
      </c>
      <c r="S416" t="str">
        <f>_xll.BDP("182234EJ Muni","BB_COMPOSITE")</f>
        <v>#N/A Requesting Data...</v>
      </c>
      <c r="T416" t="str">
        <f>_xll.BDP("182234EJ Muni","LQA_LIQUIDITY_SCORE")</f>
        <v>#N/A Requesting Data...</v>
      </c>
    </row>
    <row r="417" spans="1:20" x14ac:dyDescent="0.25">
      <c r="A417" t="str">
        <f>_xll.BDP("182234EK Muni","ID_CUSIP")</f>
        <v>#N/A Requesting Data...</v>
      </c>
      <c r="B417" t="s">
        <v>139</v>
      </c>
      <c r="C417" t="str">
        <f>_xll.BDP("182234EK Muni","INSURANCE_STATUS")</f>
        <v>#N/A Requesting Data...</v>
      </c>
      <c r="D417" t="str">
        <f>_xll.BDP("182234EK Muni","STATE_CODE")</f>
        <v>#N/A Requesting Data...</v>
      </c>
      <c r="E417" t="str">
        <f>_xll.BDP("182234EK Muni","COUNTY_LOCATION_ISSUER")</f>
        <v>#N/A Requesting Data...</v>
      </c>
      <c r="F417" t="str">
        <f>_xll.BDP("182234EK Muni","DUR_ADJ_MID")</f>
        <v>#N/A Requesting Data...</v>
      </c>
      <c r="G417" t="str">
        <f>_xll.BDP("182234EK Muni","SPREAD_AT_ISSUANCE_TO_WORST")</f>
        <v>#N/A Requesting Data...</v>
      </c>
      <c r="H417" t="str">
        <f>_xll.BDP("182234EK Muni","ISSUE_DT")</f>
        <v>#N/A Requesting Data...</v>
      </c>
      <c r="I417" t="str">
        <f>_xll.BDS("182234EK Muni","MUNI_PURPOSE_SCHED", "aggregate=y")</f>
        <v>#N/A Requesting Data...</v>
      </c>
      <c r="J417" t="str">
        <f>_xll.BDP("182234EK Muni","CPN")</f>
        <v>#N/A Requesting Data...</v>
      </c>
      <c r="K417" t="str">
        <f>_xll.BDP("182234EK Muni","MATURITY")</f>
        <v>#N/A Requesting Data...</v>
      </c>
      <c r="L417">
        <v>10000</v>
      </c>
      <c r="M417" t="str">
        <f>_xll.BDP("182234EK Muni","YIELD_ON_ISSUE_DATE")</f>
        <v>#N/A Requesting Data...</v>
      </c>
      <c r="N417" t="str">
        <f>_xll.BDP("182234EK Muni","YTW_SPREAD_TO_MATURITY_AT_ISSU")</f>
        <v>#N/A Requesting Data...</v>
      </c>
      <c r="O417" t="str">
        <f>_xll.BDP("182234EK Muni","BVAL_MID_YTM")</f>
        <v>#N/A Requesting Data...</v>
      </c>
      <c r="P417" t="str">
        <f>_xll.BDP("182234EK Muni","MUNI_TAX_PROV")</f>
        <v>#N/A Requesting Data...</v>
      </c>
      <c r="Q417" t="str">
        <f>_xll.BDP("182234EK Muni","MUNI_FED_TAX")</f>
        <v>#N/A Requesting Data...</v>
      </c>
      <c r="R417" t="str">
        <f>_xll.BDP("182234EK Muni","MUNI_MSRB_VOLUME")</f>
        <v>#N/A Requesting Data...</v>
      </c>
      <c r="S417" t="str">
        <f>_xll.BDP("182234EK Muni","BB_COMPOSITE")</f>
        <v>#N/A Requesting Data...</v>
      </c>
      <c r="T417" t="str">
        <f>_xll.BDP("182234EK Muni","LQA_LIQUIDITY_SCORE")</f>
        <v>#N/A Requesting Data...</v>
      </c>
    </row>
    <row r="418" spans="1:20" x14ac:dyDescent="0.25">
      <c r="A418" t="str">
        <f>_xll.BDP("182234EL Muni","ID_CUSIP")</f>
        <v>#N/A Requesting Data...</v>
      </c>
      <c r="B418" t="s">
        <v>139</v>
      </c>
      <c r="C418" t="str">
        <f>_xll.BDP("182234EL Muni","INSURANCE_STATUS")</f>
        <v>#N/A Requesting Data...</v>
      </c>
      <c r="D418" t="str">
        <f>_xll.BDP("182234EL Muni","STATE_CODE")</f>
        <v>#N/A Requesting Data...</v>
      </c>
      <c r="E418" t="str">
        <f>_xll.BDP("182234EL Muni","COUNTY_LOCATION_ISSUER")</f>
        <v>#N/A Requesting Data...</v>
      </c>
      <c r="F418" t="str">
        <f>_xll.BDP("182234EL Muni","DUR_ADJ_MID")</f>
        <v>#N/A Requesting Data...</v>
      </c>
      <c r="G418" t="str">
        <f>_xll.BDP("182234EL Muni","SPREAD_AT_ISSUANCE_TO_WORST")</f>
        <v>#N/A Requesting Data...</v>
      </c>
      <c r="H418" t="str">
        <f>_xll.BDP("182234EL Muni","ISSUE_DT")</f>
        <v>#N/A Requesting Data...</v>
      </c>
      <c r="I418" t="str">
        <f>_xll.BDS("182234EL Muni","MUNI_PURPOSE_SCHED", "aggregate=y")</f>
        <v>#N/A Requesting Data...</v>
      </c>
      <c r="J418" t="str">
        <f>_xll.BDP("182234EL Muni","CPN")</f>
        <v>#N/A Requesting Data...</v>
      </c>
      <c r="K418" t="str">
        <f>_xll.BDP("182234EL Muni","MATURITY")</f>
        <v>#N/A Requesting Data...</v>
      </c>
      <c r="L418">
        <v>10000</v>
      </c>
      <c r="M418" t="str">
        <f>_xll.BDP("182234EL Muni","YIELD_ON_ISSUE_DATE")</f>
        <v>#N/A Requesting Data...</v>
      </c>
      <c r="N418" t="str">
        <f>_xll.BDP("182234EL Muni","YTW_SPREAD_TO_MATURITY_AT_ISSU")</f>
        <v>#N/A Requesting Data...</v>
      </c>
      <c r="O418" t="str">
        <f>_xll.BDP("182234EL Muni","BVAL_MID_YTM")</f>
        <v>#N/A Requesting Data...</v>
      </c>
      <c r="P418" t="str">
        <f>_xll.BDP("182234EL Muni","MUNI_TAX_PROV")</f>
        <v>#N/A Requesting Data...</v>
      </c>
      <c r="Q418" t="str">
        <f>_xll.BDP("182234EL Muni","MUNI_FED_TAX")</f>
        <v>#N/A Requesting Data...</v>
      </c>
      <c r="R418" t="str">
        <f>_xll.BDP("182234EL Muni","MUNI_MSRB_VOLUME")</f>
        <v>#N/A Requesting Data...</v>
      </c>
      <c r="S418" t="str">
        <f>_xll.BDP("182234EL Muni","BB_COMPOSITE")</f>
        <v>#N/A Requesting Data...</v>
      </c>
      <c r="T418" t="str">
        <f>_xll.BDP("182234EL Muni","LQA_LIQUIDITY_SCORE")</f>
        <v>#N/A Requesting Data...</v>
      </c>
    </row>
    <row r="419" spans="1:20" x14ac:dyDescent="0.25">
      <c r="A419" t="str">
        <f>_xll.BDP("122106DB Muni","ID_CUSIP")</f>
        <v>#N/A Requesting Data...</v>
      </c>
      <c r="B419" t="s">
        <v>140</v>
      </c>
      <c r="C419" t="str">
        <f>_xll.BDP("122106DB Muni","INSURANCE_STATUS")</f>
        <v>#N/A Requesting Data...</v>
      </c>
      <c r="D419" t="str">
        <f>_xll.BDP("122106DB Muni","STATE_CODE")</f>
        <v>#N/A Requesting Data...</v>
      </c>
      <c r="E419" t="str">
        <f>_xll.BDP("122106DB Muni","COUNTY_LOCATION_ISSUER")</f>
        <v>#N/A Requesting Data...</v>
      </c>
      <c r="F419" t="str">
        <f>_xll.BDP("122106DB Muni","DUR_ADJ_MID")</f>
        <v>#N/A Requesting Data...</v>
      </c>
      <c r="G419" t="str">
        <f>_xll.BDP("122106DB Muni","SPREAD_AT_ISSUANCE_TO_WORST")</f>
        <v>#N/A Requesting Data...</v>
      </c>
      <c r="H419" t="str">
        <f>_xll.BDP("122106DB Muni","ISSUE_DT")</f>
        <v>#N/A Requesting Data...</v>
      </c>
      <c r="I419" t="str">
        <f>_xll.BDS("122106DB Muni","MUNI_PURPOSE_SCHED", "aggregate=y")</f>
        <v>#N/A Requesting Data...</v>
      </c>
      <c r="J419" t="str">
        <f>_xll.BDP("122106DB Muni","CPN")</f>
        <v>#N/A Requesting Data...</v>
      </c>
      <c r="K419" t="str">
        <f>_xll.BDP("122106DB Muni","MATURITY")</f>
        <v>#N/A Requesting Data...</v>
      </c>
      <c r="L419">
        <v>70000</v>
      </c>
      <c r="M419" t="str">
        <f>_xll.BDP("122106DB Muni","YIELD_ON_ISSUE_DATE")</f>
        <v>#N/A Requesting Data...</v>
      </c>
      <c r="N419" t="str">
        <f>_xll.BDP("122106DB Muni","YTW_SPREAD_TO_MATURITY_AT_ISSU")</f>
        <v>#N/A Requesting Data...</v>
      </c>
      <c r="O419" t="str">
        <f>_xll.BDP("122106DB Muni","BVAL_MID_YTM")</f>
        <v>#N/A Requesting Data...</v>
      </c>
      <c r="P419" t="str">
        <f>_xll.BDP("122106DB Muni","MUNI_TAX_PROV")</f>
        <v>#N/A Requesting Data...</v>
      </c>
      <c r="Q419" t="str">
        <f>_xll.BDP("122106DB Muni","MUNI_FED_TAX")</f>
        <v>#N/A Requesting Data...</v>
      </c>
      <c r="R419" t="str">
        <f>_xll.BDP("122106DB Muni","MUNI_MSRB_VOLUME")</f>
        <v>#N/A Requesting Data...</v>
      </c>
      <c r="S419" t="str">
        <f>_xll.BDP("122106DB Muni","BB_COMPOSITE")</f>
        <v>#N/A Requesting Data...</v>
      </c>
      <c r="T419" t="str">
        <f>_xll.BDP("122106DB Muni","LQA_LIQUIDITY_SCORE")</f>
        <v>#N/A Requesting Data...</v>
      </c>
    </row>
    <row r="420" spans="1:20" x14ac:dyDescent="0.25">
      <c r="A420" t="str">
        <f>_xll.BDP("122106DC Muni","ID_CUSIP")</f>
        <v>#N/A Requesting Data...</v>
      </c>
      <c r="B420" t="s">
        <v>140</v>
      </c>
      <c r="C420" t="str">
        <f>_xll.BDP("122106DC Muni","INSURANCE_STATUS")</f>
        <v>#N/A Requesting Data...</v>
      </c>
      <c r="D420" t="str">
        <f>_xll.BDP("122106DC Muni","STATE_CODE")</f>
        <v>#N/A Requesting Data...</v>
      </c>
      <c r="E420" t="str">
        <f>_xll.BDP("122106DC Muni","COUNTY_LOCATION_ISSUER")</f>
        <v>#N/A Requesting Data...</v>
      </c>
      <c r="F420" t="str">
        <f>_xll.BDP("122106DC Muni","DUR_ADJ_MID")</f>
        <v>#N/A Requesting Data...</v>
      </c>
      <c r="G420" t="str">
        <f>_xll.BDP("122106DC Muni","SPREAD_AT_ISSUANCE_TO_WORST")</f>
        <v>#N/A Requesting Data...</v>
      </c>
      <c r="H420" t="str">
        <f>_xll.BDP("122106DC Muni","ISSUE_DT")</f>
        <v>#N/A Requesting Data...</v>
      </c>
      <c r="I420" t="str">
        <f>_xll.BDS("122106DC Muni","MUNI_PURPOSE_SCHED", "aggregate=y")</f>
        <v>#N/A Requesting Data...</v>
      </c>
      <c r="J420" t="str">
        <f>_xll.BDP("122106DC Muni","CPN")</f>
        <v>#N/A Requesting Data...</v>
      </c>
      <c r="K420" t="str">
        <f>_xll.BDP("122106DC Muni","MATURITY")</f>
        <v>#N/A Requesting Data...</v>
      </c>
      <c r="L420">
        <v>75000</v>
      </c>
      <c r="M420" t="str">
        <f>_xll.BDP("122106DC Muni","YIELD_ON_ISSUE_DATE")</f>
        <v>#N/A Requesting Data...</v>
      </c>
      <c r="N420" t="str">
        <f>_xll.BDP("122106DC Muni","YTW_SPREAD_TO_MATURITY_AT_ISSU")</f>
        <v>#N/A Requesting Data...</v>
      </c>
      <c r="O420" t="str">
        <f>_xll.BDP("122106DC Muni","BVAL_MID_YTM")</f>
        <v>#N/A Requesting Data...</v>
      </c>
      <c r="P420" t="str">
        <f>_xll.BDP("122106DC Muni","MUNI_TAX_PROV")</f>
        <v>#N/A Requesting Data...</v>
      </c>
      <c r="Q420" t="str">
        <f>_xll.BDP("122106DC Muni","MUNI_FED_TAX")</f>
        <v>#N/A Requesting Data...</v>
      </c>
      <c r="R420" t="str">
        <f>_xll.BDP("122106DC Muni","MUNI_MSRB_VOLUME")</f>
        <v>#N/A Requesting Data...</v>
      </c>
      <c r="S420" t="str">
        <f>_xll.BDP("122106DC Muni","BB_COMPOSITE")</f>
        <v>#N/A Requesting Data...</v>
      </c>
      <c r="T420" t="str">
        <f>_xll.BDP("122106DC Muni","LQA_LIQUIDITY_SCORE")</f>
        <v>#N/A Requesting Data...</v>
      </c>
    </row>
    <row r="421" spans="1:20" x14ac:dyDescent="0.25">
      <c r="A421" t="str">
        <f>_xll.BDP("122106DD Muni","ID_CUSIP")</f>
        <v>#N/A Requesting Data...</v>
      </c>
      <c r="B421" t="s">
        <v>140</v>
      </c>
      <c r="C421" t="str">
        <f>_xll.BDP("122106DD Muni","INSURANCE_STATUS")</f>
        <v>#N/A Requesting Data...</v>
      </c>
      <c r="D421" t="str">
        <f>_xll.BDP("122106DD Muni","STATE_CODE")</f>
        <v>#N/A Requesting Data...</v>
      </c>
      <c r="E421" t="str">
        <f>_xll.BDP("122106DD Muni","COUNTY_LOCATION_ISSUER")</f>
        <v>#N/A Requesting Data...</v>
      </c>
      <c r="F421" t="str">
        <f>_xll.BDP("122106DD Muni","DUR_ADJ_MID")</f>
        <v>#N/A Requesting Data...</v>
      </c>
      <c r="G421" t="str">
        <f>_xll.BDP("122106DD Muni","SPREAD_AT_ISSUANCE_TO_WORST")</f>
        <v>#N/A Requesting Data...</v>
      </c>
      <c r="H421" t="str">
        <f>_xll.BDP("122106DD Muni","ISSUE_DT")</f>
        <v>#N/A Requesting Data...</v>
      </c>
      <c r="I421" t="str">
        <f>_xll.BDS("122106DD Muni","MUNI_PURPOSE_SCHED", "aggregate=y")</f>
        <v>#N/A Requesting Data...</v>
      </c>
      <c r="J421" t="str">
        <f>_xll.BDP("122106DD Muni","CPN")</f>
        <v>#N/A Requesting Data...</v>
      </c>
      <c r="K421" t="str">
        <f>_xll.BDP("122106DD Muni","MATURITY")</f>
        <v>#N/A Requesting Data...</v>
      </c>
      <c r="L421">
        <v>75000</v>
      </c>
      <c r="M421" t="str">
        <f>_xll.BDP("122106DD Muni","YIELD_ON_ISSUE_DATE")</f>
        <v>#N/A Requesting Data...</v>
      </c>
      <c r="N421" t="str">
        <f>_xll.BDP("122106DD Muni","YTW_SPREAD_TO_MATURITY_AT_ISSU")</f>
        <v>#N/A Requesting Data...</v>
      </c>
      <c r="O421" t="str">
        <f>_xll.BDP("122106DD Muni","BVAL_MID_YTM")</f>
        <v>#N/A Requesting Data...</v>
      </c>
      <c r="P421" t="str">
        <f>_xll.BDP("122106DD Muni","MUNI_TAX_PROV")</f>
        <v>#N/A Requesting Data...</v>
      </c>
      <c r="Q421" t="str">
        <f>_xll.BDP("122106DD Muni","MUNI_FED_TAX")</f>
        <v>#N/A Requesting Data...</v>
      </c>
      <c r="R421" t="str">
        <f>_xll.BDP("122106DD Muni","MUNI_MSRB_VOLUME")</f>
        <v>#N/A Requesting Data...</v>
      </c>
      <c r="S421" t="str">
        <f>_xll.BDP("122106DD Muni","BB_COMPOSITE")</f>
        <v>#N/A Requesting Data...</v>
      </c>
      <c r="T421" t="str">
        <f>_xll.BDP("122106DD Muni","LQA_LIQUIDITY_SCORE")</f>
        <v>#N/A Requesting Data...</v>
      </c>
    </row>
    <row r="422" spans="1:20" x14ac:dyDescent="0.25">
      <c r="A422" t="str">
        <f>_xll.BDP("122106DE Muni","ID_CUSIP")</f>
        <v>#N/A Requesting Data...</v>
      </c>
      <c r="B422" t="s">
        <v>140</v>
      </c>
      <c r="C422" t="str">
        <f>_xll.BDP("122106DE Muni","INSURANCE_STATUS")</f>
        <v>#N/A Requesting Data...</v>
      </c>
      <c r="D422" t="str">
        <f>_xll.BDP("122106DE Muni","STATE_CODE")</f>
        <v>#N/A Requesting Data...</v>
      </c>
      <c r="E422" t="str">
        <f>_xll.BDP("122106DE Muni","COUNTY_LOCATION_ISSUER")</f>
        <v>#N/A Requesting Data...</v>
      </c>
      <c r="F422" t="str">
        <f>_xll.BDP("122106DE Muni","DUR_ADJ_MID")</f>
        <v>#N/A Requesting Data...</v>
      </c>
      <c r="G422" t="str">
        <f>_xll.BDP("122106DE Muni","SPREAD_AT_ISSUANCE_TO_WORST")</f>
        <v>#N/A Requesting Data...</v>
      </c>
      <c r="H422" t="str">
        <f>_xll.BDP("122106DE Muni","ISSUE_DT")</f>
        <v>#N/A Requesting Data...</v>
      </c>
      <c r="I422" t="str">
        <f>_xll.BDS("122106DE Muni","MUNI_PURPOSE_SCHED", "aggregate=y")</f>
        <v>#N/A Requesting Data...</v>
      </c>
      <c r="J422" t="str">
        <f>_xll.BDP("122106DE Muni","CPN")</f>
        <v>#N/A Requesting Data...</v>
      </c>
      <c r="K422" t="str">
        <f>_xll.BDP("122106DE Muni","MATURITY")</f>
        <v>#N/A Requesting Data...</v>
      </c>
      <c r="L422">
        <v>80000</v>
      </c>
      <c r="M422" t="str">
        <f>_xll.BDP("122106DE Muni","YIELD_ON_ISSUE_DATE")</f>
        <v>#N/A Requesting Data...</v>
      </c>
      <c r="N422" t="str">
        <f>_xll.BDP("122106DE Muni","YTW_SPREAD_TO_MATURITY_AT_ISSU")</f>
        <v>#N/A Requesting Data...</v>
      </c>
      <c r="O422" t="str">
        <f>_xll.BDP("122106DE Muni","BVAL_MID_YTM")</f>
        <v>#N/A Requesting Data...</v>
      </c>
      <c r="P422" t="str">
        <f>_xll.BDP("122106DE Muni","MUNI_TAX_PROV")</f>
        <v>#N/A Requesting Data...</v>
      </c>
      <c r="Q422" t="str">
        <f>_xll.BDP("122106DE Muni","MUNI_FED_TAX")</f>
        <v>#N/A Requesting Data...</v>
      </c>
      <c r="R422" t="str">
        <f>_xll.BDP("122106DE Muni","MUNI_MSRB_VOLUME")</f>
        <v>#N/A Requesting Data...</v>
      </c>
      <c r="S422" t="str">
        <f>_xll.BDP("122106DE Muni","BB_COMPOSITE")</f>
        <v>#N/A Requesting Data...</v>
      </c>
      <c r="T422" t="str">
        <f>_xll.BDP("122106DE Muni","LQA_LIQUIDITY_SCORE")</f>
        <v>#N/A Requesting Data...</v>
      </c>
    </row>
    <row r="423" spans="1:20" x14ac:dyDescent="0.25">
      <c r="A423" t="str">
        <f>_xll.BDP("122106DF Muni","ID_CUSIP")</f>
        <v>#N/A Requesting Data...</v>
      </c>
      <c r="B423" t="s">
        <v>140</v>
      </c>
      <c r="C423" t="str">
        <f>_xll.BDP("122106DF Muni","INSURANCE_STATUS")</f>
        <v>#N/A Requesting Data...</v>
      </c>
      <c r="D423" t="str">
        <f>_xll.BDP("122106DF Muni","STATE_CODE")</f>
        <v>#N/A Requesting Data...</v>
      </c>
      <c r="E423" t="str">
        <f>_xll.BDP("122106DF Muni","COUNTY_LOCATION_ISSUER")</f>
        <v>#N/A Requesting Data...</v>
      </c>
      <c r="F423" t="str">
        <f>_xll.BDP("122106DF Muni","DUR_ADJ_MID")</f>
        <v>#N/A Requesting Data...</v>
      </c>
      <c r="G423" t="str">
        <f>_xll.BDP("122106DF Muni","SPREAD_AT_ISSUANCE_TO_WORST")</f>
        <v>#N/A Requesting Data...</v>
      </c>
      <c r="H423" t="str">
        <f>_xll.BDP("122106DF Muni","ISSUE_DT")</f>
        <v>#N/A Requesting Data...</v>
      </c>
      <c r="I423" t="str">
        <f>_xll.BDS("122106DF Muni","MUNI_PURPOSE_SCHED", "aggregate=y")</f>
        <v>#N/A Requesting Data...</v>
      </c>
      <c r="J423" t="str">
        <f>_xll.BDP("122106DF Muni","CPN")</f>
        <v>#N/A Requesting Data...</v>
      </c>
      <c r="K423" t="str">
        <f>_xll.BDP("122106DF Muni","MATURITY")</f>
        <v>#N/A Requesting Data...</v>
      </c>
      <c r="L423">
        <v>85000</v>
      </c>
      <c r="M423" t="str">
        <f>_xll.BDP("122106DF Muni","YIELD_ON_ISSUE_DATE")</f>
        <v>#N/A Requesting Data...</v>
      </c>
      <c r="N423" t="str">
        <f>_xll.BDP("122106DF Muni","YTW_SPREAD_TO_MATURITY_AT_ISSU")</f>
        <v>#N/A Requesting Data...</v>
      </c>
      <c r="O423" t="str">
        <f>_xll.BDP("122106DF Muni","BVAL_MID_YTM")</f>
        <v>#N/A Requesting Data...</v>
      </c>
      <c r="P423" t="str">
        <f>_xll.BDP("122106DF Muni","MUNI_TAX_PROV")</f>
        <v>#N/A Requesting Data...</v>
      </c>
      <c r="Q423" t="str">
        <f>_xll.BDP("122106DF Muni","MUNI_FED_TAX")</f>
        <v>#N/A Requesting Data...</v>
      </c>
      <c r="R423" t="str">
        <f>_xll.BDP("122106DF Muni","MUNI_MSRB_VOLUME")</f>
        <v>#N/A Requesting Data...</v>
      </c>
      <c r="S423" t="str">
        <f>_xll.BDP("122106DF Muni","BB_COMPOSITE")</f>
        <v>#N/A Requesting Data...</v>
      </c>
      <c r="T423" t="str">
        <f>_xll.BDP("122106DF Muni","LQA_LIQUIDITY_SCORE")</f>
        <v>#N/A Requesting Data...</v>
      </c>
    </row>
    <row r="424" spans="1:20" x14ac:dyDescent="0.25">
      <c r="A424" t="str">
        <f>_xll.BDP("122106DG Muni","ID_CUSIP")</f>
        <v>#N/A Requesting Data...</v>
      </c>
      <c r="B424" t="s">
        <v>140</v>
      </c>
      <c r="C424" t="str">
        <f>_xll.BDP("122106DG Muni","INSURANCE_STATUS")</f>
        <v>#N/A Requesting Data...</v>
      </c>
      <c r="D424" t="str">
        <f>_xll.BDP("122106DG Muni","STATE_CODE")</f>
        <v>#N/A Requesting Data...</v>
      </c>
      <c r="E424" t="str">
        <f>_xll.BDP("122106DG Muni","COUNTY_LOCATION_ISSUER")</f>
        <v>#N/A Requesting Data...</v>
      </c>
      <c r="F424" t="str">
        <f>_xll.BDP("122106DG Muni","DUR_ADJ_MID")</f>
        <v>#N/A Requesting Data...</v>
      </c>
      <c r="G424" t="str">
        <f>_xll.BDP("122106DG Muni","SPREAD_AT_ISSUANCE_TO_WORST")</f>
        <v>#N/A Requesting Data...</v>
      </c>
      <c r="H424" t="str">
        <f>_xll.BDP("122106DG Muni","ISSUE_DT")</f>
        <v>#N/A Requesting Data...</v>
      </c>
      <c r="I424" t="str">
        <f>_xll.BDS("122106DG Muni","MUNI_PURPOSE_SCHED", "aggregate=y")</f>
        <v>#N/A Requesting Data...</v>
      </c>
      <c r="J424" t="str">
        <f>_xll.BDP("122106DG Muni","CPN")</f>
        <v>#N/A Requesting Data...</v>
      </c>
      <c r="K424" t="str">
        <f>_xll.BDP("122106DG Muni","MATURITY")</f>
        <v>#N/A Requesting Data...</v>
      </c>
      <c r="L424">
        <v>90000</v>
      </c>
      <c r="M424" t="str">
        <f>_xll.BDP("122106DG Muni","YIELD_ON_ISSUE_DATE")</f>
        <v>#N/A Requesting Data...</v>
      </c>
      <c r="N424" t="str">
        <f>_xll.BDP("122106DG Muni","YTW_SPREAD_TO_MATURITY_AT_ISSU")</f>
        <v>#N/A Requesting Data...</v>
      </c>
      <c r="O424" t="str">
        <f>_xll.BDP("122106DG Muni","BVAL_MID_YTM")</f>
        <v>#N/A Requesting Data...</v>
      </c>
      <c r="P424" t="str">
        <f>_xll.BDP("122106DG Muni","MUNI_TAX_PROV")</f>
        <v>#N/A Requesting Data...</v>
      </c>
      <c r="Q424" t="str">
        <f>_xll.BDP("122106DG Muni","MUNI_FED_TAX")</f>
        <v>#N/A Requesting Data...</v>
      </c>
      <c r="R424" t="str">
        <f>_xll.BDP("122106DG Muni","MUNI_MSRB_VOLUME")</f>
        <v>#N/A Requesting Data...</v>
      </c>
      <c r="S424" t="str">
        <f>_xll.BDP("122106DG Muni","BB_COMPOSITE")</f>
        <v>#N/A Requesting Data...</v>
      </c>
      <c r="T424" t="str">
        <f>_xll.BDP("122106DG Muni","LQA_LIQUIDITY_SCORE")</f>
        <v>#N/A Requesting Data...</v>
      </c>
    </row>
    <row r="425" spans="1:20" x14ac:dyDescent="0.25">
      <c r="A425" t="str">
        <f>_xll.BDP("122106DH Muni","ID_CUSIP")</f>
        <v>#N/A Requesting Data...</v>
      </c>
      <c r="B425" t="s">
        <v>140</v>
      </c>
      <c r="C425" t="str">
        <f>_xll.BDP("122106DH Muni","INSURANCE_STATUS")</f>
        <v>#N/A Requesting Data...</v>
      </c>
      <c r="D425" t="str">
        <f>_xll.BDP("122106DH Muni","STATE_CODE")</f>
        <v>#N/A Requesting Data...</v>
      </c>
      <c r="E425" t="str">
        <f>_xll.BDP("122106DH Muni","COUNTY_LOCATION_ISSUER")</f>
        <v>#N/A Requesting Data...</v>
      </c>
      <c r="F425" t="str">
        <f>_xll.BDP("122106DH Muni","DUR_ADJ_MID")</f>
        <v>#N/A Requesting Data...</v>
      </c>
      <c r="G425" t="str">
        <f>_xll.BDP("122106DH Muni","SPREAD_AT_ISSUANCE_TO_WORST")</f>
        <v>#N/A Requesting Data...</v>
      </c>
      <c r="H425" t="str">
        <f>_xll.BDP("122106DH Muni","ISSUE_DT")</f>
        <v>#N/A Requesting Data...</v>
      </c>
      <c r="I425" t="str">
        <f>_xll.BDS("122106DH Muni","MUNI_PURPOSE_SCHED", "aggregate=y")</f>
        <v>#N/A Requesting Data...</v>
      </c>
      <c r="J425" t="str">
        <f>_xll.BDP("122106DH Muni","CPN")</f>
        <v>#N/A Requesting Data...</v>
      </c>
      <c r="K425" t="str">
        <f>_xll.BDP("122106DH Muni","MATURITY")</f>
        <v>#N/A Requesting Data...</v>
      </c>
      <c r="L425">
        <v>95000</v>
      </c>
      <c r="M425" t="str">
        <f>_xll.BDP("122106DH Muni","YIELD_ON_ISSUE_DATE")</f>
        <v>#N/A Requesting Data...</v>
      </c>
      <c r="N425" t="str">
        <f>_xll.BDP("122106DH Muni","YTW_SPREAD_TO_MATURITY_AT_ISSU")</f>
        <v>#N/A Requesting Data...</v>
      </c>
      <c r="O425" t="str">
        <f>_xll.BDP("122106DH Muni","BVAL_MID_YTM")</f>
        <v>#N/A Requesting Data...</v>
      </c>
      <c r="P425" t="str">
        <f>_xll.BDP("122106DH Muni","MUNI_TAX_PROV")</f>
        <v>#N/A Requesting Data...</v>
      </c>
      <c r="Q425" t="str">
        <f>_xll.BDP("122106DH Muni","MUNI_FED_TAX")</f>
        <v>#N/A Requesting Data...</v>
      </c>
      <c r="R425" t="str">
        <f>_xll.BDP("122106DH Muni","MUNI_MSRB_VOLUME")</f>
        <v>#N/A Requesting Data...</v>
      </c>
      <c r="S425" t="str">
        <f>_xll.BDP("122106DH Muni","BB_COMPOSITE")</f>
        <v>#N/A Requesting Data...</v>
      </c>
      <c r="T425" t="str">
        <f>_xll.BDP("122106DH Muni","LQA_LIQUIDITY_SCORE")</f>
        <v>#N/A Requesting Data...</v>
      </c>
    </row>
    <row r="426" spans="1:20" x14ac:dyDescent="0.25">
      <c r="A426" t="str">
        <f>_xll.BDP("122106DX Muni","ID_CUSIP")</f>
        <v>#N/A Requesting Data...</v>
      </c>
      <c r="B426" t="s">
        <v>140</v>
      </c>
      <c r="C426" t="str">
        <f>_xll.BDP("122106DX Muni","INSURANCE_STATUS")</f>
        <v>#N/A Requesting Data...</v>
      </c>
      <c r="D426" t="str">
        <f>_xll.BDP("122106DX Muni","STATE_CODE")</f>
        <v>#N/A Requesting Data...</v>
      </c>
      <c r="E426" t="str">
        <f>_xll.BDP("122106DX Muni","COUNTY_LOCATION_ISSUER")</f>
        <v>#N/A Requesting Data...</v>
      </c>
      <c r="F426" t="str">
        <f>_xll.BDP("122106DX Muni","DUR_ADJ_MID")</f>
        <v>#N/A Requesting Data...</v>
      </c>
      <c r="G426" t="str">
        <f>_xll.BDP("122106DX Muni","SPREAD_AT_ISSUANCE_TO_WORST")</f>
        <v>#N/A Requesting Data...</v>
      </c>
      <c r="H426" t="str">
        <f>_xll.BDP("122106DX Muni","ISSUE_DT")</f>
        <v>#N/A Requesting Data...</v>
      </c>
      <c r="I426" t="str">
        <f>_xll.BDS("122106DX Muni","MUNI_PURPOSE_SCHED", "aggregate=y")</f>
        <v>#N/A Requesting Data...</v>
      </c>
      <c r="J426" t="str">
        <f>_xll.BDP("122106DX Muni","CPN")</f>
        <v>#N/A Requesting Data...</v>
      </c>
      <c r="K426" t="str">
        <f>_xll.BDP("122106DX Muni","MATURITY")</f>
        <v>#N/A Requesting Data...</v>
      </c>
      <c r="L426">
        <v>70000</v>
      </c>
      <c r="M426" t="str">
        <f>_xll.BDP("122106DX Muni","YIELD_ON_ISSUE_DATE")</f>
        <v>#N/A Requesting Data...</v>
      </c>
      <c r="N426" t="str">
        <f>_xll.BDP("122106DX Muni","YTW_SPREAD_TO_MATURITY_AT_ISSU")</f>
        <v>#N/A Requesting Data...</v>
      </c>
      <c r="O426" t="str">
        <f>_xll.BDP("122106DX Muni","BVAL_MID_YTM")</f>
        <v>#N/A Requesting Data...</v>
      </c>
      <c r="P426" t="str">
        <f>_xll.BDP("122106DX Muni","MUNI_TAX_PROV")</f>
        <v>#N/A Requesting Data...</v>
      </c>
      <c r="Q426" t="str">
        <f>_xll.BDP("122106DX Muni","MUNI_FED_TAX")</f>
        <v>#N/A Requesting Data...</v>
      </c>
      <c r="R426" t="str">
        <f>_xll.BDP("122106DX Muni","MUNI_MSRB_VOLUME")</f>
        <v>#N/A Requesting Data...</v>
      </c>
      <c r="S426" t="str">
        <f>_xll.BDP("122106DX Muni","BB_COMPOSITE")</f>
        <v>#N/A Requesting Data...</v>
      </c>
      <c r="T426" t="str">
        <f>_xll.BDP("122106DX Muni","LQA_LIQUIDITY_SCORE")</f>
        <v>#N/A Requesting Data...</v>
      </c>
    </row>
    <row r="427" spans="1:20" x14ac:dyDescent="0.25">
      <c r="A427" t="str">
        <f>_xll.BDP("122106DY Muni","ID_CUSIP")</f>
        <v>#N/A Requesting Data...</v>
      </c>
      <c r="B427" t="s">
        <v>140</v>
      </c>
      <c r="C427" t="str">
        <f>_xll.BDP("122106DY Muni","INSURANCE_STATUS")</f>
        <v>#N/A Requesting Data...</v>
      </c>
      <c r="D427" t="str">
        <f>_xll.BDP("122106DY Muni","STATE_CODE")</f>
        <v>#N/A Requesting Data...</v>
      </c>
      <c r="E427" t="str">
        <f>_xll.BDP("122106DY Muni","COUNTY_LOCATION_ISSUER")</f>
        <v>#N/A Requesting Data...</v>
      </c>
      <c r="F427" t="str">
        <f>_xll.BDP("122106DY Muni","DUR_ADJ_MID")</f>
        <v>#N/A Requesting Data...</v>
      </c>
      <c r="G427" t="str">
        <f>_xll.BDP("122106DY Muni","SPREAD_AT_ISSUANCE_TO_WORST")</f>
        <v>#N/A Requesting Data...</v>
      </c>
      <c r="H427" t="str">
        <f>_xll.BDP("122106DY Muni","ISSUE_DT")</f>
        <v>#N/A Requesting Data...</v>
      </c>
      <c r="I427" t="str">
        <f>_xll.BDS("122106DY Muni","MUNI_PURPOSE_SCHED", "aggregate=y")</f>
        <v>#N/A Requesting Data...</v>
      </c>
      <c r="J427" t="str">
        <f>_xll.BDP("122106DY Muni","CPN")</f>
        <v>#N/A Requesting Data...</v>
      </c>
      <c r="K427" t="str">
        <f>_xll.BDP("122106DY Muni","MATURITY")</f>
        <v>#N/A Requesting Data...</v>
      </c>
      <c r="L427">
        <v>70000</v>
      </c>
      <c r="M427" t="str">
        <f>_xll.BDP("122106DY Muni","YIELD_ON_ISSUE_DATE")</f>
        <v>#N/A Requesting Data...</v>
      </c>
      <c r="N427" t="str">
        <f>_xll.BDP("122106DY Muni","YTW_SPREAD_TO_MATURITY_AT_ISSU")</f>
        <v>#N/A Requesting Data...</v>
      </c>
      <c r="O427" t="str">
        <f>_xll.BDP("122106DY Muni","BVAL_MID_YTM")</f>
        <v>#N/A Requesting Data...</v>
      </c>
      <c r="P427" t="str">
        <f>_xll.BDP("122106DY Muni","MUNI_TAX_PROV")</f>
        <v>#N/A Requesting Data...</v>
      </c>
      <c r="Q427" t="str">
        <f>_xll.BDP("122106DY Muni","MUNI_FED_TAX")</f>
        <v>#N/A Requesting Data...</v>
      </c>
      <c r="R427" t="str">
        <f>_xll.BDP("122106DY Muni","MUNI_MSRB_VOLUME")</f>
        <v>#N/A Requesting Data...</v>
      </c>
      <c r="S427" t="str">
        <f>_xll.BDP("122106DY Muni","BB_COMPOSITE")</f>
        <v>#N/A Requesting Data...</v>
      </c>
      <c r="T427" t="str">
        <f>_xll.BDP("122106DY Muni","LQA_LIQUIDITY_SCORE")</f>
        <v>#N/A Requesting Data...</v>
      </c>
    </row>
    <row r="428" spans="1:20" x14ac:dyDescent="0.25">
      <c r="A428" t="str">
        <f>_xll.BDP("122106DZ Muni","ID_CUSIP")</f>
        <v>#N/A Requesting Data...</v>
      </c>
      <c r="B428" t="s">
        <v>140</v>
      </c>
      <c r="C428" t="str">
        <f>_xll.BDP("122106DZ Muni","INSURANCE_STATUS")</f>
        <v>#N/A Requesting Data...</v>
      </c>
      <c r="D428" t="str">
        <f>_xll.BDP("122106DZ Muni","STATE_CODE")</f>
        <v>#N/A Requesting Data...</v>
      </c>
      <c r="E428" t="str">
        <f>_xll.BDP("122106DZ Muni","COUNTY_LOCATION_ISSUER")</f>
        <v>#N/A Requesting Data...</v>
      </c>
      <c r="F428" t="str">
        <f>_xll.BDP("122106DZ Muni","DUR_ADJ_MID")</f>
        <v>#N/A Requesting Data...</v>
      </c>
      <c r="G428" t="str">
        <f>_xll.BDP("122106DZ Muni","SPREAD_AT_ISSUANCE_TO_WORST")</f>
        <v>#N/A Requesting Data...</v>
      </c>
      <c r="H428" t="str">
        <f>_xll.BDP("122106DZ Muni","ISSUE_DT")</f>
        <v>#N/A Requesting Data...</v>
      </c>
      <c r="I428" t="str">
        <f>_xll.BDS("122106DZ Muni","MUNI_PURPOSE_SCHED", "aggregate=y")</f>
        <v>#N/A Requesting Data...</v>
      </c>
      <c r="J428" t="str">
        <f>_xll.BDP("122106DZ Muni","CPN")</f>
        <v>#N/A Requesting Data...</v>
      </c>
      <c r="K428" t="str">
        <f>_xll.BDP("122106DZ Muni","MATURITY")</f>
        <v>#N/A Requesting Data...</v>
      </c>
      <c r="L428">
        <v>75000</v>
      </c>
      <c r="M428" t="str">
        <f>_xll.BDP("122106DZ Muni","YIELD_ON_ISSUE_DATE")</f>
        <v>#N/A Requesting Data...</v>
      </c>
      <c r="N428" t="str">
        <f>_xll.BDP("122106DZ Muni","YTW_SPREAD_TO_MATURITY_AT_ISSU")</f>
        <v>#N/A Requesting Data...</v>
      </c>
      <c r="O428" t="str">
        <f>_xll.BDP("122106DZ Muni","BVAL_MID_YTM")</f>
        <v>#N/A Requesting Data...</v>
      </c>
      <c r="P428" t="str">
        <f>_xll.BDP("122106DZ Muni","MUNI_TAX_PROV")</f>
        <v>#N/A Requesting Data...</v>
      </c>
      <c r="Q428" t="str">
        <f>_xll.BDP("122106DZ Muni","MUNI_FED_TAX")</f>
        <v>#N/A Requesting Data...</v>
      </c>
      <c r="R428" t="str">
        <f>_xll.BDP("122106DZ Muni","MUNI_MSRB_VOLUME")</f>
        <v>#N/A Requesting Data...</v>
      </c>
      <c r="S428" t="str">
        <f>_xll.BDP("122106DZ Muni","BB_COMPOSITE")</f>
        <v>#N/A Requesting Data...</v>
      </c>
      <c r="T428" t="str">
        <f>_xll.BDP("122106DZ Muni","LQA_LIQUIDITY_SCORE")</f>
        <v>#N/A Requesting Data...</v>
      </c>
    </row>
    <row r="429" spans="1:20" x14ac:dyDescent="0.25">
      <c r="A429" t="str">
        <f>_xll.BDP("122106EA Muni","ID_CUSIP")</f>
        <v>#N/A Requesting Data...</v>
      </c>
      <c r="B429" t="s">
        <v>140</v>
      </c>
      <c r="C429" t="str">
        <f>_xll.BDP("122106EA Muni","INSURANCE_STATUS")</f>
        <v>#N/A Requesting Data...</v>
      </c>
      <c r="D429" t="str">
        <f>_xll.BDP("122106EA Muni","STATE_CODE")</f>
        <v>#N/A Requesting Data...</v>
      </c>
      <c r="E429" t="str">
        <f>_xll.BDP("122106EA Muni","COUNTY_LOCATION_ISSUER")</f>
        <v>#N/A Requesting Data...</v>
      </c>
      <c r="F429" t="str">
        <f>_xll.BDP("122106EA Muni","DUR_ADJ_MID")</f>
        <v>#N/A Requesting Data...</v>
      </c>
      <c r="G429" t="str">
        <f>_xll.BDP("122106EA Muni","SPREAD_AT_ISSUANCE_TO_WORST")</f>
        <v>#N/A Requesting Data...</v>
      </c>
      <c r="H429" t="str">
        <f>_xll.BDP("122106EA Muni","ISSUE_DT")</f>
        <v>#N/A Requesting Data...</v>
      </c>
      <c r="I429" t="str">
        <f>_xll.BDS("122106EA Muni","MUNI_PURPOSE_SCHED", "aggregate=y")</f>
        <v>#N/A Requesting Data...</v>
      </c>
      <c r="J429" t="str">
        <f>_xll.BDP("122106EA Muni","CPN")</f>
        <v>#N/A Requesting Data...</v>
      </c>
      <c r="K429" t="str">
        <f>_xll.BDP("122106EA Muni","MATURITY")</f>
        <v>#N/A Requesting Data...</v>
      </c>
      <c r="L429">
        <v>80000</v>
      </c>
      <c r="M429" t="str">
        <f>_xll.BDP("122106EA Muni","YIELD_ON_ISSUE_DATE")</f>
        <v>#N/A Requesting Data...</v>
      </c>
      <c r="N429" t="str">
        <f>_xll.BDP("122106EA Muni","YTW_SPREAD_TO_MATURITY_AT_ISSU")</f>
        <v>#N/A Requesting Data...</v>
      </c>
      <c r="O429" t="str">
        <f>_xll.BDP("122106EA Muni","BVAL_MID_YTM")</f>
        <v>#N/A Requesting Data...</v>
      </c>
      <c r="P429" t="str">
        <f>_xll.BDP("122106EA Muni","MUNI_TAX_PROV")</f>
        <v>#N/A Requesting Data...</v>
      </c>
      <c r="Q429" t="str">
        <f>_xll.BDP("122106EA Muni","MUNI_FED_TAX")</f>
        <v>#N/A Requesting Data...</v>
      </c>
      <c r="R429" t="str">
        <f>_xll.BDP("122106EA Muni","MUNI_MSRB_VOLUME")</f>
        <v>#N/A Requesting Data...</v>
      </c>
      <c r="S429" t="str">
        <f>_xll.BDP("122106EA Muni","BB_COMPOSITE")</f>
        <v>#N/A Requesting Data...</v>
      </c>
      <c r="T429" t="str">
        <f>_xll.BDP("122106EA Muni","LQA_LIQUIDITY_SCORE")</f>
        <v>#N/A Requesting Data...</v>
      </c>
    </row>
    <row r="430" spans="1:20" x14ac:dyDescent="0.25">
      <c r="A430" t="str">
        <f>_xll.BDP("122106EB Muni","ID_CUSIP")</f>
        <v>#N/A Requesting Data...</v>
      </c>
      <c r="B430" t="s">
        <v>140</v>
      </c>
      <c r="C430" t="str">
        <f>_xll.BDP("122106EB Muni","INSURANCE_STATUS")</f>
        <v>#N/A Requesting Data...</v>
      </c>
      <c r="D430" t="str">
        <f>_xll.BDP("122106EB Muni","STATE_CODE")</f>
        <v>#N/A Requesting Data...</v>
      </c>
      <c r="E430" t="str">
        <f>_xll.BDP("122106EB Muni","COUNTY_LOCATION_ISSUER")</f>
        <v>#N/A Requesting Data...</v>
      </c>
      <c r="F430" t="str">
        <f>_xll.BDP("122106EB Muni","DUR_ADJ_MID")</f>
        <v>#N/A Requesting Data...</v>
      </c>
      <c r="G430" t="str">
        <f>_xll.BDP("122106EB Muni","SPREAD_AT_ISSUANCE_TO_WORST")</f>
        <v>#N/A Requesting Data...</v>
      </c>
      <c r="H430" t="str">
        <f>_xll.BDP("122106EB Muni","ISSUE_DT")</f>
        <v>#N/A Requesting Data...</v>
      </c>
      <c r="I430" t="str">
        <f>_xll.BDS("122106EB Muni","MUNI_PURPOSE_SCHED", "aggregate=y")</f>
        <v>#N/A Requesting Data...</v>
      </c>
      <c r="J430" t="str">
        <f>_xll.BDP("122106EB Muni","CPN")</f>
        <v>#N/A Requesting Data...</v>
      </c>
      <c r="K430" t="str">
        <f>_xll.BDP("122106EB Muni","MATURITY")</f>
        <v>#N/A Requesting Data...</v>
      </c>
      <c r="L430">
        <v>85000</v>
      </c>
      <c r="M430" t="str">
        <f>_xll.BDP("122106EB Muni","YIELD_ON_ISSUE_DATE")</f>
        <v>#N/A Requesting Data...</v>
      </c>
      <c r="N430" t="str">
        <f>_xll.BDP("122106EB Muni","YTW_SPREAD_TO_MATURITY_AT_ISSU")</f>
        <v>#N/A Requesting Data...</v>
      </c>
      <c r="O430" t="str">
        <f>_xll.BDP("122106EB Muni","BVAL_MID_YTM")</f>
        <v>#N/A Requesting Data...</v>
      </c>
      <c r="P430" t="str">
        <f>_xll.BDP("122106EB Muni","MUNI_TAX_PROV")</f>
        <v>#N/A Requesting Data...</v>
      </c>
      <c r="Q430" t="str">
        <f>_xll.BDP("122106EB Muni","MUNI_FED_TAX")</f>
        <v>#N/A Requesting Data...</v>
      </c>
      <c r="R430" t="str">
        <f>_xll.BDP("122106EB Muni","MUNI_MSRB_VOLUME")</f>
        <v>#N/A Requesting Data...</v>
      </c>
      <c r="S430" t="str">
        <f>_xll.BDP("122106EB Muni","BB_COMPOSITE")</f>
        <v>#N/A Requesting Data...</v>
      </c>
      <c r="T430" t="str">
        <f>_xll.BDP("122106EB Muni","LQA_LIQUIDITY_SCORE")</f>
        <v>#N/A Requesting Data...</v>
      </c>
    </row>
    <row r="431" spans="1:20" x14ac:dyDescent="0.25">
      <c r="A431" t="str">
        <f>_xll.BDP("122106EC Muni","ID_CUSIP")</f>
        <v>#N/A Requesting Data...</v>
      </c>
      <c r="B431" t="s">
        <v>140</v>
      </c>
      <c r="C431" t="str">
        <f>_xll.BDP("122106EC Muni","INSURANCE_STATUS")</f>
        <v>#N/A Requesting Data...</v>
      </c>
      <c r="D431" t="str">
        <f>_xll.BDP("122106EC Muni","STATE_CODE")</f>
        <v>#N/A Requesting Data...</v>
      </c>
      <c r="E431" t="str">
        <f>_xll.BDP("122106EC Muni","COUNTY_LOCATION_ISSUER")</f>
        <v>#N/A Requesting Data...</v>
      </c>
      <c r="F431" t="str">
        <f>_xll.BDP("122106EC Muni","DUR_ADJ_MID")</f>
        <v>#N/A Requesting Data...</v>
      </c>
      <c r="G431" t="str">
        <f>_xll.BDP("122106EC Muni","SPREAD_AT_ISSUANCE_TO_WORST")</f>
        <v>#N/A Requesting Data...</v>
      </c>
      <c r="H431" t="str">
        <f>_xll.BDP("122106EC Muni","ISSUE_DT")</f>
        <v>#N/A Requesting Data...</v>
      </c>
      <c r="I431" t="str">
        <f>_xll.BDS("122106EC Muni","MUNI_PURPOSE_SCHED", "aggregate=y")</f>
        <v>#N/A Requesting Data...</v>
      </c>
      <c r="J431" t="str">
        <f>_xll.BDP("122106EC Muni","CPN")</f>
        <v>#N/A Requesting Data...</v>
      </c>
      <c r="K431" t="str">
        <f>_xll.BDP("122106EC Muni","MATURITY")</f>
        <v>#N/A Requesting Data...</v>
      </c>
      <c r="L431">
        <v>90000</v>
      </c>
      <c r="M431" t="str">
        <f>_xll.BDP("122106EC Muni","YIELD_ON_ISSUE_DATE")</f>
        <v>#N/A Requesting Data...</v>
      </c>
      <c r="N431" t="str">
        <f>_xll.BDP("122106EC Muni","YTW_SPREAD_TO_MATURITY_AT_ISSU")</f>
        <v>#N/A Requesting Data...</v>
      </c>
      <c r="O431" t="str">
        <f>_xll.BDP("122106EC Muni","BVAL_MID_YTM")</f>
        <v>#N/A Requesting Data...</v>
      </c>
      <c r="P431" t="str">
        <f>_xll.BDP("122106EC Muni","MUNI_TAX_PROV")</f>
        <v>#N/A Requesting Data...</v>
      </c>
      <c r="Q431" t="str">
        <f>_xll.BDP("122106EC Muni","MUNI_FED_TAX")</f>
        <v>#N/A Requesting Data...</v>
      </c>
      <c r="R431" t="str">
        <f>_xll.BDP("122106EC Muni","MUNI_MSRB_VOLUME")</f>
        <v>#N/A Requesting Data...</v>
      </c>
      <c r="S431" t="str">
        <f>_xll.BDP("122106EC Muni","BB_COMPOSITE")</f>
        <v>#N/A Requesting Data...</v>
      </c>
      <c r="T431" t="str">
        <f>_xll.BDP("122106EC Muni","LQA_LIQUIDITY_SCORE")</f>
        <v>#N/A Requesting Data...</v>
      </c>
    </row>
    <row r="432" spans="1:20" x14ac:dyDescent="0.25">
      <c r="A432" t="str">
        <f>_xll.BDP("122106ED Muni","ID_CUSIP")</f>
        <v>#N/A Requesting Data...</v>
      </c>
      <c r="B432" t="s">
        <v>140</v>
      </c>
      <c r="C432" t="str">
        <f>_xll.BDP("122106ED Muni","INSURANCE_STATUS")</f>
        <v>#N/A Requesting Data...</v>
      </c>
      <c r="D432" t="str">
        <f>_xll.BDP("122106ED Muni","STATE_CODE")</f>
        <v>#N/A Requesting Data...</v>
      </c>
      <c r="E432" t="str">
        <f>_xll.BDP("122106ED Muni","COUNTY_LOCATION_ISSUER")</f>
        <v>#N/A Requesting Data...</v>
      </c>
      <c r="F432" t="str">
        <f>_xll.BDP("122106ED Muni","DUR_ADJ_MID")</f>
        <v>#N/A Requesting Data...</v>
      </c>
      <c r="G432" t="str">
        <f>_xll.BDP("122106ED Muni","SPREAD_AT_ISSUANCE_TO_WORST")</f>
        <v>#N/A Requesting Data...</v>
      </c>
      <c r="H432" t="str">
        <f>_xll.BDP("122106ED Muni","ISSUE_DT")</f>
        <v>#N/A Requesting Data...</v>
      </c>
      <c r="I432" t="str">
        <f>_xll.BDS("122106ED Muni","MUNI_PURPOSE_SCHED", "aggregate=y")</f>
        <v>#N/A Requesting Data...</v>
      </c>
      <c r="J432" t="str">
        <f>_xll.BDP("122106ED Muni","CPN")</f>
        <v>#N/A Requesting Data...</v>
      </c>
      <c r="K432" t="str">
        <f>_xll.BDP("122106ED Muni","MATURITY")</f>
        <v>#N/A Requesting Data...</v>
      </c>
      <c r="L432">
        <v>95000</v>
      </c>
      <c r="M432" t="str">
        <f>_xll.BDP("122106ED Muni","YIELD_ON_ISSUE_DATE")</f>
        <v>#N/A Requesting Data...</v>
      </c>
      <c r="N432" t="str">
        <f>_xll.BDP("122106ED Muni","YTW_SPREAD_TO_MATURITY_AT_ISSU")</f>
        <v>#N/A Requesting Data...</v>
      </c>
      <c r="O432" t="str">
        <f>_xll.BDP("122106ED Muni","BVAL_MID_YTM")</f>
        <v>#N/A Requesting Data...</v>
      </c>
      <c r="P432" t="str">
        <f>_xll.BDP("122106ED Muni","MUNI_TAX_PROV")</f>
        <v>#N/A Requesting Data...</v>
      </c>
      <c r="Q432" t="str">
        <f>_xll.BDP("122106ED Muni","MUNI_FED_TAX")</f>
        <v>#N/A Requesting Data...</v>
      </c>
      <c r="R432" t="str">
        <f>_xll.BDP("122106ED Muni","MUNI_MSRB_VOLUME")</f>
        <v>#N/A Requesting Data...</v>
      </c>
      <c r="S432" t="str">
        <f>_xll.BDP("122106ED Muni","BB_COMPOSITE")</f>
        <v>#N/A Requesting Data...</v>
      </c>
      <c r="T432" t="str">
        <f>_xll.BDP("122106ED Muni","LQA_LIQUIDITY_SCORE")</f>
        <v>#N/A Requesting Data...</v>
      </c>
    </row>
    <row r="433" spans="1:20" x14ac:dyDescent="0.25">
      <c r="A433" t="str">
        <f>_xll.BDP("146501QD Muni","ID_CUSIP")</f>
        <v>#N/A Requesting Data...</v>
      </c>
      <c r="B433" t="s">
        <v>141</v>
      </c>
      <c r="C433" t="str">
        <f>_xll.BDP("146501QD Muni","INSURANCE_STATUS")</f>
        <v>#N/A Requesting Data...</v>
      </c>
      <c r="D433" t="str">
        <f>_xll.BDP("146501QD Muni","STATE_CODE")</f>
        <v>#N/A Requesting Data...</v>
      </c>
      <c r="E433" t="str">
        <f>_xll.BDP("146501QD Muni","COUNTY_LOCATION_ISSUER")</f>
        <v>#N/A Requesting Data...</v>
      </c>
      <c r="F433" t="str">
        <f>_xll.BDP("146501QD Muni","DUR_ADJ_MID")</f>
        <v>#N/A Requesting Data...</v>
      </c>
      <c r="G433" t="str">
        <f>_xll.BDP("146501QD Muni","SPREAD_AT_ISSUANCE_TO_WORST")</f>
        <v>#N/A Requesting Data...</v>
      </c>
      <c r="H433" t="str">
        <f>_xll.BDP("146501QD Muni","ISSUE_DT")</f>
        <v>#N/A Requesting Data...</v>
      </c>
      <c r="I433" t="str">
        <f>_xll.BDS("146501QD Muni","MUNI_PURPOSE_SCHED", "aggregate=y")</f>
        <v>#N/A Requesting Data...</v>
      </c>
      <c r="J433" t="str">
        <f>_xll.BDP("146501QD Muni","CPN")</f>
        <v>#N/A Requesting Data...</v>
      </c>
      <c r="K433" t="str">
        <f>_xll.BDP("146501QD Muni","MATURITY")</f>
        <v>#N/A Requesting Data...</v>
      </c>
      <c r="L433">
        <v>1180000</v>
      </c>
      <c r="M433" t="str">
        <f>_xll.BDP("146501QD Muni","YIELD_ON_ISSUE_DATE")</f>
        <v>#N/A Requesting Data...</v>
      </c>
      <c r="N433" t="str">
        <f>_xll.BDP("146501QD Muni","YTW_SPREAD_TO_MATURITY_AT_ISSU")</f>
        <v>#N/A Requesting Data...</v>
      </c>
      <c r="O433" t="str">
        <f>_xll.BDP("146501QD Muni","BVAL_MID_YTM")</f>
        <v>#N/A Requesting Data...</v>
      </c>
      <c r="P433" t="str">
        <f>_xll.BDP("146501QD Muni","MUNI_TAX_PROV")</f>
        <v>#N/A Requesting Data...</v>
      </c>
      <c r="Q433" t="str">
        <f>_xll.BDP("146501QD Muni","MUNI_FED_TAX")</f>
        <v>#N/A Requesting Data...</v>
      </c>
      <c r="R433" t="str">
        <f>_xll.BDP("146501QD Muni","MUNI_MSRB_VOLUME")</f>
        <v>#N/A Requesting Data...</v>
      </c>
      <c r="S433" t="str">
        <f>_xll.BDP("146501QD Muni","BB_COMPOSITE")</f>
        <v>#N/A Requesting Data...</v>
      </c>
      <c r="T433" t="str">
        <f>_xll.BDP("146501QD Muni","LQA_LIQUIDITY_SCORE")</f>
        <v>#N/A Requesting Data...</v>
      </c>
    </row>
    <row r="434" spans="1:20" x14ac:dyDescent="0.25">
      <c r="A434" t="str">
        <f>_xll.BDP("146501QE Muni","ID_CUSIP")</f>
        <v>#N/A Requesting Data...</v>
      </c>
      <c r="B434" t="s">
        <v>141</v>
      </c>
      <c r="C434" t="str">
        <f>_xll.BDP("146501QE Muni","INSURANCE_STATUS")</f>
        <v>#N/A Requesting Data...</v>
      </c>
      <c r="D434" t="str">
        <f>_xll.BDP("146501QE Muni","STATE_CODE")</f>
        <v>#N/A Requesting Data...</v>
      </c>
      <c r="E434" t="str">
        <f>_xll.BDP("146501QE Muni","COUNTY_LOCATION_ISSUER")</f>
        <v>#N/A Requesting Data...</v>
      </c>
      <c r="F434" t="str">
        <f>_xll.BDP("146501QE Muni","DUR_ADJ_MID")</f>
        <v>#N/A Requesting Data...</v>
      </c>
      <c r="G434" t="str">
        <f>_xll.BDP("146501QE Muni","SPREAD_AT_ISSUANCE_TO_WORST")</f>
        <v>#N/A Requesting Data...</v>
      </c>
      <c r="H434" t="str">
        <f>_xll.BDP("146501QE Muni","ISSUE_DT")</f>
        <v>#N/A Requesting Data...</v>
      </c>
      <c r="I434" t="str">
        <f>_xll.BDS("146501QE Muni","MUNI_PURPOSE_SCHED", "aggregate=y")</f>
        <v>#N/A Requesting Data...</v>
      </c>
      <c r="J434" t="str">
        <f>_xll.BDP("146501QE Muni","CPN")</f>
        <v>#N/A Requesting Data...</v>
      </c>
      <c r="K434" t="str">
        <f>_xll.BDP("146501QE Muni","MATURITY")</f>
        <v>#N/A Requesting Data...</v>
      </c>
      <c r="L434">
        <v>1240000</v>
      </c>
      <c r="M434" t="str">
        <f>_xll.BDP("146501QE Muni","YIELD_ON_ISSUE_DATE")</f>
        <v>#N/A Requesting Data...</v>
      </c>
      <c r="N434" t="str">
        <f>_xll.BDP("146501QE Muni","YTW_SPREAD_TO_MATURITY_AT_ISSU")</f>
        <v>#N/A Requesting Data...</v>
      </c>
      <c r="O434" t="str">
        <f>_xll.BDP("146501QE Muni","BVAL_MID_YTM")</f>
        <v>#N/A Requesting Data...</v>
      </c>
      <c r="P434" t="str">
        <f>_xll.BDP("146501QE Muni","MUNI_TAX_PROV")</f>
        <v>#N/A Requesting Data...</v>
      </c>
      <c r="Q434" t="str">
        <f>_xll.BDP("146501QE Muni","MUNI_FED_TAX")</f>
        <v>#N/A Requesting Data...</v>
      </c>
      <c r="R434" t="str">
        <f>_xll.BDP("146501QE Muni","MUNI_MSRB_VOLUME")</f>
        <v>#N/A Requesting Data...</v>
      </c>
      <c r="S434" t="str">
        <f>_xll.BDP("146501QE Muni","BB_COMPOSITE")</f>
        <v>#N/A Requesting Data...</v>
      </c>
      <c r="T434" t="str">
        <f>_xll.BDP("146501QE Muni","LQA_LIQUIDITY_SCORE")</f>
        <v>#N/A Requesting Data...</v>
      </c>
    </row>
    <row r="435" spans="1:20" x14ac:dyDescent="0.25">
      <c r="A435" t="str">
        <f>_xll.BDP("146501QG Muni","ID_CUSIP")</f>
        <v>#N/A Requesting Data...</v>
      </c>
      <c r="B435" t="s">
        <v>141</v>
      </c>
      <c r="C435" t="str">
        <f>_xll.BDP("146501QG Muni","INSURANCE_STATUS")</f>
        <v>#N/A Requesting Data...</v>
      </c>
      <c r="D435" t="str">
        <f>_xll.BDP("146501QG Muni","STATE_CODE")</f>
        <v>#N/A Requesting Data...</v>
      </c>
      <c r="E435" t="str">
        <f>_xll.BDP("146501QG Muni","COUNTY_LOCATION_ISSUER")</f>
        <v>#N/A Requesting Data...</v>
      </c>
      <c r="F435" t="str">
        <f>_xll.BDP("146501QG Muni","DUR_ADJ_MID")</f>
        <v>#N/A Requesting Data...</v>
      </c>
      <c r="G435" t="str">
        <f>_xll.BDP("146501QG Muni","SPREAD_AT_ISSUANCE_TO_WORST")</f>
        <v>#N/A Requesting Data...</v>
      </c>
      <c r="H435" t="str">
        <f>_xll.BDP("146501QG Muni","ISSUE_DT")</f>
        <v>#N/A Requesting Data...</v>
      </c>
      <c r="I435" t="str">
        <f>_xll.BDS("146501QG Muni","MUNI_PURPOSE_SCHED", "aggregate=y")</f>
        <v>#N/A Requesting Data...</v>
      </c>
      <c r="J435" t="str">
        <f>_xll.BDP("146501QG Muni","CPN")</f>
        <v>#N/A Requesting Data...</v>
      </c>
      <c r="K435" t="str">
        <f>_xll.BDP("146501QG Muni","MATURITY")</f>
        <v>#N/A Requesting Data...</v>
      </c>
      <c r="L435">
        <v>1345000</v>
      </c>
      <c r="M435" t="str">
        <f>_xll.BDP("146501QG Muni","YIELD_ON_ISSUE_DATE")</f>
        <v>#N/A Requesting Data...</v>
      </c>
      <c r="N435" t="str">
        <f>_xll.BDP("146501QG Muni","YTW_SPREAD_TO_MATURITY_AT_ISSU")</f>
        <v>#N/A Requesting Data...</v>
      </c>
      <c r="O435" t="str">
        <f>_xll.BDP("146501QG Muni","BVAL_MID_YTM")</f>
        <v>#N/A Requesting Data...</v>
      </c>
      <c r="P435" t="str">
        <f>_xll.BDP("146501QG Muni","MUNI_TAX_PROV")</f>
        <v>#N/A Requesting Data...</v>
      </c>
      <c r="Q435" t="str">
        <f>_xll.BDP("146501QG Muni","MUNI_FED_TAX")</f>
        <v>#N/A Requesting Data...</v>
      </c>
      <c r="R435" t="str">
        <f>_xll.BDP("146501QG Muni","MUNI_MSRB_VOLUME")</f>
        <v>#N/A Requesting Data...</v>
      </c>
      <c r="S435" t="str">
        <f>_xll.BDP("146501QG Muni","BB_COMPOSITE")</f>
        <v>#N/A Requesting Data...</v>
      </c>
      <c r="T435" t="str">
        <f>_xll.BDP("146501QG Muni","LQA_LIQUIDITY_SCORE")</f>
        <v>#N/A Requesting Data...</v>
      </c>
    </row>
    <row r="436" spans="1:20" x14ac:dyDescent="0.25">
      <c r="A436" t="str">
        <f>_xll.BDP("146501QJ Muni","ID_CUSIP")</f>
        <v>#N/A Requesting Data...</v>
      </c>
      <c r="B436" t="s">
        <v>141</v>
      </c>
      <c r="C436" t="str">
        <f>_xll.BDP("146501QJ Muni","INSURANCE_STATUS")</f>
        <v>#N/A Requesting Data...</v>
      </c>
      <c r="D436" t="str">
        <f>_xll.BDP("146501QJ Muni","STATE_CODE")</f>
        <v>#N/A Requesting Data...</v>
      </c>
      <c r="E436" t="str">
        <f>_xll.BDP("146501QJ Muni","COUNTY_LOCATION_ISSUER")</f>
        <v>#N/A Requesting Data...</v>
      </c>
      <c r="F436" t="str">
        <f>_xll.BDP("146501QJ Muni","DUR_ADJ_MID")</f>
        <v>#N/A Requesting Data...</v>
      </c>
      <c r="G436" t="str">
        <f>_xll.BDP("146501QJ Muni","SPREAD_AT_ISSUANCE_TO_WORST")</f>
        <v>#N/A Requesting Data...</v>
      </c>
      <c r="H436" t="str">
        <f>_xll.BDP("146501QJ Muni","ISSUE_DT")</f>
        <v>#N/A Requesting Data...</v>
      </c>
      <c r="I436" t="str">
        <f>_xll.BDS("146501QJ Muni","MUNI_PURPOSE_SCHED", "aggregate=y")</f>
        <v>#N/A Requesting Data...</v>
      </c>
      <c r="J436" t="str">
        <f>_xll.BDP("146501QJ Muni","CPN")</f>
        <v>#N/A Requesting Data...</v>
      </c>
      <c r="K436" t="str">
        <f>_xll.BDP("146501QJ Muni","MATURITY")</f>
        <v>#N/A Requesting Data...</v>
      </c>
      <c r="L436">
        <v>1480000</v>
      </c>
      <c r="M436" t="str">
        <f>_xll.BDP("146501QJ Muni","YIELD_ON_ISSUE_DATE")</f>
        <v>#N/A Requesting Data...</v>
      </c>
      <c r="N436" t="str">
        <f>_xll.BDP("146501QJ Muni","YTW_SPREAD_TO_MATURITY_AT_ISSU")</f>
        <v>#N/A Requesting Data...</v>
      </c>
      <c r="O436" t="str">
        <f>_xll.BDP("146501QJ Muni","BVAL_MID_YTM")</f>
        <v>#N/A Requesting Data...</v>
      </c>
      <c r="P436" t="str">
        <f>_xll.BDP("146501QJ Muni","MUNI_TAX_PROV")</f>
        <v>#N/A Requesting Data...</v>
      </c>
      <c r="Q436" t="str">
        <f>_xll.BDP("146501QJ Muni","MUNI_FED_TAX")</f>
        <v>#N/A Requesting Data...</v>
      </c>
      <c r="R436" t="str">
        <f>_xll.BDP("146501QJ Muni","MUNI_MSRB_VOLUME")</f>
        <v>#N/A Requesting Data...</v>
      </c>
      <c r="S436" t="str">
        <f>_xll.BDP("146501QJ Muni","BB_COMPOSITE")</f>
        <v>#N/A Requesting Data...</v>
      </c>
      <c r="T436" t="str">
        <f>_xll.BDP("146501QJ Muni","LQA_LIQUIDITY_SCORE")</f>
        <v>#N/A Requesting Data...</v>
      </c>
    </row>
    <row r="437" spans="1:20" x14ac:dyDescent="0.25">
      <c r="A437" t="str">
        <f>_xll.BDP("14756DBA Muni","ID_CUSIP")</f>
        <v>#N/A Requesting Data...</v>
      </c>
      <c r="B437" t="s">
        <v>142</v>
      </c>
      <c r="C437" t="str">
        <f>_xll.BDP("14756DBA Muni","INSURANCE_STATUS")</f>
        <v>#N/A Requesting Data...</v>
      </c>
      <c r="D437" t="str">
        <f>_xll.BDP("14756DBA Muni","STATE_CODE")</f>
        <v>#N/A Requesting Data...</v>
      </c>
      <c r="E437" t="str">
        <f>_xll.BDP("14756DBA Muni","COUNTY_LOCATION_ISSUER")</f>
        <v>#N/A Requesting Data...</v>
      </c>
      <c r="F437" t="str">
        <f>_xll.BDP("14756DBA Muni","DUR_ADJ_MID")</f>
        <v>#N/A Requesting Data...</v>
      </c>
      <c r="G437" t="str">
        <f>_xll.BDP("14756DBA Muni","SPREAD_AT_ISSUANCE_TO_WORST")</f>
        <v>#N/A Requesting Data...</v>
      </c>
      <c r="H437" t="str">
        <f>_xll.BDP("14756DBA Muni","ISSUE_DT")</f>
        <v>#N/A Requesting Data...</v>
      </c>
      <c r="I437" t="str">
        <f>_xll.BDS("14756DBA Muni","MUNI_PURPOSE_SCHED", "aggregate=y")</f>
        <v>#N/A Requesting Data...</v>
      </c>
      <c r="J437" t="str">
        <f>_xll.BDP("14756DBA Muni","CPN")</f>
        <v>#N/A Requesting Data...</v>
      </c>
      <c r="K437" t="str">
        <f>_xll.BDP("14756DBA Muni","MATURITY")</f>
        <v>#N/A Requesting Data...</v>
      </c>
      <c r="L437">
        <v>75000</v>
      </c>
      <c r="M437" t="str">
        <f>_xll.BDP("14756DBA Muni","YIELD_ON_ISSUE_DATE")</f>
        <v>#N/A Requesting Data...</v>
      </c>
      <c r="N437" t="str">
        <f>_xll.BDP("14756DBA Muni","YTW_SPREAD_TO_MATURITY_AT_ISSU")</f>
        <v>#N/A Requesting Data...</v>
      </c>
      <c r="O437" t="str">
        <f>_xll.BDP("14756DBA Muni","BVAL_MID_YTM")</f>
        <v>#N/A Requesting Data...</v>
      </c>
      <c r="P437" t="str">
        <f>_xll.BDP("14756DBA Muni","MUNI_TAX_PROV")</f>
        <v>#N/A Requesting Data...</v>
      </c>
      <c r="Q437" t="str">
        <f>_xll.BDP("14756DBA Muni","MUNI_FED_TAX")</f>
        <v>#N/A Requesting Data...</v>
      </c>
      <c r="R437" t="str">
        <f>_xll.BDP("14756DBA Muni","MUNI_MSRB_VOLUME")</f>
        <v>#N/A Requesting Data...</v>
      </c>
      <c r="S437" t="str">
        <f>_xll.BDP("14756DBA Muni","BB_COMPOSITE")</f>
        <v>#N/A Requesting Data...</v>
      </c>
      <c r="T437" t="str">
        <f>_xll.BDP("14756DBA Muni","LQA_LIQUIDITY_SCORE")</f>
        <v>#N/A Requesting Data...</v>
      </c>
    </row>
    <row r="438" spans="1:20" x14ac:dyDescent="0.25">
      <c r="A438" t="str">
        <f>_xll.BDP("14756DBB Muni","ID_CUSIP")</f>
        <v>#N/A Requesting Data...</v>
      </c>
      <c r="B438" t="s">
        <v>142</v>
      </c>
      <c r="C438" t="str">
        <f>_xll.BDP("14756DBB Muni","INSURANCE_STATUS")</f>
        <v>#N/A Requesting Data...</v>
      </c>
      <c r="D438" t="str">
        <f>_xll.BDP("14756DBB Muni","STATE_CODE")</f>
        <v>#N/A Requesting Data...</v>
      </c>
      <c r="E438" t="str">
        <f>_xll.BDP("14756DBB Muni","COUNTY_LOCATION_ISSUER")</f>
        <v>#N/A Requesting Data...</v>
      </c>
      <c r="F438" t="str">
        <f>_xll.BDP("14756DBB Muni","DUR_ADJ_MID")</f>
        <v>#N/A Requesting Data...</v>
      </c>
      <c r="G438" t="str">
        <f>_xll.BDP("14756DBB Muni","SPREAD_AT_ISSUANCE_TO_WORST")</f>
        <v>#N/A Requesting Data...</v>
      </c>
      <c r="H438" t="str">
        <f>_xll.BDP("14756DBB Muni","ISSUE_DT")</f>
        <v>#N/A Requesting Data...</v>
      </c>
      <c r="I438" t="str">
        <f>_xll.BDS("14756DBB Muni","MUNI_PURPOSE_SCHED", "aggregate=y")</f>
        <v>#N/A Requesting Data...</v>
      </c>
      <c r="J438" t="str">
        <f>_xll.BDP("14756DBB Muni","CPN")</f>
        <v>#N/A Requesting Data...</v>
      </c>
      <c r="K438" t="str">
        <f>_xll.BDP("14756DBB Muni","MATURITY")</f>
        <v>#N/A Requesting Data...</v>
      </c>
      <c r="L438">
        <v>80000</v>
      </c>
      <c r="M438" t="str">
        <f>_xll.BDP("14756DBB Muni","YIELD_ON_ISSUE_DATE")</f>
        <v>#N/A Requesting Data...</v>
      </c>
      <c r="N438" t="str">
        <f>_xll.BDP("14756DBB Muni","YTW_SPREAD_TO_MATURITY_AT_ISSU")</f>
        <v>#N/A Requesting Data...</v>
      </c>
      <c r="O438" t="str">
        <f>_xll.BDP("14756DBB Muni","BVAL_MID_YTM")</f>
        <v>#N/A Requesting Data...</v>
      </c>
      <c r="P438" t="str">
        <f>_xll.BDP("14756DBB Muni","MUNI_TAX_PROV")</f>
        <v>#N/A Requesting Data...</v>
      </c>
      <c r="Q438" t="str">
        <f>_xll.BDP("14756DBB Muni","MUNI_FED_TAX")</f>
        <v>#N/A Requesting Data...</v>
      </c>
      <c r="R438" t="str">
        <f>_xll.BDP("14756DBB Muni","MUNI_MSRB_VOLUME")</f>
        <v>#N/A Requesting Data...</v>
      </c>
      <c r="S438" t="str">
        <f>_xll.BDP("14756DBB Muni","BB_COMPOSITE")</f>
        <v>#N/A Requesting Data...</v>
      </c>
      <c r="T438" t="str">
        <f>_xll.BDP("14756DBB Muni","LQA_LIQUIDITY_SCORE")</f>
        <v>#N/A Requesting Data...</v>
      </c>
    </row>
    <row r="439" spans="1:20" x14ac:dyDescent="0.25">
      <c r="A439" t="str">
        <f>_xll.BDP("14756DBC Muni","ID_CUSIP")</f>
        <v>#N/A Requesting Data...</v>
      </c>
      <c r="B439" t="s">
        <v>142</v>
      </c>
      <c r="C439" t="str">
        <f>_xll.BDP("14756DBC Muni","INSURANCE_STATUS")</f>
        <v>#N/A Requesting Data...</v>
      </c>
      <c r="D439" t="str">
        <f>_xll.BDP("14756DBC Muni","STATE_CODE")</f>
        <v>#N/A Requesting Data...</v>
      </c>
      <c r="E439" t="str">
        <f>_xll.BDP("14756DBC Muni","COUNTY_LOCATION_ISSUER")</f>
        <v>#N/A Requesting Data...</v>
      </c>
      <c r="F439" t="str">
        <f>_xll.BDP("14756DBC Muni","DUR_ADJ_MID")</f>
        <v>#N/A Requesting Data...</v>
      </c>
      <c r="G439" t="str">
        <f>_xll.BDP("14756DBC Muni","SPREAD_AT_ISSUANCE_TO_WORST")</f>
        <v>#N/A Requesting Data...</v>
      </c>
      <c r="H439" t="str">
        <f>_xll.BDP("14756DBC Muni","ISSUE_DT")</f>
        <v>#N/A Requesting Data...</v>
      </c>
      <c r="I439" t="str">
        <f>_xll.BDS("14756DBC Muni","MUNI_PURPOSE_SCHED", "aggregate=y")</f>
        <v>#N/A Requesting Data...</v>
      </c>
      <c r="J439" t="str">
        <f>_xll.BDP("14756DBC Muni","CPN")</f>
        <v>#N/A Requesting Data...</v>
      </c>
      <c r="K439" t="str">
        <f>_xll.BDP("14756DBC Muni","MATURITY")</f>
        <v>#N/A Requesting Data...</v>
      </c>
      <c r="L439">
        <v>80000</v>
      </c>
      <c r="M439" t="str">
        <f>_xll.BDP("14756DBC Muni","YIELD_ON_ISSUE_DATE")</f>
        <v>#N/A Requesting Data...</v>
      </c>
      <c r="N439" t="str">
        <f>_xll.BDP("14756DBC Muni","YTW_SPREAD_TO_MATURITY_AT_ISSU")</f>
        <v>#N/A Requesting Data...</v>
      </c>
      <c r="O439" t="str">
        <f>_xll.BDP("14756DBC Muni","BVAL_MID_YTM")</f>
        <v>#N/A Requesting Data...</v>
      </c>
      <c r="P439" t="str">
        <f>_xll.BDP("14756DBC Muni","MUNI_TAX_PROV")</f>
        <v>#N/A Requesting Data...</v>
      </c>
      <c r="Q439" t="str">
        <f>_xll.BDP("14756DBC Muni","MUNI_FED_TAX")</f>
        <v>#N/A Requesting Data...</v>
      </c>
      <c r="R439" t="str">
        <f>_xll.BDP("14756DBC Muni","MUNI_MSRB_VOLUME")</f>
        <v>#N/A Requesting Data...</v>
      </c>
      <c r="S439" t="str">
        <f>_xll.BDP("14756DBC Muni","BB_COMPOSITE")</f>
        <v>#N/A Requesting Data...</v>
      </c>
      <c r="T439" t="str">
        <f>_xll.BDP("14756DBC Muni","LQA_LIQUIDITY_SCORE")</f>
        <v>#N/A Requesting Data...</v>
      </c>
    </row>
    <row r="440" spans="1:20" x14ac:dyDescent="0.25">
      <c r="A440" t="str">
        <f>_xll.BDP("14756DBD Muni","ID_CUSIP")</f>
        <v>#N/A Requesting Data...</v>
      </c>
      <c r="B440" t="s">
        <v>142</v>
      </c>
      <c r="C440" t="str">
        <f>_xll.BDP("14756DBD Muni","INSURANCE_STATUS")</f>
        <v>#N/A Requesting Data...</v>
      </c>
      <c r="D440" t="str">
        <f>_xll.BDP("14756DBD Muni","STATE_CODE")</f>
        <v>#N/A Requesting Data...</v>
      </c>
      <c r="E440" t="str">
        <f>_xll.BDP("14756DBD Muni","COUNTY_LOCATION_ISSUER")</f>
        <v>#N/A Requesting Data...</v>
      </c>
      <c r="F440" t="str">
        <f>_xll.BDP("14756DBD Muni","DUR_ADJ_MID")</f>
        <v>#N/A Requesting Data...</v>
      </c>
      <c r="G440" t="str">
        <f>_xll.BDP("14756DBD Muni","SPREAD_AT_ISSUANCE_TO_WORST")</f>
        <v>#N/A Requesting Data...</v>
      </c>
      <c r="H440" t="str">
        <f>_xll.BDP("14756DBD Muni","ISSUE_DT")</f>
        <v>#N/A Requesting Data...</v>
      </c>
      <c r="I440" t="str">
        <f>_xll.BDS("14756DBD Muni","MUNI_PURPOSE_SCHED", "aggregate=y")</f>
        <v>#N/A Requesting Data...</v>
      </c>
      <c r="J440" t="str">
        <f>_xll.BDP("14756DBD Muni","CPN")</f>
        <v>#N/A Requesting Data...</v>
      </c>
      <c r="K440" t="str">
        <f>_xll.BDP("14756DBD Muni","MATURITY")</f>
        <v>#N/A Requesting Data...</v>
      </c>
      <c r="L440">
        <v>85000</v>
      </c>
      <c r="M440" t="str">
        <f>_xll.BDP("14756DBD Muni","YIELD_ON_ISSUE_DATE")</f>
        <v>#N/A Requesting Data...</v>
      </c>
      <c r="N440" t="str">
        <f>_xll.BDP("14756DBD Muni","YTW_SPREAD_TO_MATURITY_AT_ISSU")</f>
        <v>#N/A Requesting Data...</v>
      </c>
      <c r="O440" t="str">
        <f>_xll.BDP("14756DBD Muni","BVAL_MID_YTM")</f>
        <v>#N/A Requesting Data...</v>
      </c>
      <c r="P440" t="str">
        <f>_xll.BDP("14756DBD Muni","MUNI_TAX_PROV")</f>
        <v>#N/A Requesting Data...</v>
      </c>
      <c r="Q440" t="str">
        <f>_xll.BDP("14756DBD Muni","MUNI_FED_TAX")</f>
        <v>#N/A Requesting Data...</v>
      </c>
      <c r="R440" t="str">
        <f>_xll.BDP("14756DBD Muni","MUNI_MSRB_VOLUME")</f>
        <v>#N/A Requesting Data...</v>
      </c>
      <c r="S440" t="str">
        <f>_xll.BDP("14756DBD Muni","BB_COMPOSITE")</f>
        <v>#N/A Requesting Data...</v>
      </c>
      <c r="T440" t="str">
        <f>_xll.BDP("14756DBD Muni","LQA_LIQUIDITY_SCORE")</f>
        <v>#N/A Requesting Data...</v>
      </c>
    </row>
    <row r="441" spans="1:20" x14ac:dyDescent="0.25">
      <c r="A441" t="str">
        <f>_xll.BDP("14756DBE Muni","ID_CUSIP")</f>
        <v>#N/A Requesting Data...</v>
      </c>
      <c r="B441" t="s">
        <v>142</v>
      </c>
      <c r="C441" t="str">
        <f>_xll.BDP("14756DBE Muni","INSURANCE_STATUS")</f>
        <v>#N/A Requesting Data...</v>
      </c>
      <c r="D441" t="str">
        <f>_xll.BDP("14756DBE Muni","STATE_CODE")</f>
        <v>#N/A Requesting Data...</v>
      </c>
      <c r="E441" t="str">
        <f>_xll.BDP("14756DBE Muni","COUNTY_LOCATION_ISSUER")</f>
        <v>#N/A Requesting Data...</v>
      </c>
      <c r="F441" t="str">
        <f>_xll.BDP("14756DBE Muni","DUR_ADJ_MID")</f>
        <v>#N/A Requesting Data...</v>
      </c>
      <c r="G441" t="str">
        <f>_xll.BDP("14756DBE Muni","SPREAD_AT_ISSUANCE_TO_WORST")</f>
        <v>#N/A Requesting Data...</v>
      </c>
      <c r="H441" t="str">
        <f>_xll.BDP("14756DBE Muni","ISSUE_DT")</f>
        <v>#N/A Requesting Data...</v>
      </c>
      <c r="I441" t="str">
        <f>_xll.BDS("14756DBE Muni","MUNI_PURPOSE_SCHED", "aggregate=y")</f>
        <v>#N/A Requesting Data...</v>
      </c>
      <c r="J441" t="str">
        <f>_xll.BDP("14756DBE Muni","CPN")</f>
        <v>#N/A Requesting Data...</v>
      </c>
      <c r="K441" t="str">
        <f>_xll.BDP("14756DBE Muni","MATURITY")</f>
        <v>#N/A Requesting Data...</v>
      </c>
      <c r="L441">
        <v>85000</v>
      </c>
      <c r="M441" t="str">
        <f>_xll.BDP("14756DBE Muni","YIELD_ON_ISSUE_DATE")</f>
        <v>#N/A Requesting Data...</v>
      </c>
      <c r="N441" t="str">
        <f>_xll.BDP("14756DBE Muni","YTW_SPREAD_TO_MATURITY_AT_ISSU")</f>
        <v>#N/A Requesting Data...</v>
      </c>
      <c r="O441" t="str">
        <f>_xll.BDP("14756DBE Muni","BVAL_MID_YTM")</f>
        <v>#N/A Requesting Data...</v>
      </c>
      <c r="P441" t="str">
        <f>_xll.BDP("14756DBE Muni","MUNI_TAX_PROV")</f>
        <v>#N/A Requesting Data...</v>
      </c>
      <c r="Q441" t="str">
        <f>_xll.BDP("14756DBE Muni","MUNI_FED_TAX")</f>
        <v>#N/A Requesting Data...</v>
      </c>
      <c r="R441" t="str">
        <f>_xll.BDP("14756DBE Muni","MUNI_MSRB_VOLUME")</f>
        <v>#N/A Requesting Data...</v>
      </c>
      <c r="S441" t="str">
        <f>_xll.BDP("14756DBE Muni","BB_COMPOSITE")</f>
        <v>#N/A Requesting Data...</v>
      </c>
      <c r="T441" t="str">
        <f>_xll.BDP("14756DBE Muni","LQA_LIQUIDITY_SCORE")</f>
        <v>#N/A Requesting Data...</v>
      </c>
    </row>
    <row r="442" spans="1:20" x14ac:dyDescent="0.25">
      <c r="A442" t="str">
        <f>_xll.BDP("14756DBF Muni","ID_CUSIP")</f>
        <v>#N/A Requesting Data...</v>
      </c>
      <c r="B442" t="s">
        <v>142</v>
      </c>
      <c r="C442" t="str">
        <f>_xll.BDP("14756DBF Muni","INSURANCE_STATUS")</f>
        <v>#N/A Requesting Data...</v>
      </c>
      <c r="D442" t="str">
        <f>_xll.BDP("14756DBF Muni","STATE_CODE")</f>
        <v>#N/A Requesting Data...</v>
      </c>
      <c r="E442" t="str">
        <f>_xll.BDP("14756DBF Muni","COUNTY_LOCATION_ISSUER")</f>
        <v>#N/A Requesting Data...</v>
      </c>
      <c r="F442" t="str">
        <f>_xll.BDP("14756DBF Muni","DUR_ADJ_MID")</f>
        <v>#N/A Requesting Data...</v>
      </c>
      <c r="G442" t="str">
        <f>_xll.BDP("14756DBF Muni","SPREAD_AT_ISSUANCE_TO_WORST")</f>
        <v>#N/A Requesting Data...</v>
      </c>
      <c r="H442" t="str">
        <f>_xll.BDP("14756DBF Muni","ISSUE_DT")</f>
        <v>#N/A Requesting Data...</v>
      </c>
      <c r="I442" t="str">
        <f>_xll.BDS("14756DBF Muni","MUNI_PURPOSE_SCHED", "aggregate=y")</f>
        <v>#N/A Requesting Data...</v>
      </c>
      <c r="J442" t="str">
        <f>_xll.BDP("14756DBF Muni","CPN")</f>
        <v>#N/A Requesting Data...</v>
      </c>
      <c r="K442" t="str">
        <f>_xll.BDP("14756DBF Muni","MATURITY")</f>
        <v>#N/A Requesting Data...</v>
      </c>
      <c r="L442">
        <v>90000</v>
      </c>
      <c r="M442" t="str">
        <f>_xll.BDP("14756DBF Muni","YIELD_ON_ISSUE_DATE")</f>
        <v>#N/A Requesting Data...</v>
      </c>
      <c r="N442" t="str">
        <f>_xll.BDP("14756DBF Muni","YTW_SPREAD_TO_MATURITY_AT_ISSU")</f>
        <v>#N/A Requesting Data...</v>
      </c>
      <c r="O442" t="str">
        <f>_xll.BDP("14756DBF Muni","BVAL_MID_YTM")</f>
        <v>#N/A Requesting Data...</v>
      </c>
      <c r="P442" t="str">
        <f>_xll.BDP("14756DBF Muni","MUNI_TAX_PROV")</f>
        <v>#N/A Requesting Data...</v>
      </c>
      <c r="Q442" t="str">
        <f>_xll.BDP("14756DBF Muni","MUNI_FED_TAX")</f>
        <v>#N/A Requesting Data...</v>
      </c>
      <c r="R442" t="str">
        <f>_xll.BDP("14756DBF Muni","MUNI_MSRB_VOLUME")</f>
        <v>#N/A Requesting Data...</v>
      </c>
      <c r="S442" t="str">
        <f>_xll.BDP("14756DBF Muni","BB_COMPOSITE")</f>
        <v>#N/A Requesting Data...</v>
      </c>
      <c r="T442" t="str">
        <f>_xll.BDP("14756DBF Muni","LQA_LIQUIDITY_SCORE")</f>
        <v>#N/A Requesting Data...</v>
      </c>
    </row>
    <row r="443" spans="1:20" x14ac:dyDescent="0.25">
      <c r="A443" t="str">
        <f>_xll.BDP("14756DBG Muni","ID_CUSIP")</f>
        <v>#N/A Requesting Data...</v>
      </c>
      <c r="B443" t="s">
        <v>142</v>
      </c>
      <c r="C443" t="str">
        <f>_xll.BDP("14756DBG Muni","INSURANCE_STATUS")</f>
        <v>#N/A Requesting Data...</v>
      </c>
      <c r="D443" t="str">
        <f>_xll.BDP("14756DBG Muni","STATE_CODE")</f>
        <v>#N/A Requesting Data...</v>
      </c>
      <c r="E443" t="str">
        <f>_xll.BDP("14756DBG Muni","COUNTY_LOCATION_ISSUER")</f>
        <v>#N/A Requesting Data...</v>
      </c>
      <c r="F443" t="str">
        <f>_xll.BDP("14756DBG Muni","DUR_ADJ_MID")</f>
        <v>#N/A Requesting Data...</v>
      </c>
      <c r="G443" t="str">
        <f>_xll.BDP("14756DBG Muni","SPREAD_AT_ISSUANCE_TO_WORST")</f>
        <v>#N/A Requesting Data...</v>
      </c>
      <c r="H443" t="str">
        <f>_xll.BDP("14756DBG Muni","ISSUE_DT")</f>
        <v>#N/A Requesting Data...</v>
      </c>
      <c r="I443" t="str">
        <f>_xll.BDS("14756DBG Muni","MUNI_PURPOSE_SCHED", "aggregate=y")</f>
        <v>#N/A Requesting Data...</v>
      </c>
      <c r="J443" t="str">
        <f>_xll.BDP("14756DBG Muni","CPN")</f>
        <v>#N/A Requesting Data...</v>
      </c>
      <c r="K443" t="str">
        <f>_xll.BDP("14756DBG Muni","MATURITY")</f>
        <v>#N/A Requesting Data...</v>
      </c>
      <c r="L443">
        <v>90000</v>
      </c>
      <c r="M443" t="str">
        <f>_xll.BDP("14756DBG Muni","YIELD_ON_ISSUE_DATE")</f>
        <v>#N/A Requesting Data...</v>
      </c>
      <c r="N443" t="str">
        <f>_xll.BDP("14756DBG Muni","YTW_SPREAD_TO_MATURITY_AT_ISSU")</f>
        <v>#N/A Requesting Data...</v>
      </c>
      <c r="O443" t="str">
        <f>_xll.BDP("14756DBG Muni","BVAL_MID_YTM")</f>
        <v>#N/A Requesting Data...</v>
      </c>
      <c r="P443" t="str">
        <f>_xll.BDP("14756DBG Muni","MUNI_TAX_PROV")</f>
        <v>#N/A Requesting Data...</v>
      </c>
      <c r="Q443" t="str">
        <f>_xll.BDP("14756DBG Muni","MUNI_FED_TAX")</f>
        <v>#N/A Requesting Data...</v>
      </c>
      <c r="R443" t="str">
        <f>_xll.BDP("14756DBG Muni","MUNI_MSRB_VOLUME")</f>
        <v>#N/A Requesting Data...</v>
      </c>
      <c r="S443" t="str">
        <f>_xll.BDP("14756DBG Muni","BB_COMPOSITE")</f>
        <v>#N/A Requesting Data...</v>
      </c>
      <c r="T443" t="str">
        <f>_xll.BDP("14756DBG Muni","LQA_LIQUIDITY_SCORE")</f>
        <v>#N/A Requesting Data...</v>
      </c>
    </row>
    <row r="444" spans="1:20" x14ac:dyDescent="0.25">
      <c r="A444" t="str">
        <f>_xll.BDP("078040AB Muni","ID_CUSIP")</f>
        <v>#N/A Requesting Data...</v>
      </c>
      <c r="B444" t="s">
        <v>143</v>
      </c>
      <c r="C444" t="str">
        <f>_xll.BDP("078040AB Muni","INSURANCE_STATUS")</f>
        <v>#N/A Requesting Data...</v>
      </c>
      <c r="D444" t="str">
        <f>_xll.BDP("078040AB Muni","STATE_CODE")</f>
        <v>#N/A Requesting Data...</v>
      </c>
      <c r="E444" t="str">
        <f>_xll.BDP("078040AB Muni","COUNTY_LOCATION_ISSUER")</f>
        <v>#N/A Requesting Data...</v>
      </c>
      <c r="F444" t="str">
        <f>_xll.BDP("078040AB Muni","DUR_ADJ_MID")</f>
        <v>#N/A Requesting Data...</v>
      </c>
      <c r="G444" t="str">
        <f>_xll.BDP("078040AB Muni","SPREAD_AT_ISSUANCE_TO_WORST")</f>
        <v>#N/A Requesting Data...</v>
      </c>
      <c r="H444" t="str">
        <f>_xll.BDP("078040AB Muni","ISSUE_DT")</f>
        <v>#N/A Requesting Data...</v>
      </c>
      <c r="I444" t="str">
        <f>_xll.BDS("078040AB Muni","MUNI_PURPOSE_SCHED", "aggregate=y")</f>
        <v>#N/A Requesting Data...</v>
      </c>
      <c r="J444" t="str">
        <f>_xll.BDP("078040AB Muni","CPN")</f>
        <v>#N/A Requesting Data...</v>
      </c>
      <c r="K444" t="str">
        <f>_xll.BDP("078040AB Muni","MATURITY")</f>
        <v>#N/A Requesting Data...</v>
      </c>
      <c r="L444">
        <v>145000</v>
      </c>
      <c r="M444" t="str">
        <f>_xll.BDP("078040AB Muni","YIELD_ON_ISSUE_DATE")</f>
        <v>#N/A Requesting Data...</v>
      </c>
      <c r="N444" t="str">
        <f>_xll.BDP("078040AB Muni","YTW_SPREAD_TO_MATURITY_AT_ISSU")</f>
        <v>#N/A Requesting Data...</v>
      </c>
      <c r="O444" t="str">
        <f>_xll.BDP("078040AB Muni","BVAL_MID_YTM")</f>
        <v>#N/A Requesting Data...</v>
      </c>
      <c r="P444" t="str">
        <f>_xll.BDP("078040AB Muni","MUNI_TAX_PROV")</f>
        <v>#N/A Requesting Data...</v>
      </c>
      <c r="Q444" t="str">
        <f>_xll.BDP("078040AB Muni","MUNI_FED_TAX")</f>
        <v>#N/A Requesting Data...</v>
      </c>
      <c r="R444" t="str">
        <f>_xll.BDP("078040AB Muni","MUNI_MSRB_VOLUME")</f>
        <v>#N/A Requesting Data...</v>
      </c>
      <c r="S444" t="str">
        <f>_xll.BDP("078040AB Muni","BB_COMPOSITE")</f>
        <v>#N/A Requesting Data...</v>
      </c>
      <c r="T444" t="str">
        <f>_xll.BDP("078040AB Muni","LQA_LIQUIDITY_SCORE")</f>
        <v>#N/A Requesting Data...</v>
      </c>
    </row>
    <row r="445" spans="1:20" x14ac:dyDescent="0.25">
      <c r="A445" t="str">
        <f>_xll.BDP("078040AC Muni","ID_CUSIP")</f>
        <v>#N/A Requesting Data...</v>
      </c>
      <c r="B445" t="s">
        <v>143</v>
      </c>
      <c r="C445" t="str">
        <f>_xll.BDP("078040AC Muni","INSURANCE_STATUS")</f>
        <v>#N/A Requesting Data...</v>
      </c>
      <c r="D445" t="str">
        <f>_xll.BDP("078040AC Muni","STATE_CODE")</f>
        <v>#N/A Requesting Data...</v>
      </c>
      <c r="E445" t="str">
        <f>_xll.BDP("078040AC Muni","COUNTY_LOCATION_ISSUER")</f>
        <v>#N/A Requesting Data...</v>
      </c>
      <c r="F445" t="str">
        <f>_xll.BDP("078040AC Muni","DUR_ADJ_MID")</f>
        <v>#N/A Requesting Data...</v>
      </c>
      <c r="G445" t="str">
        <f>_xll.BDP("078040AC Muni","SPREAD_AT_ISSUANCE_TO_WORST")</f>
        <v>#N/A Requesting Data...</v>
      </c>
      <c r="H445" t="str">
        <f>_xll.BDP("078040AC Muni","ISSUE_DT")</f>
        <v>#N/A Requesting Data...</v>
      </c>
      <c r="I445" t="str">
        <f>_xll.BDS("078040AC Muni","MUNI_PURPOSE_SCHED", "aggregate=y")</f>
        <v>#N/A Requesting Data...</v>
      </c>
      <c r="J445" t="str">
        <f>_xll.BDP("078040AC Muni","CPN")</f>
        <v>#N/A Requesting Data...</v>
      </c>
      <c r="K445" t="str">
        <f>_xll.BDP("078040AC Muni","MATURITY")</f>
        <v>#N/A Requesting Data...</v>
      </c>
      <c r="L445">
        <v>150000</v>
      </c>
      <c r="M445" t="str">
        <f>_xll.BDP("078040AC Muni","YIELD_ON_ISSUE_DATE")</f>
        <v>#N/A Requesting Data...</v>
      </c>
      <c r="N445" t="str">
        <f>_xll.BDP("078040AC Muni","YTW_SPREAD_TO_MATURITY_AT_ISSU")</f>
        <v>#N/A Requesting Data...</v>
      </c>
      <c r="O445" t="str">
        <f>_xll.BDP("078040AC Muni","BVAL_MID_YTM")</f>
        <v>#N/A Requesting Data...</v>
      </c>
      <c r="P445" t="str">
        <f>_xll.BDP("078040AC Muni","MUNI_TAX_PROV")</f>
        <v>#N/A Requesting Data...</v>
      </c>
      <c r="Q445" t="str">
        <f>_xll.BDP("078040AC Muni","MUNI_FED_TAX")</f>
        <v>#N/A Requesting Data...</v>
      </c>
      <c r="R445" t="str">
        <f>_xll.BDP("078040AC Muni","MUNI_MSRB_VOLUME")</f>
        <v>#N/A Requesting Data...</v>
      </c>
      <c r="S445" t="str">
        <f>_xll.BDP("078040AC Muni","BB_COMPOSITE")</f>
        <v>#N/A Requesting Data...</v>
      </c>
      <c r="T445" t="str">
        <f>_xll.BDP("078040AC Muni","LQA_LIQUIDITY_SCORE")</f>
        <v>#N/A Requesting Data...</v>
      </c>
    </row>
    <row r="446" spans="1:20" x14ac:dyDescent="0.25">
      <c r="A446" t="str">
        <f>_xll.BDP("0782755M Muni","ID_CUSIP")</f>
        <v>#N/A Requesting Data...</v>
      </c>
      <c r="B446" t="s">
        <v>144</v>
      </c>
      <c r="C446" t="str">
        <f>_xll.BDP("0782755M Muni","INSURANCE_STATUS")</f>
        <v>#N/A Requesting Data...</v>
      </c>
      <c r="D446" t="str">
        <f>_xll.BDP("0782755M Muni","STATE_CODE")</f>
        <v>#N/A Requesting Data...</v>
      </c>
      <c r="E446" t="str">
        <f>_xll.BDP("0782755M Muni","COUNTY_LOCATION_ISSUER")</f>
        <v>#N/A Requesting Data...</v>
      </c>
      <c r="F446" t="str">
        <f>_xll.BDP("0782755M Muni","DUR_ADJ_MID")</f>
        <v>#N/A Requesting Data...</v>
      </c>
      <c r="G446" t="str">
        <f>_xll.BDP("0782755M Muni","SPREAD_AT_ISSUANCE_TO_WORST")</f>
        <v>#N/A Requesting Data...</v>
      </c>
      <c r="H446" t="str">
        <f>_xll.BDP("0782755M Muni","ISSUE_DT")</f>
        <v>#N/A Requesting Data...</v>
      </c>
      <c r="I446" t="str">
        <f>_xll.BDS("0782755M Muni","MUNI_PURPOSE_SCHED", "aggregate=y")</f>
        <v>#N/A Requesting Data...</v>
      </c>
      <c r="J446" t="str">
        <f>_xll.BDP("0782755M Muni","CPN")</f>
        <v>#N/A Requesting Data...</v>
      </c>
      <c r="K446" t="str">
        <f>_xll.BDP("0782755M Muni","MATURITY")</f>
        <v>#N/A Requesting Data...</v>
      </c>
      <c r="L446">
        <v>330000</v>
      </c>
      <c r="M446" t="str">
        <f>_xll.BDP("0782755M Muni","YIELD_ON_ISSUE_DATE")</f>
        <v>#N/A Requesting Data...</v>
      </c>
      <c r="N446" t="str">
        <f>_xll.BDP("0782755M Muni","YTW_SPREAD_TO_MATURITY_AT_ISSU")</f>
        <v>#N/A Requesting Data...</v>
      </c>
      <c r="O446" t="str">
        <f>_xll.BDP("0782755M Muni","BVAL_MID_YTM")</f>
        <v>#N/A Requesting Data...</v>
      </c>
      <c r="P446" t="str">
        <f>_xll.BDP("0782755M Muni","MUNI_TAX_PROV")</f>
        <v>#N/A Requesting Data...</v>
      </c>
      <c r="Q446" t="str">
        <f>_xll.BDP("0782755M Muni","MUNI_FED_TAX")</f>
        <v>#N/A Requesting Data...</v>
      </c>
      <c r="R446" t="str">
        <f>_xll.BDP("0782755M Muni","MUNI_MSRB_VOLUME")</f>
        <v>#N/A Requesting Data...</v>
      </c>
      <c r="S446" t="str">
        <f>_xll.BDP("0782755M Muni","BB_COMPOSITE")</f>
        <v>#N/A Requesting Data...</v>
      </c>
      <c r="T446" t="str">
        <f>_xll.BDP("0782755M Muni","LQA_LIQUIDITY_SCORE")</f>
        <v>#N/A Requesting Data...</v>
      </c>
    </row>
    <row r="447" spans="1:20" x14ac:dyDescent="0.25">
      <c r="A447" t="str">
        <f>_xll.BDP("0782755N Muni","ID_CUSIP")</f>
        <v>#N/A Requesting Data...</v>
      </c>
      <c r="B447" t="s">
        <v>144</v>
      </c>
      <c r="C447" t="str">
        <f>_xll.BDP("0782755N Muni","INSURANCE_STATUS")</f>
        <v>#N/A Requesting Data...</v>
      </c>
      <c r="D447" t="str">
        <f>_xll.BDP("0782755N Muni","STATE_CODE")</f>
        <v>#N/A Requesting Data...</v>
      </c>
      <c r="E447" t="str">
        <f>_xll.BDP("0782755N Muni","COUNTY_LOCATION_ISSUER")</f>
        <v>#N/A Requesting Data...</v>
      </c>
      <c r="F447" t="str">
        <f>_xll.BDP("0782755N Muni","DUR_ADJ_MID")</f>
        <v>#N/A Requesting Data...</v>
      </c>
      <c r="G447" t="str">
        <f>_xll.BDP("0782755N Muni","SPREAD_AT_ISSUANCE_TO_WORST")</f>
        <v>#N/A Requesting Data...</v>
      </c>
      <c r="H447" t="str">
        <f>_xll.BDP("0782755N Muni","ISSUE_DT")</f>
        <v>#N/A Requesting Data...</v>
      </c>
      <c r="I447" t="str">
        <f>_xll.BDS("0782755N Muni","MUNI_PURPOSE_SCHED", "aggregate=y")</f>
        <v>#N/A Requesting Data...</v>
      </c>
      <c r="J447" t="str">
        <f>_xll.BDP("0782755N Muni","CPN")</f>
        <v>#N/A Requesting Data...</v>
      </c>
      <c r="K447" t="str">
        <f>_xll.BDP("0782755N Muni","MATURITY")</f>
        <v>#N/A Requesting Data...</v>
      </c>
      <c r="L447">
        <v>350000</v>
      </c>
      <c r="M447" t="str">
        <f>_xll.BDP("0782755N Muni","YIELD_ON_ISSUE_DATE")</f>
        <v>#N/A Requesting Data...</v>
      </c>
      <c r="N447" t="str">
        <f>_xll.BDP("0782755N Muni","YTW_SPREAD_TO_MATURITY_AT_ISSU")</f>
        <v>#N/A Requesting Data...</v>
      </c>
      <c r="O447" t="str">
        <f>_xll.BDP("0782755N Muni","BVAL_MID_YTM")</f>
        <v>#N/A Requesting Data...</v>
      </c>
      <c r="P447" t="str">
        <f>_xll.BDP("0782755N Muni","MUNI_TAX_PROV")</f>
        <v>#N/A Requesting Data...</v>
      </c>
      <c r="Q447" t="str">
        <f>_xll.BDP("0782755N Muni","MUNI_FED_TAX")</f>
        <v>#N/A Requesting Data...</v>
      </c>
      <c r="R447" t="str">
        <f>_xll.BDP("0782755N Muni","MUNI_MSRB_VOLUME")</f>
        <v>#N/A Requesting Data...</v>
      </c>
      <c r="S447" t="str">
        <f>_xll.BDP("0782755N Muni","BB_COMPOSITE")</f>
        <v>#N/A Requesting Data...</v>
      </c>
      <c r="T447" t="str">
        <f>_xll.BDP("0782755N Muni","LQA_LIQUIDITY_SCORE")</f>
        <v>#N/A Requesting Data...</v>
      </c>
    </row>
    <row r="448" spans="1:20" x14ac:dyDescent="0.25">
      <c r="A448" t="str">
        <f>_xll.BDP("0782755P Muni","ID_CUSIP")</f>
        <v>#N/A Requesting Data...</v>
      </c>
      <c r="B448" t="s">
        <v>144</v>
      </c>
      <c r="C448" t="str">
        <f>_xll.BDP("0782755P Muni","INSURANCE_STATUS")</f>
        <v>#N/A Requesting Data...</v>
      </c>
      <c r="D448" t="str">
        <f>_xll.BDP("0782755P Muni","STATE_CODE")</f>
        <v>#N/A Requesting Data...</v>
      </c>
      <c r="E448" t="str">
        <f>_xll.BDP("0782755P Muni","COUNTY_LOCATION_ISSUER")</f>
        <v>#N/A Requesting Data...</v>
      </c>
      <c r="F448" t="str">
        <f>_xll.BDP("0782755P Muni","DUR_ADJ_MID")</f>
        <v>#N/A Requesting Data...</v>
      </c>
      <c r="G448" t="str">
        <f>_xll.BDP("0782755P Muni","SPREAD_AT_ISSUANCE_TO_WORST")</f>
        <v>#N/A Requesting Data...</v>
      </c>
      <c r="H448" t="str">
        <f>_xll.BDP("0782755P Muni","ISSUE_DT")</f>
        <v>#N/A Requesting Data...</v>
      </c>
      <c r="I448" t="str">
        <f>_xll.BDS("0782755P Muni","MUNI_PURPOSE_SCHED", "aggregate=y")</f>
        <v>#N/A Requesting Data...</v>
      </c>
      <c r="J448" t="str">
        <f>_xll.BDP("0782755P Muni","CPN")</f>
        <v>#N/A Requesting Data...</v>
      </c>
      <c r="K448" t="str">
        <f>_xll.BDP("0782755P Muni","MATURITY")</f>
        <v>#N/A Requesting Data...</v>
      </c>
      <c r="L448">
        <v>365000</v>
      </c>
      <c r="M448" t="str">
        <f>_xll.BDP("0782755P Muni","YIELD_ON_ISSUE_DATE")</f>
        <v>#N/A Requesting Data...</v>
      </c>
      <c r="N448" t="str">
        <f>_xll.BDP("0782755P Muni","YTW_SPREAD_TO_MATURITY_AT_ISSU")</f>
        <v>#N/A Requesting Data...</v>
      </c>
      <c r="O448" t="str">
        <f>_xll.BDP("0782755P Muni","BVAL_MID_YTM")</f>
        <v>#N/A Requesting Data...</v>
      </c>
      <c r="P448" t="str">
        <f>_xll.BDP("0782755P Muni","MUNI_TAX_PROV")</f>
        <v>#N/A Requesting Data...</v>
      </c>
      <c r="Q448" t="str">
        <f>_xll.BDP("0782755P Muni","MUNI_FED_TAX")</f>
        <v>#N/A Requesting Data...</v>
      </c>
      <c r="R448" t="str">
        <f>_xll.BDP("0782755P Muni","MUNI_MSRB_VOLUME")</f>
        <v>#N/A Requesting Data...</v>
      </c>
      <c r="S448" t="str">
        <f>_xll.BDP("0782755P Muni","BB_COMPOSITE")</f>
        <v>#N/A Requesting Data...</v>
      </c>
      <c r="T448" t="str">
        <f>_xll.BDP("0782755P Muni","LQA_LIQUIDITY_SCORE")</f>
        <v>#N/A Requesting Data...</v>
      </c>
    </row>
    <row r="449" spans="1:20" x14ac:dyDescent="0.25">
      <c r="A449" t="str">
        <f>_xll.BDP("0782755Q Muni","ID_CUSIP")</f>
        <v>#N/A Requesting Data...</v>
      </c>
      <c r="B449" t="s">
        <v>144</v>
      </c>
      <c r="C449" t="str">
        <f>_xll.BDP("0782755Q Muni","INSURANCE_STATUS")</f>
        <v>#N/A Requesting Data...</v>
      </c>
      <c r="D449" t="str">
        <f>_xll.BDP("0782755Q Muni","STATE_CODE")</f>
        <v>#N/A Requesting Data...</v>
      </c>
      <c r="E449" t="str">
        <f>_xll.BDP("0782755Q Muni","COUNTY_LOCATION_ISSUER")</f>
        <v>#N/A Requesting Data...</v>
      </c>
      <c r="F449" t="str">
        <f>_xll.BDP("0782755Q Muni","DUR_ADJ_MID")</f>
        <v>#N/A Requesting Data...</v>
      </c>
      <c r="G449" t="str">
        <f>_xll.BDP("0782755Q Muni","SPREAD_AT_ISSUANCE_TO_WORST")</f>
        <v>#N/A Requesting Data...</v>
      </c>
      <c r="H449" t="str">
        <f>_xll.BDP("0782755Q Muni","ISSUE_DT")</f>
        <v>#N/A Requesting Data...</v>
      </c>
      <c r="I449" t="str">
        <f>_xll.BDS("0782755Q Muni","MUNI_PURPOSE_SCHED", "aggregate=y")</f>
        <v>#N/A Requesting Data...</v>
      </c>
      <c r="J449" t="str">
        <f>_xll.BDP("0782755Q Muni","CPN")</f>
        <v>#N/A Requesting Data...</v>
      </c>
      <c r="K449" t="str">
        <f>_xll.BDP("0782755Q Muni","MATURITY")</f>
        <v>#N/A Requesting Data...</v>
      </c>
      <c r="L449">
        <v>385000</v>
      </c>
      <c r="M449" t="str">
        <f>_xll.BDP("0782755Q Muni","YIELD_ON_ISSUE_DATE")</f>
        <v>#N/A Requesting Data...</v>
      </c>
      <c r="N449" t="str">
        <f>_xll.BDP("0782755Q Muni","YTW_SPREAD_TO_MATURITY_AT_ISSU")</f>
        <v>#N/A Requesting Data...</v>
      </c>
      <c r="O449" t="str">
        <f>_xll.BDP("0782755Q Muni","BVAL_MID_YTM")</f>
        <v>#N/A Requesting Data...</v>
      </c>
      <c r="P449" t="str">
        <f>_xll.BDP("0782755Q Muni","MUNI_TAX_PROV")</f>
        <v>#N/A Requesting Data...</v>
      </c>
      <c r="Q449" t="str">
        <f>_xll.BDP("0782755Q Muni","MUNI_FED_TAX")</f>
        <v>#N/A Requesting Data...</v>
      </c>
      <c r="R449" t="str">
        <f>_xll.BDP("0782755Q Muni","MUNI_MSRB_VOLUME")</f>
        <v>#N/A Requesting Data...</v>
      </c>
      <c r="S449" t="str">
        <f>_xll.BDP("0782755Q Muni","BB_COMPOSITE")</f>
        <v>#N/A Requesting Data...</v>
      </c>
      <c r="T449" t="str">
        <f>_xll.BDP("0782755Q Muni","LQA_LIQUIDITY_SCORE")</f>
        <v>#N/A Requesting Data...</v>
      </c>
    </row>
    <row r="450" spans="1:20" x14ac:dyDescent="0.25">
      <c r="A450" t="str">
        <f>_xll.BDP("07556MEN Muni","ID_CUSIP")</f>
        <v>#N/A Requesting Data...</v>
      </c>
      <c r="B450" t="s">
        <v>145</v>
      </c>
      <c r="C450" t="str">
        <f>_xll.BDP("07556MEN Muni","INSURANCE_STATUS")</f>
        <v>#N/A Requesting Data...</v>
      </c>
      <c r="D450" t="str">
        <f>_xll.BDP("07556MEN Muni","STATE_CODE")</f>
        <v>#N/A Requesting Data...</v>
      </c>
      <c r="E450" t="str">
        <f>_xll.BDP("07556MEN Muni","COUNTY_LOCATION_ISSUER")</f>
        <v>#N/A Requesting Data...</v>
      </c>
      <c r="F450" t="str">
        <f>_xll.BDP("07556MEN Muni","DUR_ADJ_MID")</f>
        <v>#N/A Requesting Data...</v>
      </c>
      <c r="G450" t="str">
        <f>_xll.BDP("07556MEN Muni","SPREAD_AT_ISSUANCE_TO_WORST")</f>
        <v>#N/A Requesting Data...</v>
      </c>
      <c r="H450" t="str">
        <f>_xll.BDP("07556MEN Muni","ISSUE_DT")</f>
        <v>#N/A Requesting Data...</v>
      </c>
      <c r="I450" t="str">
        <f>_xll.BDS("07556MEN Muni","MUNI_PURPOSE_SCHED", "aggregate=y")</f>
        <v>#N/A Requesting Data...</v>
      </c>
      <c r="J450" t="str">
        <f>_xll.BDP("07556MEN Muni","CPN")</f>
        <v>#N/A Requesting Data...</v>
      </c>
      <c r="K450" t="str">
        <f>_xll.BDP("07556MEN Muni","MATURITY")</f>
        <v>#N/A Requesting Data...</v>
      </c>
      <c r="L450">
        <v>660000</v>
      </c>
      <c r="M450" t="str">
        <f>_xll.BDP("07556MEN Muni","YIELD_ON_ISSUE_DATE")</f>
        <v>#N/A Requesting Data...</v>
      </c>
      <c r="N450" t="str">
        <f>_xll.BDP("07556MEN Muni","YTW_SPREAD_TO_MATURITY_AT_ISSU")</f>
        <v>#N/A Requesting Data...</v>
      </c>
      <c r="O450" t="str">
        <f>_xll.BDP("07556MEN Muni","BVAL_MID_YTM")</f>
        <v>#N/A Requesting Data...</v>
      </c>
      <c r="P450" t="str">
        <f>_xll.BDP("07556MEN Muni","MUNI_TAX_PROV")</f>
        <v>#N/A Requesting Data...</v>
      </c>
      <c r="Q450" t="str">
        <f>_xll.BDP("07556MEN Muni","MUNI_FED_TAX")</f>
        <v>#N/A Requesting Data...</v>
      </c>
      <c r="R450" t="str">
        <f>_xll.BDP("07556MEN Muni","MUNI_MSRB_VOLUME")</f>
        <v>#N/A Requesting Data...</v>
      </c>
      <c r="S450" t="str">
        <f>_xll.BDP("07556MEN Muni","BB_COMPOSITE")</f>
        <v>#N/A Requesting Data...</v>
      </c>
      <c r="T450" t="str">
        <f>_xll.BDP("07556MEN Muni","LQA_LIQUIDITY_SCORE")</f>
        <v>#N/A Requesting Data...</v>
      </c>
    </row>
    <row r="451" spans="1:20" x14ac:dyDescent="0.25">
      <c r="A451" t="str">
        <f>_xll.BDP("07556MEP Muni","ID_CUSIP")</f>
        <v>#N/A Requesting Data...</v>
      </c>
      <c r="B451" t="s">
        <v>145</v>
      </c>
      <c r="C451" t="str">
        <f>_xll.BDP("07556MEP Muni","INSURANCE_STATUS")</f>
        <v>#N/A Requesting Data...</v>
      </c>
      <c r="D451" t="str">
        <f>_xll.BDP("07556MEP Muni","STATE_CODE")</f>
        <v>#N/A Requesting Data...</v>
      </c>
      <c r="E451" t="str">
        <f>_xll.BDP("07556MEP Muni","COUNTY_LOCATION_ISSUER")</f>
        <v>#N/A Requesting Data...</v>
      </c>
      <c r="F451" t="str">
        <f>_xll.BDP("07556MEP Muni","DUR_ADJ_MID")</f>
        <v>#N/A Requesting Data...</v>
      </c>
      <c r="G451" t="str">
        <f>_xll.BDP("07556MEP Muni","SPREAD_AT_ISSUANCE_TO_WORST")</f>
        <v>#N/A Requesting Data...</v>
      </c>
      <c r="H451" t="str">
        <f>_xll.BDP("07556MEP Muni","ISSUE_DT")</f>
        <v>#N/A Requesting Data...</v>
      </c>
      <c r="I451" t="str">
        <f>_xll.BDS("07556MEP Muni","MUNI_PURPOSE_SCHED", "aggregate=y")</f>
        <v>#N/A Requesting Data...</v>
      </c>
      <c r="J451" t="str">
        <f>_xll.BDP("07556MEP Muni","CPN")</f>
        <v>#N/A Requesting Data...</v>
      </c>
      <c r="K451" t="str">
        <f>_xll.BDP("07556MEP Muni","MATURITY")</f>
        <v>#N/A Requesting Data...</v>
      </c>
      <c r="L451">
        <v>690000</v>
      </c>
      <c r="M451" t="str">
        <f>_xll.BDP("07556MEP Muni","YIELD_ON_ISSUE_DATE")</f>
        <v>#N/A Requesting Data...</v>
      </c>
      <c r="N451" t="str">
        <f>_xll.BDP("07556MEP Muni","YTW_SPREAD_TO_MATURITY_AT_ISSU")</f>
        <v>#N/A Requesting Data...</v>
      </c>
      <c r="O451" t="str">
        <f>_xll.BDP("07556MEP Muni","BVAL_MID_YTM")</f>
        <v>#N/A Requesting Data...</v>
      </c>
      <c r="P451" t="str">
        <f>_xll.BDP("07556MEP Muni","MUNI_TAX_PROV")</f>
        <v>#N/A Requesting Data...</v>
      </c>
      <c r="Q451" t="str">
        <f>_xll.BDP("07556MEP Muni","MUNI_FED_TAX")</f>
        <v>#N/A Requesting Data...</v>
      </c>
      <c r="R451" t="str">
        <f>_xll.BDP("07556MEP Muni","MUNI_MSRB_VOLUME")</f>
        <v>#N/A Requesting Data...</v>
      </c>
      <c r="S451" t="str">
        <f>_xll.BDP("07556MEP Muni","BB_COMPOSITE")</f>
        <v>#N/A Requesting Data...</v>
      </c>
      <c r="T451" t="str">
        <f>_xll.BDP("07556MEP Muni","LQA_LIQUIDITY_SCORE")</f>
        <v>#N/A Requesting Data...</v>
      </c>
    </row>
    <row r="452" spans="1:20" x14ac:dyDescent="0.25">
      <c r="A452" t="str">
        <f>_xll.BDP("07556MEQ Muni","ID_CUSIP")</f>
        <v>#N/A Requesting Data...</v>
      </c>
      <c r="B452" t="s">
        <v>145</v>
      </c>
      <c r="C452" t="str">
        <f>_xll.BDP("07556MEQ Muni","INSURANCE_STATUS")</f>
        <v>#N/A Requesting Data...</v>
      </c>
      <c r="D452" t="str">
        <f>_xll.BDP("07556MEQ Muni","STATE_CODE")</f>
        <v>#N/A Requesting Data...</v>
      </c>
      <c r="E452" t="str">
        <f>_xll.BDP("07556MEQ Muni","COUNTY_LOCATION_ISSUER")</f>
        <v>#N/A Requesting Data...</v>
      </c>
      <c r="F452" t="str">
        <f>_xll.BDP("07556MEQ Muni","DUR_ADJ_MID")</f>
        <v>#N/A Requesting Data...</v>
      </c>
      <c r="G452" t="str">
        <f>_xll.BDP("07556MEQ Muni","SPREAD_AT_ISSUANCE_TO_WORST")</f>
        <v>#N/A Requesting Data...</v>
      </c>
      <c r="H452" t="str">
        <f>_xll.BDP("07556MEQ Muni","ISSUE_DT")</f>
        <v>#N/A Requesting Data...</v>
      </c>
      <c r="I452" t="str">
        <f>_xll.BDS("07556MEQ Muni","MUNI_PURPOSE_SCHED", "aggregate=y")</f>
        <v>#N/A Requesting Data...</v>
      </c>
      <c r="J452" t="str">
        <f>_xll.BDP("07556MEQ Muni","CPN")</f>
        <v>#N/A Requesting Data...</v>
      </c>
      <c r="K452" t="str">
        <f>_xll.BDP("07556MEQ Muni","MATURITY")</f>
        <v>#N/A Requesting Data...</v>
      </c>
      <c r="L452">
        <v>725000</v>
      </c>
      <c r="M452" t="str">
        <f>_xll.BDP("07556MEQ Muni","YIELD_ON_ISSUE_DATE")</f>
        <v>#N/A Requesting Data...</v>
      </c>
      <c r="N452" t="str">
        <f>_xll.BDP("07556MEQ Muni","YTW_SPREAD_TO_MATURITY_AT_ISSU")</f>
        <v>#N/A Requesting Data...</v>
      </c>
      <c r="O452" t="str">
        <f>_xll.BDP("07556MEQ Muni","BVAL_MID_YTM")</f>
        <v>#N/A Requesting Data...</v>
      </c>
      <c r="P452" t="str">
        <f>_xll.BDP("07556MEQ Muni","MUNI_TAX_PROV")</f>
        <v>#N/A Requesting Data...</v>
      </c>
      <c r="Q452" t="str">
        <f>_xll.BDP("07556MEQ Muni","MUNI_FED_TAX")</f>
        <v>#N/A Requesting Data...</v>
      </c>
      <c r="R452" t="str">
        <f>_xll.BDP("07556MEQ Muni","MUNI_MSRB_VOLUME")</f>
        <v>#N/A Requesting Data...</v>
      </c>
      <c r="S452" t="str">
        <f>_xll.BDP("07556MEQ Muni","BB_COMPOSITE")</f>
        <v>#N/A Requesting Data...</v>
      </c>
      <c r="T452" t="str">
        <f>_xll.BDP("07556MEQ Muni","LQA_LIQUIDITY_SCORE")</f>
        <v>#N/A Requesting Data...</v>
      </c>
    </row>
    <row r="453" spans="1:20" x14ac:dyDescent="0.25">
      <c r="A453" t="str">
        <f>_xll.BDP("07556MER Muni","ID_CUSIP")</f>
        <v>#N/A Requesting Data...</v>
      </c>
      <c r="B453" t="s">
        <v>145</v>
      </c>
      <c r="C453" t="str">
        <f>_xll.BDP("07556MER Muni","INSURANCE_STATUS")</f>
        <v>#N/A Requesting Data...</v>
      </c>
      <c r="D453" t="str">
        <f>_xll.BDP("07556MER Muni","STATE_CODE")</f>
        <v>#N/A Requesting Data...</v>
      </c>
      <c r="E453" t="str">
        <f>_xll.BDP("07556MER Muni","COUNTY_LOCATION_ISSUER")</f>
        <v>#N/A Requesting Data...</v>
      </c>
      <c r="F453" t="str">
        <f>_xll.BDP("07556MER Muni","DUR_ADJ_MID")</f>
        <v>#N/A Requesting Data...</v>
      </c>
      <c r="G453" t="str">
        <f>_xll.BDP("07556MER Muni","SPREAD_AT_ISSUANCE_TO_WORST")</f>
        <v>#N/A Requesting Data...</v>
      </c>
      <c r="H453" t="str">
        <f>_xll.BDP("07556MER Muni","ISSUE_DT")</f>
        <v>#N/A Requesting Data...</v>
      </c>
      <c r="I453" t="str">
        <f>_xll.BDS("07556MER Muni","MUNI_PURPOSE_SCHED", "aggregate=y")</f>
        <v>#N/A Requesting Data...</v>
      </c>
      <c r="J453" t="str">
        <f>_xll.BDP("07556MER Muni","CPN")</f>
        <v>#N/A Requesting Data...</v>
      </c>
      <c r="K453" t="str">
        <f>_xll.BDP("07556MER Muni","MATURITY")</f>
        <v>#N/A Requesting Data...</v>
      </c>
      <c r="L453">
        <v>760000</v>
      </c>
      <c r="M453" t="str">
        <f>_xll.BDP("07556MER Muni","YIELD_ON_ISSUE_DATE")</f>
        <v>#N/A Requesting Data...</v>
      </c>
      <c r="N453" t="str">
        <f>_xll.BDP("07556MER Muni","YTW_SPREAD_TO_MATURITY_AT_ISSU")</f>
        <v>#N/A Requesting Data...</v>
      </c>
      <c r="O453" t="str">
        <f>_xll.BDP("07556MER Muni","BVAL_MID_YTM")</f>
        <v>#N/A Requesting Data...</v>
      </c>
      <c r="P453" t="str">
        <f>_xll.BDP("07556MER Muni","MUNI_TAX_PROV")</f>
        <v>#N/A Requesting Data...</v>
      </c>
      <c r="Q453" t="str">
        <f>_xll.BDP("07556MER Muni","MUNI_FED_TAX")</f>
        <v>#N/A Requesting Data...</v>
      </c>
      <c r="R453" t="str">
        <f>_xll.BDP("07556MER Muni","MUNI_MSRB_VOLUME")</f>
        <v>#N/A Requesting Data...</v>
      </c>
      <c r="S453" t="str">
        <f>_xll.BDP("07556MER Muni","BB_COMPOSITE")</f>
        <v>#N/A Requesting Data...</v>
      </c>
      <c r="T453" t="str">
        <f>_xll.BDP("07556MER Muni","LQA_LIQUIDITY_SCORE")</f>
        <v>#N/A Requesting Data...</v>
      </c>
    </row>
    <row r="454" spans="1:20" x14ac:dyDescent="0.25">
      <c r="A454" t="str">
        <f>_xll.BDP("07556MES Muni","ID_CUSIP")</f>
        <v>#N/A Requesting Data...</v>
      </c>
      <c r="B454" t="s">
        <v>145</v>
      </c>
      <c r="C454" t="str">
        <f>_xll.BDP("07556MES Muni","INSURANCE_STATUS")</f>
        <v>#N/A Requesting Data...</v>
      </c>
      <c r="D454" t="str">
        <f>_xll.BDP("07556MES Muni","STATE_CODE")</f>
        <v>#N/A Requesting Data...</v>
      </c>
      <c r="E454" t="str">
        <f>_xll.BDP("07556MES Muni","COUNTY_LOCATION_ISSUER")</f>
        <v>#N/A Requesting Data...</v>
      </c>
      <c r="F454" t="str">
        <f>_xll.BDP("07556MES Muni","DUR_ADJ_MID")</f>
        <v>#N/A Requesting Data...</v>
      </c>
      <c r="G454" t="str">
        <f>_xll.BDP("07556MES Muni","SPREAD_AT_ISSUANCE_TO_WORST")</f>
        <v>#N/A Requesting Data...</v>
      </c>
      <c r="H454" t="str">
        <f>_xll.BDP("07556MES Muni","ISSUE_DT")</f>
        <v>#N/A Requesting Data...</v>
      </c>
      <c r="I454" t="str">
        <f>_xll.BDS("07556MES Muni","MUNI_PURPOSE_SCHED", "aggregate=y")</f>
        <v>#N/A Requesting Data...</v>
      </c>
      <c r="J454" t="str">
        <f>_xll.BDP("07556MES Muni","CPN")</f>
        <v>#N/A Requesting Data...</v>
      </c>
      <c r="K454" t="str">
        <f>_xll.BDP("07556MES Muni","MATURITY")</f>
        <v>#N/A Requesting Data...</v>
      </c>
      <c r="L454">
        <v>800000</v>
      </c>
      <c r="M454" t="str">
        <f>_xll.BDP("07556MES Muni","YIELD_ON_ISSUE_DATE")</f>
        <v>#N/A Requesting Data...</v>
      </c>
      <c r="N454" t="str">
        <f>_xll.BDP("07556MES Muni","YTW_SPREAD_TO_MATURITY_AT_ISSU")</f>
        <v>#N/A Requesting Data...</v>
      </c>
      <c r="O454" t="str">
        <f>_xll.BDP("07556MES Muni","BVAL_MID_YTM")</f>
        <v>#N/A Requesting Data...</v>
      </c>
      <c r="P454" t="str">
        <f>_xll.BDP("07556MES Muni","MUNI_TAX_PROV")</f>
        <v>#N/A Requesting Data...</v>
      </c>
      <c r="Q454" t="str">
        <f>_xll.BDP("07556MES Muni","MUNI_FED_TAX")</f>
        <v>#N/A Requesting Data...</v>
      </c>
      <c r="R454" t="str">
        <f>_xll.BDP("07556MES Muni","MUNI_MSRB_VOLUME")</f>
        <v>#N/A Requesting Data...</v>
      </c>
      <c r="S454" t="str">
        <f>_xll.BDP("07556MES Muni","BB_COMPOSITE")</f>
        <v>#N/A Requesting Data...</v>
      </c>
      <c r="T454" t="str">
        <f>_xll.BDP("07556MES Muni","LQA_LIQUIDITY_SCORE")</f>
        <v>#N/A Requesting Data...</v>
      </c>
    </row>
    <row r="455" spans="1:20" x14ac:dyDescent="0.25">
      <c r="A455" t="str">
        <f>_xll.BDP("07556MET Muni","ID_CUSIP")</f>
        <v>#N/A Requesting Data...</v>
      </c>
      <c r="B455" t="s">
        <v>145</v>
      </c>
      <c r="C455" t="str">
        <f>_xll.BDP("07556MET Muni","INSURANCE_STATUS")</f>
        <v>#N/A Requesting Data...</v>
      </c>
      <c r="D455" t="str">
        <f>_xll.BDP("07556MET Muni","STATE_CODE")</f>
        <v>#N/A Requesting Data...</v>
      </c>
      <c r="E455" t="str">
        <f>_xll.BDP("07556MET Muni","COUNTY_LOCATION_ISSUER")</f>
        <v>#N/A Requesting Data...</v>
      </c>
      <c r="F455" t="str">
        <f>_xll.BDP("07556MET Muni","DUR_ADJ_MID")</f>
        <v>#N/A Requesting Data...</v>
      </c>
      <c r="G455" t="str">
        <f>_xll.BDP("07556MET Muni","SPREAD_AT_ISSUANCE_TO_WORST")</f>
        <v>#N/A Requesting Data...</v>
      </c>
      <c r="H455" t="str">
        <f>_xll.BDP("07556MET Muni","ISSUE_DT")</f>
        <v>#N/A Requesting Data...</v>
      </c>
      <c r="I455" t="str">
        <f>_xll.BDS("07556MET Muni","MUNI_PURPOSE_SCHED", "aggregate=y")</f>
        <v>#N/A Requesting Data...</v>
      </c>
      <c r="J455" t="str">
        <f>_xll.BDP("07556MET Muni","CPN")</f>
        <v>#N/A Requesting Data...</v>
      </c>
      <c r="K455" t="str">
        <f>_xll.BDP("07556MET Muni","MATURITY")</f>
        <v>#N/A Requesting Data...</v>
      </c>
      <c r="L455">
        <v>840000</v>
      </c>
      <c r="M455" t="str">
        <f>_xll.BDP("07556MET Muni","YIELD_ON_ISSUE_DATE")</f>
        <v>#N/A Requesting Data...</v>
      </c>
      <c r="N455" t="str">
        <f>_xll.BDP("07556MET Muni","YTW_SPREAD_TO_MATURITY_AT_ISSU")</f>
        <v>#N/A Requesting Data...</v>
      </c>
      <c r="O455" t="str">
        <f>_xll.BDP("07556MET Muni","BVAL_MID_YTM")</f>
        <v>#N/A Requesting Data...</v>
      </c>
      <c r="P455" t="str">
        <f>_xll.BDP("07556MET Muni","MUNI_TAX_PROV")</f>
        <v>#N/A Requesting Data...</v>
      </c>
      <c r="Q455" t="str">
        <f>_xll.BDP("07556MET Muni","MUNI_FED_TAX")</f>
        <v>#N/A Requesting Data...</v>
      </c>
      <c r="R455" t="str">
        <f>_xll.BDP("07556MET Muni","MUNI_MSRB_VOLUME")</f>
        <v>#N/A Requesting Data...</v>
      </c>
      <c r="S455" t="str">
        <f>_xll.BDP("07556MET Muni","BB_COMPOSITE")</f>
        <v>#N/A Requesting Data...</v>
      </c>
      <c r="T455" t="str">
        <f>_xll.BDP("07556MET Muni","LQA_LIQUIDITY_SCORE")</f>
        <v>#N/A Requesting Data...</v>
      </c>
    </row>
    <row r="456" spans="1:20" x14ac:dyDescent="0.25">
      <c r="A456" t="str">
        <f>_xll.BDP("076221R9 Muni","ID_CUSIP")</f>
        <v>#N/A Requesting Data...</v>
      </c>
      <c r="B456" t="s">
        <v>146</v>
      </c>
      <c r="C456" t="str">
        <f>_xll.BDP("076221R9 Muni","INSURANCE_STATUS")</f>
        <v>#N/A Requesting Data...</v>
      </c>
      <c r="D456" t="str">
        <f>_xll.BDP("076221R9 Muni","STATE_CODE")</f>
        <v>#N/A Requesting Data...</v>
      </c>
      <c r="E456" t="str">
        <f>_xll.BDP("076221R9 Muni","COUNTY_LOCATION_ISSUER")</f>
        <v>#N/A Requesting Data...</v>
      </c>
      <c r="F456" t="str">
        <f>_xll.BDP("076221R9 Muni","DUR_ADJ_MID")</f>
        <v>#N/A Requesting Data...</v>
      </c>
      <c r="G456" t="str">
        <f>_xll.BDP("076221R9 Muni","SPREAD_AT_ISSUANCE_TO_WORST")</f>
        <v>#N/A Requesting Data...</v>
      </c>
      <c r="H456" t="str">
        <f>_xll.BDP("076221R9 Muni","ISSUE_DT")</f>
        <v>#N/A Requesting Data...</v>
      </c>
      <c r="I456" t="str">
        <f>_xll.BDS("076221R9 Muni","MUNI_PURPOSE_SCHED", "aggregate=y")</f>
        <v>#N/A Requesting Data...</v>
      </c>
      <c r="J456" t="str">
        <f>_xll.BDP("076221R9 Muni","CPN")</f>
        <v>#N/A Requesting Data...</v>
      </c>
      <c r="K456" t="str">
        <f>_xll.BDP("076221R9 Muni","MATURITY")</f>
        <v>#N/A Requesting Data...</v>
      </c>
      <c r="L456">
        <v>590000</v>
      </c>
      <c r="M456" t="str">
        <f>_xll.BDP("076221R9 Muni","YIELD_ON_ISSUE_DATE")</f>
        <v>#N/A Requesting Data...</v>
      </c>
      <c r="N456" t="str">
        <f>_xll.BDP("076221R9 Muni","YTW_SPREAD_TO_MATURITY_AT_ISSU")</f>
        <v>#N/A Requesting Data...</v>
      </c>
      <c r="O456" t="str">
        <f>_xll.BDP("076221R9 Muni","BVAL_MID_YTM")</f>
        <v>#N/A Requesting Data...</v>
      </c>
      <c r="P456" t="str">
        <f>_xll.BDP("076221R9 Muni","MUNI_TAX_PROV")</f>
        <v>#N/A Requesting Data...</v>
      </c>
      <c r="Q456" t="str">
        <f>_xll.BDP("076221R9 Muni","MUNI_FED_TAX")</f>
        <v>#N/A Requesting Data...</v>
      </c>
      <c r="R456" t="str">
        <f>_xll.BDP("076221R9 Muni","MUNI_MSRB_VOLUME")</f>
        <v>#N/A Requesting Data...</v>
      </c>
      <c r="S456" t="str">
        <f>_xll.BDP("076221R9 Muni","BB_COMPOSITE")</f>
        <v>#N/A Requesting Data...</v>
      </c>
      <c r="T456" t="str">
        <f>_xll.BDP("076221R9 Muni","LQA_LIQUIDITY_SCORE")</f>
        <v>#N/A Requesting Data...</v>
      </c>
    </row>
    <row r="457" spans="1:20" x14ac:dyDescent="0.25">
      <c r="A457" t="str">
        <f>_xll.BDP("076221S2 Muni","ID_CUSIP")</f>
        <v>#N/A Requesting Data...</v>
      </c>
      <c r="B457" t="s">
        <v>146</v>
      </c>
      <c r="C457" t="str">
        <f>_xll.BDP("076221S2 Muni","INSURANCE_STATUS")</f>
        <v>#N/A Requesting Data...</v>
      </c>
      <c r="D457" t="str">
        <f>_xll.BDP("076221S2 Muni","STATE_CODE")</f>
        <v>#N/A Requesting Data...</v>
      </c>
      <c r="E457" t="str">
        <f>_xll.BDP("076221S2 Muni","COUNTY_LOCATION_ISSUER")</f>
        <v>#N/A Requesting Data...</v>
      </c>
      <c r="F457" t="str">
        <f>_xll.BDP("076221S2 Muni","DUR_ADJ_MID")</f>
        <v>#N/A Requesting Data...</v>
      </c>
      <c r="G457" t="str">
        <f>_xll.BDP("076221S2 Muni","SPREAD_AT_ISSUANCE_TO_WORST")</f>
        <v>#N/A Requesting Data...</v>
      </c>
      <c r="H457" t="str">
        <f>_xll.BDP("076221S2 Muni","ISSUE_DT")</f>
        <v>#N/A Requesting Data...</v>
      </c>
      <c r="I457" t="str">
        <f>_xll.BDS("076221S2 Muni","MUNI_PURPOSE_SCHED", "aggregate=y")</f>
        <v>#N/A Requesting Data...</v>
      </c>
      <c r="J457" t="str">
        <f>_xll.BDP("076221S2 Muni","CPN")</f>
        <v>#N/A Requesting Data...</v>
      </c>
      <c r="K457" t="str">
        <f>_xll.BDP("076221S2 Muni","MATURITY")</f>
        <v>#N/A Requesting Data...</v>
      </c>
      <c r="L457">
        <v>590000</v>
      </c>
      <c r="M457" t="str">
        <f>_xll.BDP("076221S2 Muni","YIELD_ON_ISSUE_DATE")</f>
        <v>#N/A Requesting Data...</v>
      </c>
      <c r="N457" t="str">
        <f>_xll.BDP("076221S2 Muni","YTW_SPREAD_TO_MATURITY_AT_ISSU")</f>
        <v>#N/A Requesting Data...</v>
      </c>
      <c r="O457" t="str">
        <f>_xll.BDP("076221S2 Muni","BVAL_MID_YTM")</f>
        <v>#N/A Requesting Data...</v>
      </c>
      <c r="P457" t="str">
        <f>_xll.BDP("076221S2 Muni","MUNI_TAX_PROV")</f>
        <v>#N/A Requesting Data...</v>
      </c>
      <c r="Q457" t="str">
        <f>_xll.BDP("076221S2 Muni","MUNI_FED_TAX")</f>
        <v>#N/A Requesting Data...</v>
      </c>
      <c r="R457" t="str">
        <f>_xll.BDP("076221S2 Muni","MUNI_MSRB_VOLUME")</f>
        <v>#N/A Requesting Data...</v>
      </c>
      <c r="S457" t="str">
        <f>_xll.BDP("076221S2 Muni","BB_COMPOSITE")</f>
        <v>#N/A Requesting Data...</v>
      </c>
      <c r="T457" t="str">
        <f>_xll.BDP("076221S2 Muni","LQA_LIQUIDITY_SCORE")</f>
        <v>#N/A Requesting Data...</v>
      </c>
    </row>
    <row r="458" spans="1:20" x14ac:dyDescent="0.25">
      <c r="A458" t="str">
        <f>_xll.BDP("076221S3 Muni","ID_CUSIP")</f>
        <v>#N/A Requesting Data...</v>
      </c>
      <c r="B458" t="s">
        <v>146</v>
      </c>
      <c r="C458" t="str">
        <f>_xll.BDP("076221S3 Muni","INSURANCE_STATUS")</f>
        <v>#N/A Requesting Data...</v>
      </c>
      <c r="D458" t="str">
        <f>_xll.BDP("076221S3 Muni","STATE_CODE")</f>
        <v>#N/A Requesting Data...</v>
      </c>
      <c r="E458" t="str">
        <f>_xll.BDP("076221S3 Muni","COUNTY_LOCATION_ISSUER")</f>
        <v>#N/A Requesting Data...</v>
      </c>
      <c r="F458" t="str">
        <f>_xll.BDP("076221S3 Muni","DUR_ADJ_MID")</f>
        <v>#N/A Requesting Data...</v>
      </c>
      <c r="G458" t="str">
        <f>_xll.BDP("076221S3 Muni","SPREAD_AT_ISSUANCE_TO_WORST")</f>
        <v>#N/A Requesting Data...</v>
      </c>
      <c r="H458" t="str">
        <f>_xll.BDP("076221S3 Muni","ISSUE_DT")</f>
        <v>#N/A Requesting Data...</v>
      </c>
      <c r="I458" t="str">
        <f>_xll.BDS("076221S3 Muni","MUNI_PURPOSE_SCHED", "aggregate=y")</f>
        <v>#N/A Requesting Data...</v>
      </c>
      <c r="J458" t="str">
        <f>_xll.BDP("076221S3 Muni","CPN")</f>
        <v>#N/A Requesting Data...</v>
      </c>
      <c r="K458" t="str">
        <f>_xll.BDP("076221S3 Muni","MATURITY")</f>
        <v>#N/A Requesting Data...</v>
      </c>
      <c r="L458">
        <v>590000</v>
      </c>
      <c r="M458" t="str">
        <f>_xll.BDP("076221S3 Muni","YIELD_ON_ISSUE_DATE")</f>
        <v>#N/A Requesting Data...</v>
      </c>
      <c r="N458" t="str">
        <f>_xll.BDP("076221S3 Muni","YTW_SPREAD_TO_MATURITY_AT_ISSU")</f>
        <v>#N/A Requesting Data...</v>
      </c>
      <c r="O458" t="str">
        <f>_xll.BDP("076221S3 Muni","BVAL_MID_YTM")</f>
        <v>#N/A Requesting Data...</v>
      </c>
      <c r="P458" t="str">
        <f>_xll.BDP("076221S3 Muni","MUNI_TAX_PROV")</f>
        <v>#N/A Requesting Data...</v>
      </c>
      <c r="Q458" t="str">
        <f>_xll.BDP("076221S3 Muni","MUNI_FED_TAX")</f>
        <v>#N/A Requesting Data...</v>
      </c>
      <c r="R458" t="str">
        <f>_xll.BDP("076221S3 Muni","MUNI_MSRB_VOLUME")</f>
        <v>#N/A Requesting Data...</v>
      </c>
      <c r="S458" t="str">
        <f>_xll.BDP("076221S3 Muni","BB_COMPOSITE")</f>
        <v>#N/A Requesting Data...</v>
      </c>
      <c r="T458" t="str">
        <f>_xll.BDP("076221S3 Muni","LQA_LIQUIDITY_SCORE")</f>
        <v>#N/A Requesting Data...</v>
      </c>
    </row>
    <row r="459" spans="1:20" x14ac:dyDescent="0.25">
      <c r="A459" t="str">
        <f>_xll.BDP("076221S4 Muni","ID_CUSIP")</f>
        <v>#N/A Requesting Data...</v>
      </c>
      <c r="B459" t="s">
        <v>146</v>
      </c>
      <c r="C459" t="str">
        <f>_xll.BDP("076221S4 Muni","INSURANCE_STATUS")</f>
        <v>#N/A Requesting Data...</v>
      </c>
      <c r="D459" t="str">
        <f>_xll.BDP("076221S4 Muni","STATE_CODE")</f>
        <v>#N/A Requesting Data...</v>
      </c>
      <c r="E459" t="str">
        <f>_xll.BDP("076221S4 Muni","COUNTY_LOCATION_ISSUER")</f>
        <v>#N/A Requesting Data...</v>
      </c>
      <c r="F459" t="str">
        <f>_xll.BDP("076221S4 Muni","DUR_ADJ_MID")</f>
        <v>#N/A Requesting Data...</v>
      </c>
      <c r="G459" t="str">
        <f>_xll.BDP("076221S4 Muni","SPREAD_AT_ISSUANCE_TO_WORST")</f>
        <v>#N/A Requesting Data...</v>
      </c>
      <c r="H459" t="str">
        <f>_xll.BDP("076221S4 Muni","ISSUE_DT")</f>
        <v>#N/A Requesting Data...</v>
      </c>
      <c r="I459" t="str">
        <f>_xll.BDS("076221S4 Muni","MUNI_PURPOSE_SCHED", "aggregate=y")</f>
        <v>#N/A Requesting Data...</v>
      </c>
      <c r="J459" t="str">
        <f>_xll.BDP("076221S4 Muni","CPN")</f>
        <v>#N/A Requesting Data...</v>
      </c>
      <c r="K459" t="str">
        <f>_xll.BDP("076221S4 Muni","MATURITY")</f>
        <v>#N/A Requesting Data...</v>
      </c>
      <c r="L459">
        <v>590000</v>
      </c>
      <c r="M459" t="str">
        <f>_xll.BDP("076221S4 Muni","YIELD_ON_ISSUE_DATE")</f>
        <v>#N/A Requesting Data...</v>
      </c>
      <c r="N459" t="str">
        <f>_xll.BDP("076221S4 Muni","YTW_SPREAD_TO_MATURITY_AT_ISSU")</f>
        <v>#N/A Requesting Data...</v>
      </c>
      <c r="O459" t="str">
        <f>_xll.BDP("076221S4 Muni","BVAL_MID_YTM")</f>
        <v>#N/A Requesting Data...</v>
      </c>
      <c r="P459" t="str">
        <f>_xll.BDP("076221S4 Muni","MUNI_TAX_PROV")</f>
        <v>#N/A Requesting Data...</v>
      </c>
      <c r="Q459" t="str">
        <f>_xll.BDP("076221S4 Muni","MUNI_FED_TAX")</f>
        <v>#N/A Requesting Data...</v>
      </c>
      <c r="R459" t="str">
        <f>_xll.BDP("076221S4 Muni","MUNI_MSRB_VOLUME")</f>
        <v>#N/A Requesting Data...</v>
      </c>
      <c r="S459" t="str">
        <f>_xll.BDP("076221S4 Muni","BB_COMPOSITE")</f>
        <v>#N/A Requesting Data...</v>
      </c>
      <c r="T459" t="str">
        <f>_xll.BDP("076221S4 Muni","LQA_LIQUIDITY_SCORE")</f>
        <v>#N/A Requesting Data...</v>
      </c>
    </row>
    <row r="460" spans="1:20" x14ac:dyDescent="0.25">
      <c r="A460" t="str">
        <f>_xll.BDP("076221S5 Muni","ID_CUSIP")</f>
        <v>#N/A Requesting Data...</v>
      </c>
      <c r="B460" t="s">
        <v>146</v>
      </c>
      <c r="C460" t="str">
        <f>_xll.BDP("076221S5 Muni","INSURANCE_STATUS")</f>
        <v>#N/A Requesting Data...</v>
      </c>
      <c r="D460" t="str">
        <f>_xll.BDP("076221S5 Muni","STATE_CODE")</f>
        <v>#N/A Requesting Data...</v>
      </c>
      <c r="E460" t="str">
        <f>_xll.BDP("076221S5 Muni","COUNTY_LOCATION_ISSUER")</f>
        <v>#N/A Requesting Data...</v>
      </c>
      <c r="F460" t="str">
        <f>_xll.BDP("076221S5 Muni","DUR_ADJ_MID")</f>
        <v>#N/A Requesting Data...</v>
      </c>
      <c r="G460" t="str">
        <f>_xll.BDP("076221S5 Muni","SPREAD_AT_ISSUANCE_TO_WORST")</f>
        <v>#N/A Requesting Data...</v>
      </c>
      <c r="H460" t="str">
        <f>_xll.BDP("076221S5 Muni","ISSUE_DT")</f>
        <v>#N/A Requesting Data...</v>
      </c>
      <c r="I460" t="str">
        <f>_xll.BDS("076221S5 Muni","MUNI_PURPOSE_SCHED", "aggregate=y")</f>
        <v>#N/A Requesting Data...</v>
      </c>
      <c r="J460" t="str">
        <f>_xll.BDP("076221S5 Muni","CPN")</f>
        <v>#N/A Requesting Data...</v>
      </c>
      <c r="K460" t="str">
        <f>_xll.BDP("076221S5 Muni","MATURITY")</f>
        <v>#N/A Requesting Data...</v>
      </c>
      <c r="L460">
        <v>590000</v>
      </c>
      <c r="M460" t="str">
        <f>_xll.BDP("076221S5 Muni","YIELD_ON_ISSUE_DATE")</f>
        <v>#N/A Requesting Data...</v>
      </c>
      <c r="N460" t="str">
        <f>_xll.BDP("076221S5 Muni","YTW_SPREAD_TO_MATURITY_AT_ISSU")</f>
        <v>#N/A Requesting Data...</v>
      </c>
      <c r="O460" t="str">
        <f>_xll.BDP("076221S5 Muni","BVAL_MID_YTM")</f>
        <v>#N/A Requesting Data...</v>
      </c>
      <c r="P460" t="str">
        <f>_xll.BDP("076221S5 Muni","MUNI_TAX_PROV")</f>
        <v>#N/A Requesting Data...</v>
      </c>
      <c r="Q460" t="str">
        <f>_xll.BDP("076221S5 Muni","MUNI_FED_TAX")</f>
        <v>#N/A Requesting Data...</v>
      </c>
      <c r="R460" t="str">
        <f>_xll.BDP("076221S5 Muni","MUNI_MSRB_VOLUME")</f>
        <v>#N/A Requesting Data...</v>
      </c>
      <c r="S460" t="str">
        <f>_xll.BDP("076221S5 Muni","BB_COMPOSITE")</f>
        <v>#N/A Requesting Data...</v>
      </c>
      <c r="T460" t="str">
        <f>_xll.BDP("076221S5 Muni","LQA_LIQUIDITY_SCORE")</f>
        <v>#N/A Requesting Data...</v>
      </c>
    </row>
    <row r="461" spans="1:20" x14ac:dyDescent="0.25">
      <c r="A461" t="str">
        <f>_xll.BDP("076221S6 Muni","ID_CUSIP")</f>
        <v>#N/A Requesting Data...</v>
      </c>
      <c r="B461" t="s">
        <v>146</v>
      </c>
      <c r="C461" t="str">
        <f>_xll.BDP("076221S6 Muni","INSURANCE_STATUS")</f>
        <v>#N/A Requesting Data...</v>
      </c>
      <c r="D461" t="str">
        <f>_xll.BDP("076221S6 Muni","STATE_CODE")</f>
        <v>#N/A Requesting Data...</v>
      </c>
      <c r="E461" t="str">
        <f>_xll.BDP("076221S6 Muni","COUNTY_LOCATION_ISSUER")</f>
        <v>#N/A Requesting Data...</v>
      </c>
      <c r="F461" t="str">
        <f>_xll.BDP("076221S6 Muni","DUR_ADJ_MID")</f>
        <v>#N/A Requesting Data...</v>
      </c>
      <c r="G461" t="str">
        <f>_xll.BDP("076221S6 Muni","SPREAD_AT_ISSUANCE_TO_WORST")</f>
        <v>#N/A Requesting Data...</v>
      </c>
      <c r="H461" t="str">
        <f>_xll.BDP("076221S6 Muni","ISSUE_DT")</f>
        <v>#N/A Requesting Data...</v>
      </c>
      <c r="I461" t="str">
        <f>_xll.BDS("076221S6 Muni","MUNI_PURPOSE_SCHED", "aggregate=y")</f>
        <v>#N/A Requesting Data...</v>
      </c>
      <c r="J461" t="str">
        <f>_xll.BDP("076221S6 Muni","CPN")</f>
        <v>#N/A Requesting Data...</v>
      </c>
      <c r="K461" t="str">
        <f>_xll.BDP("076221S6 Muni","MATURITY")</f>
        <v>#N/A Requesting Data...</v>
      </c>
      <c r="L461">
        <v>590000</v>
      </c>
      <c r="M461" t="str">
        <f>_xll.BDP("076221S6 Muni","YIELD_ON_ISSUE_DATE")</f>
        <v>#N/A Requesting Data...</v>
      </c>
      <c r="N461" t="str">
        <f>_xll.BDP("076221S6 Muni","YTW_SPREAD_TO_MATURITY_AT_ISSU")</f>
        <v>#N/A Requesting Data...</v>
      </c>
      <c r="O461" t="str">
        <f>_xll.BDP("076221S6 Muni","BVAL_MID_YTM")</f>
        <v>#N/A Requesting Data...</v>
      </c>
      <c r="P461" t="str">
        <f>_xll.BDP("076221S6 Muni","MUNI_TAX_PROV")</f>
        <v>#N/A Requesting Data...</v>
      </c>
      <c r="Q461" t="str">
        <f>_xll.BDP("076221S6 Muni","MUNI_FED_TAX")</f>
        <v>#N/A Requesting Data...</v>
      </c>
      <c r="R461" t="str">
        <f>_xll.BDP("076221S6 Muni","MUNI_MSRB_VOLUME")</f>
        <v>#N/A Requesting Data...</v>
      </c>
      <c r="S461" t="str">
        <f>_xll.BDP("076221S6 Muni","BB_COMPOSITE")</f>
        <v>#N/A Requesting Data...</v>
      </c>
      <c r="T461" t="str">
        <f>_xll.BDP("076221S6 Muni","LQA_LIQUIDITY_SCORE")</f>
        <v>#N/A Requesting Data...</v>
      </c>
    </row>
    <row r="462" spans="1:20" x14ac:dyDescent="0.25">
      <c r="A462" t="str">
        <f>_xll.BDP("248379WJ Muni","ID_CUSIP")</f>
        <v>#N/A Requesting Data...</v>
      </c>
      <c r="B462" t="s">
        <v>147</v>
      </c>
      <c r="C462" t="str">
        <f>_xll.BDP("248379WJ Muni","INSURANCE_STATUS")</f>
        <v>#N/A Requesting Data...</v>
      </c>
      <c r="D462" t="str">
        <f>_xll.BDP("248379WJ Muni","STATE_CODE")</f>
        <v>#N/A Requesting Data...</v>
      </c>
      <c r="E462" t="str">
        <f>_xll.BDP("248379WJ Muni","COUNTY_LOCATION_ISSUER")</f>
        <v>#N/A Requesting Data...</v>
      </c>
      <c r="F462" t="str">
        <f>_xll.BDP("248379WJ Muni","DUR_ADJ_MID")</f>
        <v>#N/A Requesting Data...</v>
      </c>
      <c r="G462" t="str">
        <f>_xll.BDP("248379WJ Muni","SPREAD_AT_ISSUANCE_TO_WORST")</f>
        <v>#N/A Requesting Data...</v>
      </c>
      <c r="H462" t="str">
        <f>_xll.BDP("248379WJ Muni","ISSUE_DT")</f>
        <v>#N/A Requesting Data...</v>
      </c>
      <c r="I462" t="str">
        <f>_xll.BDS("248379WJ Muni","MUNI_PURPOSE_SCHED", "aggregate=y")</f>
        <v>#N/A Requesting Data...</v>
      </c>
      <c r="J462" t="str">
        <f>_xll.BDP("248379WJ Muni","CPN")</f>
        <v>#N/A Requesting Data...</v>
      </c>
      <c r="K462" t="str">
        <f>_xll.BDP("248379WJ Muni","MATURITY")</f>
        <v>#N/A Requesting Data...</v>
      </c>
      <c r="L462">
        <v>300000</v>
      </c>
      <c r="M462" t="str">
        <f>_xll.BDP("248379WJ Muni","YIELD_ON_ISSUE_DATE")</f>
        <v>#N/A Requesting Data...</v>
      </c>
      <c r="N462" t="str">
        <f>_xll.BDP("248379WJ Muni","YTW_SPREAD_TO_MATURITY_AT_ISSU")</f>
        <v>#N/A Requesting Data...</v>
      </c>
      <c r="O462" t="str">
        <f>_xll.BDP("248379WJ Muni","BVAL_MID_YTM")</f>
        <v>#N/A Requesting Data...</v>
      </c>
      <c r="P462" t="str">
        <f>_xll.BDP("248379WJ Muni","MUNI_TAX_PROV")</f>
        <v>#N/A Requesting Data...</v>
      </c>
      <c r="Q462" t="str">
        <f>_xll.BDP("248379WJ Muni","MUNI_FED_TAX")</f>
        <v>#N/A Requesting Data...</v>
      </c>
      <c r="R462" t="str">
        <f>_xll.BDP("248379WJ Muni","MUNI_MSRB_VOLUME")</f>
        <v>#N/A Requesting Data...</v>
      </c>
      <c r="S462" t="str">
        <f>_xll.BDP("248379WJ Muni","BB_COMPOSITE")</f>
        <v>#N/A Requesting Data...</v>
      </c>
      <c r="T462" t="str">
        <f>_xll.BDP("248379WJ Muni","LQA_LIQUIDITY_SCORE")</f>
        <v>#N/A Requesting Data...</v>
      </c>
    </row>
    <row r="463" spans="1:20" x14ac:dyDescent="0.25">
      <c r="A463" t="str">
        <f>_xll.BDP("248379WK Muni","ID_CUSIP")</f>
        <v>#N/A Requesting Data...</v>
      </c>
      <c r="B463" t="s">
        <v>147</v>
      </c>
      <c r="C463" t="str">
        <f>_xll.BDP("248379WK Muni","INSURANCE_STATUS")</f>
        <v>#N/A Requesting Data...</v>
      </c>
      <c r="D463" t="str">
        <f>_xll.BDP("248379WK Muni","STATE_CODE")</f>
        <v>#N/A Requesting Data...</v>
      </c>
      <c r="E463" t="str">
        <f>_xll.BDP("248379WK Muni","COUNTY_LOCATION_ISSUER")</f>
        <v>#N/A Requesting Data...</v>
      </c>
      <c r="F463" t="str">
        <f>_xll.BDP("248379WK Muni","DUR_ADJ_MID")</f>
        <v>#N/A Requesting Data...</v>
      </c>
      <c r="G463" t="str">
        <f>_xll.BDP("248379WK Muni","SPREAD_AT_ISSUANCE_TO_WORST")</f>
        <v>#N/A Requesting Data...</v>
      </c>
      <c r="H463" t="str">
        <f>_xll.BDP("248379WK Muni","ISSUE_DT")</f>
        <v>#N/A Requesting Data...</v>
      </c>
      <c r="I463" t="str">
        <f>_xll.BDS("248379WK Muni","MUNI_PURPOSE_SCHED", "aggregate=y")</f>
        <v>#N/A Requesting Data...</v>
      </c>
      <c r="J463" t="str">
        <f>_xll.BDP("248379WK Muni","CPN")</f>
        <v>#N/A Requesting Data...</v>
      </c>
      <c r="K463" t="str">
        <f>_xll.BDP("248379WK Muni","MATURITY")</f>
        <v>#N/A Requesting Data...</v>
      </c>
      <c r="L463">
        <v>315000</v>
      </c>
      <c r="M463" t="str">
        <f>_xll.BDP("248379WK Muni","YIELD_ON_ISSUE_DATE")</f>
        <v>#N/A Requesting Data...</v>
      </c>
      <c r="N463" t="str">
        <f>_xll.BDP("248379WK Muni","YTW_SPREAD_TO_MATURITY_AT_ISSU")</f>
        <v>#N/A Requesting Data...</v>
      </c>
      <c r="O463" t="str">
        <f>_xll.BDP("248379WK Muni","BVAL_MID_YTM")</f>
        <v>#N/A Requesting Data...</v>
      </c>
      <c r="P463" t="str">
        <f>_xll.BDP("248379WK Muni","MUNI_TAX_PROV")</f>
        <v>#N/A Requesting Data...</v>
      </c>
      <c r="Q463" t="str">
        <f>_xll.BDP("248379WK Muni","MUNI_FED_TAX")</f>
        <v>#N/A Requesting Data...</v>
      </c>
      <c r="R463" t="str">
        <f>_xll.BDP("248379WK Muni","MUNI_MSRB_VOLUME")</f>
        <v>#N/A Requesting Data...</v>
      </c>
      <c r="S463" t="str">
        <f>_xll.BDP("248379WK Muni","BB_COMPOSITE")</f>
        <v>#N/A Requesting Data...</v>
      </c>
      <c r="T463" t="str">
        <f>_xll.BDP("248379WK Muni","LQA_LIQUIDITY_SCORE")</f>
        <v>#N/A Requesting Data...</v>
      </c>
    </row>
    <row r="464" spans="1:20" x14ac:dyDescent="0.25">
      <c r="A464" t="str">
        <f>_xll.BDP("248379WL Muni","ID_CUSIP")</f>
        <v>#N/A Requesting Data...</v>
      </c>
      <c r="B464" t="s">
        <v>147</v>
      </c>
      <c r="C464" t="str">
        <f>_xll.BDP("248379WL Muni","INSURANCE_STATUS")</f>
        <v>#N/A Requesting Data...</v>
      </c>
      <c r="D464" t="str">
        <f>_xll.BDP("248379WL Muni","STATE_CODE")</f>
        <v>#N/A Requesting Data...</v>
      </c>
      <c r="E464" t="str">
        <f>_xll.BDP("248379WL Muni","COUNTY_LOCATION_ISSUER")</f>
        <v>#N/A Requesting Data...</v>
      </c>
      <c r="F464" t="str">
        <f>_xll.BDP("248379WL Muni","DUR_ADJ_MID")</f>
        <v>#N/A Requesting Data...</v>
      </c>
      <c r="G464" t="str">
        <f>_xll.BDP("248379WL Muni","SPREAD_AT_ISSUANCE_TO_WORST")</f>
        <v>#N/A Requesting Data...</v>
      </c>
      <c r="H464" t="str">
        <f>_xll.BDP("248379WL Muni","ISSUE_DT")</f>
        <v>#N/A Requesting Data...</v>
      </c>
      <c r="I464" t="str">
        <f>_xll.BDS("248379WL Muni","MUNI_PURPOSE_SCHED", "aggregate=y")</f>
        <v>#N/A Requesting Data...</v>
      </c>
      <c r="J464" t="str">
        <f>_xll.BDP("248379WL Muni","CPN")</f>
        <v>#N/A Requesting Data...</v>
      </c>
      <c r="K464" t="str">
        <f>_xll.BDP("248379WL Muni","MATURITY")</f>
        <v>#N/A Requesting Data...</v>
      </c>
      <c r="L464">
        <v>325000</v>
      </c>
      <c r="M464" t="str">
        <f>_xll.BDP("248379WL Muni","YIELD_ON_ISSUE_DATE")</f>
        <v>#N/A Requesting Data...</v>
      </c>
      <c r="N464" t="str">
        <f>_xll.BDP("248379WL Muni","YTW_SPREAD_TO_MATURITY_AT_ISSU")</f>
        <v>#N/A Requesting Data...</v>
      </c>
      <c r="O464" t="str">
        <f>_xll.BDP("248379WL Muni","BVAL_MID_YTM")</f>
        <v>#N/A Requesting Data...</v>
      </c>
      <c r="P464" t="str">
        <f>_xll.BDP("248379WL Muni","MUNI_TAX_PROV")</f>
        <v>#N/A Requesting Data...</v>
      </c>
      <c r="Q464" t="str">
        <f>_xll.BDP("248379WL Muni","MUNI_FED_TAX")</f>
        <v>#N/A Requesting Data...</v>
      </c>
      <c r="R464" t="str">
        <f>_xll.BDP("248379WL Muni","MUNI_MSRB_VOLUME")</f>
        <v>#N/A Requesting Data...</v>
      </c>
      <c r="S464" t="str">
        <f>_xll.BDP("248379WL Muni","BB_COMPOSITE")</f>
        <v>#N/A Requesting Data...</v>
      </c>
      <c r="T464" t="str">
        <f>_xll.BDP("248379WL Muni","LQA_LIQUIDITY_SCORE")</f>
        <v>#N/A Requesting Data...</v>
      </c>
    </row>
    <row r="465" spans="1:20" x14ac:dyDescent="0.25">
      <c r="A465" t="str">
        <f>_xll.BDP("248379WM Muni","ID_CUSIP")</f>
        <v>#N/A Requesting Data...</v>
      </c>
      <c r="B465" t="s">
        <v>147</v>
      </c>
      <c r="C465" t="str">
        <f>_xll.BDP("248379WM Muni","INSURANCE_STATUS")</f>
        <v>#N/A Requesting Data...</v>
      </c>
      <c r="D465" t="str">
        <f>_xll.BDP("248379WM Muni","STATE_CODE")</f>
        <v>#N/A Requesting Data...</v>
      </c>
      <c r="E465" t="str">
        <f>_xll.BDP("248379WM Muni","COUNTY_LOCATION_ISSUER")</f>
        <v>#N/A Requesting Data...</v>
      </c>
      <c r="F465" t="str">
        <f>_xll.BDP("248379WM Muni","DUR_ADJ_MID")</f>
        <v>#N/A Requesting Data...</v>
      </c>
      <c r="G465" t="str">
        <f>_xll.BDP("248379WM Muni","SPREAD_AT_ISSUANCE_TO_WORST")</f>
        <v>#N/A Requesting Data...</v>
      </c>
      <c r="H465" t="str">
        <f>_xll.BDP("248379WM Muni","ISSUE_DT")</f>
        <v>#N/A Requesting Data...</v>
      </c>
      <c r="I465" t="str">
        <f>_xll.BDS("248379WM Muni","MUNI_PURPOSE_SCHED", "aggregate=y")</f>
        <v>#N/A Requesting Data...</v>
      </c>
      <c r="J465" t="str">
        <f>_xll.BDP("248379WM Muni","CPN")</f>
        <v>#N/A Requesting Data...</v>
      </c>
      <c r="K465" t="str">
        <f>_xll.BDP("248379WM Muni","MATURITY")</f>
        <v>#N/A Requesting Data...</v>
      </c>
      <c r="L465">
        <v>335000</v>
      </c>
      <c r="M465" t="str">
        <f>_xll.BDP("248379WM Muni","YIELD_ON_ISSUE_DATE")</f>
        <v>#N/A Requesting Data...</v>
      </c>
      <c r="N465" t="str">
        <f>_xll.BDP("248379WM Muni","YTW_SPREAD_TO_MATURITY_AT_ISSU")</f>
        <v>#N/A Requesting Data...</v>
      </c>
      <c r="O465" t="str">
        <f>_xll.BDP("248379WM Muni","BVAL_MID_YTM")</f>
        <v>#N/A Requesting Data...</v>
      </c>
      <c r="P465" t="str">
        <f>_xll.BDP("248379WM Muni","MUNI_TAX_PROV")</f>
        <v>#N/A Requesting Data...</v>
      </c>
      <c r="Q465" t="str">
        <f>_xll.BDP("248379WM Muni","MUNI_FED_TAX")</f>
        <v>#N/A Requesting Data...</v>
      </c>
      <c r="R465" t="str">
        <f>_xll.BDP("248379WM Muni","MUNI_MSRB_VOLUME")</f>
        <v>#N/A Requesting Data...</v>
      </c>
      <c r="S465" t="str">
        <f>_xll.BDP("248379WM Muni","BB_COMPOSITE")</f>
        <v>#N/A Requesting Data...</v>
      </c>
      <c r="T465" t="str">
        <f>_xll.BDP("248379WM Muni","LQA_LIQUIDITY_SCORE")</f>
        <v>#N/A Requesting Data...</v>
      </c>
    </row>
    <row r="466" spans="1:20" x14ac:dyDescent="0.25">
      <c r="A466" t="str">
        <f>_xll.BDP("248379WN Muni","ID_CUSIP")</f>
        <v>#N/A Requesting Data...</v>
      </c>
      <c r="B466" t="s">
        <v>147</v>
      </c>
      <c r="C466" t="str">
        <f>_xll.BDP("248379WN Muni","INSURANCE_STATUS")</f>
        <v>#N/A Requesting Data...</v>
      </c>
      <c r="D466" t="str">
        <f>_xll.BDP("248379WN Muni","STATE_CODE")</f>
        <v>#N/A Requesting Data...</v>
      </c>
      <c r="E466" t="str">
        <f>_xll.BDP("248379WN Muni","COUNTY_LOCATION_ISSUER")</f>
        <v>#N/A Requesting Data...</v>
      </c>
      <c r="F466" t="str">
        <f>_xll.BDP("248379WN Muni","DUR_ADJ_MID")</f>
        <v>#N/A Requesting Data...</v>
      </c>
      <c r="G466" t="str">
        <f>_xll.BDP("248379WN Muni","SPREAD_AT_ISSUANCE_TO_WORST")</f>
        <v>#N/A Requesting Data...</v>
      </c>
      <c r="H466" t="str">
        <f>_xll.BDP("248379WN Muni","ISSUE_DT")</f>
        <v>#N/A Requesting Data...</v>
      </c>
      <c r="I466" t="str">
        <f>_xll.BDS("248379WN Muni","MUNI_PURPOSE_SCHED", "aggregate=y")</f>
        <v>#N/A Requesting Data...</v>
      </c>
      <c r="J466" t="str">
        <f>_xll.BDP("248379WN Muni","CPN")</f>
        <v>#N/A Requesting Data...</v>
      </c>
      <c r="K466" t="str">
        <f>_xll.BDP("248379WN Muni","MATURITY")</f>
        <v>#N/A Requesting Data...</v>
      </c>
      <c r="L466">
        <v>345000</v>
      </c>
      <c r="M466" t="str">
        <f>_xll.BDP("248379WN Muni","YIELD_ON_ISSUE_DATE")</f>
        <v>#N/A Requesting Data...</v>
      </c>
      <c r="N466" t="str">
        <f>_xll.BDP("248379WN Muni","YTW_SPREAD_TO_MATURITY_AT_ISSU")</f>
        <v>#N/A Requesting Data...</v>
      </c>
      <c r="O466" t="str">
        <f>_xll.BDP("248379WN Muni","BVAL_MID_YTM")</f>
        <v>#N/A Requesting Data...</v>
      </c>
      <c r="P466" t="str">
        <f>_xll.BDP("248379WN Muni","MUNI_TAX_PROV")</f>
        <v>#N/A Requesting Data...</v>
      </c>
      <c r="Q466" t="str">
        <f>_xll.BDP("248379WN Muni","MUNI_FED_TAX")</f>
        <v>#N/A Requesting Data...</v>
      </c>
      <c r="R466" t="str">
        <f>_xll.BDP("248379WN Muni","MUNI_MSRB_VOLUME")</f>
        <v>#N/A Requesting Data...</v>
      </c>
      <c r="S466" t="str">
        <f>_xll.BDP("248379WN Muni","BB_COMPOSITE")</f>
        <v>#N/A Requesting Data...</v>
      </c>
      <c r="T466" t="str">
        <f>_xll.BDP("248379WN Muni","LQA_LIQUIDITY_SCORE")</f>
        <v>#N/A Requesting Data...</v>
      </c>
    </row>
    <row r="467" spans="1:20" x14ac:dyDescent="0.25">
      <c r="A467" t="str">
        <f>_xll.BDP("24879TQK Muni","ID_CUSIP")</f>
        <v>#N/A Requesting Data...</v>
      </c>
      <c r="B467" t="s">
        <v>148</v>
      </c>
      <c r="C467" t="str">
        <f>_xll.BDP("24879TQK Muni","INSURANCE_STATUS")</f>
        <v>#N/A Requesting Data...</v>
      </c>
      <c r="D467" t="str">
        <f>_xll.BDP("24879TQK Muni","STATE_CODE")</f>
        <v>#N/A Requesting Data...</v>
      </c>
      <c r="E467" t="str">
        <f>_xll.BDP("24879TQK Muni","COUNTY_LOCATION_ISSUER")</f>
        <v>#N/A Requesting Data...</v>
      </c>
      <c r="F467" t="str">
        <f>_xll.BDP("24879TQK Muni","DUR_ADJ_MID")</f>
        <v>#N/A Requesting Data...</v>
      </c>
      <c r="G467" t="str">
        <f>_xll.BDP("24879TQK Muni","SPREAD_AT_ISSUANCE_TO_WORST")</f>
        <v>#N/A Requesting Data...</v>
      </c>
      <c r="H467" t="str">
        <f>_xll.BDP("24879TQK Muni","ISSUE_DT")</f>
        <v>#N/A Requesting Data...</v>
      </c>
      <c r="I467" t="str">
        <f>_xll.BDS("24879TQK Muni","MUNI_PURPOSE_SCHED", "aggregate=y")</f>
        <v>#N/A Requesting Data...</v>
      </c>
      <c r="J467" t="str">
        <f>_xll.BDP("24879TQK Muni","CPN")</f>
        <v>#N/A Requesting Data...</v>
      </c>
      <c r="K467" t="str">
        <f>_xll.BDP("24879TQK Muni","MATURITY")</f>
        <v>#N/A Requesting Data...</v>
      </c>
      <c r="L467">
        <v>650000</v>
      </c>
      <c r="M467" t="str">
        <f>_xll.BDP("24879TQK Muni","YIELD_ON_ISSUE_DATE")</f>
        <v>#N/A Requesting Data...</v>
      </c>
      <c r="N467" t="str">
        <f>_xll.BDP("24879TQK Muni","YTW_SPREAD_TO_MATURITY_AT_ISSU")</f>
        <v>#N/A Requesting Data...</v>
      </c>
      <c r="O467" t="str">
        <f>_xll.BDP("24879TQK Muni","BVAL_MID_YTM")</f>
        <v>#N/A Requesting Data...</v>
      </c>
      <c r="P467" t="str">
        <f>_xll.BDP("24879TQK Muni","MUNI_TAX_PROV")</f>
        <v>#N/A Requesting Data...</v>
      </c>
      <c r="Q467" t="str">
        <f>_xll.BDP("24879TQK Muni","MUNI_FED_TAX")</f>
        <v>#N/A Requesting Data...</v>
      </c>
      <c r="R467" t="str">
        <f>_xll.BDP("24879TQK Muni","MUNI_MSRB_VOLUME")</f>
        <v>#N/A Requesting Data...</v>
      </c>
      <c r="S467" t="str">
        <f>_xll.BDP("24879TQK Muni","BB_COMPOSITE")</f>
        <v>#N/A Requesting Data...</v>
      </c>
      <c r="T467" t="str">
        <f>_xll.BDP("24879TQK Muni","LQA_LIQUIDITY_SCORE")</f>
        <v>#N/A Requesting Data...</v>
      </c>
    </row>
    <row r="468" spans="1:20" x14ac:dyDescent="0.25">
      <c r="A468" t="str">
        <f>_xll.BDP("24879TQL Muni","ID_CUSIP")</f>
        <v>#N/A Requesting Data...</v>
      </c>
      <c r="B468" t="s">
        <v>148</v>
      </c>
      <c r="C468" t="str">
        <f>_xll.BDP("24879TQL Muni","INSURANCE_STATUS")</f>
        <v>#N/A Requesting Data...</v>
      </c>
      <c r="D468" t="str">
        <f>_xll.BDP("24879TQL Muni","STATE_CODE")</f>
        <v>#N/A Requesting Data...</v>
      </c>
      <c r="E468" t="str">
        <f>_xll.BDP("24879TQL Muni","COUNTY_LOCATION_ISSUER")</f>
        <v>#N/A Requesting Data...</v>
      </c>
      <c r="F468" t="str">
        <f>_xll.BDP("24879TQL Muni","DUR_ADJ_MID")</f>
        <v>#N/A Requesting Data...</v>
      </c>
      <c r="G468" t="str">
        <f>_xll.BDP("24879TQL Muni","SPREAD_AT_ISSUANCE_TO_WORST")</f>
        <v>#N/A Requesting Data...</v>
      </c>
      <c r="H468" t="str">
        <f>_xll.BDP("24879TQL Muni","ISSUE_DT")</f>
        <v>#N/A Requesting Data...</v>
      </c>
      <c r="I468" t="str">
        <f>_xll.BDS("24879TQL Muni","MUNI_PURPOSE_SCHED", "aggregate=y")</f>
        <v>#N/A Requesting Data...</v>
      </c>
      <c r="J468" t="str">
        <f>_xll.BDP("24879TQL Muni","CPN")</f>
        <v>#N/A Requesting Data...</v>
      </c>
      <c r="K468" t="str">
        <f>_xll.BDP("24879TQL Muni","MATURITY")</f>
        <v>#N/A Requesting Data...</v>
      </c>
      <c r="L468">
        <v>650000</v>
      </c>
      <c r="M468" t="str">
        <f>_xll.BDP("24879TQL Muni","YIELD_ON_ISSUE_DATE")</f>
        <v>#N/A Requesting Data...</v>
      </c>
      <c r="N468" t="str">
        <f>_xll.BDP("24879TQL Muni","YTW_SPREAD_TO_MATURITY_AT_ISSU")</f>
        <v>#N/A Requesting Data...</v>
      </c>
      <c r="O468" t="str">
        <f>_xll.BDP("24879TQL Muni","BVAL_MID_YTM")</f>
        <v>#N/A Requesting Data...</v>
      </c>
      <c r="P468" t="str">
        <f>_xll.BDP("24879TQL Muni","MUNI_TAX_PROV")</f>
        <v>#N/A Requesting Data...</v>
      </c>
      <c r="Q468" t="str">
        <f>_xll.BDP("24879TQL Muni","MUNI_FED_TAX")</f>
        <v>#N/A Requesting Data...</v>
      </c>
      <c r="R468" t="str">
        <f>_xll.BDP("24879TQL Muni","MUNI_MSRB_VOLUME")</f>
        <v>#N/A Requesting Data...</v>
      </c>
      <c r="S468" t="str">
        <f>_xll.BDP("24879TQL Muni","BB_COMPOSITE")</f>
        <v>#N/A Requesting Data...</v>
      </c>
      <c r="T468" t="str">
        <f>_xll.BDP("24879TQL Muni","LQA_LIQUIDITY_SCORE")</f>
        <v>#N/A Requesting Data...</v>
      </c>
    </row>
    <row r="469" spans="1:20" x14ac:dyDescent="0.25">
      <c r="A469" t="str">
        <f>_xll.BDP("24879TQM Muni","ID_CUSIP")</f>
        <v>#N/A Requesting Data...</v>
      </c>
      <c r="B469" t="s">
        <v>148</v>
      </c>
      <c r="C469" t="str">
        <f>_xll.BDP("24879TQM Muni","INSURANCE_STATUS")</f>
        <v>#N/A Requesting Data...</v>
      </c>
      <c r="D469" t="str">
        <f>_xll.BDP("24879TQM Muni","STATE_CODE")</f>
        <v>#N/A Requesting Data...</v>
      </c>
      <c r="E469" t="str">
        <f>_xll.BDP("24879TQM Muni","COUNTY_LOCATION_ISSUER")</f>
        <v>#N/A Requesting Data...</v>
      </c>
      <c r="F469" t="str">
        <f>_xll.BDP("24879TQM Muni","DUR_ADJ_MID")</f>
        <v>#N/A Requesting Data...</v>
      </c>
      <c r="G469" t="str">
        <f>_xll.BDP("24879TQM Muni","SPREAD_AT_ISSUANCE_TO_WORST")</f>
        <v>#N/A Requesting Data...</v>
      </c>
      <c r="H469" t="str">
        <f>_xll.BDP("24879TQM Muni","ISSUE_DT")</f>
        <v>#N/A Requesting Data...</v>
      </c>
      <c r="I469" t="str">
        <f>_xll.BDS("24879TQM Muni","MUNI_PURPOSE_SCHED", "aggregate=y")</f>
        <v>#N/A Requesting Data...</v>
      </c>
      <c r="J469" t="str">
        <f>_xll.BDP("24879TQM Muni","CPN")</f>
        <v>#N/A Requesting Data...</v>
      </c>
      <c r="K469" t="str">
        <f>_xll.BDP("24879TQM Muni","MATURITY")</f>
        <v>#N/A Requesting Data...</v>
      </c>
      <c r="L469">
        <v>650000</v>
      </c>
      <c r="M469" t="str">
        <f>_xll.BDP("24879TQM Muni","YIELD_ON_ISSUE_DATE")</f>
        <v>#N/A Requesting Data...</v>
      </c>
      <c r="N469" t="str">
        <f>_xll.BDP("24879TQM Muni","YTW_SPREAD_TO_MATURITY_AT_ISSU")</f>
        <v>#N/A Requesting Data...</v>
      </c>
      <c r="O469" t="str">
        <f>_xll.BDP("24879TQM Muni","BVAL_MID_YTM")</f>
        <v>#N/A Requesting Data...</v>
      </c>
      <c r="P469" t="str">
        <f>_xll.BDP("24879TQM Muni","MUNI_TAX_PROV")</f>
        <v>#N/A Requesting Data...</v>
      </c>
      <c r="Q469" t="str">
        <f>_xll.BDP("24879TQM Muni","MUNI_FED_TAX")</f>
        <v>#N/A Requesting Data...</v>
      </c>
      <c r="R469" t="str">
        <f>_xll.BDP("24879TQM Muni","MUNI_MSRB_VOLUME")</f>
        <v>#N/A Requesting Data...</v>
      </c>
      <c r="S469" t="str">
        <f>_xll.BDP("24879TQM Muni","BB_COMPOSITE")</f>
        <v>#N/A Requesting Data...</v>
      </c>
      <c r="T469" t="str">
        <f>_xll.BDP("24879TQM Muni","LQA_LIQUIDITY_SCORE")</f>
        <v>#N/A Requesting Data...</v>
      </c>
    </row>
    <row r="470" spans="1:20" x14ac:dyDescent="0.25">
      <c r="A470" t="str">
        <f>_xll.BDP("24879TQN Muni","ID_CUSIP")</f>
        <v>#N/A Requesting Data...</v>
      </c>
      <c r="B470" t="s">
        <v>148</v>
      </c>
      <c r="C470" t="str">
        <f>_xll.BDP("24879TQN Muni","INSURANCE_STATUS")</f>
        <v>#N/A Requesting Data...</v>
      </c>
      <c r="D470" t="str">
        <f>_xll.BDP("24879TQN Muni","STATE_CODE")</f>
        <v>#N/A Requesting Data...</v>
      </c>
      <c r="E470" t="str">
        <f>_xll.BDP("24879TQN Muni","COUNTY_LOCATION_ISSUER")</f>
        <v>#N/A Requesting Data...</v>
      </c>
      <c r="F470" t="str">
        <f>_xll.BDP("24879TQN Muni","DUR_ADJ_MID")</f>
        <v>#N/A Requesting Data...</v>
      </c>
      <c r="G470" t="str">
        <f>_xll.BDP("24879TQN Muni","SPREAD_AT_ISSUANCE_TO_WORST")</f>
        <v>#N/A Requesting Data...</v>
      </c>
      <c r="H470" t="str">
        <f>_xll.BDP("24879TQN Muni","ISSUE_DT")</f>
        <v>#N/A Requesting Data...</v>
      </c>
      <c r="I470" t="str">
        <f>_xll.BDS("24879TQN Muni","MUNI_PURPOSE_SCHED", "aggregate=y")</f>
        <v>#N/A Requesting Data...</v>
      </c>
      <c r="J470" t="str">
        <f>_xll.BDP("24879TQN Muni","CPN")</f>
        <v>#N/A Requesting Data...</v>
      </c>
      <c r="K470" t="str">
        <f>_xll.BDP("24879TQN Muni","MATURITY")</f>
        <v>#N/A Requesting Data...</v>
      </c>
      <c r="L470">
        <v>650000</v>
      </c>
      <c r="M470" t="str">
        <f>_xll.BDP("24879TQN Muni","YIELD_ON_ISSUE_DATE")</f>
        <v>#N/A Requesting Data...</v>
      </c>
      <c r="N470" t="str">
        <f>_xll.BDP("24879TQN Muni","YTW_SPREAD_TO_MATURITY_AT_ISSU")</f>
        <v>#N/A Requesting Data...</v>
      </c>
      <c r="O470" t="str">
        <f>_xll.BDP("24879TQN Muni","BVAL_MID_YTM")</f>
        <v>#N/A Requesting Data...</v>
      </c>
      <c r="P470" t="str">
        <f>_xll.BDP("24879TQN Muni","MUNI_TAX_PROV")</f>
        <v>#N/A Requesting Data...</v>
      </c>
      <c r="Q470" t="str">
        <f>_xll.BDP("24879TQN Muni","MUNI_FED_TAX")</f>
        <v>#N/A Requesting Data...</v>
      </c>
      <c r="R470" t="str">
        <f>_xll.BDP("24879TQN Muni","MUNI_MSRB_VOLUME")</f>
        <v>#N/A Requesting Data...</v>
      </c>
      <c r="S470" t="str">
        <f>_xll.BDP("24879TQN Muni","BB_COMPOSITE")</f>
        <v>#N/A Requesting Data...</v>
      </c>
      <c r="T470" t="str">
        <f>_xll.BDP("24879TQN Muni","LQA_LIQUIDITY_SCORE")</f>
        <v>#N/A Requesting Data...</v>
      </c>
    </row>
    <row r="471" spans="1:20" x14ac:dyDescent="0.25">
      <c r="A471" t="str">
        <f>_xll.BDP("24879YNX Muni","ID_CUSIP")</f>
        <v>#N/A Requesting Data...</v>
      </c>
      <c r="B471" t="s">
        <v>149</v>
      </c>
      <c r="C471" t="str">
        <f>_xll.BDP("24879YNX Muni","INSURANCE_STATUS")</f>
        <v>#N/A Requesting Data...</v>
      </c>
      <c r="D471" t="str">
        <f>_xll.BDP("24879YNX Muni","STATE_CODE")</f>
        <v>#N/A Requesting Data...</v>
      </c>
      <c r="E471" t="str">
        <f>_xll.BDP("24879YNX Muni","COUNTY_LOCATION_ISSUER")</f>
        <v>#N/A Requesting Data...</v>
      </c>
      <c r="F471" t="str">
        <f>_xll.BDP("24879YNX Muni","DUR_ADJ_MID")</f>
        <v>#N/A Requesting Data...</v>
      </c>
      <c r="G471" t="str">
        <f>_xll.BDP("24879YNX Muni","SPREAD_AT_ISSUANCE_TO_WORST")</f>
        <v>#N/A Requesting Data...</v>
      </c>
      <c r="H471" t="str">
        <f>_xll.BDP("24879YNX Muni","ISSUE_DT")</f>
        <v>#N/A Requesting Data...</v>
      </c>
      <c r="I471" t="str">
        <f>_xll.BDS("24879YNX Muni","MUNI_PURPOSE_SCHED", "aggregate=y")</f>
        <v>#N/A Requesting Data...</v>
      </c>
      <c r="J471" t="str">
        <f>_xll.BDP("24879YNX Muni","CPN")</f>
        <v>#N/A Requesting Data...</v>
      </c>
      <c r="K471" t="str">
        <f>_xll.BDP("24879YNX Muni","MATURITY")</f>
        <v>#N/A Requesting Data...</v>
      </c>
      <c r="L471">
        <v>345000</v>
      </c>
      <c r="M471" t="str">
        <f>_xll.BDP("24879YNX Muni","YIELD_ON_ISSUE_DATE")</f>
        <v>#N/A Requesting Data...</v>
      </c>
      <c r="N471" t="str">
        <f>_xll.BDP("24879YNX Muni","YTW_SPREAD_TO_MATURITY_AT_ISSU")</f>
        <v>#N/A Requesting Data...</v>
      </c>
      <c r="O471" t="str">
        <f>_xll.BDP("24879YNX Muni","BVAL_MID_YTM")</f>
        <v>#N/A Requesting Data...</v>
      </c>
      <c r="P471" t="str">
        <f>_xll.BDP("24879YNX Muni","MUNI_TAX_PROV")</f>
        <v>#N/A Requesting Data...</v>
      </c>
      <c r="Q471" t="str">
        <f>_xll.BDP("24879YNX Muni","MUNI_FED_TAX")</f>
        <v>#N/A Requesting Data...</v>
      </c>
      <c r="R471" t="str">
        <f>_xll.BDP("24879YNX Muni","MUNI_MSRB_VOLUME")</f>
        <v>#N/A Requesting Data...</v>
      </c>
      <c r="S471" t="str">
        <f>_xll.BDP("24879YNX Muni","BB_COMPOSITE")</f>
        <v>#N/A Requesting Data...</v>
      </c>
      <c r="T471" t="str">
        <f>_xll.BDP("24879YNX Muni","LQA_LIQUIDITY_SCORE")</f>
        <v>#N/A Requesting Data...</v>
      </c>
    </row>
    <row r="472" spans="1:20" x14ac:dyDescent="0.25">
      <c r="A472" t="str">
        <f>_xll.BDP("24880EDA Muni","ID_CUSIP")</f>
        <v>#N/A Requesting Data...</v>
      </c>
      <c r="B472" t="s">
        <v>23</v>
      </c>
      <c r="C472" t="str">
        <f>_xll.BDP("24880EDA Muni","INSURANCE_STATUS")</f>
        <v>#N/A Requesting Data...</v>
      </c>
      <c r="D472" t="str">
        <f>_xll.BDP("24880EDA Muni","STATE_CODE")</f>
        <v>#N/A Requesting Data...</v>
      </c>
      <c r="E472" t="str">
        <f>_xll.BDP("24880EDA Muni","COUNTY_LOCATION_ISSUER")</f>
        <v>#N/A Requesting Data...</v>
      </c>
      <c r="F472" t="str">
        <f>_xll.BDP("24880EDA Muni","DUR_ADJ_MID")</f>
        <v>#N/A Requesting Data...</v>
      </c>
      <c r="G472" t="str">
        <f>_xll.BDP("24880EDA Muni","SPREAD_AT_ISSUANCE_TO_WORST")</f>
        <v>#N/A Requesting Data...</v>
      </c>
      <c r="H472" t="str">
        <f>_xll.BDP("24880EDA Muni","ISSUE_DT")</f>
        <v>#N/A Requesting Data...</v>
      </c>
      <c r="I472" t="str">
        <f>_xll.BDS("24880EDA Muni","MUNI_PURPOSE_SCHED", "aggregate=y")</f>
        <v>#N/A Requesting Data...</v>
      </c>
      <c r="J472" t="str">
        <f>_xll.BDP("24880EDA Muni","CPN")</f>
        <v>#N/A Requesting Data...</v>
      </c>
      <c r="K472" t="str">
        <f>_xll.BDP("24880EDA Muni","MATURITY")</f>
        <v>#N/A Requesting Data...</v>
      </c>
      <c r="L472">
        <v>95000</v>
      </c>
      <c r="M472" t="str">
        <f>_xll.BDP("24880EDA Muni","YIELD_ON_ISSUE_DATE")</f>
        <v>#N/A Requesting Data...</v>
      </c>
      <c r="N472" t="str">
        <f>_xll.BDP("24880EDA Muni","YTW_SPREAD_TO_MATURITY_AT_ISSU")</f>
        <v>#N/A Requesting Data...</v>
      </c>
      <c r="O472" t="str">
        <f>_xll.BDP("24880EDA Muni","BVAL_MID_YTM")</f>
        <v>#N/A Requesting Data...</v>
      </c>
      <c r="P472" t="str">
        <f>_xll.BDP("24880EDA Muni","MUNI_TAX_PROV")</f>
        <v>#N/A Requesting Data...</v>
      </c>
      <c r="Q472" t="str">
        <f>_xll.BDP("24880EDA Muni","MUNI_FED_TAX")</f>
        <v>#N/A Requesting Data...</v>
      </c>
      <c r="R472" t="str">
        <f>_xll.BDP("24880EDA Muni","MUNI_MSRB_VOLUME")</f>
        <v>#N/A Requesting Data...</v>
      </c>
      <c r="S472" t="str">
        <f>_xll.BDP("24880EDA Muni","BB_COMPOSITE")</f>
        <v>#N/A Requesting Data...</v>
      </c>
      <c r="T472" t="str">
        <f>_xll.BDP("24880EDA Muni","LQA_LIQUIDITY_SCORE")</f>
        <v>#N/A Requesting Data...</v>
      </c>
    </row>
    <row r="473" spans="1:20" x14ac:dyDescent="0.25">
      <c r="A473" t="str">
        <f>_xll.BDP("221843EB Muni","ID_CUSIP")</f>
        <v>#N/A Requesting Data...</v>
      </c>
      <c r="B473" t="s">
        <v>24</v>
      </c>
      <c r="C473" t="str">
        <f>_xll.BDP("221843EB Muni","INSURANCE_STATUS")</f>
        <v>#N/A Requesting Data...</v>
      </c>
      <c r="D473" t="str">
        <f>_xll.BDP("221843EB Muni","STATE_CODE")</f>
        <v>#N/A Requesting Data...</v>
      </c>
      <c r="E473" t="str">
        <f>_xll.BDP("221843EB Muni","COUNTY_LOCATION_ISSUER")</f>
        <v>#N/A Requesting Data...</v>
      </c>
      <c r="F473" t="str">
        <f>_xll.BDP("221843EB Muni","DUR_ADJ_MID")</f>
        <v>#N/A Requesting Data...</v>
      </c>
      <c r="G473" t="str">
        <f>_xll.BDP("221843EB Muni","SPREAD_AT_ISSUANCE_TO_WORST")</f>
        <v>#N/A Requesting Data...</v>
      </c>
      <c r="H473" t="str">
        <f>_xll.BDP("221843EB Muni","ISSUE_DT")</f>
        <v>#N/A Requesting Data...</v>
      </c>
      <c r="I473" t="str">
        <f>_xll.BDS("221843EB Muni","MUNI_PURPOSE_SCHED", "aggregate=y")</f>
        <v>#N/A Requesting Data...</v>
      </c>
      <c r="J473" t="str">
        <f>_xll.BDP("221843EB Muni","CPN")</f>
        <v>#N/A Requesting Data...</v>
      </c>
      <c r="K473" t="str">
        <f>_xll.BDP("221843EB Muni","MATURITY")</f>
        <v>#N/A Requesting Data...</v>
      </c>
      <c r="L473">
        <v>105000</v>
      </c>
      <c r="M473" t="str">
        <f>_xll.BDP("221843EB Muni","YIELD_ON_ISSUE_DATE")</f>
        <v>#N/A Requesting Data...</v>
      </c>
      <c r="N473" t="str">
        <f>_xll.BDP("221843EB Muni","YTW_SPREAD_TO_MATURITY_AT_ISSU")</f>
        <v>#N/A Requesting Data...</v>
      </c>
      <c r="O473" t="str">
        <f>_xll.BDP("221843EB Muni","BVAL_MID_YTM")</f>
        <v>#N/A Requesting Data...</v>
      </c>
      <c r="P473" t="str">
        <f>_xll.BDP("221843EB Muni","MUNI_TAX_PROV")</f>
        <v>#N/A Requesting Data...</v>
      </c>
      <c r="Q473" t="str">
        <f>_xll.BDP("221843EB Muni","MUNI_FED_TAX")</f>
        <v>#N/A Requesting Data...</v>
      </c>
      <c r="R473" t="str">
        <f>_xll.BDP("221843EB Muni","MUNI_MSRB_VOLUME")</f>
        <v>#N/A Requesting Data...</v>
      </c>
      <c r="S473" t="str">
        <f>_xll.BDP("221843EB Muni","BB_COMPOSITE")</f>
        <v>#N/A Requesting Data...</v>
      </c>
      <c r="T473" t="str">
        <f>_xll.BDP("221843EB Muni","LQA_LIQUIDITY_SCORE")</f>
        <v>#N/A Requesting Data...</v>
      </c>
    </row>
    <row r="474" spans="1:20" x14ac:dyDescent="0.25">
      <c r="A474" t="str">
        <f>_xll.BDP("221843ED Muni","ID_CUSIP")</f>
        <v>#N/A Requesting Data...</v>
      </c>
      <c r="B474" t="s">
        <v>24</v>
      </c>
      <c r="C474" t="str">
        <f>_xll.BDP("221843ED Muni","INSURANCE_STATUS")</f>
        <v>#N/A Requesting Data...</v>
      </c>
      <c r="D474" t="str">
        <f>_xll.BDP("221843ED Muni","STATE_CODE")</f>
        <v>#N/A Requesting Data...</v>
      </c>
      <c r="E474" t="str">
        <f>_xll.BDP("221843ED Muni","COUNTY_LOCATION_ISSUER")</f>
        <v>#N/A Requesting Data...</v>
      </c>
      <c r="F474" t="str">
        <f>_xll.BDP("221843ED Muni","DUR_ADJ_MID")</f>
        <v>#N/A Requesting Data...</v>
      </c>
      <c r="G474" t="str">
        <f>_xll.BDP("221843ED Muni","SPREAD_AT_ISSUANCE_TO_WORST")</f>
        <v>#N/A Requesting Data...</v>
      </c>
      <c r="H474" t="str">
        <f>_xll.BDP("221843ED Muni","ISSUE_DT")</f>
        <v>#N/A Requesting Data...</v>
      </c>
      <c r="I474" t="str">
        <f>_xll.BDS("221843ED Muni","MUNI_PURPOSE_SCHED", "aggregate=y")</f>
        <v>#N/A Requesting Data...</v>
      </c>
      <c r="J474" t="str">
        <f>_xll.BDP("221843ED Muni","CPN")</f>
        <v>#N/A Requesting Data...</v>
      </c>
      <c r="K474" t="str">
        <f>_xll.BDP("221843ED Muni","MATURITY")</f>
        <v>#N/A Requesting Data...</v>
      </c>
      <c r="L474">
        <v>115000</v>
      </c>
      <c r="M474" t="str">
        <f>_xll.BDP("221843ED Muni","YIELD_ON_ISSUE_DATE")</f>
        <v>#N/A Requesting Data...</v>
      </c>
      <c r="N474" t="str">
        <f>_xll.BDP("221843ED Muni","YTW_SPREAD_TO_MATURITY_AT_ISSU")</f>
        <v>#N/A Requesting Data...</v>
      </c>
      <c r="O474" t="str">
        <f>_xll.BDP("221843ED Muni","BVAL_MID_YTM")</f>
        <v>#N/A Requesting Data...</v>
      </c>
      <c r="P474" t="str">
        <f>_xll.BDP("221843ED Muni","MUNI_TAX_PROV")</f>
        <v>#N/A Requesting Data...</v>
      </c>
      <c r="Q474" t="str">
        <f>_xll.BDP("221843ED Muni","MUNI_FED_TAX")</f>
        <v>#N/A Requesting Data...</v>
      </c>
      <c r="R474" t="str">
        <f>_xll.BDP("221843ED Muni","MUNI_MSRB_VOLUME")</f>
        <v>#N/A Requesting Data...</v>
      </c>
      <c r="S474" t="str">
        <f>_xll.BDP("221843ED Muni","BB_COMPOSITE")</f>
        <v>#N/A Requesting Data...</v>
      </c>
      <c r="T474" t="str">
        <f>_xll.BDP("221843ED Muni","LQA_LIQUIDITY_SCORE")</f>
        <v>#N/A Requesting Data...</v>
      </c>
    </row>
    <row r="475" spans="1:20" x14ac:dyDescent="0.25">
      <c r="A475" t="str">
        <f>_xll.BDP("112857EQ Muni","ID_CUSIP")</f>
        <v>#N/A Requesting Data...</v>
      </c>
      <c r="B475" t="s">
        <v>116</v>
      </c>
      <c r="C475" t="str">
        <f>_xll.BDP("112857EQ Muni","INSURANCE_STATUS")</f>
        <v>#N/A Requesting Data...</v>
      </c>
      <c r="D475" t="str">
        <f>_xll.BDP("112857EQ Muni","STATE_CODE")</f>
        <v>#N/A Requesting Data...</v>
      </c>
      <c r="E475" t="str">
        <f>_xll.BDP("112857EQ Muni","COUNTY_LOCATION_ISSUER")</f>
        <v>#N/A Requesting Data...</v>
      </c>
      <c r="F475" t="str">
        <f>_xll.BDP("112857EQ Muni","DUR_ADJ_MID")</f>
        <v>#N/A Requesting Data...</v>
      </c>
      <c r="G475" t="str">
        <f>_xll.BDP("112857EQ Muni","SPREAD_AT_ISSUANCE_TO_WORST")</f>
        <v>#N/A Requesting Data...</v>
      </c>
      <c r="H475" t="str">
        <f>_xll.BDP("112857EQ Muni","ISSUE_DT")</f>
        <v>#N/A Requesting Data...</v>
      </c>
      <c r="I475" t="str">
        <f>_xll.BDS("112857EQ Muni","MUNI_PURPOSE_SCHED", "aggregate=y")</f>
        <v>#N/A Requesting Data...</v>
      </c>
      <c r="J475" t="str">
        <f>_xll.BDP("112857EQ Muni","CPN")</f>
        <v>#N/A Requesting Data...</v>
      </c>
      <c r="K475" t="str">
        <f>_xll.BDP("112857EQ Muni","MATURITY")</f>
        <v>#N/A Requesting Data...</v>
      </c>
      <c r="L475">
        <v>400000</v>
      </c>
      <c r="M475" t="str">
        <f>_xll.BDP("112857EQ Muni","YIELD_ON_ISSUE_DATE")</f>
        <v>#N/A Requesting Data...</v>
      </c>
      <c r="N475" t="str">
        <f>_xll.BDP("112857EQ Muni","YTW_SPREAD_TO_MATURITY_AT_ISSU")</f>
        <v>#N/A Requesting Data...</v>
      </c>
      <c r="O475" t="str">
        <f>_xll.BDP("112857EQ Muni","BVAL_MID_YTM")</f>
        <v>#N/A Requesting Data...</v>
      </c>
      <c r="P475" t="str">
        <f>_xll.BDP("112857EQ Muni","MUNI_TAX_PROV")</f>
        <v>#N/A Requesting Data...</v>
      </c>
      <c r="Q475" t="str">
        <f>_xll.BDP("112857EQ Muni","MUNI_FED_TAX")</f>
        <v>#N/A Requesting Data...</v>
      </c>
      <c r="R475" t="str">
        <f>_xll.BDP("112857EQ Muni","MUNI_MSRB_VOLUME")</f>
        <v>#N/A Requesting Data...</v>
      </c>
      <c r="S475" t="str">
        <f>_xll.BDP("112857EQ Muni","BB_COMPOSITE")</f>
        <v>#N/A Requesting Data...</v>
      </c>
      <c r="T475" t="str">
        <f>_xll.BDP("112857EQ Muni","LQA_LIQUIDITY_SCORE")</f>
        <v>#N/A Requesting Data...</v>
      </c>
    </row>
    <row r="476" spans="1:20" x14ac:dyDescent="0.25">
      <c r="A476" t="str">
        <f>_xll.BDP("112857ES Muni","ID_CUSIP")</f>
        <v>#N/A Requesting Data...</v>
      </c>
      <c r="B476" t="s">
        <v>116</v>
      </c>
      <c r="C476" t="str">
        <f>_xll.BDP("112857ES Muni","INSURANCE_STATUS")</f>
        <v>#N/A Requesting Data...</v>
      </c>
      <c r="D476" t="str">
        <f>_xll.BDP("112857ES Muni","STATE_CODE")</f>
        <v>#N/A Requesting Data...</v>
      </c>
      <c r="E476" t="str">
        <f>_xll.BDP("112857ES Muni","COUNTY_LOCATION_ISSUER")</f>
        <v>#N/A Requesting Data...</v>
      </c>
      <c r="F476" t="str">
        <f>_xll.BDP("112857ES Muni","DUR_ADJ_MID")</f>
        <v>#N/A Requesting Data...</v>
      </c>
      <c r="G476" t="str">
        <f>_xll.BDP("112857ES Muni","SPREAD_AT_ISSUANCE_TO_WORST")</f>
        <v>#N/A Requesting Data...</v>
      </c>
      <c r="H476" t="str">
        <f>_xll.BDP("112857ES Muni","ISSUE_DT")</f>
        <v>#N/A Requesting Data...</v>
      </c>
      <c r="I476" t="str">
        <f>_xll.BDS("112857ES Muni","MUNI_PURPOSE_SCHED", "aggregate=y")</f>
        <v>#N/A Requesting Data...</v>
      </c>
      <c r="J476" t="str">
        <f>_xll.BDP("112857ES Muni","CPN")</f>
        <v>#N/A Requesting Data...</v>
      </c>
      <c r="K476" t="str">
        <f>_xll.BDP("112857ES Muni","MATURITY")</f>
        <v>#N/A Requesting Data...</v>
      </c>
      <c r="L476">
        <v>400000</v>
      </c>
      <c r="M476" t="str">
        <f>_xll.BDP("112857ES Muni","YIELD_ON_ISSUE_DATE")</f>
        <v>#N/A Requesting Data...</v>
      </c>
      <c r="N476" t="str">
        <f>_xll.BDP("112857ES Muni","YTW_SPREAD_TO_MATURITY_AT_ISSU")</f>
        <v>#N/A Requesting Data...</v>
      </c>
      <c r="O476" t="str">
        <f>_xll.BDP("112857ES Muni","BVAL_MID_YTM")</f>
        <v>#N/A Requesting Data...</v>
      </c>
      <c r="P476" t="str">
        <f>_xll.BDP("112857ES Muni","MUNI_TAX_PROV")</f>
        <v>#N/A Requesting Data...</v>
      </c>
      <c r="Q476" t="str">
        <f>_xll.BDP("112857ES Muni","MUNI_FED_TAX")</f>
        <v>#N/A Requesting Data...</v>
      </c>
      <c r="R476" t="str">
        <f>_xll.BDP("112857ES Muni","MUNI_MSRB_VOLUME")</f>
        <v>#N/A Requesting Data...</v>
      </c>
      <c r="S476" t="str">
        <f>_xll.BDP("112857ES Muni","BB_COMPOSITE")</f>
        <v>#N/A Requesting Data...</v>
      </c>
      <c r="T476" t="str">
        <f>_xll.BDP("112857ES Muni","LQA_LIQUIDITY_SCORE")</f>
        <v>#N/A Requesting Data...</v>
      </c>
    </row>
    <row r="477" spans="1:20" x14ac:dyDescent="0.25">
      <c r="A477" t="str">
        <f>_xll.BDP("112857ET Muni","ID_CUSIP")</f>
        <v>#N/A Requesting Data...</v>
      </c>
      <c r="B477" t="s">
        <v>116</v>
      </c>
      <c r="C477" t="str">
        <f>_xll.BDP("112857ET Muni","INSURANCE_STATUS")</f>
        <v>#N/A Requesting Data...</v>
      </c>
      <c r="D477" t="str">
        <f>_xll.BDP("112857ET Muni","STATE_CODE")</f>
        <v>#N/A Requesting Data...</v>
      </c>
      <c r="E477" t="str">
        <f>_xll.BDP("112857ET Muni","COUNTY_LOCATION_ISSUER")</f>
        <v>#N/A Requesting Data...</v>
      </c>
      <c r="F477" t="str">
        <f>_xll.BDP("112857ET Muni","DUR_ADJ_MID")</f>
        <v>#N/A Requesting Data...</v>
      </c>
      <c r="G477" t="str">
        <f>_xll.BDP("112857ET Muni","SPREAD_AT_ISSUANCE_TO_WORST")</f>
        <v>#N/A Requesting Data...</v>
      </c>
      <c r="H477" t="str">
        <f>_xll.BDP("112857ET Muni","ISSUE_DT")</f>
        <v>#N/A Requesting Data...</v>
      </c>
      <c r="I477" t="str">
        <f>_xll.BDS("112857ET Muni","MUNI_PURPOSE_SCHED", "aggregate=y")</f>
        <v>#N/A Requesting Data...</v>
      </c>
      <c r="J477" t="str">
        <f>_xll.BDP("112857ET Muni","CPN")</f>
        <v>#N/A Requesting Data...</v>
      </c>
      <c r="K477" t="str">
        <f>_xll.BDP("112857ET Muni","MATURITY")</f>
        <v>#N/A Requesting Data...</v>
      </c>
      <c r="L477">
        <v>400000</v>
      </c>
      <c r="M477" t="str">
        <f>_xll.BDP("112857ET Muni","YIELD_ON_ISSUE_DATE")</f>
        <v>#N/A Requesting Data...</v>
      </c>
      <c r="N477" t="str">
        <f>_xll.BDP("112857ET Muni","YTW_SPREAD_TO_MATURITY_AT_ISSU")</f>
        <v>#N/A Requesting Data...</v>
      </c>
      <c r="O477" t="str">
        <f>_xll.BDP("112857ET Muni","BVAL_MID_YTM")</f>
        <v>#N/A Requesting Data...</v>
      </c>
      <c r="P477" t="str">
        <f>_xll.BDP("112857ET Muni","MUNI_TAX_PROV")</f>
        <v>#N/A Requesting Data...</v>
      </c>
      <c r="Q477" t="str">
        <f>_xll.BDP("112857ET Muni","MUNI_FED_TAX")</f>
        <v>#N/A Requesting Data...</v>
      </c>
      <c r="R477" t="str">
        <f>_xll.BDP("112857ET Muni","MUNI_MSRB_VOLUME")</f>
        <v>#N/A Requesting Data...</v>
      </c>
      <c r="S477" t="str">
        <f>_xll.BDP("112857ET Muni","BB_COMPOSITE")</f>
        <v>#N/A Requesting Data...</v>
      </c>
      <c r="T477" t="str">
        <f>_xll.BDP("112857ET Muni","LQA_LIQUIDITY_SCORE")</f>
        <v>#N/A Requesting Data...</v>
      </c>
    </row>
    <row r="478" spans="1:20" x14ac:dyDescent="0.25">
      <c r="A478" t="str">
        <f>_xll.BDP("112857EV Muni","ID_CUSIP")</f>
        <v>#N/A Requesting Data...</v>
      </c>
      <c r="B478" t="s">
        <v>116</v>
      </c>
      <c r="C478" t="str">
        <f>_xll.BDP("112857EV Muni","INSURANCE_STATUS")</f>
        <v>#N/A Requesting Data...</v>
      </c>
      <c r="D478" t="str">
        <f>_xll.BDP("112857EV Muni","STATE_CODE")</f>
        <v>#N/A Requesting Data...</v>
      </c>
      <c r="E478" t="str">
        <f>_xll.BDP("112857EV Muni","COUNTY_LOCATION_ISSUER")</f>
        <v>#N/A Requesting Data...</v>
      </c>
      <c r="F478" t="str">
        <f>_xll.BDP("112857EV Muni","DUR_ADJ_MID")</f>
        <v>#N/A Requesting Data...</v>
      </c>
      <c r="G478" t="str">
        <f>_xll.BDP("112857EV Muni","SPREAD_AT_ISSUANCE_TO_WORST")</f>
        <v>#N/A Requesting Data...</v>
      </c>
      <c r="H478" t="str">
        <f>_xll.BDP("112857EV Muni","ISSUE_DT")</f>
        <v>#N/A Requesting Data...</v>
      </c>
      <c r="I478" t="str">
        <f>_xll.BDS("112857EV Muni","MUNI_PURPOSE_SCHED", "aggregate=y")</f>
        <v>#N/A Requesting Data...</v>
      </c>
      <c r="J478" t="str">
        <f>_xll.BDP("112857EV Muni","CPN")</f>
        <v>#N/A Requesting Data...</v>
      </c>
      <c r="K478" t="str">
        <f>_xll.BDP("112857EV Muni","MATURITY")</f>
        <v>#N/A Requesting Data...</v>
      </c>
      <c r="L478">
        <v>400000</v>
      </c>
      <c r="M478" t="str">
        <f>_xll.BDP("112857EV Muni","YIELD_ON_ISSUE_DATE")</f>
        <v>#N/A Requesting Data...</v>
      </c>
      <c r="N478" t="str">
        <f>_xll.BDP("112857EV Muni","YTW_SPREAD_TO_MATURITY_AT_ISSU")</f>
        <v>#N/A Requesting Data...</v>
      </c>
      <c r="O478" t="str">
        <f>_xll.BDP("112857EV Muni","BVAL_MID_YTM")</f>
        <v>#N/A Requesting Data...</v>
      </c>
      <c r="P478" t="str">
        <f>_xll.BDP("112857EV Muni","MUNI_TAX_PROV")</f>
        <v>#N/A Requesting Data...</v>
      </c>
      <c r="Q478" t="str">
        <f>_xll.BDP("112857EV Muni","MUNI_FED_TAX")</f>
        <v>#N/A Requesting Data...</v>
      </c>
      <c r="R478" t="str">
        <f>_xll.BDP("112857EV Muni","MUNI_MSRB_VOLUME")</f>
        <v>#N/A Requesting Data...</v>
      </c>
      <c r="S478" t="str">
        <f>_xll.BDP("112857EV Muni","BB_COMPOSITE")</f>
        <v>#N/A Requesting Data...</v>
      </c>
      <c r="T478" t="str">
        <f>_xll.BDP("112857EV Muni","LQA_LIQUIDITY_SCORE")</f>
        <v>#N/A Requesting Data...</v>
      </c>
    </row>
    <row r="479" spans="1:20" x14ac:dyDescent="0.25">
      <c r="A479" t="str">
        <f>_xll.BDP("113835R3 Muni","ID_CUSIP")</f>
        <v>#N/A Requesting Data...</v>
      </c>
      <c r="B479" t="s">
        <v>117</v>
      </c>
      <c r="C479" t="str">
        <f>_xll.BDP("113835R3 Muni","INSURANCE_STATUS")</f>
        <v>#N/A Requesting Data...</v>
      </c>
      <c r="D479" t="str">
        <f>_xll.BDP("113835R3 Muni","STATE_CODE")</f>
        <v>#N/A Requesting Data...</v>
      </c>
      <c r="E479" t="str">
        <f>_xll.BDP("113835R3 Muni","COUNTY_LOCATION_ISSUER")</f>
        <v>#N/A Requesting Data...</v>
      </c>
      <c r="F479" t="str">
        <f>_xll.BDP("113835R3 Muni","DUR_ADJ_MID")</f>
        <v>#N/A Requesting Data...</v>
      </c>
      <c r="G479" t="str">
        <f>_xll.BDP("113835R3 Muni","SPREAD_AT_ISSUANCE_TO_WORST")</f>
        <v>#N/A Requesting Data...</v>
      </c>
      <c r="H479" t="str">
        <f>_xll.BDP("113835R3 Muni","ISSUE_DT")</f>
        <v>#N/A Requesting Data...</v>
      </c>
      <c r="I479" t="str">
        <f>_xll.BDS("113835R3 Muni","MUNI_PURPOSE_SCHED", "aggregate=y")</f>
        <v>#N/A Requesting Data...</v>
      </c>
      <c r="J479" t="str">
        <f>_xll.BDP("113835R3 Muni","CPN")</f>
        <v>#N/A Requesting Data...</v>
      </c>
      <c r="K479" t="str">
        <f>_xll.BDP("113835R3 Muni","MATURITY")</f>
        <v>#N/A Requesting Data...</v>
      </c>
      <c r="L479">
        <v>770000</v>
      </c>
      <c r="M479" t="str">
        <f>_xll.BDP("113835R3 Muni","YIELD_ON_ISSUE_DATE")</f>
        <v>#N/A Requesting Data...</v>
      </c>
      <c r="N479" t="str">
        <f>_xll.BDP("113835R3 Muni","YTW_SPREAD_TO_MATURITY_AT_ISSU")</f>
        <v>#N/A Requesting Data...</v>
      </c>
      <c r="O479" t="str">
        <f>_xll.BDP("113835R3 Muni","BVAL_MID_YTM")</f>
        <v>#N/A Requesting Data...</v>
      </c>
      <c r="P479" t="str">
        <f>_xll.BDP("113835R3 Muni","MUNI_TAX_PROV")</f>
        <v>#N/A Requesting Data...</v>
      </c>
      <c r="Q479" t="str">
        <f>_xll.BDP("113835R3 Muni","MUNI_FED_TAX")</f>
        <v>#N/A Requesting Data...</v>
      </c>
      <c r="R479" t="str">
        <f>_xll.BDP("113835R3 Muni","MUNI_MSRB_VOLUME")</f>
        <v>#N/A Requesting Data...</v>
      </c>
      <c r="S479" t="str">
        <f>_xll.BDP("113835R3 Muni","BB_COMPOSITE")</f>
        <v>#N/A Requesting Data...</v>
      </c>
      <c r="T479" t="str">
        <f>_xll.BDP("113835R3 Muni","LQA_LIQUIDITY_SCORE")</f>
        <v>#N/A Requesting Data...</v>
      </c>
    </row>
    <row r="480" spans="1:20" x14ac:dyDescent="0.25">
      <c r="A480" t="str">
        <f>_xll.BDP("113835R5 Muni","ID_CUSIP")</f>
        <v>#N/A Requesting Data...</v>
      </c>
      <c r="B480" t="s">
        <v>117</v>
      </c>
      <c r="C480" t="str">
        <f>_xll.BDP("113835R5 Muni","INSURANCE_STATUS")</f>
        <v>#N/A Requesting Data...</v>
      </c>
      <c r="D480" t="str">
        <f>_xll.BDP("113835R5 Muni","STATE_CODE")</f>
        <v>#N/A Requesting Data...</v>
      </c>
      <c r="E480" t="str">
        <f>_xll.BDP("113835R5 Muni","COUNTY_LOCATION_ISSUER")</f>
        <v>#N/A Requesting Data...</v>
      </c>
      <c r="F480" t="str">
        <f>_xll.BDP("113835R5 Muni","DUR_ADJ_MID")</f>
        <v>#N/A Requesting Data...</v>
      </c>
      <c r="G480" t="str">
        <f>_xll.BDP("113835R5 Muni","SPREAD_AT_ISSUANCE_TO_WORST")</f>
        <v>#N/A Requesting Data...</v>
      </c>
      <c r="H480" t="str">
        <f>_xll.BDP("113835R5 Muni","ISSUE_DT")</f>
        <v>#N/A Requesting Data...</v>
      </c>
      <c r="I480" t="str">
        <f>_xll.BDS("113835R5 Muni","MUNI_PURPOSE_SCHED", "aggregate=y")</f>
        <v>#N/A Requesting Data...</v>
      </c>
      <c r="J480" t="str">
        <f>_xll.BDP("113835R5 Muni","CPN")</f>
        <v>#N/A Requesting Data...</v>
      </c>
      <c r="K480" t="str">
        <f>_xll.BDP("113835R5 Muni","MATURITY")</f>
        <v>#N/A Requesting Data...</v>
      </c>
      <c r="L480">
        <v>835000</v>
      </c>
      <c r="M480" t="str">
        <f>_xll.BDP("113835R5 Muni","YIELD_ON_ISSUE_DATE")</f>
        <v>#N/A Requesting Data...</v>
      </c>
      <c r="N480" t="str">
        <f>_xll.BDP("113835R5 Muni","YTW_SPREAD_TO_MATURITY_AT_ISSU")</f>
        <v>#N/A Requesting Data...</v>
      </c>
      <c r="O480" t="str">
        <f>_xll.BDP("113835R5 Muni","BVAL_MID_YTM")</f>
        <v>#N/A Requesting Data...</v>
      </c>
      <c r="P480" t="str">
        <f>_xll.BDP("113835R5 Muni","MUNI_TAX_PROV")</f>
        <v>#N/A Requesting Data...</v>
      </c>
      <c r="Q480" t="str">
        <f>_xll.BDP("113835R5 Muni","MUNI_FED_TAX")</f>
        <v>#N/A Requesting Data...</v>
      </c>
      <c r="R480" t="str">
        <f>_xll.BDP("113835R5 Muni","MUNI_MSRB_VOLUME")</f>
        <v>#N/A Requesting Data...</v>
      </c>
      <c r="S480" t="str">
        <f>_xll.BDP("113835R5 Muni","BB_COMPOSITE")</f>
        <v>#N/A Requesting Data...</v>
      </c>
      <c r="T480" t="str">
        <f>_xll.BDP("113835R5 Muni","LQA_LIQUIDITY_SCORE")</f>
        <v>#N/A Requesting Data...</v>
      </c>
    </row>
    <row r="481" spans="1:20" x14ac:dyDescent="0.25">
      <c r="A481" t="str">
        <f>_xll.BDP("114264AR Muni","ID_CUSIP")</f>
        <v>#N/A Requesting Data...</v>
      </c>
      <c r="B481" t="s">
        <v>118</v>
      </c>
      <c r="C481" t="str">
        <f>_xll.BDP("114264AR Muni","INSURANCE_STATUS")</f>
        <v>#N/A Requesting Data...</v>
      </c>
      <c r="D481" t="str">
        <f>_xll.BDP("114264AR Muni","STATE_CODE")</f>
        <v>#N/A Requesting Data...</v>
      </c>
      <c r="E481" t="str">
        <f>_xll.BDP("114264AR Muni","COUNTY_LOCATION_ISSUER")</f>
        <v>#N/A Requesting Data...</v>
      </c>
      <c r="F481" t="str">
        <f>_xll.BDP("114264AR Muni","DUR_ADJ_MID")</f>
        <v>#N/A Requesting Data...</v>
      </c>
      <c r="G481" t="str">
        <f>_xll.BDP("114264AR Muni","SPREAD_AT_ISSUANCE_TO_WORST")</f>
        <v>#N/A Requesting Data...</v>
      </c>
      <c r="H481" t="str">
        <f>_xll.BDP("114264AR Muni","ISSUE_DT")</f>
        <v>#N/A Requesting Data...</v>
      </c>
      <c r="I481" t="str">
        <f>_xll.BDS("114264AR Muni","MUNI_PURPOSE_SCHED", "aggregate=y")</f>
        <v>#N/A Requesting Data...</v>
      </c>
      <c r="J481" t="str">
        <f>_xll.BDP("114264AR Muni","CPN")</f>
        <v>#N/A Requesting Data...</v>
      </c>
      <c r="K481" t="str">
        <f>_xll.BDP("114264AR Muni","MATURITY")</f>
        <v>#N/A Requesting Data...</v>
      </c>
      <c r="L481">
        <v>55000</v>
      </c>
      <c r="M481" t="str">
        <f>_xll.BDP("114264AR Muni","YIELD_ON_ISSUE_DATE")</f>
        <v>#N/A Requesting Data...</v>
      </c>
      <c r="N481" t="str">
        <f>_xll.BDP("114264AR Muni","YTW_SPREAD_TO_MATURITY_AT_ISSU")</f>
        <v>#N/A Requesting Data...</v>
      </c>
      <c r="O481" t="str">
        <f>_xll.BDP("114264AR Muni","BVAL_MID_YTM")</f>
        <v>#N/A Requesting Data...</v>
      </c>
      <c r="P481" t="str">
        <f>_xll.BDP("114264AR Muni","MUNI_TAX_PROV")</f>
        <v>#N/A Requesting Data...</v>
      </c>
      <c r="Q481" t="str">
        <f>_xll.BDP("114264AR Muni","MUNI_FED_TAX")</f>
        <v>#N/A Requesting Data...</v>
      </c>
      <c r="R481" t="str">
        <f>_xll.BDP("114264AR Muni","MUNI_MSRB_VOLUME")</f>
        <v>#N/A Requesting Data...</v>
      </c>
      <c r="S481" t="str">
        <f>_xll.BDP("114264AR Muni","BB_COMPOSITE")</f>
        <v>#N/A Requesting Data...</v>
      </c>
      <c r="T481" t="str">
        <f>_xll.BDP("114264AR Muni","LQA_LIQUIDITY_SCORE")</f>
        <v>#N/A Requesting Data...</v>
      </c>
    </row>
    <row r="482" spans="1:20" x14ac:dyDescent="0.25">
      <c r="A482" t="str">
        <f>_xll.BDP("094780U5 Muni","ID_CUSIP")</f>
        <v>#N/A Requesting Data...</v>
      </c>
      <c r="B482" t="s">
        <v>119</v>
      </c>
      <c r="C482" t="str">
        <f>_xll.BDP("094780U5 Muni","INSURANCE_STATUS")</f>
        <v>#N/A Requesting Data...</v>
      </c>
      <c r="D482" t="str">
        <f>_xll.BDP("094780U5 Muni","STATE_CODE")</f>
        <v>#N/A Requesting Data...</v>
      </c>
      <c r="E482" t="str">
        <f>_xll.BDP("094780U5 Muni","COUNTY_LOCATION_ISSUER")</f>
        <v>#N/A Requesting Data...</v>
      </c>
      <c r="F482" t="str">
        <f>_xll.BDP("094780U5 Muni","DUR_ADJ_MID")</f>
        <v>#N/A Requesting Data...</v>
      </c>
      <c r="G482" t="str">
        <f>_xll.BDP("094780U5 Muni","SPREAD_AT_ISSUANCE_TO_WORST")</f>
        <v>#N/A Requesting Data...</v>
      </c>
      <c r="H482" t="str">
        <f>_xll.BDP("094780U5 Muni","ISSUE_DT")</f>
        <v>#N/A Requesting Data...</v>
      </c>
      <c r="I482" t="str">
        <f>_xll.BDS("094780U5 Muni","MUNI_PURPOSE_SCHED", "aggregate=y")</f>
        <v>#N/A Requesting Data...</v>
      </c>
      <c r="J482" t="str">
        <f>_xll.BDP("094780U5 Muni","CPN")</f>
        <v>#N/A Requesting Data...</v>
      </c>
      <c r="K482" t="str">
        <f>_xll.BDP("094780U5 Muni","MATURITY")</f>
        <v>#N/A Requesting Data...</v>
      </c>
      <c r="L482">
        <v>490000</v>
      </c>
      <c r="M482" t="str">
        <f>_xll.BDP("094780U5 Muni","YIELD_ON_ISSUE_DATE")</f>
        <v>#N/A Requesting Data...</v>
      </c>
      <c r="N482" t="str">
        <f>_xll.BDP("094780U5 Muni","YTW_SPREAD_TO_MATURITY_AT_ISSU")</f>
        <v>#N/A Requesting Data...</v>
      </c>
      <c r="O482" t="str">
        <f>_xll.BDP("094780U5 Muni","BVAL_MID_YTM")</f>
        <v>#N/A Requesting Data...</v>
      </c>
      <c r="P482" t="str">
        <f>_xll.BDP("094780U5 Muni","MUNI_TAX_PROV")</f>
        <v>#N/A Requesting Data...</v>
      </c>
      <c r="Q482" t="str">
        <f>_xll.BDP("094780U5 Muni","MUNI_FED_TAX")</f>
        <v>#N/A Requesting Data...</v>
      </c>
      <c r="R482" t="str">
        <f>_xll.BDP("094780U5 Muni","MUNI_MSRB_VOLUME")</f>
        <v>#N/A Requesting Data...</v>
      </c>
      <c r="S482" t="str">
        <f>_xll.BDP("094780U5 Muni","BB_COMPOSITE")</f>
        <v>#N/A Requesting Data...</v>
      </c>
      <c r="T482" t="str">
        <f>_xll.BDP("094780U5 Muni","LQA_LIQUIDITY_SCORE")</f>
        <v>#N/A Requesting Data...</v>
      </c>
    </row>
    <row r="483" spans="1:20" x14ac:dyDescent="0.25">
      <c r="A483" t="str">
        <f>_xll.BDP("094780U8 Muni","ID_CUSIP")</f>
        <v>#N/A Requesting Data...</v>
      </c>
      <c r="B483" t="s">
        <v>119</v>
      </c>
      <c r="C483" t="str">
        <f>_xll.BDP("094780U8 Muni","INSURANCE_STATUS")</f>
        <v>#N/A Requesting Data...</v>
      </c>
      <c r="D483" t="str">
        <f>_xll.BDP("094780U8 Muni","STATE_CODE")</f>
        <v>#N/A Requesting Data...</v>
      </c>
      <c r="E483" t="str">
        <f>_xll.BDP("094780U8 Muni","COUNTY_LOCATION_ISSUER")</f>
        <v>#N/A Requesting Data...</v>
      </c>
      <c r="F483" t="str">
        <f>_xll.BDP("094780U8 Muni","DUR_ADJ_MID")</f>
        <v>#N/A Requesting Data...</v>
      </c>
      <c r="G483" t="str">
        <f>_xll.BDP("094780U8 Muni","SPREAD_AT_ISSUANCE_TO_WORST")</f>
        <v>#N/A Requesting Data...</v>
      </c>
      <c r="H483" t="str">
        <f>_xll.BDP("094780U8 Muni","ISSUE_DT")</f>
        <v>#N/A Requesting Data...</v>
      </c>
      <c r="I483" t="str">
        <f>_xll.BDS("094780U8 Muni","MUNI_PURPOSE_SCHED", "aggregate=y")</f>
        <v>#N/A Requesting Data...</v>
      </c>
      <c r="J483" t="str">
        <f>_xll.BDP("094780U8 Muni","CPN")</f>
        <v>#N/A Requesting Data...</v>
      </c>
      <c r="K483" t="str">
        <f>_xll.BDP("094780U8 Muni","MATURITY")</f>
        <v>#N/A Requesting Data...</v>
      </c>
      <c r="L483">
        <v>565000</v>
      </c>
      <c r="M483" t="str">
        <f>_xll.BDP("094780U8 Muni","YIELD_ON_ISSUE_DATE")</f>
        <v>#N/A Requesting Data...</v>
      </c>
      <c r="N483" t="str">
        <f>_xll.BDP("094780U8 Muni","YTW_SPREAD_TO_MATURITY_AT_ISSU")</f>
        <v>#N/A Requesting Data...</v>
      </c>
      <c r="O483" t="str">
        <f>_xll.BDP("094780U8 Muni","BVAL_MID_YTM")</f>
        <v>#N/A Requesting Data...</v>
      </c>
      <c r="P483" t="str">
        <f>_xll.BDP("094780U8 Muni","MUNI_TAX_PROV")</f>
        <v>#N/A Requesting Data...</v>
      </c>
      <c r="Q483" t="str">
        <f>_xll.BDP("094780U8 Muni","MUNI_FED_TAX")</f>
        <v>#N/A Requesting Data...</v>
      </c>
      <c r="R483" t="str">
        <f>_xll.BDP("094780U8 Muni","MUNI_MSRB_VOLUME")</f>
        <v>#N/A Requesting Data...</v>
      </c>
      <c r="S483" t="str">
        <f>_xll.BDP("094780U8 Muni","BB_COMPOSITE")</f>
        <v>#N/A Requesting Data...</v>
      </c>
      <c r="T483" t="str">
        <f>_xll.BDP("094780U8 Muni","LQA_LIQUIDITY_SCORE")</f>
        <v>#N/A Requesting Data...</v>
      </c>
    </row>
    <row r="484" spans="1:20" x14ac:dyDescent="0.25">
      <c r="A484" t="str">
        <f>_xll.BDP("094780U9 Muni","ID_CUSIP")</f>
        <v>#N/A Requesting Data...</v>
      </c>
      <c r="B484" t="s">
        <v>119</v>
      </c>
      <c r="C484" t="str">
        <f>_xll.BDP("094780U9 Muni","INSURANCE_STATUS")</f>
        <v>#N/A Requesting Data...</v>
      </c>
      <c r="D484" t="str">
        <f>_xll.BDP("094780U9 Muni","STATE_CODE")</f>
        <v>#N/A Requesting Data...</v>
      </c>
      <c r="E484" t="str">
        <f>_xll.BDP("094780U9 Muni","COUNTY_LOCATION_ISSUER")</f>
        <v>#N/A Requesting Data...</v>
      </c>
      <c r="F484" t="str">
        <f>_xll.BDP("094780U9 Muni","DUR_ADJ_MID")</f>
        <v>#N/A Requesting Data...</v>
      </c>
      <c r="G484" t="str">
        <f>_xll.BDP("094780U9 Muni","SPREAD_AT_ISSUANCE_TO_WORST")</f>
        <v>#N/A Requesting Data...</v>
      </c>
      <c r="H484" t="str">
        <f>_xll.BDP("094780U9 Muni","ISSUE_DT")</f>
        <v>#N/A Requesting Data...</v>
      </c>
      <c r="I484" t="str">
        <f>_xll.BDS("094780U9 Muni","MUNI_PURPOSE_SCHED", "aggregate=y")</f>
        <v>#N/A Requesting Data...</v>
      </c>
      <c r="J484" t="str">
        <f>_xll.BDP("094780U9 Muni","CPN")</f>
        <v>#N/A Requesting Data...</v>
      </c>
      <c r="K484" t="str">
        <f>_xll.BDP("094780U9 Muni","MATURITY")</f>
        <v>#N/A Requesting Data...</v>
      </c>
      <c r="L484">
        <v>590000</v>
      </c>
      <c r="M484" t="str">
        <f>_xll.BDP("094780U9 Muni","YIELD_ON_ISSUE_DATE")</f>
        <v>#N/A Requesting Data...</v>
      </c>
      <c r="N484" t="str">
        <f>_xll.BDP("094780U9 Muni","YTW_SPREAD_TO_MATURITY_AT_ISSU")</f>
        <v>#N/A Requesting Data...</v>
      </c>
      <c r="O484" t="str">
        <f>_xll.BDP("094780U9 Muni","BVAL_MID_YTM")</f>
        <v>#N/A Requesting Data...</v>
      </c>
      <c r="P484" t="str">
        <f>_xll.BDP("094780U9 Muni","MUNI_TAX_PROV")</f>
        <v>#N/A Requesting Data...</v>
      </c>
      <c r="Q484" t="str">
        <f>_xll.BDP("094780U9 Muni","MUNI_FED_TAX")</f>
        <v>#N/A Requesting Data...</v>
      </c>
      <c r="R484" t="str">
        <f>_xll.BDP("094780U9 Muni","MUNI_MSRB_VOLUME")</f>
        <v>#N/A Requesting Data...</v>
      </c>
      <c r="S484" t="str">
        <f>_xll.BDP("094780U9 Muni","BB_COMPOSITE")</f>
        <v>#N/A Requesting Data...</v>
      </c>
      <c r="T484" t="str">
        <f>_xll.BDP("094780U9 Muni","LQA_LIQUIDITY_SCORE")</f>
        <v>#N/A Requesting Data...</v>
      </c>
    </row>
    <row r="485" spans="1:20" x14ac:dyDescent="0.25">
      <c r="A485" t="str">
        <f>_xll.BDP("095221BL Muni","ID_CUSIP")</f>
        <v>#N/A Requesting Data...</v>
      </c>
      <c r="B485" t="s">
        <v>120</v>
      </c>
      <c r="C485" t="str">
        <f>_xll.BDP("095221BL Muni","INSURANCE_STATUS")</f>
        <v>#N/A Requesting Data...</v>
      </c>
      <c r="D485" t="str">
        <f>_xll.BDP("095221BL Muni","STATE_CODE")</f>
        <v>#N/A Requesting Data...</v>
      </c>
      <c r="E485" t="str">
        <f>_xll.BDP("095221BL Muni","COUNTY_LOCATION_ISSUER")</f>
        <v>#N/A Requesting Data...</v>
      </c>
      <c r="F485" t="str">
        <f>_xll.BDP("095221BL Muni","DUR_ADJ_MID")</f>
        <v>#N/A Requesting Data...</v>
      </c>
      <c r="G485" t="str">
        <f>_xll.BDP("095221BL Muni","SPREAD_AT_ISSUANCE_TO_WORST")</f>
        <v>#N/A Requesting Data...</v>
      </c>
      <c r="H485" t="str">
        <f>_xll.BDP("095221BL Muni","ISSUE_DT")</f>
        <v>#N/A Requesting Data...</v>
      </c>
      <c r="I485" t="str">
        <f>_xll.BDS("095221BL Muni","MUNI_PURPOSE_SCHED", "aggregate=y")</f>
        <v>#N/A Requesting Data...</v>
      </c>
      <c r="J485" t="str">
        <f>_xll.BDP("095221BL Muni","CPN")</f>
        <v>#N/A Requesting Data...</v>
      </c>
      <c r="K485" t="str">
        <f>_xll.BDP("095221BL Muni","MATURITY")</f>
        <v>#N/A Requesting Data...</v>
      </c>
      <c r="L485">
        <v>120000</v>
      </c>
      <c r="M485" t="str">
        <f>_xll.BDP("095221BL Muni","YIELD_ON_ISSUE_DATE")</f>
        <v>#N/A Requesting Data...</v>
      </c>
      <c r="N485" t="str">
        <f>_xll.BDP("095221BL Muni","YTW_SPREAD_TO_MATURITY_AT_ISSU")</f>
        <v>#N/A Requesting Data...</v>
      </c>
      <c r="O485" t="str">
        <f>_xll.BDP("095221BL Muni","BVAL_MID_YTM")</f>
        <v>#N/A Requesting Data...</v>
      </c>
      <c r="P485" t="str">
        <f>_xll.BDP("095221BL Muni","MUNI_TAX_PROV")</f>
        <v>#N/A Requesting Data...</v>
      </c>
      <c r="Q485" t="str">
        <f>_xll.BDP("095221BL Muni","MUNI_FED_TAX")</f>
        <v>#N/A Requesting Data...</v>
      </c>
      <c r="R485" t="str">
        <f>_xll.BDP("095221BL Muni","MUNI_MSRB_VOLUME")</f>
        <v>#N/A Requesting Data...</v>
      </c>
      <c r="S485" t="str">
        <f>_xll.BDP("095221BL Muni","BB_COMPOSITE")</f>
        <v>#N/A Requesting Data...</v>
      </c>
      <c r="T485" t="str">
        <f>_xll.BDP("095221BL Muni","LQA_LIQUIDITY_SCORE")</f>
        <v>#N/A Requesting Data...</v>
      </c>
    </row>
    <row r="486" spans="1:20" x14ac:dyDescent="0.25">
      <c r="A486" t="str">
        <f>_xll.BDP("095221BM Muni","ID_CUSIP")</f>
        <v>#N/A Requesting Data...</v>
      </c>
      <c r="B486" t="s">
        <v>120</v>
      </c>
      <c r="C486" t="str">
        <f>_xll.BDP("095221BM Muni","INSURANCE_STATUS")</f>
        <v>#N/A Requesting Data...</v>
      </c>
      <c r="D486" t="str">
        <f>_xll.BDP("095221BM Muni","STATE_CODE")</f>
        <v>#N/A Requesting Data...</v>
      </c>
      <c r="E486" t="str">
        <f>_xll.BDP("095221BM Muni","COUNTY_LOCATION_ISSUER")</f>
        <v>#N/A Requesting Data...</v>
      </c>
      <c r="F486" t="str">
        <f>_xll.BDP("095221BM Muni","DUR_ADJ_MID")</f>
        <v>#N/A Requesting Data...</v>
      </c>
      <c r="G486" t="str">
        <f>_xll.BDP("095221BM Muni","SPREAD_AT_ISSUANCE_TO_WORST")</f>
        <v>#N/A Requesting Data...</v>
      </c>
      <c r="H486" t="str">
        <f>_xll.BDP("095221BM Muni","ISSUE_DT")</f>
        <v>#N/A Requesting Data...</v>
      </c>
      <c r="I486" t="str">
        <f>_xll.BDS("095221BM Muni","MUNI_PURPOSE_SCHED", "aggregate=y")</f>
        <v>#N/A Requesting Data...</v>
      </c>
      <c r="J486" t="str">
        <f>_xll.BDP("095221BM Muni","CPN")</f>
        <v>#N/A Requesting Data...</v>
      </c>
      <c r="K486" t="str">
        <f>_xll.BDP("095221BM Muni","MATURITY")</f>
        <v>#N/A Requesting Data...</v>
      </c>
      <c r="L486">
        <v>120000</v>
      </c>
      <c r="M486" t="str">
        <f>_xll.BDP("095221BM Muni","YIELD_ON_ISSUE_DATE")</f>
        <v>#N/A Requesting Data...</v>
      </c>
      <c r="N486" t="str">
        <f>_xll.BDP("095221BM Muni","YTW_SPREAD_TO_MATURITY_AT_ISSU")</f>
        <v>#N/A Requesting Data...</v>
      </c>
      <c r="O486" t="str">
        <f>_xll.BDP("095221BM Muni","BVAL_MID_YTM")</f>
        <v>#N/A Requesting Data...</v>
      </c>
      <c r="P486" t="str">
        <f>_xll.BDP("095221BM Muni","MUNI_TAX_PROV")</f>
        <v>#N/A Requesting Data...</v>
      </c>
      <c r="Q486" t="str">
        <f>_xll.BDP("095221BM Muni","MUNI_FED_TAX")</f>
        <v>#N/A Requesting Data...</v>
      </c>
      <c r="R486" t="str">
        <f>_xll.BDP("095221BM Muni","MUNI_MSRB_VOLUME")</f>
        <v>#N/A Requesting Data...</v>
      </c>
      <c r="S486" t="str">
        <f>_xll.BDP("095221BM Muni","BB_COMPOSITE")</f>
        <v>#N/A Requesting Data...</v>
      </c>
      <c r="T486" t="str">
        <f>_xll.BDP("095221BM Muni","LQA_LIQUIDITY_SCORE")</f>
        <v>#N/A Requesting Data...</v>
      </c>
    </row>
    <row r="487" spans="1:20" x14ac:dyDescent="0.25">
      <c r="A487" t="str">
        <f>_xll.BDP("095221BP Muni","ID_CUSIP")</f>
        <v>#N/A Requesting Data...</v>
      </c>
      <c r="B487" t="s">
        <v>120</v>
      </c>
      <c r="C487" t="str">
        <f>_xll.BDP("095221BP Muni","INSURANCE_STATUS")</f>
        <v>#N/A Requesting Data...</v>
      </c>
      <c r="D487" t="str">
        <f>_xll.BDP("095221BP Muni","STATE_CODE")</f>
        <v>#N/A Requesting Data...</v>
      </c>
      <c r="E487" t="str">
        <f>_xll.BDP("095221BP Muni","COUNTY_LOCATION_ISSUER")</f>
        <v>#N/A Requesting Data...</v>
      </c>
      <c r="F487" t="str">
        <f>_xll.BDP("095221BP Muni","DUR_ADJ_MID")</f>
        <v>#N/A Requesting Data...</v>
      </c>
      <c r="G487" t="str">
        <f>_xll.BDP("095221BP Muni","SPREAD_AT_ISSUANCE_TO_WORST")</f>
        <v>#N/A Requesting Data...</v>
      </c>
      <c r="H487" t="str">
        <f>_xll.BDP("095221BP Muni","ISSUE_DT")</f>
        <v>#N/A Requesting Data...</v>
      </c>
      <c r="I487" t="str">
        <f>_xll.BDS("095221BP Muni","MUNI_PURPOSE_SCHED", "aggregate=y")</f>
        <v>#N/A Requesting Data...</v>
      </c>
      <c r="J487" t="str">
        <f>_xll.BDP("095221BP Muni","CPN")</f>
        <v>#N/A Requesting Data...</v>
      </c>
      <c r="K487" t="str">
        <f>_xll.BDP("095221BP Muni","MATURITY")</f>
        <v>#N/A Requesting Data...</v>
      </c>
      <c r="L487">
        <v>120000</v>
      </c>
      <c r="M487" t="str">
        <f>_xll.BDP("095221BP Muni","YIELD_ON_ISSUE_DATE")</f>
        <v>#N/A Requesting Data...</v>
      </c>
      <c r="N487" t="str">
        <f>_xll.BDP("095221BP Muni","YTW_SPREAD_TO_MATURITY_AT_ISSU")</f>
        <v>#N/A Requesting Data...</v>
      </c>
      <c r="O487" t="str">
        <f>_xll.BDP("095221BP Muni","BVAL_MID_YTM")</f>
        <v>#N/A Requesting Data...</v>
      </c>
      <c r="P487" t="str">
        <f>_xll.BDP("095221BP Muni","MUNI_TAX_PROV")</f>
        <v>#N/A Requesting Data...</v>
      </c>
      <c r="Q487" t="str">
        <f>_xll.BDP("095221BP Muni","MUNI_FED_TAX")</f>
        <v>#N/A Requesting Data...</v>
      </c>
      <c r="R487" t="str">
        <f>_xll.BDP("095221BP Muni","MUNI_MSRB_VOLUME")</f>
        <v>#N/A Requesting Data...</v>
      </c>
      <c r="S487" t="str">
        <f>_xll.BDP("095221BP Muni","BB_COMPOSITE")</f>
        <v>#N/A Requesting Data...</v>
      </c>
      <c r="T487" t="str">
        <f>_xll.BDP("095221BP Muni","LQA_LIQUIDITY_SCORE")</f>
        <v>#N/A Requesting Data...</v>
      </c>
    </row>
    <row r="488" spans="1:20" x14ac:dyDescent="0.25">
      <c r="A488" t="str">
        <f>_xll.BDP("13077EFT Muni","ID_CUSIP")</f>
        <v>#N/A Requesting Data...</v>
      </c>
      <c r="B488" t="s">
        <v>121</v>
      </c>
      <c r="C488" t="str">
        <f>_xll.BDP("13077EFT Muni","INSURANCE_STATUS")</f>
        <v>#N/A Requesting Data...</v>
      </c>
      <c r="D488" t="str">
        <f>_xll.BDP("13077EFT Muni","STATE_CODE")</f>
        <v>#N/A Requesting Data...</v>
      </c>
      <c r="E488" t="str">
        <f>_xll.BDP("13077EFT Muni","COUNTY_LOCATION_ISSUER")</f>
        <v>#N/A Requesting Data...</v>
      </c>
      <c r="F488" t="str">
        <f>_xll.BDP("13077EFT Muni","DUR_ADJ_MID")</f>
        <v>#N/A Requesting Data...</v>
      </c>
      <c r="G488" t="str">
        <f>_xll.BDP("13077EFT Muni","SPREAD_AT_ISSUANCE_TO_WORST")</f>
        <v>#N/A Requesting Data...</v>
      </c>
      <c r="H488" t="str">
        <f>_xll.BDP("13077EFT Muni","ISSUE_DT")</f>
        <v>#N/A Requesting Data...</v>
      </c>
      <c r="I488" t="str">
        <f>_xll.BDS("13077EFT Muni","MUNI_PURPOSE_SCHED", "aggregate=y")</f>
        <v>#N/A Requesting Data...</v>
      </c>
      <c r="J488" t="str">
        <f>_xll.BDP("13077EFT Muni","CPN")</f>
        <v>#N/A Requesting Data...</v>
      </c>
      <c r="K488" t="str">
        <f>_xll.BDP("13077EFT Muni","MATURITY")</f>
        <v>#N/A Requesting Data...</v>
      </c>
      <c r="L488">
        <v>160000</v>
      </c>
      <c r="M488" t="str">
        <f>_xll.BDP("13077EFT Muni","YIELD_ON_ISSUE_DATE")</f>
        <v>#N/A Requesting Data...</v>
      </c>
      <c r="N488" t="str">
        <f>_xll.BDP("13077EFT Muni","YTW_SPREAD_TO_MATURITY_AT_ISSU")</f>
        <v>#N/A Requesting Data...</v>
      </c>
      <c r="O488" t="str">
        <f>_xll.BDP("13077EFT Muni","BVAL_MID_YTM")</f>
        <v>#N/A Requesting Data...</v>
      </c>
      <c r="P488" t="str">
        <f>_xll.BDP("13077EFT Muni","MUNI_TAX_PROV")</f>
        <v>#N/A Requesting Data...</v>
      </c>
      <c r="Q488" t="str">
        <f>_xll.BDP("13077EFT Muni","MUNI_FED_TAX")</f>
        <v>#N/A Requesting Data...</v>
      </c>
      <c r="R488" t="str">
        <f>_xll.BDP("13077EFT Muni","MUNI_MSRB_VOLUME")</f>
        <v>#N/A Requesting Data...</v>
      </c>
      <c r="S488" t="str">
        <f>_xll.BDP("13077EFT Muni","BB_COMPOSITE")</f>
        <v>#N/A Requesting Data...</v>
      </c>
      <c r="T488" t="str">
        <f>_xll.BDP("13077EFT Muni","LQA_LIQUIDITY_SCORE")</f>
        <v>#N/A Requesting Data...</v>
      </c>
    </row>
    <row r="489" spans="1:20" x14ac:dyDescent="0.25">
      <c r="A489" t="str">
        <f>_xll.BDP("13077EFV Muni","ID_CUSIP")</f>
        <v>#N/A Requesting Data...</v>
      </c>
      <c r="B489" t="s">
        <v>121</v>
      </c>
      <c r="C489" t="str">
        <f>_xll.BDP("13077EFV Muni","INSURANCE_STATUS")</f>
        <v>#N/A Requesting Data...</v>
      </c>
      <c r="D489" t="str">
        <f>_xll.BDP("13077EFV Muni","STATE_CODE")</f>
        <v>#N/A Requesting Data...</v>
      </c>
      <c r="E489" t="str">
        <f>_xll.BDP("13077EFV Muni","COUNTY_LOCATION_ISSUER")</f>
        <v>#N/A Requesting Data...</v>
      </c>
      <c r="F489" t="str">
        <f>_xll.BDP("13077EFV Muni","DUR_ADJ_MID")</f>
        <v>#N/A Requesting Data...</v>
      </c>
      <c r="G489" t="str">
        <f>_xll.BDP("13077EFV Muni","SPREAD_AT_ISSUANCE_TO_WORST")</f>
        <v>#N/A Requesting Data...</v>
      </c>
      <c r="H489" t="str">
        <f>_xll.BDP("13077EFV Muni","ISSUE_DT")</f>
        <v>#N/A Requesting Data...</v>
      </c>
      <c r="I489" t="str">
        <f>_xll.BDS("13077EFV Muni","MUNI_PURPOSE_SCHED", "aggregate=y")</f>
        <v>#N/A Requesting Data...</v>
      </c>
      <c r="J489" t="str">
        <f>_xll.BDP("13077EFV Muni","CPN")</f>
        <v>#N/A Requesting Data...</v>
      </c>
      <c r="K489" t="str">
        <f>_xll.BDP("13077EFV Muni","MATURITY")</f>
        <v>#N/A Requesting Data...</v>
      </c>
      <c r="L489">
        <v>220000</v>
      </c>
      <c r="M489" t="str">
        <f>_xll.BDP("13077EFV Muni","YIELD_ON_ISSUE_DATE")</f>
        <v>#N/A Requesting Data...</v>
      </c>
      <c r="N489" t="str">
        <f>_xll.BDP("13077EFV Muni","YTW_SPREAD_TO_MATURITY_AT_ISSU")</f>
        <v>#N/A Requesting Data...</v>
      </c>
      <c r="O489" t="str">
        <f>_xll.BDP("13077EFV Muni","BVAL_MID_YTM")</f>
        <v>#N/A Requesting Data...</v>
      </c>
      <c r="P489" t="str">
        <f>_xll.BDP("13077EFV Muni","MUNI_TAX_PROV")</f>
        <v>#N/A Requesting Data...</v>
      </c>
      <c r="Q489" t="str">
        <f>_xll.BDP("13077EFV Muni","MUNI_FED_TAX")</f>
        <v>#N/A Requesting Data...</v>
      </c>
      <c r="R489" t="str">
        <f>_xll.BDP("13077EFV Muni","MUNI_MSRB_VOLUME")</f>
        <v>#N/A Requesting Data...</v>
      </c>
      <c r="S489" t="str">
        <f>_xll.BDP("13077EFV Muni","BB_COMPOSITE")</f>
        <v>#N/A Requesting Data...</v>
      </c>
      <c r="T489" t="str">
        <f>_xll.BDP("13077EFV Muni","LQA_LIQUIDITY_SCORE")</f>
        <v>#N/A Requesting Data...</v>
      </c>
    </row>
    <row r="490" spans="1:20" x14ac:dyDescent="0.25">
      <c r="A490" t="str">
        <f>_xll.BDP("098041JF Muni","ID_CUSIP")</f>
        <v>#N/A Requesting Data...</v>
      </c>
      <c r="B490" t="s">
        <v>122</v>
      </c>
      <c r="C490" t="str">
        <f>_xll.BDP("098041JF Muni","INSURANCE_STATUS")</f>
        <v>#N/A Requesting Data...</v>
      </c>
      <c r="D490" t="str">
        <f>_xll.BDP("098041JF Muni","STATE_CODE")</f>
        <v>#N/A Requesting Data...</v>
      </c>
      <c r="E490" t="str">
        <f>_xll.BDP("098041JF Muni","COUNTY_LOCATION_ISSUER")</f>
        <v>#N/A Requesting Data...</v>
      </c>
      <c r="F490" t="str">
        <f>_xll.BDP("098041JF Muni","DUR_ADJ_MID")</f>
        <v>#N/A Requesting Data...</v>
      </c>
      <c r="G490" t="str">
        <f>_xll.BDP("098041JF Muni","SPREAD_AT_ISSUANCE_TO_WORST")</f>
        <v>#N/A Requesting Data...</v>
      </c>
      <c r="H490" t="str">
        <f>_xll.BDP("098041JF Muni","ISSUE_DT")</f>
        <v>#N/A Requesting Data...</v>
      </c>
      <c r="I490" t="str">
        <f>_xll.BDS("098041JF Muni","MUNI_PURPOSE_SCHED", "aggregate=y")</f>
        <v>#N/A Requesting Data...</v>
      </c>
      <c r="J490" t="str">
        <f>_xll.BDP("098041JF Muni","CPN")</f>
        <v>#N/A Requesting Data...</v>
      </c>
      <c r="K490" t="str">
        <f>_xll.BDP("098041JF Muni","MATURITY")</f>
        <v>#N/A Requesting Data...</v>
      </c>
      <c r="L490">
        <v>245000</v>
      </c>
      <c r="M490" t="str">
        <f>_xll.BDP("098041JF Muni","YIELD_ON_ISSUE_DATE")</f>
        <v>#N/A Requesting Data...</v>
      </c>
      <c r="N490" t="str">
        <f>_xll.BDP("098041JF Muni","YTW_SPREAD_TO_MATURITY_AT_ISSU")</f>
        <v>#N/A Requesting Data...</v>
      </c>
      <c r="O490" t="str">
        <f>_xll.BDP("098041JF Muni","BVAL_MID_YTM")</f>
        <v>#N/A Requesting Data...</v>
      </c>
      <c r="P490" t="str">
        <f>_xll.BDP("098041JF Muni","MUNI_TAX_PROV")</f>
        <v>#N/A Requesting Data...</v>
      </c>
      <c r="Q490" t="str">
        <f>_xll.BDP("098041JF Muni","MUNI_FED_TAX")</f>
        <v>#N/A Requesting Data...</v>
      </c>
      <c r="R490" t="str">
        <f>_xll.BDP("098041JF Muni","MUNI_MSRB_VOLUME")</f>
        <v>#N/A Requesting Data...</v>
      </c>
      <c r="S490" t="str">
        <f>_xll.BDP("098041JF Muni","BB_COMPOSITE")</f>
        <v>#N/A Requesting Data...</v>
      </c>
      <c r="T490" t="str">
        <f>_xll.BDP("098041JF Muni","LQA_LIQUIDITY_SCORE")</f>
        <v>#N/A Requesting Data...</v>
      </c>
    </row>
    <row r="491" spans="1:20" x14ac:dyDescent="0.25">
      <c r="A491" t="str">
        <f>_xll.BDP("098041JH Muni","ID_CUSIP")</f>
        <v>#N/A Requesting Data...</v>
      </c>
      <c r="B491" t="s">
        <v>122</v>
      </c>
      <c r="C491" t="str">
        <f>_xll.BDP("098041JH Muni","INSURANCE_STATUS")</f>
        <v>#N/A Requesting Data...</v>
      </c>
      <c r="D491" t="str">
        <f>_xll.BDP("098041JH Muni","STATE_CODE")</f>
        <v>#N/A Requesting Data...</v>
      </c>
      <c r="E491" t="str">
        <f>_xll.BDP("098041JH Muni","COUNTY_LOCATION_ISSUER")</f>
        <v>#N/A Requesting Data...</v>
      </c>
      <c r="F491" t="str">
        <f>_xll.BDP("098041JH Muni","DUR_ADJ_MID")</f>
        <v>#N/A Requesting Data...</v>
      </c>
      <c r="G491" t="str">
        <f>_xll.BDP("098041JH Muni","SPREAD_AT_ISSUANCE_TO_WORST")</f>
        <v>#N/A Requesting Data...</v>
      </c>
      <c r="H491" t="str">
        <f>_xll.BDP("098041JH Muni","ISSUE_DT")</f>
        <v>#N/A Requesting Data...</v>
      </c>
      <c r="I491" t="str">
        <f>_xll.BDS("098041JH Muni","MUNI_PURPOSE_SCHED", "aggregate=y")</f>
        <v>#N/A Requesting Data...</v>
      </c>
      <c r="J491" t="str">
        <f>_xll.BDP("098041JH Muni","CPN")</f>
        <v>#N/A Requesting Data...</v>
      </c>
      <c r="K491" t="str">
        <f>_xll.BDP("098041JH Muni","MATURITY")</f>
        <v>#N/A Requesting Data...</v>
      </c>
      <c r="L491">
        <v>255000</v>
      </c>
      <c r="M491" t="str">
        <f>_xll.BDP("098041JH Muni","YIELD_ON_ISSUE_DATE")</f>
        <v>#N/A Requesting Data...</v>
      </c>
      <c r="N491" t="str">
        <f>_xll.BDP("098041JH Muni","YTW_SPREAD_TO_MATURITY_AT_ISSU")</f>
        <v>#N/A Requesting Data...</v>
      </c>
      <c r="O491" t="str">
        <f>_xll.BDP("098041JH Muni","BVAL_MID_YTM")</f>
        <v>#N/A Requesting Data...</v>
      </c>
      <c r="P491" t="str">
        <f>_xll.BDP("098041JH Muni","MUNI_TAX_PROV")</f>
        <v>#N/A Requesting Data...</v>
      </c>
      <c r="Q491" t="str">
        <f>_xll.BDP("098041JH Muni","MUNI_FED_TAX")</f>
        <v>#N/A Requesting Data...</v>
      </c>
      <c r="R491" t="str">
        <f>_xll.BDP("098041JH Muni","MUNI_MSRB_VOLUME")</f>
        <v>#N/A Requesting Data...</v>
      </c>
      <c r="S491" t="str">
        <f>_xll.BDP("098041JH Muni","BB_COMPOSITE")</f>
        <v>#N/A Requesting Data...</v>
      </c>
      <c r="T491" t="str">
        <f>_xll.BDP("098041JH Muni","LQA_LIQUIDITY_SCORE")</f>
        <v>#N/A Requesting Data...</v>
      </c>
    </row>
    <row r="492" spans="1:20" x14ac:dyDescent="0.25">
      <c r="A492" t="str">
        <f>_xll.BDP("053375NW Muni","ID_CUSIP")</f>
        <v>#N/A Requesting Data...</v>
      </c>
      <c r="B492" t="s">
        <v>150</v>
      </c>
      <c r="C492" t="str">
        <f>_xll.BDP("053375NW Muni","INSURANCE_STATUS")</f>
        <v>#N/A Requesting Data...</v>
      </c>
      <c r="D492" t="str">
        <f>_xll.BDP("053375NW Muni","STATE_CODE")</f>
        <v>#N/A Requesting Data...</v>
      </c>
      <c r="E492" t="str">
        <f>_xll.BDP("053375NW Muni","COUNTY_LOCATION_ISSUER")</f>
        <v>#N/A Requesting Data...</v>
      </c>
      <c r="F492" t="str">
        <f>_xll.BDP("053375NW Muni","DUR_ADJ_MID")</f>
        <v>#N/A Requesting Data...</v>
      </c>
      <c r="G492" t="str">
        <f>_xll.BDP("053375NW Muni","SPREAD_AT_ISSUANCE_TO_WORST")</f>
        <v>#N/A Requesting Data...</v>
      </c>
      <c r="H492" t="str">
        <f>_xll.BDP("053375NW Muni","ISSUE_DT")</f>
        <v>#N/A Requesting Data...</v>
      </c>
      <c r="I492" t="str">
        <f>_xll.BDS("053375NW Muni","MUNI_PURPOSE_SCHED", "aggregate=y")</f>
        <v>#N/A Requesting Data...</v>
      </c>
      <c r="J492" t="str">
        <f>_xll.BDP("053375NW Muni","CPN")</f>
        <v>#N/A Requesting Data...</v>
      </c>
      <c r="K492" t="str">
        <f>_xll.BDP("053375NW Muni","MATURITY")</f>
        <v>#N/A Requesting Data...</v>
      </c>
      <c r="L492">
        <v>475000</v>
      </c>
      <c r="M492" t="str">
        <f>_xll.BDP("053375NW Muni","YIELD_ON_ISSUE_DATE")</f>
        <v>#N/A Requesting Data...</v>
      </c>
      <c r="N492" t="str">
        <f>_xll.BDP("053375NW Muni","YTW_SPREAD_TO_MATURITY_AT_ISSU")</f>
        <v>#N/A Requesting Data...</v>
      </c>
      <c r="O492" t="str">
        <f>_xll.BDP("053375NW Muni","BVAL_MID_YTM")</f>
        <v>#N/A Requesting Data...</v>
      </c>
      <c r="P492" t="str">
        <f>_xll.BDP("053375NW Muni","MUNI_TAX_PROV")</f>
        <v>#N/A Requesting Data...</v>
      </c>
      <c r="Q492" t="str">
        <f>_xll.BDP("053375NW Muni","MUNI_FED_TAX")</f>
        <v>#N/A Requesting Data...</v>
      </c>
      <c r="R492" t="str">
        <f>_xll.BDP("053375NW Muni","MUNI_MSRB_VOLUME")</f>
        <v>#N/A Requesting Data...</v>
      </c>
      <c r="S492" t="str">
        <f>_xll.BDP("053375NW Muni","BB_COMPOSITE")</f>
        <v>#N/A Requesting Data...</v>
      </c>
      <c r="T492" t="str">
        <f>_xll.BDP("053375NW Muni","LQA_LIQUIDITY_SCORE")</f>
        <v>#N/A Requesting Data...</v>
      </c>
    </row>
    <row r="493" spans="1:20" x14ac:dyDescent="0.25">
      <c r="A493" t="str">
        <f>_xll.BDP("053375NX Muni","ID_CUSIP")</f>
        <v>#N/A Requesting Data...</v>
      </c>
      <c r="B493" t="s">
        <v>150</v>
      </c>
      <c r="C493" t="str">
        <f>_xll.BDP("053375NX Muni","INSURANCE_STATUS")</f>
        <v>#N/A Requesting Data...</v>
      </c>
      <c r="D493" t="str">
        <f>_xll.BDP("053375NX Muni","STATE_CODE")</f>
        <v>#N/A Requesting Data...</v>
      </c>
      <c r="E493" t="str">
        <f>_xll.BDP("053375NX Muni","COUNTY_LOCATION_ISSUER")</f>
        <v>#N/A Requesting Data...</v>
      </c>
      <c r="F493" t="str">
        <f>_xll.BDP("053375NX Muni","DUR_ADJ_MID")</f>
        <v>#N/A Requesting Data...</v>
      </c>
      <c r="G493" t="str">
        <f>_xll.BDP("053375NX Muni","SPREAD_AT_ISSUANCE_TO_WORST")</f>
        <v>#N/A Requesting Data...</v>
      </c>
      <c r="H493" t="str">
        <f>_xll.BDP("053375NX Muni","ISSUE_DT")</f>
        <v>#N/A Requesting Data...</v>
      </c>
      <c r="I493" t="str">
        <f>_xll.BDS("053375NX Muni","MUNI_PURPOSE_SCHED", "aggregate=y")</f>
        <v>#N/A Requesting Data...</v>
      </c>
      <c r="J493" t="str">
        <f>_xll.BDP("053375NX Muni","CPN")</f>
        <v>#N/A Requesting Data...</v>
      </c>
      <c r="K493" t="str">
        <f>_xll.BDP("053375NX Muni","MATURITY")</f>
        <v>#N/A Requesting Data...</v>
      </c>
      <c r="L493">
        <v>565000</v>
      </c>
      <c r="M493" t="str">
        <f>_xll.BDP("053375NX Muni","YIELD_ON_ISSUE_DATE")</f>
        <v>#N/A Requesting Data...</v>
      </c>
      <c r="N493" t="str">
        <f>_xll.BDP("053375NX Muni","YTW_SPREAD_TO_MATURITY_AT_ISSU")</f>
        <v>#N/A Requesting Data...</v>
      </c>
      <c r="O493" t="str">
        <f>_xll.BDP("053375NX Muni","BVAL_MID_YTM")</f>
        <v>#N/A Requesting Data...</v>
      </c>
      <c r="P493" t="str">
        <f>_xll.BDP("053375NX Muni","MUNI_TAX_PROV")</f>
        <v>#N/A Requesting Data...</v>
      </c>
      <c r="Q493" t="str">
        <f>_xll.BDP("053375NX Muni","MUNI_FED_TAX")</f>
        <v>#N/A Requesting Data...</v>
      </c>
      <c r="R493" t="str">
        <f>_xll.BDP("053375NX Muni","MUNI_MSRB_VOLUME")</f>
        <v>#N/A Requesting Data...</v>
      </c>
      <c r="S493" t="str">
        <f>_xll.BDP("053375NX Muni","BB_COMPOSITE")</f>
        <v>#N/A Requesting Data...</v>
      </c>
      <c r="T493" t="str">
        <f>_xll.BDP("053375NX Muni","LQA_LIQUIDITY_SCORE")</f>
        <v>#N/A Requesting Data...</v>
      </c>
    </row>
    <row r="494" spans="1:20" x14ac:dyDescent="0.25">
      <c r="A494" t="str">
        <f>_xll.BDP("053375NY Muni","ID_CUSIP")</f>
        <v>#N/A Requesting Data...</v>
      </c>
      <c r="B494" t="s">
        <v>150</v>
      </c>
      <c r="C494" t="str">
        <f>_xll.BDP("053375NY Muni","INSURANCE_STATUS")</f>
        <v>#N/A Requesting Data...</v>
      </c>
      <c r="D494" t="str">
        <f>_xll.BDP("053375NY Muni","STATE_CODE")</f>
        <v>#N/A Requesting Data...</v>
      </c>
      <c r="E494" t="str">
        <f>_xll.BDP("053375NY Muni","COUNTY_LOCATION_ISSUER")</f>
        <v>#N/A Requesting Data...</v>
      </c>
      <c r="F494" t="str">
        <f>_xll.BDP("053375NY Muni","DUR_ADJ_MID")</f>
        <v>#N/A Requesting Data...</v>
      </c>
      <c r="G494" t="str">
        <f>_xll.BDP("053375NY Muni","SPREAD_AT_ISSUANCE_TO_WORST")</f>
        <v>#N/A Requesting Data...</v>
      </c>
      <c r="H494" t="str">
        <f>_xll.BDP("053375NY Muni","ISSUE_DT")</f>
        <v>#N/A Requesting Data...</v>
      </c>
      <c r="I494" t="str">
        <f>_xll.BDS("053375NY Muni","MUNI_PURPOSE_SCHED", "aggregate=y")</f>
        <v>#N/A Requesting Data...</v>
      </c>
      <c r="J494" t="str">
        <f>_xll.BDP("053375NY Muni","CPN")</f>
        <v>#N/A Requesting Data...</v>
      </c>
      <c r="K494" t="str">
        <f>_xll.BDP("053375NY Muni","MATURITY")</f>
        <v>#N/A Requesting Data...</v>
      </c>
      <c r="L494">
        <v>640000</v>
      </c>
      <c r="M494" t="str">
        <f>_xll.BDP("053375NY Muni","YIELD_ON_ISSUE_DATE")</f>
        <v>#N/A Requesting Data...</v>
      </c>
      <c r="N494" t="str">
        <f>_xll.BDP("053375NY Muni","YTW_SPREAD_TO_MATURITY_AT_ISSU")</f>
        <v>#N/A Requesting Data...</v>
      </c>
      <c r="O494" t="str">
        <f>_xll.BDP("053375NY Muni","BVAL_MID_YTM")</f>
        <v>#N/A Requesting Data...</v>
      </c>
      <c r="P494" t="str">
        <f>_xll.BDP("053375NY Muni","MUNI_TAX_PROV")</f>
        <v>#N/A Requesting Data...</v>
      </c>
      <c r="Q494" t="str">
        <f>_xll.BDP("053375NY Muni","MUNI_FED_TAX")</f>
        <v>#N/A Requesting Data...</v>
      </c>
      <c r="R494" t="str">
        <f>_xll.BDP("053375NY Muni","MUNI_MSRB_VOLUME")</f>
        <v>#N/A Requesting Data...</v>
      </c>
      <c r="S494" t="str">
        <f>_xll.BDP("053375NY Muni","BB_COMPOSITE")</f>
        <v>#N/A Requesting Data...</v>
      </c>
      <c r="T494" t="str">
        <f>_xll.BDP("053375NY Muni","LQA_LIQUIDITY_SCORE")</f>
        <v>#N/A Requesting Data...</v>
      </c>
    </row>
    <row r="495" spans="1:20" x14ac:dyDescent="0.25">
      <c r="A495" t="str">
        <f>_xll.BDP("053375NZ Muni","ID_CUSIP")</f>
        <v>#N/A Requesting Data...</v>
      </c>
      <c r="B495" t="s">
        <v>150</v>
      </c>
      <c r="C495" t="str">
        <f>_xll.BDP("053375NZ Muni","INSURANCE_STATUS")</f>
        <v>#N/A Requesting Data...</v>
      </c>
      <c r="D495" t="str">
        <f>_xll.BDP("053375NZ Muni","STATE_CODE")</f>
        <v>#N/A Requesting Data...</v>
      </c>
      <c r="E495" t="str">
        <f>_xll.BDP("053375NZ Muni","COUNTY_LOCATION_ISSUER")</f>
        <v>#N/A Requesting Data...</v>
      </c>
      <c r="F495" t="str">
        <f>_xll.BDP("053375NZ Muni","DUR_ADJ_MID")</f>
        <v>#N/A Requesting Data...</v>
      </c>
      <c r="G495" t="str">
        <f>_xll.BDP("053375NZ Muni","SPREAD_AT_ISSUANCE_TO_WORST")</f>
        <v>#N/A Requesting Data...</v>
      </c>
      <c r="H495" t="str">
        <f>_xll.BDP("053375NZ Muni","ISSUE_DT")</f>
        <v>#N/A Requesting Data...</v>
      </c>
      <c r="I495" t="str">
        <f>_xll.BDS("053375NZ Muni","MUNI_PURPOSE_SCHED", "aggregate=y")</f>
        <v>#N/A Requesting Data...</v>
      </c>
      <c r="J495" t="str">
        <f>_xll.BDP("053375NZ Muni","CPN")</f>
        <v>#N/A Requesting Data...</v>
      </c>
      <c r="K495" t="str">
        <f>_xll.BDP("053375NZ Muni","MATURITY")</f>
        <v>#N/A Requesting Data...</v>
      </c>
      <c r="L495">
        <v>660000</v>
      </c>
      <c r="M495" t="str">
        <f>_xll.BDP("053375NZ Muni","YIELD_ON_ISSUE_DATE")</f>
        <v>#N/A Requesting Data...</v>
      </c>
      <c r="N495" t="str">
        <f>_xll.BDP("053375NZ Muni","YTW_SPREAD_TO_MATURITY_AT_ISSU")</f>
        <v>#N/A Requesting Data...</v>
      </c>
      <c r="O495" t="str">
        <f>_xll.BDP("053375NZ Muni","BVAL_MID_YTM")</f>
        <v>#N/A Requesting Data...</v>
      </c>
      <c r="P495" t="str">
        <f>_xll.BDP("053375NZ Muni","MUNI_TAX_PROV")</f>
        <v>#N/A Requesting Data...</v>
      </c>
      <c r="Q495" t="str">
        <f>_xll.BDP("053375NZ Muni","MUNI_FED_TAX")</f>
        <v>#N/A Requesting Data...</v>
      </c>
      <c r="R495" t="str">
        <f>_xll.BDP("053375NZ Muni","MUNI_MSRB_VOLUME")</f>
        <v>#N/A Requesting Data...</v>
      </c>
      <c r="S495" t="str">
        <f>_xll.BDP("053375NZ Muni","BB_COMPOSITE")</f>
        <v>#N/A Requesting Data...</v>
      </c>
      <c r="T495" t="str">
        <f>_xll.BDP("053375NZ Muni","LQA_LIQUIDITY_SCORE")</f>
        <v>#N/A Requesting Data...</v>
      </c>
    </row>
    <row r="496" spans="1:20" x14ac:dyDescent="0.25">
      <c r="A496" t="str">
        <f>_xll.BDP("05989CAE Muni","ID_CUSIP")</f>
        <v>#N/A Requesting Data...</v>
      </c>
      <c r="B496" t="s">
        <v>151</v>
      </c>
      <c r="C496" t="str">
        <f>_xll.BDP("05989CAE Muni","INSURANCE_STATUS")</f>
        <v>#N/A Requesting Data...</v>
      </c>
      <c r="D496" t="str">
        <f>_xll.BDP("05989CAE Muni","STATE_CODE")</f>
        <v>#N/A Requesting Data...</v>
      </c>
      <c r="E496" t="str">
        <f>_xll.BDP("05989CAE Muni","COUNTY_LOCATION_ISSUER")</f>
        <v>#N/A Requesting Data...</v>
      </c>
      <c r="F496" t="str">
        <f>_xll.BDP("05989CAE Muni","DUR_ADJ_MID")</f>
        <v>#N/A Requesting Data...</v>
      </c>
      <c r="G496" t="str">
        <f>_xll.BDP("05989CAE Muni","SPREAD_AT_ISSUANCE_TO_WORST")</f>
        <v>#N/A Requesting Data...</v>
      </c>
      <c r="H496" t="str">
        <f>_xll.BDP("05989CAE Muni","ISSUE_DT")</f>
        <v>#N/A Requesting Data...</v>
      </c>
      <c r="I496" t="str">
        <f>_xll.BDS("05989CAE Muni","MUNI_PURPOSE_SCHED", "aggregate=y")</f>
        <v>#N/A Requesting Data...</v>
      </c>
      <c r="J496" t="str">
        <f>_xll.BDP("05989CAE Muni","CPN")</f>
        <v>#N/A Requesting Data...</v>
      </c>
      <c r="K496" t="str">
        <f>_xll.BDP("05989CAE Muni","MATURITY")</f>
        <v>#N/A Requesting Data...</v>
      </c>
      <c r="L496">
        <v>40000</v>
      </c>
      <c r="M496" t="str">
        <f>_xll.BDP("05989CAE Muni","YIELD_ON_ISSUE_DATE")</f>
        <v>#N/A Requesting Data...</v>
      </c>
      <c r="N496" t="str">
        <f>_xll.BDP("05989CAE Muni","YTW_SPREAD_TO_MATURITY_AT_ISSU")</f>
        <v>#N/A Requesting Data...</v>
      </c>
      <c r="O496" t="str">
        <f>_xll.BDP("05989CAE Muni","BVAL_MID_YTM")</f>
        <v>#N/A Requesting Data...</v>
      </c>
      <c r="P496" t="str">
        <f>_xll.BDP("05989CAE Muni","MUNI_TAX_PROV")</f>
        <v>#N/A Requesting Data...</v>
      </c>
      <c r="Q496" t="str">
        <f>_xll.BDP("05989CAE Muni","MUNI_FED_TAX")</f>
        <v>#N/A Requesting Data...</v>
      </c>
      <c r="R496" t="str">
        <f>_xll.BDP("05989CAE Muni","MUNI_MSRB_VOLUME")</f>
        <v>#N/A Requesting Data...</v>
      </c>
      <c r="S496" t="str">
        <f>_xll.BDP("05989CAE Muni","BB_COMPOSITE")</f>
        <v>#N/A Requesting Data...</v>
      </c>
      <c r="T496" t="str">
        <f>_xll.BDP("05989CAE Muni","LQA_LIQUIDITY_SCORE")</f>
        <v>#N/A Requesting Data...</v>
      </c>
    </row>
    <row r="497" spans="1:20" x14ac:dyDescent="0.25">
      <c r="A497" t="str">
        <f>_xll.BDP("05989CAF Muni","ID_CUSIP")</f>
        <v>#N/A Requesting Data...</v>
      </c>
      <c r="B497" t="s">
        <v>151</v>
      </c>
      <c r="C497" t="str">
        <f>_xll.BDP("05989CAF Muni","INSURANCE_STATUS")</f>
        <v>#N/A Requesting Data...</v>
      </c>
      <c r="D497" t="str">
        <f>_xll.BDP("05989CAF Muni","STATE_CODE")</f>
        <v>#N/A Requesting Data...</v>
      </c>
      <c r="E497" t="str">
        <f>_xll.BDP("05989CAF Muni","COUNTY_LOCATION_ISSUER")</f>
        <v>#N/A Requesting Data...</v>
      </c>
      <c r="F497" t="str">
        <f>_xll.BDP("05989CAF Muni","DUR_ADJ_MID")</f>
        <v>#N/A Requesting Data...</v>
      </c>
      <c r="G497" t="str">
        <f>_xll.BDP("05989CAF Muni","SPREAD_AT_ISSUANCE_TO_WORST")</f>
        <v>#N/A Requesting Data...</v>
      </c>
      <c r="H497" t="str">
        <f>_xll.BDP("05989CAF Muni","ISSUE_DT")</f>
        <v>#N/A Requesting Data...</v>
      </c>
      <c r="I497" t="str">
        <f>_xll.BDS("05989CAF Muni","MUNI_PURPOSE_SCHED", "aggregate=y")</f>
        <v>#N/A Requesting Data...</v>
      </c>
      <c r="J497" t="str">
        <f>_xll.BDP("05989CAF Muni","CPN")</f>
        <v>#N/A Requesting Data...</v>
      </c>
      <c r="K497" t="str">
        <f>_xll.BDP("05989CAF Muni","MATURITY")</f>
        <v>#N/A Requesting Data...</v>
      </c>
      <c r="L497">
        <v>40000</v>
      </c>
      <c r="M497" t="str">
        <f>_xll.BDP("05989CAF Muni","YIELD_ON_ISSUE_DATE")</f>
        <v>#N/A Requesting Data...</v>
      </c>
      <c r="N497" t="str">
        <f>_xll.BDP("05989CAF Muni","YTW_SPREAD_TO_MATURITY_AT_ISSU")</f>
        <v>#N/A Requesting Data...</v>
      </c>
      <c r="O497" t="str">
        <f>_xll.BDP("05989CAF Muni","BVAL_MID_YTM")</f>
        <v>#N/A Requesting Data...</v>
      </c>
      <c r="P497" t="str">
        <f>_xll.BDP("05989CAF Muni","MUNI_TAX_PROV")</f>
        <v>#N/A Requesting Data...</v>
      </c>
      <c r="Q497" t="str">
        <f>_xll.BDP("05989CAF Muni","MUNI_FED_TAX")</f>
        <v>#N/A Requesting Data...</v>
      </c>
      <c r="R497" t="str">
        <f>_xll.BDP("05989CAF Muni","MUNI_MSRB_VOLUME")</f>
        <v>#N/A Requesting Data...</v>
      </c>
      <c r="S497" t="str">
        <f>_xll.BDP("05989CAF Muni","BB_COMPOSITE")</f>
        <v>#N/A Requesting Data...</v>
      </c>
      <c r="T497" t="str">
        <f>_xll.BDP("05989CAF Muni","LQA_LIQUIDITY_SCORE")</f>
        <v>#N/A Requesting Data...</v>
      </c>
    </row>
    <row r="498" spans="1:20" x14ac:dyDescent="0.25">
      <c r="A498" t="str">
        <f>_xll.BDP("05989CAG Muni","ID_CUSIP")</f>
        <v>#N/A Requesting Data...</v>
      </c>
      <c r="B498" t="s">
        <v>151</v>
      </c>
      <c r="C498" t="str">
        <f>_xll.BDP("05989CAG Muni","INSURANCE_STATUS")</f>
        <v>#N/A Requesting Data...</v>
      </c>
      <c r="D498" t="str">
        <f>_xll.BDP("05989CAG Muni","STATE_CODE")</f>
        <v>#N/A Requesting Data...</v>
      </c>
      <c r="E498" t="str">
        <f>_xll.BDP("05989CAG Muni","COUNTY_LOCATION_ISSUER")</f>
        <v>#N/A Requesting Data...</v>
      </c>
      <c r="F498" t="str">
        <f>_xll.BDP("05989CAG Muni","DUR_ADJ_MID")</f>
        <v>#N/A Requesting Data...</v>
      </c>
      <c r="G498" t="str">
        <f>_xll.BDP("05989CAG Muni","SPREAD_AT_ISSUANCE_TO_WORST")</f>
        <v>#N/A Requesting Data...</v>
      </c>
      <c r="H498" t="str">
        <f>_xll.BDP("05989CAG Muni","ISSUE_DT")</f>
        <v>#N/A Requesting Data...</v>
      </c>
      <c r="I498" t="str">
        <f>_xll.BDS("05989CAG Muni","MUNI_PURPOSE_SCHED", "aggregate=y")</f>
        <v>#N/A Requesting Data...</v>
      </c>
      <c r="J498" t="str">
        <f>_xll.BDP("05989CAG Muni","CPN")</f>
        <v>#N/A Requesting Data...</v>
      </c>
      <c r="K498" t="str">
        <f>_xll.BDP("05989CAG Muni","MATURITY")</f>
        <v>#N/A Requesting Data...</v>
      </c>
      <c r="L498">
        <v>45000</v>
      </c>
      <c r="M498" t="str">
        <f>_xll.BDP("05989CAG Muni","YIELD_ON_ISSUE_DATE")</f>
        <v>#N/A Requesting Data...</v>
      </c>
      <c r="N498" t="str">
        <f>_xll.BDP("05989CAG Muni","YTW_SPREAD_TO_MATURITY_AT_ISSU")</f>
        <v>#N/A Requesting Data...</v>
      </c>
      <c r="O498" t="str">
        <f>_xll.BDP("05989CAG Muni","BVAL_MID_YTM")</f>
        <v>#N/A Requesting Data...</v>
      </c>
      <c r="P498" t="str">
        <f>_xll.BDP("05989CAG Muni","MUNI_TAX_PROV")</f>
        <v>#N/A Requesting Data...</v>
      </c>
      <c r="Q498" t="str">
        <f>_xll.BDP("05989CAG Muni","MUNI_FED_TAX")</f>
        <v>#N/A Requesting Data...</v>
      </c>
      <c r="R498" t="str">
        <f>_xll.BDP("05989CAG Muni","MUNI_MSRB_VOLUME")</f>
        <v>#N/A Requesting Data...</v>
      </c>
      <c r="S498" t="str">
        <f>_xll.BDP("05989CAG Muni","BB_COMPOSITE")</f>
        <v>#N/A Requesting Data...</v>
      </c>
      <c r="T498" t="str">
        <f>_xll.BDP("05989CAG Muni","LQA_LIQUIDITY_SCORE")</f>
        <v>#N/A Requesting Data...</v>
      </c>
    </row>
    <row r="499" spans="1:20" x14ac:dyDescent="0.25">
      <c r="A499" t="str">
        <f>_xll.BDP("05989CAH Muni","ID_CUSIP")</f>
        <v>#N/A Requesting Data...</v>
      </c>
      <c r="B499" t="s">
        <v>151</v>
      </c>
      <c r="C499" t="str">
        <f>_xll.BDP("05989CAH Muni","INSURANCE_STATUS")</f>
        <v>#N/A Requesting Data...</v>
      </c>
      <c r="D499" t="str">
        <f>_xll.BDP("05989CAH Muni","STATE_CODE")</f>
        <v>#N/A Requesting Data...</v>
      </c>
      <c r="E499" t="str">
        <f>_xll.BDP("05989CAH Muni","COUNTY_LOCATION_ISSUER")</f>
        <v>#N/A Requesting Data...</v>
      </c>
      <c r="F499" t="str">
        <f>_xll.BDP("05989CAH Muni","DUR_ADJ_MID")</f>
        <v>#N/A Requesting Data...</v>
      </c>
      <c r="G499" t="str">
        <f>_xll.BDP("05989CAH Muni","SPREAD_AT_ISSUANCE_TO_WORST")</f>
        <v>#N/A Requesting Data...</v>
      </c>
      <c r="H499" t="str">
        <f>_xll.BDP("05989CAH Muni","ISSUE_DT")</f>
        <v>#N/A Requesting Data...</v>
      </c>
      <c r="I499" t="str">
        <f>_xll.BDS("05989CAH Muni","MUNI_PURPOSE_SCHED", "aggregate=y")</f>
        <v>#N/A Requesting Data...</v>
      </c>
      <c r="J499" t="str">
        <f>_xll.BDP("05989CAH Muni","CPN")</f>
        <v>#N/A Requesting Data...</v>
      </c>
      <c r="K499" t="str">
        <f>_xll.BDP("05989CAH Muni","MATURITY")</f>
        <v>#N/A Requesting Data...</v>
      </c>
      <c r="L499">
        <v>45000</v>
      </c>
      <c r="M499" t="str">
        <f>_xll.BDP("05989CAH Muni","YIELD_ON_ISSUE_DATE")</f>
        <v>#N/A Requesting Data...</v>
      </c>
      <c r="N499" t="str">
        <f>_xll.BDP("05989CAH Muni","YTW_SPREAD_TO_MATURITY_AT_ISSU")</f>
        <v>#N/A Requesting Data...</v>
      </c>
      <c r="O499" t="str">
        <f>_xll.BDP("05989CAH Muni","BVAL_MID_YTM")</f>
        <v>#N/A Requesting Data...</v>
      </c>
      <c r="P499" t="str">
        <f>_xll.BDP("05989CAH Muni","MUNI_TAX_PROV")</f>
        <v>#N/A Requesting Data...</v>
      </c>
      <c r="Q499" t="str">
        <f>_xll.BDP("05989CAH Muni","MUNI_FED_TAX")</f>
        <v>#N/A Requesting Data...</v>
      </c>
      <c r="R499" t="str">
        <f>_xll.BDP("05989CAH Muni","MUNI_MSRB_VOLUME")</f>
        <v>#N/A Requesting Data...</v>
      </c>
      <c r="S499" t="str">
        <f>_xll.BDP("05989CAH Muni","BB_COMPOSITE")</f>
        <v>#N/A Requesting Data...</v>
      </c>
      <c r="T499" t="str">
        <f>_xll.BDP("05989CAH Muni","LQA_LIQUIDITY_SCORE")</f>
        <v>#N/A Requesting Data...</v>
      </c>
    </row>
    <row r="500" spans="1:20" x14ac:dyDescent="0.25">
      <c r="A500" t="str">
        <f>_xll.BDP("05989CAJ Muni","ID_CUSIP")</f>
        <v>#N/A Requesting Data...</v>
      </c>
      <c r="B500" t="s">
        <v>151</v>
      </c>
      <c r="C500" t="str">
        <f>_xll.BDP("05989CAJ Muni","INSURANCE_STATUS")</f>
        <v>#N/A Requesting Data...</v>
      </c>
      <c r="D500" t="str">
        <f>_xll.BDP("05989CAJ Muni","STATE_CODE")</f>
        <v>#N/A Requesting Data...</v>
      </c>
      <c r="E500" t="str">
        <f>_xll.BDP("05989CAJ Muni","COUNTY_LOCATION_ISSUER")</f>
        <v>#N/A Requesting Data...</v>
      </c>
      <c r="F500" t="str">
        <f>_xll.BDP("05989CAJ Muni","DUR_ADJ_MID")</f>
        <v>#N/A Requesting Data...</v>
      </c>
      <c r="G500" t="str">
        <f>_xll.BDP("05989CAJ Muni","SPREAD_AT_ISSUANCE_TO_WORST")</f>
        <v>#N/A Requesting Data...</v>
      </c>
      <c r="H500" t="str">
        <f>_xll.BDP("05989CAJ Muni","ISSUE_DT")</f>
        <v>#N/A Requesting Data...</v>
      </c>
      <c r="I500" t="str">
        <f>_xll.BDS("05989CAJ Muni","MUNI_PURPOSE_SCHED", "aggregate=y")</f>
        <v>#N/A Requesting Data...</v>
      </c>
      <c r="J500" t="str">
        <f>_xll.BDP("05989CAJ Muni","CPN")</f>
        <v>#N/A Requesting Data...</v>
      </c>
      <c r="K500" t="str">
        <f>_xll.BDP("05989CAJ Muni","MATURITY")</f>
        <v>#N/A Requesting Data...</v>
      </c>
      <c r="L500">
        <v>45000</v>
      </c>
      <c r="M500" t="str">
        <f>_xll.BDP("05989CAJ Muni","YIELD_ON_ISSUE_DATE")</f>
        <v>#N/A Requesting Data...</v>
      </c>
      <c r="N500" t="str">
        <f>_xll.BDP("05989CAJ Muni","YTW_SPREAD_TO_MATURITY_AT_ISSU")</f>
        <v>#N/A Requesting Data...</v>
      </c>
      <c r="O500" t="str">
        <f>_xll.BDP("05989CAJ Muni","BVAL_MID_YTM")</f>
        <v>#N/A Requesting Data...</v>
      </c>
      <c r="P500" t="str">
        <f>_xll.BDP("05989CAJ Muni","MUNI_TAX_PROV")</f>
        <v>#N/A Requesting Data...</v>
      </c>
      <c r="Q500" t="str">
        <f>_xll.BDP("05989CAJ Muni","MUNI_FED_TAX")</f>
        <v>#N/A Requesting Data...</v>
      </c>
      <c r="R500" t="str">
        <f>_xll.BDP("05989CAJ Muni","MUNI_MSRB_VOLUME")</f>
        <v>#N/A Requesting Data...</v>
      </c>
      <c r="S500" t="str">
        <f>_xll.BDP("05989CAJ Muni","BB_COMPOSITE")</f>
        <v>#N/A Requesting Data...</v>
      </c>
      <c r="T500" t="str">
        <f>_xll.BDP("05989CAJ Muni","LQA_LIQUIDITY_SCORE")</f>
        <v>#N/A Requesting Data...</v>
      </c>
    </row>
    <row r="501" spans="1:20" x14ac:dyDescent="0.25">
      <c r="A501" t="str">
        <f>_xll.BDP("05989CAK Muni","ID_CUSIP")</f>
        <v>#N/A Requesting Data...</v>
      </c>
      <c r="B501" t="s">
        <v>151</v>
      </c>
      <c r="C501" t="str">
        <f>_xll.BDP("05989CAK Muni","INSURANCE_STATUS")</f>
        <v>#N/A Requesting Data...</v>
      </c>
      <c r="D501" t="str">
        <f>_xll.BDP("05989CAK Muni","STATE_CODE")</f>
        <v>#N/A Requesting Data...</v>
      </c>
      <c r="E501" t="str">
        <f>_xll.BDP("05989CAK Muni","COUNTY_LOCATION_ISSUER")</f>
        <v>#N/A Requesting Data...</v>
      </c>
      <c r="F501" t="str">
        <f>_xll.BDP("05989CAK Muni","DUR_ADJ_MID")</f>
        <v>#N/A Requesting Data...</v>
      </c>
      <c r="G501" t="str">
        <f>_xll.BDP("05989CAK Muni","SPREAD_AT_ISSUANCE_TO_WORST")</f>
        <v>#N/A Requesting Data...</v>
      </c>
      <c r="H501" t="str">
        <f>_xll.BDP("05989CAK Muni","ISSUE_DT")</f>
        <v>#N/A Requesting Data...</v>
      </c>
      <c r="I501" t="str">
        <f>_xll.BDS("05989CAK Muni","MUNI_PURPOSE_SCHED", "aggregate=y")</f>
        <v>#N/A Requesting Data...</v>
      </c>
      <c r="J501" t="str">
        <f>_xll.BDP("05989CAK Muni","CPN")</f>
        <v>#N/A Requesting Data...</v>
      </c>
      <c r="K501" t="str">
        <f>_xll.BDP("05989CAK Muni","MATURITY")</f>
        <v>#N/A Requesting Data...</v>
      </c>
      <c r="L501">
        <v>50000</v>
      </c>
      <c r="M501" t="str">
        <f>_xll.BDP("05989CAK Muni","YIELD_ON_ISSUE_DATE")</f>
        <v>#N/A Requesting Data...</v>
      </c>
      <c r="N501" t="str">
        <f>_xll.BDP("05989CAK Muni","YTW_SPREAD_TO_MATURITY_AT_ISSU")</f>
        <v>#N/A Requesting Data...</v>
      </c>
      <c r="O501" t="str">
        <f>_xll.BDP("05989CAK Muni","BVAL_MID_YTM")</f>
        <v>#N/A Requesting Data...</v>
      </c>
      <c r="P501" t="str">
        <f>_xll.BDP("05989CAK Muni","MUNI_TAX_PROV")</f>
        <v>#N/A Requesting Data...</v>
      </c>
      <c r="Q501" t="str">
        <f>_xll.BDP("05989CAK Muni","MUNI_FED_TAX")</f>
        <v>#N/A Requesting Data...</v>
      </c>
      <c r="R501" t="str">
        <f>_xll.BDP("05989CAK Muni","MUNI_MSRB_VOLUME")</f>
        <v>#N/A Requesting Data...</v>
      </c>
      <c r="S501" t="str">
        <f>_xll.BDP("05989CAK Muni","BB_COMPOSITE")</f>
        <v>#N/A Requesting Data...</v>
      </c>
      <c r="T501" t="str">
        <f>_xll.BDP("05989CAK Muni","LQA_LIQUIDITY_SCORE")</f>
        <v>#N/A Requesting Data...</v>
      </c>
    </row>
    <row r="502" spans="1:20" x14ac:dyDescent="0.25">
      <c r="A502" t="str">
        <f>_xll.BDP("068170CG Muni","ID_CUSIP")</f>
        <v>#N/A Requesting Data...</v>
      </c>
      <c r="B502" t="s">
        <v>152</v>
      </c>
      <c r="C502" t="str">
        <f>_xll.BDP("068170CG Muni","INSURANCE_STATUS")</f>
        <v>#N/A Requesting Data...</v>
      </c>
      <c r="D502" t="str">
        <f>_xll.BDP("068170CG Muni","STATE_CODE")</f>
        <v>#N/A Requesting Data...</v>
      </c>
      <c r="E502" t="str">
        <f>_xll.BDP("068170CG Muni","COUNTY_LOCATION_ISSUER")</f>
        <v>#N/A Requesting Data...</v>
      </c>
      <c r="F502" t="str">
        <f>_xll.BDP("068170CG Muni","DUR_ADJ_MID")</f>
        <v>#N/A Requesting Data...</v>
      </c>
      <c r="G502" t="str">
        <f>_xll.BDP("068170CG Muni","SPREAD_AT_ISSUANCE_TO_WORST")</f>
        <v>#N/A Requesting Data...</v>
      </c>
      <c r="H502" t="str">
        <f>_xll.BDP("068170CG Muni","ISSUE_DT")</f>
        <v>#N/A Requesting Data...</v>
      </c>
      <c r="I502" t="str">
        <f>_xll.BDS("068170CG Muni","MUNI_PURPOSE_SCHED", "aggregate=y")</f>
        <v>#N/A Requesting Data...</v>
      </c>
      <c r="J502" t="str">
        <f>_xll.BDP("068170CG Muni","CPN")</f>
        <v>#N/A Requesting Data...</v>
      </c>
      <c r="K502" t="str">
        <f>_xll.BDP("068170CG Muni","MATURITY")</f>
        <v>#N/A Requesting Data...</v>
      </c>
      <c r="L502">
        <v>115000</v>
      </c>
      <c r="M502" t="str">
        <f>_xll.BDP("068170CG Muni","YIELD_ON_ISSUE_DATE")</f>
        <v>#N/A Requesting Data...</v>
      </c>
      <c r="N502" t="str">
        <f>_xll.BDP("068170CG Muni","YTW_SPREAD_TO_MATURITY_AT_ISSU")</f>
        <v>#N/A Requesting Data...</v>
      </c>
      <c r="O502" t="str">
        <f>_xll.BDP("068170CG Muni","BVAL_MID_YTM")</f>
        <v>#N/A Requesting Data...</v>
      </c>
      <c r="P502" t="str">
        <f>_xll.BDP("068170CG Muni","MUNI_TAX_PROV")</f>
        <v>#N/A Requesting Data...</v>
      </c>
      <c r="Q502" t="str">
        <f>_xll.BDP("068170CG Muni","MUNI_FED_TAX")</f>
        <v>#N/A Requesting Data...</v>
      </c>
      <c r="R502" t="str">
        <f>_xll.BDP("068170CG Muni","MUNI_MSRB_VOLUME")</f>
        <v>#N/A Requesting Data...</v>
      </c>
      <c r="S502" t="str">
        <f>_xll.BDP("068170CG Muni","BB_COMPOSITE")</f>
        <v>#N/A Requesting Data...</v>
      </c>
      <c r="T502" t="str">
        <f>_xll.BDP("068170CG Muni","LQA_LIQUIDITY_SCORE")</f>
        <v>#N/A Requesting Data...</v>
      </c>
    </row>
    <row r="503" spans="1:20" x14ac:dyDescent="0.25">
      <c r="A503" t="str">
        <f>_xll.BDP("068170CH Muni","ID_CUSIP")</f>
        <v>#N/A Requesting Data...</v>
      </c>
      <c r="B503" t="s">
        <v>152</v>
      </c>
      <c r="C503" t="str">
        <f>_xll.BDP("068170CH Muni","INSURANCE_STATUS")</f>
        <v>#N/A Requesting Data...</v>
      </c>
      <c r="D503" t="str">
        <f>_xll.BDP("068170CH Muni","STATE_CODE")</f>
        <v>#N/A Requesting Data...</v>
      </c>
      <c r="E503" t="str">
        <f>_xll.BDP("068170CH Muni","COUNTY_LOCATION_ISSUER")</f>
        <v>#N/A Requesting Data...</v>
      </c>
      <c r="F503" t="str">
        <f>_xll.BDP("068170CH Muni","DUR_ADJ_MID")</f>
        <v>#N/A Requesting Data...</v>
      </c>
      <c r="G503" t="str">
        <f>_xll.BDP("068170CH Muni","SPREAD_AT_ISSUANCE_TO_WORST")</f>
        <v>#N/A Requesting Data...</v>
      </c>
      <c r="H503" t="str">
        <f>_xll.BDP("068170CH Muni","ISSUE_DT")</f>
        <v>#N/A Requesting Data...</v>
      </c>
      <c r="I503" t="str">
        <f>_xll.BDS("068170CH Muni","MUNI_PURPOSE_SCHED", "aggregate=y")</f>
        <v>#N/A Requesting Data...</v>
      </c>
      <c r="J503" t="str">
        <f>_xll.BDP("068170CH Muni","CPN")</f>
        <v>#N/A Requesting Data...</v>
      </c>
      <c r="K503" t="str">
        <f>_xll.BDP("068170CH Muni","MATURITY")</f>
        <v>#N/A Requesting Data...</v>
      </c>
      <c r="L503">
        <v>115000</v>
      </c>
      <c r="M503" t="str">
        <f>_xll.BDP("068170CH Muni","YIELD_ON_ISSUE_DATE")</f>
        <v>#N/A Requesting Data...</v>
      </c>
      <c r="N503" t="str">
        <f>_xll.BDP("068170CH Muni","YTW_SPREAD_TO_MATURITY_AT_ISSU")</f>
        <v>#N/A Requesting Data...</v>
      </c>
      <c r="O503" t="str">
        <f>_xll.BDP("068170CH Muni","BVAL_MID_YTM")</f>
        <v>#N/A Requesting Data...</v>
      </c>
      <c r="P503" t="str">
        <f>_xll.BDP("068170CH Muni","MUNI_TAX_PROV")</f>
        <v>#N/A Requesting Data...</v>
      </c>
      <c r="Q503" t="str">
        <f>_xll.BDP("068170CH Muni","MUNI_FED_TAX")</f>
        <v>#N/A Requesting Data...</v>
      </c>
      <c r="R503" t="str">
        <f>_xll.BDP("068170CH Muni","MUNI_MSRB_VOLUME")</f>
        <v>#N/A Requesting Data...</v>
      </c>
      <c r="S503" t="str">
        <f>_xll.BDP("068170CH Muni","BB_COMPOSITE")</f>
        <v>#N/A Requesting Data...</v>
      </c>
      <c r="T503" t="str">
        <f>_xll.BDP("068170CH Muni","LQA_LIQUIDITY_SCORE")</f>
        <v>#N/A Requesting Data...</v>
      </c>
    </row>
    <row r="504" spans="1:20" x14ac:dyDescent="0.25">
      <c r="A504" t="str">
        <f>_xll.BDP("068170CJ Muni","ID_CUSIP")</f>
        <v>#N/A Requesting Data...</v>
      </c>
      <c r="B504" t="s">
        <v>152</v>
      </c>
      <c r="C504" t="str">
        <f>_xll.BDP("068170CJ Muni","INSURANCE_STATUS")</f>
        <v>#N/A Requesting Data...</v>
      </c>
      <c r="D504" t="str">
        <f>_xll.BDP("068170CJ Muni","STATE_CODE")</f>
        <v>#N/A Requesting Data...</v>
      </c>
      <c r="E504" t="str">
        <f>_xll.BDP("068170CJ Muni","COUNTY_LOCATION_ISSUER")</f>
        <v>#N/A Requesting Data...</v>
      </c>
      <c r="F504" t="str">
        <f>_xll.BDP("068170CJ Muni","DUR_ADJ_MID")</f>
        <v>#N/A Requesting Data...</v>
      </c>
      <c r="G504" t="str">
        <f>_xll.BDP("068170CJ Muni","SPREAD_AT_ISSUANCE_TO_WORST")</f>
        <v>#N/A Requesting Data...</v>
      </c>
      <c r="H504" t="str">
        <f>_xll.BDP("068170CJ Muni","ISSUE_DT")</f>
        <v>#N/A Requesting Data...</v>
      </c>
      <c r="I504" t="str">
        <f>_xll.BDS("068170CJ Muni","MUNI_PURPOSE_SCHED", "aggregate=y")</f>
        <v>#N/A Requesting Data...</v>
      </c>
      <c r="J504" t="str">
        <f>_xll.BDP("068170CJ Muni","CPN")</f>
        <v>#N/A Requesting Data...</v>
      </c>
      <c r="K504" t="str">
        <f>_xll.BDP("068170CJ Muni","MATURITY")</f>
        <v>#N/A Requesting Data...</v>
      </c>
      <c r="L504">
        <v>115000</v>
      </c>
      <c r="M504" t="str">
        <f>_xll.BDP("068170CJ Muni","YIELD_ON_ISSUE_DATE")</f>
        <v>#N/A Requesting Data...</v>
      </c>
      <c r="N504" t="str">
        <f>_xll.BDP("068170CJ Muni","YTW_SPREAD_TO_MATURITY_AT_ISSU")</f>
        <v>#N/A Requesting Data...</v>
      </c>
      <c r="O504" t="str">
        <f>_xll.BDP("068170CJ Muni","BVAL_MID_YTM")</f>
        <v>#N/A Requesting Data...</v>
      </c>
      <c r="P504" t="str">
        <f>_xll.BDP("068170CJ Muni","MUNI_TAX_PROV")</f>
        <v>#N/A Requesting Data...</v>
      </c>
      <c r="Q504" t="str">
        <f>_xll.BDP("068170CJ Muni","MUNI_FED_TAX")</f>
        <v>#N/A Requesting Data...</v>
      </c>
      <c r="R504" t="str">
        <f>_xll.BDP("068170CJ Muni","MUNI_MSRB_VOLUME")</f>
        <v>#N/A Requesting Data...</v>
      </c>
      <c r="S504" t="str">
        <f>_xll.BDP("068170CJ Muni","BB_COMPOSITE")</f>
        <v>#N/A Requesting Data...</v>
      </c>
      <c r="T504" t="str">
        <f>_xll.BDP("068170CJ Muni","LQA_LIQUIDITY_SCORE")</f>
        <v>#N/A Requesting Data...</v>
      </c>
    </row>
    <row r="505" spans="1:20" x14ac:dyDescent="0.25">
      <c r="A505" t="str">
        <f>_xll.BDP("068170CK Muni","ID_CUSIP")</f>
        <v>#N/A Requesting Data...</v>
      </c>
      <c r="B505" t="s">
        <v>152</v>
      </c>
      <c r="C505" t="str">
        <f>_xll.BDP("068170CK Muni","INSURANCE_STATUS")</f>
        <v>#N/A Requesting Data...</v>
      </c>
      <c r="D505" t="str">
        <f>_xll.BDP("068170CK Muni","STATE_CODE")</f>
        <v>#N/A Requesting Data...</v>
      </c>
      <c r="E505" t="str">
        <f>_xll.BDP("068170CK Muni","COUNTY_LOCATION_ISSUER")</f>
        <v>#N/A Requesting Data...</v>
      </c>
      <c r="F505" t="str">
        <f>_xll.BDP("068170CK Muni","DUR_ADJ_MID")</f>
        <v>#N/A Requesting Data...</v>
      </c>
      <c r="G505" t="str">
        <f>_xll.BDP("068170CK Muni","SPREAD_AT_ISSUANCE_TO_WORST")</f>
        <v>#N/A Requesting Data...</v>
      </c>
      <c r="H505" t="str">
        <f>_xll.BDP("068170CK Muni","ISSUE_DT")</f>
        <v>#N/A Requesting Data...</v>
      </c>
      <c r="I505" t="str">
        <f>_xll.BDS("068170CK Muni","MUNI_PURPOSE_SCHED", "aggregate=y")</f>
        <v>#N/A Requesting Data...</v>
      </c>
      <c r="J505" t="str">
        <f>_xll.BDP("068170CK Muni","CPN")</f>
        <v>#N/A Requesting Data...</v>
      </c>
      <c r="K505" t="str">
        <f>_xll.BDP("068170CK Muni","MATURITY")</f>
        <v>#N/A Requesting Data...</v>
      </c>
      <c r="L505">
        <v>115000</v>
      </c>
      <c r="M505" t="str">
        <f>_xll.BDP("068170CK Muni","YIELD_ON_ISSUE_DATE")</f>
        <v>#N/A Requesting Data...</v>
      </c>
      <c r="N505" t="str">
        <f>_xll.BDP("068170CK Muni","YTW_SPREAD_TO_MATURITY_AT_ISSU")</f>
        <v>#N/A Requesting Data...</v>
      </c>
      <c r="O505" t="str">
        <f>_xll.BDP("068170CK Muni","BVAL_MID_YTM")</f>
        <v>#N/A Requesting Data...</v>
      </c>
      <c r="P505" t="str">
        <f>_xll.BDP("068170CK Muni","MUNI_TAX_PROV")</f>
        <v>#N/A Requesting Data...</v>
      </c>
      <c r="Q505" t="str">
        <f>_xll.BDP("068170CK Muni","MUNI_FED_TAX")</f>
        <v>#N/A Requesting Data...</v>
      </c>
      <c r="R505" t="str">
        <f>_xll.BDP("068170CK Muni","MUNI_MSRB_VOLUME")</f>
        <v>#N/A Requesting Data...</v>
      </c>
      <c r="S505" t="str">
        <f>_xll.BDP("068170CK Muni","BB_COMPOSITE")</f>
        <v>#N/A Requesting Data...</v>
      </c>
      <c r="T505" t="str">
        <f>_xll.BDP("068170CK Muni","LQA_LIQUIDITY_SCORE")</f>
        <v>#N/A Requesting Data...</v>
      </c>
    </row>
    <row r="506" spans="1:20" x14ac:dyDescent="0.25">
      <c r="A506" t="str">
        <f>_xll.BDP("068524HT Muni","ID_CUSIP")</f>
        <v>#N/A Requesting Data...</v>
      </c>
      <c r="B506" t="s">
        <v>153</v>
      </c>
      <c r="C506" t="str">
        <f>_xll.BDP("068524HT Muni","INSURANCE_STATUS")</f>
        <v>#N/A Requesting Data...</v>
      </c>
      <c r="D506" t="str">
        <f>_xll.BDP("068524HT Muni","STATE_CODE")</f>
        <v>#N/A Requesting Data...</v>
      </c>
      <c r="E506" t="str">
        <f>_xll.BDP("068524HT Muni","COUNTY_LOCATION_ISSUER")</f>
        <v>#N/A Requesting Data...</v>
      </c>
      <c r="F506" t="str">
        <f>_xll.BDP("068524HT Muni","DUR_ADJ_MID")</f>
        <v>#N/A Requesting Data...</v>
      </c>
      <c r="G506" t="str">
        <f>_xll.BDP("068524HT Muni","SPREAD_AT_ISSUANCE_TO_WORST")</f>
        <v>#N/A Requesting Data...</v>
      </c>
      <c r="H506" t="str">
        <f>_xll.BDP("068524HT Muni","ISSUE_DT")</f>
        <v>#N/A Requesting Data...</v>
      </c>
      <c r="I506" t="str">
        <f>_xll.BDS("068524HT Muni","MUNI_PURPOSE_SCHED", "aggregate=y")</f>
        <v>#N/A Requesting Data...</v>
      </c>
      <c r="J506" t="str">
        <f>_xll.BDP("068524HT Muni","CPN")</f>
        <v>#N/A Requesting Data...</v>
      </c>
      <c r="K506" t="str">
        <f>_xll.BDP("068524HT Muni","MATURITY")</f>
        <v>#N/A Requesting Data...</v>
      </c>
      <c r="L506">
        <v>325000</v>
      </c>
      <c r="M506" t="str">
        <f>_xll.BDP("068524HT Muni","YIELD_ON_ISSUE_DATE")</f>
        <v>#N/A Requesting Data...</v>
      </c>
      <c r="N506" t="str">
        <f>_xll.BDP("068524HT Muni","YTW_SPREAD_TO_MATURITY_AT_ISSU")</f>
        <v>#N/A Requesting Data...</v>
      </c>
      <c r="O506" t="str">
        <f>_xll.BDP("068524HT Muni","BVAL_MID_YTM")</f>
        <v>#N/A Requesting Data...</v>
      </c>
      <c r="P506" t="str">
        <f>_xll.BDP("068524HT Muni","MUNI_TAX_PROV")</f>
        <v>#N/A Requesting Data...</v>
      </c>
      <c r="Q506" t="str">
        <f>_xll.BDP("068524HT Muni","MUNI_FED_TAX")</f>
        <v>#N/A Requesting Data...</v>
      </c>
      <c r="R506" t="str">
        <f>_xll.BDP("068524HT Muni","MUNI_MSRB_VOLUME")</f>
        <v>#N/A Requesting Data...</v>
      </c>
      <c r="S506" t="str">
        <f>_xll.BDP("068524HT Muni","BB_COMPOSITE")</f>
        <v>#N/A Requesting Data...</v>
      </c>
      <c r="T506" t="str">
        <f>_xll.BDP("068524HT Muni","LQA_LIQUIDITY_SCORE")</f>
        <v>#N/A Requesting Data...</v>
      </c>
    </row>
    <row r="507" spans="1:20" x14ac:dyDescent="0.25">
      <c r="A507" t="str">
        <f>_xll.BDP("068524HU Muni","ID_CUSIP")</f>
        <v>#N/A Requesting Data...</v>
      </c>
      <c r="B507" t="s">
        <v>153</v>
      </c>
      <c r="C507" t="str">
        <f>_xll.BDP("068524HU Muni","INSURANCE_STATUS")</f>
        <v>#N/A Requesting Data...</v>
      </c>
      <c r="D507" t="str">
        <f>_xll.BDP("068524HU Muni","STATE_CODE")</f>
        <v>#N/A Requesting Data...</v>
      </c>
      <c r="E507" t="str">
        <f>_xll.BDP("068524HU Muni","COUNTY_LOCATION_ISSUER")</f>
        <v>#N/A Requesting Data...</v>
      </c>
      <c r="F507" t="str">
        <f>_xll.BDP("068524HU Muni","DUR_ADJ_MID")</f>
        <v>#N/A Requesting Data...</v>
      </c>
      <c r="G507" t="str">
        <f>_xll.BDP("068524HU Muni","SPREAD_AT_ISSUANCE_TO_WORST")</f>
        <v>#N/A Requesting Data...</v>
      </c>
      <c r="H507" t="str">
        <f>_xll.BDP("068524HU Muni","ISSUE_DT")</f>
        <v>#N/A Requesting Data...</v>
      </c>
      <c r="I507" t="str">
        <f>_xll.BDS("068524HU Muni","MUNI_PURPOSE_SCHED", "aggregate=y")</f>
        <v>#N/A Requesting Data...</v>
      </c>
      <c r="J507" t="str">
        <f>_xll.BDP("068524HU Muni","CPN")</f>
        <v>#N/A Requesting Data...</v>
      </c>
      <c r="K507" t="str">
        <f>_xll.BDP("068524HU Muni","MATURITY")</f>
        <v>#N/A Requesting Data...</v>
      </c>
      <c r="L507">
        <v>330000</v>
      </c>
      <c r="M507" t="str">
        <f>_xll.BDP("068524HU Muni","YIELD_ON_ISSUE_DATE")</f>
        <v>#N/A Requesting Data...</v>
      </c>
      <c r="N507" t="str">
        <f>_xll.BDP("068524HU Muni","YTW_SPREAD_TO_MATURITY_AT_ISSU")</f>
        <v>#N/A Requesting Data...</v>
      </c>
      <c r="O507" t="str">
        <f>_xll.BDP("068524HU Muni","BVAL_MID_YTM")</f>
        <v>#N/A Requesting Data...</v>
      </c>
      <c r="P507" t="str">
        <f>_xll.BDP("068524HU Muni","MUNI_TAX_PROV")</f>
        <v>#N/A Requesting Data...</v>
      </c>
      <c r="Q507" t="str">
        <f>_xll.BDP("068524HU Muni","MUNI_FED_TAX")</f>
        <v>#N/A Requesting Data...</v>
      </c>
      <c r="R507" t="str">
        <f>_xll.BDP("068524HU Muni","MUNI_MSRB_VOLUME")</f>
        <v>#N/A Requesting Data...</v>
      </c>
      <c r="S507" t="str">
        <f>_xll.BDP("068524HU Muni","BB_COMPOSITE")</f>
        <v>#N/A Requesting Data...</v>
      </c>
      <c r="T507" t="str">
        <f>_xll.BDP("068524HU Muni","LQA_LIQUIDITY_SCORE")</f>
        <v>#N/A Requesting Data...</v>
      </c>
    </row>
    <row r="508" spans="1:20" x14ac:dyDescent="0.25">
      <c r="A508" t="str">
        <f>_xll.BDP("068524HV Muni","ID_CUSIP")</f>
        <v>#N/A Requesting Data...</v>
      </c>
      <c r="B508" t="s">
        <v>153</v>
      </c>
      <c r="C508" t="str">
        <f>_xll.BDP("068524HV Muni","INSURANCE_STATUS")</f>
        <v>#N/A Requesting Data...</v>
      </c>
      <c r="D508" t="str">
        <f>_xll.BDP("068524HV Muni","STATE_CODE")</f>
        <v>#N/A Requesting Data...</v>
      </c>
      <c r="E508" t="str">
        <f>_xll.BDP("068524HV Muni","COUNTY_LOCATION_ISSUER")</f>
        <v>#N/A Requesting Data...</v>
      </c>
      <c r="F508" t="str">
        <f>_xll.BDP("068524HV Muni","DUR_ADJ_MID")</f>
        <v>#N/A Requesting Data...</v>
      </c>
      <c r="G508" t="str">
        <f>_xll.BDP("068524HV Muni","SPREAD_AT_ISSUANCE_TO_WORST")</f>
        <v>#N/A Requesting Data...</v>
      </c>
      <c r="H508" t="str">
        <f>_xll.BDP("068524HV Muni","ISSUE_DT")</f>
        <v>#N/A Requesting Data...</v>
      </c>
      <c r="I508" t="str">
        <f>_xll.BDS("068524HV Muni","MUNI_PURPOSE_SCHED", "aggregate=y")</f>
        <v>#N/A Requesting Data...</v>
      </c>
      <c r="J508" t="str">
        <f>_xll.BDP("068524HV Muni","CPN")</f>
        <v>#N/A Requesting Data...</v>
      </c>
      <c r="K508" t="str">
        <f>_xll.BDP("068524HV Muni","MATURITY")</f>
        <v>#N/A Requesting Data...</v>
      </c>
      <c r="L508">
        <v>340000</v>
      </c>
      <c r="M508" t="str">
        <f>_xll.BDP("068524HV Muni","YIELD_ON_ISSUE_DATE")</f>
        <v>#N/A Requesting Data...</v>
      </c>
      <c r="N508" t="str">
        <f>_xll.BDP("068524HV Muni","YTW_SPREAD_TO_MATURITY_AT_ISSU")</f>
        <v>#N/A Requesting Data...</v>
      </c>
      <c r="O508" t="str">
        <f>_xll.BDP("068524HV Muni","BVAL_MID_YTM")</f>
        <v>#N/A Requesting Data...</v>
      </c>
      <c r="P508" t="str">
        <f>_xll.BDP("068524HV Muni","MUNI_TAX_PROV")</f>
        <v>#N/A Requesting Data...</v>
      </c>
      <c r="Q508" t="str">
        <f>_xll.BDP("068524HV Muni","MUNI_FED_TAX")</f>
        <v>#N/A Requesting Data...</v>
      </c>
      <c r="R508" t="str">
        <f>_xll.BDP("068524HV Muni","MUNI_MSRB_VOLUME")</f>
        <v>#N/A Requesting Data...</v>
      </c>
      <c r="S508" t="str">
        <f>_xll.BDP("068524HV Muni","BB_COMPOSITE")</f>
        <v>#N/A Requesting Data...</v>
      </c>
      <c r="T508" t="str">
        <f>_xll.BDP("068524HV Muni","LQA_LIQUIDITY_SCORE")</f>
        <v>#N/A Requesting Data...</v>
      </c>
    </row>
    <row r="509" spans="1:20" x14ac:dyDescent="0.25">
      <c r="A509" t="str">
        <f>_xll.BDP("068524HW Muni","ID_CUSIP")</f>
        <v>#N/A Requesting Data...</v>
      </c>
      <c r="B509" t="s">
        <v>153</v>
      </c>
      <c r="C509" t="str">
        <f>_xll.BDP("068524HW Muni","INSURANCE_STATUS")</f>
        <v>#N/A Requesting Data...</v>
      </c>
      <c r="D509" t="str">
        <f>_xll.BDP("068524HW Muni","STATE_CODE")</f>
        <v>#N/A Requesting Data...</v>
      </c>
      <c r="E509" t="str">
        <f>_xll.BDP("068524HW Muni","COUNTY_LOCATION_ISSUER")</f>
        <v>#N/A Requesting Data...</v>
      </c>
      <c r="F509" t="str">
        <f>_xll.BDP("068524HW Muni","DUR_ADJ_MID")</f>
        <v>#N/A Requesting Data...</v>
      </c>
      <c r="G509" t="str">
        <f>_xll.BDP("068524HW Muni","SPREAD_AT_ISSUANCE_TO_WORST")</f>
        <v>#N/A Requesting Data...</v>
      </c>
      <c r="H509" t="str">
        <f>_xll.BDP("068524HW Muni","ISSUE_DT")</f>
        <v>#N/A Requesting Data...</v>
      </c>
      <c r="I509" t="str">
        <f>_xll.BDS("068524HW Muni","MUNI_PURPOSE_SCHED", "aggregate=y")</f>
        <v>#N/A Requesting Data...</v>
      </c>
      <c r="J509" t="str">
        <f>_xll.BDP("068524HW Muni","CPN")</f>
        <v>#N/A Requesting Data...</v>
      </c>
      <c r="K509" t="str">
        <f>_xll.BDP("068524HW Muni","MATURITY")</f>
        <v>#N/A Requesting Data...</v>
      </c>
      <c r="L509">
        <v>355000</v>
      </c>
      <c r="M509" t="str">
        <f>_xll.BDP("068524HW Muni","YIELD_ON_ISSUE_DATE")</f>
        <v>#N/A Requesting Data...</v>
      </c>
      <c r="N509" t="str">
        <f>_xll.BDP("068524HW Muni","YTW_SPREAD_TO_MATURITY_AT_ISSU")</f>
        <v>#N/A Requesting Data...</v>
      </c>
      <c r="O509" t="str">
        <f>_xll.BDP("068524HW Muni","BVAL_MID_YTM")</f>
        <v>#N/A Requesting Data...</v>
      </c>
      <c r="P509" t="str">
        <f>_xll.BDP("068524HW Muni","MUNI_TAX_PROV")</f>
        <v>#N/A Requesting Data...</v>
      </c>
      <c r="Q509" t="str">
        <f>_xll.BDP("068524HW Muni","MUNI_FED_TAX")</f>
        <v>#N/A Requesting Data...</v>
      </c>
      <c r="R509" t="str">
        <f>_xll.BDP("068524HW Muni","MUNI_MSRB_VOLUME")</f>
        <v>#N/A Requesting Data...</v>
      </c>
      <c r="S509" t="str">
        <f>_xll.BDP("068524HW Muni","BB_COMPOSITE")</f>
        <v>#N/A Requesting Data...</v>
      </c>
      <c r="T509" t="str">
        <f>_xll.BDP("068524HW Muni","LQA_LIQUIDITY_SCORE")</f>
        <v>#N/A Requesting Data...</v>
      </c>
    </row>
    <row r="510" spans="1:20" x14ac:dyDescent="0.25">
      <c r="A510" t="str">
        <f>_xll.BDP("068524HX Muni","ID_CUSIP")</f>
        <v>#N/A Requesting Data...</v>
      </c>
      <c r="B510" t="s">
        <v>153</v>
      </c>
      <c r="C510" t="str">
        <f>_xll.BDP("068524HX Muni","INSURANCE_STATUS")</f>
        <v>#N/A Requesting Data...</v>
      </c>
      <c r="D510" t="str">
        <f>_xll.BDP("068524HX Muni","STATE_CODE")</f>
        <v>#N/A Requesting Data...</v>
      </c>
      <c r="E510" t="str">
        <f>_xll.BDP("068524HX Muni","COUNTY_LOCATION_ISSUER")</f>
        <v>#N/A Requesting Data...</v>
      </c>
      <c r="F510" t="str">
        <f>_xll.BDP("068524HX Muni","DUR_ADJ_MID")</f>
        <v>#N/A Requesting Data...</v>
      </c>
      <c r="G510" t="str">
        <f>_xll.BDP("068524HX Muni","SPREAD_AT_ISSUANCE_TO_WORST")</f>
        <v>#N/A Requesting Data...</v>
      </c>
      <c r="H510" t="str">
        <f>_xll.BDP("068524HX Muni","ISSUE_DT")</f>
        <v>#N/A Requesting Data...</v>
      </c>
      <c r="I510" t="str">
        <f>_xll.BDS("068524HX Muni","MUNI_PURPOSE_SCHED", "aggregate=y")</f>
        <v>#N/A Requesting Data...</v>
      </c>
      <c r="J510" t="str">
        <f>_xll.BDP("068524HX Muni","CPN")</f>
        <v>#N/A Requesting Data...</v>
      </c>
      <c r="K510" t="str">
        <f>_xll.BDP("068524HX Muni","MATURITY")</f>
        <v>#N/A Requesting Data...</v>
      </c>
      <c r="L510">
        <v>365000</v>
      </c>
      <c r="M510" t="str">
        <f>_xll.BDP("068524HX Muni","YIELD_ON_ISSUE_DATE")</f>
        <v>#N/A Requesting Data...</v>
      </c>
      <c r="N510" t="str">
        <f>_xll.BDP("068524HX Muni","YTW_SPREAD_TO_MATURITY_AT_ISSU")</f>
        <v>#N/A Requesting Data...</v>
      </c>
      <c r="O510" t="str">
        <f>_xll.BDP("068524HX Muni","BVAL_MID_YTM")</f>
        <v>#N/A Requesting Data...</v>
      </c>
      <c r="P510" t="str">
        <f>_xll.BDP("068524HX Muni","MUNI_TAX_PROV")</f>
        <v>#N/A Requesting Data...</v>
      </c>
      <c r="Q510" t="str">
        <f>_xll.BDP("068524HX Muni","MUNI_FED_TAX")</f>
        <v>#N/A Requesting Data...</v>
      </c>
      <c r="R510" t="str">
        <f>_xll.BDP("068524HX Muni","MUNI_MSRB_VOLUME")</f>
        <v>#N/A Requesting Data...</v>
      </c>
      <c r="S510" t="str">
        <f>_xll.BDP("068524HX Muni","BB_COMPOSITE")</f>
        <v>#N/A Requesting Data...</v>
      </c>
      <c r="T510" t="str">
        <f>_xll.BDP("068524HX Muni","LQA_LIQUIDITY_SCORE")</f>
        <v>#N/A Requesting Data...</v>
      </c>
    </row>
    <row r="511" spans="1:20" x14ac:dyDescent="0.25">
      <c r="A511" t="str">
        <f>_xll.BDP("068524HY Muni","ID_CUSIP")</f>
        <v>#N/A Requesting Data...</v>
      </c>
      <c r="B511" t="s">
        <v>153</v>
      </c>
      <c r="C511" t="str">
        <f>_xll.BDP("068524HY Muni","INSURANCE_STATUS")</f>
        <v>#N/A Requesting Data...</v>
      </c>
      <c r="D511" t="str">
        <f>_xll.BDP("068524HY Muni","STATE_CODE")</f>
        <v>#N/A Requesting Data...</v>
      </c>
      <c r="E511" t="str">
        <f>_xll.BDP("068524HY Muni","COUNTY_LOCATION_ISSUER")</f>
        <v>#N/A Requesting Data...</v>
      </c>
      <c r="F511" t="str">
        <f>_xll.BDP("068524HY Muni","DUR_ADJ_MID")</f>
        <v>#N/A Requesting Data...</v>
      </c>
      <c r="G511" t="str">
        <f>_xll.BDP("068524HY Muni","SPREAD_AT_ISSUANCE_TO_WORST")</f>
        <v>#N/A Requesting Data...</v>
      </c>
      <c r="H511" t="str">
        <f>_xll.BDP("068524HY Muni","ISSUE_DT")</f>
        <v>#N/A Requesting Data...</v>
      </c>
      <c r="I511" t="str">
        <f>_xll.BDS("068524HY Muni","MUNI_PURPOSE_SCHED", "aggregate=y")</f>
        <v>#N/A Requesting Data...</v>
      </c>
      <c r="J511" t="str">
        <f>_xll.BDP("068524HY Muni","CPN")</f>
        <v>#N/A Requesting Data...</v>
      </c>
      <c r="K511" t="str">
        <f>_xll.BDP("068524HY Muni","MATURITY")</f>
        <v>#N/A Requesting Data...</v>
      </c>
      <c r="L511">
        <v>375000</v>
      </c>
      <c r="M511" t="str">
        <f>_xll.BDP("068524HY Muni","YIELD_ON_ISSUE_DATE")</f>
        <v>#N/A Requesting Data...</v>
      </c>
      <c r="N511" t="str">
        <f>_xll.BDP("068524HY Muni","YTW_SPREAD_TO_MATURITY_AT_ISSU")</f>
        <v>#N/A Requesting Data...</v>
      </c>
      <c r="O511" t="str">
        <f>_xll.BDP("068524HY Muni","BVAL_MID_YTM")</f>
        <v>#N/A Requesting Data...</v>
      </c>
      <c r="P511" t="str">
        <f>_xll.BDP("068524HY Muni","MUNI_TAX_PROV")</f>
        <v>#N/A Requesting Data...</v>
      </c>
      <c r="Q511" t="str">
        <f>_xll.BDP("068524HY Muni","MUNI_FED_TAX")</f>
        <v>#N/A Requesting Data...</v>
      </c>
      <c r="R511" t="str">
        <f>_xll.BDP("068524HY Muni","MUNI_MSRB_VOLUME")</f>
        <v>#N/A Requesting Data...</v>
      </c>
      <c r="S511" t="str">
        <f>_xll.BDP("068524HY Muni","BB_COMPOSITE")</f>
        <v>#N/A Requesting Data...</v>
      </c>
      <c r="T511" t="str">
        <f>_xll.BDP("068524HY Muni","LQA_LIQUIDITY_SCORE")</f>
        <v>#N/A Requesting Data...</v>
      </c>
    </row>
    <row r="512" spans="1:20" x14ac:dyDescent="0.25">
      <c r="A512" t="str">
        <f>_xll.BDP("232807FM Muni","ID_CUSIP")</f>
        <v>#N/A Requesting Data...</v>
      </c>
      <c r="B512" t="s">
        <v>154</v>
      </c>
      <c r="C512" t="str">
        <f>_xll.BDP("232807FM Muni","INSURANCE_STATUS")</f>
        <v>#N/A Requesting Data...</v>
      </c>
      <c r="D512" t="str">
        <f>_xll.BDP("232807FM Muni","STATE_CODE")</f>
        <v>#N/A Requesting Data...</v>
      </c>
      <c r="E512" t="str">
        <f>_xll.BDP("232807FM Muni","COUNTY_LOCATION_ISSUER")</f>
        <v>#N/A Requesting Data...</v>
      </c>
      <c r="F512" t="str">
        <f>_xll.BDP("232807FM Muni","DUR_ADJ_MID")</f>
        <v>#N/A Requesting Data...</v>
      </c>
      <c r="G512" t="str">
        <f>_xll.BDP("232807FM Muni","SPREAD_AT_ISSUANCE_TO_WORST")</f>
        <v>#N/A Requesting Data...</v>
      </c>
      <c r="H512" t="str">
        <f>_xll.BDP("232807FM Muni","ISSUE_DT")</f>
        <v>#N/A Requesting Data...</v>
      </c>
      <c r="I512" t="str">
        <f>_xll.BDS("232807FM Muni","MUNI_PURPOSE_SCHED", "aggregate=y")</f>
        <v>#N/A Requesting Data...</v>
      </c>
      <c r="J512" t="str">
        <f>_xll.BDP("232807FM Muni","CPN")</f>
        <v>#N/A Requesting Data...</v>
      </c>
      <c r="K512" t="str">
        <f>_xll.BDP("232807FM Muni","MATURITY")</f>
        <v>#N/A Requesting Data...</v>
      </c>
      <c r="L512">
        <v>150000</v>
      </c>
      <c r="M512" t="str">
        <f>_xll.BDP("232807FM Muni","YIELD_ON_ISSUE_DATE")</f>
        <v>#N/A Requesting Data...</v>
      </c>
      <c r="N512" t="str">
        <f>_xll.BDP("232807FM Muni","YTW_SPREAD_TO_MATURITY_AT_ISSU")</f>
        <v>#N/A Requesting Data...</v>
      </c>
      <c r="O512" t="str">
        <f>_xll.BDP("232807FM Muni","BVAL_MID_YTM")</f>
        <v>#N/A Requesting Data...</v>
      </c>
      <c r="P512" t="str">
        <f>_xll.BDP("232807FM Muni","MUNI_TAX_PROV")</f>
        <v>#N/A Requesting Data...</v>
      </c>
      <c r="Q512" t="str">
        <f>_xll.BDP("232807FM Muni","MUNI_FED_TAX")</f>
        <v>#N/A Requesting Data...</v>
      </c>
      <c r="R512" t="str">
        <f>_xll.BDP("232807FM Muni","MUNI_MSRB_VOLUME")</f>
        <v>#N/A Requesting Data...</v>
      </c>
      <c r="S512" t="str">
        <f>_xll.BDP("232807FM Muni","BB_COMPOSITE")</f>
        <v>#N/A Requesting Data...</v>
      </c>
      <c r="T512" t="str">
        <f>_xll.BDP("232807FM Muni","LQA_LIQUIDITY_SCORE")</f>
        <v>#N/A Requesting Data...</v>
      </c>
    </row>
    <row r="513" spans="1:20" x14ac:dyDescent="0.25">
      <c r="A513" t="str">
        <f>_xll.BDP("232807FN Muni","ID_CUSIP")</f>
        <v>#N/A Requesting Data...</v>
      </c>
      <c r="B513" t="s">
        <v>154</v>
      </c>
      <c r="C513" t="str">
        <f>_xll.BDP("232807FN Muni","INSURANCE_STATUS")</f>
        <v>#N/A Requesting Data...</v>
      </c>
      <c r="D513" t="str">
        <f>_xll.BDP("232807FN Muni","STATE_CODE")</f>
        <v>#N/A Requesting Data...</v>
      </c>
      <c r="E513" t="str">
        <f>_xll.BDP("232807FN Muni","COUNTY_LOCATION_ISSUER")</f>
        <v>#N/A Requesting Data...</v>
      </c>
      <c r="F513" t="str">
        <f>_xll.BDP("232807FN Muni","DUR_ADJ_MID")</f>
        <v>#N/A Requesting Data...</v>
      </c>
      <c r="G513" t="str">
        <f>_xll.BDP("232807FN Muni","SPREAD_AT_ISSUANCE_TO_WORST")</f>
        <v>#N/A Requesting Data...</v>
      </c>
      <c r="H513" t="str">
        <f>_xll.BDP("232807FN Muni","ISSUE_DT")</f>
        <v>#N/A Requesting Data...</v>
      </c>
      <c r="I513" t="str">
        <f>_xll.BDS("232807FN Muni","MUNI_PURPOSE_SCHED", "aggregate=y")</f>
        <v>#N/A Requesting Data...</v>
      </c>
      <c r="J513" t="str">
        <f>_xll.BDP("232807FN Muni","CPN")</f>
        <v>#N/A Requesting Data...</v>
      </c>
      <c r="K513" t="str">
        <f>_xll.BDP("232807FN Muni","MATURITY")</f>
        <v>#N/A Requesting Data...</v>
      </c>
      <c r="L513">
        <v>150000</v>
      </c>
      <c r="M513" t="str">
        <f>_xll.BDP("232807FN Muni","YIELD_ON_ISSUE_DATE")</f>
        <v>#N/A Requesting Data...</v>
      </c>
      <c r="N513" t="str">
        <f>_xll.BDP("232807FN Muni","YTW_SPREAD_TO_MATURITY_AT_ISSU")</f>
        <v>#N/A Requesting Data...</v>
      </c>
      <c r="O513" t="str">
        <f>_xll.BDP("232807FN Muni","BVAL_MID_YTM")</f>
        <v>#N/A Requesting Data...</v>
      </c>
      <c r="P513" t="str">
        <f>_xll.BDP("232807FN Muni","MUNI_TAX_PROV")</f>
        <v>#N/A Requesting Data...</v>
      </c>
      <c r="Q513" t="str">
        <f>_xll.BDP("232807FN Muni","MUNI_FED_TAX")</f>
        <v>#N/A Requesting Data...</v>
      </c>
      <c r="R513" t="str">
        <f>_xll.BDP("232807FN Muni","MUNI_MSRB_VOLUME")</f>
        <v>#N/A Requesting Data...</v>
      </c>
      <c r="S513" t="str">
        <f>_xll.BDP("232807FN Muni","BB_COMPOSITE")</f>
        <v>#N/A Requesting Data...</v>
      </c>
      <c r="T513" t="str">
        <f>_xll.BDP("232807FN Muni","LQA_LIQUIDITY_SCORE")</f>
        <v>#N/A Requesting Data...</v>
      </c>
    </row>
    <row r="514" spans="1:20" x14ac:dyDescent="0.25">
      <c r="A514" t="str">
        <f>_xll.BDP("240313DX Muni","ID_CUSIP")</f>
        <v>#N/A Requesting Data...</v>
      </c>
      <c r="B514" t="s">
        <v>155</v>
      </c>
      <c r="C514" t="str">
        <f>_xll.BDP("240313DX Muni","INSURANCE_STATUS")</f>
        <v>#N/A Requesting Data...</v>
      </c>
      <c r="D514" t="str">
        <f>_xll.BDP("240313DX Muni","STATE_CODE")</f>
        <v>#N/A Requesting Data...</v>
      </c>
      <c r="E514" t="str">
        <f>_xll.BDP("240313DX Muni","COUNTY_LOCATION_ISSUER")</f>
        <v>#N/A Requesting Data...</v>
      </c>
      <c r="F514" t="str">
        <f>_xll.BDP("240313DX Muni","DUR_ADJ_MID")</f>
        <v>#N/A Requesting Data...</v>
      </c>
      <c r="G514" t="str">
        <f>_xll.BDP("240313DX Muni","SPREAD_AT_ISSUANCE_TO_WORST")</f>
        <v>#N/A Requesting Data...</v>
      </c>
      <c r="H514" t="str">
        <f>_xll.BDP("240313DX Muni","ISSUE_DT")</f>
        <v>#N/A Requesting Data...</v>
      </c>
      <c r="I514" t="str">
        <f>_xll.BDS("240313DX Muni","MUNI_PURPOSE_SCHED", "aggregate=y")</f>
        <v>#N/A Requesting Data...</v>
      </c>
      <c r="J514" t="str">
        <f>_xll.BDP("240313DX Muni","CPN")</f>
        <v>#N/A Requesting Data...</v>
      </c>
      <c r="K514" t="str">
        <f>_xll.BDP("240313DX Muni","MATURITY")</f>
        <v>#N/A Requesting Data...</v>
      </c>
      <c r="L514">
        <v>115000</v>
      </c>
      <c r="M514" t="str">
        <f>_xll.BDP("240313DX Muni","YIELD_ON_ISSUE_DATE")</f>
        <v>#N/A Requesting Data...</v>
      </c>
      <c r="N514" t="str">
        <f>_xll.BDP("240313DX Muni","YTW_SPREAD_TO_MATURITY_AT_ISSU")</f>
        <v>#N/A Requesting Data...</v>
      </c>
      <c r="O514" t="str">
        <f>_xll.BDP("240313DX Muni","BVAL_MID_YTM")</f>
        <v>#N/A Requesting Data...</v>
      </c>
      <c r="P514" t="str">
        <f>_xll.BDP("240313DX Muni","MUNI_TAX_PROV")</f>
        <v>#N/A Requesting Data...</v>
      </c>
      <c r="Q514" t="str">
        <f>_xll.BDP("240313DX Muni","MUNI_FED_TAX")</f>
        <v>#N/A Requesting Data...</v>
      </c>
      <c r="R514" t="str">
        <f>_xll.BDP("240313DX Muni","MUNI_MSRB_VOLUME")</f>
        <v>#N/A Requesting Data...</v>
      </c>
      <c r="S514" t="str">
        <f>_xll.BDP("240313DX Muni","BB_COMPOSITE")</f>
        <v>#N/A Requesting Data...</v>
      </c>
      <c r="T514" t="str">
        <f>_xll.BDP("240313DX Muni","LQA_LIQUIDITY_SCORE")</f>
        <v>#N/A Requesting Data...</v>
      </c>
    </row>
    <row r="515" spans="1:20" x14ac:dyDescent="0.25">
      <c r="A515" t="str">
        <f>_xll.BDP("240313DY Muni","ID_CUSIP")</f>
        <v>#N/A Requesting Data...</v>
      </c>
      <c r="B515" t="s">
        <v>155</v>
      </c>
      <c r="C515" t="str">
        <f>_xll.BDP("240313DY Muni","INSURANCE_STATUS")</f>
        <v>#N/A Requesting Data...</v>
      </c>
      <c r="D515" t="str">
        <f>_xll.BDP("240313DY Muni","STATE_CODE")</f>
        <v>#N/A Requesting Data...</v>
      </c>
      <c r="E515" t="str">
        <f>_xll.BDP("240313DY Muni","COUNTY_LOCATION_ISSUER")</f>
        <v>#N/A Requesting Data...</v>
      </c>
      <c r="F515" t="str">
        <f>_xll.BDP("240313DY Muni","DUR_ADJ_MID")</f>
        <v>#N/A Requesting Data...</v>
      </c>
      <c r="G515" t="str">
        <f>_xll.BDP("240313DY Muni","SPREAD_AT_ISSUANCE_TO_WORST")</f>
        <v>#N/A Requesting Data...</v>
      </c>
      <c r="H515" t="str">
        <f>_xll.BDP("240313DY Muni","ISSUE_DT")</f>
        <v>#N/A Requesting Data...</v>
      </c>
      <c r="I515" t="str">
        <f>_xll.BDS("240313DY Muni","MUNI_PURPOSE_SCHED", "aggregate=y")</f>
        <v>#N/A Requesting Data...</v>
      </c>
      <c r="J515" t="str">
        <f>_xll.BDP("240313DY Muni","CPN")</f>
        <v>#N/A Requesting Data...</v>
      </c>
      <c r="K515" t="str">
        <f>_xll.BDP("240313DY Muni","MATURITY")</f>
        <v>#N/A Requesting Data...</v>
      </c>
      <c r="L515">
        <v>115000</v>
      </c>
      <c r="M515" t="str">
        <f>_xll.BDP("240313DY Muni","YIELD_ON_ISSUE_DATE")</f>
        <v>#N/A Requesting Data...</v>
      </c>
      <c r="N515" t="str">
        <f>_xll.BDP("240313DY Muni","YTW_SPREAD_TO_MATURITY_AT_ISSU")</f>
        <v>#N/A Requesting Data...</v>
      </c>
      <c r="O515" t="str">
        <f>_xll.BDP("240313DY Muni","BVAL_MID_YTM")</f>
        <v>#N/A Requesting Data...</v>
      </c>
      <c r="P515" t="str">
        <f>_xll.BDP("240313DY Muni","MUNI_TAX_PROV")</f>
        <v>#N/A Requesting Data...</v>
      </c>
      <c r="Q515" t="str">
        <f>_xll.BDP("240313DY Muni","MUNI_FED_TAX")</f>
        <v>#N/A Requesting Data...</v>
      </c>
      <c r="R515" t="str">
        <f>_xll.BDP("240313DY Muni","MUNI_MSRB_VOLUME")</f>
        <v>#N/A Requesting Data...</v>
      </c>
      <c r="S515" t="str">
        <f>_xll.BDP("240313DY Muni","BB_COMPOSITE")</f>
        <v>#N/A Requesting Data...</v>
      </c>
      <c r="T515" t="str">
        <f>_xll.BDP("240313DY Muni","LQA_LIQUIDITY_SCORE")</f>
        <v>#N/A Requesting Data...</v>
      </c>
    </row>
    <row r="516" spans="1:20" x14ac:dyDescent="0.25">
      <c r="A516" t="str">
        <f>_xll.BDP("240313DZ Muni","ID_CUSIP")</f>
        <v>#N/A Requesting Data...</v>
      </c>
      <c r="B516" t="s">
        <v>155</v>
      </c>
      <c r="C516" t="str">
        <f>_xll.BDP("240313DZ Muni","INSURANCE_STATUS")</f>
        <v>#N/A Requesting Data...</v>
      </c>
      <c r="D516" t="str">
        <f>_xll.BDP("240313DZ Muni","STATE_CODE")</f>
        <v>#N/A Requesting Data...</v>
      </c>
      <c r="E516" t="str">
        <f>_xll.BDP("240313DZ Muni","COUNTY_LOCATION_ISSUER")</f>
        <v>#N/A Requesting Data...</v>
      </c>
      <c r="F516" t="str">
        <f>_xll.BDP("240313DZ Muni","DUR_ADJ_MID")</f>
        <v>#N/A Requesting Data...</v>
      </c>
      <c r="G516" t="str">
        <f>_xll.BDP("240313DZ Muni","SPREAD_AT_ISSUANCE_TO_WORST")</f>
        <v>#N/A Requesting Data...</v>
      </c>
      <c r="H516" t="str">
        <f>_xll.BDP("240313DZ Muni","ISSUE_DT")</f>
        <v>#N/A Requesting Data...</v>
      </c>
      <c r="I516" t="str">
        <f>_xll.BDS("240313DZ Muni","MUNI_PURPOSE_SCHED", "aggregate=y")</f>
        <v>#N/A Requesting Data...</v>
      </c>
      <c r="J516" t="str">
        <f>_xll.BDP("240313DZ Muni","CPN")</f>
        <v>#N/A Requesting Data...</v>
      </c>
      <c r="K516" t="str">
        <f>_xll.BDP("240313DZ Muni","MATURITY")</f>
        <v>#N/A Requesting Data...</v>
      </c>
      <c r="L516">
        <v>115000</v>
      </c>
      <c r="M516" t="str">
        <f>_xll.BDP("240313DZ Muni","YIELD_ON_ISSUE_DATE")</f>
        <v>#N/A Requesting Data...</v>
      </c>
      <c r="N516" t="str">
        <f>_xll.BDP("240313DZ Muni","YTW_SPREAD_TO_MATURITY_AT_ISSU")</f>
        <v>#N/A Requesting Data...</v>
      </c>
      <c r="O516" t="str">
        <f>_xll.BDP("240313DZ Muni","BVAL_MID_YTM")</f>
        <v>#N/A Requesting Data...</v>
      </c>
      <c r="P516" t="str">
        <f>_xll.BDP("240313DZ Muni","MUNI_TAX_PROV")</f>
        <v>#N/A Requesting Data...</v>
      </c>
      <c r="Q516" t="str">
        <f>_xll.BDP("240313DZ Muni","MUNI_FED_TAX")</f>
        <v>#N/A Requesting Data...</v>
      </c>
      <c r="R516" t="str">
        <f>_xll.BDP("240313DZ Muni","MUNI_MSRB_VOLUME")</f>
        <v>#N/A Requesting Data...</v>
      </c>
      <c r="S516" t="str">
        <f>_xll.BDP("240313DZ Muni","BB_COMPOSITE")</f>
        <v>#N/A Requesting Data...</v>
      </c>
      <c r="T516" t="str">
        <f>_xll.BDP("240313DZ Muni","LQA_LIQUIDITY_SCORE")</f>
        <v>#N/A Requesting Data...</v>
      </c>
    </row>
    <row r="517" spans="1:20" x14ac:dyDescent="0.25">
      <c r="A517" t="str">
        <f>_xll.BDP("240313EA Muni","ID_CUSIP")</f>
        <v>#N/A Requesting Data...</v>
      </c>
      <c r="B517" t="s">
        <v>155</v>
      </c>
      <c r="C517" t="str">
        <f>_xll.BDP("240313EA Muni","INSURANCE_STATUS")</f>
        <v>#N/A Requesting Data...</v>
      </c>
      <c r="D517" t="str">
        <f>_xll.BDP("240313EA Muni","STATE_CODE")</f>
        <v>#N/A Requesting Data...</v>
      </c>
      <c r="E517" t="str">
        <f>_xll.BDP("240313EA Muni","COUNTY_LOCATION_ISSUER")</f>
        <v>#N/A Requesting Data...</v>
      </c>
      <c r="F517" t="str">
        <f>_xll.BDP("240313EA Muni","DUR_ADJ_MID")</f>
        <v>#N/A Requesting Data...</v>
      </c>
      <c r="G517" t="str">
        <f>_xll.BDP("240313EA Muni","SPREAD_AT_ISSUANCE_TO_WORST")</f>
        <v>#N/A Requesting Data...</v>
      </c>
      <c r="H517" t="str">
        <f>_xll.BDP("240313EA Muni","ISSUE_DT")</f>
        <v>#N/A Requesting Data...</v>
      </c>
      <c r="I517" t="str">
        <f>_xll.BDS("240313EA Muni","MUNI_PURPOSE_SCHED", "aggregate=y")</f>
        <v>#N/A Requesting Data...</v>
      </c>
      <c r="J517" t="str">
        <f>_xll.BDP("240313EA Muni","CPN")</f>
        <v>#N/A Requesting Data...</v>
      </c>
      <c r="K517" t="str">
        <f>_xll.BDP("240313EA Muni","MATURITY")</f>
        <v>#N/A Requesting Data...</v>
      </c>
      <c r="L517">
        <v>120000</v>
      </c>
      <c r="M517" t="str">
        <f>_xll.BDP("240313EA Muni","YIELD_ON_ISSUE_DATE")</f>
        <v>#N/A Requesting Data...</v>
      </c>
      <c r="N517" t="str">
        <f>_xll.BDP("240313EA Muni","YTW_SPREAD_TO_MATURITY_AT_ISSU")</f>
        <v>#N/A Requesting Data...</v>
      </c>
      <c r="O517" t="str">
        <f>_xll.BDP("240313EA Muni","BVAL_MID_YTM")</f>
        <v>#N/A Requesting Data...</v>
      </c>
      <c r="P517" t="str">
        <f>_xll.BDP("240313EA Muni","MUNI_TAX_PROV")</f>
        <v>#N/A Requesting Data...</v>
      </c>
      <c r="Q517" t="str">
        <f>_xll.BDP("240313EA Muni","MUNI_FED_TAX")</f>
        <v>#N/A Requesting Data...</v>
      </c>
      <c r="R517" t="str">
        <f>_xll.BDP("240313EA Muni","MUNI_MSRB_VOLUME")</f>
        <v>#N/A Requesting Data...</v>
      </c>
      <c r="S517" t="str">
        <f>_xll.BDP("240313EA Muni","BB_COMPOSITE")</f>
        <v>#N/A Requesting Data...</v>
      </c>
      <c r="T517" t="str">
        <f>_xll.BDP("240313EA Muni","LQA_LIQUIDITY_SCORE")</f>
        <v>#N/A Requesting Data...</v>
      </c>
    </row>
    <row r="518" spans="1:20" x14ac:dyDescent="0.25">
      <c r="A518" t="str">
        <f>_xll.BDP("243127WL Muni","ID_CUSIP")</f>
        <v>#N/A Requesting Data...</v>
      </c>
      <c r="B518" t="s">
        <v>156</v>
      </c>
      <c r="C518" t="str">
        <f>_xll.BDP("243127WL Muni","INSURANCE_STATUS")</f>
        <v>#N/A Requesting Data...</v>
      </c>
      <c r="D518" t="str">
        <f>_xll.BDP("243127WL Muni","STATE_CODE")</f>
        <v>#N/A Requesting Data...</v>
      </c>
      <c r="E518" t="str">
        <f>_xll.BDP("243127WL Muni","COUNTY_LOCATION_ISSUER")</f>
        <v>#N/A Requesting Data...</v>
      </c>
      <c r="F518" t="str">
        <f>_xll.BDP("243127WL Muni","DUR_ADJ_MID")</f>
        <v>#N/A Requesting Data...</v>
      </c>
      <c r="G518" t="str">
        <f>_xll.BDP("243127WL Muni","SPREAD_AT_ISSUANCE_TO_WORST")</f>
        <v>#N/A Requesting Data...</v>
      </c>
      <c r="H518" t="str">
        <f>_xll.BDP("243127WL Muni","ISSUE_DT")</f>
        <v>#N/A Requesting Data...</v>
      </c>
      <c r="I518" t="str">
        <f>_xll.BDS("243127WL Muni","MUNI_PURPOSE_SCHED", "aggregate=y")</f>
        <v>#N/A Requesting Data...</v>
      </c>
      <c r="J518" t="str">
        <f>_xll.BDP("243127WL Muni","CPN")</f>
        <v>#N/A Requesting Data...</v>
      </c>
      <c r="K518" t="str">
        <f>_xll.BDP("243127WL Muni","MATURITY")</f>
        <v>#N/A Requesting Data...</v>
      </c>
      <c r="L518">
        <v>945000</v>
      </c>
      <c r="M518" t="str">
        <f>_xll.BDP("243127WL Muni","YIELD_ON_ISSUE_DATE")</f>
        <v>#N/A Requesting Data...</v>
      </c>
      <c r="N518" t="str">
        <f>_xll.BDP("243127WL Muni","YTW_SPREAD_TO_MATURITY_AT_ISSU")</f>
        <v>#N/A Requesting Data...</v>
      </c>
      <c r="O518" t="str">
        <f>_xll.BDP("243127WL Muni","BVAL_MID_YTM")</f>
        <v>#N/A Requesting Data...</v>
      </c>
      <c r="P518" t="str">
        <f>_xll.BDP("243127WL Muni","MUNI_TAX_PROV")</f>
        <v>#N/A Requesting Data...</v>
      </c>
      <c r="Q518" t="str">
        <f>_xll.BDP("243127WL Muni","MUNI_FED_TAX")</f>
        <v>#N/A Requesting Data...</v>
      </c>
      <c r="R518" t="str">
        <f>_xll.BDP("243127WL Muni","MUNI_MSRB_VOLUME")</f>
        <v>#N/A Requesting Data...</v>
      </c>
      <c r="S518" t="str">
        <f>_xll.BDP("243127WL Muni","BB_COMPOSITE")</f>
        <v>#N/A Requesting Data...</v>
      </c>
      <c r="T518" t="str">
        <f>_xll.BDP("243127WL Muni","LQA_LIQUIDITY_SCORE")</f>
        <v>#N/A Requesting Data...</v>
      </c>
    </row>
    <row r="519" spans="1:20" x14ac:dyDescent="0.25">
      <c r="A519" t="str">
        <f>_xll.BDP("243127WM Muni","ID_CUSIP")</f>
        <v>#N/A Requesting Data...</v>
      </c>
      <c r="B519" t="s">
        <v>156</v>
      </c>
      <c r="C519" t="str">
        <f>_xll.BDP("243127WM Muni","INSURANCE_STATUS")</f>
        <v>#N/A Requesting Data...</v>
      </c>
      <c r="D519" t="str">
        <f>_xll.BDP("243127WM Muni","STATE_CODE")</f>
        <v>#N/A Requesting Data...</v>
      </c>
      <c r="E519" t="str">
        <f>_xll.BDP("243127WM Muni","COUNTY_LOCATION_ISSUER")</f>
        <v>#N/A Requesting Data...</v>
      </c>
      <c r="F519" t="str">
        <f>_xll.BDP("243127WM Muni","DUR_ADJ_MID")</f>
        <v>#N/A Requesting Data...</v>
      </c>
      <c r="G519" t="str">
        <f>_xll.BDP("243127WM Muni","SPREAD_AT_ISSUANCE_TO_WORST")</f>
        <v>#N/A Requesting Data...</v>
      </c>
      <c r="H519" t="str">
        <f>_xll.BDP("243127WM Muni","ISSUE_DT")</f>
        <v>#N/A Requesting Data...</v>
      </c>
      <c r="I519" t="str">
        <f>_xll.BDS("243127WM Muni","MUNI_PURPOSE_SCHED", "aggregate=y")</f>
        <v>#N/A Requesting Data...</v>
      </c>
      <c r="J519" t="str">
        <f>_xll.BDP("243127WM Muni","CPN")</f>
        <v>#N/A Requesting Data...</v>
      </c>
      <c r="K519" t="str">
        <f>_xll.BDP("243127WM Muni","MATURITY")</f>
        <v>#N/A Requesting Data...</v>
      </c>
      <c r="L519">
        <v>1000000</v>
      </c>
      <c r="M519" t="str">
        <f>_xll.BDP("243127WM Muni","YIELD_ON_ISSUE_DATE")</f>
        <v>#N/A Requesting Data...</v>
      </c>
      <c r="N519" t="str">
        <f>_xll.BDP("243127WM Muni","YTW_SPREAD_TO_MATURITY_AT_ISSU")</f>
        <v>#N/A Requesting Data...</v>
      </c>
      <c r="O519" t="str">
        <f>_xll.BDP("243127WM Muni","BVAL_MID_YTM")</f>
        <v>#N/A Requesting Data...</v>
      </c>
      <c r="P519" t="str">
        <f>_xll.BDP("243127WM Muni","MUNI_TAX_PROV")</f>
        <v>#N/A Requesting Data...</v>
      </c>
      <c r="Q519" t="str">
        <f>_xll.BDP("243127WM Muni","MUNI_FED_TAX")</f>
        <v>#N/A Requesting Data...</v>
      </c>
      <c r="R519" t="str">
        <f>_xll.BDP("243127WM Muni","MUNI_MSRB_VOLUME")</f>
        <v>#N/A Requesting Data...</v>
      </c>
      <c r="S519" t="str">
        <f>_xll.BDP("243127WM Muni","BB_COMPOSITE")</f>
        <v>#N/A Requesting Data...</v>
      </c>
      <c r="T519" t="str">
        <f>_xll.BDP("243127WM Muni","LQA_LIQUIDITY_SCORE")</f>
        <v>#N/A Requesting Data...</v>
      </c>
    </row>
    <row r="520" spans="1:20" x14ac:dyDescent="0.25">
      <c r="A520" t="str">
        <f>_xll.BDP("243127WN Muni","ID_CUSIP")</f>
        <v>#N/A Requesting Data...</v>
      </c>
      <c r="B520" t="s">
        <v>156</v>
      </c>
      <c r="C520" t="str">
        <f>_xll.BDP("243127WN Muni","INSURANCE_STATUS")</f>
        <v>#N/A Requesting Data...</v>
      </c>
      <c r="D520" t="str">
        <f>_xll.BDP("243127WN Muni","STATE_CODE")</f>
        <v>#N/A Requesting Data...</v>
      </c>
      <c r="E520" t="str">
        <f>_xll.BDP("243127WN Muni","COUNTY_LOCATION_ISSUER")</f>
        <v>#N/A Requesting Data...</v>
      </c>
      <c r="F520" t="str">
        <f>_xll.BDP("243127WN Muni","DUR_ADJ_MID")</f>
        <v>#N/A Requesting Data...</v>
      </c>
      <c r="G520" t="str">
        <f>_xll.BDP("243127WN Muni","SPREAD_AT_ISSUANCE_TO_WORST")</f>
        <v>#N/A Requesting Data...</v>
      </c>
      <c r="H520" t="str">
        <f>_xll.BDP("243127WN Muni","ISSUE_DT")</f>
        <v>#N/A Requesting Data...</v>
      </c>
      <c r="I520" t="str">
        <f>_xll.BDS("243127WN Muni","MUNI_PURPOSE_SCHED", "aggregate=y")</f>
        <v>#N/A Requesting Data...</v>
      </c>
      <c r="J520" t="str">
        <f>_xll.BDP("243127WN Muni","CPN")</f>
        <v>#N/A Requesting Data...</v>
      </c>
      <c r="K520" t="str">
        <f>_xll.BDP("243127WN Muni","MATURITY")</f>
        <v>#N/A Requesting Data...</v>
      </c>
      <c r="L520">
        <v>1045000</v>
      </c>
      <c r="M520" t="str">
        <f>_xll.BDP("243127WN Muni","YIELD_ON_ISSUE_DATE")</f>
        <v>#N/A Requesting Data...</v>
      </c>
      <c r="N520" t="str">
        <f>_xll.BDP("243127WN Muni","YTW_SPREAD_TO_MATURITY_AT_ISSU")</f>
        <v>#N/A Requesting Data...</v>
      </c>
      <c r="O520" t="str">
        <f>_xll.BDP("243127WN Muni","BVAL_MID_YTM")</f>
        <v>#N/A Requesting Data...</v>
      </c>
      <c r="P520" t="str">
        <f>_xll.BDP("243127WN Muni","MUNI_TAX_PROV")</f>
        <v>#N/A Requesting Data...</v>
      </c>
      <c r="Q520" t="str">
        <f>_xll.BDP("243127WN Muni","MUNI_FED_TAX")</f>
        <v>#N/A Requesting Data...</v>
      </c>
      <c r="R520" t="str">
        <f>_xll.BDP("243127WN Muni","MUNI_MSRB_VOLUME")</f>
        <v>#N/A Requesting Data...</v>
      </c>
      <c r="S520" t="str">
        <f>_xll.BDP("243127WN Muni","BB_COMPOSITE")</f>
        <v>#N/A Requesting Data...</v>
      </c>
      <c r="T520" t="str">
        <f>_xll.BDP("243127WN Muni","LQA_LIQUIDITY_SCORE")</f>
        <v>#N/A Requesting Data...</v>
      </c>
    </row>
    <row r="521" spans="1:20" x14ac:dyDescent="0.25">
      <c r="A521" t="str">
        <f>_xll.BDP("243127WP Muni","ID_CUSIP")</f>
        <v>#N/A Requesting Data...</v>
      </c>
      <c r="B521" t="s">
        <v>156</v>
      </c>
      <c r="C521" t="str">
        <f>_xll.BDP("243127WP Muni","INSURANCE_STATUS")</f>
        <v>#N/A Requesting Data...</v>
      </c>
      <c r="D521" t="str">
        <f>_xll.BDP("243127WP Muni","STATE_CODE")</f>
        <v>#N/A Requesting Data...</v>
      </c>
      <c r="E521" t="str">
        <f>_xll.BDP("243127WP Muni","COUNTY_LOCATION_ISSUER")</f>
        <v>#N/A Requesting Data...</v>
      </c>
      <c r="F521" t="str">
        <f>_xll.BDP("243127WP Muni","DUR_ADJ_MID")</f>
        <v>#N/A Requesting Data...</v>
      </c>
      <c r="G521" t="str">
        <f>_xll.BDP("243127WP Muni","SPREAD_AT_ISSUANCE_TO_WORST")</f>
        <v>#N/A Requesting Data...</v>
      </c>
      <c r="H521" t="str">
        <f>_xll.BDP("243127WP Muni","ISSUE_DT")</f>
        <v>#N/A Requesting Data...</v>
      </c>
      <c r="I521" t="str">
        <f>_xll.BDS("243127WP Muni","MUNI_PURPOSE_SCHED", "aggregate=y")</f>
        <v>#N/A Requesting Data...</v>
      </c>
      <c r="J521" t="str">
        <f>_xll.BDP("243127WP Muni","CPN")</f>
        <v>#N/A Requesting Data...</v>
      </c>
      <c r="K521" t="str">
        <f>_xll.BDP("243127WP Muni","MATURITY")</f>
        <v>#N/A Requesting Data...</v>
      </c>
      <c r="L521">
        <v>1100000</v>
      </c>
      <c r="M521" t="str">
        <f>_xll.BDP("243127WP Muni","YIELD_ON_ISSUE_DATE")</f>
        <v>#N/A Requesting Data...</v>
      </c>
      <c r="N521" t="str">
        <f>_xll.BDP("243127WP Muni","YTW_SPREAD_TO_MATURITY_AT_ISSU")</f>
        <v>#N/A Requesting Data...</v>
      </c>
      <c r="O521" t="str">
        <f>_xll.BDP("243127WP Muni","BVAL_MID_YTM")</f>
        <v>#N/A Requesting Data...</v>
      </c>
      <c r="P521" t="str">
        <f>_xll.BDP("243127WP Muni","MUNI_TAX_PROV")</f>
        <v>#N/A Requesting Data...</v>
      </c>
      <c r="Q521" t="str">
        <f>_xll.BDP("243127WP Muni","MUNI_FED_TAX")</f>
        <v>#N/A Requesting Data...</v>
      </c>
      <c r="R521" t="str">
        <f>_xll.BDP("243127WP Muni","MUNI_MSRB_VOLUME")</f>
        <v>#N/A Requesting Data...</v>
      </c>
      <c r="S521" t="str">
        <f>_xll.BDP("243127WP Muni","BB_COMPOSITE")</f>
        <v>#N/A Requesting Data...</v>
      </c>
      <c r="T521" t="str">
        <f>_xll.BDP("243127WP Muni","LQA_LIQUIDITY_SCORE")</f>
        <v>#N/A Requesting Data...</v>
      </c>
    </row>
    <row r="522" spans="1:20" x14ac:dyDescent="0.25">
      <c r="A522" t="str">
        <f>_xll.BDP("243295CY Muni","ID_CUSIP")</f>
        <v>#N/A Requesting Data...</v>
      </c>
      <c r="B522" t="s">
        <v>157</v>
      </c>
      <c r="C522" t="str">
        <f>_xll.BDP("243295CY Muni","INSURANCE_STATUS")</f>
        <v>#N/A Requesting Data...</v>
      </c>
      <c r="D522" t="str">
        <f>_xll.BDP("243295CY Muni","STATE_CODE")</f>
        <v>#N/A Requesting Data...</v>
      </c>
      <c r="E522" t="str">
        <f>_xll.BDP("243295CY Muni","COUNTY_LOCATION_ISSUER")</f>
        <v>#N/A Requesting Data...</v>
      </c>
      <c r="F522" t="str">
        <f>_xll.BDP("243295CY Muni","DUR_ADJ_MID")</f>
        <v>#N/A Requesting Data...</v>
      </c>
      <c r="G522" t="str">
        <f>_xll.BDP("243295CY Muni","SPREAD_AT_ISSUANCE_TO_WORST")</f>
        <v>#N/A Requesting Data...</v>
      </c>
      <c r="H522" t="str">
        <f>_xll.BDP("243295CY Muni","ISSUE_DT")</f>
        <v>#N/A Requesting Data...</v>
      </c>
      <c r="I522" t="str">
        <f>_xll.BDS("243295CY Muni","MUNI_PURPOSE_SCHED", "aggregate=y")</f>
        <v>#N/A Requesting Data...</v>
      </c>
      <c r="J522" t="str">
        <f>_xll.BDP("243295CY Muni","CPN")</f>
        <v>#N/A Requesting Data...</v>
      </c>
      <c r="K522" t="str">
        <f>_xll.BDP("243295CY Muni","MATURITY")</f>
        <v>#N/A Requesting Data...</v>
      </c>
      <c r="L522">
        <v>195000</v>
      </c>
      <c r="M522" t="str">
        <f>_xll.BDP("243295CY Muni","YIELD_ON_ISSUE_DATE")</f>
        <v>#N/A Requesting Data...</v>
      </c>
      <c r="N522" t="str">
        <f>_xll.BDP("243295CY Muni","YTW_SPREAD_TO_MATURITY_AT_ISSU")</f>
        <v>#N/A Requesting Data...</v>
      </c>
      <c r="O522" t="str">
        <f>_xll.BDP("243295CY Muni","BVAL_MID_YTM")</f>
        <v>#N/A Requesting Data...</v>
      </c>
      <c r="P522" t="str">
        <f>_xll.BDP("243295CY Muni","MUNI_TAX_PROV")</f>
        <v>#N/A Requesting Data...</v>
      </c>
      <c r="Q522" t="str">
        <f>_xll.BDP("243295CY Muni","MUNI_FED_TAX")</f>
        <v>#N/A Requesting Data...</v>
      </c>
      <c r="R522" t="str">
        <f>_xll.BDP("243295CY Muni","MUNI_MSRB_VOLUME")</f>
        <v>#N/A Requesting Data...</v>
      </c>
      <c r="S522" t="str">
        <f>_xll.BDP("243295CY Muni","BB_COMPOSITE")</f>
        <v>#N/A Requesting Data...</v>
      </c>
      <c r="T522" t="str">
        <f>_xll.BDP("243295CY Muni","LQA_LIQUIDITY_SCORE")</f>
        <v>#N/A Requesting Data...</v>
      </c>
    </row>
    <row r="523" spans="1:20" x14ac:dyDescent="0.25">
      <c r="A523" t="str">
        <f>_xll.BDP("243295CZ Muni","ID_CUSIP")</f>
        <v>#N/A Requesting Data...</v>
      </c>
      <c r="B523" t="s">
        <v>157</v>
      </c>
      <c r="C523" t="str">
        <f>_xll.BDP("243295CZ Muni","INSURANCE_STATUS")</f>
        <v>#N/A Requesting Data...</v>
      </c>
      <c r="D523" t="str">
        <f>_xll.BDP("243295CZ Muni","STATE_CODE")</f>
        <v>#N/A Requesting Data...</v>
      </c>
      <c r="E523" t="str">
        <f>_xll.BDP("243295CZ Muni","COUNTY_LOCATION_ISSUER")</f>
        <v>#N/A Requesting Data...</v>
      </c>
      <c r="F523" t="str">
        <f>_xll.BDP("243295CZ Muni","DUR_ADJ_MID")</f>
        <v>#N/A Requesting Data...</v>
      </c>
      <c r="G523" t="str">
        <f>_xll.BDP("243295CZ Muni","SPREAD_AT_ISSUANCE_TO_WORST")</f>
        <v>#N/A Requesting Data...</v>
      </c>
      <c r="H523" t="str">
        <f>_xll.BDP("243295CZ Muni","ISSUE_DT")</f>
        <v>#N/A Requesting Data...</v>
      </c>
      <c r="I523" t="str">
        <f>_xll.BDS("243295CZ Muni","MUNI_PURPOSE_SCHED", "aggregate=y")</f>
        <v>#N/A Requesting Data...</v>
      </c>
      <c r="J523" t="str">
        <f>_xll.BDP("243295CZ Muni","CPN")</f>
        <v>#N/A Requesting Data...</v>
      </c>
      <c r="K523" t="str">
        <f>_xll.BDP("243295CZ Muni","MATURITY")</f>
        <v>#N/A Requesting Data...</v>
      </c>
      <c r="L523">
        <v>195000</v>
      </c>
      <c r="M523" t="str">
        <f>_xll.BDP("243295CZ Muni","YIELD_ON_ISSUE_DATE")</f>
        <v>#N/A Requesting Data...</v>
      </c>
      <c r="N523" t="str">
        <f>_xll.BDP("243295CZ Muni","YTW_SPREAD_TO_MATURITY_AT_ISSU")</f>
        <v>#N/A Requesting Data...</v>
      </c>
      <c r="O523" t="str">
        <f>_xll.BDP("243295CZ Muni","BVAL_MID_YTM")</f>
        <v>#N/A Requesting Data...</v>
      </c>
      <c r="P523" t="str">
        <f>_xll.BDP("243295CZ Muni","MUNI_TAX_PROV")</f>
        <v>#N/A Requesting Data...</v>
      </c>
      <c r="Q523" t="str">
        <f>_xll.BDP("243295CZ Muni","MUNI_FED_TAX")</f>
        <v>#N/A Requesting Data...</v>
      </c>
      <c r="R523" t="str">
        <f>_xll.BDP("243295CZ Muni","MUNI_MSRB_VOLUME")</f>
        <v>#N/A Requesting Data...</v>
      </c>
      <c r="S523" t="str">
        <f>_xll.BDP("243295CZ Muni","BB_COMPOSITE")</f>
        <v>#N/A Requesting Data...</v>
      </c>
      <c r="T523" t="str">
        <f>_xll.BDP("243295CZ Muni","LQA_LIQUIDITY_SCORE")</f>
        <v>#N/A Requesting Data...</v>
      </c>
    </row>
    <row r="524" spans="1:20" x14ac:dyDescent="0.25">
      <c r="A524" t="str">
        <f>_xll.BDP("243295DA Muni","ID_CUSIP")</f>
        <v>#N/A Requesting Data...</v>
      </c>
      <c r="B524" t="s">
        <v>157</v>
      </c>
      <c r="C524" t="str">
        <f>_xll.BDP("243295DA Muni","INSURANCE_STATUS")</f>
        <v>#N/A Requesting Data...</v>
      </c>
      <c r="D524" t="str">
        <f>_xll.BDP("243295DA Muni","STATE_CODE")</f>
        <v>#N/A Requesting Data...</v>
      </c>
      <c r="E524" t="str">
        <f>_xll.BDP("243295DA Muni","COUNTY_LOCATION_ISSUER")</f>
        <v>#N/A Requesting Data...</v>
      </c>
      <c r="F524" t="str">
        <f>_xll.BDP("243295DA Muni","DUR_ADJ_MID")</f>
        <v>#N/A Requesting Data...</v>
      </c>
      <c r="G524" t="str">
        <f>_xll.BDP("243295DA Muni","SPREAD_AT_ISSUANCE_TO_WORST")</f>
        <v>#N/A Requesting Data...</v>
      </c>
      <c r="H524" t="str">
        <f>_xll.BDP("243295DA Muni","ISSUE_DT")</f>
        <v>#N/A Requesting Data...</v>
      </c>
      <c r="I524" t="str">
        <f>_xll.BDS("243295DA Muni","MUNI_PURPOSE_SCHED", "aggregate=y")</f>
        <v>#N/A Requesting Data...</v>
      </c>
      <c r="J524" t="str">
        <f>_xll.BDP("243295DA Muni","CPN")</f>
        <v>#N/A Requesting Data...</v>
      </c>
      <c r="K524" t="str">
        <f>_xll.BDP("243295DA Muni","MATURITY")</f>
        <v>#N/A Requesting Data...</v>
      </c>
      <c r="L524">
        <v>200000</v>
      </c>
      <c r="M524" t="str">
        <f>_xll.BDP("243295DA Muni","YIELD_ON_ISSUE_DATE")</f>
        <v>#N/A Requesting Data...</v>
      </c>
      <c r="N524" t="str">
        <f>_xll.BDP("243295DA Muni","YTW_SPREAD_TO_MATURITY_AT_ISSU")</f>
        <v>#N/A Requesting Data...</v>
      </c>
      <c r="O524" t="str">
        <f>_xll.BDP("243295DA Muni","BVAL_MID_YTM")</f>
        <v>#N/A Requesting Data...</v>
      </c>
      <c r="P524" t="str">
        <f>_xll.BDP("243295DA Muni","MUNI_TAX_PROV")</f>
        <v>#N/A Requesting Data...</v>
      </c>
      <c r="Q524" t="str">
        <f>_xll.BDP("243295DA Muni","MUNI_FED_TAX")</f>
        <v>#N/A Requesting Data...</v>
      </c>
      <c r="R524" t="str">
        <f>_xll.BDP("243295DA Muni","MUNI_MSRB_VOLUME")</f>
        <v>#N/A Requesting Data...</v>
      </c>
      <c r="S524" t="str">
        <f>_xll.BDP("243295DA Muni","BB_COMPOSITE")</f>
        <v>#N/A Requesting Data...</v>
      </c>
      <c r="T524" t="str">
        <f>_xll.BDP("243295DA Muni","LQA_LIQUIDITY_SCORE")</f>
        <v>#N/A Requesting Data...</v>
      </c>
    </row>
    <row r="525" spans="1:20" x14ac:dyDescent="0.25">
      <c r="A525" t="str">
        <f>_xll.BDP("243295DB Muni","ID_CUSIP")</f>
        <v>#N/A Requesting Data...</v>
      </c>
      <c r="B525" t="s">
        <v>157</v>
      </c>
      <c r="C525" t="str">
        <f>_xll.BDP("243295DB Muni","INSURANCE_STATUS")</f>
        <v>#N/A Requesting Data...</v>
      </c>
      <c r="D525" t="str">
        <f>_xll.BDP("243295DB Muni","STATE_CODE")</f>
        <v>#N/A Requesting Data...</v>
      </c>
      <c r="E525" t="str">
        <f>_xll.BDP("243295DB Muni","COUNTY_LOCATION_ISSUER")</f>
        <v>#N/A Requesting Data...</v>
      </c>
      <c r="F525" t="str">
        <f>_xll.BDP("243295DB Muni","DUR_ADJ_MID")</f>
        <v>#N/A Requesting Data...</v>
      </c>
      <c r="G525" t="str">
        <f>_xll.BDP("243295DB Muni","SPREAD_AT_ISSUANCE_TO_WORST")</f>
        <v>#N/A Requesting Data...</v>
      </c>
      <c r="H525" t="str">
        <f>_xll.BDP("243295DB Muni","ISSUE_DT")</f>
        <v>#N/A Requesting Data...</v>
      </c>
      <c r="I525" t="str">
        <f>_xll.BDS("243295DB Muni","MUNI_PURPOSE_SCHED", "aggregate=y")</f>
        <v>#N/A Requesting Data...</v>
      </c>
      <c r="J525" t="str">
        <f>_xll.BDP("243295DB Muni","CPN")</f>
        <v>#N/A Requesting Data...</v>
      </c>
      <c r="K525" t="str">
        <f>_xll.BDP("243295DB Muni","MATURITY")</f>
        <v>#N/A Requesting Data...</v>
      </c>
      <c r="L525">
        <v>205000</v>
      </c>
      <c r="M525" t="str">
        <f>_xll.BDP("243295DB Muni","YIELD_ON_ISSUE_DATE")</f>
        <v>#N/A Requesting Data...</v>
      </c>
      <c r="N525" t="str">
        <f>_xll.BDP("243295DB Muni","YTW_SPREAD_TO_MATURITY_AT_ISSU")</f>
        <v>#N/A Requesting Data...</v>
      </c>
      <c r="O525" t="str">
        <f>_xll.BDP("243295DB Muni","BVAL_MID_YTM")</f>
        <v>#N/A Requesting Data...</v>
      </c>
      <c r="P525" t="str">
        <f>_xll.BDP("243295DB Muni","MUNI_TAX_PROV")</f>
        <v>#N/A Requesting Data...</v>
      </c>
      <c r="Q525" t="str">
        <f>_xll.BDP("243295DB Muni","MUNI_FED_TAX")</f>
        <v>#N/A Requesting Data...</v>
      </c>
      <c r="R525" t="str">
        <f>_xll.BDP("243295DB Muni","MUNI_MSRB_VOLUME")</f>
        <v>#N/A Requesting Data...</v>
      </c>
      <c r="S525" t="str">
        <f>_xll.BDP("243295DB Muni","BB_COMPOSITE")</f>
        <v>#N/A Requesting Data...</v>
      </c>
      <c r="T525" t="str">
        <f>_xll.BDP("243295DB Muni","LQA_LIQUIDITY_SCORE")</f>
        <v>#N/A Requesting Data...</v>
      </c>
    </row>
    <row r="526" spans="1:20" x14ac:dyDescent="0.25">
      <c r="A526" t="str">
        <f>_xll.BDP("243295DC Muni","ID_CUSIP")</f>
        <v>#N/A Requesting Data...</v>
      </c>
      <c r="B526" t="s">
        <v>157</v>
      </c>
      <c r="C526" t="str">
        <f>_xll.BDP("243295DC Muni","INSURANCE_STATUS")</f>
        <v>#N/A Requesting Data...</v>
      </c>
      <c r="D526" t="str">
        <f>_xll.BDP("243295DC Muni","STATE_CODE")</f>
        <v>#N/A Requesting Data...</v>
      </c>
      <c r="E526" t="str">
        <f>_xll.BDP("243295DC Muni","COUNTY_LOCATION_ISSUER")</f>
        <v>#N/A Requesting Data...</v>
      </c>
      <c r="F526" t="str">
        <f>_xll.BDP("243295DC Muni","DUR_ADJ_MID")</f>
        <v>#N/A Requesting Data...</v>
      </c>
      <c r="G526" t="str">
        <f>_xll.BDP("243295DC Muni","SPREAD_AT_ISSUANCE_TO_WORST")</f>
        <v>#N/A Requesting Data...</v>
      </c>
      <c r="H526" t="str">
        <f>_xll.BDP("243295DC Muni","ISSUE_DT")</f>
        <v>#N/A Requesting Data...</v>
      </c>
      <c r="I526" t="str">
        <f>_xll.BDS("243295DC Muni","MUNI_PURPOSE_SCHED", "aggregate=y")</f>
        <v>#N/A Requesting Data...</v>
      </c>
      <c r="J526" t="str">
        <f>_xll.BDP("243295DC Muni","CPN")</f>
        <v>#N/A Requesting Data...</v>
      </c>
      <c r="K526" t="str">
        <f>_xll.BDP("243295DC Muni","MATURITY")</f>
        <v>#N/A Requesting Data...</v>
      </c>
      <c r="L526">
        <v>205000</v>
      </c>
      <c r="M526" t="str">
        <f>_xll.BDP("243295DC Muni","YIELD_ON_ISSUE_DATE")</f>
        <v>#N/A Requesting Data...</v>
      </c>
      <c r="N526" t="str">
        <f>_xll.BDP("243295DC Muni","YTW_SPREAD_TO_MATURITY_AT_ISSU")</f>
        <v>#N/A Requesting Data...</v>
      </c>
      <c r="O526" t="str">
        <f>_xll.BDP("243295DC Muni","BVAL_MID_YTM")</f>
        <v>#N/A Requesting Data...</v>
      </c>
      <c r="P526" t="str">
        <f>_xll.BDP("243295DC Muni","MUNI_TAX_PROV")</f>
        <v>#N/A Requesting Data...</v>
      </c>
      <c r="Q526" t="str">
        <f>_xll.BDP("243295DC Muni","MUNI_FED_TAX")</f>
        <v>#N/A Requesting Data...</v>
      </c>
      <c r="R526" t="str">
        <f>_xll.BDP("243295DC Muni","MUNI_MSRB_VOLUME")</f>
        <v>#N/A Requesting Data...</v>
      </c>
      <c r="S526" t="str">
        <f>_xll.BDP("243295DC Muni","BB_COMPOSITE")</f>
        <v>#N/A Requesting Data...</v>
      </c>
      <c r="T526" t="str">
        <f>_xll.BDP("243295DC Muni","LQA_LIQUIDITY_SCORE")</f>
        <v>#N/A Requesting Data...</v>
      </c>
    </row>
    <row r="527" spans="1:20" x14ac:dyDescent="0.25">
      <c r="A527" t="str">
        <f>_xll.BDP("243295DD Muni","ID_CUSIP")</f>
        <v>#N/A Requesting Data...</v>
      </c>
      <c r="B527" t="s">
        <v>157</v>
      </c>
      <c r="C527" t="str">
        <f>_xll.BDP("243295DD Muni","INSURANCE_STATUS")</f>
        <v>#N/A Requesting Data...</v>
      </c>
      <c r="D527" t="str">
        <f>_xll.BDP("243295DD Muni","STATE_CODE")</f>
        <v>#N/A Requesting Data...</v>
      </c>
      <c r="E527" t="str">
        <f>_xll.BDP("243295DD Muni","COUNTY_LOCATION_ISSUER")</f>
        <v>#N/A Requesting Data...</v>
      </c>
      <c r="F527" t="str">
        <f>_xll.BDP("243295DD Muni","DUR_ADJ_MID")</f>
        <v>#N/A Requesting Data...</v>
      </c>
      <c r="G527" t="str">
        <f>_xll.BDP("243295DD Muni","SPREAD_AT_ISSUANCE_TO_WORST")</f>
        <v>#N/A Requesting Data...</v>
      </c>
      <c r="H527" t="str">
        <f>_xll.BDP("243295DD Muni","ISSUE_DT")</f>
        <v>#N/A Requesting Data...</v>
      </c>
      <c r="I527" t="str">
        <f>_xll.BDS("243295DD Muni","MUNI_PURPOSE_SCHED", "aggregate=y")</f>
        <v>#N/A Requesting Data...</v>
      </c>
      <c r="J527" t="str">
        <f>_xll.BDP("243295DD Muni","CPN")</f>
        <v>#N/A Requesting Data...</v>
      </c>
      <c r="K527" t="str">
        <f>_xll.BDP("243295DD Muni","MATURITY")</f>
        <v>#N/A Requesting Data...</v>
      </c>
      <c r="L527">
        <v>210000</v>
      </c>
      <c r="M527" t="str">
        <f>_xll.BDP("243295DD Muni","YIELD_ON_ISSUE_DATE")</f>
        <v>#N/A Requesting Data...</v>
      </c>
      <c r="N527" t="str">
        <f>_xll.BDP("243295DD Muni","YTW_SPREAD_TO_MATURITY_AT_ISSU")</f>
        <v>#N/A Requesting Data...</v>
      </c>
      <c r="O527" t="str">
        <f>_xll.BDP("243295DD Muni","BVAL_MID_YTM")</f>
        <v>#N/A Requesting Data...</v>
      </c>
      <c r="P527" t="str">
        <f>_xll.BDP("243295DD Muni","MUNI_TAX_PROV")</f>
        <v>#N/A Requesting Data...</v>
      </c>
      <c r="Q527" t="str">
        <f>_xll.BDP("243295DD Muni","MUNI_FED_TAX")</f>
        <v>#N/A Requesting Data...</v>
      </c>
      <c r="R527" t="str">
        <f>_xll.BDP("243295DD Muni","MUNI_MSRB_VOLUME")</f>
        <v>#N/A Requesting Data...</v>
      </c>
      <c r="S527" t="str">
        <f>_xll.BDP("243295DD Muni","BB_COMPOSITE")</f>
        <v>#N/A Requesting Data...</v>
      </c>
      <c r="T527" t="str">
        <f>_xll.BDP("243295DD Muni","LQA_LIQUIDITY_SCORE")</f>
        <v>#N/A Requesting Data...</v>
      </c>
    </row>
    <row r="528" spans="1:20" x14ac:dyDescent="0.25">
      <c r="A528" t="str">
        <f>_xll.BDP("2441095G Muni","ID_CUSIP")</f>
        <v>#N/A Requesting Data...</v>
      </c>
      <c r="B528" t="s">
        <v>158</v>
      </c>
      <c r="C528" t="str">
        <f>_xll.BDP("2441095G Muni","INSURANCE_STATUS")</f>
        <v>#N/A Requesting Data...</v>
      </c>
      <c r="D528" t="str">
        <f>_xll.BDP("2441095G Muni","STATE_CODE")</f>
        <v>#N/A Requesting Data...</v>
      </c>
      <c r="E528" t="str">
        <f>_xll.BDP("2441095G Muni","COUNTY_LOCATION_ISSUER")</f>
        <v>#N/A Requesting Data...</v>
      </c>
      <c r="F528" t="str">
        <f>_xll.BDP("2441095G Muni","DUR_ADJ_MID")</f>
        <v>#N/A Requesting Data...</v>
      </c>
      <c r="G528" t="str">
        <f>_xll.BDP("2441095G Muni","SPREAD_AT_ISSUANCE_TO_WORST")</f>
        <v>#N/A Requesting Data...</v>
      </c>
      <c r="H528" t="str">
        <f>_xll.BDP("2441095G Muni","ISSUE_DT")</f>
        <v>#N/A Requesting Data...</v>
      </c>
      <c r="I528" t="str">
        <f>_xll.BDS("2441095G Muni","MUNI_PURPOSE_SCHED", "aggregate=y")</f>
        <v>#N/A Requesting Data...</v>
      </c>
      <c r="J528" t="str">
        <f>_xll.BDP("2441095G Muni","CPN")</f>
        <v>#N/A Requesting Data...</v>
      </c>
      <c r="K528" t="str">
        <f>_xll.BDP("2441095G Muni","MATURITY")</f>
        <v>#N/A Requesting Data...</v>
      </c>
      <c r="L528">
        <v>200000</v>
      </c>
      <c r="M528" t="str">
        <f>_xll.BDP("2441095G Muni","YIELD_ON_ISSUE_DATE")</f>
        <v>#N/A Requesting Data...</v>
      </c>
      <c r="N528" t="str">
        <f>_xll.BDP("2441095G Muni","YTW_SPREAD_TO_MATURITY_AT_ISSU")</f>
        <v>#N/A Requesting Data...</v>
      </c>
      <c r="O528" t="str">
        <f>_xll.BDP("2441095G Muni","BVAL_MID_YTM")</f>
        <v>#N/A Requesting Data...</v>
      </c>
      <c r="P528" t="str">
        <f>_xll.BDP("2441095G Muni","MUNI_TAX_PROV")</f>
        <v>#N/A Requesting Data...</v>
      </c>
      <c r="Q528" t="str">
        <f>_xll.BDP("2441095G Muni","MUNI_FED_TAX")</f>
        <v>#N/A Requesting Data...</v>
      </c>
      <c r="R528" t="str">
        <f>_xll.BDP("2441095G Muni","MUNI_MSRB_VOLUME")</f>
        <v>#N/A Requesting Data...</v>
      </c>
      <c r="S528" t="str">
        <f>_xll.BDP("2441095G Muni","BB_COMPOSITE")</f>
        <v>#N/A Requesting Data...</v>
      </c>
      <c r="T528" t="str">
        <f>_xll.BDP("2441095G Muni","LQA_LIQUIDITY_SCORE")</f>
        <v>#N/A Requesting Data...</v>
      </c>
    </row>
    <row r="529" spans="1:20" x14ac:dyDescent="0.25">
      <c r="A529" t="str">
        <f>_xll.BDP("2441095H Muni","ID_CUSIP")</f>
        <v>#N/A Requesting Data...</v>
      </c>
      <c r="B529" t="s">
        <v>158</v>
      </c>
      <c r="C529" t="str">
        <f>_xll.BDP("2441095H Muni","INSURANCE_STATUS")</f>
        <v>#N/A Requesting Data...</v>
      </c>
      <c r="D529" t="str">
        <f>_xll.BDP("2441095H Muni","STATE_CODE")</f>
        <v>#N/A Requesting Data...</v>
      </c>
      <c r="E529" t="str">
        <f>_xll.BDP("2441095H Muni","COUNTY_LOCATION_ISSUER")</f>
        <v>#N/A Requesting Data...</v>
      </c>
      <c r="F529" t="str">
        <f>_xll.BDP("2441095H Muni","DUR_ADJ_MID")</f>
        <v>#N/A Requesting Data...</v>
      </c>
      <c r="G529" t="str">
        <f>_xll.BDP("2441095H Muni","SPREAD_AT_ISSUANCE_TO_WORST")</f>
        <v>#N/A Requesting Data...</v>
      </c>
      <c r="H529" t="str">
        <f>_xll.BDP("2441095H Muni","ISSUE_DT")</f>
        <v>#N/A Requesting Data...</v>
      </c>
      <c r="I529" t="str">
        <f>_xll.BDS("2441095H Muni","MUNI_PURPOSE_SCHED", "aggregate=y")</f>
        <v>#N/A Requesting Data...</v>
      </c>
      <c r="J529" t="str">
        <f>_xll.BDP("2441095H Muni","CPN")</f>
        <v>#N/A Requesting Data...</v>
      </c>
      <c r="K529" t="str">
        <f>_xll.BDP("2441095H Muni","MATURITY")</f>
        <v>#N/A Requesting Data...</v>
      </c>
      <c r="L529">
        <v>255000</v>
      </c>
      <c r="M529" t="str">
        <f>_xll.BDP("2441095H Muni","YIELD_ON_ISSUE_DATE")</f>
        <v>#N/A Requesting Data...</v>
      </c>
      <c r="N529" t="str">
        <f>_xll.BDP("2441095H Muni","YTW_SPREAD_TO_MATURITY_AT_ISSU")</f>
        <v>#N/A Requesting Data...</v>
      </c>
      <c r="O529" t="str">
        <f>_xll.BDP("2441095H Muni","BVAL_MID_YTM")</f>
        <v>#N/A Requesting Data...</v>
      </c>
      <c r="P529" t="str">
        <f>_xll.BDP("2441095H Muni","MUNI_TAX_PROV")</f>
        <v>#N/A Requesting Data...</v>
      </c>
      <c r="Q529" t="str">
        <f>_xll.BDP("2441095H Muni","MUNI_FED_TAX")</f>
        <v>#N/A Requesting Data...</v>
      </c>
      <c r="R529" t="str">
        <f>_xll.BDP("2441095H Muni","MUNI_MSRB_VOLUME")</f>
        <v>#N/A Requesting Data...</v>
      </c>
      <c r="S529" t="str">
        <f>_xll.BDP("2441095H Muni","BB_COMPOSITE")</f>
        <v>#N/A Requesting Data...</v>
      </c>
      <c r="T529" t="str">
        <f>_xll.BDP("2441095H Muni","LQA_LIQUIDITY_SCORE")</f>
        <v>#N/A Requesting Data...</v>
      </c>
    </row>
    <row r="530" spans="1:20" x14ac:dyDescent="0.25">
      <c r="A530" t="str">
        <f>_xll.BDP("2441095J Muni","ID_CUSIP")</f>
        <v>#N/A Requesting Data...</v>
      </c>
      <c r="B530" t="s">
        <v>158</v>
      </c>
      <c r="C530" t="str">
        <f>_xll.BDP("2441095J Muni","INSURANCE_STATUS")</f>
        <v>#N/A Requesting Data...</v>
      </c>
      <c r="D530" t="str">
        <f>_xll.BDP("2441095J Muni","STATE_CODE")</f>
        <v>#N/A Requesting Data...</v>
      </c>
      <c r="E530" t="str">
        <f>_xll.BDP("2441095J Muni","COUNTY_LOCATION_ISSUER")</f>
        <v>#N/A Requesting Data...</v>
      </c>
      <c r="F530" t="str">
        <f>_xll.BDP("2441095J Muni","DUR_ADJ_MID")</f>
        <v>#N/A Requesting Data...</v>
      </c>
      <c r="G530" t="str">
        <f>_xll.BDP("2441095J Muni","SPREAD_AT_ISSUANCE_TO_WORST")</f>
        <v>#N/A Requesting Data...</v>
      </c>
      <c r="H530" t="str">
        <f>_xll.BDP("2441095J Muni","ISSUE_DT")</f>
        <v>#N/A Requesting Data...</v>
      </c>
      <c r="I530" t="str">
        <f>_xll.BDS("2441095J Muni","MUNI_PURPOSE_SCHED", "aggregate=y")</f>
        <v>#N/A Requesting Data...</v>
      </c>
      <c r="J530" t="str">
        <f>_xll.BDP("2441095J Muni","CPN")</f>
        <v>#N/A Requesting Data...</v>
      </c>
      <c r="K530" t="str">
        <f>_xll.BDP("2441095J Muni","MATURITY")</f>
        <v>#N/A Requesting Data...</v>
      </c>
      <c r="L530">
        <v>260000</v>
      </c>
      <c r="M530" t="str">
        <f>_xll.BDP("2441095J Muni","YIELD_ON_ISSUE_DATE")</f>
        <v>#N/A Requesting Data...</v>
      </c>
      <c r="N530" t="str">
        <f>_xll.BDP("2441095J Muni","YTW_SPREAD_TO_MATURITY_AT_ISSU")</f>
        <v>#N/A Requesting Data...</v>
      </c>
      <c r="O530" t="str">
        <f>_xll.BDP("2441095J Muni","BVAL_MID_YTM")</f>
        <v>#N/A Requesting Data...</v>
      </c>
      <c r="P530" t="str">
        <f>_xll.BDP("2441095J Muni","MUNI_TAX_PROV")</f>
        <v>#N/A Requesting Data...</v>
      </c>
      <c r="Q530" t="str">
        <f>_xll.BDP("2441095J Muni","MUNI_FED_TAX")</f>
        <v>#N/A Requesting Data...</v>
      </c>
      <c r="R530" t="str">
        <f>_xll.BDP("2441095J Muni","MUNI_MSRB_VOLUME")</f>
        <v>#N/A Requesting Data...</v>
      </c>
      <c r="S530" t="str">
        <f>_xll.BDP("2441095J Muni","BB_COMPOSITE")</f>
        <v>#N/A Requesting Data...</v>
      </c>
      <c r="T530" t="str">
        <f>_xll.BDP("2441095J Muni","LQA_LIQUIDITY_SCORE")</f>
        <v>#N/A Requesting Data...</v>
      </c>
    </row>
    <row r="531" spans="1:20" x14ac:dyDescent="0.25">
      <c r="A531" t="str">
        <f>_xll.BDP("2441095K Muni","ID_CUSIP")</f>
        <v>#N/A Requesting Data...</v>
      </c>
      <c r="B531" t="s">
        <v>158</v>
      </c>
      <c r="C531" t="str">
        <f>_xll.BDP("2441095K Muni","INSURANCE_STATUS")</f>
        <v>#N/A Requesting Data...</v>
      </c>
      <c r="D531" t="str">
        <f>_xll.BDP("2441095K Muni","STATE_CODE")</f>
        <v>#N/A Requesting Data...</v>
      </c>
      <c r="E531" t="str">
        <f>_xll.BDP("2441095K Muni","COUNTY_LOCATION_ISSUER")</f>
        <v>#N/A Requesting Data...</v>
      </c>
      <c r="F531" t="str">
        <f>_xll.BDP("2441095K Muni","DUR_ADJ_MID")</f>
        <v>#N/A Requesting Data...</v>
      </c>
      <c r="G531" t="str">
        <f>_xll.BDP("2441095K Muni","SPREAD_AT_ISSUANCE_TO_WORST")</f>
        <v>#N/A Requesting Data...</v>
      </c>
      <c r="H531" t="str">
        <f>_xll.BDP("2441095K Muni","ISSUE_DT")</f>
        <v>#N/A Requesting Data...</v>
      </c>
      <c r="I531" t="str">
        <f>_xll.BDS("2441095K Muni","MUNI_PURPOSE_SCHED", "aggregate=y")</f>
        <v>#N/A Requesting Data...</v>
      </c>
      <c r="J531" t="str">
        <f>_xll.BDP("2441095K Muni","CPN")</f>
        <v>#N/A Requesting Data...</v>
      </c>
      <c r="K531" t="str">
        <f>_xll.BDP("2441095K Muni","MATURITY")</f>
        <v>#N/A Requesting Data...</v>
      </c>
      <c r="L531">
        <v>270000</v>
      </c>
      <c r="M531" t="str">
        <f>_xll.BDP("2441095K Muni","YIELD_ON_ISSUE_DATE")</f>
        <v>#N/A Requesting Data...</v>
      </c>
      <c r="N531" t="str">
        <f>_xll.BDP("2441095K Muni","YTW_SPREAD_TO_MATURITY_AT_ISSU")</f>
        <v>#N/A Requesting Data...</v>
      </c>
      <c r="O531" t="str">
        <f>_xll.BDP("2441095K Muni","BVAL_MID_YTM")</f>
        <v>#N/A Requesting Data...</v>
      </c>
      <c r="P531" t="str">
        <f>_xll.BDP("2441095K Muni","MUNI_TAX_PROV")</f>
        <v>#N/A Requesting Data...</v>
      </c>
      <c r="Q531" t="str">
        <f>_xll.BDP("2441095K Muni","MUNI_FED_TAX")</f>
        <v>#N/A Requesting Data...</v>
      </c>
      <c r="R531" t="str">
        <f>_xll.BDP("2441095K Muni","MUNI_MSRB_VOLUME")</f>
        <v>#N/A Requesting Data...</v>
      </c>
      <c r="S531" t="str">
        <f>_xll.BDP("2441095K Muni","BB_COMPOSITE")</f>
        <v>#N/A Requesting Data...</v>
      </c>
      <c r="T531" t="str">
        <f>_xll.BDP("2441095K Muni","LQA_LIQUIDITY_SCORE")</f>
        <v>#N/A Requesting Data...</v>
      </c>
    </row>
    <row r="532" spans="1:20" x14ac:dyDescent="0.25">
      <c r="A532" t="str">
        <f>_xll.BDP("2441095L Muni","ID_CUSIP")</f>
        <v>#N/A Requesting Data...</v>
      </c>
      <c r="B532" t="s">
        <v>158</v>
      </c>
      <c r="C532" t="str">
        <f>_xll.BDP("2441095L Muni","INSURANCE_STATUS")</f>
        <v>#N/A Requesting Data...</v>
      </c>
      <c r="D532" t="str">
        <f>_xll.BDP("2441095L Muni","STATE_CODE")</f>
        <v>#N/A Requesting Data...</v>
      </c>
      <c r="E532" t="str">
        <f>_xll.BDP("2441095L Muni","COUNTY_LOCATION_ISSUER")</f>
        <v>#N/A Requesting Data...</v>
      </c>
      <c r="F532" t="str">
        <f>_xll.BDP("2441095L Muni","DUR_ADJ_MID")</f>
        <v>#N/A Requesting Data...</v>
      </c>
      <c r="G532" t="str">
        <f>_xll.BDP("2441095L Muni","SPREAD_AT_ISSUANCE_TO_WORST")</f>
        <v>#N/A Requesting Data...</v>
      </c>
      <c r="H532" t="str">
        <f>_xll.BDP("2441095L Muni","ISSUE_DT")</f>
        <v>#N/A Requesting Data...</v>
      </c>
      <c r="I532" t="str">
        <f>_xll.BDS("2441095L Muni","MUNI_PURPOSE_SCHED", "aggregate=y")</f>
        <v>#N/A Requesting Data...</v>
      </c>
      <c r="J532" t="str">
        <f>_xll.BDP("2441095L Muni","CPN")</f>
        <v>#N/A Requesting Data...</v>
      </c>
      <c r="K532" t="str">
        <f>_xll.BDP("2441095L Muni","MATURITY")</f>
        <v>#N/A Requesting Data...</v>
      </c>
      <c r="L532">
        <v>280000</v>
      </c>
      <c r="M532" t="str">
        <f>_xll.BDP("2441095L Muni","YIELD_ON_ISSUE_DATE")</f>
        <v>#N/A Requesting Data...</v>
      </c>
      <c r="N532" t="str">
        <f>_xll.BDP("2441095L Muni","YTW_SPREAD_TO_MATURITY_AT_ISSU")</f>
        <v>#N/A Requesting Data...</v>
      </c>
      <c r="O532" t="str">
        <f>_xll.BDP("2441095L Muni","BVAL_MID_YTM")</f>
        <v>#N/A Requesting Data...</v>
      </c>
      <c r="P532" t="str">
        <f>_xll.BDP("2441095L Muni","MUNI_TAX_PROV")</f>
        <v>#N/A Requesting Data...</v>
      </c>
      <c r="Q532" t="str">
        <f>_xll.BDP("2441095L Muni","MUNI_FED_TAX")</f>
        <v>#N/A Requesting Data...</v>
      </c>
      <c r="R532" t="str">
        <f>_xll.BDP("2441095L Muni","MUNI_MSRB_VOLUME")</f>
        <v>#N/A Requesting Data...</v>
      </c>
      <c r="S532" t="str">
        <f>_xll.BDP("2441095L Muni","BB_COMPOSITE")</f>
        <v>#N/A Requesting Data...</v>
      </c>
      <c r="T532" t="str">
        <f>_xll.BDP("2441095L Muni","LQA_LIQUIDITY_SCORE")</f>
        <v>#N/A Requesting Data...</v>
      </c>
    </row>
    <row r="533" spans="1:20" x14ac:dyDescent="0.25">
      <c r="A533" t="str">
        <f>_xll.BDP("2441095M Muni","ID_CUSIP")</f>
        <v>#N/A Requesting Data...</v>
      </c>
      <c r="B533" t="s">
        <v>158</v>
      </c>
      <c r="C533" t="str">
        <f>_xll.BDP("2441095M Muni","INSURANCE_STATUS")</f>
        <v>#N/A Requesting Data...</v>
      </c>
      <c r="D533" t="str">
        <f>_xll.BDP("2441095M Muni","STATE_CODE")</f>
        <v>#N/A Requesting Data...</v>
      </c>
      <c r="E533" t="str">
        <f>_xll.BDP("2441095M Muni","COUNTY_LOCATION_ISSUER")</f>
        <v>#N/A Requesting Data...</v>
      </c>
      <c r="F533" t="str">
        <f>_xll.BDP("2441095M Muni","DUR_ADJ_MID")</f>
        <v>#N/A Requesting Data...</v>
      </c>
      <c r="G533" t="str">
        <f>_xll.BDP("2441095M Muni","SPREAD_AT_ISSUANCE_TO_WORST")</f>
        <v>#N/A Requesting Data...</v>
      </c>
      <c r="H533" t="str">
        <f>_xll.BDP("2441095M Muni","ISSUE_DT")</f>
        <v>#N/A Requesting Data...</v>
      </c>
      <c r="I533" t="str">
        <f>_xll.BDS("2441095M Muni","MUNI_PURPOSE_SCHED", "aggregate=y")</f>
        <v>#N/A Requesting Data...</v>
      </c>
      <c r="J533" t="str">
        <f>_xll.BDP("2441095M Muni","CPN")</f>
        <v>#N/A Requesting Data...</v>
      </c>
      <c r="K533" t="str">
        <f>_xll.BDP("2441095M Muni","MATURITY")</f>
        <v>#N/A Requesting Data...</v>
      </c>
      <c r="L533">
        <v>290000</v>
      </c>
      <c r="M533" t="str">
        <f>_xll.BDP("2441095M Muni","YIELD_ON_ISSUE_DATE")</f>
        <v>#N/A Requesting Data...</v>
      </c>
      <c r="N533" t="str">
        <f>_xll.BDP("2441095M Muni","YTW_SPREAD_TO_MATURITY_AT_ISSU")</f>
        <v>#N/A Requesting Data...</v>
      </c>
      <c r="O533" t="str">
        <f>_xll.BDP("2441095M Muni","BVAL_MID_YTM")</f>
        <v>#N/A Requesting Data...</v>
      </c>
      <c r="P533" t="str">
        <f>_xll.BDP("2441095M Muni","MUNI_TAX_PROV")</f>
        <v>#N/A Requesting Data...</v>
      </c>
      <c r="Q533" t="str">
        <f>_xll.BDP("2441095M Muni","MUNI_FED_TAX")</f>
        <v>#N/A Requesting Data...</v>
      </c>
      <c r="R533" t="str">
        <f>_xll.BDP("2441095M Muni","MUNI_MSRB_VOLUME")</f>
        <v>#N/A Requesting Data...</v>
      </c>
      <c r="S533" t="str">
        <f>_xll.BDP("2441095M Muni","BB_COMPOSITE")</f>
        <v>#N/A Requesting Data...</v>
      </c>
      <c r="T533" t="str">
        <f>_xll.BDP("2441095M Muni","LQA_LIQUIDITY_SCORE")</f>
        <v>#N/A Requesting Data...</v>
      </c>
    </row>
    <row r="534" spans="1:20" x14ac:dyDescent="0.25">
      <c r="A534" t="str">
        <f>_xll.BDP("245667QV Muni","ID_CUSIP")</f>
        <v>#N/A Requesting Data...</v>
      </c>
      <c r="B534" t="s">
        <v>159</v>
      </c>
      <c r="C534" t="str">
        <f>_xll.BDP("245667QV Muni","INSURANCE_STATUS")</f>
        <v>#N/A Requesting Data...</v>
      </c>
      <c r="D534" t="str">
        <f>_xll.BDP("245667QV Muni","STATE_CODE")</f>
        <v>#N/A Requesting Data...</v>
      </c>
      <c r="E534" t="str">
        <f>_xll.BDP("245667QV Muni","COUNTY_LOCATION_ISSUER")</f>
        <v>#N/A Requesting Data...</v>
      </c>
      <c r="F534" t="str">
        <f>_xll.BDP("245667QV Muni","DUR_ADJ_MID")</f>
        <v>#N/A Requesting Data...</v>
      </c>
      <c r="G534" t="str">
        <f>_xll.BDP("245667QV Muni","SPREAD_AT_ISSUANCE_TO_WORST")</f>
        <v>#N/A Requesting Data...</v>
      </c>
      <c r="H534" t="str">
        <f>_xll.BDP("245667QV Muni","ISSUE_DT")</f>
        <v>#N/A Requesting Data...</v>
      </c>
      <c r="I534" t="str">
        <f>_xll.BDS("245667QV Muni","MUNI_PURPOSE_SCHED", "aggregate=y")</f>
        <v>#N/A Requesting Data...</v>
      </c>
      <c r="J534" t="str">
        <f>_xll.BDP("245667QV Muni","CPN")</f>
        <v>#N/A Requesting Data...</v>
      </c>
      <c r="K534" t="str">
        <f>_xll.BDP("245667QV Muni","MATURITY")</f>
        <v>#N/A Requesting Data...</v>
      </c>
      <c r="L534">
        <v>125000</v>
      </c>
      <c r="M534" t="str">
        <f>_xll.BDP("245667QV Muni","YIELD_ON_ISSUE_DATE")</f>
        <v>#N/A Requesting Data...</v>
      </c>
      <c r="N534" t="str">
        <f>_xll.BDP("245667QV Muni","YTW_SPREAD_TO_MATURITY_AT_ISSU")</f>
        <v>#N/A Requesting Data...</v>
      </c>
      <c r="O534" t="str">
        <f>_xll.BDP("245667QV Muni","BVAL_MID_YTM")</f>
        <v>#N/A Requesting Data...</v>
      </c>
      <c r="P534" t="str">
        <f>_xll.BDP("245667QV Muni","MUNI_TAX_PROV")</f>
        <v>#N/A Requesting Data...</v>
      </c>
      <c r="Q534" t="str">
        <f>_xll.BDP("245667QV Muni","MUNI_FED_TAX")</f>
        <v>#N/A Requesting Data...</v>
      </c>
      <c r="R534" t="str">
        <f>_xll.BDP("245667QV Muni","MUNI_MSRB_VOLUME")</f>
        <v>#N/A Requesting Data...</v>
      </c>
      <c r="S534" t="str">
        <f>_xll.BDP("245667QV Muni","BB_COMPOSITE")</f>
        <v>#N/A Requesting Data...</v>
      </c>
      <c r="T534" t="str">
        <f>_xll.BDP("245667QV Muni","LQA_LIQUIDITY_SCORE")</f>
        <v>#N/A Requesting Data...</v>
      </c>
    </row>
    <row r="535" spans="1:20" x14ac:dyDescent="0.25">
      <c r="A535" t="str">
        <f>_xll.BDP("245667QW Muni","ID_CUSIP")</f>
        <v>#N/A Requesting Data...</v>
      </c>
      <c r="B535" t="s">
        <v>159</v>
      </c>
      <c r="C535" t="str">
        <f>_xll.BDP("245667QW Muni","INSURANCE_STATUS")</f>
        <v>#N/A Requesting Data...</v>
      </c>
      <c r="D535" t="str">
        <f>_xll.BDP("245667QW Muni","STATE_CODE")</f>
        <v>#N/A Requesting Data...</v>
      </c>
      <c r="E535" t="str">
        <f>_xll.BDP("245667QW Muni","COUNTY_LOCATION_ISSUER")</f>
        <v>#N/A Requesting Data...</v>
      </c>
      <c r="F535" t="str">
        <f>_xll.BDP("245667QW Muni","DUR_ADJ_MID")</f>
        <v>#N/A Requesting Data...</v>
      </c>
      <c r="G535" t="str">
        <f>_xll.BDP("245667QW Muni","SPREAD_AT_ISSUANCE_TO_WORST")</f>
        <v>#N/A Requesting Data...</v>
      </c>
      <c r="H535" t="str">
        <f>_xll.BDP("245667QW Muni","ISSUE_DT")</f>
        <v>#N/A Requesting Data...</v>
      </c>
      <c r="I535" t="str">
        <f>_xll.BDS("245667QW Muni","MUNI_PURPOSE_SCHED", "aggregate=y")</f>
        <v>#N/A Requesting Data...</v>
      </c>
      <c r="J535" t="str">
        <f>_xll.BDP("245667QW Muni","CPN")</f>
        <v>#N/A Requesting Data...</v>
      </c>
      <c r="K535" t="str">
        <f>_xll.BDP("245667QW Muni","MATURITY")</f>
        <v>#N/A Requesting Data...</v>
      </c>
      <c r="L535">
        <v>130000</v>
      </c>
      <c r="M535" t="str">
        <f>_xll.BDP("245667QW Muni","YIELD_ON_ISSUE_DATE")</f>
        <v>#N/A Requesting Data...</v>
      </c>
      <c r="N535" t="str">
        <f>_xll.BDP("245667QW Muni","YTW_SPREAD_TO_MATURITY_AT_ISSU")</f>
        <v>#N/A Requesting Data...</v>
      </c>
      <c r="O535" t="str">
        <f>_xll.BDP("245667QW Muni","BVAL_MID_YTM")</f>
        <v>#N/A Requesting Data...</v>
      </c>
      <c r="P535" t="str">
        <f>_xll.BDP("245667QW Muni","MUNI_TAX_PROV")</f>
        <v>#N/A Requesting Data...</v>
      </c>
      <c r="Q535" t="str">
        <f>_xll.BDP("245667QW Muni","MUNI_FED_TAX")</f>
        <v>#N/A Requesting Data...</v>
      </c>
      <c r="R535" t="str">
        <f>_xll.BDP("245667QW Muni","MUNI_MSRB_VOLUME")</f>
        <v>#N/A Requesting Data...</v>
      </c>
      <c r="S535" t="str">
        <f>_xll.BDP("245667QW Muni","BB_COMPOSITE")</f>
        <v>#N/A Requesting Data...</v>
      </c>
      <c r="T535" t="str">
        <f>_xll.BDP("245667QW Muni","LQA_LIQUIDITY_SCORE")</f>
        <v>#N/A Requesting Data...</v>
      </c>
    </row>
    <row r="536" spans="1:20" x14ac:dyDescent="0.25">
      <c r="A536" t="str">
        <f>_xll.BDP("245667QX Muni","ID_CUSIP")</f>
        <v>#N/A Requesting Data...</v>
      </c>
      <c r="B536" t="s">
        <v>159</v>
      </c>
      <c r="C536" t="str">
        <f>_xll.BDP("245667QX Muni","INSURANCE_STATUS")</f>
        <v>#N/A Requesting Data...</v>
      </c>
      <c r="D536" t="str">
        <f>_xll.BDP("245667QX Muni","STATE_CODE")</f>
        <v>#N/A Requesting Data...</v>
      </c>
      <c r="E536" t="str">
        <f>_xll.BDP("245667QX Muni","COUNTY_LOCATION_ISSUER")</f>
        <v>#N/A Requesting Data...</v>
      </c>
      <c r="F536" t="str">
        <f>_xll.BDP("245667QX Muni","DUR_ADJ_MID")</f>
        <v>#N/A Requesting Data...</v>
      </c>
      <c r="G536" t="str">
        <f>_xll.BDP("245667QX Muni","SPREAD_AT_ISSUANCE_TO_WORST")</f>
        <v>#N/A Requesting Data...</v>
      </c>
      <c r="H536" t="str">
        <f>_xll.BDP("245667QX Muni","ISSUE_DT")</f>
        <v>#N/A Requesting Data...</v>
      </c>
      <c r="I536" t="str">
        <f>_xll.BDS("245667QX Muni","MUNI_PURPOSE_SCHED", "aggregate=y")</f>
        <v>#N/A Requesting Data...</v>
      </c>
      <c r="J536" t="str">
        <f>_xll.BDP("245667QX Muni","CPN")</f>
        <v>#N/A Requesting Data...</v>
      </c>
      <c r="K536" t="str">
        <f>_xll.BDP("245667QX Muni","MATURITY")</f>
        <v>#N/A Requesting Data...</v>
      </c>
      <c r="L536">
        <v>135000</v>
      </c>
      <c r="M536" t="str">
        <f>_xll.BDP("245667QX Muni","YIELD_ON_ISSUE_DATE")</f>
        <v>#N/A Requesting Data...</v>
      </c>
      <c r="N536" t="str">
        <f>_xll.BDP("245667QX Muni","YTW_SPREAD_TO_MATURITY_AT_ISSU")</f>
        <v>#N/A Requesting Data...</v>
      </c>
      <c r="O536" t="str">
        <f>_xll.BDP("245667QX Muni","BVAL_MID_YTM")</f>
        <v>#N/A Requesting Data...</v>
      </c>
      <c r="P536" t="str">
        <f>_xll.BDP("245667QX Muni","MUNI_TAX_PROV")</f>
        <v>#N/A Requesting Data...</v>
      </c>
      <c r="Q536" t="str">
        <f>_xll.BDP("245667QX Muni","MUNI_FED_TAX")</f>
        <v>#N/A Requesting Data...</v>
      </c>
      <c r="R536" t="str">
        <f>_xll.BDP("245667QX Muni","MUNI_MSRB_VOLUME")</f>
        <v>#N/A Requesting Data...</v>
      </c>
      <c r="S536" t="str">
        <f>_xll.BDP("245667QX Muni","BB_COMPOSITE")</f>
        <v>#N/A Requesting Data...</v>
      </c>
      <c r="T536" t="str">
        <f>_xll.BDP("245667QX Muni","LQA_LIQUIDITY_SCORE")</f>
        <v>#N/A Requesting Data...</v>
      </c>
    </row>
    <row r="537" spans="1:20" x14ac:dyDescent="0.25">
      <c r="A537" t="str">
        <f>_xll.BDP("245667QY Muni","ID_CUSIP")</f>
        <v>#N/A Requesting Data...</v>
      </c>
      <c r="B537" t="s">
        <v>159</v>
      </c>
      <c r="C537" t="str">
        <f>_xll.BDP("245667QY Muni","INSURANCE_STATUS")</f>
        <v>#N/A Requesting Data...</v>
      </c>
      <c r="D537" t="str">
        <f>_xll.BDP("245667QY Muni","STATE_CODE")</f>
        <v>#N/A Requesting Data...</v>
      </c>
      <c r="E537" t="str">
        <f>_xll.BDP("245667QY Muni","COUNTY_LOCATION_ISSUER")</f>
        <v>#N/A Requesting Data...</v>
      </c>
      <c r="F537" t="str">
        <f>_xll.BDP("245667QY Muni","DUR_ADJ_MID")</f>
        <v>#N/A Requesting Data...</v>
      </c>
      <c r="G537" t="str">
        <f>_xll.BDP("245667QY Muni","SPREAD_AT_ISSUANCE_TO_WORST")</f>
        <v>#N/A Requesting Data...</v>
      </c>
      <c r="H537" t="str">
        <f>_xll.BDP("245667QY Muni","ISSUE_DT")</f>
        <v>#N/A Requesting Data...</v>
      </c>
      <c r="I537" t="str">
        <f>_xll.BDS("245667QY Muni","MUNI_PURPOSE_SCHED", "aggregate=y")</f>
        <v>#N/A Requesting Data...</v>
      </c>
      <c r="J537" t="str">
        <f>_xll.BDP("245667QY Muni","CPN")</f>
        <v>#N/A Requesting Data...</v>
      </c>
      <c r="K537" t="str">
        <f>_xll.BDP("245667QY Muni","MATURITY")</f>
        <v>#N/A Requesting Data...</v>
      </c>
      <c r="L537">
        <v>135000</v>
      </c>
      <c r="M537" t="str">
        <f>_xll.BDP("245667QY Muni","YIELD_ON_ISSUE_DATE")</f>
        <v>#N/A Requesting Data...</v>
      </c>
      <c r="N537" t="str">
        <f>_xll.BDP("245667QY Muni","YTW_SPREAD_TO_MATURITY_AT_ISSU")</f>
        <v>#N/A Requesting Data...</v>
      </c>
      <c r="O537" t="str">
        <f>_xll.BDP("245667QY Muni","BVAL_MID_YTM")</f>
        <v>#N/A Requesting Data...</v>
      </c>
      <c r="P537" t="str">
        <f>_xll.BDP("245667QY Muni","MUNI_TAX_PROV")</f>
        <v>#N/A Requesting Data...</v>
      </c>
      <c r="Q537" t="str">
        <f>_xll.BDP("245667QY Muni","MUNI_FED_TAX")</f>
        <v>#N/A Requesting Data...</v>
      </c>
      <c r="R537" t="str">
        <f>_xll.BDP("245667QY Muni","MUNI_MSRB_VOLUME")</f>
        <v>#N/A Requesting Data...</v>
      </c>
      <c r="S537" t="str">
        <f>_xll.BDP("245667QY Muni","BB_COMPOSITE")</f>
        <v>#N/A Requesting Data...</v>
      </c>
      <c r="T537" t="str">
        <f>_xll.BDP("245667QY Muni","LQA_LIQUIDITY_SCORE")</f>
        <v>#N/A Requesting Data...</v>
      </c>
    </row>
    <row r="538" spans="1:20" x14ac:dyDescent="0.25">
      <c r="A538" t="str">
        <f>_xll.BDP("245667QZ Muni","ID_CUSIP")</f>
        <v>#N/A Requesting Data...</v>
      </c>
      <c r="B538" t="s">
        <v>159</v>
      </c>
      <c r="C538" t="str">
        <f>_xll.BDP("245667QZ Muni","INSURANCE_STATUS")</f>
        <v>#N/A Requesting Data...</v>
      </c>
      <c r="D538" t="str">
        <f>_xll.BDP("245667QZ Muni","STATE_CODE")</f>
        <v>#N/A Requesting Data...</v>
      </c>
      <c r="E538" t="str">
        <f>_xll.BDP("245667QZ Muni","COUNTY_LOCATION_ISSUER")</f>
        <v>#N/A Requesting Data...</v>
      </c>
      <c r="F538" t="str">
        <f>_xll.BDP("245667QZ Muni","DUR_ADJ_MID")</f>
        <v>#N/A Requesting Data...</v>
      </c>
      <c r="G538" t="str">
        <f>_xll.BDP("245667QZ Muni","SPREAD_AT_ISSUANCE_TO_WORST")</f>
        <v>#N/A Requesting Data...</v>
      </c>
      <c r="H538" t="str">
        <f>_xll.BDP("245667QZ Muni","ISSUE_DT")</f>
        <v>#N/A Requesting Data...</v>
      </c>
      <c r="I538" t="str">
        <f>_xll.BDS("245667QZ Muni","MUNI_PURPOSE_SCHED", "aggregate=y")</f>
        <v>#N/A Requesting Data...</v>
      </c>
      <c r="J538" t="str">
        <f>_xll.BDP("245667QZ Muni","CPN")</f>
        <v>#N/A Requesting Data...</v>
      </c>
      <c r="K538" t="str">
        <f>_xll.BDP("245667QZ Muni","MATURITY")</f>
        <v>#N/A Requesting Data...</v>
      </c>
      <c r="L538">
        <v>140000</v>
      </c>
      <c r="M538" t="str">
        <f>_xll.BDP("245667QZ Muni","YIELD_ON_ISSUE_DATE")</f>
        <v>#N/A Requesting Data...</v>
      </c>
      <c r="N538" t="str">
        <f>_xll.BDP("245667QZ Muni","YTW_SPREAD_TO_MATURITY_AT_ISSU")</f>
        <v>#N/A Requesting Data...</v>
      </c>
      <c r="O538" t="str">
        <f>_xll.BDP("245667QZ Muni","BVAL_MID_YTM")</f>
        <v>#N/A Requesting Data...</v>
      </c>
      <c r="P538" t="str">
        <f>_xll.BDP("245667QZ Muni","MUNI_TAX_PROV")</f>
        <v>#N/A Requesting Data...</v>
      </c>
      <c r="Q538" t="str">
        <f>_xll.BDP("245667QZ Muni","MUNI_FED_TAX")</f>
        <v>#N/A Requesting Data...</v>
      </c>
      <c r="R538" t="str">
        <f>_xll.BDP("245667QZ Muni","MUNI_MSRB_VOLUME")</f>
        <v>#N/A Requesting Data...</v>
      </c>
      <c r="S538" t="str">
        <f>_xll.BDP("245667QZ Muni","BB_COMPOSITE")</f>
        <v>#N/A Requesting Data...</v>
      </c>
      <c r="T538" t="str">
        <f>_xll.BDP("245667QZ Muni","LQA_LIQUIDITY_SCORE")</f>
        <v>#N/A Requesting Data...</v>
      </c>
    </row>
    <row r="539" spans="1:20" x14ac:dyDescent="0.25">
      <c r="A539" t="str">
        <f>_xll.BDP("194748EB Muni","ID_CUSIP")</f>
        <v>#N/A Requesting Data...</v>
      </c>
      <c r="B539" t="s">
        <v>160</v>
      </c>
      <c r="C539" t="str">
        <f>_xll.BDP("194748EB Muni","INSURANCE_STATUS")</f>
        <v>#N/A Requesting Data...</v>
      </c>
      <c r="D539" t="str">
        <f>_xll.BDP("194748EB Muni","STATE_CODE")</f>
        <v>#N/A Requesting Data...</v>
      </c>
      <c r="E539" t="str">
        <f>_xll.BDP("194748EB Muni","COUNTY_LOCATION_ISSUER")</f>
        <v>#N/A Requesting Data...</v>
      </c>
      <c r="F539" t="str">
        <f>_xll.BDP("194748EB Muni","DUR_ADJ_MID")</f>
        <v>#N/A Requesting Data...</v>
      </c>
      <c r="G539" t="str">
        <f>_xll.BDP("194748EB Muni","SPREAD_AT_ISSUANCE_TO_WORST")</f>
        <v>#N/A Requesting Data...</v>
      </c>
      <c r="H539" t="str">
        <f>_xll.BDP("194748EB Muni","ISSUE_DT")</f>
        <v>#N/A Requesting Data...</v>
      </c>
      <c r="I539" t="str">
        <f>_xll.BDS("194748EB Muni","MUNI_PURPOSE_SCHED", "aggregate=y")</f>
        <v>#N/A Requesting Data...</v>
      </c>
      <c r="J539" t="str">
        <f>_xll.BDP("194748EB Muni","CPN")</f>
        <v>#N/A Requesting Data...</v>
      </c>
      <c r="K539" t="str">
        <f>_xll.BDP("194748EB Muni","MATURITY")</f>
        <v>#N/A Requesting Data...</v>
      </c>
      <c r="L539">
        <v>465000</v>
      </c>
      <c r="M539" t="str">
        <f>_xll.BDP("194748EB Muni","YIELD_ON_ISSUE_DATE")</f>
        <v>#N/A Requesting Data...</v>
      </c>
      <c r="N539" t="str">
        <f>_xll.BDP("194748EB Muni","YTW_SPREAD_TO_MATURITY_AT_ISSU")</f>
        <v>#N/A Requesting Data...</v>
      </c>
      <c r="O539" t="str">
        <f>_xll.BDP("194748EB Muni","BVAL_MID_YTM")</f>
        <v>#N/A Requesting Data...</v>
      </c>
      <c r="P539" t="str">
        <f>_xll.BDP("194748EB Muni","MUNI_TAX_PROV")</f>
        <v>#N/A Requesting Data...</v>
      </c>
      <c r="Q539" t="str">
        <f>_xll.BDP("194748EB Muni","MUNI_FED_TAX")</f>
        <v>#N/A Requesting Data...</v>
      </c>
      <c r="R539" t="str">
        <f>_xll.BDP("194748EB Muni","MUNI_MSRB_VOLUME")</f>
        <v>#N/A Requesting Data...</v>
      </c>
      <c r="S539" t="str">
        <f>_xll.BDP("194748EB Muni","BB_COMPOSITE")</f>
        <v>#N/A Requesting Data...</v>
      </c>
      <c r="T539" t="str">
        <f>_xll.BDP("194748EB Muni","LQA_LIQUIDITY_SCORE")</f>
        <v>#N/A Requesting Data...</v>
      </c>
    </row>
    <row r="540" spans="1:20" x14ac:dyDescent="0.25">
      <c r="A540" t="str">
        <f>_xll.BDP("194748EC Muni","ID_CUSIP")</f>
        <v>#N/A Requesting Data...</v>
      </c>
      <c r="B540" t="s">
        <v>160</v>
      </c>
      <c r="C540" t="str">
        <f>_xll.BDP("194748EC Muni","INSURANCE_STATUS")</f>
        <v>#N/A Requesting Data...</v>
      </c>
      <c r="D540" t="str">
        <f>_xll.BDP("194748EC Muni","STATE_CODE")</f>
        <v>#N/A Requesting Data...</v>
      </c>
      <c r="E540" t="str">
        <f>_xll.BDP("194748EC Muni","COUNTY_LOCATION_ISSUER")</f>
        <v>#N/A Requesting Data...</v>
      </c>
      <c r="F540" t="str">
        <f>_xll.BDP("194748EC Muni","DUR_ADJ_MID")</f>
        <v>#N/A Requesting Data...</v>
      </c>
      <c r="G540" t="str">
        <f>_xll.BDP("194748EC Muni","SPREAD_AT_ISSUANCE_TO_WORST")</f>
        <v>#N/A Requesting Data...</v>
      </c>
      <c r="H540" t="str">
        <f>_xll.BDP("194748EC Muni","ISSUE_DT")</f>
        <v>#N/A Requesting Data...</v>
      </c>
      <c r="I540" t="str">
        <f>_xll.BDS("194748EC Muni","MUNI_PURPOSE_SCHED", "aggregate=y")</f>
        <v>#N/A Requesting Data...</v>
      </c>
      <c r="J540" t="str">
        <f>_xll.BDP("194748EC Muni","CPN")</f>
        <v>#N/A Requesting Data...</v>
      </c>
      <c r="K540" t="str">
        <f>_xll.BDP("194748EC Muni","MATURITY")</f>
        <v>#N/A Requesting Data...</v>
      </c>
      <c r="L540">
        <v>475000</v>
      </c>
      <c r="M540" t="str">
        <f>_xll.BDP("194748EC Muni","YIELD_ON_ISSUE_DATE")</f>
        <v>#N/A Requesting Data...</v>
      </c>
      <c r="N540" t="str">
        <f>_xll.BDP("194748EC Muni","YTW_SPREAD_TO_MATURITY_AT_ISSU")</f>
        <v>#N/A Requesting Data...</v>
      </c>
      <c r="O540" t="str">
        <f>_xll.BDP("194748EC Muni","BVAL_MID_YTM")</f>
        <v>#N/A Requesting Data...</v>
      </c>
      <c r="P540" t="str">
        <f>_xll.BDP("194748EC Muni","MUNI_TAX_PROV")</f>
        <v>#N/A Requesting Data...</v>
      </c>
      <c r="Q540" t="str">
        <f>_xll.BDP("194748EC Muni","MUNI_FED_TAX")</f>
        <v>#N/A Requesting Data...</v>
      </c>
      <c r="R540" t="str">
        <f>_xll.BDP("194748EC Muni","MUNI_MSRB_VOLUME")</f>
        <v>#N/A Requesting Data...</v>
      </c>
      <c r="S540" t="str">
        <f>_xll.BDP("194748EC Muni","BB_COMPOSITE")</f>
        <v>#N/A Requesting Data...</v>
      </c>
      <c r="T540" t="str">
        <f>_xll.BDP("194748EC Muni","LQA_LIQUIDITY_SCORE")</f>
        <v>#N/A Requesting Data...</v>
      </c>
    </row>
    <row r="541" spans="1:20" x14ac:dyDescent="0.25">
      <c r="A541" t="str">
        <f>_xll.BDP("194748ED Muni","ID_CUSIP")</f>
        <v>#N/A Requesting Data...</v>
      </c>
      <c r="B541" t="s">
        <v>160</v>
      </c>
      <c r="C541" t="str">
        <f>_xll.BDP("194748ED Muni","INSURANCE_STATUS")</f>
        <v>#N/A Requesting Data...</v>
      </c>
      <c r="D541" t="str">
        <f>_xll.BDP("194748ED Muni","STATE_CODE")</f>
        <v>#N/A Requesting Data...</v>
      </c>
      <c r="E541" t="str">
        <f>_xll.BDP("194748ED Muni","COUNTY_LOCATION_ISSUER")</f>
        <v>#N/A Requesting Data...</v>
      </c>
      <c r="F541" t="str">
        <f>_xll.BDP("194748ED Muni","DUR_ADJ_MID")</f>
        <v>#N/A Requesting Data...</v>
      </c>
      <c r="G541" t="str">
        <f>_xll.BDP("194748ED Muni","SPREAD_AT_ISSUANCE_TO_WORST")</f>
        <v>#N/A Requesting Data...</v>
      </c>
      <c r="H541" t="str">
        <f>_xll.BDP("194748ED Muni","ISSUE_DT")</f>
        <v>#N/A Requesting Data...</v>
      </c>
      <c r="I541" t="str">
        <f>_xll.BDS("194748ED Muni","MUNI_PURPOSE_SCHED", "aggregate=y")</f>
        <v>#N/A Requesting Data...</v>
      </c>
      <c r="J541" t="str">
        <f>_xll.BDP("194748ED Muni","CPN")</f>
        <v>#N/A Requesting Data...</v>
      </c>
      <c r="K541" t="str">
        <f>_xll.BDP("194748ED Muni","MATURITY")</f>
        <v>#N/A Requesting Data...</v>
      </c>
      <c r="L541">
        <v>490000</v>
      </c>
      <c r="M541" t="str">
        <f>_xll.BDP("194748ED Muni","YIELD_ON_ISSUE_DATE")</f>
        <v>#N/A Requesting Data...</v>
      </c>
      <c r="N541" t="str">
        <f>_xll.BDP("194748ED Muni","YTW_SPREAD_TO_MATURITY_AT_ISSU")</f>
        <v>#N/A Requesting Data...</v>
      </c>
      <c r="O541" t="str">
        <f>_xll.BDP("194748ED Muni","BVAL_MID_YTM")</f>
        <v>#N/A Requesting Data...</v>
      </c>
      <c r="P541" t="str">
        <f>_xll.BDP("194748ED Muni","MUNI_TAX_PROV")</f>
        <v>#N/A Requesting Data...</v>
      </c>
      <c r="Q541" t="str">
        <f>_xll.BDP("194748ED Muni","MUNI_FED_TAX")</f>
        <v>#N/A Requesting Data...</v>
      </c>
      <c r="R541" t="str">
        <f>_xll.BDP("194748ED Muni","MUNI_MSRB_VOLUME")</f>
        <v>#N/A Requesting Data...</v>
      </c>
      <c r="S541" t="str">
        <f>_xll.BDP("194748ED Muni","BB_COMPOSITE")</f>
        <v>#N/A Requesting Data...</v>
      </c>
      <c r="T541" t="str">
        <f>_xll.BDP("194748ED Muni","LQA_LIQUIDITY_SCORE")</f>
        <v>#N/A Requesting Data...</v>
      </c>
    </row>
    <row r="542" spans="1:20" x14ac:dyDescent="0.25">
      <c r="A542" t="str">
        <f>_xll.BDP("237220EV Muni","ID_CUSIP")</f>
        <v>#N/A Requesting Data...</v>
      </c>
      <c r="B542" t="s">
        <v>161</v>
      </c>
      <c r="C542" t="str">
        <f>_xll.BDP("237220EV Muni","INSURANCE_STATUS")</f>
        <v>#N/A Requesting Data...</v>
      </c>
      <c r="D542" t="str">
        <f>_xll.BDP("237220EV Muni","STATE_CODE")</f>
        <v>#N/A Requesting Data...</v>
      </c>
      <c r="E542" t="str">
        <f>_xll.BDP("237220EV Muni","COUNTY_LOCATION_ISSUER")</f>
        <v>#N/A Requesting Data...</v>
      </c>
      <c r="F542" t="str">
        <f>_xll.BDP("237220EV Muni","DUR_ADJ_MID")</f>
        <v>#N/A Requesting Data...</v>
      </c>
      <c r="G542" t="str">
        <f>_xll.BDP("237220EV Muni","SPREAD_AT_ISSUANCE_TO_WORST")</f>
        <v>#N/A Requesting Data...</v>
      </c>
      <c r="H542" t="str">
        <f>_xll.BDP("237220EV Muni","ISSUE_DT")</f>
        <v>#N/A Requesting Data...</v>
      </c>
      <c r="I542" t="str">
        <f>_xll.BDS("237220EV Muni","MUNI_PURPOSE_SCHED", "aggregate=y")</f>
        <v>#N/A Requesting Data...</v>
      </c>
      <c r="J542" t="str">
        <f>_xll.BDP("237220EV Muni","CPN")</f>
        <v>#N/A Requesting Data...</v>
      </c>
      <c r="K542" t="str">
        <f>_xll.BDP("237220EV Muni","MATURITY")</f>
        <v>#N/A Requesting Data...</v>
      </c>
      <c r="L542">
        <v>305000</v>
      </c>
      <c r="M542" t="str">
        <f>_xll.BDP("237220EV Muni","YIELD_ON_ISSUE_DATE")</f>
        <v>#N/A Requesting Data...</v>
      </c>
      <c r="N542" t="str">
        <f>_xll.BDP("237220EV Muni","YTW_SPREAD_TO_MATURITY_AT_ISSU")</f>
        <v>#N/A Requesting Data...</v>
      </c>
      <c r="O542" t="str">
        <f>_xll.BDP("237220EV Muni","BVAL_MID_YTM")</f>
        <v>#N/A Requesting Data...</v>
      </c>
      <c r="P542" t="str">
        <f>_xll.BDP("237220EV Muni","MUNI_TAX_PROV")</f>
        <v>#N/A Requesting Data...</v>
      </c>
      <c r="Q542" t="str">
        <f>_xll.BDP("237220EV Muni","MUNI_FED_TAX")</f>
        <v>#N/A Requesting Data...</v>
      </c>
      <c r="R542" t="str">
        <f>_xll.BDP("237220EV Muni","MUNI_MSRB_VOLUME")</f>
        <v>#N/A Requesting Data...</v>
      </c>
      <c r="S542" t="str">
        <f>_xll.BDP("237220EV Muni","BB_COMPOSITE")</f>
        <v>#N/A Requesting Data...</v>
      </c>
      <c r="T542" t="str">
        <f>_xll.BDP("237220EV Muni","LQA_LIQUIDITY_SCORE")</f>
        <v>#N/A Requesting Data...</v>
      </c>
    </row>
    <row r="543" spans="1:20" x14ac:dyDescent="0.25">
      <c r="A543" t="str">
        <f>_xll.BDP("237220EW Muni","ID_CUSIP")</f>
        <v>#N/A Requesting Data...</v>
      </c>
      <c r="B543" t="s">
        <v>161</v>
      </c>
      <c r="C543" t="str">
        <f>_xll.BDP("237220EW Muni","INSURANCE_STATUS")</f>
        <v>#N/A Requesting Data...</v>
      </c>
      <c r="D543" t="str">
        <f>_xll.BDP("237220EW Muni","STATE_CODE")</f>
        <v>#N/A Requesting Data...</v>
      </c>
      <c r="E543" t="str">
        <f>_xll.BDP("237220EW Muni","COUNTY_LOCATION_ISSUER")</f>
        <v>#N/A Requesting Data...</v>
      </c>
      <c r="F543" t="str">
        <f>_xll.BDP("237220EW Muni","DUR_ADJ_MID")</f>
        <v>#N/A Requesting Data...</v>
      </c>
      <c r="G543" t="str">
        <f>_xll.BDP("237220EW Muni","SPREAD_AT_ISSUANCE_TO_WORST")</f>
        <v>#N/A Requesting Data...</v>
      </c>
      <c r="H543" t="str">
        <f>_xll.BDP("237220EW Muni","ISSUE_DT")</f>
        <v>#N/A Requesting Data...</v>
      </c>
      <c r="I543" t="str">
        <f>_xll.BDS("237220EW Muni","MUNI_PURPOSE_SCHED", "aggregate=y")</f>
        <v>#N/A Requesting Data...</v>
      </c>
      <c r="J543" t="str">
        <f>_xll.BDP("237220EW Muni","CPN")</f>
        <v>#N/A Requesting Data...</v>
      </c>
      <c r="K543" t="str">
        <f>_xll.BDP("237220EW Muni","MATURITY")</f>
        <v>#N/A Requesting Data...</v>
      </c>
      <c r="L543">
        <v>315000</v>
      </c>
      <c r="M543" t="str">
        <f>_xll.BDP("237220EW Muni","YIELD_ON_ISSUE_DATE")</f>
        <v>#N/A Requesting Data...</v>
      </c>
      <c r="N543" t="str">
        <f>_xll.BDP("237220EW Muni","YTW_SPREAD_TO_MATURITY_AT_ISSU")</f>
        <v>#N/A Requesting Data...</v>
      </c>
      <c r="O543" t="str">
        <f>_xll.BDP("237220EW Muni","BVAL_MID_YTM")</f>
        <v>#N/A Requesting Data...</v>
      </c>
      <c r="P543" t="str">
        <f>_xll.BDP("237220EW Muni","MUNI_TAX_PROV")</f>
        <v>#N/A Requesting Data...</v>
      </c>
      <c r="Q543" t="str">
        <f>_xll.BDP("237220EW Muni","MUNI_FED_TAX")</f>
        <v>#N/A Requesting Data...</v>
      </c>
      <c r="R543" t="str">
        <f>_xll.BDP("237220EW Muni","MUNI_MSRB_VOLUME")</f>
        <v>#N/A Requesting Data...</v>
      </c>
      <c r="S543" t="str">
        <f>_xll.BDP("237220EW Muni","BB_COMPOSITE")</f>
        <v>#N/A Requesting Data...</v>
      </c>
      <c r="T543" t="str">
        <f>_xll.BDP("237220EW Muni","LQA_LIQUIDITY_SCORE")</f>
        <v>#N/A Requesting Data...</v>
      </c>
    </row>
    <row r="544" spans="1:20" x14ac:dyDescent="0.25">
      <c r="A544" t="str">
        <f>_xll.BDP("237451C9 Muni","ID_CUSIP")</f>
        <v>#N/A Requesting Data...</v>
      </c>
      <c r="B544" t="s">
        <v>162</v>
      </c>
      <c r="C544" t="str">
        <f>_xll.BDP("237451C9 Muni","INSURANCE_STATUS")</f>
        <v>#N/A Requesting Data...</v>
      </c>
      <c r="D544" t="str">
        <f>_xll.BDP("237451C9 Muni","STATE_CODE")</f>
        <v>#N/A Requesting Data...</v>
      </c>
      <c r="E544" t="str">
        <f>_xll.BDP("237451C9 Muni","COUNTY_LOCATION_ISSUER")</f>
        <v>#N/A Requesting Data...</v>
      </c>
      <c r="F544" t="str">
        <f>_xll.BDP("237451C9 Muni","DUR_ADJ_MID")</f>
        <v>#N/A Requesting Data...</v>
      </c>
      <c r="G544" t="str">
        <f>_xll.BDP("237451C9 Muni","SPREAD_AT_ISSUANCE_TO_WORST")</f>
        <v>#N/A Requesting Data...</v>
      </c>
      <c r="H544" t="str">
        <f>_xll.BDP("237451C9 Muni","ISSUE_DT")</f>
        <v>#N/A Requesting Data...</v>
      </c>
      <c r="I544" t="str">
        <f>_xll.BDS("237451C9 Muni","MUNI_PURPOSE_SCHED", "aggregate=y")</f>
        <v>#N/A Requesting Data...</v>
      </c>
      <c r="J544" t="str">
        <f>_xll.BDP("237451C9 Muni","CPN")</f>
        <v>#N/A Requesting Data...</v>
      </c>
      <c r="K544" t="str">
        <f>_xll.BDP("237451C9 Muni","MATURITY")</f>
        <v>#N/A Requesting Data...</v>
      </c>
      <c r="L544">
        <v>665000</v>
      </c>
      <c r="M544" t="str">
        <f>_xll.BDP("237451C9 Muni","YIELD_ON_ISSUE_DATE")</f>
        <v>#N/A Requesting Data...</v>
      </c>
      <c r="N544" t="str">
        <f>_xll.BDP("237451C9 Muni","YTW_SPREAD_TO_MATURITY_AT_ISSU")</f>
        <v>#N/A Requesting Data...</v>
      </c>
      <c r="O544" t="str">
        <f>_xll.BDP("237451C9 Muni","BVAL_MID_YTM")</f>
        <v>#N/A Requesting Data...</v>
      </c>
      <c r="P544" t="str">
        <f>_xll.BDP("237451C9 Muni","MUNI_TAX_PROV")</f>
        <v>#N/A Requesting Data...</v>
      </c>
      <c r="Q544" t="str">
        <f>_xll.BDP("237451C9 Muni","MUNI_FED_TAX")</f>
        <v>#N/A Requesting Data...</v>
      </c>
      <c r="R544" t="str">
        <f>_xll.BDP("237451C9 Muni","MUNI_MSRB_VOLUME")</f>
        <v>#N/A Requesting Data...</v>
      </c>
      <c r="S544" t="str">
        <f>_xll.BDP("237451C9 Muni","BB_COMPOSITE")</f>
        <v>#N/A Requesting Data...</v>
      </c>
      <c r="T544" t="str">
        <f>_xll.BDP("237451C9 Muni","LQA_LIQUIDITY_SCORE")</f>
        <v>#N/A Requesting Data...</v>
      </c>
    </row>
    <row r="545" spans="1:20" x14ac:dyDescent="0.25">
      <c r="A545" t="str">
        <f>_xll.BDP("237451D2 Muni","ID_CUSIP")</f>
        <v>#N/A Requesting Data...</v>
      </c>
      <c r="B545" t="s">
        <v>162</v>
      </c>
      <c r="C545" t="str">
        <f>_xll.BDP("237451D2 Muni","INSURANCE_STATUS")</f>
        <v>#N/A Requesting Data...</v>
      </c>
      <c r="D545" t="str">
        <f>_xll.BDP("237451D2 Muni","STATE_CODE")</f>
        <v>#N/A Requesting Data...</v>
      </c>
      <c r="E545" t="str">
        <f>_xll.BDP("237451D2 Muni","COUNTY_LOCATION_ISSUER")</f>
        <v>#N/A Requesting Data...</v>
      </c>
      <c r="F545" t="str">
        <f>_xll.BDP("237451D2 Muni","DUR_ADJ_MID")</f>
        <v>#N/A Requesting Data...</v>
      </c>
      <c r="G545" t="str">
        <f>_xll.BDP("237451D2 Muni","SPREAD_AT_ISSUANCE_TO_WORST")</f>
        <v>#N/A Requesting Data...</v>
      </c>
      <c r="H545" t="str">
        <f>_xll.BDP("237451D2 Muni","ISSUE_DT")</f>
        <v>#N/A Requesting Data...</v>
      </c>
      <c r="I545" t="str">
        <f>_xll.BDS("237451D2 Muni","MUNI_PURPOSE_SCHED", "aggregate=y")</f>
        <v>#N/A Requesting Data...</v>
      </c>
      <c r="J545" t="str">
        <f>_xll.BDP("237451D2 Muni","CPN")</f>
        <v>#N/A Requesting Data...</v>
      </c>
      <c r="K545" t="str">
        <f>_xll.BDP("237451D2 Muni","MATURITY")</f>
        <v>#N/A Requesting Data...</v>
      </c>
      <c r="L545">
        <v>665000</v>
      </c>
      <c r="M545" t="str">
        <f>_xll.BDP("237451D2 Muni","YIELD_ON_ISSUE_DATE")</f>
        <v>#N/A Requesting Data...</v>
      </c>
      <c r="N545" t="str">
        <f>_xll.BDP("237451D2 Muni","YTW_SPREAD_TO_MATURITY_AT_ISSU")</f>
        <v>#N/A Requesting Data...</v>
      </c>
      <c r="O545" t="str">
        <f>_xll.BDP("237451D2 Muni","BVAL_MID_YTM")</f>
        <v>#N/A Requesting Data...</v>
      </c>
      <c r="P545" t="str">
        <f>_xll.BDP("237451D2 Muni","MUNI_TAX_PROV")</f>
        <v>#N/A Requesting Data...</v>
      </c>
      <c r="Q545" t="str">
        <f>_xll.BDP("237451D2 Muni","MUNI_FED_TAX")</f>
        <v>#N/A Requesting Data...</v>
      </c>
      <c r="R545" t="str">
        <f>_xll.BDP("237451D2 Muni","MUNI_MSRB_VOLUME")</f>
        <v>#N/A Requesting Data...</v>
      </c>
      <c r="S545" t="str">
        <f>_xll.BDP("237451D2 Muni","BB_COMPOSITE")</f>
        <v>#N/A Requesting Data...</v>
      </c>
      <c r="T545" t="str">
        <f>_xll.BDP("237451D2 Muni","LQA_LIQUIDITY_SCORE")</f>
        <v>#N/A Requesting Data...</v>
      </c>
    </row>
    <row r="546" spans="1:20" x14ac:dyDescent="0.25">
      <c r="A546" t="str">
        <f>_xll.BDP("237451D3 Muni","ID_CUSIP")</f>
        <v>#N/A Requesting Data...</v>
      </c>
      <c r="B546" t="s">
        <v>162</v>
      </c>
      <c r="C546" t="str">
        <f>_xll.BDP("237451D3 Muni","INSURANCE_STATUS")</f>
        <v>#N/A Requesting Data...</v>
      </c>
      <c r="D546" t="str">
        <f>_xll.BDP("237451D3 Muni","STATE_CODE")</f>
        <v>#N/A Requesting Data...</v>
      </c>
      <c r="E546" t="str">
        <f>_xll.BDP("237451D3 Muni","COUNTY_LOCATION_ISSUER")</f>
        <v>#N/A Requesting Data...</v>
      </c>
      <c r="F546" t="str">
        <f>_xll.BDP("237451D3 Muni","DUR_ADJ_MID")</f>
        <v>#N/A Requesting Data...</v>
      </c>
      <c r="G546" t="str">
        <f>_xll.BDP("237451D3 Muni","SPREAD_AT_ISSUANCE_TO_WORST")</f>
        <v>#N/A Requesting Data...</v>
      </c>
      <c r="H546" t="str">
        <f>_xll.BDP("237451D3 Muni","ISSUE_DT")</f>
        <v>#N/A Requesting Data...</v>
      </c>
      <c r="I546" t="str">
        <f>_xll.BDS("237451D3 Muni","MUNI_PURPOSE_SCHED", "aggregate=y")</f>
        <v>#N/A Requesting Data...</v>
      </c>
      <c r="J546" t="str">
        <f>_xll.BDP("237451D3 Muni","CPN")</f>
        <v>#N/A Requesting Data...</v>
      </c>
      <c r="K546" t="str">
        <f>_xll.BDP("237451D3 Muni","MATURITY")</f>
        <v>#N/A Requesting Data...</v>
      </c>
      <c r="L546">
        <v>665000</v>
      </c>
      <c r="M546" t="str">
        <f>_xll.BDP("237451D3 Muni","YIELD_ON_ISSUE_DATE")</f>
        <v>#N/A Requesting Data...</v>
      </c>
      <c r="N546" t="str">
        <f>_xll.BDP("237451D3 Muni","YTW_SPREAD_TO_MATURITY_AT_ISSU")</f>
        <v>#N/A Requesting Data...</v>
      </c>
      <c r="O546" t="str">
        <f>_xll.BDP("237451D3 Muni","BVAL_MID_YTM")</f>
        <v>#N/A Requesting Data...</v>
      </c>
      <c r="P546" t="str">
        <f>_xll.BDP("237451D3 Muni","MUNI_TAX_PROV")</f>
        <v>#N/A Requesting Data...</v>
      </c>
      <c r="Q546" t="str">
        <f>_xll.BDP("237451D3 Muni","MUNI_FED_TAX")</f>
        <v>#N/A Requesting Data...</v>
      </c>
      <c r="R546" t="str">
        <f>_xll.BDP("237451D3 Muni","MUNI_MSRB_VOLUME")</f>
        <v>#N/A Requesting Data...</v>
      </c>
      <c r="S546" t="str">
        <f>_xll.BDP("237451D3 Muni","BB_COMPOSITE")</f>
        <v>#N/A Requesting Data...</v>
      </c>
      <c r="T546" t="str">
        <f>_xll.BDP("237451D3 Muni","LQA_LIQUIDITY_SCORE")</f>
        <v>#N/A Requesting Data...</v>
      </c>
    </row>
    <row r="547" spans="1:20" x14ac:dyDescent="0.25">
      <c r="A547" t="str">
        <f>_xll.BDP("237451D4 Muni","ID_CUSIP")</f>
        <v>#N/A Requesting Data...</v>
      </c>
      <c r="B547" t="s">
        <v>162</v>
      </c>
      <c r="C547" t="str">
        <f>_xll.BDP("237451D4 Muni","INSURANCE_STATUS")</f>
        <v>#N/A Requesting Data...</v>
      </c>
      <c r="D547" t="str">
        <f>_xll.BDP("237451D4 Muni","STATE_CODE")</f>
        <v>#N/A Requesting Data...</v>
      </c>
      <c r="E547" t="str">
        <f>_xll.BDP("237451D4 Muni","COUNTY_LOCATION_ISSUER")</f>
        <v>#N/A Requesting Data...</v>
      </c>
      <c r="F547" t="str">
        <f>_xll.BDP("237451D4 Muni","DUR_ADJ_MID")</f>
        <v>#N/A Requesting Data...</v>
      </c>
      <c r="G547" t="str">
        <f>_xll.BDP("237451D4 Muni","SPREAD_AT_ISSUANCE_TO_WORST")</f>
        <v>#N/A Requesting Data...</v>
      </c>
      <c r="H547" t="str">
        <f>_xll.BDP("237451D4 Muni","ISSUE_DT")</f>
        <v>#N/A Requesting Data...</v>
      </c>
      <c r="I547" t="str">
        <f>_xll.BDS("237451D4 Muni","MUNI_PURPOSE_SCHED", "aggregate=y")</f>
        <v>#N/A Requesting Data...</v>
      </c>
      <c r="J547" t="str">
        <f>_xll.BDP("237451D4 Muni","CPN")</f>
        <v>#N/A Requesting Data...</v>
      </c>
      <c r="K547" t="str">
        <f>_xll.BDP("237451D4 Muni","MATURITY")</f>
        <v>#N/A Requesting Data...</v>
      </c>
      <c r="L547">
        <v>665000</v>
      </c>
      <c r="M547" t="str">
        <f>_xll.BDP("237451D4 Muni","YIELD_ON_ISSUE_DATE")</f>
        <v>#N/A Requesting Data...</v>
      </c>
      <c r="N547" t="str">
        <f>_xll.BDP("237451D4 Muni","YTW_SPREAD_TO_MATURITY_AT_ISSU")</f>
        <v>#N/A Requesting Data...</v>
      </c>
      <c r="O547" t="str">
        <f>_xll.BDP("237451D4 Muni","BVAL_MID_YTM")</f>
        <v>#N/A Requesting Data...</v>
      </c>
      <c r="P547" t="str">
        <f>_xll.BDP("237451D4 Muni","MUNI_TAX_PROV")</f>
        <v>#N/A Requesting Data...</v>
      </c>
      <c r="Q547" t="str">
        <f>_xll.BDP("237451D4 Muni","MUNI_FED_TAX")</f>
        <v>#N/A Requesting Data...</v>
      </c>
      <c r="R547" t="str">
        <f>_xll.BDP("237451D4 Muni","MUNI_MSRB_VOLUME")</f>
        <v>#N/A Requesting Data...</v>
      </c>
      <c r="S547" t="str">
        <f>_xll.BDP("237451D4 Muni","BB_COMPOSITE")</f>
        <v>#N/A Requesting Data...</v>
      </c>
      <c r="T547" t="str">
        <f>_xll.BDP("237451D4 Muni","LQA_LIQUIDITY_SCORE")</f>
        <v>#N/A Requesting Data...</v>
      </c>
    </row>
    <row r="548" spans="1:20" x14ac:dyDescent="0.25">
      <c r="A548" t="str">
        <f>_xll.BDP("186523CQ Muni","ID_CUSIP")</f>
        <v>#N/A Requesting Data...</v>
      </c>
      <c r="B548" t="s">
        <v>163</v>
      </c>
      <c r="C548" t="str">
        <f>_xll.BDP("186523CQ Muni","INSURANCE_STATUS")</f>
        <v>#N/A Requesting Data...</v>
      </c>
      <c r="D548" t="str">
        <f>_xll.BDP("186523CQ Muni","STATE_CODE")</f>
        <v>#N/A Requesting Data...</v>
      </c>
      <c r="E548" t="str">
        <f>_xll.BDP("186523CQ Muni","COUNTY_LOCATION_ISSUER")</f>
        <v>#N/A Requesting Data...</v>
      </c>
      <c r="F548" t="str">
        <f>_xll.BDP("186523CQ Muni","DUR_ADJ_MID")</f>
        <v>#N/A Requesting Data...</v>
      </c>
      <c r="G548" t="str">
        <f>_xll.BDP("186523CQ Muni","SPREAD_AT_ISSUANCE_TO_WORST")</f>
        <v>#N/A Requesting Data...</v>
      </c>
      <c r="H548" t="str">
        <f>_xll.BDP("186523CQ Muni","ISSUE_DT")</f>
        <v>#N/A Requesting Data...</v>
      </c>
      <c r="I548" t="str">
        <f>_xll.BDS("186523CQ Muni","MUNI_PURPOSE_SCHED", "aggregate=y")</f>
        <v>#N/A Requesting Data...</v>
      </c>
      <c r="J548" t="str">
        <f>_xll.BDP("186523CQ Muni","CPN")</f>
        <v>#N/A Requesting Data...</v>
      </c>
      <c r="K548" t="str">
        <f>_xll.BDP("186523CQ Muni","MATURITY")</f>
        <v>#N/A Requesting Data...</v>
      </c>
      <c r="L548">
        <v>215000</v>
      </c>
      <c r="M548" t="str">
        <f>_xll.BDP("186523CQ Muni","YIELD_ON_ISSUE_DATE")</f>
        <v>#N/A Requesting Data...</v>
      </c>
      <c r="N548" t="str">
        <f>_xll.BDP("186523CQ Muni","YTW_SPREAD_TO_MATURITY_AT_ISSU")</f>
        <v>#N/A Requesting Data...</v>
      </c>
      <c r="O548" t="str">
        <f>_xll.BDP("186523CQ Muni","BVAL_MID_YTM")</f>
        <v>#N/A Requesting Data...</v>
      </c>
      <c r="P548" t="str">
        <f>_xll.BDP("186523CQ Muni","MUNI_TAX_PROV")</f>
        <v>#N/A Requesting Data...</v>
      </c>
      <c r="Q548" t="str">
        <f>_xll.BDP("186523CQ Muni","MUNI_FED_TAX")</f>
        <v>#N/A Requesting Data...</v>
      </c>
      <c r="R548" t="str">
        <f>_xll.BDP("186523CQ Muni","MUNI_MSRB_VOLUME")</f>
        <v>#N/A Requesting Data...</v>
      </c>
      <c r="S548" t="str">
        <f>_xll.BDP("186523CQ Muni","BB_COMPOSITE")</f>
        <v>#N/A Requesting Data...</v>
      </c>
      <c r="T548" t="str">
        <f>_xll.BDP("186523CQ Muni","LQA_LIQUIDITY_SCORE")</f>
        <v>#N/A Requesting Data...</v>
      </c>
    </row>
    <row r="549" spans="1:20" x14ac:dyDescent="0.25">
      <c r="A549" t="str">
        <f>_xll.BDP("186523CR Muni","ID_CUSIP")</f>
        <v>#N/A Requesting Data...</v>
      </c>
      <c r="B549" t="s">
        <v>163</v>
      </c>
      <c r="C549" t="str">
        <f>_xll.BDP("186523CR Muni","INSURANCE_STATUS")</f>
        <v>#N/A Requesting Data...</v>
      </c>
      <c r="D549" t="str">
        <f>_xll.BDP("186523CR Muni","STATE_CODE")</f>
        <v>#N/A Requesting Data...</v>
      </c>
      <c r="E549" t="str">
        <f>_xll.BDP("186523CR Muni","COUNTY_LOCATION_ISSUER")</f>
        <v>#N/A Requesting Data...</v>
      </c>
      <c r="F549" t="str">
        <f>_xll.BDP("186523CR Muni","DUR_ADJ_MID")</f>
        <v>#N/A Requesting Data...</v>
      </c>
      <c r="G549" t="str">
        <f>_xll.BDP("186523CR Muni","SPREAD_AT_ISSUANCE_TO_WORST")</f>
        <v>#N/A Requesting Data...</v>
      </c>
      <c r="H549" t="str">
        <f>_xll.BDP("186523CR Muni","ISSUE_DT")</f>
        <v>#N/A Requesting Data...</v>
      </c>
      <c r="I549" t="str">
        <f>_xll.BDS("186523CR Muni","MUNI_PURPOSE_SCHED", "aggregate=y")</f>
        <v>#N/A Requesting Data...</v>
      </c>
      <c r="J549" t="str">
        <f>_xll.BDP("186523CR Muni","CPN")</f>
        <v>#N/A Requesting Data...</v>
      </c>
      <c r="K549" t="str">
        <f>_xll.BDP("186523CR Muni","MATURITY")</f>
        <v>#N/A Requesting Data...</v>
      </c>
      <c r="L549">
        <v>220000</v>
      </c>
      <c r="M549" t="str">
        <f>_xll.BDP("186523CR Muni","YIELD_ON_ISSUE_DATE")</f>
        <v>#N/A Requesting Data...</v>
      </c>
      <c r="N549" t="str">
        <f>_xll.BDP("186523CR Muni","YTW_SPREAD_TO_MATURITY_AT_ISSU")</f>
        <v>#N/A Requesting Data...</v>
      </c>
      <c r="O549" t="str">
        <f>_xll.BDP("186523CR Muni","BVAL_MID_YTM")</f>
        <v>#N/A Requesting Data...</v>
      </c>
      <c r="P549" t="str">
        <f>_xll.BDP("186523CR Muni","MUNI_TAX_PROV")</f>
        <v>#N/A Requesting Data...</v>
      </c>
      <c r="Q549" t="str">
        <f>_xll.BDP("186523CR Muni","MUNI_FED_TAX")</f>
        <v>#N/A Requesting Data...</v>
      </c>
      <c r="R549" t="str">
        <f>_xll.BDP("186523CR Muni","MUNI_MSRB_VOLUME")</f>
        <v>#N/A Requesting Data...</v>
      </c>
      <c r="S549" t="str">
        <f>_xll.BDP("186523CR Muni","BB_COMPOSITE")</f>
        <v>#N/A Requesting Data...</v>
      </c>
      <c r="T549" t="str">
        <f>_xll.BDP("186523CR Muni","LQA_LIQUIDITY_SCORE")</f>
        <v>#N/A Requesting Data...</v>
      </c>
    </row>
    <row r="550" spans="1:20" x14ac:dyDescent="0.25">
      <c r="A550" t="str">
        <f>_xll.BDP("186523CS Muni","ID_CUSIP")</f>
        <v>#N/A Requesting Data...</v>
      </c>
      <c r="B550" t="s">
        <v>163</v>
      </c>
      <c r="C550" t="str">
        <f>_xll.BDP("186523CS Muni","INSURANCE_STATUS")</f>
        <v>#N/A Requesting Data...</v>
      </c>
      <c r="D550" t="str">
        <f>_xll.BDP("186523CS Muni","STATE_CODE")</f>
        <v>#N/A Requesting Data...</v>
      </c>
      <c r="E550" t="str">
        <f>_xll.BDP("186523CS Muni","COUNTY_LOCATION_ISSUER")</f>
        <v>#N/A Requesting Data...</v>
      </c>
      <c r="F550" t="str">
        <f>_xll.BDP("186523CS Muni","DUR_ADJ_MID")</f>
        <v>#N/A Requesting Data...</v>
      </c>
      <c r="G550" t="str">
        <f>_xll.BDP("186523CS Muni","SPREAD_AT_ISSUANCE_TO_WORST")</f>
        <v>#N/A Requesting Data...</v>
      </c>
      <c r="H550" t="str">
        <f>_xll.BDP("186523CS Muni","ISSUE_DT")</f>
        <v>#N/A Requesting Data...</v>
      </c>
      <c r="I550" t="str">
        <f>_xll.BDS("186523CS Muni","MUNI_PURPOSE_SCHED", "aggregate=y")</f>
        <v>#N/A Requesting Data...</v>
      </c>
      <c r="J550" t="str">
        <f>_xll.BDP("186523CS Muni","CPN")</f>
        <v>#N/A Requesting Data...</v>
      </c>
      <c r="K550" t="str">
        <f>_xll.BDP("186523CS Muni","MATURITY")</f>
        <v>#N/A Requesting Data...</v>
      </c>
      <c r="L550">
        <v>230000</v>
      </c>
      <c r="M550" t="str">
        <f>_xll.BDP("186523CS Muni","YIELD_ON_ISSUE_DATE")</f>
        <v>#N/A Requesting Data...</v>
      </c>
      <c r="N550" t="str">
        <f>_xll.BDP("186523CS Muni","YTW_SPREAD_TO_MATURITY_AT_ISSU")</f>
        <v>#N/A Requesting Data...</v>
      </c>
      <c r="O550" t="str">
        <f>_xll.BDP("186523CS Muni","BVAL_MID_YTM")</f>
        <v>#N/A Requesting Data...</v>
      </c>
      <c r="P550" t="str">
        <f>_xll.BDP("186523CS Muni","MUNI_TAX_PROV")</f>
        <v>#N/A Requesting Data...</v>
      </c>
      <c r="Q550" t="str">
        <f>_xll.BDP("186523CS Muni","MUNI_FED_TAX")</f>
        <v>#N/A Requesting Data...</v>
      </c>
      <c r="R550" t="str">
        <f>_xll.BDP("186523CS Muni","MUNI_MSRB_VOLUME")</f>
        <v>#N/A Requesting Data...</v>
      </c>
      <c r="S550" t="str">
        <f>_xll.BDP("186523CS Muni","BB_COMPOSITE")</f>
        <v>#N/A Requesting Data...</v>
      </c>
      <c r="T550" t="str">
        <f>_xll.BDP("186523CS Muni","LQA_LIQUIDITY_SCORE")</f>
        <v>#N/A Requesting Data...</v>
      </c>
    </row>
    <row r="551" spans="1:20" x14ac:dyDescent="0.25">
      <c r="A551" t="str">
        <f>_xll.BDP("186523CT Muni","ID_CUSIP")</f>
        <v>#N/A Requesting Data...</v>
      </c>
      <c r="B551" t="s">
        <v>163</v>
      </c>
      <c r="C551" t="str">
        <f>_xll.BDP("186523CT Muni","INSURANCE_STATUS")</f>
        <v>#N/A Requesting Data...</v>
      </c>
      <c r="D551" t="str">
        <f>_xll.BDP("186523CT Muni","STATE_CODE")</f>
        <v>#N/A Requesting Data...</v>
      </c>
      <c r="E551" t="str">
        <f>_xll.BDP("186523CT Muni","COUNTY_LOCATION_ISSUER")</f>
        <v>#N/A Requesting Data...</v>
      </c>
      <c r="F551" t="str">
        <f>_xll.BDP("186523CT Muni","DUR_ADJ_MID")</f>
        <v>#N/A Requesting Data...</v>
      </c>
      <c r="G551" t="str">
        <f>_xll.BDP("186523CT Muni","SPREAD_AT_ISSUANCE_TO_WORST")</f>
        <v>#N/A Requesting Data...</v>
      </c>
      <c r="H551" t="str">
        <f>_xll.BDP("186523CT Muni","ISSUE_DT")</f>
        <v>#N/A Requesting Data...</v>
      </c>
      <c r="I551" t="str">
        <f>_xll.BDS("186523CT Muni","MUNI_PURPOSE_SCHED", "aggregate=y")</f>
        <v>#N/A Requesting Data...</v>
      </c>
      <c r="J551" t="str">
        <f>_xll.BDP("186523CT Muni","CPN")</f>
        <v>#N/A Requesting Data...</v>
      </c>
      <c r="K551" t="str">
        <f>_xll.BDP("186523CT Muni","MATURITY")</f>
        <v>#N/A Requesting Data...</v>
      </c>
      <c r="L551">
        <v>235000</v>
      </c>
      <c r="M551" t="str">
        <f>_xll.BDP("186523CT Muni","YIELD_ON_ISSUE_DATE")</f>
        <v>#N/A Requesting Data...</v>
      </c>
      <c r="N551" t="str">
        <f>_xll.BDP("186523CT Muni","YTW_SPREAD_TO_MATURITY_AT_ISSU")</f>
        <v>#N/A Requesting Data...</v>
      </c>
      <c r="O551" t="str">
        <f>_xll.BDP("186523CT Muni","BVAL_MID_YTM")</f>
        <v>#N/A Requesting Data...</v>
      </c>
      <c r="P551" t="str">
        <f>_xll.BDP("186523CT Muni","MUNI_TAX_PROV")</f>
        <v>#N/A Requesting Data...</v>
      </c>
      <c r="Q551" t="str">
        <f>_xll.BDP("186523CT Muni","MUNI_FED_TAX")</f>
        <v>#N/A Requesting Data...</v>
      </c>
      <c r="R551" t="str">
        <f>_xll.BDP("186523CT Muni","MUNI_MSRB_VOLUME")</f>
        <v>#N/A Requesting Data...</v>
      </c>
      <c r="S551" t="str">
        <f>_xll.BDP("186523CT Muni","BB_COMPOSITE")</f>
        <v>#N/A Requesting Data...</v>
      </c>
      <c r="T551" t="str">
        <f>_xll.BDP("186523CT Muni","LQA_LIQUIDITY_SCORE")</f>
        <v>#N/A Requesting Data...</v>
      </c>
    </row>
    <row r="552" spans="1:20" x14ac:dyDescent="0.25">
      <c r="A552" t="str">
        <f>_xll.BDP("186523CU Muni","ID_CUSIP")</f>
        <v>#N/A Requesting Data...</v>
      </c>
      <c r="B552" t="s">
        <v>163</v>
      </c>
      <c r="C552" t="str">
        <f>_xll.BDP("186523CU Muni","INSURANCE_STATUS")</f>
        <v>#N/A Requesting Data...</v>
      </c>
      <c r="D552" t="str">
        <f>_xll.BDP("186523CU Muni","STATE_CODE")</f>
        <v>#N/A Requesting Data...</v>
      </c>
      <c r="E552" t="str">
        <f>_xll.BDP("186523CU Muni","COUNTY_LOCATION_ISSUER")</f>
        <v>#N/A Requesting Data...</v>
      </c>
      <c r="F552" t="str">
        <f>_xll.BDP("186523CU Muni","DUR_ADJ_MID")</f>
        <v>#N/A Requesting Data...</v>
      </c>
      <c r="G552" t="str">
        <f>_xll.BDP("186523CU Muni","SPREAD_AT_ISSUANCE_TO_WORST")</f>
        <v>#N/A Requesting Data...</v>
      </c>
      <c r="H552" t="str">
        <f>_xll.BDP("186523CU Muni","ISSUE_DT")</f>
        <v>#N/A Requesting Data...</v>
      </c>
      <c r="I552" t="str">
        <f>_xll.BDS("186523CU Muni","MUNI_PURPOSE_SCHED", "aggregate=y")</f>
        <v>#N/A Requesting Data...</v>
      </c>
      <c r="J552" t="str">
        <f>_xll.BDP("186523CU Muni","CPN")</f>
        <v>#N/A Requesting Data...</v>
      </c>
      <c r="K552" t="str">
        <f>_xll.BDP("186523CU Muni","MATURITY")</f>
        <v>#N/A Requesting Data...</v>
      </c>
      <c r="L552">
        <v>245000</v>
      </c>
      <c r="M552" t="str">
        <f>_xll.BDP("186523CU Muni","YIELD_ON_ISSUE_DATE")</f>
        <v>#N/A Requesting Data...</v>
      </c>
      <c r="N552" t="str">
        <f>_xll.BDP("186523CU Muni","YTW_SPREAD_TO_MATURITY_AT_ISSU")</f>
        <v>#N/A Requesting Data...</v>
      </c>
      <c r="O552" t="str">
        <f>_xll.BDP("186523CU Muni","BVAL_MID_YTM")</f>
        <v>#N/A Requesting Data...</v>
      </c>
      <c r="P552" t="str">
        <f>_xll.BDP("186523CU Muni","MUNI_TAX_PROV")</f>
        <v>#N/A Requesting Data...</v>
      </c>
      <c r="Q552" t="str">
        <f>_xll.BDP("186523CU Muni","MUNI_FED_TAX")</f>
        <v>#N/A Requesting Data...</v>
      </c>
      <c r="R552" t="str">
        <f>_xll.BDP("186523CU Muni","MUNI_MSRB_VOLUME")</f>
        <v>#N/A Requesting Data...</v>
      </c>
      <c r="S552" t="str">
        <f>_xll.BDP("186523CU Muni","BB_COMPOSITE")</f>
        <v>#N/A Requesting Data...</v>
      </c>
      <c r="T552" t="str">
        <f>_xll.BDP("186523CU Muni","LQA_LIQUIDITY_SCORE")</f>
        <v>#N/A Requesting Data...</v>
      </c>
    </row>
    <row r="553" spans="1:20" x14ac:dyDescent="0.25">
      <c r="A553" t="str">
        <f>_xll.BDP("186523CV Muni","ID_CUSIP")</f>
        <v>#N/A Requesting Data...</v>
      </c>
      <c r="B553" t="s">
        <v>163</v>
      </c>
      <c r="C553" t="str">
        <f>_xll.BDP("186523CV Muni","INSURANCE_STATUS")</f>
        <v>#N/A Requesting Data...</v>
      </c>
      <c r="D553" t="str">
        <f>_xll.BDP("186523CV Muni","STATE_CODE")</f>
        <v>#N/A Requesting Data...</v>
      </c>
      <c r="E553" t="str">
        <f>_xll.BDP("186523CV Muni","COUNTY_LOCATION_ISSUER")</f>
        <v>#N/A Requesting Data...</v>
      </c>
      <c r="F553" t="str">
        <f>_xll.BDP("186523CV Muni","DUR_ADJ_MID")</f>
        <v>#N/A Requesting Data...</v>
      </c>
      <c r="G553" t="str">
        <f>_xll.BDP("186523CV Muni","SPREAD_AT_ISSUANCE_TO_WORST")</f>
        <v>#N/A Requesting Data...</v>
      </c>
      <c r="H553" t="str">
        <f>_xll.BDP("186523CV Muni","ISSUE_DT")</f>
        <v>#N/A Requesting Data...</v>
      </c>
      <c r="I553" t="str">
        <f>_xll.BDS("186523CV Muni","MUNI_PURPOSE_SCHED", "aggregate=y")</f>
        <v>#N/A Requesting Data...</v>
      </c>
      <c r="J553" t="str">
        <f>_xll.BDP("186523CV Muni","CPN")</f>
        <v>#N/A Requesting Data...</v>
      </c>
      <c r="K553" t="str">
        <f>_xll.BDP("186523CV Muni","MATURITY")</f>
        <v>#N/A Requesting Data...</v>
      </c>
      <c r="L553">
        <v>260000</v>
      </c>
      <c r="M553" t="str">
        <f>_xll.BDP("186523CV Muni","YIELD_ON_ISSUE_DATE")</f>
        <v>#N/A Requesting Data...</v>
      </c>
      <c r="N553" t="str">
        <f>_xll.BDP("186523CV Muni","YTW_SPREAD_TO_MATURITY_AT_ISSU")</f>
        <v>#N/A Requesting Data...</v>
      </c>
      <c r="O553" t="str">
        <f>_xll.BDP("186523CV Muni","BVAL_MID_YTM")</f>
        <v>#N/A Requesting Data...</v>
      </c>
      <c r="P553" t="str">
        <f>_xll.BDP("186523CV Muni","MUNI_TAX_PROV")</f>
        <v>#N/A Requesting Data...</v>
      </c>
      <c r="Q553" t="str">
        <f>_xll.BDP("186523CV Muni","MUNI_FED_TAX")</f>
        <v>#N/A Requesting Data...</v>
      </c>
      <c r="R553" t="str">
        <f>_xll.BDP("186523CV Muni","MUNI_MSRB_VOLUME")</f>
        <v>#N/A Requesting Data...</v>
      </c>
      <c r="S553" t="str">
        <f>_xll.BDP("186523CV Muni","BB_COMPOSITE")</f>
        <v>#N/A Requesting Data...</v>
      </c>
      <c r="T553" t="str">
        <f>_xll.BDP("186523CV Muni","LQA_LIQUIDITY_SCORE")</f>
        <v>#N/A Requesting Data...</v>
      </c>
    </row>
    <row r="554" spans="1:20" x14ac:dyDescent="0.25">
      <c r="A554" t="str">
        <f>_xll.BDP("191783FB Muni","ID_CUSIP")</f>
        <v>#N/A Requesting Data...</v>
      </c>
      <c r="B554" t="s">
        <v>164</v>
      </c>
      <c r="C554" t="str">
        <f>_xll.BDP("191783FB Muni","INSURANCE_STATUS")</f>
        <v>#N/A Requesting Data...</v>
      </c>
      <c r="D554" t="str">
        <f>_xll.BDP("191783FB Muni","STATE_CODE")</f>
        <v>#N/A Requesting Data...</v>
      </c>
      <c r="E554" t="str">
        <f>_xll.BDP("191783FB Muni","COUNTY_LOCATION_ISSUER")</f>
        <v>#N/A Requesting Data...</v>
      </c>
      <c r="F554" t="str">
        <f>_xll.BDP("191783FB Muni","DUR_ADJ_MID")</f>
        <v>#N/A Requesting Data...</v>
      </c>
      <c r="G554" t="str">
        <f>_xll.BDP("191783FB Muni","SPREAD_AT_ISSUANCE_TO_WORST")</f>
        <v>#N/A Requesting Data...</v>
      </c>
      <c r="H554" t="str">
        <f>_xll.BDP("191783FB Muni","ISSUE_DT")</f>
        <v>#N/A Requesting Data...</v>
      </c>
      <c r="I554" t="str">
        <f>_xll.BDS("191783FB Muni","MUNI_PURPOSE_SCHED", "aggregate=y")</f>
        <v>#N/A Requesting Data...</v>
      </c>
      <c r="J554" t="str">
        <f>_xll.BDP("191783FB Muni","CPN")</f>
        <v>#N/A Requesting Data...</v>
      </c>
      <c r="K554" t="str">
        <f>_xll.BDP("191783FB Muni","MATURITY")</f>
        <v>#N/A Requesting Data...</v>
      </c>
      <c r="L554">
        <v>710000</v>
      </c>
      <c r="M554" t="str">
        <f>_xll.BDP("191783FB Muni","YIELD_ON_ISSUE_DATE")</f>
        <v>#N/A Requesting Data...</v>
      </c>
      <c r="N554" t="str">
        <f>_xll.BDP("191783FB Muni","YTW_SPREAD_TO_MATURITY_AT_ISSU")</f>
        <v>#N/A Requesting Data...</v>
      </c>
      <c r="O554" t="str">
        <f>_xll.BDP("191783FB Muni","BVAL_MID_YTM")</f>
        <v>#N/A Requesting Data...</v>
      </c>
      <c r="P554" t="str">
        <f>_xll.BDP("191783FB Muni","MUNI_TAX_PROV")</f>
        <v>#N/A Requesting Data...</v>
      </c>
      <c r="Q554" t="str">
        <f>_xll.BDP("191783FB Muni","MUNI_FED_TAX")</f>
        <v>#N/A Requesting Data...</v>
      </c>
      <c r="R554" t="str">
        <f>_xll.BDP("191783FB Muni","MUNI_MSRB_VOLUME")</f>
        <v>#N/A Requesting Data...</v>
      </c>
      <c r="S554" t="str">
        <f>_xll.BDP("191783FB Muni","BB_COMPOSITE")</f>
        <v>#N/A Requesting Data...</v>
      </c>
      <c r="T554" t="str">
        <f>_xll.BDP("191783FB Muni","LQA_LIQUIDITY_SCORE")</f>
        <v>#N/A Requesting Data...</v>
      </c>
    </row>
    <row r="555" spans="1:20" x14ac:dyDescent="0.25">
      <c r="A555" t="str">
        <f>_xll.BDP("191783FC Muni","ID_CUSIP")</f>
        <v>#N/A Requesting Data...</v>
      </c>
      <c r="B555" t="s">
        <v>164</v>
      </c>
      <c r="C555" t="str">
        <f>_xll.BDP("191783FC Muni","INSURANCE_STATUS")</f>
        <v>#N/A Requesting Data...</v>
      </c>
      <c r="D555" t="str">
        <f>_xll.BDP("191783FC Muni","STATE_CODE")</f>
        <v>#N/A Requesting Data...</v>
      </c>
      <c r="E555" t="str">
        <f>_xll.BDP("191783FC Muni","COUNTY_LOCATION_ISSUER")</f>
        <v>#N/A Requesting Data...</v>
      </c>
      <c r="F555" t="str">
        <f>_xll.BDP("191783FC Muni","DUR_ADJ_MID")</f>
        <v>#N/A Requesting Data...</v>
      </c>
      <c r="G555" t="str">
        <f>_xll.BDP("191783FC Muni","SPREAD_AT_ISSUANCE_TO_WORST")</f>
        <v>#N/A Requesting Data...</v>
      </c>
      <c r="H555" t="str">
        <f>_xll.BDP("191783FC Muni","ISSUE_DT")</f>
        <v>#N/A Requesting Data...</v>
      </c>
      <c r="I555" t="str">
        <f>_xll.BDS("191783FC Muni","MUNI_PURPOSE_SCHED", "aggregate=y")</f>
        <v>#N/A Requesting Data...</v>
      </c>
      <c r="J555" t="str">
        <f>_xll.BDP("191783FC Muni","CPN")</f>
        <v>#N/A Requesting Data...</v>
      </c>
      <c r="K555" t="str">
        <f>_xll.BDP("191783FC Muni","MATURITY")</f>
        <v>#N/A Requesting Data...</v>
      </c>
      <c r="L555">
        <v>740000</v>
      </c>
      <c r="M555" t="str">
        <f>_xll.BDP("191783FC Muni","YIELD_ON_ISSUE_DATE")</f>
        <v>#N/A Requesting Data...</v>
      </c>
      <c r="N555" t="str">
        <f>_xll.BDP("191783FC Muni","YTW_SPREAD_TO_MATURITY_AT_ISSU")</f>
        <v>#N/A Requesting Data...</v>
      </c>
      <c r="O555" t="str">
        <f>_xll.BDP("191783FC Muni","BVAL_MID_YTM")</f>
        <v>#N/A Requesting Data...</v>
      </c>
      <c r="P555" t="str">
        <f>_xll.BDP("191783FC Muni","MUNI_TAX_PROV")</f>
        <v>#N/A Requesting Data...</v>
      </c>
      <c r="Q555" t="str">
        <f>_xll.BDP("191783FC Muni","MUNI_FED_TAX")</f>
        <v>#N/A Requesting Data...</v>
      </c>
      <c r="R555" t="str">
        <f>_xll.BDP("191783FC Muni","MUNI_MSRB_VOLUME")</f>
        <v>#N/A Requesting Data...</v>
      </c>
      <c r="S555" t="str">
        <f>_xll.BDP("191783FC Muni","BB_COMPOSITE")</f>
        <v>#N/A Requesting Data...</v>
      </c>
      <c r="T555" t="str">
        <f>_xll.BDP("191783FC Muni","LQA_LIQUIDITY_SCORE")</f>
        <v>#N/A Requesting Data...</v>
      </c>
    </row>
    <row r="556" spans="1:20" x14ac:dyDescent="0.25">
      <c r="A556" t="str">
        <f>_xll.BDP("191783FD Muni","ID_CUSIP")</f>
        <v>#N/A Requesting Data...</v>
      </c>
      <c r="B556" t="s">
        <v>164</v>
      </c>
      <c r="C556" t="str">
        <f>_xll.BDP("191783FD Muni","INSURANCE_STATUS")</f>
        <v>#N/A Requesting Data...</v>
      </c>
      <c r="D556" t="str">
        <f>_xll.BDP("191783FD Muni","STATE_CODE")</f>
        <v>#N/A Requesting Data...</v>
      </c>
      <c r="E556" t="str">
        <f>_xll.BDP("191783FD Muni","COUNTY_LOCATION_ISSUER")</f>
        <v>#N/A Requesting Data...</v>
      </c>
      <c r="F556" t="str">
        <f>_xll.BDP("191783FD Muni","DUR_ADJ_MID")</f>
        <v>#N/A Requesting Data...</v>
      </c>
      <c r="G556" t="str">
        <f>_xll.BDP("191783FD Muni","SPREAD_AT_ISSUANCE_TO_WORST")</f>
        <v>#N/A Requesting Data...</v>
      </c>
      <c r="H556" t="str">
        <f>_xll.BDP("191783FD Muni","ISSUE_DT")</f>
        <v>#N/A Requesting Data...</v>
      </c>
      <c r="I556" t="str">
        <f>_xll.BDS("191783FD Muni","MUNI_PURPOSE_SCHED", "aggregate=y")</f>
        <v>#N/A Requesting Data...</v>
      </c>
      <c r="J556" t="str">
        <f>_xll.BDP("191783FD Muni","CPN")</f>
        <v>#N/A Requesting Data...</v>
      </c>
      <c r="K556" t="str">
        <f>_xll.BDP("191783FD Muni","MATURITY")</f>
        <v>#N/A Requesting Data...</v>
      </c>
      <c r="L556">
        <v>765000</v>
      </c>
      <c r="M556" t="str">
        <f>_xll.BDP("191783FD Muni","YIELD_ON_ISSUE_DATE")</f>
        <v>#N/A Requesting Data...</v>
      </c>
      <c r="N556" t="str">
        <f>_xll.BDP("191783FD Muni","YTW_SPREAD_TO_MATURITY_AT_ISSU")</f>
        <v>#N/A Requesting Data...</v>
      </c>
      <c r="O556" t="str">
        <f>_xll.BDP("191783FD Muni","BVAL_MID_YTM")</f>
        <v>#N/A Requesting Data...</v>
      </c>
      <c r="P556" t="str">
        <f>_xll.BDP("191783FD Muni","MUNI_TAX_PROV")</f>
        <v>#N/A Requesting Data...</v>
      </c>
      <c r="Q556" t="str">
        <f>_xll.BDP("191783FD Muni","MUNI_FED_TAX")</f>
        <v>#N/A Requesting Data...</v>
      </c>
      <c r="R556" t="str">
        <f>_xll.BDP("191783FD Muni","MUNI_MSRB_VOLUME")</f>
        <v>#N/A Requesting Data...</v>
      </c>
      <c r="S556" t="str">
        <f>_xll.BDP("191783FD Muni","BB_COMPOSITE")</f>
        <v>#N/A Requesting Data...</v>
      </c>
      <c r="T556" t="str">
        <f>_xll.BDP("191783FD Muni","LQA_LIQUIDITY_SCORE")</f>
        <v>#N/A Requesting Data...</v>
      </c>
    </row>
    <row r="557" spans="1:20" x14ac:dyDescent="0.25">
      <c r="A557" t="str">
        <f>_xll.BDP("191783FE Muni","ID_CUSIP")</f>
        <v>#N/A Requesting Data...</v>
      </c>
      <c r="B557" t="s">
        <v>164</v>
      </c>
      <c r="C557" t="str">
        <f>_xll.BDP("191783FE Muni","INSURANCE_STATUS")</f>
        <v>#N/A Requesting Data...</v>
      </c>
      <c r="D557" t="str">
        <f>_xll.BDP("191783FE Muni","STATE_CODE")</f>
        <v>#N/A Requesting Data...</v>
      </c>
      <c r="E557" t="str">
        <f>_xll.BDP("191783FE Muni","COUNTY_LOCATION_ISSUER")</f>
        <v>#N/A Requesting Data...</v>
      </c>
      <c r="F557" t="str">
        <f>_xll.BDP("191783FE Muni","DUR_ADJ_MID")</f>
        <v>#N/A Requesting Data...</v>
      </c>
      <c r="G557" t="str">
        <f>_xll.BDP("191783FE Muni","SPREAD_AT_ISSUANCE_TO_WORST")</f>
        <v>#N/A Requesting Data...</v>
      </c>
      <c r="H557" t="str">
        <f>_xll.BDP("191783FE Muni","ISSUE_DT")</f>
        <v>#N/A Requesting Data...</v>
      </c>
      <c r="I557" t="str">
        <f>_xll.BDS("191783FE Muni","MUNI_PURPOSE_SCHED", "aggregate=y")</f>
        <v>#N/A Requesting Data...</v>
      </c>
      <c r="J557" t="str">
        <f>_xll.BDP("191783FE Muni","CPN")</f>
        <v>#N/A Requesting Data...</v>
      </c>
      <c r="K557" t="str">
        <f>_xll.BDP("191783FE Muni","MATURITY")</f>
        <v>#N/A Requesting Data...</v>
      </c>
      <c r="L557">
        <v>800000</v>
      </c>
      <c r="M557" t="str">
        <f>_xll.BDP("191783FE Muni","YIELD_ON_ISSUE_DATE")</f>
        <v>#N/A Requesting Data...</v>
      </c>
      <c r="N557" t="str">
        <f>_xll.BDP("191783FE Muni","YTW_SPREAD_TO_MATURITY_AT_ISSU")</f>
        <v>#N/A Requesting Data...</v>
      </c>
      <c r="O557" t="str">
        <f>_xll.BDP("191783FE Muni","BVAL_MID_YTM")</f>
        <v>#N/A Requesting Data...</v>
      </c>
      <c r="P557" t="str">
        <f>_xll.BDP("191783FE Muni","MUNI_TAX_PROV")</f>
        <v>#N/A Requesting Data...</v>
      </c>
      <c r="Q557" t="str">
        <f>_xll.BDP("191783FE Muni","MUNI_FED_TAX")</f>
        <v>#N/A Requesting Data...</v>
      </c>
      <c r="R557" t="str">
        <f>_xll.BDP("191783FE Muni","MUNI_MSRB_VOLUME")</f>
        <v>#N/A Requesting Data...</v>
      </c>
      <c r="S557" t="str">
        <f>_xll.BDP("191783FE Muni","BB_COMPOSITE")</f>
        <v>#N/A Requesting Data...</v>
      </c>
      <c r="T557" t="str">
        <f>_xll.BDP("191783FE Muni","LQA_LIQUIDITY_SCORE")</f>
        <v>#N/A Requesting Data...</v>
      </c>
    </row>
    <row r="558" spans="1:20" x14ac:dyDescent="0.25">
      <c r="A558" t="str">
        <f>_xll.BDP("191783FF Muni","ID_CUSIP")</f>
        <v>#N/A Requesting Data...</v>
      </c>
      <c r="B558" t="s">
        <v>164</v>
      </c>
      <c r="C558" t="str">
        <f>_xll.BDP("191783FF Muni","INSURANCE_STATUS")</f>
        <v>#N/A Requesting Data...</v>
      </c>
      <c r="D558" t="str">
        <f>_xll.BDP("191783FF Muni","STATE_CODE")</f>
        <v>#N/A Requesting Data...</v>
      </c>
      <c r="E558" t="str">
        <f>_xll.BDP("191783FF Muni","COUNTY_LOCATION_ISSUER")</f>
        <v>#N/A Requesting Data...</v>
      </c>
      <c r="F558" t="str">
        <f>_xll.BDP("191783FF Muni","DUR_ADJ_MID")</f>
        <v>#N/A Requesting Data...</v>
      </c>
      <c r="G558" t="str">
        <f>_xll.BDP("191783FF Muni","SPREAD_AT_ISSUANCE_TO_WORST")</f>
        <v>#N/A Requesting Data...</v>
      </c>
      <c r="H558" t="str">
        <f>_xll.BDP("191783FF Muni","ISSUE_DT")</f>
        <v>#N/A Requesting Data...</v>
      </c>
      <c r="I558" t="str">
        <f>_xll.BDS("191783FF Muni","MUNI_PURPOSE_SCHED", "aggregate=y")</f>
        <v>#N/A Requesting Data...</v>
      </c>
      <c r="J558" t="str">
        <f>_xll.BDP("191783FF Muni","CPN")</f>
        <v>#N/A Requesting Data...</v>
      </c>
      <c r="K558" t="str">
        <f>_xll.BDP("191783FF Muni","MATURITY")</f>
        <v>#N/A Requesting Data...</v>
      </c>
      <c r="L558">
        <v>830000</v>
      </c>
      <c r="M558" t="str">
        <f>_xll.BDP("191783FF Muni","YIELD_ON_ISSUE_DATE")</f>
        <v>#N/A Requesting Data...</v>
      </c>
      <c r="N558" t="str">
        <f>_xll.BDP("191783FF Muni","YTW_SPREAD_TO_MATURITY_AT_ISSU")</f>
        <v>#N/A Requesting Data...</v>
      </c>
      <c r="O558" t="str">
        <f>_xll.BDP("191783FF Muni","BVAL_MID_YTM")</f>
        <v>#N/A Requesting Data...</v>
      </c>
      <c r="P558" t="str">
        <f>_xll.BDP("191783FF Muni","MUNI_TAX_PROV")</f>
        <v>#N/A Requesting Data...</v>
      </c>
      <c r="Q558" t="str">
        <f>_xll.BDP("191783FF Muni","MUNI_FED_TAX")</f>
        <v>#N/A Requesting Data...</v>
      </c>
      <c r="R558" t="str">
        <f>_xll.BDP("191783FF Muni","MUNI_MSRB_VOLUME")</f>
        <v>#N/A Requesting Data...</v>
      </c>
      <c r="S558" t="str">
        <f>_xll.BDP("191783FF Muni","BB_COMPOSITE")</f>
        <v>#N/A Requesting Data...</v>
      </c>
      <c r="T558" t="str">
        <f>_xll.BDP("191783FF Muni","LQA_LIQUIDITY_SCORE")</f>
        <v>#N/A Requesting Data...</v>
      </c>
    </row>
    <row r="559" spans="1:20" x14ac:dyDescent="0.25">
      <c r="A559" t="str">
        <f>_xll.BDP("191783FG Muni","ID_CUSIP")</f>
        <v>#N/A Requesting Data...</v>
      </c>
      <c r="B559" t="s">
        <v>164</v>
      </c>
      <c r="C559" t="str">
        <f>_xll.BDP("191783FG Muni","INSURANCE_STATUS")</f>
        <v>#N/A Requesting Data...</v>
      </c>
      <c r="D559" t="str">
        <f>_xll.BDP("191783FG Muni","STATE_CODE")</f>
        <v>#N/A Requesting Data...</v>
      </c>
      <c r="E559" t="str">
        <f>_xll.BDP("191783FG Muni","COUNTY_LOCATION_ISSUER")</f>
        <v>#N/A Requesting Data...</v>
      </c>
      <c r="F559" t="str">
        <f>_xll.BDP("191783FG Muni","DUR_ADJ_MID")</f>
        <v>#N/A Requesting Data...</v>
      </c>
      <c r="G559" t="str">
        <f>_xll.BDP("191783FG Muni","SPREAD_AT_ISSUANCE_TO_WORST")</f>
        <v>#N/A Requesting Data...</v>
      </c>
      <c r="H559" t="str">
        <f>_xll.BDP("191783FG Muni","ISSUE_DT")</f>
        <v>#N/A Requesting Data...</v>
      </c>
      <c r="I559" t="str">
        <f>_xll.BDS("191783FG Muni","MUNI_PURPOSE_SCHED", "aggregate=y")</f>
        <v>#N/A Requesting Data...</v>
      </c>
      <c r="J559" t="str">
        <f>_xll.BDP("191783FG Muni","CPN")</f>
        <v>#N/A Requesting Data...</v>
      </c>
      <c r="K559" t="str">
        <f>_xll.BDP("191783FG Muni","MATURITY")</f>
        <v>#N/A Requesting Data...</v>
      </c>
      <c r="L559">
        <v>865000</v>
      </c>
      <c r="M559" t="str">
        <f>_xll.BDP("191783FG Muni","YIELD_ON_ISSUE_DATE")</f>
        <v>#N/A Requesting Data...</v>
      </c>
      <c r="N559" t="str">
        <f>_xll.BDP("191783FG Muni","YTW_SPREAD_TO_MATURITY_AT_ISSU")</f>
        <v>#N/A Requesting Data...</v>
      </c>
      <c r="O559" t="str">
        <f>_xll.BDP("191783FG Muni","BVAL_MID_YTM")</f>
        <v>#N/A Requesting Data...</v>
      </c>
      <c r="P559" t="str">
        <f>_xll.BDP("191783FG Muni","MUNI_TAX_PROV")</f>
        <v>#N/A Requesting Data...</v>
      </c>
      <c r="Q559" t="str">
        <f>_xll.BDP("191783FG Muni","MUNI_FED_TAX")</f>
        <v>#N/A Requesting Data...</v>
      </c>
      <c r="R559" t="str">
        <f>_xll.BDP("191783FG Muni","MUNI_MSRB_VOLUME")</f>
        <v>#N/A Requesting Data...</v>
      </c>
      <c r="S559" t="str">
        <f>_xll.BDP("191783FG Muni","BB_COMPOSITE")</f>
        <v>#N/A Requesting Data...</v>
      </c>
      <c r="T559" t="str">
        <f>_xll.BDP("191783FG Muni","LQA_LIQUIDITY_SCORE")</f>
        <v>#N/A Requesting Data...</v>
      </c>
    </row>
    <row r="560" spans="1:20" x14ac:dyDescent="0.25">
      <c r="A560" t="str">
        <f>_xll.BDP("191783FH Muni","ID_CUSIP")</f>
        <v>#N/A Requesting Data...</v>
      </c>
      <c r="B560" t="s">
        <v>164</v>
      </c>
      <c r="C560" t="str">
        <f>_xll.BDP("191783FH Muni","INSURANCE_STATUS")</f>
        <v>#N/A Requesting Data...</v>
      </c>
      <c r="D560" t="str">
        <f>_xll.BDP("191783FH Muni","STATE_CODE")</f>
        <v>#N/A Requesting Data...</v>
      </c>
      <c r="E560" t="str">
        <f>_xll.BDP("191783FH Muni","COUNTY_LOCATION_ISSUER")</f>
        <v>#N/A Requesting Data...</v>
      </c>
      <c r="F560" t="str">
        <f>_xll.BDP("191783FH Muni","DUR_ADJ_MID")</f>
        <v>#N/A Requesting Data...</v>
      </c>
      <c r="G560" t="str">
        <f>_xll.BDP("191783FH Muni","SPREAD_AT_ISSUANCE_TO_WORST")</f>
        <v>#N/A Requesting Data...</v>
      </c>
      <c r="H560" t="str">
        <f>_xll.BDP("191783FH Muni","ISSUE_DT")</f>
        <v>#N/A Requesting Data...</v>
      </c>
      <c r="I560" t="str">
        <f>_xll.BDS("191783FH Muni","MUNI_PURPOSE_SCHED", "aggregate=y")</f>
        <v>#N/A Requesting Data...</v>
      </c>
      <c r="J560" t="str">
        <f>_xll.BDP("191783FH Muni","CPN")</f>
        <v>#N/A Requesting Data...</v>
      </c>
      <c r="K560" t="str">
        <f>_xll.BDP("191783FH Muni","MATURITY")</f>
        <v>#N/A Requesting Data...</v>
      </c>
      <c r="L560">
        <v>905000</v>
      </c>
      <c r="M560" t="str">
        <f>_xll.BDP("191783FH Muni","YIELD_ON_ISSUE_DATE")</f>
        <v>#N/A Requesting Data...</v>
      </c>
      <c r="N560" t="str">
        <f>_xll.BDP("191783FH Muni","YTW_SPREAD_TO_MATURITY_AT_ISSU")</f>
        <v>#N/A Requesting Data...</v>
      </c>
      <c r="O560" t="str">
        <f>_xll.BDP("191783FH Muni","BVAL_MID_YTM")</f>
        <v>#N/A Requesting Data...</v>
      </c>
      <c r="P560" t="str">
        <f>_xll.BDP("191783FH Muni","MUNI_TAX_PROV")</f>
        <v>#N/A Requesting Data...</v>
      </c>
      <c r="Q560" t="str">
        <f>_xll.BDP("191783FH Muni","MUNI_FED_TAX")</f>
        <v>#N/A Requesting Data...</v>
      </c>
      <c r="R560" t="str">
        <f>_xll.BDP("191783FH Muni","MUNI_MSRB_VOLUME")</f>
        <v>#N/A Requesting Data...</v>
      </c>
      <c r="S560" t="str">
        <f>_xll.BDP("191783FH Muni","BB_COMPOSITE")</f>
        <v>#N/A Requesting Data...</v>
      </c>
      <c r="T560" t="str">
        <f>_xll.BDP("191783FH Muni","LQA_LIQUIDITY_SCORE")</f>
        <v>#N/A Requesting Data...</v>
      </c>
    </row>
    <row r="561" spans="1:20" x14ac:dyDescent="0.25">
      <c r="A561" t="str">
        <f>_xll.BDP("04184KUV Muni","ID_CUSIP")</f>
        <v>#N/A Requesting Data...</v>
      </c>
      <c r="B561" t="s">
        <v>128</v>
      </c>
      <c r="C561" t="str">
        <f>_xll.BDP("04184KUV Muni","INSURANCE_STATUS")</f>
        <v>#N/A Requesting Data...</v>
      </c>
      <c r="D561" t="str">
        <f>_xll.BDP("04184KUV Muni","STATE_CODE")</f>
        <v>#N/A Requesting Data...</v>
      </c>
      <c r="E561" t="str">
        <f>_xll.BDP("04184KUV Muni","COUNTY_LOCATION_ISSUER")</f>
        <v>#N/A Requesting Data...</v>
      </c>
      <c r="F561" t="str">
        <f>_xll.BDP("04184KUV Muni","DUR_ADJ_MID")</f>
        <v>#N/A Requesting Data...</v>
      </c>
      <c r="G561" t="str">
        <f>_xll.BDP("04184KUV Muni","SPREAD_AT_ISSUANCE_TO_WORST")</f>
        <v>#N/A Requesting Data...</v>
      </c>
      <c r="H561" t="str">
        <f>_xll.BDP("04184KUV Muni","ISSUE_DT")</f>
        <v>#N/A Requesting Data...</v>
      </c>
      <c r="I561" t="str">
        <f>_xll.BDS("04184KUV Muni","MUNI_PURPOSE_SCHED", "aggregate=y")</f>
        <v>#N/A Requesting Data...</v>
      </c>
      <c r="J561" t="str">
        <f>_xll.BDP("04184KUV Muni","CPN")</f>
        <v>#N/A Requesting Data...</v>
      </c>
      <c r="K561" t="str">
        <f>_xll.BDP("04184KUV Muni","MATURITY")</f>
        <v>#N/A Requesting Data...</v>
      </c>
      <c r="L561">
        <v>1640000</v>
      </c>
      <c r="M561" t="str">
        <f>_xll.BDP("04184KUV Muni","YIELD_ON_ISSUE_DATE")</f>
        <v>#N/A Requesting Data...</v>
      </c>
      <c r="N561" t="str">
        <f>_xll.BDP("04184KUV Muni","YTW_SPREAD_TO_MATURITY_AT_ISSU")</f>
        <v>#N/A Requesting Data...</v>
      </c>
      <c r="O561" t="str">
        <f>_xll.BDP("04184KUV Muni","BVAL_MID_YTM")</f>
        <v>#N/A Requesting Data...</v>
      </c>
      <c r="P561" t="str">
        <f>_xll.BDP("04184KUV Muni","MUNI_TAX_PROV")</f>
        <v>#N/A Requesting Data...</v>
      </c>
      <c r="Q561" t="str">
        <f>_xll.BDP("04184KUV Muni","MUNI_FED_TAX")</f>
        <v>#N/A Requesting Data...</v>
      </c>
      <c r="R561" t="str">
        <f>_xll.BDP("04184KUV Muni","MUNI_MSRB_VOLUME")</f>
        <v>#N/A Requesting Data...</v>
      </c>
      <c r="S561" t="str">
        <f>_xll.BDP("04184KUV Muni","BB_COMPOSITE")</f>
        <v>#N/A Requesting Data...</v>
      </c>
      <c r="T561" t="str">
        <f>_xll.BDP("04184KUV Muni","LQA_LIQUIDITY_SCORE")</f>
        <v>#N/A Requesting Data...</v>
      </c>
    </row>
    <row r="562" spans="1:20" x14ac:dyDescent="0.25">
      <c r="A562" t="str">
        <f>_xll.BDP("04184KUW Muni","ID_CUSIP")</f>
        <v>#N/A Requesting Data...</v>
      </c>
      <c r="B562" t="s">
        <v>128</v>
      </c>
      <c r="C562" t="str">
        <f>_xll.BDP("04184KUW Muni","INSURANCE_STATUS")</f>
        <v>#N/A Requesting Data...</v>
      </c>
      <c r="D562" t="str">
        <f>_xll.BDP("04184KUW Muni","STATE_CODE")</f>
        <v>#N/A Requesting Data...</v>
      </c>
      <c r="E562" t="str">
        <f>_xll.BDP("04184KUW Muni","COUNTY_LOCATION_ISSUER")</f>
        <v>#N/A Requesting Data...</v>
      </c>
      <c r="F562" t="str">
        <f>_xll.BDP("04184KUW Muni","DUR_ADJ_MID")</f>
        <v>#N/A Requesting Data...</v>
      </c>
      <c r="G562" t="str">
        <f>_xll.BDP("04184KUW Muni","SPREAD_AT_ISSUANCE_TO_WORST")</f>
        <v>#N/A Requesting Data...</v>
      </c>
      <c r="H562" t="str">
        <f>_xll.BDP("04184KUW Muni","ISSUE_DT")</f>
        <v>#N/A Requesting Data...</v>
      </c>
      <c r="I562" t="str">
        <f>_xll.BDS("04184KUW Muni","MUNI_PURPOSE_SCHED", "aggregate=y")</f>
        <v>#N/A Requesting Data...</v>
      </c>
      <c r="J562" t="str">
        <f>_xll.BDP("04184KUW Muni","CPN")</f>
        <v>#N/A Requesting Data...</v>
      </c>
      <c r="K562" t="str">
        <f>_xll.BDP("04184KUW Muni","MATURITY")</f>
        <v>#N/A Requesting Data...</v>
      </c>
      <c r="L562">
        <v>1640000</v>
      </c>
      <c r="M562" t="str">
        <f>_xll.BDP("04184KUW Muni","YIELD_ON_ISSUE_DATE")</f>
        <v>#N/A Requesting Data...</v>
      </c>
      <c r="N562" t="str">
        <f>_xll.BDP("04184KUW Muni","YTW_SPREAD_TO_MATURITY_AT_ISSU")</f>
        <v>#N/A Requesting Data...</v>
      </c>
      <c r="O562" t="str">
        <f>_xll.BDP("04184KUW Muni","BVAL_MID_YTM")</f>
        <v>#N/A Requesting Data...</v>
      </c>
      <c r="P562" t="str">
        <f>_xll.BDP("04184KUW Muni","MUNI_TAX_PROV")</f>
        <v>#N/A Requesting Data...</v>
      </c>
      <c r="Q562" t="str">
        <f>_xll.BDP("04184KUW Muni","MUNI_FED_TAX")</f>
        <v>#N/A Requesting Data...</v>
      </c>
      <c r="R562" t="str">
        <f>_xll.BDP("04184KUW Muni","MUNI_MSRB_VOLUME")</f>
        <v>#N/A Requesting Data...</v>
      </c>
      <c r="S562" t="str">
        <f>_xll.BDP("04184KUW Muni","BB_COMPOSITE")</f>
        <v>#N/A Requesting Data...</v>
      </c>
      <c r="T562" t="str">
        <f>_xll.BDP("04184KUW Muni","LQA_LIQUIDITY_SCORE")</f>
        <v>#N/A Requesting Data...</v>
      </c>
    </row>
    <row r="563" spans="1:20" x14ac:dyDescent="0.25">
      <c r="A563" t="str">
        <f>_xll.BDP("043053CN Muni","ID_CUSIP")</f>
        <v>#N/A Requesting Data...</v>
      </c>
      <c r="B563" t="s">
        <v>129</v>
      </c>
      <c r="C563" t="str">
        <f>_xll.BDP("043053CN Muni","INSURANCE_STATUS")</f>
        <v>#N/A Requesting Data...</v>
      </c>
      <c r="D563" t="str">
        <f>_xll.BDP("043053CN Muni","STATE_CODE")</f>
        <v>#N/A Requesting Data...</v>
      </c>
      <c r="E563" t="str">
        <f>_xll.BDP("043053CN Muni","COUNTY_LOCATION_ISSUER")</f>
        <v>#N/A Requesting Data...</v>
      </c>
      <c r="F563" t="str">
        <f>_xll.BDP("043053CN Muni","DUR_ADJ_MID")</f>
        <v>#N/A Requesting Data...</v>
      </c>
      <c r="G563" t="str">
        <f>_xll.BDP("043053CN Muni","SPREAD_AT_ISSUANCE_TO_WORST")</f>
        <v>#N/A Requesting Data...</v>
      </c>
      <c r="H563" t="str">
        <f>_xll.BDP("043053CN Muni","ISSUE_DT")</f>
        <v>#N/A Requesting Data...</v>
      </c>
      <c r="I563" t="str">
        <f>_xll.BDS("043053CN Muni","MUNI_PURPOSE_SCHED", "aggregate=y")</f>
        <v>#N/A Requesting Data...</v>
      </c>
      <c r="J563" t="str">
        <f>_xll.BDP("043053CN Muni","CPN")</f>
        <v>#N/A Requesting Data...</v>
      </c>
      <c r="K563" t="str">
        <f>_xll.BDP("043053CN Muni","MATURITY")</f>
        <v>#N/A Requesting Data...</v>
      </c>
      <c r="L563">
        <v>280000</v>
      </c>
      <c r="M563" t="str">
        <f>_xll.BDP("043053CN Muni","YIELD_ON_ISSUE_DATE")</f>
        <v>#N/A Requesting Data...</v>
      </c>
      <c r="N563" t="str">
        <f>_xll.BDP("043053CN Muni","YTW_SPREAD_TO_MATURITY_AT_ISSU")</f>
        <v>#N/A Requesting Data...</v>
      </c>
      <c r="O563" t="str">
        <f>_xll.BDP("043053CN Muni","BVAL_MID_YTM")</f>
        <v>#N/A Requesting Data...</v>
      </c>
      <c r="P563" t="str">
        <f>_xll.BDP("043053CN Muni","MUNI_TAX_PROV")</f>
        <v>#N/A Requesting Data...</v>
      </c>
      <c r="Q563" t="str">
        <f>_xll.BDP("043053CN Muni","MUNI_FED_TAX")</f>
        <v>#N/A Requesting Data...</v>
      </c>
      <c r="R563" t="str">
        <f>_xll.BDP("043053CN Muni","MUNI_MSRB_VOLUME")</f>
        <v>#N/A Requesting Data...</v>
      </c>
      <c r="S563" t="str">
        <f>_xll.BDP("043053CN Muni","BB_COMPOSITE")</f>
        <v>#N/A Requesting Data...</v>
      </c>
      <c r="T563" t="str">
        <f>_xll.BDP("043053CN Muni","LQA_LIQUIDITY_SCORE")</f>
        <v>#N/A Requesting Data...</v>
      </c>
    </row>
    <row r="564" spans="1:20" x14ac:dyDescent="0.25">
      <c r="A564" t="str">
        <f>_xll.BDP("043053CP Muni","ID_CUSIP")</f>
        <v>#N/A Requesting Data...</v>
      </c>
      <c r="B564" t="s">
        <v>129</v>
      </c>
      <c r="C564" t="str">
        <f>_xll.BDP("043053CP Muni","INSURANCE_STATUS")</f>
        <v>#N/A Requesting Data...</v>
      </c>
      <c r="D564" t="str">
        <f>_xll.BDP("043053CP Muni","STATE_CODE")</f>
        <v>#N/A Requesting Data...</v>
      </c>
      <c r="E564" t="str">
        <f>_xll.BDP("043053CP Muni","COUNTY_LOCATION_ISSUER")</f>
        <v>#N/A Requesting Data...</v>
      </c>
      <c r="F564" t="str">
        <f>_xll.BDP("043053CP Muni","DUR_ADJ_MID")</f>
        <v>#N/A Requesting Data...</v>
      </c>
      <c r="G564" t="str">
        <f>_xll.BDP("043053CP Muni","SPREAD_AT_ISSUANCE_TO_WORST")</f>
        <v>#N/A Requesting Data...</v>
      </c>
      <c r="H564" t="str">
        <f>_xll.BDP("043053CP Muni","ISSUE_DT")</f>
        <v>#N/A Requesting Data...</v>
      </c>
      <c r="I564" t="str">
        <f>_xll.BDS("043053CP Muni","MUNI_PURPOSE_SCHED", "aggregate=y")</f>
        <v>#N/A Requesting Data...</v>
      </c>
      <c r="J564" t="str">
        <f>_xll.BDP("043053CP Muni","CPN")</f>
        <v>#N/A Requesting Data...</v>
      </c>
      <c r="K564" t="str">
        <f>_xll.BDP("043053CP Muni","MATURITY")</f>
        <v>#N/A Requesting Data...</v>
      </c>
      <c r="L564">
        <v>285000</v>
      </c>
      <c r="M564" t="str">
        <f>_xll.BDP("043053CP Muni","YIELD_ON_ISSUE_DATE")</f>
        <v>#N/A Requesting Data...</v>
      </c>
      <c r="N564" t="str">
        <f>_xll.BDP("043053CP Muni","YTW_SPREAD_TO_MATURITY_AT_ISSU")</f>
        <v>#N/A Requesting Data...</v>
      </c>
      <c r="O564" t="str">
        <f>_xll.BDP("043053CP Muni","BVAL_MID_YTM")</f>
        <v>#N/A Requesting Data...</v>
      </c>
      <c r="P564" t="str">
        <f>_xll.BDP("043053CP Muni","MUNI_TAX_PROV")</f>
        <v>#N/A Requesting Data...</v>
      </c>
      <c r="Q564" t="str">
        <f>_xll.BDP("043053CP Muni","MUNI_FED_TAX")</f>
        <v>#N/A Requesting Data...</v>
      </c>
      <c r="R564" t="str">
        <f>_xll.BDP("043053CP Muni","MUNI_MSRB_VOLUME")</f>
        <v>#N/A Requesting Data...</v>
      </c>
      <c r="S564" t="str">
        <f>_xll.BDP("043053CP Muni","BB_COMPOSITE")</f>
        <v>#N/A Requesting Data...</v>
      </c>
      <c r="T564" t="str">
        <f>_xll.BDP("043053CP Muni","LQA_LIQUIDITY_SCORE")</f>
        <v>#N/A Requesting Data...</v>
      </c>
    </row>
    <row r="565" spans="1:20" x14ac:dyDescent="0.25">
      <c r="A565" t="str">
        <f>_xll.BDP("047870PY Muni","ID_CUSIP")</f>
        <v>#N/A Requesting Data...</v>
      </c>
      <c r="B565" t="s">
        <v>165</v>
      </c>
      <c r="C565" t="str">
        <f>_xll.BDP("047870PY Muni","INSURANCE_STATUS")</f>
        <v>#N/A Requesting Data...</v>
      </c>
      <c r="D565" t="str">
        <f>_xll.BDP("047870PY Muni","STATE_CODE")</f>
        <v>#N/A Requesting Data...</v>
      </c>
      <c r="E565" t="str">
        <f>_xll.BDP("047870PY Muni","COUNTY_LOCATION_ISSUER")</f>
        <v>#N/A Requesting Data...</v>
      </c>
      <c r="F565" t="str">
        <f>_xll.BDP("047870PY Muni","DUR_ADJ_MID")</f>
        <v>#N/A Requesting Data...</v>
      </c>
      <c r="G565" t="str">
        <f>_xll.BDP("047870PY Muni","SPREAD_AT_ISSUANCE_TO_WORST")</f>
        <v>#N/A Requesting Data...</v>
      </c>
      <c r="H565" t="str">
        <f>_xll.BDP("047870PY Muni","ISSUE_DT")</f>
        <v>#N/A Requesting Data...</v>
      </c>
      <c r="I565" t="str">
        <f>_xll.BDS("047870PY Muni","MUNI_PURPOSE_SCHED", "aggregate=y")</f>
        <v>#N/A Requesting Data...</v>
      </c>
      <c r="J565" t="str">
        <f>_xll.BDP("047870PY Muni","CPN")</f>
        <v>#N/A Requesting Data...</v>
      </c>
      <c r="K565" t="str">
        <f>_xll.BDP("047870PY Muni","MATURITY")</f>
        <v>#N/A Requesting Data...</v>
      </c>
      <c r="L565">
        <v>5505000</v>
      </c>
      <c r="M565" t="str">
        <f>_xll.BDP("047870PY Muni","YIELD_ON_ISSUE_DATE")</f>
        <v>#N/A Requesting Data...</v>
      </c>
      <c r="N565" t="str">
        <f>_xll.BDP("047870PY Muni","YTW_SPREAD_TO_MATURITY_AT_ISSU")</f>
        <v>#N/A Requesting Data...</v>
      </c>
      <c r="O565" t="str">
        <f>_xll.BDP("047870PY Muni","BVAL_MID_YTM")</f>
        <v>#N/A Requesting Data...</v>
      </c>
      <c r="P565" t="str">
        <f>_xll.BDP("047870PY Muni","MUNI_TAX_PROV")</f>
        <v>#N/A Requesting Data...</v>
      </c>
      <c r="Q565" t="str">
        <f>_xll.BDP("047870PY Muni","MUNI_FED_TAX")</f>
        <v>#N/A Requesting Data...</v>
      </c>
      <c r="R565" t="str">
        <f>_xll.BDP("047870PY Muni","MUNI_MSRB_VOLUME")</f>
        <v>#N/A Requesting Data...</v>
      </c>
      <c r="S565" t="str">
        <f>_xll.BDP("047870PY Muni","BB_COMPOSITE")</f>
        <v>#N/A Requesting Data...</v>
      </c>
      <c r="T565" t="str">
        <f>_xll.BDP("047870PY Muni","LQA_LIQUIDITY_SCORE")</f>
        <v>#N/A Requesting Data...</v>
      </c>
    </row>
    <row r="566" spans="1:20" x14ac:dyDescent="0.25">
      <c r="A566" t="str">
        <f>_xll.BDP("047870PZ Muni","ID_CUSIP")</f>
        <v>#N/A Requesting Data...</v>
      </c>
      <c r="B566" t="s">
        <v>165</v>
      </c>
      <c r="C566" t="str">
        <f>_xll.BDP("047870PZ Muni","INSURANCE_STATUS")</f>
        <v>#N/A Requesting Data...</v>
      </c>
      <c r="D566" t="str">
        <f>_xll.BDP("047870PZ Muni","STATE_CODE")</f>
        <v>#N/A Requesting Data...</v>
      </c>
      <c r="E566" t="str">
        <f>_xll.BDP("047870PZ Muni","COUNTY_LOCATION_ISSUER")</f>
        <v>#N/A Requesting Data...</v>
      </c>
      <c r="F566" t="str">
        <f>_xll.BDP("047870PZ Muni","DUR_ADJ_MID")</f>
        <v>#N/A Requesting Data...</v>
      </c>
      <c r="G566" t="str">
        <f>_xll.BDP("047870PZ Muni","SPREAD_AT_ISSUANCE_TO_WORST")</f>
        <v>#N/A Requesting Data...</v>
      </c>
      <c r="H566" t="str">
        <f>_xll.BDP("047870PZ Muni","ISSUE_DT")</f>
        <v>#N/A Requesting Data...</v>
      </c>
      <c r="I566" t="str">
        <f>_xll.BDS("047870PZ Muni","MUNI_PURPOSE_SCHED", "aggregate=y")</f>
        <v>#N/A Requesting Data...</v>
      </c>
      <c r="J566" t="str">
        <f>_xll.BDP("047870PZ Muni","CPN")</f>
        <v>#N/A Requesting Data...</v>
      </c>
      <c r="K566" t="str">
        <f>_xll.BDP("047870PZ Muni","MATURITY")</f>
        <v>#N/A Requesting Data...</v>
      </c>
      <c r="L566">
        <v>5785000</v>
      </c>
      <c r="M566" t="str">
        <f>_xll.BDP("047870PZ Muni","YIELD_ON_ISSUE_DATE")</f>
        <v>#N/A Requesting Data...</v>
      </c>
      <c r="N566" t="str">
        <f>_xll.BDP("047870PZ Muni","YTW_SPREAD_TO_MATURITY_AT_ISSU")</f>
        <v>#N/A Requesting Data...</v>
      </c>
      <c r="O566" t="str">
        <f>_xll.BDP("047870PZ Muni","BVAL_MID_YTM")</f>
        <v>#N/A Requesting Data...</v>
      </c>
      <c r="P566" t="str">
        <f>_xll.BDP("047870PZ Muni","MUNI_TAX_PROV")</f>
        <v>#N/A Requesting Data...</v>
      </c>
      <c r="Q566" t="str">
        <f>_xll.BDP("047870PZ Muni","MUNI_FED_TAX")</f>
        <v>#N/A Requesting Data...</v>
      </c>
      <c r="R566" t="str">
        <f>_xll.BDP("047870PZ Muni","MUNI_MSRB_VOLUME")</f>
        <v>#N/A Requesting Data...</v>
      </c>
      <c r="S566" t="str">
        <f>_xll.BDP("047870PZ Muni","BB_COMPOSITE")</f>
        <v>#N/A Requesting Data...</v>
      </c>
      <c r="T566" t="str">
        <f>_xll.BDP("047870PZ Muni","LQA_LIQUIDITY_SCORE")</f>
        <v>#N/A Requesting Data...</v>
      </c>
    </row>
    <row r="567" spans="1:20" x14ac:dyDescent="0.25">
      <c r="A567" t="str">
        <f>_xll.BDP("047870QA Muni","ID_CUSIP")</f>
        <v>#N/A Requesting Data...</v>
      </c>
      <c r="B567" t="s">
        <v>165</v>
      </c>
      <c r="C567" t="str">
        <f>_xll.BDP("047870QA Muni","INSURANCE_STATUS")</f>
        <v>#N/A Requesting Data...</v>
      </c>
      <c r="D567" t="str">
        <f>_xll.BDP("047870QA Muni","STATE_CODE")</f>
        <v>#N/A Requesting Data...</v>
      </c>
      <c r="E567" t="str">
        <f>_xll.BDP("047870QA Muni","COUNTY_LOCATION_ISSUER")</f>
        <v>#N/A Requesting Data...</v>
      </c>
      <c r="F567" t="str">
        <f>_xll.BDP("047870QA Muni","DUR_ADJ_MID")</f>
        <v>#N/A Requesting Data...</v>
      </c>
      <c r="G567" t="str">
        <f>_xll.BDP("047870QA Muni","SPREAD_AT_ISSUANCE_TO_WORST")</f>
        <v>#N/A Requesting Data...</v>
      </c>
      <c r="H567" t="str">
        <f>_xll.BDP("047870QA Muni","ISSUE_DT")</f>
        <v>#N/A Requesting Data...</v>
      </c>
      <c r="I567" t="str">
        <f>_xll.BDS("047870QA Muni","MUNI_PURPOSE_SCHED", "aggregate=y")</f>
        <v>#N/A Requesting Data...</v>
      </c>
      <c r="J567" t="str">
        <f>_xll.BDP("047870QA Muni","CPN")</f>
        <v>#N/A Requesting Data...</v>
      </c>
      <c r="K567" t="str">
        <f>_xll.BDP("047870QA Muni","MATURITY")</f>
        <v>#N/A Requesting Data...</v>
      </c>
      <c r="L567">
        <v>6085000</v>
      </c>
      <c r="M567" t="str">
        <f>_xll.BDP("047870QA Muni","YIELD_ON_ISSUE_DATE")</f>
        <v>#N/A Requesting Data...</v>
      </c>
      <c r="N567" t="str">
        <f>_xll.BDP("047870QA Muni","YTW_SPREAD_TO_MATURITY_AT_ISSU")</f>
        <v>#N/A Requesting Data...</v>
      </c>
      <c r="O567" t="str">
        <f>_xll.BDP("047870QA Muni","BVAL_MID_YTM")</f>
        <v>#N/A Requesting Data...</v>
      </c>
      <c r="P567" t="str">
        <f>_xll.BDP("047870QA Muni","MUNI_TAX_PROV")</f>
        <v>#N/A Requesting Data...</v>
      </c>
      <c r="Q567" t="str">
        <f>_xll.BDP("047870QA Muni","MUNI_FED_TAX")</f>
        <v>#N/A Requesting Data...</v>
      </c>
      <c r="R567" t="str">
        <f>_xll.BDP("047870QA Muni","MUNI_MSRB_VOLUME")</f>
        <v>#N/A Requesting Data...</v>
      </c>
      <c r="S567" t="str">
        <f>_xll.BDP("047870QA Muni","BB_COMPOSITE")</f>
        <v>#N/A Requesting Data...</v>
      </c>
      <c r="T567" t="str">
        <f>_xll.BDP("047870QA Muni","LQA_LIQUIDITY_SCORE")</f>
        <v>#N/A Requesting Data...</v>
      </c>
    </row>
    <row r="568" spans="1:20" x14ac:dyDescent="0.25">
      <c r="A568" t="str">
        <f>_xll.BDP("047870QB Muni","ID_CUSIP")</f>
        <v>#N/A Requesting Data...</v>
      </c>
      <c r="B568" t="s">
        <v>165</v>
      </c>
      <c r="C568" t="str">
        <f>_xll.BDP("047870QB Muni","INSURANCE_STATUS")</f>
        <v>#N/A Requesting Data...</v>
      </c>
      <c r="D568" t="str">
        <f>_xll.BDP("047870QB Muni","STATE_CODE")</f>
        <v>#N/A Requesting Data...</v>
      </c>
      <c r="E568" t="str">
        <f>_xll.BDP("047870QB Muni","COUNTY_LOCATION_ISSUER")</f>
        <v>#N/A Requesting Data...</v>
      </c>
      <c r="F568" t="str">
        <f>_xll.BDP("047870QB Muni","DUR_ADJ_MID")</f>
        <v>#N/A Requesting Data...</v>
      </c>
      <c r="G568" t="str">
        <f>_xll.BDP("047870QB Muni","SPREAD_AT_ISSUANCE_TO_WORST")</f>
        <v>#N/A Requesting Data...</v>
      </c>
      <c r="H568" t="str">
        <f>_xll.BDP("047870QB Muni","ISSUE_DT")</f>
        <v>#N/A Requesting Data...</v>
      </c>
      <c r="I568" t="str">
        <f>_xll.BDS("047870QB Muni","MUNI_PURPOSE_SCHED", "aggregate=y")</f>
        <v>#N/A Requesting Data...</v>
      </c>
      <c r="J568" t="str">
        <f>_xll.BDP("047870QB Muni","CPN")</f>
        <v>#N/A Requesting Data...</v>
      </c>
      <c r="K568" t="str">
        <f>_xll.BDP("047870QB Muni","MATURITY")</f>
        <v>#N/A Requesting Data...</v>
      </c>
      <c r="L568">
        <v>6395000</v>
      </c>
      <c r="M568" t="str">
        <f>_xll.BDP("047870QB Muni","YIELD_ON_ISSUE_DATE")</f>
        <v>#N/A Requesting Data...</v>
      </c>
      <c r="N568" t="str">
        <f>_xll.BDP("047870QB Muni","YTW_SPREAD_TO_MATURITY_AT_ISSU")</f>
        <v>#N/A Requesting Data...</v>
      </c>
      <c r="O568" t="str">
        <f>_xll.BDP("047870QB Muni","BVAL_MID_YTM")</f>
        <v>#N/A Requesting Data...</v>
      </c>
      <c r="P568" t="str">
        <f>_xll.BDP("047870QB Muni","MUNI_TAX_PROV")</f>
        <v>#N/A Requesting Data...</v>
      </c>
      <c r="Q568" t="str">
        <f>_xll.BDP("047870QB Muni","MUNI_FED_TAX")</f>
        <v>#N/A Requesting Data...</v>
      </c>
      <c r="R568" t="str">
        <f>_xll.BDP("047870QB Muni","MUNI_MSRB_VOLUME")</f>
        <v>#N/A Requesting Data...</v>
      </c>
      <c r="S568" t="str">
        <f>_xll.BDP("047870QB Muni","BB_COMPOSITE")</f>
        <v>#N/A Requesting Data...</v>
      </c>
      <c r="T568" t="str">
        <f>_xll.BDP("047870QB Muni","LQA_LIQUIDITY_SCORE")</f>
        <v>#N/A Requesting Data...</v>
      </c>
    </row>
    <row r="569" spans="1:20" x14ac:dyDescent="0.25">
      <c r="A569" t="str">
        <f>_xll.BDP("047870QC Muni","ID_CUSIP")</f>
        <v>#N/A Requesting Data...</v>
      </c>
      <c r="B569" t="s">
        <v>165</v>
      </c>
      <c r="C569" t="str">
        <f>_xll.BDP("047870QC Muni","INSURANCE_STATUS")</f>
        <v>#N/A Requesting Data...</v>
      </c>
      <c r="D569" t="str">
        <f>_xll.BDP("047870QC Muni","STATE_CODE")</f>
        <v>#N/A Requesting Data...</v>
      </c>
      <c r="E569" t="str">
        <f>_xll.BDP("047870QC Muni","COUNTY_LOCATION_ISSUER")</f>
        <v>#N/A Requesting Data...</v>
      </c>
      <c r="F569" t="str">
        <f>_xll.BDP("047870QC Muni","DUR_ADJ_MID")</f>
        <v>#N/A Requesting Data...</v>
      </c>
      <c r="G569" t="str">
        <f>_xll.BDP("047870QC Muni","SPREAD_AT_ISSUANCE_TO_WORST")</f>
        <v>#N/A Requesting Data...</v>
      </c>
      <c r="H569" t="str">
        <f>_xll.BDP("047870QC Muni","ISSUE_DT")</f>
        <v>#N/A Requesting Data...</v>
      </c>
      <c r="I569" t="str">
        <f>_xll.BDS("047870QC Muni","MUNI_PURPOSE_SCHED", "aggregate=y")</f>
        <v>#N/A Requesting Data...</v>
      </c>
      <c r="J569" t="str">
        <f>_xll.BDP("047870QC Muni","CPN")</f>
        <v>#N/A Requesting Data...</v>
      </c>
      <c r="K569" t="str">
        <f>_xll.BDP("047870QC Muni","MATURITY")</f>
        <v>#N/A Requesting Data...</v>
      </c>
      <c r="L569">
        <v>6725000</v>
      </c>
      <c r="M569" t="str">
        <f>_xll.BDP("047870QC Muni","YIELD_ON_ISSUE_DATE")</f>
        <v>#N/A Requesting Data...</v>
      </c>
      <c r="N569" t="str">
        <f>_xll.BDP("047870QC Muni","YTW_SPREAD_TO_MATURITY_AT_ISSU")</f>
        <v>#N/A Requesting Data...</v>
      </c>
      <c r="O569" t="str">
        <f>_xll.BDP("047870QC Muni","BVAL_MID_YTM")</f>
        <v>#N/A Requesting Data...</v>
      </c>
      <c r="P569" t="str">
        <f>_xll.BDP("047870QC Muni","MUNI_TAX_PROV")</f>
        <v>#N/A Requesting Data...</v>
      </c>
      <c r="Q569" t="str">
        <f>_xll.BDP("047870QC Muni","MUNI_FED_TAX")</f>
        <v>#N/A Requesting Data...</v>
      </c>
      <c r="R569" t="str">
        <f>_xll.BDP("047870QC Muni","MUNI_MSRB_VOLUME")</f>
        <v>#N/A Requesting Data...</v>
      </c>
      <c r="S569" t="str">
        <f>_xll.BDP("047870QC Muni","BB_COMPOSITE")</f>
        <v>#N/A Requesting Data...</v>
      </c>
      <c r="T569" t="str">
        <f>_xll.BDP("047870QC Muni","LQA_LIQUIDITY_SCORE")</f>
        <v>#N/A Requesting Data...</v>
      </c>
    </row>
    <row r="570" spans="1:20" x14ac:dyDescent="0.25">
      <c r="A570" t="str">
        <f>_xll.BDP("047870QD Muni","ID_CUSIP")</f>
        <v>#N/A Requesting Data...</v>
      </c>
      <c r="B570" t="s">
        <v>165</v>
      </c>
      <c r="C570" t="str">
        <f>_xll.BDP("047870QD Muni","INSURANCE_STATUS")</f>
        <v>#N/A Requesting Data...</v>
      </c>
      <c r="D570" t="str">
        <f>_xll.BDP("047870QD Muni","STATE_CODE")</f>
        <v>#N/A Requesting Data...</v>
      </c>
      <c r="E570" t="str">
        <f>_xll.BDP("047870QD Muni","COUNTY_LOCATION_ISSUER")</f>
        <v>#N/A Requesting Data...</v>
      </c>
      <c r="F570" t="str">
        <f>_xll.BDP("047870QD Muni","DUR_ADJ_MID")</f>
        <v>#N/A Requesting Data...</v>
      </c>
      <c r="G570" t="str">
        <f>_xll.BDP("047870QD Muni","SPREAD_AT_ISSUANCE_TO_WORST")</f>
        <v>#N/A Requesting Data...</v>
      </c>
      <c r="H570" t="str">
        <f>_xll.BDP("047870QD Muni","ISSUE_DT")</f>
        <v>#N/A Requesting Data...</v>
      </c>
      <c r="I570" t="str">
        <f>_xll.BDS("047870QD Muni","MUNI_PURPOSE_SCHED", "aggregate=y")</f>
        <v>#N/A Requesting Data...</v>
      </c>
      <c r="J570" t="str">
        <f>_xll.BDP("047870QD Muni","CPN")</f>
        <v>#N/A Requesting Data...</v>
      </c>
      <c r="K570" t="str">
        <f>_xll.BDP("047870QD Muni","MATURITY")</f>
        <v>#N/A Requesting Data...</v>
      </c>
      <c r="L570">
        <v>7070000</v>
      </c>
      <c r="M570" t="str">
        <f>_xll.BDP("047870QD Muni","YIELD_ON_ISSUE_DATE")</f>
        <v>#N/A Requesting Data...</v>
      </c>
      <c r="N570" t="str">
        <f>_xll.BDP("047870QD Muni","YTW_SPREAD_TO_MATURITY_AT_ISSU")</f>
        <v>#N/A Requesting Data...</v>
      </c>
      <c r="O570" t="str">
        <f>_xll.BDP("047870QD Muni","BVAL_MID_YTM")</f>
        <v>#N/A Requesting Data...</v>
      </c>
      <c r="P570" t="str">
        <f>_xll.BDP("047870QD Muni","MUNI_TAX_PROV")</f>
        <v>#N/A Requesting Data...</v>
      </c>
      <c r="Q570" t="str">
        <f>_xll.BDP("047870QD Muni","MUNI_FED_TAX")</f>
        <v>#N/A Requesting Data...</v>
      </c>
      <c r="R570" t="str">
        <f>_xll.BDP("047870QD Muni","MUNI_MSRB_VOLUME")</f>
        <v>#N/A Requesting Data...</v>
      </c>
      <c r="S570" t="str">
        <f>_xll.BDP("047870QD Muni","BB_COMPOSITE")</f>
        <v>#N/A Requesting Data...</v>
      </c>
      <c r="T570" t="str">
        <f>_xll.BDP("047870QD Muni","LQA_LIQUIDITY_SCORE")</f>
        <v>#N/A Requesting Data...</v>
      </c>
    </row>
    <row r="571" spans="1:20" x14ac:dyDescent="0.25">
      <c r="A571" t="str">
        <f>_xll.BDP("050349CS Muni","ID_CUSIP")</f>
        <v>#N/A Requesting Data...</v>
      </c>
      <c r="B571" t="s">
        <v>166</v>
      </c>
      <c r="C571" t="str">
        <f>_xll.BDP("050349CS Muni","INSURANCE_STATUS")</f>
        <v>#N/A Requesting Data...</v>
      </c>
      <c r="D571" t="str">
        <f>_xll.BDP("050349CS Muni","STATE_CODE")</f>
        <v>#N/A Requesting Data...</v>
      </c>
      <c r="E571" t="str">
        <f>_xll.BDP("050349CS Muni","COUNTY_LOCATION_ISSUER")</f>
        <v>#N/A Requesting Data...</v>
      </c>
      <c r="F571" t="str">
        <f>_xll.BDP("050349CS Muni","DUR_ADJ_MID")</f>
        <v>#N/A Requesting Data...</v>
      </c>
      <c r="G571" t="str">
        <f>_xll.BDP("050349CS Muni","SPREAD_AT_ISSUANCE_TO_WORST")</f>
        <v>#N/A Requesting Data...</v>
      </c>
      <c r="H571" t="str">
        <f>_xll.BDP("050349CS Muni","ISSUE_DT")</f>
        <v>#N/A Requesting Data...</v>
      </c>
      <c r="I571" t="str">
        <f>_xll.BDS("050349CS Muni","MUNI_PURPOSE_SCHED", "aggregate=y")</f>
        <v>#N/A Requesting Data...</v>
      </c>
      <c r="J571" t="str">
        <f>_xll.BDP("050349CS Muni","CPN")</f>
        <v>#N/A Requesting Data...</v>
      </c>
      <c r="K571" t="str">
        <f>_xll.BDP("050349CS Muni","MATURITY")</f>
        <v>#N/A Requesting Data...</v>
      </c>
      <c r="L571">
        <v>120000</v>
      </c>
      <c r="M571" t="str">
        <f>_xll.BDP("050349CS Muni","YIELD_ON_ISSUE_DATE")</f>
        <v>#N/A Requesting Data...</v>
      </c>
      <c r="N571" t="str">
        <f>_xll.BDP("050349CS Muni","YTW_SPREAD_TO_MATURITY_AT_ISSU")</f>
        <v>#N/A Requesting Data...</v>
      </c>
      <c r="O571" t="str">
        <f>_xll.BDP("050349CS Muni","BVAL_MID_YTM")</f>
        <v>#N/A Requesting Data...</v>
      </c>
      <c r="P571" t="str">
        <f>_xll.BDP("050349CS Muni","MUNI_TAX_PROV")</f>
        <v>#N/A Requesting Data...</v>
      </c>
      <c r="Q571" t="str">
        <f>_xll.BDP("050349CS Muni","MUNI_FED_TAX")</f>
        <v>#N/A Requesting Data...</v>
      </c>
      <c r="R571" t="str">
        <f>_xll.BDP("050349CS Muni","MUNI_MSRB_VOLUME")</f>
        <v>#N/A Requesting Data...</v>
      </c>
      <c r="S571" t="str">
        <f>_xll.BDP("050349CS Muni","BB_COMPOSITE")</f>
        <v>#N/A Requesting Data...</v>
      </c>
      <c r="T571" t="str">
        <f>_xll.BDP("050349CS Muni","LQA_LIQUIDITY_SCORE")</f>
        <v>#N/A Requesting Data...</v>
      </c>
    </row>
    <row r="572" spans="1:20" x14ac:dyDescent="0.25">
      <c r="A572" t="str">
        <f>_xll.BDP("050349CT Muni","ID_CUSIP")</f>
        <v>#N/A Requesting Data...</v>
      </c>
      <c r="B572" t="s">
        <v>166</v>
      </c>
      <c r="C572" t="str">
        <f>_xll.BDP("050349CT Muni","INSURANCE_STATUS")</f>
        <v>#N/A Requesting Data...</v>
      </c>
      <c r="D572" t="str">
        <f>_xll.BDP("050349CT Muni","STATE_CODE")</f>
        <v>#N/A Requesting Data...</v>
      </c>
      <c r="E572" t="str">
        <f>_xll.BDP("050349CT Muni","COUNTY_LOCATION_ISSUER")</f>
        <v>#N/A Requesting Data...</v>
      </c>
      <c r="F572" t="str">
        <f>_xll.BDP("050349CT Muni","DUR_ADJ_MID")</f>
        <v>#N/A Requesting Data...</v>
      </c>
      <c r="G572" t="str">
        <f>_xll.BDP("050349CT Muni","SPREAD_AT_ISSUANCE_TO_WORST")</f>
        <v>#N/A Requesting Data...</v>
      </c>
      <c r="H572" t="str">
        <f>_xll.BDP("050349CT Muni","ISSUE_DT")</f>
        <v>#N/A Requesting Data...</v>
      </c>
      <c r="I572" t="str">
        <f>_xll.BDS("050349CT Muni","MUNI_PURPOSE_SCHED", "aggregate=y")</f>
        <v>#N/A Requesting Data...</v>
      </c>
      <c r="J572" t="str">
        <f>_xll.BDP("050349CT Muni","CPN")</f>
        <v>#N/A Requesting Data...</v>
      </c>
      <c r="K572" t="str">
        <f>_xll.BDP("050349CT Muni","MATURITY")</f>
        <v>#N/A Requesting Data...</v>
      </c>
      <c r="L572">
        <v>120000</v>
      </c>
      <c r="M572" t="str">
        <f>_xll.BDP("050349CT Muni","YIELD_ON_ISSUE_DATE")</f>
        <v>#N/A Requesting Data...</v>
      </c>
      <c r="N572" t="str">
        <f>_xll.BDP("050349CT Muni","YTW_SPREAD_TO_MATURITY_AT_ISSU")</f>
        <v>#N/A Requesting Data...</v>
      </c>
      <c r="O572" t="str">
        <f>_xll.BDP("050349CT Muni","BVAL_MID_YTM")</f>
        <v>#N/A Requesting Data...</v>
      </c>
      <c r="P572" t="str">
        <f>_xll.BDP("050349CT Muni","MUNI_TAX_PROV")</f>
        <v>#N/A Requesting Data...</v>
      </c>
      <c r="Q572" t="str">
        <f>_xll.BDP("050349CT Muni","MUNI_FED_TAX")</f>
        <v>#N/A Requesting Data...</v>
      </c>
      <c r="R572" t="str">
        <f>_xll.BDP("050349CT Muni","MUNI_MSRB_VOLUME")</f>
        <v>#N/A Requesting Data...</v>
      </c>
      <c r="S572" t="str">
        <f>_xll.BDP("050349CT Muni","BB_COMPOSITE")</f>
        <v>#N/A Requesting Data...</v>
      </c>
      <c r="T572" t="str">
        <f>_xll.BDP("050349CT Muni","LQA_LIQUIDITY_SCORE")</f>
        <v>#N/A Requesting Data...</v>
      </c>
    </row>
    <row r="573" spans="1:20" x14ac:dyDescent="0.25">
      <c r="A573" t="str">
        <f>_xll.BDP("050349CU Muni","ID_CUSIP")</f>
        <v>#N/A Requesting Data...</v>
      </c>
      <c r="B573" t="s">
        <v>166</v>
      </c>
      <c r="C573" t="str">
        <f>_xll.BDP("050349CU Muni","INSURANCE_STATUS")</f>
        <v>#N/A Requesting Data...</v>
      </c>
      <c r="D573" t="str">
        <f>_xll.BDP("050349CU Muni","STATE_CODE")</f>
        <v>#N/A Requesting Data...</v>
      </c>
      <c r="E573" t="str">
        <f>_xll.BDP("050349CU Muni","COUNTY_LOCATION_ISSUER")</f>
        <v>#N/A Requesting Data...</v>
      </c>
      <c r="F573" t="str">
        <f>_xll.BDP("050349CU Muni","DUR_ADJ_MID")</f>
        <v>#N/A Requesting Data...</v>
      </c>
      <c r="G573" t="str">
        <f>_xll.BDP("050349CU Muni","SPREAD_AT_ISSUANCE_TO_WORST")</f>
        <v>#N/A Requesting Data...</v>
      </c>
      <c r="H573" t="str">
        <f>_xll.BDP("050349CU Muni","ISSUE_DT")</f>
        <v>#N/A Requesting Data...</v>
      </c>
      <c r="I573" t="str">
        <f>_xll.BDS("050349CU Muni","MUNI_PURPOSE_SCHED", "aggregate=y")</f>
        <v>#N/A Requesting Data...</v>
      </c>
      <c r="J573" t="str">
        <f>_xll.BDP("050349CU Muni","CPN")</f>
        <v>#N/A Requesting Data...</v>
      </c>
      <c r="K573" t="str">
        <f>_xll.BDP("050349CU Muni","MATURITY")</f>
        <v>#N/A Requesting Data...</v>
      </c>
      <c r="L573">
        <v>120000</v>
      </c>
      <c r="M573" t="str">
        <f>_xll.BDP("050349CU Muni","YIELD_ON_ISSUE_DATE")</f>
        <v>#N/A Requesting Data...</v>
      </c>
      <c r="N573" t="str">
        <f>_xll.BDP("050349CU Muni","YTW_SPREAD_TO_MATURITY_AT_ISSU")</f>
        <v>#N/A Requesting Data...</v>
      </c>
      <c r="O573" t="str">
        <f>_xll.BDP("050349CU Muni","BVAL_MID_YTM")</f>
        <v>#N/A Requesting Data...</v>
      </c>
      <c r="P573" t="str">
        <f>_xll.BDP("050349CU Muni","MUNI_TAX_PROV")</f>
        <v>#N/A Requesting Data...</v>
      </c>
      <c r="Q573" t="str">
        <f>_xll.BDP("050349CU Muni","MUNI_FED_TAX")</f>
        <v>#N/A Requesting Data...</v>
      </c>
      <c r="R573" t="str">
        <f>_xll.BDP("050349CU Muni","MUNI_MSRB_VOLUME")</f>
        <v>#N/A Requesting Data...</v>
      </c>
      <c r="S573" t="str">
        <f>_xll.BDP("050349CU Muni","BB_COMPOSITE")</f>
        <v>#N/A Requesting Data...</v>
      </c>
      <c r="T573" t="str">
        <f>_xll.BDP("050349CU Muni","LQA_LIQUIDITY_SCORE")</f>
        <v>#N/A Requesting Data...</v>
      </c>
    </row>
    <row r="574" spans="1:20" x14ac:dyDescent="0.25">
      <c r="A574" t="str">
        <f>_xll.BDP("050349CV Muni","ID_CUSIP")</f>
        <v>#N/A Requesting Data...</v>
      </c>
      <c r="B574" t="s">
        <v>166</v>
      </c>
      <c r="C574" t="str">
        <f>_xll.BDP("050349CV Muni","INSURANCE_STATUS")</f>
        <v>#N/A Requesting Data...</v>
      </c>
      <c r="D574" t="str">
        <f>_xll.BDP("050349CV Muni","STATE_CODE")</f>
        <v>#N/A Requesting Data...</v>
      </c>
      <c r="E574" t="str">
        <f>_xll.BDP("050349CV Muni","COUNTY_LOCATION_ISSUER")</f>
        <v>#N/A Requesting Data...</v>
      </c>
      <c r="F574" t="str">
        <f>_xll.BDP("050349CV Muni","DUR_ADJ_MID")</f>
        <v>#N/A Requesting Data...</v>
      </c>
      <c r="G574" t="str">
        <f>_xll.BDP("050349CV Muni","SPREAD_AT_ISSUANCE_TO_WORST")</f>
        <v>#N/A Requesting Data...</v>
      </c>
      <c r="H574" t="str">
        <f>_xll.BDP("050349CV Muni","ISSUE_DT")</f>
        <v>#N/A Requesting Data...</v>
      </c>
      <c r="I574" t="str">
        <f>_xll.BDS("050349CV Muni","MUNI_PURPOSE_SCHED", "aggregate=y")</f>
        <v>#N/A Requesting Data...</v>
      </c>
      <c r="J574" t="str">
        <f>_xll.BDP("050349CV Muni","CPN")</f>
        <v>#N/A Requesting Data...</v>
      </c>
      <c r="K574" t="str">
        <f>_xll.BDP("050349CV Muni","MATURITY")</f>
        <v>#N/A Requesting Data...</v>
      </c>
      <c r="L574">
        <v>130000</v>
      </c>
      <c r="M574" t="str">
        <f>_xll.BDP("050349CV Muni","YIELD_ON_ISSUE_DATE")</f>
        <v>#N/A Requesting Data...</v>
      </c>
      <c r="N574" t="str">
        <f>_xll.BDP("050349CV Muni","YTW_SPREAD_TO_MATURITY_AT_ISSU")</f>
        <v>#N/A Requesting Data...</v>
      </c>
      <c r="O574" t="str">
        <f>_xll.BDP("050349CV Muni","BVAL_MID_YTM")</f>
        <v>#N/A Requesting Data...</v>
      </c>
      <c r="P574" t="str">
        <f>_xll.BDP("050349CV Muni","MUNI_TAX_PROV")</f>
        <v>#N/A Requesting Data...</v>
      </c>
      <c r="Q574" t="str">
        <f>_xll.BDP("050349CV Muni","MUNI_FED_TAX")</f>
        <v>#N/A Requesting Data...</v>
      </c>
      <c r="R574" t="str">
        <f>_xll.BDP("050349CV Muni","MUNI_MSRB_VOLUME")</f>
        <v>#N/A Requesting Data...</v>
      </c>
      <c r="S574" t="str">
        <f>_xll.BDP("050349CV Muni","BB_COMPOSITE")</f>
        <v>#N/A Requesting Data...</v>
      </c>
      <c r="T574" t="str">
        <f>_xll.BDP("050349CV Muni","LQA_LIQUIDITY_SCORE")</f>
        <v>#N/A Requesting Data...</v>
      </c>
    </row>
    <row r="575" spans="1:20" x14ac:dyDescent="0.25">
      <c r="A575" t="str">
        <f>_xll.BDP("050349CW Muni","ID_CUSIP")</f>
        <v>#N/A Requesting Data...</v>
      </c>
      <c r="B575" t="s">
        <v>166</v>
      </c>
      <c r="C575" t="str">
        <f>_xll.BDP("050349CW Muni","INSURANCE_STATUS")</f>
        <v>#N/A Requesting Data...</v>
      </c>
      <c r="D575" t="str">
        <f>_xll.BDP("050349CW Muni","STATE_CODE")</f>
        <v>#N/A Requesting Data...</v>
      </c>
      <c r="E575" t="str">
        <f>_xll.BDP("050349CW Muni","COUNTY_LOCATION_ISSUER")</f>
        <v>#N/A Requesting Data...</v>
      </c>
      <c r="F575" t="str">
        <f>_xll.BDP("050349CW Muni","DUR_ADJ_MID")</f>
        <v>#N/A Requesting Data...</v>
      </c>
      <c r="G575" t="str">
        <f>_xll.BDP("050349CW Muni","SPREAD_AT_ISSUANCE_TO_WORST")</f>
        <v>#N/A Requesting Data...</v>
      </c>
      <c r="H575" t="str">
        <f>_xll.BDP("050349CW Muni","ISSUE_DT")</f>
        <v>#N/A Requesting Data...</v>
      </c>
      <c r="I575" t="str">
        <f>_xll.BDS("050349CW Muni","MUNI_PURPOSE_SCHED", "aggregate=y")</f>
        <v>#N/A Requesting Data...</v>
      </c>
      <c r="J575" t="str">
        <f>_xll.BDP("050349CW Muni","CPN")</f>
        <v>#N/A Requesting Data...</v>
      </c>
      <c r="K575" t="str">
        <f>_xll.BDP("050349CW Muni","MATURITY")</f>
        <v>#N/A Requesting Data...</v>
      </c>
      <c r="L575">
        <v>120000</v>
      </c>
      <c r="M575" t="str">
        <f>_xll.BDP("050349CW Muni","YIELD_ON_ISSUE_DATE")</f>
        <v>#N/A Requesting Data...</v>
      </c>
      <c r="N575" t="str">
        <f>_xll.BDP("050349CW Muni","YTW_SPREAD_TO_MATURITY_AT_ISSU")</f>
        <v>#N/A Requesting Data...</v>
      </c>
      <c r="O575" t="str">
        <f>_xll.BDP("050349CW Muni","BVAL_MID_YTM")</f>
        <v>#N/A Requesting Data...</v>
      </c>
      <c r="P575" t="str">
        <f>_xll.BDP("050349CW Muni","MUNI_TAX_PROV")</f>
        <v>#N/A Requesting Data...</v>
      </c>
      <c r="Q575" t="str">
        <f>_xll.BDP("050349CW Muni","MUNI_FED_TAX")</f>
        <v>#N/A Requesting Data...</v>
      </c>
      <c r="R575" t="str">
        <f>_xll.BDP("050349CW Muni","MUNI_MSRB_VOLUME")</f>
        <v>#N/A Requesting Data...</v>
      </c>
      <c r="S575" t="str">
        <f>_xll.BDP("050349CW Muni","BB_COMPOSITE")</f>
        <v>#N/A Requesting Data...</v>
      </c>
      <c r="T575" t="str">
        <f>_xll.BDP("050349CW Muni","LQA_LIQUIDITY_SCORE")</f>
        <v>#N/A Requesting Data...</v>
      </c>
    </row>
    <row r="576" spans="1:20" x14ac:dyDescent="0.25">
      <c r="A576" t="str">
        <f>_xll.BDP("050349CX Muni","ID_CUSIP")</f>
        <v>#N/A Requesting Data...</v>
      </c>
      <c r="B576" t="s">
        <v>166</v>
      </c>
      <c r="C576" t="str">
        <f>_xll.BDP("050349CX Muni","INSURANCE_STATUS")</f>
        <v>#N/A Requesting Data...</v>
      </c>
      <c r="D576" t="str">
        <f>_xll.BDP("050349CX Muni","STATE_CODE")</f>
        <v>#N/A Requesting Data...</v>
      </c>
      <c r="E576" t="str">
        <f>_xll.BDP("050349CX Muni","COUNTY_LOCATION_ISSUER")</f>
        <v>#N/A Requesting Data...</v>
      </c>
      <c r="F576" t="str">
        <f>_xll.BDP("050349CX Muni","DUR_ADJ_MID")</f>
        <v>#N/A Requesting Data...</v>
      </c>
      <c r="G576" t="str">
        <f>_xll.BDP("050349CX Muni","SPREAD_AT_ISSUANCE_TO_WORST")</f>
        <v>#N/A Requesting Data...</v>
      </c>
      <c r="H576" t="str">
        <f>_xll.BDP("050349CX Muni","ISSUE_DT")</f>
        <v>#N/A Requesting Data...</v>
      </c>
      <c r="I576" t="str">
        <f>_xll.BDS("050349CX Muni","MUNI_PURPOSE_SCHED", "aggregate=y")</f>
        <v>#N/A Requesting Data...</v>
      </c>
      <c r="J576" t="str">
        <f>_xll.BDP("050349CX Muni","CPN")</f>
        <v>#N/A Requesting Data...</v>
      </c>
      <c r="K576" t="str">
        <f>_xll.BDP("050349CX Muni","MATURITY")</f>
        <v>#N/A Requesting Data...</v>
      </c>
      <c r="L576">
        <v>120000</v>
      </c>
      <c r="M576" t="str">
        <f>_xll.BDP("050349CX Muni","YIELD_ON_ISSUE_DATE")</f>
        <v>#N/A Requesting Data...</v>
      </c>
      <c r="N576" t="str">
        <f>_xll.BDP("050349CX Muni","YTW_SPREAD_TO_MATURITY_AT_ISSU")</f>
        <v>#N/A Requesting Data...</v>
      </c>
      <c r="O576" t="str">
        <f>_xll.BDP("050349CX Muni","BVAL_MID_YTM")</f>
        <v>#N/A Requesting Data...</v>
      </c>
      <c r="P576" t="str">
        <f>_xll.BDP("050349CX Muni","MUNI_TAX_PROV")</f>
        <v>#N/A Requesting Data...</v>
      </c>
      <c r="Q576" t="str">
        <f>_xll.BDP("050349CX Muni","MUNI_FED_TAX")</f>
        <v>#N/A Requesting Data...</v>
      </c>
      <c r="R576" t="str">
        <f>_xll.BDP("050349CX Muni","MUNI_MSRB_VOLUME")</f>
        <v>#N/A Requesting Data...</v>
      </c>
      <c r="S576" t="str">
        <f>_xll.BDP("050349CX Muni","BB_COMPOSITE")</f>
        <v>#N/A Requesting Data...</v>
      </c>
      <c r="T576" t="str">
        <f>_xll.BDP("050349CX Muni","LQA_LIQUIDITY_SCORE")</f>
        <v>#N/A Requesting Data...</v>
      </c>
    </row>
    <row r="577" spans="1:20" x14ac:dyDescent="0.25">
      <c r="A577" t="str">
        <f>_xll.BDP("050349CY Muni","ID_CUSIP")</f>
        <v>#N/A Requesting Data...</v>
      </c>
      <c r="B577" t="s">
        <v>166</v>
      </c>
      <c r="C577" t="str">
        <f>_xll.BDP("050349CY Muni","INSURANCE_STATUS")</f>
        <v>#N/A Requesting Data...</v>
      </c>
      <c r="D577" t="str">
        <f>_xll.BDP("050349CY Muni","STATE_CODE")</f>
        <v>#N/A Requesting Data...</v>
      </c>
      <c r="E577" t="str">
        <f>_xll.BDP("050349CY Muni","COUNTY_LOCATION_ISSUER")</f>
        <v>#N/A Requesting Data...</v>
      </c>
      <c r="F577" t="str">
        <f>_xll.BDP("050349CY Muni","DUR_ADJ_MID")</f>
        <v>#N/A Requesting Data...</v>
      </c>
      <c r="G577" t="str">
        <f>_xll.BDP("050349CY Muni","SPREAD_AT_ISSUANCE_TO_WORST")</f>
        <v>#N/A Requesting Data...</v>
      </c>
      <c r="H577" t="str">
        <f>_xll.BDP("050349CY Muni","ISSUE_DT")</f>
        <v>#N/A Requesting Data...</v>
      </c>
      <c r="I577" t="str">
        <f>_xll.BDS("050349CY Muni","MUNI_PURPOSE_SCHED", "aggregate=y")</f>
        <v>#N/A Requesting Data...</v>
      </c>
      <c r="J577" t="str">
        <f>_xll.BDP("050349CY Muni","CPN")</f>
        <v>#N/A Requesting Data...</v>
      </c>
      <c r="K577" t="str">
        <f>_xll.BDP("050349CY Muni","MATURITY")</f>
        <v>#N/A Requesting Data...</v>
      </c>
      <c r="L577">
        <v>130000</v>
      </c>
      <c r="M577" t="str">
        <f>_xll.BDP("050349CY Muni","YIELD_ON_ISSUE_DATE")</f>
        <v>#N/A Requesting Data...</v>
      </c>
      <c r="N577" t="str">
        <f>_xll.BDP("050349CY Muni","YTW_SPREAD_TO_MATURITY_AT_ISSU")</f>
        <v>#N/A Requesting Data...</v>
      </c>
      <c r="O577" t="str">
        <f>_xll.BDP("050349CY Muni","BVAL_MID_YTM")</f>
        <v>#N/A Requesting Data...</v>
      </c>
      <c r="P577" t="str">
        <f>_xll.BDP("050349CY Muni","MUNI_TAX_PROV")</f>
        <v>#N/A Requesting Data...</v>
      </c>
      <c r="Q577" t="str">
        <f>_xll.BDP("050349CY Muni","MUNI_FED_TAX")</f>
        <v>#N/A Requesting Data...</v>
      </c>
      <c r="R577" t="str">
        <f>_xll.BDP("050349CY Muni","MUNI_MSRB_VOLUME")</f>
        <v>#N/A Requesting Data...</v>
      </c>
      <c r="S577" t="str">
        <f>_xll.BDP("050349CY Muni","BB_COMPOSITE")</f>
        <v>#N/A Requesting Data...</v>
      </c>
      <c r="T577" t="str">
        <f>_xll.BDP("050349CY Muni","LQA_LIQUIDITY_SCORE")</f>
        <v>#N/A Requesting Data...</v>
      </c>
    </row>
    <row r="578" spans="1:20" x14ac:dyDescent="0.25">
      <c r="A578" t="str">
        <f>_xll.BDP("050349CZ Muni","ID_CUSIP")</f>
        <v>#N/A Requesting Data...</v>
      </c>
      <c r="B578" t="s">
        <v>166</v>
      </c>
      <c r="C578" t="str">
        <f>_xll.BDP("050349CZ Muni","INSURANCE_STATUS")</f>
        <v>#N/A Requesting Data...</v>
      </c>
      <c r="D578" t="str">
        <f>_xll.BDP("050349CZ Muni","STATE_CODE")</f>
        <v>#N/A Requesting Data...</v>
      </c>
      <c r="E578" t="str">
        <f>_xll.BDP("050349CZ Muni","COUNTY_LOCATION_ISSUER")</f>
        <v>#N/A Requesting Data...</v>
      </c>
      <c r="F578" t="str">
        <f>_xll.BDP("050349CZ Muni","DUR_ADJ_MID")</f>
        <v>#N/A Requesting Data...</v>
      </c>
      <c r="G578" t="str">
        <f>_xll.BDP("050349CZ Muni","SPREAD_AT_ISSUANCE_TO_WORST")</f>
        <v>#N/A Requesting Data...</v>
      </c>
      <c r="H578" t="str">
        <f>_xll.BDP("050349CZ Muni","ISSUE_DT")</f>
        <v>#N/A Requesting Data...</v>
      </c>
      <c r="I578" t="str">
        <f>_xll.BDS("050349CZ Muni","MUNI_PURPOSE_SCHED", "aggregate=y")</f>
        <v>#N/A Requesting Data...</v>
      </c>
      <c r="J578" t="str">
        <f>_xll.BDP("050349CZ Muni","CPN")</f>
        <v>#N/A Requesting Data...</v>
      </c>
      <c r="K578" t="str">
        <f>_xll.BDP("050349CZ Muni","MATURITY")</f>
        <v>#N/A Requesting Data...</v>
      </c>
      <c r="L578">
        <v>130000</v>
      </c>
      <c r="M578" t="str">
        <f>_xll.BDP("050349CZ Muni","YIELD_ON_ISSUE_DATE")</f>
        <v>#N/A Requesting Data...</v>
      </c>
      <c r="N578" t="str">
        <f>_xll.BDP("050349CZ Muni","YTW_SPREAD_TO_MATURITY_AT_ISSU")</f>
        <v>#N/A Requesting Data...</v>
      </c>
      <c r="O578" t="str">
        <f>_xll.BDP("050349CZ Muni","BVAL_MID_YTM")</f>
        <v>#N/A Requesting Data...</v>
      </c>
      <c r="P578" t="str">
        <f>_xll.BDP("050349CZ Muni","MUNI_TAX_PROV")</f>
        <v>#N/A Requesting Data...</v>
      </c>
      <c r="Q578" t="str">
        <f>_xll.BDP("050349CZ Muni","MUNI_FED_TAX")</f>
        <v>#N/A Requesting Data...</v>
      </c>
      <c r="R578" t="str">
        <f>_xll.BDP("050349CZ Muni","MUNI_MSRB_VOLUME")</f>
        <v>#N/A Requesting Data...</v>
      </c>
      <c r="S578" t="str">
        <f>_xll.BDP("050349CZ Muni","BB_COMPOSITE")</f>
        <v>#N/A Requesting Data...</v>
      </c>
      <c r="T578" t="str">
        <f>_xll.BDP("050349CZ Muni","LQA_LIQUIDITY_SCORE")</f>
        <v>#N/A Requesting Data...</v>
      </c>
    </row>
    <row r="579" spans="1:20" x14ac:dyDescent="0.25">
      <c r="A579" t="str">
        <f>_xll.BDP("091096MF Muni","ID_CUSIP")</f>
        <v>#N/A Requesting Data...</v>
      </c>
      <c r="B579" t="s">
        <v>167</v>
      </c>
      <c r="C579" t="str">
        <f>_xll.BDP("091096MF Muni","INSURANCE_STATUS")</f>
        <v>#N/A Requesting Data...</v>
      </c>
      <c r="D579" t="str">
        <f>_xll.BDP("091096MF Muni","STATE_CODE")</f>
        <v>#N/A Requesting Data...</v>
      </c>
      <c r="E579" t="str">
        <f>_xll.BDP("091096MF Muni","COUNTY_LOCATION_ISSUER")</f>
        <v>#N/A Requesting Data...</v>
      </c>
      <c r="F579" t="str">
        <f>_xll.BDP("091096MF Muni","DUR_ADJ_MID")</f>
        <v>#N/A Requesting Data...</v>
      </c>
      <c r="G579" t="str">
        <f>_xll.BDP("091096MF Muni","SPREAD_AT_ISSUANCE_TO_WORST")</f>
        <v>#N/A Requesting Data...</v>
      </c>
      <c r="H579" t="str">
        <f>_xll.BDP("091096MF Muni","ISSUE_DT")</f>
        <v>#N/A Requesting Data...</v>
      </c>
      <c r="I579" t="str">
        <f>_xll.BDS("091096MF Muni","MUNI_PURPOSE_SCHED", "aggregate=y")</f>
        <v>#N/A Requesting Data...</v>
      </c>
      <c r="J579" t="str">
        <f>_xll.BDP("091096MF Muni","CPN")</f>
        <v>#N/A Requesting Data...</v>
      </c>
      <c r="K579" t="str">
        <f>_xll.BDP("091096MF Muni","MATURITY")</f>
        <v>#N/A Requesting Data...</v>
      </c>
      <c r="L579">
        <v>2005000</v>
      </c>
      <c r="M579" t="str">
        <f>_xll.BDP("091096MF Muni","YIELD_ON_ISSUE_DATE")</f>
        <v>#N/A Requesting Data...</v>
      </c>
      <c r="N579" t="str">
        <f>_xll.BDP("091096MF Muni","YTW_SPREAD_TO_MATURITY_AT_ISSU")</f>
        <v>#N/A Requesting Data...</v>
      </c>
      <c r="O579" t="str">
        <f>_xll.BDP("091096MF Muni","BVAL_MID_YTM")</f>
        <v>#N/A Requesting Data...</v>
      </c>
      <c r="P579" t="str">
        <f>_xll.BDP("091096MF Muni","MUNI_TAX_PROV")</f>
        <v>#N/A Requesting Data...</v>
      </c>
      <c r="Q579" t="str">
        <f>_xll.BDP("091096MF Muni","MUNI_FED_TAX")</f>
        <v>#N/A Requesting Data...</v>
      </c>
      <c r="R579" t="str">
        <f>_xll.BDP("091096MF Muni","MUNI_MSRB_VOLUME")</f>
        <v>#N/A Requesting Data...</v>
      </c>
      <c r="S579" t="str">
        <f>_xll.BDP("091096MF Muni","BB_COMPOSITE")</f>
        <v>#N/A Requesting Data...</v>
      </c>
      <c r="T579" t="str">
        <f>_xll.BDP("091096MF Muni","LQA_LIQUIDITY_SCORE")</f>
        <v>#N/A Requesting Data...</v>
      </c>
    </row>
    <row r="580" spans="1:20" x14ac:dyDescent="0.25">
      <c r="A580" t="str">
        <f>_xll.BDP("091096MG Muni","ID_CUSIP")</f>
        <v>#N/A Requesting Data...</v>
      </c>
      <c r="B580" t="s">
        <v>167</v>
      </c>
      <c r="C580" t="str">
        <f>_xll.BDP("091096MG Muni","INSURANCE_STATUS")</f>
        <v>#N/A Requesting Data...</v>
      </c>
      <c r="D580" t="str">
        <f>_xll.BDP("091096MG Muni","STATE_CODE")</f>
        <v>#N/A Requesting Data...</v>
      </c>
      <c r="E580" t="str">
        <f>_xll.BDP("091096MG Muni","COUNTY_LOCATION_ISSUER")</f>
        <v>#N/A Requesting Data...</v>
      </c>
      <c r="F580" t="str">
        <f>_xll.BDP("091096MG Muni","DUR_ADJ_MID")</f>
        <v>#N/A Requesting Data...</v>
      </c>
      <c r="G580" t="str">
        <f>_xll.BDP("091096MG Muni","SPREAD_AT_ISSUANCE_TO_WORST")</f>
        <v>#N/A Requesting Data...</v>
      </c>
      <c r="H580" t="str">
        <f>_xll.BDP("091096MG Muni","ISSUE_DT")</f>
        <v>#N/A Requesting Data...</v>
      </c>
      <c r="I580" t="str">
        <f>_xll.BDS("091096MG Muni","MUNI_PURPOSE_SCHED", "aggregate=y")</f>
        <v>#N/A Requesting Data...</v>
      </c>
      <c r="J580" t="str">
        <f>_xll.BDP("091096MG Muni","CPN")</f>
        <v>#N/A Requesting Data...</v>
      </c>
      <c r="K580" t="str">
        <f>_xll.BDP("091096MG Muni","MATURITY")</f>
        <v>#N/A Requesting Data...</v>
      </c>
      <c r="L580">
        <v>2095000</v>
      </c>
      <c r="M580" t="str">
        <f>_xll.BDP("091096MG Muni","YIELD_ON_ISSUE_DATE")</f>
        <v>#N/A Requesting Data...</v>
      </c>
      <c r="N580" t="str">
        <f>_xll.BDP("091096MG Muni","YTW_SPREAD_TO_MATURITY_AT_ISSU")</f>
        <v>#N/A Requesting Data...</v>
      </c>
      <c r="O580" t="str">
        <f>_xll.BDP("091096MG Muni","BVAL_MID_YTM")</f>
        <v>#N/A Requesting Data...</v>
      </c>
      <c r="P580" t="str">
        <f>_xll.BDP("091096MG Muni","MUNI_TAX_PROV")</f>
        <v>#N/A Requesting Data...</v>
      </c>
      <c r="Q580" t="str">
        <f>_xll.BDP("091096MG Muni","MUNI_FED_TAX")</f>
        <v>#N/A Requesting Data...</v>
      </c>
      <c r="R580" t="str">
        <f>_xll.BDP("091096MG Muni","MUNI_MSRB_VOLUME")</f>
        <v>#N/A Requesting Data...</v>
      </c>
      <c r="S580" t="str">
        <f>_xll.BDP("091096MG Muni","BB_COMPOSITE")</f>
        <v>#N/A Requesting Data...</v>
      </c>
      <c r="T580" t="str">
        <f>_xll.BDP("091096MG Muni","LQA_LIQUIDITY_SCORE")</f>
        <v>#N/A Requesting Data...</v>
      </c>
    </row>
    <row r="581" spans="1:20" x14ac:dyDescent="0.25">
      <c r="A581" t="str">
        <f>_xll.BDP("091096MH Muni","ID_CUSIP")</f>
        <v>#N/A Requesting Data...</v>
      </c>
      <c r="B581" t="s">
        <v>167</v>
      </c>
      <c r="C581" t="str">
        <f>_xll.BDP("091096MH Muni","INSURANCE_STATUS")</f>
        <v>#N/A Requesting Data...</v>
      </c>
      <c r="D581" t="str">
        <f>_xll.BDP("091096MH Muni","STATE_CODE")</f>
        <v>#N/A Requesting Data...</v>
      </c>
      <c r="E581" t="str">
        <f>_xll.BDP("091096MH Muni","COUNTY_LOCATION_ISSUER")</f>
        <v>#N/A Requesting Data...</v>
      </c>
      <c r="F581" t="str">
        <f>_xll.BDP("091096MH Muni","DUR_ADJ_MID")</f>
        <v>#N/A Requesting Data...</v>
      </c>
      <c r="G581" t="str">
        <f>_xll.BDP("091096MH Muni","SPREAD_AT_ISSUANCE_TO_WORST")</f>
        <v>#N/A Requesting Data...</v>
      </c>
      <c r="H581" t="str">
        <f>_xll.BDP("091096MH Muni","ISSUE_DT")</f>
        <v>#N/A Requesting Data...</v>
      </c>
      <c r="I581" t="str">
        <f>_xll.BDS("091096MH Muni","MUNI_PURPOSE_SCHED", "aggregate=y")</f>
        <v>#N/A Requesting Data...</v>
      </c>
      <c r="J581" t="str">
        <f>_xll.BDP("091096MH Muni","CPN")</f>
        <v>#N/A Requesting Data...</v>
      </c>
      <c r="K581" t="str">
        <f>_xll.BDP("091096MH Muni","MATURITY")</f>
        <v>#N/A Requesting Data...</v>
      </c>
      <c r="L581">
        <v>2225000</v>
      </c>
      <c r="M581" t="str">
        <f>_xll.BDP("091096MH Muni","YIELD_ON_ISSUE_DATE")</f>
        <v>#N/A Requesting Data...</v>
      </c>
      <c r="N581" t="str">
        <f>_xll.BDP("091096MH Muni","YTW_SPREAD_TO_MATURITY_AT_ISSU")</f>
        <v>#N/A Requesting Data...</v>
      </c>
      <c r="O581" t="str">
        <f>_xll.BDP("091096MH Muni","BVAL_MID_YTM")</f>
        <v>#N/A Requesting Data...</v>
      </c>
      <c r="P581" t="str">
        <f>_xll.BDP("091096MH Muni","MUNI_TAX_PROV")</f>
        <v>#N/A Requesting Data...</v>
      </c>
      <c r="Q581" t="str">
        <f>_xll.BDP("091096MH Muni","MUNI_FED_TAX")</f>
        <v>#N/A Requesting Data...</v>
      </c>
      <c r="R581" t="str">
        <f>_xll.BDP("091096MH Muni","MUNI_MSRB_VOLUME")</f>
        <v>#N/A Requesting Data...</v>
      </c>
      <c r="S581" t="str">
        <f>_xll.BDP("091096MH Muni","BB_COMPOSITE")</f>
        <v>#N/A Requesting Data...</v>
      </c>
      <c r="T581" t="str">
        <f>_xll.BDP("091096MH Muni","LQA_LIQUIDITY_SCORE")</f>
        <v>#N/A Requesting Data...</v>
      </c>
    </row>
    <row r="582" spans="1:20" x14ac:dyDescent="0.25">
      <c r="A582" t="str">
        <f>_xll.BDP("091096MJ Muni","ID_CUSIP")</f>
        <v>#N/A Requesting Data...</v>
      </c>
      <c r="B582" t="s">
        <v>167</v>
      </c>
      <c r="C582" t="str">
        <f>_xll.BDP("091096MJ Muni","INSURANCE_STATUS")</f>
        <v>#N/A Requesting Data...</v>
      </c>
      <c r="D582" t="str">
        <f>_xll.BDP("091096MJ Muni","STATE_CODE")</f>
        <v>#N/A Requesting Data...</v>
      </c>
      <c r="E582" t="str">
        <f>_xll.BDP("091096MJ Muni","COUNTY_LOCATION_ISSUER")</f>
        <v>#N/A Requesting Data...</v>
      </c>
      <c r="F582" t="str">
        <f>_xll.BDP("091096MJ Muni","DUR_ADJ_MID")</f>
        <v>#N/A Requesting Data...</v>
      </c>
      <c r="G582" t="str">
        <f>_xll.BDP("091096MJ Muni","SPREAD_AT_ISSUANCE_TO_WORST")</f>
        <v>#N/A Requesting Data...</v>
      </c>
      <c r="H582" t="str">
        <f>_xll.BDP("091096MJ Muni","ISSUE_DT")</f>
        <v>#N/A Requesting Data...</v>
      </c>
      <c r="I582" t="str">
        <f>_xll.BDS("091096MJ Muni","MUNI_PURPOSE_SCHED", "aggregate=y")</f>
        <v>#N/A Requesting Data...</v>
      </c>
      <c r="J582" t="str">
        <f>_xll.BDP("091096MJ Muni","CPN")</f>
        <v>#N/A Requesting Data...</v>
      </c>
      <c r="K582" t="str">
        <f>_xll.BDP("091096MJ Muni","MATURITY")</f>
        <v>#N/A Requesting Data...</v>
      </c>
      <c r="L582">
        <v>6540000</v>
      </c>
      <c r="M582" t="str">
        <f>_xll.BDP("091096MJ Muni","YIELD_ON_ISSUE_DATE")</f>
        <v>#N/A Requesting Data...</v>
      </c>
      <c r="N582" t="str">
        <f>_xll.BDP("091096MJ Muni","YTW_SPREAD_TO_MATURITY_AT_ISSU")</f>
        <v>#N/A Requesting Data...</v>
      </c>
      <c r="O582" t="str">
        <f>_xll.BDP("091096MJ Muni","BVAL_MID_YTM")</f>
        <v>#N/A Requesting Data...</v>
      </c>
      <c r="P582" t="str">
        <f>_xll.BDP("091096MJ Muni","MUNI_TAX_PROV")</f>
        <v>#N/A Requesting Data...</v>
      </c>
      <c r="Q582" t="str">
        <f>_xll.BDP("091096MJ Muni","MUNI_FED_TAX")</f>
        <v>#N/A Requesting Data...</v>
      </c>
      <c r="R582" t="str">
        <f>_xll.BDP("091096MJ Muni","MUNI_MSRB_VOLUME")</f>
        <v>#N/A Requesting Data...</v>
      </c>
      <c r="S582" t="str">
        <f>_xll.BDP("091096MJ Muni","BB_COMPOSITE")</f>
        <v>#N/A Requesting Data...</v>
      </c>
      <c r="T582" t="str">
        <f>_xll.BDP("091096MJ Muni","LQA_LIQUIDITY_SCORE")</f>
        <v>#N/A Requesting Data...</v>
      </c>
    </row>
    <row r="583" spans="1:20" x14ac:dyDescent="0.25">
      <c r="A583" t="str">
        <f>_xll.BDP("091096MK Muni","ID_CUSIP")</f>
        <v>#N/A Requesting Data...</v>
      </c>
      <c r="B583" t="s">
        <v>167</v>
      </c>
      <c r="C583" t="str">
        <f>_xll.BDP("091096MK Muni","INSURANCE_STATUS")</f>
        <v>#N/A Requesting Data...</v>
      </c>
      <c r="D583" t="str">
        <f>_xll.BDP("091096MK Muni","STATE_CODE")</f>
        <v>#N/A Requesting Data...</v>
      </c>
      <c r="E583" t="str">
        <f>_xll.BDP("091096MK Muni","COUNTY_LOCATION_ISSUER")</f>
        <v>#N/A Requesting Data...</v>
      </c>
      <c r="F583" t="str">
        <f>_xll.BDP("091096MK Muni","DUR_ADJ_MID")</f>
        <v>#N/A Requesting Data...</v>
      </c>
      <c r="G583" t="str">
        <f>_xll.BDP("091096MK Muni","SPREAD_AT_ISSUANCE_TO_WORST")</f>
        <v>#N/A Requesting Data...</v>
      </c>
      <c r="H583" t="str">
        <f>_xll.BDP("091096MK Muni","ISSUE_DT")</f>
        <v>#N/A Requesting Data...</v>
      </c>
      <c r="I583" t="str">
        <f>_xll.BDS("091096MK Muni","MUNI_PURPOSE_SCHED", "aggregate=y")</f>
        <v>#N/A Requesting Data...</v>
      </c>
      <c r="J583" t="str">
        <f>_xll.BDP("091096MK Muni","CPN")</f>
        <v>#N/A Requesting Data...</v>
      </c>
      <c r="K583" t="str">
        <f>_xll.BDP("091096MK Muni","MATURITY")</f>
        <v>#N/A Requesting Data...</v>
      </c>
      <c r="L583">
        <v>7005000</v>
      </c>
      <c r="M583" t="str">
        <f>_xll.BDP("091096MK Muni","YIELD_ON_ISSUE_DATE")</f>
        <v>#N/A Requesting Data...</v>
      </c>
      <c r="N583" t="str">
        <f>_xll.BDP("091096MK Muni","YTW_SPREAD_TO_MATURITY_AT_ISSU")</f>
        <v>#N/A Requesting Data...</v>
      </c>
      <c r="O583" t="str">
        <f>_xll.BDP("091096MK Muni","BVAL_MID_YTM")</f>
        <v>#N/A Requesting Data...</v>
      </c>
      <c r="P583" t="str">
        <f>_xll.BDP("091096MK Muni","MUNI_TAX_PROV")</f>
        <v>#N/A Requesting Data...</v>
      </c>
      <c r="Q583" t="str">
        <f>_xll.BDP("091096MK Muni","MUNI_FED_TAX")</f>
        <v>#N/A Requesting Data...</v>
      </c>
      <c r="R583" t="str">
        <f>_xll.BDP("091096MK Muni","MUNI_MSRB_VOLUME")</f>
        <v>#N/A Requesting Data...</v>
      </c>
      <c r="S583" t="str">
        <f>_xll.BDP("091096MK Muni","BB_COMPOSITE")</f>
        <v>#N/A Requesting Data...</v>
      </c>
      <c r="T583" t="str">
        <f>_xll.BDP("091096MK Muni","LQA_LIQUIDITY_SCORE")</f>
        <v>#N/A Requesting Data...</v>
      </c>
    </row>
    <row r="584" spans="1:20" x14ac:dyDescent="0.25">
      <c r="A584" t="str">
        <f>_xll.BDP("091096ML Muni","ID_CUSIP")</f>
        <v>#N/A Requesting Data...</v>
      </c>
      <c r="B584" t="s">
        <v>167</v>
      </c>
      <c r="C584" t="str">
        <f>_xll.BDP("091096ML Muni","INSURANCE_STATUS")</f>
        <v>#N/A Requesting Data...</v>
      </c>
      <c r="D584" t="str">
        <f>_xll.BDP("091096ML Muni","STATE_CODE")</f>
        <v>#N/A Requesting Data...</v>
      </c>
      <c r="E584" t="str">
        <f>_xll.BDP("091096ML Muni","COUNTY_LOCATION_ISSUER")</f>
        <v>#N/A Requesting Data...</v>
      </c>
      <c r="F584" t="str">
        <f>_xll.BDP("091096ML Muni","DUR_ADJ_MID")</f>
        <v>#N/A Requesting Data...</v>
      </c>
      <c r="G584" t="str">
        <f>_xll.BDP("091096ML Muni","SPREAD_AT_ISSUANCE_TO_WORST")</f>
        <v>#N/A Requesting Data...</v>
      </c>
      <c r="H584" t="str">
        <f>_xll.BDP("091096ML Muni","ISSUE_DT")</f>
        <v>#N/A Requesting Data...</v>
      </c>
      <c r="I584" t="str">
        <f>_xll.BDS("091096ML Muni","MUNI_PURPOSE_SCHED", "aggregate=y")</f>
        <v>#N/A Requesting Data...</v>
      </c>
      <c r="J584" t="str">
        <f>_xll.BDP("091096ML Muni","CPN")</f>
        <v>#N/A Requesting Data...</v>
      </c>
      <c r="K584" t="str">
        <f>_xll.BDP("091096ML Muni","MATURITY")</f>
        <v>#N/A Requesting Data...</v>
      </c>
      <c r="L584">
        <v>7350000</v>
      </c>
      <c r="M584" t="str">
        <f>_xll.BDP("091096ML Muni","YIELD_ON_ISSUE_DATE")</f>
        <v>#N/A Requesting Data...</v>
      </c>
      <c r="N584" t="str">
        <f>_xll.BDP("091096ML Muni","YTW_SPREAD_TO_MATURITY_AT_ISSU")</f>
        <v>#N/A Requesting Data...</v>
      </c>
      <c r="O584" t="str">
        <f>_xll.BDP("091096ML Muni","BVAL_MID_YTM")</f>
        <v>#N/A Requesting Data...</v>
      </c>
      <c r="P584" t="str">
        <f>_xll.BDP("091096ML Muni","MUNI_TAX_PROV")</f>
        <v>#N/A Requesting Data...</v>
      </c>
      <c r="Q584" t="str">
        <f>_xll.BDP("091096ML Muni","MUNI_FED_TAX")</f>
        <v>#N/A Requesting Data...</v>
      </c>
      <c r="R584" t="str">
        <f>_xll.BDP("091096ML Muni","MUNI_MSRB_VOLUME")</f>
        <v>#N/A Requesting Data...</v>
      </c>
      <c r="S584" t="str">
        <f>_xll.BDP("091096ML Muni","BB_COMPOSITE")</f>
        <v>#N/A Requesting Data...</v>
      </c>
      <c r="T584" t="str">
        <f>_xll.BDP("091096ML Muni","LQA_LIQUIDITY_SCORE")</f>
        <v>#N/A Requesting Data...</v>
      </c>
    </row>
    <row r="585" spans="1:20" x14ac:dyDescent="0.25">
      <c r="A585" t="str">
        <f>_xll.BDP("092765FS Muni","ID_CUSIP")</f>
        <v>#N/A Requesting Data...</v>
      </c>
      <c r="B585" t="s">
        <v>168</v>
      </c>
      <c r="C585" t="str">
        <f>_xll.BDP("092765FS Muni","INSURANCE_STATUS")</f>
        <v>#N/A Requesting Data...</v>
      </c>
      <c r="D585" t="str">
        <f>_xll.BDP("092765FS Muni","STATE_CODE")</f>
        <v>#N/A Requesting Data...</v>
      </c>
      <c r="E585" t="str">
        <f>_xll.BDP("092765FS Muni","COUNTY_LOCATION_ISSUER")</f>
        <v>#N/A Requesting Data...</v>
      </c>
      <c r="F585" t="str">
        <f>_xll.BDP("092765FS Muni","DUR_ADJ_MID")</f>
        <v>#N/A Requesting Data...</v>
      </c>
      <c r="G585" t="str">
        <f>_xll.BDP("092765FS Muni","SPREAD_AT_ISSUANCE_TO_WORST")</f>
        <v>#N/A Requesting Data...</v>
      </c>
      <c r="H585" t="str">
        <f>_xll.BDP("092765FS Muni","ISSUE_DT")</f>
        <v>#N/A Requesting Data...</v>
      </c>
      <c r="I585" t="str">
        <f>_xll.BDS("092765FS Muni","MUNI_PURPOSE_SCHED", "aggregate=y")</f>
        <v>#N/A Requesting Data...</v>
      </c>
      <c r="J585" t="str">
        <f>_xll.BDP("092765FS Muni","CPN")</f>
        <v>#N/A Requesting Data...</v>
      </c>
      <c r="K585" t="str">
        <f>_xll.BDP("092765FS Muni","MATURITY")</f>
        <v>#N/A Requesting Data...</v>
      </c>
      <c r="L585">
        <v>680000</v>
      </c>
      <c r="M585" t="str">
        <f>_xll.BDP("092765FS Muni","YIELD_ON_ISSUE_DATE")</f>
        <v>#N/A Requesting Data...</v>
      </c>
      <c r="N585" t="str">
        <f>_xll.BDP("092765FS Muni","YTW_SPREAD_TO_MATURITY_AT_ISSU")</f>
        <v>#N/A Requesting Data...</v>
      </c>
      <c r="O585" t="str">
        <f>_xll.BDP("092765FS Muni","BVAL_MID_YTM")</f>
        <v>#N/A Requesting Data...</v>
      </c>
      <c r="P585" t="str">
        <f>_xll.BDP("092765FS Muni","MUNI_TAX_PROV")</f>
        <v>#N/A Requesting Data...</v>
      </c>
      <c r="Q585" t="str">
        <f>_xll.BDP("092765FS Muni","MUNI_FED_TAX")</f>
        <v>#N/A Requesting Data...</v>
      </c>
      <c r="R585" t="str">
        <f>_xll.BDP("092765FS Muni","MUNI_MSRB_VOLUME")</f>
        <v>#N/A Requesting Data...</v>
      </c>
      <c r="S585" t="str">
        <f>_xll.BDP("092765FS Muni","BB_COMPOSITE")</f>
        <v>#N/A Requesting Data...</v>
      </c>
      <c r="T585" t="str">
        <f>_xll.BDP("092765FS Muni","LQA_LIQUIDITY_SCORE")</f>
        <v>#N/A Requesting Data...</v>
      </c>
    </row>
    <row r="586" spans="1:20" x14ac:dyDescent="0.25">
      <c r="A586" t="str">
        <f>_xll.BDP("092765FT Muni","ID_CUSIP")</f>
        <v>#N/A Requesting Data...</v>
      </c>
      <c r="B586" t="s">
        <v>168</v>
      </c>
      <c r="C586" t="str">
        <f>_xll.BDP("092765FT Muni","INSURANCE_STATUS")</f>
        <v>#N/A Requesting Data...</v>
      </c>
      <c r="D586" t="str">
        <f>_xll.BDP("092765FT Muni","STATE_CODE")</f>
        <v>#N/A Requesting Data...</v>
      </c>
      <c r="E586" t="str">
        <f>_xll.BDP("092765FT Muni","COUNTY_LOCATION_ISSUER")</f>
        <v>#N/A Requesting Data...</v>
      </c>
      <c r="F586" t="str">
        <f>_xll.BDP("092765FT Muni","DUR_ADJ_MID")</f>
        <v>#N/A Requesting Data...</v>
      </c>
      <c r="G586" t="str">
        <f>_xll.BDP("092765FT Muni","SPREAD_AT_ISSUANCE_TO_WORST")</f>
        <v>#N/A Requesting Data...</v>
      </c>
      <c r="H586" t="str">
        <f>_xll.BDP("092765FT Muni","ISSUE_DT")</f>
        <v>#N/A Requesting Data...</v>
      </c>
      <c r="I586" t="str">
        <f>_xll.BDS("092765FT Muni","MUNI_PURPOSE_SCHED", "aggregate=y")</f>
        <v>#N/A Requesting Data...</v>
      </c>
      <c r="J586" t="str">
        <f>_xll.BDP("092765FT Muni","CPN")</f>
        <v>#N/A Requesting Data...</v>
      </c>
      <c r="K586" t="str">
        <f>_xll.BDP("092765FT Muni","MATURITY")</f>
        <v>#N/A Requesting Data...</v>
      </c>
      <c r="L586">
        <v>1240000</v>
      </c>
      <c r="M586" t="str">
        <f>_xll.BDP("092765FT Muni","YIELD_ON_ISSUE_DATE")</f>
        <v>#N/A Requesting Data...</v>
      </c>
      <c r="N586" t="str">
        <f>_xll.BDP("092765FT Muni","YTW_SPREAD_TO_MATURITY_AT_ISSU")</f>
        <v>#N/A Requesting Data...</v>
      </c>
      <c r="O586" t="str">
        <f>_xll.BDP("092765FT Muni","BVAL_MID_YTM")</f>
        <v>#N/A Requesting Data...</v>
      </c>
      <c r="P586" t="str">
        <f>_xll.BDP("092765FT Muni","MUNI_TAX_PROV")</f>
        <v>#N/A Requesting Data...</v>
      </c>
      <c r="Q586" t="str">
        <f>_xll.BDP("092765FT Muni","MUNI_FED_TAX")</f>
        <v>#N/A Requesting Data...</v>
      </c>
      <c r="R586" t="str">
        <f>_xll.BDP("092765FT Muni","MUNI_MSRB_VOLUME")</f>
        <v>#N/A Requesting Data...</v>
      </c>
      <c r="S586" t="str">
        <f>_xll.BDP("092765FT Muni","BB_COMPOSITE")</f>
        <v>#N/A Requesting Data...</v>
      </c>
      <c r="T586" t="str">
        <f>_xll.BDP("092765FT Muni","LQA_LIQUIDITY_SCORE")</f>
        <v>#N/A Requesting Data...</v>
      </c>
    </row>
    <row r="587" spans="1:20" x14ac:dyDescent="0.25">
      <c r="A587" t="str">
        <f>_xll.BDP("092765FU Muni","ID_CUSIP")</f>
        <v>#N/A Requesting Data...</v>
      </c>
      <c r="B587" t="s">
        <v>168</v>
      </c>
      <c r="C587" t="str">
        <f>_xll.BDP("092765FU Muni","INSURANCE_STATUS")</f>
        <v>#N/A Requesting Data...</v>
      </c>
      <c r="D587" t="str">
        <f>_xll.BDP("092765FU Muni","STATE_CODE")</f>
        <v>#N/A Requesting Data...</v>
      </c>
      <c r="E587" t="str">
        <f>_xll.BDP("092765FU Muni","COUNTY_LOCATION_ISSUER")</f>
        <v>#N/A Requesting Data...</v>
      </c>
      <c r="F587" t="str">
        <f>_xll.BDP("092765FU Muni","DUR_ADJ_MID")</f>
        <v>#N/A Requesting Data...</v>
      </c>
      <c r="G587" t="str">
        <f>_xll.BDP("092765FU Muni","SPREAD_AT_ISSUANCE_TO_WORST")</f>
        <v>#N/A Requesting Data...</v>
      </c>
      <c r="H587" t="str">
        <f>_xll.BDP("092765FU Muni","ISSUE_DT")</f>
        <v>#N/A Requesting Data...</v>
      </c>
      <c r="I587" t="str">
        <f>_xll.BDS("092765FU Muni","MUNI_PURPOSE_SCHED", "aggregate=y")</f>
        <v>#N/A Requesting Data...</v>
      </c>
      <c r="J587" t="str">
        <f>_xll.BDP("092765FU Muni","CPN")</f>
        <v>#N/A Requesting Data...</v>
      </c>
      <c r="K587" t="str">
        <f>_xll.BDP("092765FU Muni","MATURITY")</f>
        <v>#N/A Requesting Data...</v>
      </c>
      <c r="L587">
        <v>1300000</v>
      </c>
      <c r="M587" t="str">
        <f>_xll.BDP("092765FU Muni","YIELD_ON_ISSUE_DATE")</f>
        <v>#N/A Requesting Data...</v>
      </c>
      <c r="N587" t="str">
        <f>_xll.BDP("092765FU Muni","YTW_SPREAD_TO_MATURITY_AT_ISSU")</f>
        <v>#N/A Requesting Data...</v>
      </c>
      <c r="O587" t="str">
        <f>_xll.BDP("092765FU Muni","BVAL_MID_YTM")</f>
        <v>#N/A Requesting Data...</v>
      </c>
      <c r="P587" t="str">
        <f>_xll.BDP("092765FU Muni","MUNI_TAX_PROV")</f>
        <v>#N/A Requesting Data...</v>
      </c>
      <c r="Q587" t="str">
        <f>_xll.BDP("092765FU Muni","MUNI_FED_TAX")</f>
        <v>#N/A Requesting Data...</v>
      </c>
      <c r="R587" t="str">
        <f>_xll.BDP("092765FU Muni","MUNI_MSRB_VOLUME")</f>
        <v>#N/A Requesting Data...</v>
      </c>
      <c r="S587" t="str">
        <f>_xll.BDP("092765FU Muni","BB_COMPOSITE")</f>
        <v>#N/A Requesting Data...</v>
      </c>
      <c r="T587" t="str">
        <f>_xll.BDP("092765FU Muni","LQA_LIQUIDITY_SCORE")</f>
        <v>#N/A Requesting Data...</v>
      </c>
    </row>
    <row r="588" spans="1:20" x14ac:dyDescent="0.25">
      <c r="A588" t="str">
        <f>_xll.BDP("092765FV Muni","ID_CUSIP")</f>
        <v>#N/A Requesting Data...</v>
      </c>
      <c r="B588" t="s">
        <v>168</v>
      </c>
      <c r="C588" t="str">
        <f>_xll.BDP("092765FV Muni","INSURANCE_STATUS")</f>
        <v>#N/A Requesting Data...</v>
      </c>
      <c r="D588" t="str">
        <f>_xll.BDP("092765FV Muni","STATE_CODE")</f>
        <v>#N/A Requesting Data...</v>
      </c>
      <c r="E588" t="str">
        <f>_xll.BDP("092765FV Muni","COUNTY_LOCATION_ISSUER")</f>
        <v>#N/A Requesting Data...</v>
      </c>
      <c r="F588" t="str">
        <f>_xll.BDP("092765FV Muni","DUR_ADJ_MID")</f>
        <v>#N/A Requesting Data...</v>
      </c>
      <c r="G588" t="str">
        <f>_xll.BDP("092765FV Muni","SPREAD_AT_ISSUANCE_TO_WORST")</f>
        <v>#N/A Requesting Data...</v>
      </c>
      <c r="H588" t="str">
        <f>_xll.BDP("092765FV Muni","ISSUE_DT")</f>
        <v>#N/A Requesting Data...</v>
      </c>
      <c r="I588" t="str">
        <f>_xll.BDS("092765FV Muni","MUNI_PURPOSE_SCHED", "aggregate=y")</f>
        <v>#N/A Requesting Data...</v>
      </c>
      <c r="J588" t="str">
        <f>_xll.BDP("092765FV Muni","CPN")</f>
        <v>#N/A Requesting Data...</v>
      </c>
      <c r="K588" t="str">
        <f>_xll.BDP("092765FV Muni","MATURITY")</f>
        <v>#N/A Requesting Data...</v>
      </c>
      <c r="L588">
        <v>1370000</v>
      </c>
      <c r="M588" t="str">
        <f>_xll.BDP("092765FV Muni","YIELD_ON_ISSUE_DATE")</f>
        <v>#N/A Requesting Data...</v>
      </c>
      <c r="N588" t="str">
        <f>_xll.BDP("092765FV Muni","YTW_SPREAD_TO_MATURITY_AT_ISSU")</f>
        <v>#N/A Requesting Data...</v>
      </c>
      <c r="O588" t="str">
        <f>_xll.BDP("092765FV Muni","BVAL_MID_YTM")</f>
        <v>#N/A Requesting Data...</v>
      </c>
      <c r="P588" t="str">
        <f>_xll.BDP("092765FV Muni","MUNI_TAX_PROV")</f>
        <v>#N/A Requesting Data...</v>
      </c>
      <c r="Q588" t="str">
        <f>_xll.BDP("092765FV Muni","MUNI_FED_TAX")</f>
        <v>#N/A Requesting Data...</v>
      </c>
      <c r="R588" t="str">
        <f>_xll.BDP("092765FV Muni","MUNI_MSRB_VOLUME")</f>
        <v>#N/A Requesting Data...</v>
      </c>
      <c r="S588" t="str">
        <f>_xll.BDP("092765FV Muni","BB_COMPOSITE")</f>
        <v>#N/A Requesting Data...</v>
      </c>
      <c r="T588" t="str">
        <f>_xll.BDP("092765FV Muni","LQA_LIQUIDITY_SCORE")</f>
        <v>#N/A Requesting Data...</v>
      </c>
    </row>
    <row r="589" spans="1:20" x14ac:dyDescent="0.25">
      <c r="A589" t="str">
        <f>_xll.BDP("092765FW Muni","ID_CUSIP")</f>
        <v>#N/A Requesting Data...</v>
      </c>
      <c r="B589" t="s">
        <v>168</v>
      </c>
      <c r="C589" t="str">
        <f>_xll.BDP("092765FW Muni","INSURANCE_STATUS")</f>
        <v>#N/A Requesting Data...</v>
      </c>
      <c r="D589" t="str">
        <f>_xll.BDP("092765FW Muni","STATE_CODE")</f>
        <v>#N/A Requesting Data...</v>
      </c>
      <c r="E589" t="str">
        <f>_xll.BDP("092765FW Muni","COUNTY_LOCATION_ISSUER")</f>
        <v>#N/A Requesting Data...</v>
      </c>
      <c r="F589" t="str">
        <f>_xll.BDP("092765FW Muni","DUR_ADJ_MID")</f>
        <v>#N/A Requesting Data...</v>
      </c>
      <c r="G589" t="str">
        <f>_xll.BDP("092765FW Muni","SPREAD_AT_ISSUANCE_TO_WORST")</f>
        <v>#N/A Requesting Data...</v>
      </c>
      <c r="H589" t="str">
        <f>_xll.BDP("092765FW Muni","ISSUE_DT")</f>
        <v>#N/A Requesting Data...</v>
      </c>
      <c r="I589" t="str">
        <f>_xll.BDS("092765FW Muni","MUNI_PURPOSE_SCHED", "aggregate=y")</f>
        <v>#N/A Requesting Data...</v>
      </c>
      <c r="J589" t="str">
        <f>_xll.BDP("092765FW Muni","CPN")</f>
        <v>#N/A Requesting Data...</v>
      </c>
      <c r="K589" t="str">
        <f>_xll.BDP("092765FW Muni","MATURITY")</f>
        <v>#N/A Requesting Data...</v>
      </c>
      <c r="L589">
        <v>1435000</v>
      </c>
      <c r="M589" t="str">
        <f>_xll.BDP("092765FW Muni","YIELD_ON_ISSUE_DATE")</f>
        <v>#N/A Requesting Data...</v>
      </c>
      <c r="N589" t="str">
        <f>_xll.BDP("092765FW Muni","YTW_SPREAD_TO_MATURITY_AT_ISSU")</f>
        <v>#N/A Requesting Data...</v>
      </c>
      <c r="O589" t="str">
        <f>_xll.BDP("092765FW Muni","BVAL_MID_YTM")</f>
        <v>#N/A Requesting Data...</v>
      </c>
      <c r="P589" t="str">
        <f>_xll.BDP("092765FW Muni","MUNI_TAX_PROV")</f>
        <v>#N/A Requesting Data...</v>
      </c>
      <c r="Q589" t="str">
        <f>_xll.BDP("092765FW Muni","MUNI_FED_TAX")</f>
        <v>#N/A Requesting Data...</v>
      </c>
      <c r="R589" t="str">
        <f>_xll.BDP("092765FW Muni","MUNI_MSRB_VOLUME")</f>
        <v>#N/A Requesting Data...</v>
      </c>
      <c r="S589" t="str">
        <f>_xll.BDP("092765FW Muni","BB_COMPOSITE")</f>
        <v>#N/A Requesting Data...</v>
      </c>
      <c r="T589" t="str">
        <f>_xll.BDP("092765FW Muni","LQA_LIQUIDITY_SCORE")</f>
        <v>#N/A Requesting Data...</v>
      </c>
    </row>
    <row r="590" spans="1:20" x14ac:dyDescent="0.25">
      <c r="A590" t="str">
        <f>_xll.BDP("092765FX Muni","ID_CUSIP")</f>
        <v>#N/A Requesting Data...</v>
      </c>
      <c r="B590" t="s">
        <v>168</v>
      </c>
      <c r="C590" t="str">
        <f>_xll.BDP("092765FX Muni","INSURANCE_STATUS")</f>
        <v>#N/A Requesting Data...</v>
      </c>
      <c r="D590" t="str">
        <f>_xll.BDP("092765FX Muni","STATE_CODE")</f>
        <v>#N/A Requesting Data...</v>
      </c>
      <c r="E590" t="str">
        <f>_xll.BDP("092765FX Muni","COUNTY_LOCATION_ISSUER")</f>
        <v>#N/A Requesting Data...</v>
      </c>
      <c r="F590" t="str">
        <f>_xll.BDP("092765FX Muni","DUR_ADJ_MID")</f>
        <v>#N/A Requesting Data...</v>
      </c>
      <c r="G590" t="str">
        <f>_xll.BDP("092765FX Muni","SPREAD_AT_ISSUANCE_TO_WORST")</f>
        <v>#N/A Requesting Data...</v>
      </c>
      <c r="H590" t="str">
        <f>_xll.BDP("092765FX Muni","ISSUE_DT")</f>
        <v>#N/A Requesting Data...</v>
      </c>
      <c r="I590" t="str">
        <f>_xll.BDS("092765FX Muni","MUNI_PURPOSE_SCHED", "aggregate=y")</f>
        <v>#N/A Requesting Data...</v>
      </c>
      <c r="J590" t="str">
        <f>_xll.BDP("092765FX Muni","CPN")</f>
        <v>#N/A Requesting Data...</v>
      </c>
      <c r="K590" t="str">
        <f>_xll.BDP("092765FX Muni","MATURITY")</f>
        <v>#N/A Requesting Data...</v>
      </c>
      <c r="L590">
        <v>1510000</v>
      </c>
      <c r="M590" t="str">
        <f>_xll.BDP("092765FX Muni","YIELD_ON_ISSUE_DATE")</f>
        <v>#N/A Requesting Data...</v>
      </c>
      <c r="N590" t="str">
        <f>_xll.BDP("092765FX Muni","YTW_SPREAD_TO_MATURITY_AT_ISSU")</f>
        <v>#N/A Requesting Data...</v>
      </c>
      <c r="O590" t="str">
        <f>_xll.BDP("092765FX Muni","BVAL_MID_YTM")</f>
        <v>#N/A Requesting Data...</v>
      </c>
      <c r="P590" t="str">
        <f>_xll.BDP("092765FX Muni","MUNI_TAX_PROV")</f>
        <v>#N/A Requesting Data...</v>
      </c>
      <c r="Q590" t="str">
        <f>_xll.BDP("092765FX Muni","MUNI_FED_TAX")</f>
        <v>#N/A Requesting Data...</v>
      </c>
      <c r="R590" t="str">
        <f>_xll.BDP("092765FX Muni","MUNI_MSRB_VOLUME")</f>
        <v>#N/A Requesting Data...</v>
      </c>
      <c r="S590" t="str">
        <f>_xll.BDP("092765FX Muni","BB_COMPOSITE")</f>
        <v>#N/A Requesting Data...</v>
      </c>
      <c r="T590" t="str">
        <f>_xll.BDP("092765FX Muni","LQA_LIQUIDITY_SCORE")</f>
        <v>#N/A Requesting Data...</v>
      </c>
    </row>
    <row r="591" spans="1:20" x14ac:dyDescent="0.25">
      <c r="A591" t="str">
        <f>_xll.BDP("239878CU Muni","ID_CUSIP")</f>
        <v>#N/A Requesting Data...</v>
      </c>
      <c r="B591" t="s">
        <v>169</v>
      </c>
      <c r="C591" t="str">
        <f>_xll.BDP("239878CU Muni","INSURANCE_STATUS")</f>
        <v>#N/A Requesting Data...</v>
      </c>
      <c r="D591" t="str">
        <f>_xll.BDP("239878CU Muni","STATE_CODE")</f>
        <v>#N/A Requesting Data...</v>
      </c>
      <c r="E591" t="str">
        <f>_xll.BDP("239878CU Muni","COUNTY_LOCATION_ISSUER")</f>
        <v>#N/A Requesting Data...</v>
      </c>
      <c r="F591" t="str">
        <f>_xll.BDP("239878CU Muni","DUR_ADJ_MID")</f>
        <v>#N/A Requesting Data...</v>
      </c>
      <c r="G591" t="str">
        <f>_xll.BDP("239878CU Muni","SPREAD_AT_ISSUANCE_TO_WORST")</f>
        <v>#N/A Requesting Data...</v>
      </c>
      <c r="H591" t="str">
        <f>_xll.BDP("239878CU Muni","ISSUE_DT")</f>
        <v>#N/A Requesting Data...</v>
      </c>
      <c r="I591" t="str">
        <f>_xll.BDS("239878CU Muni","MUNI_PURPOSE_SCHED", "aggregate=y")</f>
        <v>#N/A Requesting Data...</v>
      </c>
      <c r="J591" t="str">
        <f>_xll.BDP("239878CU Muni","CPN")</f>
        <v>#N/A Requesting Data...</v>
      </c>
      <c r="K591" t="str">
        <f>_xll.BDP("239878CU Muni","MATURITY")</f>
        <v>#N/A Requesting Data...</v>
      </c>
      <c r="L591">
        <v>625000</v>
      </c>
      <c r="M591" t="str">
        <f>_xll.BDP("239878CU Muni","YIELD_ON_ISSUE_DATE")</f>
        <v>#N/A Requesting Data...</v>
      </c>
      <c r="N591" t="str">
        <f>_xll.BDP("239878CU Muni","YTW_SPREAD_TO_MATURITY_AT_ISSU")</f>
        <v>#N/A Requesting Data...</v>
      </c>
      <c r="O591" t="str">
        <f>_xll.BDP("239878CU Muni","BVAL_MID_YTM")</f>
        <v>#N/A Requesting Data...</v>
      </c>
      <c r="P591" t="str">
        <f>_xll.BDP("239878CU Muni","MUNI_TAX_PROV")</f>
        <v>#N/A Requesting Data...</v>
      </c>
      <c r="Q591" t="str">
        <f>_xll.BDP("239878CU Muni","MUNI_FED_TAX")</f>
        <v>#N/A Requesting Data...</v>
      </c>
      <c r="R591" t="str">
        <f>_xll.BDP("239878CU Muni","MUNI_MSRB_VOLUME")</f>
        <v>#N/A Requesting Data...</v>
      </c>
      <c r="S591" t="str">
        <f>_xll.BDP("239878CU Muni","BB_COMPOSITE")</f>
        <v>#N/A Requesting Data...</v>
      </c>
      <c r="T591" t="str">
        <f>_xll.BDP("239878CU Muni","LQA_LIQUIDITY_SCORE")</f>
        <v>#N/A Requesting Data...</v>
      </c>
    </row>
    <row r="592" spans="1:20" x14ac:dyDescent="0.25">
      <c r="A592" t="str">
        <f>_xll.BDP("239878CV Muni","ID_CUSIP")</f>
        <v>#N/A Requesting Data...</v>
      </c>
      <c r="B592" t="s">
        <v>169</v>
      </c>
      <c r="C592" t="str">
        <f>_xll.BDP("239878CV Muni","INSURANCE_STATUS")</f>
        <v>#N/A Requesting Data...</v>
      </c>
      <c r="D592" t="str">
        <f>_xll.BDP("239878CV Muni","STATE_CODE")</f>
        <v>#N/A Requesting Data...</v>
      </c>
      <c r="E592" t="str">
        <f>_xll.BDP("239878CV Muni","COUNTY_LOCATION_ISSUER")</f>
        <v>#N/A Requesting Data...</v>
      </c>
      <c r="F592" t="str">
        <f>_xll.BDP("239878CV Muni","DUR_ADJ_MID")</f>
        <v>#N/A Requesting Data...</v>
      </c>
      <c r="G592" t="str">
        <f>_xll.BDP("239878CV Muni","SPREAD_AT_ISSUANCE_TO_WORST")</f>
        <v>#N/A Requesting Data...</v>
      </c>
      <c r="H592" t="str">
        <f>_xll.BDP("239878CV Muni","ISSUE_DT")</f>
        <v>#N/A Requesting Data...</v>
      </c>
      <c r="I592" t="str">
        <f>_xll.BDS("239878CV Muni","MUNI_PURPOSE_SCHED", "aggregate=y")</f>
        <v>#N/A Requesting Data...</v>
      </c>
      <c r="J592" t="str">
        <f>_xll.BDP("239878CV Muni","CPN")</f>
        <v>#N/A Requesting Data...</v>
      </c>
      <c r="K592" t="str">
        <f>_xll.BDP("239878CV Muni","MATURITY")</f>
        <v>#N/A Requesting Data...</v>
      </c>
      <c r="L592">
        <v>650000</v>
      </c>
      <c r="M592" t="str">
        <f>_xll.BDP("239878CV Muni","YIELD_ON_ISSUE_DATE")</f>
        <v>#N/A Requesting Data...</v>
      </c>
      <c r="N592" t="str">
        <f>_xll.BDP("239878CV Muni","YTW_SPREAD_TO_MATURITY_AT_ISSU")</f>
        <v>#N/A Requesting Data...</v>
      </c>
      <c r="O592" t="str">
        <f>_xll.BDP("239878CV Muni","BVAL_MID_YTM")</f>
        <v>#N/A Requesting Data...</v>
      </c>
      <c r="P592" t="str">
        <f>_xll.BDP("239878CV Muni","MUNI_TAX_PROV")</f>
        <v>#N/A Requesting Data...</v>
      </c>
      <c r="Q592" t="str">
        <f>_xll.BDP("239878CV Muni","MUNI_FED_TAX")</f>
        <v>#N/A Requesting Data...</v>
      </c>
      <c r="R592" t="str">
        <f>_xll.BDP("239878CV Muni","MUNI_MSRB_VOLUME")</f>
        <v>#N/A Requesting Data...</v>
      </c>
      <c r="S592" t="str">
        <f>_xll.BDP("239878CV Muni","BB_COMPOSITE")</f>
        <v>#N/A Requesting Data...</v>
      </c>
      <c r="T592" t="str">
        <f>_xll.BDP("239878CV Muni","LQA_LIQUIDITY_SCORE")</f>
        <v>#N/A Requesting Data...</v>
      </c>
    </row>
    <row r="593" spans="1:20" x14ac:dyDescent="0.25">
      <c r="A593" t="str">
        <f>_xll.BDP("239878CW Muni","ID_CUSIP")</f>
        <v>#N/A Requesting Data...</v>
      </c>
      <c r="B593" t="s">
        <v>169</v>
      </c>
      <c r="C593" t="str">
        <f>_xll.BDP("239878CW Muni","INSURANCE_STATUS")</f>
        <v>#N/A Requesting Data...</v>
      </c>
      <c r="D593" t="str">
        <f>_xll.BDP("239878CW Muni","STATE_CODE")</f>
        <v>#N/A Requesting Data...</v>
      </c>
      <c r="E593" t="str">
        <f>_xll.BDP("239878CW Muni","COUNTY_LOCATION_ISSUER")</f>
        <v>#N/A Requesting Data...</v>
      </c>
      <c r="F593" t="str">
        <f>_xll.BDP("239878CW Muni","DUR_ADJ_MID")</f>
        <v>#N/A Requesting Data...</v>
      </c>
      <c r="G593" t="str">
        <f>_xll.BDP("239878CW Muni","SPREAD_AT_ISSUANCE_TO_WORST")</f>
        <v>#N/A Requesting Data...</v>
      </c>
      <c r="H593" t="str">
        <f>_xll.BDP("239878CW Muni","ISSUE_DT")</f>
        <v>#N/A Requesting Data...</v>
      </c>
      <c r="I593" t="str">
        <f>_xll.BDS("239878CW Muni","MUNI_PURPOSE_SCHED", "aggregate=y")</f>
        <v>#N/A Requesting Data...</v>
      </c>
      <c r="J593" t="str">
        <f>_xll.BDP("239878CW Muni","CPN")</f>
        <v>#N/A Requesting Data...</v>
      </c>
      <c r="K593" t="str">
        <f>_xll.BDP("239878CW Muni","MATURITY")</f>
        <v>#N/A Requesting Data...</v>
      </c>
      <c r="L593">
        <v>675000</v>
      </c>
      <c r="M593" t="str">
        <f>_xll.BDP("239878CW Muni","YIELD_ON_ISSUE_DATE")</f>
        <v>#N/A Requesting Data...</v>
      </c>
      <c r="N593" t="str">
        <f>_xll.BDP("239878CW Muni","YTW_SPREAD_TO_MATURITY_AT_ISSU")</f>
        <v>#N/A Requesting Data...</v>
      </c>
      <c r="O593" t="str">
        <f>_xll.BDP("239878CW Muni","BVAL_MID_YTM")</f>
        <v>#N/A Requesting Data...</v>
      </c>
      <c r="P593" t="str">
        <f>_xll.BDP("239878CW Muni","MUNI_TAX_PROV")</f>
        <v>#N/A Requesting Data...</v>
      </c>
      <c r="Q593" t="str">
        <f>_xll.BDP("239878CW Muni","MUNI_FED_TAX")</f>
        <v>#N/A Requesting Data...</v>
      </c>
      <c r="R593" t="str">
        <f>_xll.BDP("239878CW Muni","MUNI_MSRB_VOLUME")</f>
        <v>#N/A Requesting Data...</v>
      </c>
      <c r="S593" t="str">
        <f>_xll.BDP("239878CW Muni","BB_COMPOSITE")</f>
        <v>#N/A Requesting Data...</v>
      </c>
      <c r="T593" t="str">
        <f>_xll.BDP("239878CW Muni","LQA_LIQUIDITY_SCORE")</f>
        <v>#N/A Requesting Data...</v>
      </c>
    </row>
    <row r="594" spans="1:20" x14ac:dyDescent="0.25">
      <c r="A594" t="str">
        <f>_xll.BDP("239878CX Muni","ID_CUSIP")</f>
        <v>#N/A Requesting Data...</v>
      </c>
      <c r="B594" t="s">
        <v>169</v>
      </c>
      <c r="C594" t="str">
        <f>_xll.BDP("239878CX Muni","INSURANCE_STATUS")</f>
        <v>#N/A Requesting Data...</v>
      </c>
      <c r="D594" t="str">
        <f>_xll.BDP("239878CX Muni","STATE_CODE")</f>
        <v>#N/A Requesting Data...</v>
      </c>
      <c r="E594" t="str">
        <f>_xll.BDP("239878CX Muni","COUNTY_LOCATION_ISSUER")</f>
        <v>#N/A Requesting Data...</v>
      </c>
      <c r="F594" t="str">
        <f>_xll.BDP("239878CX Muni","DUR_ADJ_MID")</f>
        <v>#N/A Requesting Data...</v>
      </c>
      <c r="G594" t="str">
        <f>_xll.BDP("239878CX Muni","SPREAD_AT_ISSUANCE_TO_WORST")</f>
        <v>#N/A Requesting Data...</v>
      </c>
      <c r="H594" t="str">
        <f>_xll.BDP("239878CX Muni","ISSUE_DT")</f>
        <v>#N/A Requesting Data...</v>
      </c>
      <c r="I594" t="str">
        <f>_xll.BDS("239878CX Muni","MUNI_PURPOSE_SCHED", "aggregate=y")</f>
        <v>#N/A Requesting Data...</v>
      </c>
      <c r="J594" t="str">
        <f>_xll.BDP("239878CX Muni","CPN")</f>
        <v>#N/A Requesting Data...</v>
      </c>
      <c r="K594" t="str">
        <f>_xll.BDP("239878CX Muni","MATURITY")</f>
        <v>#N/A Requesting Data...</v>
      </c>
      <c r="L594">
        <v>700000</v>
      </c>
      <c r="M594" t="str">
        <f>_xll.BDP("239878CX Muni","YIELD_ON_ISSUE_DATE")</f>
        <v>#N/A Requesting Data...</v>
      </c>
      <c r="N594" t="str">
        <f>_xll.BDP("239878CX Muni","YTW_SPREAD_TO_MATURITY_AT_ISSU")</f>
        <v>#N/A Requesting Data...</v>
      </c>
      <c r="O594" t="str">
        <f>_xll.BDP("239878CX Muni","BVAL_MID_YTM")</f>
        <v>#N/A Requesting Data...</v>
      </c>
      <c r="P594" t="str">
        <f>_xll.BDP("239878CX Muni","MUNI_TAX_PROV")</f>
        <v>#N/A Requesting Data...</v>
      </c>
      <c r="Q594" t="str">
        <f>_xll.BDP("239878CX Muni","MUNI_FED_TAX")</f>
        <v>#N/A Requesting Data...</v>
      </c>
      <c r="R594" t="str">
        <f>_xll.BDP("239878CX Muni","MUNI_MSRB_VOLUME")</f>
        <v>#N/A Requesting Data...</v>
      </c>
      <c r="S594" t="str">
        <f>_xll.BDP("239878CX Muni","BB_COMPOSITE")</f>
        <v>#N/A Requesting Data...</v>
      </c>
      <c r="T594" t="str">
        <f>_xll.BDP("239878CX Muni","LQA_LIQUIDITY_SCORE")</f>
        <v>#N/A Requesting Data...</v>
      </c>
    </row>
    <row r="595" spans="1:20" x14ac:dyDescent="0.25">
      <c r="A595" t="str">
        <f>_xll.BDP("239878CY Muni","ID_CUSIP")</f>
        <v>#N/A Requesting Data...</v>
      </c>
      <c r="B595" t="s">
        <v>169</v>
      </c>
      <c r="C595" t="str">
        <f>_xll.BDP("239878CY Muni","INSURANCE_STATUS")</f>
        <v>#N/A Requesting Data...</v>
      </c>
      <c r="D595" t="str">
        <f>_xll.BDP("239878CY Muni","STATE_CODE")</f>
        <v>#N/A Requesting Data...</v>
      </c>
      <c r="E595" t="str">
        <f>_xll.BDP("239878CY Muni","COUNTY_LOCATION_ISSUER")</f>
        <v>#N/A Requesting Data...</v>
      </c>
      <c r="F595" t="str">
        <f>_xll.BDP("239878CY Muni","DUR_ADJ_MID")</f>
        <v>#N/A Requesting Data...</v>
      </c>
      <c r="G595" t="str">
        <f>_xll.BDP("239878CY Muni","SPREAD_AT_ISSUANCE_TO_WORST")</f>
        <v>#N/A Requesting Data...</v>
      </c>
      <c r="H595" t="str">
        <f>_xll.BDP("239878CY Muni","ISSUE_DT")</f>
        <v>#N/A Requesting Data...</v>
      </c>
      <c r="I595" t="str">
        <f>_xll.BDS("239878CY Muni","MUNI_PURPOSE_SCHED", "aggregate=y")</f>
        <v>#N/A Requesting Data...</v>
      </c>
      <c r="J595" t="str">
        <f>_xll.BDP("239878CY Muni","CPN")</f>
        <v>#N/A Requesting Data...</v>
      </c>
      <c r="K595" t="str">
        <f>_xll.BDP("239878CY Muni","MATURITY")</f>
        <v>#N/A Requesting Data...</v>
      </c>
      <c r="L595">
        <v>725000</v>
      </c>
      <c r="M595" t="str">
        <f>_xll.BDP("239878CY Muni","YIELD_ON_ISSUE_DATE")</f>
        <v>#N/A Requesting Data...</v>
      </c>
      <c r="N595" t="str">
        <f>_xll.BDP("239878CY Muni","YTW_SPREAD_TO_MATURITY_AT_ISSU")</f>
        <v>#N/A Requesting Data...</v>
      </c>
      <c r="O595" t="str">
        <f>_xll.BDP("239878CY Muni","BVAL_MID_YTM")</f>
        <v>#N/A Requesting Data...</v>
      </c>
      <c r="P595" t="str">
        <f>_xll.BDP("239878CY Muni","MUNI_TAX_PROV")</f>
        <v>#N/A Requesting Data...</v>
      </c>
      <c r="Q595" t="str">
        <f>_xll.BDP("239878CY Muni","MUNI_FED_TAX")</f>
        <v>#N/A Requesting Data...</v>
      </c>
      <c r="R595" t="str">
        <f>_xll.BDP("239878CY Muni","MUNI_MSRB_VOLUME")</f>
        <v>#N/A Requesting Data...</v>
      </c>
      <c r="S595" t="str">
        <f>_xll.BDP("239878CY Muni","BB_COMPOSITE")</f>
        <v>#N/A Requesting Data...</v>
      </c>
      <c r="T595" t="str">
        <f>_xll.BDP("239878CY Muni","LQA_LIQUIDITY_SCORE")</f>
        <v>#N/A Requesting Data...</v>
      </c>
    </row>
    <row r="596" spans="1:20" x14ac:dyDescent="0.25">
      <c r="A596" t="str">
        <f>_xll.BDP("240037MX Muni","ID_CUSIP")</f>
        <v>#N/A Requesting Data...</v>
      </c>
      <c r="B596" t="s">
        <v>170</v>
      </c>
      <c r="C596" t="str">
        <f>_xll.BDP("240037MX Muni","INSURANCE_STATUS")</f>
        <v>#N/A Requesting Data...</v>
      </c>
      <c r="D596" t="str">
        <f>_xll.BDP("240037MX Muni","STATE_CODE")</f>
        <v>#N/A Requesting Data...</v>
      </c>
      <c r="E596" t="str">
        <f>_xll.BDP("240037MX Muni","COUNTY_LOCATION_ISSUER")</f>
        <v>#N/A Requesting Data...</v>
      </c>
      <c r="F596" t="str">
        <f>_xll.BDP("240037MX Muni","DUR_ADJ_MID")</f>
        <v>#N/A Requesting Data...</v>
      </c>
      <c r="G596" t="str">
        <f>_xll.BDP("240037MX Muni","SPREAD_AT_ISSUANCE_TO_WORST")</f>
        <v>#N/A Requesting Data...</v>
      </c>
      <c r="H596" t="str">
        <f>_xll.BDP("240037MX Muni","ISSUE_DT")</f>
        <v>#N/A Requesting Data...</v>
      </c>
      <c r="I596" t="str">
        <f>_xll.BDS("240037MX Muni","MUNI_PURPOSE_SCHED", "aggregate=y")</f>
        <v>#N/A Requesting Data...</v>
      </c>
      <c r="J596" t="str">
        <f>_xll.BDP("240037MX Muni","CPN")</f>
        <v>#N/A Requesting Data...</v>
      </c>
      <c r="K596" t="str">
        <f>_xll.BDP("240037MX Muni","MATURITY")</f>
        <v>#N/A Requesting Data...</v>
      </c>
      <c r="L596">
        <v>105000</v>
      </c>
      <c r="M596" t="str">
        <f>_xll.BDP("240037MX Muni","YIELD_ON_ISSUE_DATE")</f>
        <v>#N/A Requesting Data...</v>
      </c>
      <c r="N596" t="str">
        <f>_xll.BDP("240037MX Muni","YTW_SPREAD_TO_MATURITY_AT_ISSU")</f>
        <v>#N/A Requesting Data...</v>
      </c>
      <c r="O596" t="str">
        <f>_xll.BDP("240037MX Muni","BVAL_MID_YTM")</f>
        <v>#N/A Requesting Data...</v>
      </c>
      <c r="P596" t="str">
        <f>_xll.BDP("240037MX Muni","MUNI_TAX_PROV")</f>
        <v>#N/A Requesting Data...</v>
      </c>
      <c r="Q596" t="str">
        <f>_xll.BDP("240037MX Muni","MUNI_FED_TAX")</f>
        <v>#N/A Requesting Data...</v>
      </c>
      <c r="R596" t="str">
        <f>_xll.BDP("240037MX Muni","MUNI_MSRB_VOLUME")</f>
        <v>#N/A Requesting Data...</v>
      </c>
      <c r="S596" t="str">
        <f>_xll.BDP("240037MX Muni","BB_COMPOSITE")</f>
        <v>#N/A Requesting Data...</v>
      </c>
      <c r="T596" t="str">
        <f>_xll.BDP("240037MX Muni","LQA_LIQUIDITY_SCORE")</f>
        <v>#N/A Requesting Data...</v>
      </c>
    </row>
    <row r="597" spans="1:20" x14ac:dyDescent="0.25">
      <c r="A597" t="str">
        <f>_xll.BDP("240037MY Muni","ID_CUSIP")</f>
        <v>#N/A Requesting Data...</v>
      </c>
      <c r="B597" t="s">
        <v>170</v>
      </c>
      <c r="C597" t="str">
        <f>_xll.BDP("240037MY Muni","INSURANCE_STATUS")</f>
        <v>#N/A Requesting Data...</v>
      </c>
      <c r="D597" t="str">
        <f>_xll.BDP("240037MY Muni","STATE_CODE")</f>
        <v>#N/A Requesting Data...</v>
      </c>
      <c r="E597" t="str">
        <f>_xll.BDP("240037MY Muni","COUNTY_LOCATION_ISSUER")</f>
        <v>#N/A Requesting Data...</v>
      </c>
      <c r="F597" t="str">
        <f>_xll.BDP("240037MY Muni","DUR_ADJ_MID")</f>
        <v>#N/A Requesting Data...</v>
      </c>
      <c r="G597" t="str">
        <f>_xll.BDP("240037MY Muni","SPREAD_AT_ISSUANCE_TO_WORST")</f>
        <v>#N/A Requesting Data...</v>
      </c>
      <c r="H597" t="str">
        <f>_xll.BDP("240037MY Muni","ISSUE_DT")</f>
        <v>#N/A Requesting Data...</v>
      </c>
      <c r="I597" t="str">
        <f>_xll.BDS("240037MY Muni","MUNI_PURPOSE_SCHED", "aggregate=y")</f>
        <v>#N/A Requesting Data...</v>
      </c>
      <c r="J597" t="str">
        <f>_xll.BDP("240037MY Muni","CPN")</f>
        <v>#N/A Requesting Data...</v>
      </c>
      <c r="K597" t="str">
        <f>_xll.BDP("240037MY Muni","MATURITY")</f>
        <v>#N/A Requesting Data...</v>
      </c>
      <c r="L597">
        <v>110000</v>
      </c>
      <c r="M597" t="str">
        <f>_xll.BDP("240037MY Muni","YIELD_ON_ISSUE_DATE")</f>
        <v>#N/A Requesting Data...</v>
      </c>
      <c r="N597" t="str">
        <f>_xll.BDP("240037MY Muni","YTW_SPREAD_TO_MATURITY_AT_ISSU")</f>
        <v>#N/A Requesting Data...</v>
      </c>
      <c r="O597" t="str">
        <f>_xll.BDP("240037MY Muni","BVAL_MID_YTM")</f>
        <v>#N/A Requesting Data...</v>
      </c>
      <c r="P597" t="str">
        <f>_xll.BDP("240037MY Muni","MUNI_TAX_PROV")</f>
        <v>#N/A Requesting Data...</v>
      </c>
      <c r="Q597" t="str">
        <f>_xll.BDP("240037MY Muni","MUNI_FED_TAX")</f>
        <v>#N/A Requesting Data...</v>
      </c>
      <c r="R597" t="str">
        <f>_xll.BDP("240037MY Muni","MUNI_MSRB_VOLUME")</f>
        <v>#N/A Requesting Data...</v>
      </c>
      <c r="S597" t="str">
        <f>_xll.BDP("240037MY Muni","BB_COMPOSITE")</f>
        <v>#N/A Requesting Data...</v>
      </c>
      <c r="T597" t="str">
        <f>_xll.BDP("240037MY Muni","LQA_LIQUIDITY_SCORE")</f>
        <v>#N/A Requesting Data...</v>
      </c>
    </row>
    <row r="598" spans="1:20" x14ac:dyDescent="0.25">
      <c r="A598" t="str">
        <f>_xll.BDP("240037MZ Muni","ID_CUSIP")</f>
        <v>#N/A Requesting Data...</v>
      </c>
      <c r="B598" t="s">
        <v>170</v>
      </c>
      <c r="C598" t="str">
        <f>_xll.BDP("240037MZ Muni","INSURANCE_STATUS")</f>
        <v>#N/A Requesting Data...</v>
      </c>
      <c r="D598" t="str">
        <f>_xll.BDP("240037MZ Muni","STATE_CODE")</f>
        <v>#N/A Requesting Data...</v>
      </c>
      <c r="E598" t="str">
        <f>_xll.BDP("240037MZ Muni","COUNTY_LOCATION_ISSUER")</f>
        <v>#N/A Requesting Data...</v>
      </c>
      <c r="F598" t="str">
        <f>_xll.BDP("240037MZ Muni","DUR_ADJ_MID")</f>
        <v>#N/A Requesting Data...</v>
      </c>
      <c r="G598" t="str">
        <f>_xll.BDP("240037MZ Muni","SPREAD_AT_ISSUANCE_TO_WORST")</f>
        <v>#N/A Requesting Data...</v>
      </c>
      <c r="H598" t="str">
        <f>_xll.BDP("240037MZ Muni","ISSUE_DT")</f>
        <v>#N/A Requesting Data...</v>
      </c>
      <c r="I598" t="str">
        <f>_xll.BDS("240037MZ Muni","MUNI_PURPOSE_SCHED", "aggregate=y")</f>
        <v>#N/A Requesting Data...</v>
      </c>
      <c r="J598" t="str">
        <f>_xll.BDP("240037MZ Muni","CPN")</f>
        <v>#N/A Requesting Data...</v>
      </c>
      <c r="K598" t="str">
        <f>_xll.BDP("240037MZ Muni","MATURITY")</f>
        <v>#N/A Requesting Data...</v>
      </c>
      <c r="L598">
        <v>120000</v>
      </c>
      <c r="M598" t="str">
        <f>_xll.BDP("240037MZ Muni","YIELD_ON_ISSUE_DATE")</f>
        <v>#N/A Requesting Data...</v>
      </c>
      <c r="N598" t="str">
        <f>_xll.BDP("240037MZ Muni","YTW_SPREAD_TO_MATURITY_AT_ISSU")</f>
        <v>#N/A Requesting Data...</v>
      </c>
      <c r="O598" t="str">
        <f>_xll.BDP("240037MZ Muni","BVAL_MID_YTM")</f>
        <v>#N/A Requesting Data...</v>
      </c>
      <c r="P598" t="str">
        <f>_xll.BDP("240037MZ Muni","MUNI_TAX_PROV")</f>
        <v>#N/A Requesting Data...</v>
      </c>
      <c r="Q598" t="str">
        <f>_xll.BDP("240037MZ Muni","MUNI_FED_TAX")</f>
        <v>#N/A Requesting Data...</v>
      </c>
      <c r="R598" t="str">
        <f>_xll.BDP("240037MZ Muni","MUNI_MSRB_VOLUME")</f>
        <v>#N/A Requesting Data...</v>
      </c>
      <c r="S598" t="str">
        <f>_xll.BDP("240037MZ Muni","BB_COMPOSITE")</f>
        <v>#N/A Requesting Data...</v>
      </c>
      <c r="T598" t="str">
        <f>_xll.BDP("240037MZ Muni","LQA_LIQUIDITY_SCORE")</f>
        <v>#N/A Requesting Data...</v>
      </c>
    </row>
    <row r="599" spans="1:20" x14ac:dyDescent="0.25">
      <c r="A599" t="str">
        <f>_xll.BDP("240037NA Muni","ID_CUSIP")</f>
        <v>#N/A Requesting Data...</v>
      </c>
      <c r="B599" t="s">
        <v>170</v>
      </c>
      <c r="C599" t="str">
        <f>_xll.BDP("240037NA Muni","INSURANCE_STATUS")</f>
        <v>#N/A Requesting Data...</v>
      </c>
      <c r="D599" t="str">
        <f>_xll.BDP("240037NA Muni","STATE_CODE")</f>
        <v>#N/A Requesting Data...</v>
      </c>
      <c r="E599" t="str">
        <f>_xll.BDP("240037NA Muni","COUNTY_LOCATION_ISSUER")</f>
        <v>#N/A Requesting Data...</v>
      </c>
      <c r="F599" t="str">
        <f>_xll.BDP("240037NA Muni","DUR_ADJ_MID")</f>
        <v>#N/A Requesting Data...</v>
      </c>
      <c r="G599" t="str">
        <f>_xll.BDP("240037NA Muni","SPREAD_AT_ISSUANCE_TO_WORST")</f>
        <v>#N/A Requesting Data...</v>
      </c>
      <c r="H599" t="str">
        <f>_xll.BDP("240037NA Muni","ISSUE_DT")</f>
        <v>#N/A Requesting Data...</v>
      </c>
      <c r="I599" t="str">
        <f>_xll.BDS("240037NA Muni","MUNI_PURPOSE_SCHED", "aggregate=y")</f>
        <v>#N/A Requesting Data...</v>
      </c>
      <c r="J599" t="str">
        <f>_xll.BDP("240037NA Muni","CPN")</f>
        <v>#N/A Requesting Data...</v>
      </c>
      <c r="K599" t="str">
        <f>_xll.BDP("240037NA Muni","MATURITY")</f>
        <v>#N/A Requesting Data...</v>
      </c>
      <c r="L599">
        <v>125000</v>
      </c>
      <c r="M599" t="str">
        <f>_xll.BDP("240037NA Muni","YIELD_ON_ISSUE_DATE")</f>
        <v>#N/A Requesting Data...</v>
      </c>
      <c r="N599" t="str">
        <f>_xll.BDP("240037NA Muni","YTW_SPREAD_TO_MATURITY_AT_ISSU")</f>
        <v>#N/A Requesting Data...</v>
      </c>
      <c r="O599" t="str">
        <f>_xll.BDP("240037NA Muni","BVAL_MID_YTM")</f>
        <v>#N/A Requesting Data...</v>
      </c>
      <c r="P599" t="str">
        <f>_xll.BDP("240037NA Muni","MUNI_TAX_PROV")</f>
        <v>#N/A Requesting Data...</v>
      </c>
      <c r="Q599" t="str">
        <f>_xll.BDP("240037NA Muni","MUNI_FED_TAX")</f>
        <v>#N/A Requesting Data...</v>
      </c>
      <c r="R599" t="str">
        <f>_xll.BDP("240037NA Muni","MUNI_MSRB_VOLUME")</f>
        <v>#N/A Requesting Data...</v>
      </c>
      <c r="S599" t="str">
        <f>_xll.BDP("240037NA Muni","BB_COMPOSITE")</f>
        <v>#N/A Requesting Data...</v>
      </c>
      <c r="T599" t="str">
        <f>_xll.BDP("240037NA Muni","LQA_LIQUIDITY_SCORE")</f>
        <v>#N/A Requesting Data...</v>
      </c>
    </row>
    <row r="600" spans="1:20" x14ac:dyDescent="0.25">
      <c r="A600" t="str">
        <f>_xll.BDP("038926AV Muni","ID_CUSIP")</f>
        <v>#N/A Requesting Data...</v>
      </c>
      <c r="B600" t="s">
        <v>171</v>
      </c>
      <c r="C600" t="str">
        <f>_xll.BDP("038926AV Muni","INSURANCE_STATUS")</f>
        <v>#N/A Requesting Data...</v>
      </c>
      <c r="D600" t="str">
        <f>_xll.BDP("038926AV Muni","STATE_CODE")</f>
        <v>#N/A Requesting Data...</v>
      </c>
      <c r="E600" t="str">
        <f>_xll.BDP("038926AV Muni","COUNTY_LOCATION_ISSUER")</f>
        <v>#N/A Requesting Data...</v>
      </c>
      <c r="F600" t="str">
        <f>_xll.BDP("038926AV Muni","DUR_ADJ_MID")</f>
        <v>#N/A Requesting Data...</v>
      </c>
      <c r="G600" t="str">
        <f>_xll.BDP("038926AV Muni","SPREAD_AT_ISSUANCE_TO_WORST")</f>
        <v>#N/A Requesting Data...</v>
      </c>
      <c r="H600" t="str">
        <f>_xll.BDP("038926AV Muni","ISSUE_DT")</f>
        <v>#N/A Requesting Data...</v>
      </c>
      <c r="I600" t="str">
        <f>_xll.BDS("038926AV Muni","MUNI_PURPOSE_SCHED", "aggregate=y")</f>
        <v>#N/A Requesting Data...</v>
      </c>
      <c r="J600" t="str">
        <f>_xll.BDP("038926AV Muni","CPN")</f>
        <v>#N/A Requesting Data...</v>
      </c>
      <c r="K600" t="str">
        <f>_xll.BDP("038926AV Muni","MATURITY")</f>
        <v>#N/A Requesting Data...</v>
      </c>
      <c r="L600">
        <v>1160000</v>
      </c>
      <c r="M600" t="str">
        <f>_xll.BDP("038926AV Muni","YIELD_ON_ISSUE_DATE")</f>
        <v>#N/A Requesting Data...</v>
      </c>
      <c r="N600" t="str">
        <f>_xll.BDP("038926AV Muni","YTW_SPREAD_TO_MATURITY_AT_ISSU")</f>
        <v>#N/A Requesting Data...</v>
      </c>
      <c r="O600" t="str">
        <f>_xll.BDP("038926AV Muni","BVAL_MID_YTM")</f>
        <v>#N/A Requesting Data...</v>
      </c>
      <c r="P600" t="str">
        <f>_xll.BDP("038926AV Muni","MUNI_TAX_PROV")</f>
        <v>#N/A Requesting Data...</v>
      </c>
      <c r="Q600" t="str">
        <f>_xll.BDP("038926AV Muni","MUNI_FED_TAX")</f>
        <v>#N/A Requesting Data...</v>
      </c>
      <c r="R600" t="str">
        <f>_xll.BDP("038926AV Muni","MUNI_MSRB_VOLUME")</f>
        <v>#N/A Requesting Data...</v>
      </c>
      <c r="S600" t="str">
        <f>_xll.BDP("038926AV Muni","BB_COMPOSITE")</f>
        <v>#N/A Requesting Data...</v>
      </c>
      <c r="T600" t="str">
        <f>_xll.BDP("038926AV Muni","LQA_LIQUIDITY_SCORE")</f>
        <v>#N/A Requesting Data...</v>
      </c>
    </row>
    <row r="601" spans="1:20" x14ac:dyDescent="0.25">
      <c r="A601" t="str">
        <f>_xll.BDP("038926AW Muni","ID_CUSIP")</f>
        <v>#N/A Requesting Data...</v>
      </c>
      <c r="B601" t="s">
        <v>171</v>
      </c>
      <c r="C601" t="str">
        <f>_xll.BDP("038926AW Muni","INSURANCE_STATUS")</f>
        <v>#N/A Requesting Data...</v>
      </c>
      <c r="D601" t="str">
        <f>_xll.BDP("038926AW Muni","STATE_CODE")</f>
        <v>#N/A Requesting Data...</v>
      </c>
      <c r="E601" t="str">
        <f>_xll.BDP("038926AW Muni","COUNTY_LOCATION_ISSUER")</f>
        <v>#N/A Requesting Data...</v>
      </c>
      <c r="F601" t="str">
        <f>_xll.BDP("038926AW Muni","DUR_ADJ_MID")</f>
        <v>#N/A Requesting Data...</v>
      </c>
      <c r="G601" t="str">
        <f>_xll.BDP("038926AW Muni","SPREAD_AT_ISSUANCE_TO_WORST")</f>
        <v>#N/A Requesting Data...</v>
      </c>
      <c r="H601" t="str">
        <f>_xll.BDP("038926AW Muni","ISSUE_DT")</f>
        <v>#N/A Requesting Data...</v>
      </c>
      <c r="I601" t="str">
        <f>_xll.BDS("038926AW Muni","MUNI_PURPOSE_SCHED", "aggregate=y")</f>
        <v>#N/A Requesting Data...</v>
      </c>
      <c r="J601" t="str">
        <f>_xll.BDP("038926AW Muni","CPN")</f>
        <v>#N/A Requesting Data...</v>
      </c>
      <c r="K601" t="str">
        <f>_xll.BDP("038926AW Muni","MATURITY")</f>
        <v>#N/A Requesting Data...</v>
      </c>
      <c r="L601">
        <v>1190000</v>
      </c>
      <c r="M601" t="str">
        <f>_xll.BDP("038926AW Muni","YIELD_ON_ISSUE_DATE")</f>
        <v>#N/A Requesting Data...</v>
      </c>
      <c r="N601" t="str">
        <f>_xll.BDP("038926AW Muni","YTW_SPREAD_TO_MATURITY_AT_ISSU")</f>
        <v>#N/A Requesting Data...</v>
      </c>
      <c r="O601" t="str">
        <f>_xll.BDP("038926AW Muni","BVAL_MID_YTM")</f>
        <v>#N/A Requesting Data...</v>
      </c>
      <c r="P601" t="str">
        <f>_xll.BDP("038926AW Muni","MUNI_TAX_PROV")</f>
        <v>#N/A Requesting Data...</v>
      </c>
      <c r="Q601" t="str">
        <f>_xll.BDP("038926AW Muni","MUNI_FED_TAX")</f>
        <v>#N/A Requesting Data...</v>
      </c>
      <c r="R601" t="str">
        <f>_xll.BDP("038926AW Muni","MUNI_MSRB_VOLUME")</f>
        <v>#N/A Requesting Data...</v>
      </c>
      <c r="S601" t="str">
        <f>_xll.BDP("038926AW Muni","BB_COMPOSITE")</f>
        <v>#N/A Requesting Data...</v>
      </c>
      <c r="T601" t="str">
        <f>_xll.BDP("038926AW Muni","LQA_LIQUIDITY_SCORE")</f>
        <v>#N/A Requesting Data...</v>
      </c>
    </row>
    <row r="602" spans="1:20" x14ac:dyDescent="0.25">
      <c r="A602" t="str">
        <f>_xll.BDP("038926AX Muni","ID_CUSIP")</f>
        <v>#N/A Requesting Data...</v>
      </c>
      <c r="B602" t="s">
        <v>171</v>
      </c>
      <c r="C602" t="str">
        <f>_xll.BDP("038926AX Muni","INSURANCE_STATUS")</f>
        <v>#N/A Requesting Data...</v>
      </c>
      <c r="D602" t="str">
        <f>_xll.BDP("038926AX Muni","STATE_CODE")</f>
        <v>#N/A Requesting Data...</v>
      </c>
      <c r="E602" t="str">
        <f>_xll.BDP("038926AX Muni","COUNTY_LOCATION_ISSUER")</f>
        <v>#N/A Requesting Data...</v>
      </c>
      <c r="F602" t="str">
        <f>_xll.BDP("038926AX Muni","DUR_ADJ_MID")</f>
        <v>#N/A Requesting Data...</v>
      </c>
      <c r="G602" t="str">
        <f>_xll.BDP("038926AX Muni","SPREAD_AT_ISSUANCE_TO_WORST")</f>
        <v>#N/A Requesting Data...</v>
      </c>
      <c r="H602" t="str">
        <f>_xll.BDP("038926AX Muni","ISSUE_DT")</f>
        <v>#N/A Requesting Data...</v>
      </c>
      <c r="I602" t="str">
        <f>_xll.BDS("038926AX Muni","MUNI_PURPOSE_SCHED", "aggregate=y")</f>
        <v>#N/A Requesting Data...</v>
      </c>
      <c r="J602" t="str">
        <f>_xll.BDP("038926AX Muni","CPN")</f>
        <v>#N/A Requesting Data...</v>
      </c>
      <c r="K602" t="str">
        <f>_xll.BDP("038926AX Muni","MATURITY")</f>
        <v>#N/A Requesting Data...</v>
      </c>
      <c r="L602">
        <v>1225000</v>
      </c>
      <c r="M602" t="str">
        <f>_xll.BDP("038926AX Muni","YIELD_ON_ISSUE_DATE")</f>
        <v>#N/A Requesting Data...</v>
      </c>
      <c r="N602" t="str">
        <f>_xll.BDP("038926AX Muni","YTW_SPREAD_TO_MATURITY_AT_ISSU")</f>
        <v>#N/A Requesting Data...</v>
      </c>
      <c r="O602" t="str">
        <f>_xll.BDP("038926AX Muni","BVAL_MID_YTM")</f>
        <v>#N/A Requesting Data...</v>
      </c>
      <c r="P602" t="str">
        <f>_xll.BDP("038926AX Muni","MUNI_TAX_PROV")</f>
        <v>#N/A Requesting Data...</v>
      </c>
      <c r="Q602" t="str">
        <f>_xll.BDP("038926AX Muni","MUNI_FED_TAX")</f>
        <v>#N/A Requesting Data...</v>
      </c>
      <c r="R602" t="str">
        <f>_xll.BDP("038926AX Muni","MUNI_MSRB_VOLUME")</f>
        <v>#N/A Requesting Data...</v>
      </c>
      <c r="S602" t="str">
        <f>_xll.BDP("038926AX Muni","BB_COMPOSITE")</f>
        <v>#N/A Requesting Data...</v>
      </c>
      <c r="T602" t="str">
        <f>_xll.BDP("038926AX Muni","LQA_LIQUIDITY_SCORE")</f>
        <v>#N/A Requesting Data...</v>
      </c>
    </row>
    <row r="603" spans="1:20" x14ac:dyDescent="0.25">
      <c r="A603" t="str">
        <f>_xll.BDP("038926AY Muni","ID_CUSIP")</f>
        <v>#N/A Requesting Data...</v>
      </c>
      <c r="B603" t="s">
        <v>171</v>
      </c>
      <c r="C603" t="str">
        <f>_xll.BDP("038926AY Muni","INSURANCE_STATUS")</f>
        <v>#N/A Requesting Data...</v>
      </c>
      <c r="D603" t="str">
        <f>_xll.BDP("038926AY Muni","STATE_CODE")</f>
        <v>#N/A Requesting Data...</v>
      </c>
      <c r="E603" t="str">
        <f>_xll.BDP("038926AY Muni","COUNTY_LOCATION_ISSUER")</f>
        <v>#N/A Requesting Data...</v>
      </c>
      <c r="F603" t="str">
        <f>_xll.BDP("038926AY Muni","DUR_ADJ_MID")</f>
        <v>#N/A Requesting Data...</v>
      </c>
      <c r="G603" t="str">
        <f>_xll.BDP("038926AY Muni","SPREAD_AT_ISSUANCE_TO_WORST")</f>
        <v>#N/A Requesting Data...</v>
      </c>
      <c r="H603" t="str">
        <f>_xll.BDP("038926AY Muni","ISSUE_DT")</f>
        <v>#N/A Requesting Data...</v>
      </c>
      <c r="I603" t="str">
        <f>_xll.BDS("038926AY Muni","MUNI_PURPOSE_SCHED", "aggregate=y")</f>
        <v>#N/A Requesting Data...</v>
      </c>
      <c r="J603" t="str">
        <f>_xll.BDP("038926AY Muni","CPN")</f>
        <v>#N/A Requesting Data...</v>
      </c>
      <c r="K603" t="str">
        <f>_xll.BDP("038926AY Muni","MATURITY")</f>
        <v>#N/A Requesting Data...</v>
      </c>
      <c r="L603">
        <v>1260000</v>
      </c>
      <c r="M603" t="str">
        <f>_xll.BDP("038926AY Muni","YIELD_ON_ISSUE_DATE")</f>
        <v>#N/A Requesting Data...</v>
      </c>
      <c r="N603" t="str">
        <f>_xll.BDP("038926AY Muni","YTW_SPREAD_TO_MATURITY_AT_ISSU")</f>
        <v>#N/A Requesting Data...</v>
      </c>
      <c r="O603" t="str">
        <f>_xll.BDP("038926AY Muni","BVAL_MID_YTM")</f>
        <v>#N/A Requesting Data...</v>
      </c>
      <c r="P603" t="str">
        <f>_xll.BDP("038926AY Muni","MUNI_TAX_PROV")</f>
        <v>#N/A Requesting Data...</v>
      </c>
      <c r="Q603" t="str">
        <f>_xll.BDP("038926AY Muni","MUNI_FED_TAX")</f>
        <v>#N/A Requesting Data...</v>
      </c>
      <c r="R603" t="str">
        <f>_xll.BDP("038926AY Muni","MUNI_MSRB_VOLUME")</f>
        <v>#N/A Requesting Data...</v>
      </c>
      <c r="S603" t="str">
        <f>_xll.BDP("038926AY Muni","BB_COMPOSITE")</f>
        <v>#N/A Requesting Data...</v>
      </c>
      <c r="T603" t="str">
        <f>_xll.BDP("038926AY Muni","LQA_LIQUIDITY_SCORE")</f>
        <v>#N/A Requesting Data...</v>
      </c>
    </row>
    <row r="604" spans="1:20" x14ac:dyDescent="0.25">
      <c r="A604" t="str">
        <f>_xll.BDP("038926AZ Muni","ID_CUSIP")</f>
        <v>#N/A Requesting Data...</v>
      </c>
      <c r="B604" t="s">
        <v>171</v>
      </c>
      <c r="C604" t="str">
        <f>_xll.BDP("038926AZ Muni","INSURANCE_STATUS")</f>
        <v>#N/A Requesting Data...</v>
      </c>
      <c r="D604" t="str">
        <f>_xll.BDP("038926AZ Muni","STATE_CODE")</f>
        <v>#N/A Requesting Data...</v>
      </c>
      <c r="E604" t="str">
        <f>_xll.BDP("038926AZ Muni","COUNTY_LOCATION_ISSUER")</f>
        <v>#N/A Requesting Data...</v>
      </c>
      <c r="F604" t="str">
        <f>_xll.BDP("038926AZ Muni","DUR_ADJ_MID")</f>
        <v>#N/A Requesting Data...</v>
      </c>
      <c r="G604" t="str">
        <f>_xll.BDP("038926AZ Muni","SPREAD_AT_ISSUANCE_TO_WORST")</f>
        <v>#N/A Requesting Data...</v>
      </c>
      <c r="H604" t="str">
        <f>_xll.BDP("038926AZ Muni","ISSUE_DT")</f>
        <v>#N/A Requesting Data...</v>
      </c>
      <c r="I604" t="str">
        <f>_xll.BDS("038926AZ Muni","MUNI_PURPOSE_SCHED", "aggregate=y")</f>
        <v>#N/A Requesting Data...</v>
      </c>
      <c r="J604" t="str">
        <f>_xll.BDP("038926AZ Muni","CPN")</f>
        <v>#N/A Requesting Data...</v>
      </c>
      <c r="K604" t="str">
        <f>_xll.BDP("038926AZ Muni","MATURITY")</f>
        <v>#N/A Requesting Data...</v>
      </c>
      <c r="L604">
        <v>1295000</v>
      </c>
      <c r="M604" t="str">
        <f>_xll.BDP("038926AZ Muni","YIELD_ON_ISSUE_DATE")</f>
        <v>#N/A Requesting Data...</v>
      </c>
      <c r="N604" t="str">
        <f>_xll.BDP("038926AZ Muni","YTW_SPREAD_TO_MATURITY_AT_ISSU")</f>
        <v>#N/A Requesting Data...</v>
      </c>
      <c r="O604" t="str">
        <f>_xll.BDP("038926AZ Muni","BVAL_MID_YTM")</f>
        <v>#N/A Requesting Data...</v>
      </c>
      <c r="P604" t="str">
        <f>_xll.BDP("038926AZ Muni","MUNI_TAX_PROV")</f>
        <v>#N/A Requesting Data...</v>
      </c>
      <c r="Q604" t="str">
        <f>_xll.BDP("038926AZ Muni","MUNI_FED_TAX")</f>
        <v>#N/A Requesting Data...</v>
      </c>
      <c r="R604" t="str">
        <f>_xll.BDP("038926AZ Muni","MUNI_MSRB_VOLUME")</f>
        <v>#N/A Requesting Data...</v>
      </c>
      <c r="S604" t="str">
        <f>_xll.BDP("038926AZ Muni","BB_COMPOSITE")</f>
        <v>#N/A Requesting Data...</v>
      </c>
      <c r="T604" t="str">
        <f>_xll.BDP("038926AZ Muni","LQA_LIQUIDITY_SCORE")</f>
        <v>#N/A Requesting Data...</v>
      </c>
    </row>
    <row r="605" spans="1:20" x14ac:dyDescent="0.25">
      <c r="A605" t="str">
        <f>_xll.BDP("038926BA Muni","ID_CUSIP")</f>
        <v>#N/A Requesting Data...</v>
      </c>
      <c r="B605" t="s">
        <v>171</v>
      </c>
      <c r="C605" t="str">
        <f>_xll.BDP("038926BA Muni","INSURANCE_STATUS")</f>
        <v>#N/A Requesting Data...</v>
      </c>
      <c r="D605" t="str">
        <f>_xll.BDP("038926BA Muni","STATE_CODE")</f>
        <v>#N/A Requesting Data...</v>
      </c>
      <c r="E605" t="str">
        <f>_xll.BDP("038926BA Muni","COUNTY_LOCATION_ISSUER")</f>
        <v>#N/A Requesting Data...</v>
      </c>
      <c r="F605" t="str">
        <f>_xll.BDP("038926BA Muni","DUR_ADJ_MID")</f>
        <v>#N/A Requesting Data...</v>
      </c>
      <c r="G605" t="str">
        <f>_xll.BDP("038926BA Muni","SPREAD_AT_ISSUANCE_TO_WORST")</f>
        <v>#N/A Requesting Data...</v>
      </c>
      <c r="H605" t="str">
        <f>_xll.BDP("038926BA Muni","ISSUE_DT")</f>
        <v>#N/A Requesting Data...</v>
      </c>
      <c r="I605" t="str">
        <f>_xll.BDS("038926BA Muni","MUNI_PURPOSE_SCHED", "aggregate=y")</f>
        <v>#N/A Requesting Data...</v>
      </c>
      <c r="J605" t="str">
        <f>_xll.BDP("038926BA Muni","CPN")</f>
        <v>#N/A Requesting Data...</v>
      </c>
      <c r="K605" t="str">
        <f>_xll.BDP("038926BA Muni","MATURITY")</f>
        <v>#N/A Requesting Data...</v>
      </c>
      <c r="L605">
        <v>1340000</v>
      </c>
      <c r="M605" t="str">
        <f>_xll.BDP("038926BA Muni","YIELD_ON_ISSUE_DATE")</f>
        <v>#N/A Requesting Data...</v>
      </c>
      <c r="N605" t="str">
        <f>_xll.BDP("038926BA Muni","YTW_SPREAD_TO_MATURITY_AT_ISSU")</f>
        <v>#N/A Requesting Data...</v>
      </c>
      <c r="O605" t="str">
        <f>_xll.BDP("038926BA Muni","BVAL_MID_YTM")</f>
        <v>#N/A Requesting Data...</v>
      </c>
      <c r="P605" t="str">
        <f>_xll.BDP("038926BA Muni","MUNI_TAX_PROV")</f>
        <v>#N/A Requesting Data...</v>
      </c>
      <c r="Q605" t="str">
        <f>_xll.BDP("038926BA Muni","MUNI_FED_TAX")</f>
        <v>#N/A Requesting Data...</v>
      </c>
      <c r="R605" t="str">
        <f>_xll.BDP("038926BA Muni","MUNI_MSRB_VOLUME")</f>
        <v>#N/A Requesting Data...</v>
      </c>
      <c r="S605" t="str">
        <f>_xll.BDP("038926BA Muni","BB_COMPOSITE")</f>
        <v>#N/A Requesting Data...</v>
      </c>
      <c r="T605" t="str">
        <f>_xll.BDP("038926BA Muni","LQA_LIQUIDITY_SCORE")</f>
        <v>#N/A Requesting Data...</v>
      </c>
    </row>
    <row r="606" spans="1:20" x14ac:dyDescent="0.25">
      <c r="A606" t="str">
        <f>_xll.BDP("039771HZ Muni","ID_CUSIP")</f>
        <v>#N/A Requesting Data...</v>
      </c>
      <c r="B606" t="s">
        <v>172</v>
      </c>
      <c r="C606" t="str">
        <f>_xll.BDP("039771HZ Muni","INSURANCE_STATUS")</f>
        <v>#N/A Requesting Data...</v>
      </c>
      <c r="D606" t="str">
        <f>_xll.BDP("039771HZ Muni","STATE_CODE")</f>
        <v>#N/A Requesting Data...</v>
      </c>
      <c r="E606" t="str">
        <f>_xll.BDP("039771HZ Muni","COUNTY_LOCATION_ISSUER")</f>
        <v>#N/A Requesting Data...</v>
      </c>
      <c r="F606" t="str">
        <f>_xll.BDP("039771HZ Muni","DUR_ADJ_MID")</f>
        <v>#N/A Requesting Data...</v>
      </c>
      <c r="G606" t="str">
        <f>_xll.BDP("039771HZ Muni","SPREAD_AT_ISSUANCE_TO_WORST")</f>
        <v>#N/A Requesting Data...</v>
      </c>
      <c r="H606" t="str">
        <f>_xll.BDP("039771HZ Muni","ISSUE_DT")</f>
        <v>#N/A Requesting Data...</v>
      </c>
      <c r="I606" t="str">
        <f>_xll.BDS("039771HZ Muni","MUNI_PURPOSE_SCHED", "aggregate=y")</f>
        <v>#N/A Requesting Data...</v>
      </c>
      <c r="J606" t="str">
        <f>_xll.BDP("039771HZ Muni","CPN")</f>
        <v>#N/A Requesting Data...</v>
      </c>
      <c r="K606" t="str">
        <f>_xll.BDP("039771HZ Muni","MATURITY")</f>
        <v>#N/A Requesting Data...</v>
      </c>
      <c r="L606">
        <v>225000</v>
      </c>
      <c r="M606" t="str">
        <f>_xll.BDP("039771HZ Muni","YIELD_ON_ISSUE_DATE")</f>
        <v>#N/A Requesting Data...</v>
      </c>
      <c r="N606" t="str">
        <f>_xll.BDP("039771HZ Muni","YTW_SPREAD_TO_MATURITY_AT_ISSU")</f>
        <v>#N/A Requesting Data...</v>
      </c>
      <c r="O606" t="str">
        <f>_xll.BDP("039771HZ Muni","BVAL_MID_YTM")</f>
        <v>#N/A Requesting Data...</v>
      </c>
      <c r="P606" t="str">
        <f>_xll.BDP("039771HZ Muni","MUNI_TAX_PROV")</f>
        <v>#N/A Requesting Data...</v>
      </c>
      <c r="Q606" t="str">
        <f>_xll.BDP("039771HZ Muni","MUNI_FED_TAX")</f>
        <v>#N/A Requesting Data...</v>
      </c>
      <c r="R606" t="str">
        <f>_xll.BDP("039771HZ Muni","MUNI_MSRB_VOLUME")</f>
        <v>#N/A Requesting Data...</v>
      </c>
      <c r="S606" t="str">
        <f>_xll.BDP("039771HZ Muni","BB_COMPOSITE")</f>
        <v>#N/A Requesting Data...</v>
      </c>
      <c r="T606" t="str">
        <f>_xll.BDP("039771HZ Muni","LQA_LIQUIDITY_SCORE")</f>
        <v>#N/A Requesting Data...</v>
      </c>
    </row>
    <row r="607" spans="1:20" x14ac:dyDescent="0.25">
      <c r="A607" t="str">
        <f>_xll.BDP("039771JA Muni","ID_CUSIP")</f>
        <v>#N/A Requesting Data...</v>
      </c>
      <c r="B607" t="s">
        <v>172</v>
      </c>
      <c r="C607" t="str">
        <f>_xll.BDP("039771JA Muni","INSURANCE_STATUS")</f>
        <v>#N/A Requesting Data...</v>
      </c>
      <c r="D607" t="str">
        <f>_xll.BDP("039771JA Muni","STATE_CODE")</f>
        <v>#N/A Requesting Data...</v>
      </c>
      <c r="E607" t="str">
        <f>_xll.BDP("039771JA Muni","COUNTY_LOCATION_ISSUER")</f>
        <v>#N/A Requesting Data...</v>
      </c>
      <c r="F607" t="str">
        <f>_xll.BDP("039771JA Muni","DUR_ADJ_MID")</f>
        <v>#N/A Requesting Data...</v>
      </c>
      <c r="G607" t="str">
        <f>_xll.BDP("039771JA Muni","SPREAD_AT_ISSUANCE_TO_WORST")</f>
        <v>#N/A Requesting Data...</v>
      </c>
      <c r="H607" t="str">
        <f>_xll.BDP("039771JA Muni","ISSUE_DT")</f>
        <v>#N/A Requesting Data...</v>
      </c>
      <c r="I607" t="str">
        <f>_xll.BDS("039771JA Muni","MUNI_PURPOSE_SCHED", "aggregate=y")</f>
        <v>#N/A Requesting Data...</v>
      </c>
      <c r="J607" t="str">
        <f>_xll.BDP("039771JA Muni","CPN")</f>
        <v>#N/A Requesting Data...</v>
      </c>
      <c r="K607" t="str">
        <f>_xll.BDP("039771JA Muni","MATURITY")</f>
        <v>#N/A Requesting Data...</v>
      </c>
      <c r="L607">
        <v>235000</v>
      </c>
      <c r="M607" t="str">
        <f>_xll.BDP("039771JA Muni","YIELD_ON_ISSUE_DATE")</f>
        <v>#N/A Requesting Data...</v>
      </c>
      <c r="N607" t="str">
        <f>_xll.BDP("039771JA Muni","YTW_SPREAD_TO_MATURITY_AT_ISSU")</f>
        <v>#N/A Requesting Data...</v>
      </c>
      <c r="O607" t="str">
        <f>_xll.BDP("039771JA Muni","BVAL_MID_YTM")</f>
        <v>#N/A Requesting Data...</v>
      </c>
      <c r="P607" t="str">
        <f>_xll.BDP("039771JA Muni","MUNI_TAX_PROV")</f>
        <v>#N/A Requesting Data...</v>
      </c>
      <c r="Q607" t="str">
        <f>_xll.BDP("039771JA Muni","MUNI_FED_TAX")</f>
        <v>#N/A Requesting Data...</v>
      </c>
      <c r="R607" t="str">
        <f>_xll.BDP("039771JA Muni","MUNI_MSRB_VOLUME")</f>
        <v>#N/A Requesting Data...</v>
      </c>
      <c r="S607" t="str">
        <f>_xll.BDP("039771JA Muni","BB_COMPOSITE")</f>
        <v>#N/A Requesting Data...</v>
      </c>
      <c r="T607" t="str">
        <f>_xll.BDP("039771JA Muni","LQA_LIQUIDITY_SCORE")</f>
        <v>#N/A Requesting Data...</v>
      </c>
    </row>
    <row r="608" spans="1:20" x14ac:dyDescent="0.25">
      <c r="A608" t="str">
        <f>_xll.BDP("039771JB Muni","ID_CUSIP")</f>
        <v>#N/A Requesting Data...</v>
      </c>
      <c r="B608" t="s">
        <v>172</v>
      </c>
      <c r="C608" t="str">
        <f>_xll.BDP("039771JB Muni","INSURANCE_STATUS")</f>
        <v>#N/A Requesting Data...</v>
      </c>
      <c r="D608" t="str">
        <f>_xll.BDP("039771JB Muni","STATE_CODE")</f>
        <v>#N/A Requesting Data...</v>
      </c>
      <c r="E608" t="str">
        <f>_xll.BDP("039771JB Muni","COUNTY_LOCATION_ISSUER")</f>
        <v>#N/A Requesting Data...</v>
      </c>
      <c r="F608" t="str">
        <f>_xll.BDP("039771JB Muni","DUR_ADJ_MID")</f>
        <v>#N/A Requesting Data...</v>
      </c>
      <c r="G608" t="str">
        <f>_xll.BDP("039771JB Muni","SPREAD_AT_ISSUANCE_TO_WORST")</f>
        <v>#N/A Requesting Data...</v>
      </c>
      <c r="H608" t="str">
        <f>_xll.BDP("039771JB Muni","ISSUE_DT")</f>
        <v>#N/A Requesting Data...</v>
      </c>
      <c r="I608" t="str">
        <f>_xll.BDS("039771JB Muni","MUNI_PURPOSE_SCHED", "aggregate=y")</f>
        <v>#N/A Requesting Data...</v>
      </c>
      <c r="J608" t="str">
        <f>_xll.BDP("039771JB Muni","CPN")</f>
        <v>#N/A Requesting Data...</v>
      </c>
      <c r="K608" t="str">
        <f>_xll.BDP("039771JB Muni","MATURITY")</f>
        <v>#N/A Requesting Data...</v>
      </c>
      <c r="L608">
        <v>245000</v>
      </c>
      <c r="M608" t="str">
        <f>_xll.BDP("039771JB Muni","YIELD_ON_ISSUE_DATE")</f>
        <v>#N/A Requesting Data...</v>
      </c>
      <c r="N608" t="str">
        <f>_xll.BDP("039771JB Muni","YTW_SPREAD_TO_MATURITY_AT_ISSU")</f>
        <v>#N/A Requesting Data...</v>
      </c>
      <c r="O608" t="str">
        <f>_xll.BDP("039771JB Muni","BVAL_MID_YTM")</f>
        <v>#N/A Requesting Data...</v>
      </c>
      <c r="P608" t="str">
        <f>_xll.BDP("039771JB Muni","MUNI_TAX_PROV")</f>
        <v>#N/A Requesting Data...</v>
      </c>
      <c r="Q608" t="str">
        <f>_xll.BDP("039771JB Muni","MUNI_FED_TAX")</f>
        <v>#N/A Requesting Data...</v>
      </c>
      <c r="R608" t="str">
        <f>_xll.BDP("039771JB Muni","MUNI_MSRB_VOLUME")</f>
        <v>#N/A Requesting Data...</v>
      </c>
      <c r="S608" t="str">
        <f>_xll.BDP("039771JB Muni","BB_COMPOSITE")</f>
        <v>#N/A Requesting Data...</v>
      </c>
      <c r="T608" t="str">
        <f>_xll.BDP("039771JB Muni","LQA_LIQUIDITY_SCORE")</f>
        <v>#N/A Requesting Data...</v>
      </c>
    </row>
    <row r="609" spans="1:20" x14ac:dyDescent="0.25">
      <c r="A609" t="str">
        <f>_xll.BDP("039771JC Muni","ID_CUSIP")</f>
        <v>#N/A Requesting Data...</v>
      </c>
      <c r="B609" t="s">
        <v>172</v>
      </c>
      <c r="C609" t="str">
        <f>_xll.BDP("039771JC Muni","INSURANCE_STATUS")</f>
        <v>#N/A Requesting Data...</v>
      </c>
      <c r="D609" t="str">
        <f>_xll.BDP("039771JC Muni","STATE_CODE")</f>
        <v>#N/A Requesting Data...</v>
      </c>
      <c r="E609" t="str">
        <f>_xll.BDP("039771JC Muni","COUNTY_LOCATION_ISSUER")</f>
        <v>#N/A Requesting Data...</v>
      </c>
      <c r="F609" t="str">
        <f>_xll.BDP("039771JC Muni","DUR_ADJ_MID")</f>
        <v>#N/A Requesting Data...</v>
      </c>
      <c r="G609" t="str">
        <f>_xll.BDP("039771JC Muni","SPREAD_AT_ISSUANCE_TO_WORST")</f>
        <v>#N/A Requesting Data...</v>
      </c>
      <c r="H609" t="str">
        <f>_xll.BDP("039771JC Muni","ISSUE_DT")</f>
        <v>#N/A Requesting Data...</v>
      </c>
      <c r="I609" t="str">
        <f>_xll.BDS("039771JC Muni","MUNI_PURPOSE_SCHED", "aggregate=y")</f>
        <v>#N/A Requesting Data...</v>
      </c>
      <c r="J609" t="str">
        <f>_xll.BDP("039771JC Muni","CPN")</f>
        <v>#N/A Requesting Data...</v>
      </c>
      <c r="K609" t="str">
        <f>_xll.BDP("039771JC Muni","MATURITY")</f>
        <v>#N/A Requesting Data...</v>
      </c>
      <c r="L609">
        <v>255000</v>
      </c>
      <c r="M609" t="str">
        <f>_xll.BDP("039771JC Muni","YIELD_ON_ISSUE_DATE")</f>
        <v>#N/A Requesting Data...</v>
      </c>
      <c r="N609" t="str">
        <f>_xll.BDP("039771JC Muni","YTW_SPREAD_TO_MATURITY_AT_ISSU")</f>
        <v>#N/A Requesting Data...</v>
      </c>
      <c r="O609" t="str">
        <f>_xll.BDP("039771JC Muni","BVAL_MID_YTM")</f>
        <v>#N/A Requesting Data...</v>
      </c>
      <c r="P609" t="str">
        <f>_xll.BDP("039771JC Muni","MUNI_TAX_PROV")</f>
        <v>#N/A Requesting Data...</v>
      </c>
      <c r="Q609" t="str">
        <f>_xll.BDP("039771JC Muni","MUNI_FED_TAX")</f>
        <v>#N/A Requesting Data...</v>
      </c>
      <c r="R609" t="str">
        <f>_xll.BDP("039771JC Muni","MUNI_MSRB_VOLUME")</f>
        <v>#N/A Requesting Data...</v>
      </c>
      <c r="S609" t="str">
        <f>_xll.BDP("039771JC Muni","BB_COMPOSITE")</f>
        <v>#N/A Requesting Data...</v>
      </c>
      <c r="T609" t="str">
        <f>_xll.BDP("039771JC Muni","LQA_LIQUIDITY_SCORE")</f>
        <v>#N/A Requesting Data...</v>
      </c>
    </row>
    <row r="610" spans="1:20" x14ac:dyDescent="0.25">
      <c r="A610" t="str">
        <f>_xll.BDP("039771JD Muni","ID_CUSIP")</f>
        <v>#N/A Requesting Data...</v>
      </c>
      <c r="B610" t="s">
        <v>172</v>
      </c>
      <c r="C610" t="str">
        <f>_xll.BDP("039771JD Muni","INSURANCE_STATUS")</f>
        <v>#N/A Requesting Data...</v>
      </c>
      <c r="D610" t="str">
        <f>_xll.BDP("039771JD Muni","STATE_CODE")</f>
        <v>#N/A Requesting Data...</v>
      </c>
      <c r="E610" t="str">
        <f>_xll.BDP("039771JD Muni","COUNTY_LOCATION_ISSUER")</f>
        <v>#N/A Requesting Data...</v>
      </c>
      <c r="F610" t="str">
        <f>_xll.BDP("039771JD Muni","DUR_ADJ_MID")</f>
        <v>#N/A Requesting Data...</v>
      </c>
      <c r="G610" t="str">
        <f>_xll.BDP("039771JD Muni","SPREAD_AT_ISSUANCE_TO_WORST")</f>
        <v>#N/A Requesting Data...</v>
      </c>
      <c r="H610" t="str">
        <f>_xll.BDP("039771JD Muni","ISSUE_DT")</f>
        <v>#N/A Requesting Data...</v>
      </c>
      <c r="I610" t="str">
        <f>_xll.BDS("039771JD Muni","MUNI_PURPOSE_SCHED", "aggregate=y")</f>
        <v>#N/A Requesting Data...</v>
      </c>
      <c r="J610" t="str">
        <f>_xll.BDP("039771JD Muni","CPN")</f>
        <v>#N/A Requesting Data...</v>
      </c>
      <c r="K610" t="str">
        <f>_xll.BDP("039771JD Muni","MATURITY")</f>
        <v>#N/A Requesting Data...</v>
      </c>
      <c r="L610">
        <v>265000</v>
      </c>
      <c r="M610" t="str">
        <f>_xll.BDP("039771JD Muni","YIELD_ON_ISSUE_DATE")</f>
        <v>#N/A Requesting Data...</v>
      </c>
      <c r="N610" t="str">
        <f>_xll.BDP("039771JD Muni","YTW_SPREAD_TO_MATURITY_AT_ISSU")</f>
        <v>#N/A Requesting Data...</v>
      </c>
      <c r="O610" t="str">
        <f>_xll.BDP("039771JD Muni","BVAL_MID_YTM")</f>
        <v>#N/A Requesting Data...</v>
      </c>
      <c r="P610" t="str">
        <f>_xll.BDP("039771JD Muni","MUNI_TAX_PROV")</f>
        <v>#N/A Requesting Data...</v>
      </c>
      <c r="Q610" t="str">
        <f>_xll.BDP("039771JD Muni","MUNI_FED_TAX")</f>
        <v>#N/A Requesting Data...</v>
      </c>
      <c r="R610" t="str">
        <f>_xll.BDP("039771JD Muni","MUNI_MSRB_VOLUME")</f>
        <v>#N/A Requesting Data...</v>
      </c>
      <c r="S610" t="str">
        <f>_xll.BDP("039771JD Muni","BB_COMPOSITE")</f>
        <v>#N/A Requesting Data...</v>
      </c>
      <c r="T610" t="str">
        <f>_xll.BDP("039771JD Muni","LQA_LIQUIDITY_SCORE")</f>
        <v>#N/A Requesting Data...</v>
      </c>
    </row>
    <row r="611" spans="1:20" x14ac:dyDescent="0.25">
      <c r="A611" t="str">
        <f>_xll.BDP("041838BV Muni","ID_CUSIP")</f>
        <v>#N/A Requesting Data...</v>
      </c>
      <c r="B611" t="s">
        <v>173</v>
      </c>
      <c r="C611" t="str">
        <f>_xll.BDP("041838BV Muni","INSURANCE_STATUS")</f>
        <v>#N/A Requesting Data...</v>
      </c>
      <c r="D611" t="str">
        <f>_xll.BDP("041838BV Muni","STATE_CODE")</f>
        <v>#N/A Requesting Data...</v>
      </c>
      <c r="E611" t="str">
        <f>_xll.BDP("041838BV Muni","COUNTY_LOCATION_ISSUER")</f>
        <v>#N/A Requesting Data...</v>
      </c>
      <c r="F611" t="str">
        <f>_xll.BDP("041838BV Muni","DUR_ADJ_MID")</f>
        <v>#N/A Requesting Data...</v>
      </c>
      <c r="G611" t="str">
        <f>_xll.BDP("041838BV Muni","SPREAD_AT_ISSUANCE_TO_WORST")</f>
        <v>#N/A Requesting Data...</v>
      </c>
      <c r="H611" t="str">
        <f>_xll.BDP("041838BV Muni","ISSUE_DT")</f>
        <v>#N/A Requesting Data...</v>
      </c>
      <c r="I611" t="str">
        <f>_xll.BDS("041838BV Muni","MUNI_PURPOSE_SCHED", "aggregate=y")</f>
        <v>#N/A Requesting Data...</v>
      </c>
      <c r="J611" t="str">
        <f>_xll.BDP("041838BV Muni","CPN")</f>
        <v>#N/A Requesting Data...</v>
      </c>
      <c r="K611" t="str">
        <f>_xll.BDP("041838BV Muni","MATURITY")</f>
        <v>#N/A Requesting Data...</v>
      </c>
      <c r="L611">
        <v>280000</v>
      </c>
      <c r="M611" t="str">
        <f>_xll.BDP("041838BV Muni","YIELD_ON_ISSUE_DATE")</f>
        <v>#N/A Requesting Data...</v>
      </c>
      <c r="N611" t="str">
        <f>_xll.BDP("041838BV Muni","YTW_SPREAD_TO_MATURITY_AT_ISSU")</f>
        <v>#N/A Requesting Data...</v>
      </c>
      <c r="O611" t="str">
        <f>_xll.BDP("041838BV Muni","BVAL_MID_YTM")</f>
        <v>#N/A Requesting Data...</v>
      </c>
      <c r="P611" t="str">
        <f>_xll.BDP("041838BV Muni","MUNI_TAX_PROV")</f>
        <v>#N/A Requesting Data...</v>
      </c>
      <c r="Q611" t="str">
        <f>_xll.BDP("041838BV Muni","MUNI_FED_TAX")</f>
        <v>#N/A Requesting Data...</v>
      </c>
      <c r="R611" t="str">
        <f>_xll.BDP("041838BV Muni","MUNI_MSRB_VOLUME")</f>
        <v>#N/A Requesting Data...</v>
      </c>
      <c r="S611" t="str">
        <f>_xll.BDP("041838BV Muni","BB_COMPOSITE")</f>
        <v>#N/A Requesting Data...</v>
      </c>
      <c r="T611" t="str">
        <f>_xll.BDP("041838BV Muni","LQA_LIQUIDITY_SCORE")</f>
        <v>#N/A Requesting Data...</v>
      </c>
    </row>
    <row r="612" spans="1:20" x14ac:dyDescent="0.25">
      <c r="A612" t="str">
        <f>_xll.BDP("041838BW Muni","ID_CUSIP")</f>
        <v>#N/A Requesting Data...</v>
      </c>
      <c r="B612" t="s">
        <v>173</v>
      </c>
      <c r="C612" t="str">
        <f>_xll.BDP("041838BW Muni","INSURANCE_STATUS")</f>
        <v>#N/A Requesting Data...</v>
      </c>
      <c r="D612" t="str">
        <f>_xll.BDP("041838BW Muni","STATE_CODE")</f>
        <v>#N/A Requesting Data...</v>
      </c>
      <c r="E612" t="str">
        <f>_xll.BDP("041838BW Muni","COUNTY_LOCATION_ISSUER")</f>
        <v>#N/A Requesting Data...</v>
      </c>
      <c r="F612" t="str">
        <f>_xll.BDP("041838BW Muni","DUR_ADJ_MID")</f>
        <v>#N/A Requesting Data...</v>
      </c>
      <c r="G612" t="str">
        <f>_xll.BDP("041838BW Muni","SPREAD_AT_ISSUANCE_TO_WORST")</f>
        <v>#N/A Requesting Data...</v>
      </c>
      <c r="H612" t="str">
        <f>_xll.BDP("041838BW Muni","ISSUE_DT")</f>
        <v>#N/A Requesting Data...</v>
      </c>
      <c r="I612" t="str">
        <f>_xll.BDS("041838BW Muni","MUNI_PURPOSE_SCHED", "aggregate=y")</f>
        <v>#N/A Requesting Data...</v>
      </c>
      <c r="J612" t="str">
        <f>_xll.BDP("041838BW Muni","CPN")</f>
        <v>#N/A Requesting Data...</v>
      </c>
      <c r="K612" t="str">
        <f>_xll.BDP("041838BW Muni","MATURITY")</f>
        <v>#N/A Requesting Data...</v>
      </c>
      <c r="L612">
        <v>275000</v>
      </c>
      <c r="M612" t="str">
        <f>_xll.BDP("041838BW Muni","YIELD_ON_ISSUE_DATE")</f>
        <v>#N/A Requesting Data...</v>
      </c>
      <c r="N612" t="str">
        <f>_xll.BDP("041838BW Muni","YTW_SPREAD_TO_MATURITY_AT_ISSU")</f>
        <v>#N/A Requesting Data...</v>
      </c>
      <c r="O612" t="str">
        <f>_xll.BDP("041838BW Muni","BVAL_MID_YTM")</f>
        <v>#N/A Requesting Data...</v>
      </c>
      <c r="P612" t="str">
        <f>_xll.BDP("041838BW Muni","MUNI_TAX_PROV")</f>
        <v>#N/A Requesting Data...</v>
      </c>
      <c r="Q612" t="str">
        <f>_xll.BDP("041838BW Muni","MUNI_FED_TAX")</f>
        <v>#N/A Requesting Data...</v>
      </c>
      <c r="R612" t="str">
        <f>_xll.BDP("041838BW Muni","MUNI_MSRB_VOLUME")</f>
        <v>#N/A Requesting Data...</v>
      </c>
      <c r="S612" t="str">
        <f>_xll.BDP("041838BW Muni","BB_COMPOSITE")</f>
        <v>#N/A Requesting Data...</v>
      </c>
      <c r="T612" t="str">
        <f>_xll.BDP("041838BW Muni","LQA_LIQUIDITY_SCORE")</f>
        <v>#N/A Requesting Data...</v>
      </c>
    </row>
    <row r="613" spans="1:20" x14ac:dyDescent="0.25">
      <c r="A613" t="str">
        <f>_xll.BDP("041838BX Muni","ID_CUSIP")</f>
        <v>#N/A Requesting Data...</v>
      </c>
      <c r="B613" t="s">
        <v>173</v>
      </c>
      <c r="C613" t="str">
        <f>_xll.BDP("041838BX Muni","INSURANCE_STATUS")</f>
        <v>#N/A Requesting Data...</v>
      </c>
      <c r="D613" t="str">
        <f>_xll.BDP("041838BX Muni","STATE_CODE")</f>
        <v>#N/A Requesting Data...</v>
      </c>
      <c r="E613" t="str">
        <f>_xll.BDP("041838BX Muni","COUNTY_LOCATION_ISSUER")</f>
        <v>#N/A Requesting Data...</v>
      </c>
      <c r="F613" t="str">
        <f>_xll.BDP("041838BX Muni","DUR_ADJ_MID")</f>
        <v>#N/A Requesting Data...</v>
      </c>
      <c r="G613" t="str">
        <f>_xll.BDP("041838BX Muni","SPREAD_AT_ISSUANCE_TO_WORST")</f>
        <v>#N/A Requesting Data...</v>
      </c>
      <c r="H613" t="str">
        <f>_xll.BDP("041838BX Muni","ISSUE_DT")</f>
        <v>#N/A Requesting Data...</v>
      </c>
      <c r="I613" t="str">
        <f>_xll.BDS("041838BX Muni","MUNI_PURPOSE_SCHED", "aggregate=y")</f>
        <v>#N/A Requesting Data...</v>
      </c>
      <c r="J613" t="str">
        <f>_xll.BDP("041838BX Muni","CPN")</f>
        <v>#N/A Requesting Data...</v>
      </c>
      <c r="K613" t="str">
        <f>_xll.BDP("041838BX Muni","MATURITY")</f>
        <v>#N/A Requesting Data...</v>
      </c>
      <c r="L613">
        <v>275000</v>
      </c>
      <c r="M613" t="str">
        <f>_xll.BDP("041838BX Muni","YIELD_ON_ISSUE_DATE")</f>
        <v>#N/A Requesting Data...</v>
      </c>
      <c r="N613" t="str">
        <f>_xll.BDP("041838BX Muni","YTW_SPREAD_TO_MATURITY_AT_ISSU")</f>
        <v>#N/A Requesting Data...</v>
      </c>
      <c r="O613" t="str">
        <f>_xll.BDP("041838BX Muni","BVAL_MID_YTM")</f>
        <v>#N/A Requesting Data...</v>
      </c>
      <c r="P613" t="str">
        <f>_xll.BDP("041838BX Muni","MUNI_TAX_PROV")</f>
        <v>#N/A Requesting Data...</v>
      </c>
      <c r="Q613" t="str">
        <f>_xll.BDP("041838BX Muni","MUNI_FED_TAX")</f>
        <v>#N/A Requesting Data...</v>
      </c>
      <c r="R613" t="str">
        <f>_xll.BDP("041838BX Muni","MUNI_MSRB_VOLUME")</f>
        <v>#N/A Requesting Data...</v>
      </c>
      <c r="S613" t="str">
        <f>_xll.BDP("041838BX Muni","BB_COMPOSITE")</f>
        <v>#N/A Requesting Data...</v>
      </c>
      <c r="T613" t="str">
        <f>_xll.BDP("041838BX Muni","LQA_LIQUIDITY_SCORE")</f>
        <v>#N/A Requesting Data...</v>
      </c>
    </row>
    <row r="614" spans="1:20" x14ac:dyDescent="0.25">
      <c r="A614" t="str">
        <f>_xll.BDP("041838BY Muni","ID_CUSIP")</f>
        <v>#N/A Requesting Data...</v>
      </c>
      <c r="B614" t="s">
        <v>173</v>
      </c>
      <c r="C614" t="str">
        <f>_xll.BDP("041838BY Muni","INSURANCE_STATUS")</f>
        <v>#N/A Requesting Data...</v>
      </c>
      <c r="D614" t="str">
        <f>_xll.BDP("041838BY Muni","STATE_CODE")</f>
        <v>#N/A Requesting Data...</v>
      </c>
      <c r="E614" t="str">
        <f>_xll.BDP("041838BY Muni","COUNTY_LOCATION_ISSUER")</f>
        <v>#N/A Requesting Data...</v>
      </c>
      <c r="F614" t="str">
        <f>_xll.BDP("041838BY Muni","DUR_ADJ_MID")</f>
        <v>#N/A Requesting Data...</v>
      </c>
      <c r="G614" t="str">
        <f>_xll.BDP("041838BY Muni","SPREAD_AT_ISSUANCE_TO_WORST")</f>
        <v>#N/A Requesting Data...</v>
      </c>
      <c r="H614" t="str">
        <f>_xll.BDP("041838BY Muni","ISSUE_DT")</f>
        <v>#N/A Requesting Data...</v>
      </c>
      <c r="I614" t="str">
        <f>_xll.BDS("041838BY Muni","MUNI_PURPOSE_SCHED", "aggregate=y")</f>
        <v>#N/A Requesting Data...</v>
      </c>
      <c r="J614" t="str">
        <f>_xll.BDP("041838BY Muni","CPN")</f>
        <v>#N/A Requesting Data...</v>
      </c>
      <c r="K614" t="str">
        <f>_xll.BDP("041838BY Muni","MATURITY")</f>
        <v>#N/A Requesting Data...</v>
      </c>
      <c r="L614">
        <v>275000</v>
      </c>
      <c r="M614" t="str">
        <f>_xll.BDP("041838BY Muni","YIELD_ON_ISSUE_DATE")</f>
        <v>#N/A Requesting Data...</v>
      </c>
      <c r="N614" t="str">
        <f>_xll.BDP("041838BY Muni","YTW_SPREAD_TO_MATURITY_AT_ISSU")</f>
        <v>#N/A Requesting Data...</v>
      </c>
      <c r="O614" t="str">
        <f>_xll.BDP("041838BY Muni","BVAL_MID_YTM")</f>
        <v>#N/A Requesting Data...</v>
      </c>
      <c r="P614" t="str">
        <f>_xll.BDP("041838BY Muni","MUNI_TAX_PROV")</f>
        <v>#N/A Requesting Data...</v>
      </c>
      <c r="Q614" t="str">
        <f>_xll.BDP("041838BY Muni","MUNI_FED_TAX")</f>
        <v>#N/A Requesting Data...</v>
      </c>
      <c r="R614" t="str">
        <f>_xll.BDP("041838BY Muni","MUNI_MSRB_VOLUME")</f>
        <v>#N/A Requesting Data...</v>
      </c>
      <c r="S614" t="str">
        <f>_xll.BDP("041838BY Muni","BB_COMPOSITE")</f>
        <v>#N/A Requesting Data...</v>
      </c>
      <c r="T614" t="str">
        <f>_xll.BDP("041838BY Muni","LQA_LIQUIDITY_SCORE")</f>
        <v>#N/A Requesting Data...</v>
      </c>
    </row>
    <row r="615" spans="1:20" x14ac:dyDescent="0.25">
      <c r="A615" t="str">
        <f>_xll.BDP("022483LM Muni","ID_CUSIP")</f>
        <v>#N/A Requesting Data...</v>
      </c>
      <c r="B615" t="s">
        <v>174</v>
      </c>
      <c r="C615" t="str">
        <f>_xll.BDP("022483LM Muni","INSURANCE_STATUS")</f>
        <v>#N/A Requesting Data...</v>
      </c>
      <c r="D615" t="str">
        <f>_xll.BDP("022483LM Muni","STATE_CODE")</f>
        <v>#N/A Requesting Data...</v>
      </c>
      <c r="E615" t="str">
        <f>_xll.BDP("022483LM Muni","COUNTY_LOCATION_ISSUER")</f>
        <v>#N/A Requesting Data...</v>
      </c>
      <c r="F615" t="str">
        <f>_xll.BDP("022483LM Muni","DUR_ADJ_MID")</f>
        <v>#N/A Requesting Data...</v>
      </c>
      <c r="G615" t="str">
        <f>_xll.BDP("022483LM Muni","SPREAD_AT_ISSUANCE_TO_WORST")</f>
        <v>#N/A Requesting Data...</v>
      </c>
      <c r="H615" t="str">
        <f>_xll.BDP("022483LM Muni","ISSUE_DT")</f>
        <v>#N/A Requesting Data...</v>
      </c>
      <c r="I615" t="str">
        <f>_xll.BDS("022483LM Muni","MUNI_PURPOSE_SCHED", "aggregate=y")</f>
        <v>#N/A Requesting Data...</v>
      </c>
      <c r="J615" t="str">
        <f>_xll.BDP("022483LM Muni","CPN")</f>
        <v>#N/A Requesting Data...</v>
      </c>
      <c r="K615" t="str">
        <f>_xll.BDP("022483LM Muni","MATURITY")</f>
        <v>#N/A Requesting Data...</v>
      </c>
      <c r="L615">
        <v>465000</v>
      </c>
      <c r="M615" t="str">
        <f>_xll.BDP("022483LM Muni","YIELD_ON_ISSUE_DATE")</f>
        <v>#N/A Requesting Data...</v>
      </c>
      <c r="N615" t="str">
        <f>_xll.BDP("022483LM Muni","YTW_SPREAD_TO_MATURITY_AT_ISSU")</f>
        <v>#N/A Requesting Data...</v>
      </c>
      <c r="O615" t="str">
        <f>_xll.BDP("022483LM Muni","BVAL_MID_YTM")</f>
        <v>#N/A Requesting Data...</v>
      </c>
      <c r="P615" t="str">
        <f>_xll.BDP("022483LM Muni","MUNI_TAX_PROV")</f>
        <v>#N/A Requesting Data...</v>
      </c>
      <c r="Q615" t="str">
        <f>_xll.BDP("022483LM Muni","MUNI_FED_TAX")</f>
        <v>#N/A Requesting Data...</v>
      </c>
      <c r="R615" t="str">
        <f>_xll.BDP("022483LM Muni","MUNI_MSRB_VOLUME")</f>
        <v>#N/A Requesting Data...</v>
      </c>
      <c r="S615" t="str">
        <f>_xll.BDP("022483LM Muni","BB_COMPOSITE")</f>
        <v>#N/A Requesting Data...</v>
      </c>
      <c r="T615" t="str">
        <f>_xll.BDP("022483LM Muni","LQA_LIQUIDITY_SCORE")</f>
        <v>#N/A Requesting Data...</v>
      </c>
    </row>
    <row r="616" spans="1:20" x14ac:dyDescent="0.25">
      <c r="A616" t="str">
        <f>_xll.BDP("022483LN Muni","ID_CUSIP")</f>
        <v>#N/A Requesting Data...</v>
      </c>
      <c r="B616" t="s">
        <v>174</v>
      </c>
      <c r="C616" t="str">
        <f>_xll.BDP("022483LN Muni","INSURANCE_STATUS")</f>
        <v>#N/A Requesting Data...</v>
      </c>
      <c r="D616" t="str">
        <f>_xll.BDP("022483LN Muni","STATE_CODE")</f>
        <v>#N/A Requesting Data...</v>
      </c>
      <c r="E616" t="str">
        <f>_xll.BDP("022483LN Muni","COUNTY_LOCATION_ISSUER")</f>
        <v>#N/A Requesting Data...</v>
      </c>
      <c r="F616" t="str">
        <f>_xll.BDP("022483LN Muni","DUR_ADJ_MID")</f>
        <v>#N/A Requesting Data...</v>
      </c>
      <c r="G616" t="str">
        <f>_xll.BDP("022483LN Muni","SPREAD_AT_ISSUANCE_TO_WORST")</f>
        <v>#N/A Requesting Data...</v>
      </c>
      <c r="H616" t="str">
        <f>_xll.BDP("022483LN Muni","ISSUE_DT")</f>
        <v>#N/A Requesting Data...</v>
      </c>
      <c r="I616" t="str">
        <f>_xll.BDS("022483LN Muni","MUNI_PURPOSE_SCHED", "aggregate=y")</f>
        <v>#N/A Requesting Data...</v>
      </c>
      <c r="J616" t="str">
        <f>_xll.BDP("022483LN Muni","CPN")</f>
        <v>#N/A Requesting Data...</v>
      </c>
      <c r="K616" t="str">
        <f>_xll.BDP("022483LN Muni","MATURITY")</f>
        <v>#N/A Requesting Data...</v>
      </c>
      <c r="L616">
        <v>465000</v>
      </c>
      <c r="M616" t="str">
        <f>_xll.BDP("022483LN Muni","YIELD_ON_ISSUE_DATE")</f>
        <v>#N/A Requesting Data...</v>
      </c>
      <c r="N616" t="str">
        <f>_xll.BDP("022483LN Muni","YTW_SPREAD_TO_MATURITY_AT_ISSU")</f>
        <v>#N/A Requesting Data...</v>
      </c>
      <c r="O616" t="str">
        <f>_xll.BDP("022483LN Muni","BVAL_MID_YTM")</f>
        <v>#N/A Requesting Data...</v>
      </c>
      <c r="P616" t="str">
        <f>_xll.BDP("022483LN Muni","MUNI_TAX_PROV")</f>
        <v>#N/A Requesting Data...</v>
      </c>
      <c r="Q616" t="str">
        <f>_xll.BDP("022483LN Muni","MUNI_FED_TAX")</f>
        <v>#N/A Requesting Data...</v>
      </c>
      <c r="R616" t="str">
        <f>_xll.BDP("022483LN Muni","MUNI_MSRB_VOLUME")</f>
        <v>#N/A Requesting Data...</v>
      </c>
      <c r="S616" t="str">
        <f>_xll.BDP("022483LN Muni","BB_COMPOSITE")</f>
        <v>#N/A Requesting Data...</v>
      </c>
      <c r="T616" t="str">
        <f>_xll.BDP("022483LN Muni","LQA_LIQUIDITY_SCORE")</f>
        <v>#N/A Requesting Data...</v>
      </c>
    </row>
    <row r="617" spans="1:20" x14ac:dyDescent="0.25">
      <c r="A617" t="str">
        <f>_xll.BDP("022483LP Muni","ID_CUSIP")</f>
        <v>#N/A Requesting Data...</v>
      </c>
      <c r="B617" t="s">
        <v>174</v>
      </c>
      <c r="C617" t="str">
        <f>_xll.BDP("022483LP Muni","INSURANCE_STATUS")</f>
        <v>#N/A Requesting Data...</v>
      </c>
      <c r="D617" t="str">
        <f>_xll.BDP("022483LP Muni","STATE_CODE")</f>
        <v>#N/A Requesting Data...</v>
      </c>
      <c r="E617" t="str">
        <f>_xll.BDP("022483LP Muni","COUNTY_LOCATION_ISSUER")</f>
        <v>#N/A Requesting Data...</v>
      </c>
      <c r="F617" t="str">
        <f>_xll.BDP("022483LP Muni","DUR_ADJ_MID")</f>
        <v>#N/A Requesting Data...</v>
      </c>
      <c r="G617" t="str">
        <f>_xll.BDP("022483LP Muni","SPREAD_AT_ISSUANCE_TO_WORST")</f>
        <v>#N/A Requesting Data...</v>
      </c>
      <c r="H617" t="str">
        <f>_xll.BDP("022483LP Muni","ISSUE_DT")</f>
        <v>#N/A Requesting Data...</v>
      </c>
      <c r="I617" t="str">
        <f>_xll.BDS("022483LP Muni","MUNI_PURPOSE_SCHED", "aggregate=y")</f>
        <v>#N/A Requesting Data...</v>
      </c>
      <c r="J617" t="str">
        <f>_xll.BDP("022483LP Muni","CPN")</f>
        <v>#N/A Requesting Data...</v>
      </c>
      <c r="K617" t="str">
        <f>_xll.BDP("022483LP Muni","MATURITY")</f>
        <v>#N/A Requesting Data...</v>
      </c>
      <c r="L617">
        <v>465000</v>
      </c>
      <c r="M617" t="str">
        <f>_xll.BDP("022483LP Muni","YIELD_ON_ISSUE_DATE")</f>
        <v>#N/A Requesting Data...</v>
      </c>
      <c r="N617" t="str">
        <f>_xll.BDP("022483LP Muni","YTW_SPREAD_TO_MATURITY_AT_ISSU")</f>
        <v>#N/A Requesting Data...</v>
      </c>
      <c r="O617" t="str">
        <f>_xll.BDP("022483LP Muni","BVAL_MID_YTM")</f>
        <v>#N/A Requesting Data...</v>
      </c>
      <c r="P617" t="str">
        <f>_xll.BDP("022483LP Muni","MUNI_TAX_PROV")</f>
        <v>#N/A Requesting Data...</v>
      </c>
      <c r="Q617" t="str">
        <f>_xll.BDP("022483LP Muni","MUNI_FED_TAX")</f>
        <v>#N/A Requesting Data...</v>
      </c>
      <c r="R617" t="str">
        <f>_xll.BDP("022483LP Muni","MUNI_MSRB_VOLUME")</f>
        <v>#N/A Requesting Data...</v>
      </c>
      <c r="S617" t="str">
        <f>_xll.BDP("022483LP Muni","BB_COMPOSITE")</f>
        <v>#N/A Requesting Data...</v>
      </c>
      <c r="T617" t="str">
        <f>_xll.BDP("022483LP Muni","LQA_LIQUIDITY_SCORE")</f>
        <v>#N/A Requesting Data...</v>
      </c>
    </row>
    <row r="618" spans="1:20" x14ac:dyDescent="0.25">
      <c r="A618" t="str">
        <f>_xll.BDP("022483LQ Muni","ID_CUSIP")</f>
        <v>#N/A Requesting Data...</v>
      </c>
      <c r="B618" t="s">
        <v>174</v>
      </c>
      <c r="C618" t="str">
        <f>_xll.BDP("022483LQ Muni","INSURANCE_STATUS")</f>
        <v>#N/A Requesting Data...</v>
      </c>
      <c r="D618" t="str">
        <f>_xll.BDP("022483LQ Muni","STATE_CODE")</f>
        <v>#N/A Requesting Data...</v>
      </c>
      <c r="E618" t="str">
        <f>_xll.BDP("022483LQ Muni","COUNTY_LOCATION_ISSUER")</f>
        <v>#N/A Requesting Data...</v>
      </c>
      <c r="F618" t="str">
        <f>_xll.BDP("022483LQ Muni","DUR_ADJ_MID")</f>
        <v>#N/A Requesting Data...</v>
      </c>
      <c r="G618" t="str">
        <f>_xll.BDP("022483LQ Muni","SPREAD_AT_ISSUANCE_TO_WORST")</f>
        <v>#N/A Requesting Data...</v>
      </c>
      <c r="H618" t="str">
        <f>_xll.BDP("022483LQ Muni","ISSUE_DT")</f>
        <v>#N/A Requesting Data...</v>
      </c>
      <c r="I618" t="str">
        <f>_xll.BDS("022483LQ Muni","MUNI_PURPOSE_SCHED", "aggregate=y")</f>
        <v>#N/A Requesting Data...</v>
      </c>
      <c r="J618" t="str">
        <f>_xll.BDP("022483LQ Muni","CPN")</f>
        <v>#N/A Requesting Data...</v>
      </c>
      <c r="K618" t="str">
        <f>_xll.BDP("022483LQ Muni","MATURITY")</f>
        <v>#N/A Requesting Data...</v>
      </c>
      <c r="L618">
        <v>465000</v>
      </c>
      <c r="M618" t="str">
        <f>_xll.BDP("022483LQ Muni","YIELD_ON_ISSUE_DATE")</f>
        <v>#N/A Requesting Data...</v>
      </c>
      <c r="N618" t="str">
        <f>_xll.BDP("022483LQ Muni","YTW_SPREAD_TO_MATURITY_AT_ISSU")</f>
        <v>#N/A Requesting Data...</v>
      </c>
      <c r="O618" t="str">
        <f>_xll.BDP("022483LQ Muni","BVAL_MID_YTM")</f>
        <v>#N/A Requesting Data...</v>
      </c>
      <c r="P618" t="str">
        <f>_xll.BDP("022483LQ Muni","MUNI_TAX_PROV")</f>
        <v>#N/A Requesting Data...</v>
      </c>
      <c r="Q618" t="str">
        <f>_xll.BDP("022483LQ Muni","MUNI_FED_TAX")</f>
        <v>#N/A Requesting Data...</v>
      </c>
      <c r="R618" t="str">
        <f>_xll.BDP("022483LQ Muni","MUNI_MSRB_VOLUME")</f>
        <v>#N/A Requesting Data...</v>
      </c>
      <c r="S618" t="str">
        <f>_xll.BDP("022483LQ Muni","BB_COMPOSITE")</f>
        <v>#N/A Requesting Data...</v>
      </c>
      <c r="T618" t="str">
        <f>_xll.BDP("022483LQ Muni","LQA_LIQUIDITY_SCORE")</f>
        <v>#N/A Requesting Data...</v>
      </c>
    </row>
    <row r="619" spans="1:20" x14ac:dyDescent="0.25">
      <c r="A619" t="str">
        <f>_xll.BDP("035393GB Muni","ID_CUSIP")</f>
        <v>#N/A Requesting Data...</v>
      </c>
      <c r="B619" t="s">
        <v>175</v>
      </c>
      <c r="C619" t="str">
        <f>_xll.BDP("035393GB Muni","INSURANCE_STATUS")</f>
        <v>#N/A Requesting Data...</v>
      </c>
      <c r="D619" t="str">
        <f>_xll.BDP("035393GB Muni","STATE_CODE")</f>
        <v>#N/A Requesting Data...</v>
      </c>
      <c r="E619" t="str">
        <f>_xll.BDP("035393GB Muni","COUNTY_LOCATION_ISSUER")</f>
        <v>#N/A Requesting Data...</v>
      </c>
      <c r="F619" t="str">
        <f>_xll.BDP("035393GB Muni","DUR_ADJ_MID")</f>
        <v>#N/A Requesting Data...</v>
      </c>
      <c r="G619" t="str">
        <f>_xll.BDP("035393GB Muni","SPREAD_AT_ISSUANCE_TO_WORST")</f>
        <v>#N/A Requesting Data...</v>
      </c>
      <c r="H619" t="str">
        <f>_xll.BDP("035393GB Muni","ISSUE_DT")</f>
        <v>#N/A Requesting Data...</v>
      </c>
      <c r="I619" t="str">
        <f>_xll.BDS("035393GB Muni","MUNI_PURPOSE_SCHED", "aggregate=y")</f>
        <v>#N/A Requesting Data...</v>
      </c>
      <c r="J619" t="str">
        <f>_xll.BDP("035393GB Muni","CPN")</f>
        <v>#N/A Requesting Data...</v>
      </c>
      <c r="K619" t="str">
        <f>_xll.BDP("035393GB Muni","MATURITY")</f>
        <v>#N/A Requesting Data...</v>
      </c>
      <c r="L619">
        <v>365000</v>
      </c>
      <c r="M619" t="str">
        <f>_xll.BDP("035393GB Muni","YIELD_ON_ISSUE_DATE")</f>
        <v>#N/A Requesting Data...</v>
      </c>
      <c r="N619" t="str">
        <f>_xll.BDP("035393GB Muni","YTW_SPREAD_TO_MATURITY_AT_ISSU")</f>
        <v>#N/A Requesting Data...</v>
      </c>
      <c r="O619" t="str">
        <f>_xll.BDP("035393GB Muni","BVAL_MID_YTM")</f>
        <v>#N/A Requesting Data...</v>
      </c>
      <c r="P619" t="str">
        <f>_xll.BDP("035393GB Muni","MUNI_TAX_PROV")</f>
        <v>#N/A Requesting Data...</v>
      </c>
      <c r="Q619" t="str">
        <f>_xll.BDP("035393GB Muni","MUNI_FED_TAX")</f>
        <v>#N/A Requesting Data...</v>
      </c>
      <c r="R619" t="str">
        <f>_xll.BDP("035393GB Muni","MUNI_MSRB_VOLUME")</f>
        <v>#N/A Requesting Data...</v>
      </c>
      <c r="S619" t="str">
        <f>_xll.BDP("035393GB Muni","BB_COMPOSITE")</f>
        <v>#N/A Requesting Data...</v>
      </c>
      <c r="T619" t="str">
        <f>_xll.BDP("035393GB Muni","LQA_LIQUIDITY_SCORE")</f>
        <v>#N/A Requesting Data...</v>
      </c>
    </row>
    <row r="620" spans="1:20" x14ac:dyDescent="0.25">
      <c r="A620" t="str">
        <f>_xll.BDP("035393GD Muni","ID_CUSIP")</f>
        <v>#N/A Requesting Data...</v>
      </c>
      <c r="B620" t="s">
        <v>175</v>
      </c>
      <c r="C620" t="str">
        <f>_xll.BDP("035393GD Muni","INSURANCE_STATUS")</f>
        <v>#N/A Requesting Data...</v>
      </c>
      <c r="D620" t="str">
        <f>_xll.BDP("035393GD Muni","STATE_CODE")</f>
        <v>#N/A Requesting Data...</v>
      </c>
      <c r="E620" t="str">
        <f>_xll.BDP("035393GD Muni","COUNTY_LOCATION_ISSUER")</f>
        <v>#N/A Requesting Data...</v>
      </c>
      <c r="F620" t="str">
        <f>_xll.BDP("035393GD Muni","DUR_ADJ_MID")</f>
        <v>#N/A Requesting Data...</v>
      </c>
      <c r="G620" t="str">
        <f>_xll.BDP("035393GD Muni","SPREAD_AT_ISSUANCE_TO_WORST")</f>
        <v>#N/A Requesting Data...</v>
      </c>
      <c r="H620" t="str">
        <f>_xll.BDP("035393GD Muni","ISSUE_DT")</f>
        <v>#N/A Requesting Data...</v>
      </c>
      <c r="I620" t="str">
        <f>_xll.BDS("035393GD Muni","MUNI_PURPOSE_SCHED", "aggregate=y")</f>
        <v>#N/A Requesting Data...</v>
      </c>
      <c r="J620" t="str">
        <f>_xll.BDP("035393GD Muni","CPN")</f>
        <v>#N/A Requesting Data...</v>
      </c>
      <c r="K620" t="str">
        <f>_xll.BDP("035393GD Muni","MATURITY")</f>
        <v>#N/A Requesting Data...</v>
      </c>
      <c r="L620">
        <v>400000</v>
      </c>
      <c r="M620" t="str">
        <f>_xll.BDP("035393GD Muni","YIELD_ON_ISSUE_DATE")</f>
        <v>#N/A Requesting Data...</v>
      </c>
      <c r="N620" t="str">
        <f>_xll.BDP("035393GD Muni","YTW_SPREAD_TO_MATURITY_AT_ISSU")</f>
        <v>#N/A Requesting Data...</v>
      </c>
      <c r="O620" t="str">
        <f>_xll.BDP("035393GD Muni","BVAL_MID_YTM")</f>
        <v>#N/A Requesting Data...</v>
      </c>
      <c r="P620" t="str">
        <f>_xll.BDP("035393GD Muni","MUNI_TAX_PROV")</f>
        <v>#N/A Requesting Data...</v>
      </c>
      <c r="Q620" t="str">
        <f>_xll.BDP("035393GD Muni","MUNI_FED_TAX")</f>
        <v>#N/A Requesting Data...</v>
      </c>
      <c r="R620" t="str">
        <f>_xll.BDP("035393GD Muni","MUNI_MSRB_VOLUME")</f>
        <v>#N/A Requesting Data...</v>
      </c>
      <c r="S620" t="str">
        <f>_xll.BDP("035393GD Muni","BB_COMPOSITE")</f>
        <v>#N/A Requesting Data...</v>
      </c>
      <c r="T620" t="str">
        <f>_xll.BDP("035393GD Muni","LQA_LIQUIDITY_SCORE")</f>
        <v>#N/A Requesting Data...</v>
      </c>
    </row>
    <row r="621" spans="1:20" x14ac:dyDescent="0.25">
      <c r="A621" t="str">
        <f>_xll.BDP("1448797Y Muni","ID_CUSIP")</f>
        <v>#N/A Requesting Data...</v>
      </c>
      <c r="B621" t="s">
        <v>176</v>
      </c>
      <c r="C621" t="str">
        <f>_xll.BDP("1448797Y Muni","INSURANCE_STATUS")</f>
        <v>#N/A Requesting Data...</v>
      </c>
      <c r="D621" t="str">
        <f>_xll.BDP("1448797Y Muni","STATE_CODE")</f>
        <v>#N/A Requesting Data...</v>
      </c>
      <c r="E621" t="str">
        <f>_xll.BDP("1448797Y Muni","COUNTY_LOCATION_ISSUER")</f>
        <v>#N/A Requesting Data...</v>
      </c>
      <c r="F621" t="str">
        <f>_xll.BDP("1448797Y Muni","DUR_ADJ_MID")</f>
        <v>#N/A Requesting Data...</v>
      </c>
      <c r="G621" t="str">
        <f>_xll.BDP("1448797Y Muni","SPREAD_AT_ISSUANCE_TO_WORST")</f>
        <v>#N/A Requesting Data...</v>
      </c>
      <c r="H621" t="str">
        <f>_xll.BDP("1448797Y Muni","ISSUE_DT")</f>
        <v>#N/A Requesting Data...</v>
      </c>
      <c r="I621" t="str">
        <f>_xll.BDS("1448797Y Muni","MUNI_PURPOSE_SCHED", "aggregate=y")</f>
        <v>#N/A Requesting Data...</v>
      </c>
      <c r="J621" t="str">
        <f>_xll.BDP("1448797Y Muni","CPN")</f>
        <v>#N/A Requesting Data...</v>
      </c>
      <c r="K621" t="str">
        <f>_xll.BDP("1448797Y Muni","MATURITY")</f>
        <v>#N/A Requesting Data...</v>
      </c>
      <c r="L621">
        <v>1250000</v>
      </c>
      <c r="M621" t="str">
        <f>_xll.BDP("1448797Y Muni","YIELD_ON_ISSUE_DATE")</f>
        <v>#N/A Requesting Data...</v>
      </c>
      <c r="N621" t="str">
        <f>_xll.BDP("1448797Y Muni","YTW_SPREAD_TO_MATURITY_AT_ISSU")</f>
        <v>#N/A Requesting Data...</v>
      </c>
      <c r="O621" t="str">
        <f>_xll.BDP("1448797Y Muni","BVAL_MID_YTM")</f>
        <v>#N/A Requesting Data...</v>
      </c>
      <c r="P621" t="str">
        <f>_xll.BDP("1448797Y Muni","MUNI_TAX_PROV")</f>
        <v>#N/A Requesting Data...</v>
      </c>
      <c r="Q621" t="str">
        <f>_xll.BDP("1448797Y Muni","MUNI_FED_TAX")</f>
        <v>#N/A Requesting Data...</v>
      </c>
      <c r="R621" t="str">
        <f>_xll.BDP("1448797Y Muni","MUNI_MSRB_VOLUME")</f>
        <v>#N/A Requesting Data...</v>
      </c>
      <c r="S621" t="str">
        <f>_xll.BDP("1448797Y Muni","BB_COMPOSITE")</f>
        <v>#N/A Requesting Data...</v>
      </c>
      <c r="T621" t="str">
        <f>_xll.BDP("1448797Y Muni","LQA_LIQUIDITY_SCORE")</f>
        <v>#N/A Requesting Data...</v>
      </c>
    </row>
    <row r="622" spans="1:20" x14ac:dyDescent="0.25">
      <c r="A622" t="str">
        <f>_xll.BDP("1448797Z Muni","ID_CUSIP")</f>
        <v>#N/A Requesting Data...</v>
      </c>
      <c r="B622" t="s">
        <v>176</v>
      </c>
      <c r="C622" t="str">
        <f>_xll.BDP("1448797Z Muni","INSURANCE_STATUS")</f>
        <v>#N/A Requesting Data...</v>
      </c>
      <c r="D622" t="str">
        <f>_xll.BDP("1448797Z Muni","STATE_CODE")</f>
        <v>#N/A Requesting Data...</v>
      </c>
      <c r="E622" t="str">
        <f>_xll.BDP("1448797Z Muni","COUNTY_LOCATION_ISSUER")</f>
        <v>#N/A Requesting Data...</v>
      </c>
      <c r="F622" t="str">
        <f>_xll.BDP("1448797Z Muni","DUR_ADJ_MID")</f>
        <v>#N/A Requesting Data...</v>
      </c>
      <c r="G622" t="str">
        <f>_xll.BDP("1448797Z Muni","SPREAD_AT_ISSUANCE_TO_WORST")</f>
        <v>#N/A Requesting Data...</v>
      </c>
      <c r="H622" t="str">
        <f>_xll.BDP("1448797Z Muni","ISSUE_DT")</f>
        <v>#N/A Requesting Data...</v>
      </c>
      <c r="I622" t="str">
        <f>_xll.BDS("1448797Z Muni","MUNI_PURPOSE_SCHED", "aggregate=y")</f>
        <v>#N/A Requesting Data...</v>
      </c>
      <c r="J622" t="str">
        <f>_xll.BDP("1448797Z Muni","CPN")</f>
        <v>#N/A Requesting Data...</v>
      </c>
      <c r="K622" t="str">
        <f>_xll.BDP("1448797Z Muni","MATURITY")</f>
        <v>#N/A Requesting Data...</v>
      </c>
      <c r="L622">
        <v>1250000</v>
      </c>
      <c r="M622" t="str">
        <f>_xll.BDP("1448797Z Muni","YIELD_ON_ISSUE_DATE")</f>
        <v>#N/A Requesting Data...</v>
      </c>
      <c r="N622" t="str">
        <f>_xll.BDP("1448797Z Muni","YTW_SPREAD_TO_MATURITY_AT_ISSU")</f>
        <v>#N/A Requesting Data...</v>
      </c>
      <c r="O622" t="str">
        <f>_xll.BDP("1448797Z Muni","BVAL_MID_YTM")</f>
        <v>#N/A Requesting Data...</v>
      </c>
      <c r="P622" t="str">
        <f>_xll.BDP("1448797Z Muni","MUNI_TAX_PROV")</f>
        <v>#N/A Requesting Data...</v>
      </c>
      <c r="Q622" t="str">
        <f>_xll.BDP("1448797Z Muni","MUNI_FED_TAX")</f>
        <v>#N/A Requesting Data...</v>
      </c>
      <c r="R622" t="str">
        <f>_xll.BDP("1448797Z Muni","MUNI_MSRB_VOLUME")</f>
        <v>#N/A Requesting Data...</v>
      </c>
      <c r="S622" t="str">
        <f>_xll.BDP("1448797Z Muni","BB_COMPOSITE")</f>
        <v>#N/A Requesting Data...</v>
      </c>
      <c r="T622" t="str">
        <f>_xll.BDP("1448797Z Muni","LQA_LIQUIDITY_SCORE")</f>
        <v>#N/A Requesting Data...</v>
      </c>
    </row>
    <row r="623" spans="1:20" x14ac:dyDescent="0.25">
      <c r="A623" t="str">
        <f>_xll.BDP("1448798A Muni","ID_CUSIP")</f>
        <v>#N/A Requesting Data...</v>
      </c>
      <c r="B623" t="s">
        <v>176</v>
      </c>
      <c r="C623" t="str">
        <f>_xll.BDP("1448798A Muni","INSURANCE_STATUS")</f>
        <v>#N/A Requesting Data...</v>
      </c>
      <c r="D623" t="str">
        <f>_xll.BDP("1448798A Muni","STATE_CODE")</f>
        <v>#N/A Requesting Data...</v>
      </c>
      <c r="E623" t="str">
        <f>_xll.BDP("1448798A Muni","COUNTY_LOCATION_ISSUER")</f>
        <v>#N/A Requesting Data...</v>
      </c>
      <c r="F623" t="str">
        <f>_xll.BDP("1448798A Muni","DUR_ADJ_MID")</f>
        <v>#N/A Requesting Data...</v>
      </c>
      <c r="G623" t="str">
        <f>_xll.BDP("1448798A Muni","SPREAD_AT_ISSUANCE_TO_WORST")</f>
        <v>#N/A Requesting Data...</v>
      </c>
      <c r="H623" t="str">
        <f>_xll.BDP("1448798A Muni","ISSUE_DT")</f>
        <v>#N/A Requesting Data...</v>
      </c>
      <c r="I623" t="str">
        <f>_xll.BDS("1448798A Muni","MUNI_PURPOSE_SCHED", "aggregate=y")</f>
        <v>#N/A Requesting Data...</v>
      </c>
      <c r="J623" t="str">
        <f>_xll.BDP("1448798A Muni","CPN")</f>
        <v>#N/A Requesting Data...</v>
      </c>
      <c r="K623" t="str">
        <f>_xll.BDP("1448798A Muni","MATURITY")</f>
        <v>#N/A Requesting Data...</v>
      </c>
      <c r="L623">
        <v>1250000</v>
      </c>
      <c r="M623" t="str">
        <f>_xll.BDP("1448798A Muni","YIELD_ON_ISSUE_DATE")</f>
        <v>#N/A Requesting Data...</v>
      </c>
      <c r="N623" t="str">
        <f>_xll.BDP("1448798A Muni","YTW_SPREAD_TO_MATURITY_AT_ISSU")</f>
        <v>#N/A Requesting Data...</v>
      </c>
      <c r="O623" t="str">
        <f>_xll.BDP("1448798A Muni","BVAL_MID_YTM")</f>
        <v>#N/A Requesting Data...</v>
      </c>
      <c r="P623" t="str">
        <f>_xll.BDP("1448798A Muni","MUNI_TAX_PROV")</f>
        <v>#N/A Requesting Data...</v>
      </c>
      <c r="Q623" t="str">
        <f>_xll.BDP("1448798A Muni","MUNI_FED_TAX")</f>
        <v>#N/A Requesting Data...</v>
      </c>
      <c r="R623" t="str">
        <f>_xll.BDP("1448798A Muni","MUNI_MSRB_VOLUME")</f>
        <v>#N/A Requesting Data...</v>
      </c>
      <c r="S623" t="str">
        <f>_xll.BDP("1448798A Muni","BB_COMPOSITE")</f>
        <v>#N/A Requesting Data...</v>
      </c>
      <c r="T623" t="str">
        <f>_xll.BDP("1448798A Muni","LQA_LIQUIDITY_SCORE")</f>
        <v>#N/A Requesting Data...</v>
      </c>
    </row>
    <row r="624" spans="1:20" x14ac:dyDescent="0.25">
      <c r="A624" t="str">
        <f>_xll.BDP("1448798D Muni","ID_CUSIP")</f>
        <v>#N/A Requesting Data...</v>
      </c>
      <c r="B624" t="s">
        <v>176</v>
      </c>
      <c r="C624" t="str">
        <f>_xll.BDP("1448798D Muni","INSURANCE_STATUS")</f>
        <v>#N/A Requesting Data...</v>
      </c>
      <c r="D624" t="str">
        <f>_xll.BDP("1448798D Muni","STATE_CODE")</f>
        <v>#N/A Requesting Data...</v>
      </c>
      <c r="E624" t="str">
        <f>_xll.BDP("1448798D Muni","COUNTY_LOCATION_ISSUER")</f>
        <v>#N/A Requesting Data...</v>
      </c>
      <c r="F624" t="str">
        <f>_xll.BDP("1448798D Muni","DUR_ADJ_MID")</f>
        <v>#N/A Requesting Data...</v>
      </c>
      <c r="G624" t="str">
        <f>_xll.BDP("1448798D Muni","SPREAD_AT_ISSUANCE_TO_WORST")</f>
        <v>#N/A Requesting Data...</v>
      </c>
      <c r="H624" t="str">
        <f>_xll.BDP("1448798D Muni","ISSUE_DT")</f>
        <v>#N/A Requesting Data...</v>
      </c>
      <c r="I624" t="str">
        <f>_xll.BDS("1448798D Muni","MUNI_PURPOSE_SCHED", "aggregate=y")</f>
        <v>#N/A Requesting Data...</v>
      </c>
      <c r="J624" t="str">
        <f>_xll.BDP("1448798D Muni","CPN")</f>
        <v>#N/A Requesting Data...</v>
      </c>
      <c r="K624" t="str">
        <f>_xll.BDP("1448798D Muni","MATURITY")</f>
        <v>#N/A Requesting Data...</v>
      </c>
      <c r="L624">
        <v>1250000</v>
      </c>
      <c r="M624" t="str">
        <f>_xll.BDP("1448798D Muni","YIELD_ON_ISSUE_DATE")</f>
        <v>#N/A Requesting Data...</v>
      </c>
      <c r="N624" t="str">
        <f>_xll.BDP("1448798D Muni","YTW_SPREAD_TO_MATURITY_AT_ISSU")</f>
        <v>#N/A Requesting Data...</v>
      </c>
      <c r="O624" t="str">
        <f>_xll.BDP("1448798D Muni","BVAL_MID_YTM")</f>
        <v>#N/A Requesting Data...</v>
      </c>
      <c r="P624" t="str">
        <f>_xll.BDP("1448798D Muni","MUNI_TAX_PROV")</f>
        <v>#N/A Requesting Data...</v>
      </c>
      <c r="Q624" t="str">
        <f>_xll.BDP("1448798D Muni","MUNI_FED_TAX")</f>
        <v>#N/A Requesting Data...</v>
      </c>
      <c r="R624" t="str">
        <f>_xll.BDP("1448798D Muni","MUNI_MSRB_VOLUME")</f>
        <v>#N/A Requesting Data...</v>
      </c>
      <c r="S624" t="str">
        <f>_xll.BDP("1448798D Muni","BB_COMPOSITE")</f>
        <v>#N/A Requesting Data...</v>
      </c>
      <c r="T624" t="str">
        <f>_xll.BDP("1448798D Muni","LQA_LIQUIDITY_SCORE")</f>
        <v>#N/A Requesting Data...</v>
      </c>
    </row>
    <row r="625" spans="1:20" x14ac:dyDescent="0.25">
      <c r="A625" t="str">
        <f>_xll.BDP("146501QF Muni","ID_CUSIP")</f>
        <v>#N/A Requesting Data...</v>
      </c>
      <c r="B625" t="s">
        <v>141</v>
      </c>
      <c r="C625" t="str">
        <f>_xll.BDP("146501QF Muni","INSURANCE_STATUS")</f>
        <v>#N/A Requesting Data...</v>
      </c>
      <c r="D625" t="str">
        <f>_xll.BDP("146501QF Muni","STATE_CODE")</f>
        <v>#N/A Requesting Data...</v>
      </c>
      <c r="E625" t="str">
        <f>_xll.BDP("146501QF Muni","COUNTY_LOCATION_ISSUER")</f>
        <v>#N/A Requesting Data...</v>
      </c>
      <c r="F625" t="str">
        <f>_xll.BDP("146501QF Muni","DUR_ADJ_MID")</f>
        <v>#N/A Requesting Data...</v>
      </c>
      <c r="G625" t="str">
        <f>_xll.BDP("146501QF Muni","SPREAD_AT_ISSUANCE_TO_WORST")</f>
        <v>#N/A Requesting Data...</v>
      </c>
      <c r="H625" t="str">
        <f>_xll.BDP("146501QF Muni","ISSUE_DT")</f>
        <v>#N/A Requesting Data...</v>
      </c>
      <c r="I625" t="str">
        <f>_xll.BDS("146501QF Muni","MUNI_PURPOSE_SCHED", "aggregate=y")</f>
        <v>#N/A Requesting Data...</v>
      </c>
      <c r="J625" t="str">
        <f>_xll.BDP("146501QF Muni","CPN")</f>
        <v>#N/A Requesting Data...</v>
      </c>
      <c r="K625" t="str">
        <f>_xll.BDP("146501QF Muni","MATURITY")</f>
        <v>#N/A Requesting Data...</v>
      </c>
      <c r="L625">
        <v>1280000</v>
      </c>
      <c r="M625" t="str">
        <f>_xll.BDP("146501QF Muni","YIELD_ON_ISSUE_DATE")</f>
        <v>#N/A Requesting Data...</v>
      </c>
      <c r="N625" t="str">
        <f>_xll.BDP("146501QF Muni","YTW_SPREAD_TO_MATURITY_AT_ISSU")</f>
        <v>#N/A Requesting Data...</v>
      </c>
      <c r="O625" t="str">
        <f>_xll.BDP("146501QF Muni","BVAL_MID_YTM")</f>
        <v>#N/A Requesting Data...</v>
      </c>
      <c r="P625" t="str">
        <f>_xll.BDP("146501QF Muni","MUNI_TAX_PROV")</f>
        <v>#N/A Requesting Data...</v>
      </c>
      <c r="Q625" t="str">
        <f>_xll.BDP("146501QF Muni","MUNI_FED_TAX")</f>
        <v>#N/A Requesting Data...</v>
      </c>
      <c r="R625" t="str">
        <f>_xll.BDP("146501QF Muni","MUNI_MSRB_VOLUME")</f>
        <v>#N/A Requesting Data...</v>
      </c>
      <c r="S625" t="str">
        <f>_xll.BDP("146501QF Muni","BB_COMPOSITE")</f>
        <v>#N/A Requesting Data...</v>
      </c>
      <c r="T625" t="str">
        <f>_xll.BDP("146501QF Muni","LQA_LIQUIDITY_SCORE")</f>
        <v>#N/A Requesting Data...</v>
      </c>
    </row>
    <row r="626" spans="1:20" x14ac:dyDescent="0.25">
      <c r="A626" t="str">
        <f>_xll.BDP("146501QH Muni","ID_CUSIP")</f>
        <v>#N/A Requesting Data...</v>
      </c>
      <c r="B626" t="s">
        <v>141</v>
      </c>
      <c r="C626" t="str">
        <f>_xll.BDP("146501QH Muni","INSURANCE_STATUS")</f>
        <v>#N/A Requesting Data...</v>
      </c>
      <c r="D626" t="str">
        <f>_xll.BDP("146501QH Muni","STATE_CODE")</f>
        <v>#N/A Requesting Data...</v>
      </c>
      <c r="E626" t="str">
        <f>_xll.BDP("146501QH Muni","COUNTY_LOCATION_ISSUER")</f>
        <v>#N/A Requesting Data...</v>
      </c>
      <c r="F626" t="str">
        <f>_xll.BDP("146501QH Muni","DUR_ADJ_MID")</f>
        <v>#N/A Requesting Data...</v>
      </c>
      <c r="G626" t="str">
        <f>_xll.BDP("146501QH Muni","SPREAD_AT_ISSUANCE_TO_WORST")</f>
        <v>#N/A Requesting Data...</v>
      </c>
      <c r="H626" t="str">
        <f>_xll.BDP("146501QH Muni","ISSUE_DT")</f>
        <v>#N/A Requesting Data...</v>
      </c>
      <c r="I626" t="str">
        <f>_xll.BDS("146501QH Muni","MUNI_PURPOSE_SCHED", "aggregate=y")</f>
        <v>#N/A Requesting Data...</v>
      </c>
      <c r="J626" t="str">
        <f>_xll.BDP("146501QH Muni","CPN")</f>
        <v>#N/A Requesting Data...</v>
      </c>
      <c r="K626" t="str">
        <f>_xll.BDP("146501QH Muni","MATURITY")</f>
        <v>#N/A Requesting Data...</v>
      </c>
      <c r="L626">
        <v>1410000</v>
      </c>
      <c r="M626" t="str">
        <f>_xll.BDP("146501QH Muni","YIELD_ON_ISSUE_DATE")</f>
        <v>#N/A Requesting Data...</v>
      </c>
      <c r="N626" t="str">
        <f>_xll.BDP("146501QH Muni","YTW_SPREAD_TO_MATURITY_AT_ISSU")</f>
        <v>#N/A Requesting Data...</v>
      </c>
      <c r="O626" t="str">
        <f>_xll.BDP("146501QH Muni","BVAL_MID_YTM")</f>
        <v>#N/A Requesting Data...</v>
      </c>
      <c r="P626" t="str">
        <f>_xll.BDP("146501QH Muni","MUNI_TAX_PROV")</f>
        <v>#N/A Requesting Data...</v>
      </c>
      <c r="Q626" t="str">
        <f>_xll.BDP("146501QH Muni","MUNI_FED_TAX")</f>
        <v>#N/A Requesting Data...</v>
      </c>
      <c r="R626" t="str">
        <f>_xll.BDP("146501QH Muni","MUNI_MSRB_VOLUME")</f>
        <v>#N/A Requesting Data...</v>
      </c>
      <c r="S626" t="str">
        <f>_xll.BDP("146501QH Muni","BB_COMPOSITE")</f>
        <v>#N/A Requesting Data...</v>
      </c>
      <c r="T626" t="str">
        <f>_xll.BDP("146501QH Muni","LQA_LIQUIDITY_SCORE")</f>
        <v>#N/A Requesting Data...</v>
      </c>
    </row>
    <row r="627" spans="1:20" x14ac:dyDescent="0.25">
      <c r="A627" t="str">
        <f>_xll.BDP("080375FG Muni","ID_CUSIP")</f>
        <v>#N/A Requesting Data...</v>
      </c>
      <c r="B627" t="s">
        <v>177</v>
      </c>
      <c r="C627" t="str">
        <f>_xll.BDP("080375FG Muni","INSURANCE_STATUS")</f>
        <v>#N/A Requesting Data...</v>
      </c>
      <c r="D627" t="str">
        <f>_xll.BDP("080375FG Muni","STATE_CODE")</f>
        <v>#N/A Requesting Data...</v>
      </c>
      <c r="E627" t="str">
        <f>_xll.BDP("080375FG Muni","COUNTY_LOCATION_ISSUER")</f>
        <v>#N/A Requesting Data...</v>
      </c>
      <c r="F627" t="str">
        <f>_xll.BDP("080375FG Muni","DUR_ADJ_MID")</f>
        <v>#N/A Requesting Data...</v>
      </c>
      <c r="G627" t="str">
        <f>_xll.BDP("080375FG Muni","SPREAD_AT_ISSUANCE_TO_WORST")</f>
        <v>#N/A Requesting Data...</v>
      </c>
      <c r="H627" t="str">
        <f>_xll.BDP("080375FG Muni","ISSUE_DT")</f>
        <v>#N/A Requesting Data...</v>
      </c>
      <c r="I627" t="str">
        <f>_xll.BDS("080375FG Muni","MUNI_PURPOSE_SCHED", "aggregate=y")</f>
        <v>#N/A Requesting Data...</v>
      </c>
      <c r="J627" t="str">
        <f>_xll.BDP("080375FG Muni","CPN")</f>
        <v>#N/A Requesting Data...</v>
      </c>
      <c r="K627" t="str">
        <f>_xll.BDP("080375FG Muni","MATURITY")</f>
        <v>#N/A Requesting Data...</v>
      </c>
      <c r="L627">
        <v>225000</v>
      </c>
      <c r="M627" t="str">
        <f>_xll.BDP("080375FG Muni","YIELD_ON_ISSUE_DATE")</f>
        <v>#N/A Requesting Data...</v>
      </c>
      <c r="N627" t="str">
        <f>_xll.BDP("080375FG Muni","YTW_SPREAD_TO_MATURITY_AT_ISSU")</f>
        <v>#N/A Requesting Data...</v>
      </c>
      <c r="O627" t="str">
        <f>_xll.BDP("080375FG Muni","BVAL_MID_YTM")</f>
        <v>#N/A Requesting Data...</v>
      </c>
      <c r="P627" t="str">
        <f>_xll.BDP("080375FG Muni","MUNI_TAX_PROV")</f>
        <v>#N/A Requesting Data...</v>
      </c>
      <c r="Q627" t="str">
        <f>_xll.BDP("080375FG Muni","MUNI_FED_TAX")</f>
        <v>#N/A Requesting Data...</v>
      </c>
      <c r="R627" t="str">
        <f>_xll.BDP("080375FG Muni","MUNI_MSRB_VOLUME")</f>
        <v>#N/A Requesting Data...</v>
      </c>
      <c r="S627" t="str">
        <f>_xll.BDP("080375FG Muni","BB_COMPOSITE")</f>
        <v>#N/A Requesting Data...</v>
      </c>
      <c r="T627" t="str">
        <f>_xll.BDP("080375FG Muni","LQA_LIQUIDITY_SCORE")</f>
        <v>#N/A Requesting Data...</v>
      </c>
    </row>
    <row r="628" spans="1:20" x14ac:dyDescent="0.25">
      <c r="A628" t="str">
        <f>_xll.BDP("080692ER Muni","ID_CUSIP")</f>
        <v>#N/A Requesting Data...</v>
      </c>
      <c r="B628" t="s">
        <v>178</v>
      </c>
      <c r="C628" t="str">
        <f>_xll.BDP("080692ER Muni","INSURANCE_STATUS")</f>
        <v>#N/A Requesting Data...</v>
      </c>
      <c r="D628" t="str">
        <f>_xll.BDP("080692ER Muni","STATE_CODE")</f>
        <v>#N/A Requesting Data...</v>
      </c>
      <c r="E628" t="str">
        <f>_xll.BDP("080692ER Muni","COUNTY_LOCATION_ISSUER")</f>
        <v>#N/A Requesting Data...</v>
      </c>
      <c r="F628" t="str">
        <f>_xll.BDP("080692ER Muni","DUR_ADJ_MID")</f>
        <v>#N/A Requesting Data...</v>
      </c>
      <c r="G628" t="str">
        <f>_xll.BDP("080692ER Muni","SPREAD_AT_ISSUANCE_TO_WORST")</f>
        <v>#N/A Requesting Data...</v>
      </c>
      <c r="H628" t="str">
        <f>_xll.BDP("080692ER Muni","ISSUE_DT")</f>
        <v>#N/A Requesting Data...</v>
      </c>
      <c r="I628" t="str">
        <f>_xll.BDS("080692ER Muni","MUNI_PURPOSE_SCHED", "aggregate=y")</f>
        <v>#N/A Requesting Data...</v>
      </c>
      <c r="J628" t="str">
        <f>_xll.BDP("080692ER Muni","CPN")</f>
        <v>#N/A Requesting Data...</v>
      </c>
      <c r="K628" t="str">
        <f>_xll.BDP("080692ER Muni","MATURITY")</f>
        <v>#N/A Requesting Data...</v>
      </c>
      <c r="L628">
        <v>100000</v>
      </c>
      <c r="M628" t="str">
        <f>_xll.BDP("080692ER Muni","YIELD_ON_ISSUE_DATE")</f>
        <v>#N/A Requesting Data...</v>
      </c>
      <c r="N628" t="str">
        <f>_xll.BDP("080692ER Muni","YTW_SPREAD_TO_MATURITY_AT_ISSU")</f>
        <v>#N/A Requesting Data...</v>
      </c>
      <c r="O628" t="str">
        <f>_xll.BDP("080692ER Muni","BVAL_MID_YTM")</f>
        <v>#N/A Requesting Data...</v>
      </c>
      <c r="P628" t="str">
        <f>_xll.BDP("080692ER Muni","MUNI_TAX_PROV")</f>
        <v>#N/A Requesting Data...</v>
      </c>
      <c r="Q628" t="str">
        <f>_xll.BDP("080692ER Muni","MUNI_FED_TAX")</f>
        <v>#N/A Requesting Data...</v>
      </c>
      <c r="R628" t="str">
        <f>_xll.BDP("080692ER Muni","MUNI_MSRB_VOLUME")</f>
        <v>#N/A Requesting Data...</v>
      </c>
      <c r="S628" t="str">
        <f>_xll.BDP("080692ER Muni","BB_COMPOSITE")</f>
        <v>#N/A Requesting Data...</v>
      </c>
      <c r="T628" t="str">
        <f>_xll.BDP("080692ER Muni","LQA_LIQUIDITY_SCORE")</f>
        <v>#N/A Requesting Data...</v>
      </c>
    </row>
    <row r="629" spans="1:20" x14ac:dyDescent="0.25">
      <c r="A629" t="str">
        <f>_xll.BDP("080692ES Muni","ID_CUSIP")</f>
        <v>#N/A Requesting Data...</v>
      </c>
      <c r="B629" t="s">
        <v>178</v>
      </c>
      <c r="C629" t="str">
        <f>_xll.BDP("080692ES Muni","INSURANCE_STATUS")</f>
        <v>#N/A Requesting Data...</v>
      </c>
      <c r="D629" t="str">
        <f>_xll.BDP("080692ES Muni","STATE_CODE")</f>
        <v>#N/A Requesting Data...</v>
      </c>
      <c r="E629" t="str">
        <f>_xll.BDP("080692ES Muni","COUNTY_LOCATION_ISSUER")</f>
        <v>#N/A Requesting Data...</v>
      </c>
      <c r="F629" t="str">
        <f>_xll.BDP("080692ES Muni","DUR_ADJ_MID")</f>
        <v>#N/A Requesting Data...</v>
      </c>
      <c r="G629" t="str">
        <f>_xll.BDP("080692ES Muni","SPREAD_AT_ISSUANCE_TO_WORST")</f>
        <v>#N/A Requesting Data...</v>
      </c>
      <c r="H629" t="str">
        <f>_xll.BDP("080692ES Muni","ISSUE_DT")</f>
        <v>#N/A Requesting Data...</v>
      </c>
      <c r="I629" t="str">
        <f>_xll.BDS("080692ES Muni","MUNI_PURPOSE_SCHED", "aggregate=y")</f>
        <v>#N/A Requesting Data...</v>
      </c>
      <c r="J629" t="str">
        <f>_xll.BDP("080692ES Muni","CPN")</f>
        <v>#N/A Requesting Data...</v>
      </c>
      <c r="K629" t="str">
        <f>_xll.BDP("080692ES Muni","MATURITY")</f>
        <v>#N/A Requesting Data...</v>
      </c>
      <c r="L629">
        <v>100000</v>
      </c>
      <c r="M629" t="str">
        <f>_xll.BDP("080692ES Muni","YIELD_ON_ISSUE_DATE")</f>
        <v>#N/A Requesting Data...</v>
      </c>
      <c r="N629" t="str">
        <f>_xll.BDP("080692ES Muni","YTW_SPREAD_TO_MATURITY_AT_ISSU")</f>
        <v>#N/A Requesting Data...</v>
      </c>
      <c r="O629" t="str">
        <f>_xll.BDP("080692ES Muni","BVAL_MID_YTM")</f>
        <v>#N/A Requesting Data...</v>
      </c>
      <c r="P629" t="str">
        <f>_xll.BDP("080692ES Muni","MUNI_TAX_PROV")</f>
        <v>#N/A Requesting Data...</v>
      </c>
      <c r="Q629" t="str">
        <f>_xll.BDP("080692ES Muni","MUNI_FED_TAX")</f>
        <v>#N/A Requesting Data...</v>
      </c>
      <c r="R629" t="str">
        <f>_xll.BDP("080692ES Muni","MUNI_MSRB_VOLUME")</f>
        <v>#N/A Requesting Data...</v>
      </c>
      <c r="S629" t="str">
        <f>_xll.BDP("080692ES Muni","BB_COMPOSITE")</f>
        <v>#N/A Requesting Data...</v>
      </c>
      <c r="T629" t="str">
        <f>_xll.BDP("080692ES Muni","LQA_LIQUIDITY_SCORE")</f>
        <v>#N/A Requesting Data...</v>
      </c>
    </row>
    <row r="630" spans="1:20" x14ac:dyDescent="0.25">
      <c r="A630" t="str">
        <f>_xll.BDP("080692ET Muni","ID_CUSIP")</f>
        <v>#N/A Requesting Data...</v>
      </c>
      <c r="B630" t="s">
        <v>178</v>
      </c>
      <c r="C630" t="str">
        <f>_xll.BDP("080692ET Muni","INSURANCE_STATUS")</f>
        <v>#N/A Requesting Data...</v>
      </c>
      <c r="D630" t="str">
        <f>_xll.BDP("080692ET Muni","STATE_CODE")</f>
        <v>#N/A Requesting Data...</v>
      </c>
      <c r="E630" t="str">
        <f>_xll.BDP("080692ET Muni","COUNTY_LOCATION_ISSUER")</f>
        <v>#N/A Requesting Data...</v>
      </c>
      <c r="F630" t="str">
        <f>_xll.BDP("080692ET Muni","DUR_ADJ_MID")</f>
        <v>#N/A Requesting Data...</v>
      </c>
      <c r="G630" t="str">
        <f>_xll.BDP("080692ET Muni","SPREAD_AT_ISSUANCE_TO_WORST")</f>
        <v>#N/A Requesting Data...</v>
      </c>
      <c r="H630" t="str">
        <f>_xll.BDP("080692ET Muni","ISSUE_DT")</f>
        <v>#N/A Requesting Data...</v>
      </c>
      <c r="I630" t="str">
        <f>_xll.BDS("080692ET Muni","MUNI_PURPOSE_SCHED", "aggregate=y")</f>
        <v>#N/A Requesting Data...</v>
      </c>
      <c r="J630" t="str">
        <f>_xll.BDP("080692ET Muni","CPN")</f>
        <v>#N/A Requesting Data...</v>
      </c>
      <c r="K630" t="str">
        <f>_xll.BDP("080692ET Muni","MATURITY")</f>
        <v>#N/A Requesting Data...</v>
      </c>
      <c r="L630">
        <v>110000</v>
      </c>
      <c r="M630" t="str">
        <f>_xll.BDP("080692ET Muni","YIELD_ON_ISSUE_DATE")</f>
        <v>#N/A Requesting Data...</v>
      </c>
      <c r="N630" t="str">
        <f>_xll.BDP("080692ET Muni","YTW_SPREAD_TO_MATURITY_AT_ISSU")</f>
        <v>#N/A Requesting Data...</v>
      </c>
      <c r="O630" t="str">
        <f>_xll.BDP("080692ET Muni","BVAL_MID_YTM")</f>
        <v>#N/A Requesting Data...</v>
      </c>
      <c r="P630" t="str">
        <f>_xll.BDP("080692ET Muni","MUNI_TAX_PROV")</f>
        <v>#N/A Requesting Data...</v>
      </c>
      <c r="Q630" t="str">
        <f>_xll.BDP("080692ET Muni","MUNI_FED_TAX")</f>
        <v>#N/A Requesting Data...</v>
      </c>
      <c r="R630" t="str">
        <f>_xll.BDP("080692ET Muni","MUNI_MSRB_VOLUME")</f>
        <v>#N/A Requesting Data...</v>
      </c>
      <c r="S630" t="str">
        <f>_xll.BDP("080692ET Muni","BB_COMPOSITE")</f>
        <v>#N/A Requesting Data...</v>
      </c>
      <c r="T630" t="str">
        <f>_xll.BDP("080692ET Muni","LQA_LIQUIDITY_SCORE")</f>
        <v>#N/A Requesting Data...</v>
      </c>
    </row>
    <row r="631" spans="1:20" x14ac:dyDescent="0.25">
      <c r="A631" t="str">
        <f>_xll.BDP("080692EU Muni","ID_CUSIP")</f>
        <v>#N/A Requesting Data...</v>
      </c>
      <c r="B631" t="s">
        <v>178</v>
      </c>
      <c r="C631" t="str">
        <f>_xll.BDP("080692EU Muni","INSURANCE_STATUS")</f>
        <v>#N/A Requesting Data...</v>
      </c>
      <c r="D631" t="str">
        <f>_xll.BDP("080692EU Muni","STATE_CODE")</f>
        <v>#N/A Requesting Data...</v>
      </c>
      <c r="E631" t="str">
        <f>_xll.BDP("080692EU Muni","COUNTY_LOCATION_ISSUER")</f>
        <v>#N/A Requesting Data...</v>
      </c>
      <c r="F631" t="str">
        <f>_xll.BDP("080692EU Muni","DUR_ADJ_MID")</f>
        <v>#N/A Requesting Data...</v>
      </c>
      <c r="G631" t="str">
        <f>_xll.BDP("080692EU Muni","SPREAD_AT_ISSUANCE_TO_WORST")</f>
        <v>#N/A Requesting Data...</v>
      </c>
      <c r="H631" t="str">
        <f>_xll.BDP("080692EU Muni","ISSUE_DT")</f>
        <v>#N/A Requesting Data...</v>
      </c>
      <c r="I631" t="str">
        <f>_xll.BDS("080692EU Muni","MUNI_PURPOSE_SCHED", "aggregate=y")</f>
        <v>#N/A Requesting Data...</v>
      </c>
      <c r="J631" t="str">
        <f>_xll.BDP("080692EU Muni","CPN")</f>
        <v>#N/A Requesting Data...</v>
      </c>
      <c r="K631" t="str">
        <f>_xll.BDP("080692EU Muni","MATURITY")</f>
        <v>#N/A Requesting Data...</v>
      </c>
      <c r="L631">
        <v>120000</v>
      </c>
      <c r="M631" t="str">
        <f>_xll.BDP("080692EU Muni","YIELD_ON_ISSUE_DATE")</f>
        <v>#N/A Requesting Data...</v>
      </c>
      <c r="N631" t="str">
        <f>_xll.BDP("080692EU Muni","YTW_SPREAD_TO_MATURITY_AT_ISSU")</f>
        <v>#N/A Requesting Data...</v>
      </c>
      <c r="O631" t="str">
        <f>_xll.BDP("080692EU Muni","BVAL_MID_YTM")</f>
        <v>#N/A Requesting Data...</v>
      </c>
      <c r="P631" t="str">
        <f>_xll.BDP("080692EU Muni","MUNI_TAX_PROV")</f>
        <v>#N/A Requesting Data...</v>
      </c>
      <c r="Q631" t="str">
        <f>_xll.BDP("080692EU Muni","MUNI_FED_TAX")</f>
        <v>#N/A Requesting Data...</v>
      </c>
      <c r="R631" t="str">
        <f>_xll.BDP("080692EU Muni","MUNI_MSRB_VOLUME")</f>
        <v>#N/A Requesting Data...</v>
      </c>
      <c r="S631" t="str">
        <f>_xll.BDP("080692EU Muni","BB_COMPOSITE")</f>
        <v>#N/A Requesting Data...</v>
      </c>
      <c r="T631" t="str">
        <f>_xll.BDP("080692EU Muni","LQA_LIQUIDITY_SCORE")</f>
        <v>#N/A Requesting Data...</v>
      </c>
    </row>
    <row r="632" spans="1:20" x14ac:dyDescent="0.25">
      <c r="A632" t="str">
        <f>_xll.BDP("080692EV Muni","ID_CUSIP")</f>
        <v>#N/A Requesting Data...</v>
      </c>
      <c r="B632" t="s">
        <v>178</v>
      </c>
      <c r="C632" t="str">
        <f>_xll.BDP("080692EV Muni","INSURANCE_STATUS")</f>
        <v>#N/A Requesting Data...</v>
      </c>
      <c r="D632" t="str">
        <f>_xll.BDP("080692EV Muni","STATE_CODE")</f>
        <v>#N/A Requesting Data...</v>
      </c>
      <c r="E632" t="str">
        <f>_xll.BDP("080692EV Muni","COUNTY_LOCATION_ISSUER")</f>
        <v>#N/A Requesting Data...</v>
      </c>
      <c r="F632" t="str">
        <f>_xll.BDP("080692EV Muni","DUR_ADJ_MID")</f>
        <v>#N/A Requesting Data...</v>
      </c>
      <c r="G632" t="str">
        <f>_xll.BDP("080692EV Muni","SPREAD_AT_ISSUANCE_TO_WORST")</f>
        <v>#N/A Requesting Data...</v>
      </c>
      <c r="H632" t="str">
        <f>_xll.BDP("080692EV Muni","ISSUE_DT")</f>
        <v>#N/A Requesting Data...</v>
      </c>
      <c r="I632" t="str">
        <f>_xll.BDS("080692EV Muni","MUNI_PURPOSE_SCHED", "aggregate=y")</f>
        <v>#N/A Requesting Data...</v>
      </c>
      <c r="J632" t="str">
        <f>_xll.BDP("080692EV Muni","CPN")</f>
        <v>#N/A Requesting Data...</v>
      </c>
      <c r="K632" t="str">
        <f>_xll.BDP("080692EV Muni","MATURITY")</f>
        <v>#N/A Requesting Data...</v>
      </c>
      <c r="L632">
        <v>120000</v>
      </c>
      <c r="M632" t="str">
        <f>_xll.BDP("080692EV Muni","YIELD_ON_ISSUE_DATE")</f>
        <v>#N/A Requesting Data...</v>
      </c>
      <c r="N632" t="str">
        <f>_xll.BDP("080692EV Muni","YTW_SPREAD_TO_MATURITY_AT_ISSU")</f>
        <v>#N/A Requesting Data...</v>
      </c>
      <c r="O632" t="str">
        <f>_xll.BDP("080692EV Muni","BVAL_MID_YTM")</f>
        <v>#N/A Requesting Data...</v>
      </c>
      <c r="P632" t="str">
        <f>_xll.BDP("080692EV Muni","MUNI_TAX_PROV")</f>
        <v>#N/A Requesting Data...</v>
      </c>
      <c r="Q632" t="str">
        <f>_xll.BDP("080692EV Muni","MUNI_FED_TAX")</f>
        <v>#N/A Requesting Data...</v>
      </c>
      <c r="R632" t="str">
        <f>_xll.BDP("080692EV Muni","MUNI_MSRB_VOLUME")</f>
        <v>#N/A Requesting Data...</v>
      </c>
      <c r="S632" t="str">
        <f>_xll.BDP("080692EV Muni","BB_COMPOSITE")</f>
        <v>#N/A Requesting Data...</v>
      </c>
      <c r="T632" t="str">
        <f>_xll.BDP("080692EV Muni","LQA_LIQUIDITY_SCORE")</f>
        <v>#N/A Requesting Data...</v>
      </c>
    </row>
    <row r="633" spans="1:20" x14ac:dyDescent="0.25">
      <c r="A633" t="str">
        <f>_xll.BDP("083293EX Muni","ID_CUSIP")</f>
        <v>#N/A Requesting Data...</v>
      </c>
      <c r="B633" t="s">
        <v>179</v>
      </c>
      <c r="C633" t="str">
        <f>_xll.BDP("083293EX Muni","INSURANCE_STATUS")</f>
        <v>#N/A Requesting Data...</v>
      </c>
      <c r="D633" t="str">
        <f>_xll.BDP("083293EX Muni","STATE_CODE")</f>
        <v>#N/A Requesting Data...</v>
      </c>
      <c r="E633" t="str">
        <f>_xll.BDP("083293EX Muni","COUNTY_LOCATION_ISSUER")</f>
        <v>#N/A Requesting Data...</v>
      </c>
      <c r="F633" t="str">
        <f>_xll.BDP("083293EX Muni","DUR_ADJ_MID")</f>
        <v>#N/A Requesting Data...</v>
      </c>
      <c r="G633" t="str">
        <f>_xll.BDP("083293EX Muni","SPREAD_AT_ISSUANCE_TO_WORST")</f>
        <v>#N/A Requesting Data...</v>
      </c>
      <c r="H633" t="str">
        <f>_xll.BDP("083293EX Muni","ISSUE_DT")</f>
        <v>#N/A Requesting Data...</v>
      </c>
      <c r="I633" t="str">
        <f>_xll.BDS("083293EX Muni","MUNI_PURPOSE_SCHED", "aggregate=y")</f>
        <v>#N/A Requesting Data...</v>
      </c>
      <c r="J633" t="str">
        <f>_xll.BDP("083293EX Muni","CPN")</f>
        <v>#N/A Requesting Data...</v>
      </c>
      <c r="K633" t="str">
        <f>_xll.BDP("083293EX Muni","MATURITY")</f>
        <v>#N/A Requesting Data...</v>
      </c>
      <c r="L633">
        <v>1020000</v>
      </c>
      <c r="M633" t="str">
        <f>_xll.BDP("083293EX Muni","YIELD_ON_ISSUE_DATE")</f>
        <v>#N/A Requesting Data...</v>
      </c>
      <c r="N633" t="str">
        <f>_xll.BDP("083293EX Muni","YTW_SPREAD_TO_MATURITY_AT_ISSU")</f>
        <v>#N/A Requesting Data...</v>
      </c>
      <c r="O633" t="str">
        <f>_xll.BDP("083293EX Muni","BVAL_MID_YTM")</f>
        <v>#N/A Requesting Data...</v>
      </c>
      <c r="P633" t="str">
        <f>_xll.BDP("083293EX Muni","MUNI_TAX_PROV")</f>
        <v>#N/A Requesting Data...</v>
      </c>
      <c r="Q633" t="str">
        <f>_xll.BDP("083293EX Muni","MUNI_FED_TAX")</f>
        <v>#N/A Requesting Data...</v>
      </c>
      <c r="R633" t="str">
        <f>_xll.BDP("083293EX Muni","MUNI_MSRB_VOLUME")</f>
        <v>#N/A Requesting Data...</v>
      </c>
      <c r="S633" t="str">
        <f>_xll.BDP("083293EX Muni","BB_COMPOSITE")</f>
        <v>#N/A Requesting Data...</v>
      </c>
      <c r="T633" t="str">
        <f>_xll.BDP("083293EX Muni","LQA_LIQUIDITY_SCORE")</f>
        <v>#N/A Requesting Data...</v>
      </c>
    </row>
    <row r="634" spans="1:20" x14ac:dyDescent="0.25">
      <c r="A634" t="str">
        <f>_xll.BDP("083293EY Muni","ID_CUSIP")</f>
        <v>#N/A Requesting Data...</v>
      </c>
      <c r="B634" t="s">
        <v>179</v>
      </c>
      <c r="C634" t="str">
        <f>_xll.BDP("083293EY Muni","INSURANCE_STATUS")</f>
        <v>#N/A Requesting Data...</v>
      </c>
      <c r="D634" t="str">
        <f>_xll.BDP("083293EY Muni","STATE_CODE")</f>
        <v>#N/A Requesting Data...</v>
      </c>
      <c r="E634" t="str">
        <f>_xll.BDP("083293EY Muni","COUNTY_LOCATION_ISSUER")</f>
        <v>#N/A Requesting Data...</v>
      </c>
      <c r="F634" t="str">
        <f>_xll.BDP("083293EY Muni","DUR_ADJ_MID")</f>
        <v>#N/A Requesting Data...</v>
      </c>
      <c r="G634" t="str">
        <f>_xll.BDP("083293EY Muni","SPREAD_AT_ISSUANCE_TO_WORST")</f>
        <v>#N/A Requesting Data...</v>
      </c>
      <c r="H634" t="str">
        <f>_xll.BDP("083293EY Muni","ISSUE_DT")</f>
        <v>#N/A Requesting Data...</v>
      </c>
      <c r="I634" t="str">
        <f>_xll.BDS("083293EY Muni","MUNI_PURPOSE_SCHED", "aggregate=y")</f>
        <v>#N/A Requesting Data...</v>
      </c>
      <c r="J634" t="str">
        <f>_xll.BDP("083293EY Muni","CPN")</f>
        <v>#N/A Requesting Data...</v>
      </c>
      <c r="K634" t="str">
        <f>_xll.BDP("083293EY Muni","MATURITY")</f>
        <v>#N/A Requesting Data...</v>
      </c>
      <c r="L634">
        <v>1060000</v>
      </c>
      <c r="M634" t="str">
        <f>_xll.BDP("083293EY Muni","YIELD_ON_ISSUE_DATE")</f>
        <v>#N/A Requesting Data...</v>
      </c>
      <c r="N634" t="str">
        <f>_xll.BDP("083293EY Muni","YTW_SPREAD_TO_MATURITY_AT_ISSU")</f>
        <v>#N/A Requesting Data...</v>
      </c>
      <c r="O634" t="str">
        <f>_xll.BDP("083293EY Muni","BVAL_MID_YTM")</f>
        <v>#N/A Requesting Data...</v>
      </c>
      <c r="P634" t="str">
        <f>_xll.BDP("083293EY Muni","MUNI_TAX_PROV")</f>
        <v>#N/A Requesting Data...</v>
      </c>
      <c r="Q634" t="str">
        <f>_xll.BDP("083293EY Muni","MUNI_FED_TAX")</f>
        <v>#N/A Requesting Data...</v>
      </c>
      <c r="R634" t="str">
        <f>_xll.BDP("083293EY Muni","MUNI_MSRB_VOLUME")</f>
        <v>#N/A Requesting Data...</v>
      </c>
      <c r="S634" t="str">
        <f>_xll.BDP("083293EY Muni","BB_COMPOSITE")</f>
        <v>#N/A Requesting Data...</v>
      </c>
      <c r="T634" t="str">
        <f>_xll.BDP("083293EY Muni","LQA_LIQUIDITY_SCORE")</f>
        <v>#N/A Requesting Data...</v>
      </c>
    </row>
    <row r="635" spans="1:20" x14ac:dyDescent="0.25">
      <c r="A635" t="str">
        <f>_xll.BDP("083293EZ Muni","ID_CUSIP")</f>
        <v>#N/A Requesting Data...</v>
      </c>
      <c r="B635" t="s">
        <v>179</v>
      </c>
      <c r="C635" t="str">
        <f>_xll.BDP("083293EZ Muni","INSURANCE_STATUS")</f>
        <v>#N/A Requesting Data...</v>
      </c>
      <c r="D635" t="str">
        <f>_xll.BDP("083293EZ Muni","STATE_CODE")</f>
        <v>#N/A Requesting Data...</v>
      </c>
      <c r="E635" t="str">
        <f>_xll.BDP("083293EZ Muni","COUNTY_LOCATION_ISSUER")</f>
        <v>#N/A Requesting Data...</v>
      </c>
      <c r="F635" t="str">
        <f>_xll.BDP("083293EZ Muni","DUR_ADJ_MID")</f>
        <v>#N/A Requesting Data...</v>
      </c>
      <c r="G635" t="str">
        <f>_xll.BDP("083293EZ Muni","SPREAD_AT_ISSUANCE_TO_WORST")</f>
        <v>#N/A Requesting Data...</v>
      </c>
      <c r="H635" t="str">
        <f>_xll.BDP("083293EZ Muni","ISSUE_DT")</f>
        <v>#N/A Requesting Data...</v>
      </c>
      <c r="I635" t="str">
        <f>_xll.BDS("083293EZ Muni","MUNI_PURPOSE_SCHED", "aggregate=y")</f>
        <v>#N/A Requesting Data...</v>
      </c>
      <c r="J635" t="str">
        <f>_xll.BDP("083293EZ Muni","CPN")</f>
        <v>#N/A Requesting Data...</v>
      </c>
      <c r="K635" t="str">
        <f>_xll.BDP("083293EZ Muni","MATURITY")</f>
        <v>#N/A Requesting Data...</v>
      </c>
      <c r="L635">
        <v>1120000</v>
      </c>
      <c r="M635" t="str">
        <f>_xll.BDP("083293EZ Muni","YIELD_ON_ISSUE_DATE")</f>
        <v>#N/A Requesting Data...</v>
      </c>
      <c r="N635" t="str">
        <f>_xll.BDP("083293EZ Muni","YTW_SPREAD_TO_MATURITY_AT_ISSU")</f>
        <v>#N/A Requesting Data...</v>
      </c>
      <c r="O635" t="str">
        <f>_xll.BDP("083293EZ Muni","BVAL_MID_YTM")</f>
        <v>#N/A Requesting Data...</v>
      </c>
      <c r="P635" t="str">
        <f>_xll.BDP("083293EZ Muni","MUNI_TAX_PROV")</f>
        <v>#N/A Requesting Data...</v>
      </c>
      <c r="Q635" t="str">
        <f>_xll.BDP("083293EZ Muni","MUNI_FED_TAX")</f>
        <v>#N/A Requesting Data...</v>
      </c>
      <c r="R635" t="str">
        <f>_xll.BDP("083293EZ Muni","MUNI_MSRB_VOLUME")</f>
        <v>#N/A Requesting Data...</v>
      </c>
      <c r="S635" t="str">
        <f>_xll.BDP("083293EZ Muni","BB_COMPOSITE")</f>
        <v>#N/A Requesting Data...</v>
      </c>
      <c r="T635" t="str">
        <f>_xll.BDP("083293EZ Muni","LQA_LIQUIDITY_SCORE")</f>
        <v>#N/A Requesting Data...</v>
      </c>
    </row>
    <row r="636" spans="1:20" x14ac:dyDescent="0.25">
      <c r="A636" t="str">
        <f>_xll.BDP("083293FA Muni","ID_CUSIP")</f>
        <v>#N/A Requesting Data...</v>
      </c>
      <c r="B636" t="s">
        <v>179</v>
      </c>
      <c r="C636" t="str">
        <f>_xll.BDP("083293FA Muni","INSURANCE_STATUS")</f>
        <v>#N/A Requesting Data...</v>
      </c>
      <c r="D636" t="str">
        <f>_xll.BDP("083293FA Muni","STATE_CODE")</f>
        <v>#N/A Requesting Data...</v>
      </c>
      <c r="E636" t="str">
        <f>_xll.BDP("083293FA Muni","COUNTY_LOCATION_ISSUER")</f>
        <v>#N/A Requesting Data...</v>
      </c>
      <c r="F636" t="str">
        <f>_xll.BDP("083293FA Muni","DUR_ADJ_MID")</f>
        <v>#N/A Requesting Data...</v>
      </c>
      <c r="G636" t="str">
        <f>_xll.BDP("083293FA Muni","SPREAD_AT_ISSUANCE_TO_WORST")</f>
        <v>#N/A Requesting Data...</v>
      </c>
      <c r="H636" t="str">
        <f>_xll.BDP("083293FA Muni","ISSUE_DT")</f>
        <v>#N/A Requesting Data...</v>
      </c>
      <c r="I636" t="str">
        <f>_xll.BDS("083293FA Muni","MUNI_PURPOSE_SCHED", "aggregate=y")</f>
        <v>#N/A Requesting Data...</v>
      </c>
      <c r="J636" t="str">
        <f>_xll.BDP("083293FA Muni","CPN")</f>
        <v>#N/A Requesting Data...</v>
      </c>
      <c r="K636" t="str">
        <f>_xll.BDP("083293FA Muni","MATURITY")</f>
        <v>#N/A Requesting Data...</v>
      </c>
      <c r="L636">
        <v>1185000</v>
      </c>
      <c r="M636" t="str">
        <f>_xll.BDP("083293FA Muni","YIELD_ON_ISSUE_DATE")</f>
        <v>#N/A Requesting Data...</v>
      </c>
      <c r="N636" t="str">
        <f>_xll.BDP("083293FA Muni","YTW_SPREAD_TO_MATURITY_AT_ISSU")</f>
        <v>#N/A Requesting Data...</v>
      </c>
      <c r="O636" t="str">
        <f>_xll.BDP("083293FA Muni","BVAL_MID_YTM")</f>
        <v>#N/A Requesting Data...</v>
      </c>
      <c r="P636" t="str">
        <f>_xll.BDP("083293FA Muni","MUNI_TAX_PROV")</f>
        <v>#N/A Requesting Data...</v>
      </c>
      <c r="Q636" t="str">
        <f>_xll.BDP("083293FA Muni","MUNI_FED_TAX")</f>
        <v>#N/A Requesting Data...</v>
      </c>
      <c r="R636" t="str">
        <f>_xll.BDP("083293FA Muni","MUNI_MSRB_VOLUME")</f>
        <v>#N/A Requesting Data...</v>
      </c>
      <c r="S636" t="str">
        <f>_xll.BDP("083293FA Muni","BB_COMPOSITE")</f>
        <v>#N/A Requesting Data...</v>
      </c>
      <c r="T636" t="str">
        <f>_xll.BDP("083293FA Muni","LQA_LIQUIDITY_SCORE")</f>
        <v>#N/A Requesting Data...</v>
      </c>
    </row>
    <row r="637" spans="1:20" x14ac:dyDescent="0.25">
      <c r="A637" t="str">
        <f>_xll.BDP("083293FB Muni","ID_CUSIP")</f>
        <v>#N/A Requesting Data...</v>
      </c>
      <c r="B637" t="s">
        <v>179</v>
      </c>
      <c r="C637" t="str">
        <f>_xll.BDP("083293FB Muni","INSURANCE_STATUS")</f>
        <v>#N/A Requesting Data...</v>
      </c>
      <c r="D637" t="str">
        <f>_xll.BDP("083293FB Muni","STATE_CODE")</f>
        <v>#N/A Requesting Data...</v>
      </c>
      <c r="E637" t="str">
        <f>_xll.BDP("083293FB Muni","COUNTY_LOCATION_ISSUER")</f>
        <v>#N/A Requesting Data...</v>
      </c>
      <c r="F637" t="str">
        <f>_xll.BDP("083293FB Muni","DUR_ADJ_MID")</f>
        <v>#N/A Requesting Data...</v>
      </c>
      <c r="G637" t="str">
        <f>_xll.BDP("083293FB Muni","SPREAD_AT_ISSUANCE_TO_WORST")</f>
        <v>#N/A Requesting Data...</v>
      </c>
      <c r="H637" t="str">
        <f>_xll.BDP("083293FB Muni","ISSUE_DT")</f>
        <v>#N/A Requesting Data...</v>
      </c>
      <c r="I637" t="str">
        <f>_xll.BDS("083293FB Muni","MUNI_PURPOSE_SCHED", "aggregate=y")</f>
        <v>#N/A Requesting Data...</v>
      </c>
      <c r="J637" t="str">
        <f>_xll.BDP("083293FB Muni","CPN")</f>
        <v>#N/A Requesting Data...</v>
      </c>
      <c r="K637" t="str">
        <f>_xll.BDP("083293FB Muni","MATURITY")</f>
        <v>#N/A Requesting Data...</v>
      </c>
      <c r="L637">
        <v>1245000</v>
      </c>
      <c r="M637" t="str">
        <f>_xll.BDP("083293FB Muni","YIELD_ON_ISSUE_DATE")</f>
        <v>#N/A Requesting Data...</v>
      </c>
      <c r="N637" t="str">
        <f>_xll.BDP("083293FB Muni","YTW_SPREAD_TO_MATURITY_AT_ISSU")</f>
        <v>#N/A Requesting Data...</v>
      </c>
      <c r="O637" t="str">
        <f>_xll.BDP("083293FB Muni","BVAL_MID_YTM")</f>
        <v>#N/A Requesting Data...</v>
      </c>
      <c r="P637" t="str">
        <f>_xll.BDP("083293FB Muni","MUNI_TAX_PROV")</f>
        <v>#N/A Requesting Data...</v>
      </c>
      <c r="Q637" t="str">
        <f>_xll.BDP("083293FB Muni","MUNI_FED_TAX")</f>
        <v>#N/A Requesting Data...</v>
      </c>
      <c r="R637" t="str">
        <f>_xll.BDP("083293FB Muni","MUNI_MSRB_VOLUME")</f>
        <v>#N/A Requesting Data...</v>
      </c>
      <c r="S637" t="str">
        <f>_xll.BDP("083293FB Muni","BB_COMPOSITE")</f>
        <v>#N/A Requesting Data...</v>
      </c>
      <c r="T637" t="str">
        <f>_xll.BDP("083293FB Muni","LQA_LIQUIDITY_SCORE")</f>
        <v>#N/A Requesting Data...</v>
      </c>
    </row>
    <row r="638" spans="1:20" x14ac:dyDescent="0.25">
      <c r="A638" t="str">
        <f>_xll.BDP("083293FC Muni","ID_CUSIP")</f>
        <v>#N/A Requesting Data...</v>
      </c>
      <c r="B638" t="s">
        <v>179</v>
      </c>
      <c r="C638" t="str">
        <f>_xll.BDP("083293FC Muni","INSURANCE_STATUS")</f>
        <v>#N/A Requesting Data...</v>
      </c>
      <c r="D638" t="str">
        <f>_xll.BDP("083293FC Muni","STATE_CODE")</f>
        <v>#N/A Requesting Data...</v>
      </c>
      <c r="E638" t="str">
        <f>_xll.BDP("083293FC Muni","COUNTY_LOCATION_ISSUER")</f>
        <v>#N/A Requesting Data...</v>
      </c>
      <c r="F638" t="str">
        <f>_xll.BDP("083293FC Muni","DUR_ADJ_MID")</f>
        <v>#N/A Requesting Data...</v>
      </c>
      <c r="G638" t="str">
        <f>_xll.BDP("083293FC Muni","SPREAD_AT_ISSUANCE_TO_WORST")</f>
        <v>#N/A Requesting Data...</v>
      </c>
      <c r="H638" t="str">
        <f>_xll.BDP("083293FC Muni","ISSUE_DT")</f>
        <v>#N/A Requesting Data...</v>
      </c>
      <c r="I638" t="str">
        <f>_xll.BDS("083293FC Muni","MUNI_PURPOSE_SCHED", "aggregate=y")</f>
        <v>#N/A Requesting Data...</v>
      </c>
      <c r="J638" t="str">
        <f>_xll.BDP("083293FC Muni","CPN")</f>
        <v>#N/A Requesting Data...</v>
      </c>
      <c r="K638" t="str">
        <f>_xll.BDP("083293FC Muni","MATURITY")</f>
        <v>#N/A Requesting Data...</v>
      </c>
      <c r="L638">
        <v>1330000</v>
      </c>
      <c r="M638" t="str">
        <f>_xll.BDP("083293FC Muni","YIELD_ON_ISSUE_DATE")</f>
        <v>#N/A Requesting Data...</v>
      </c>
      <c r="N638" t="str">
        <f>_xll.BDP("083293FC Muni","YTW_SPREAD_TO_MATURITY_AT_ISSU")</f>
        <v>#N/A Requesting Data...</v>
      </c>
      <c r="O638" t="str">
        <f>_xll.BDP("083293FC Muni","BVAL_MID_YTM")</f>
        <v>#N/A Requesting Data...</v>
      </c>
      <c r="P638" t="str">
        <f>_xll.BDP("083293FC Muni","MUNI_TAX_PROV")</f>
        <v>#N/A Requesting Data...</v>
      </c>
      <c r="Q638" t="str">
        <f>_xll.BDP("083293FC Muni","MUNI_FED_TAX")</f>
        <v>#N/A Requesting Data...</v>
      </c>
      <c r="R638" t="str">
        <f>_xll.BDP("083293FC Muni","MUNI_MSRB_VOLUME")</f>
        <v>#N/A Requesting Data...</v>
      </c>
      <c r="S638" t="str">
        <f>_xll.BDP("083293FC Muni","BB_COMPOSITE")</f>
        <v>#N/A Requesting Data...</v>
      </c>
      <c r="T638" t="str">
        <f>_xll.BDP("083293FC Muni","LQA_LIQUIDITY_SCORE")</f>
        <v>#N/A Requesting Data...</v>
      </c>
    </row>
    <row r="639" spans="1:20" x14ac:dyDescent="0.25">
      <c r="A639" t="str">
        <f>_xll.BDP("023108MB Muni","ID_CUSIP")</f>
        <v>#N/A Requesting Data...</v>
      </c>
      <c r="B639" t="s">
        <v>107</v>
      </c>
      <c r="C639" t="str">
        <f>_xll.BDP("023108MB Muni","INSURANCE_STATUS")</f>
        <v>#N/A Requesting Data...</v>
      </c>
      <c r="D639" t="str">
        <f>_xll.BDP("023108MB Muni","STATE_CODE")</f>
        <v>#N/A Requesting Data...</v>
      </c>
      <c r="E639" t="str">
        <f>_xll.BDP("023108MB Muni","COUNTY_LOCATION_ISSUER")</f>
        <v>#N/A Requesting Data...</v>
      </c>
      <c r="F639" t="str">
        <f>_xll.BDP("023108MB Muni","DUR_ADJ_MID")</f>
        <v>#N/A Requesting Data...</v>
      </c>
      <c r="G639" t="str">
        <f>_xll.BDP("023108MB Muni","SPREAD_AT_ISSUANCE_TO_WORST")</f>
        <v>#N/A Requesting Data...</v>
      </c>
      <c r="H639" t="str">
        <f>_xll.BDP("023108MB Muni","ISSUE_DT")</f>
        <v>#N/A Requesting Data...</v>
      </c>
      <c r="I639" t="str">
        <f>_xll.BDS("023108MB Muni","MUNI_PURPOSE_SCHED", "aggregate=y")</f>
        <v>#N/A Requesting Data...</v>
      </c>
      <c r="J639" t="str">
        <f>_xll.BDP("023108MB Muni","CPN")</f>
        <v>#N/A Requesting Data...</v>
      </c>
      <c r="K639" t="str">
        <f>_xll.BDP("023108MB Muni","MATURITY")</f>
        <v>#N/A Requesting Data...</v>
      </c>
      <c r="L639">
        <v>580000</v>
      </c>
      <c r="M639" t="str">
        <f>_xll.BDP("023108MB Muni","YIELD_ON_ISSUE_DATE")</f>
        <v>#N/A Requesting Data...</v>
      </c>
      <c r="N639" t="str">
        <f>_xll.BDP("023108MB Muni","YTW_SPREAD_TO_MATURITY_AT_ISSU")</f>
        <v>#N/A Requesting Data...</v>
      </c>
      <c r="O639" t="str">
        <f>_xll.BDP("023108MB Muni","BVAL_MID_YTM")</f>
        <v>#N/A Requesting Data...</v>
      </c>
      <c r="P639" t="str">
        <f>_xll.BDP("023108MB Muni","MUNI_TAX_PROV")</f>
        <v>#N/A Requesting Data...</v>
      </c>
      <c r="Q639" t="str">
        <f>_xll.BDP("023108MB Muni","MUNI_FED_TAX")</f>
        <v>#N/A Requesting Data...</v>
      </c>
      <c r="R639" t="str">
        <f>_xll.BDP("023108MB Muni","MUNI_MSRB_VOLUME")</f>
        <v>#N/A Requesting Data...</v>
      </c>
      <c r="S639" t="str">
        <f>_xll.BDP("023108MB Muni","BB_COMPOSITE")</f>
        <v>#N/A Requesting Data...</v>
      </c>
      <c r="T639" t="str">
        <f>_xll.BDP("023108MB Muni","LQA_LIQUIDITY_SCORE")</f>
        <v>#N/A Requesting Data...</v>
      </c>
    </row>
    <row r="640" spans="1:20" x14ac:dyDescent="0.25">
      <c r="A640" t="str">
        <f>_xll.BDP("023108MD Muni","ID_CUSIP")</f>
        <v>#N/A Requesting Data...</v>
      </c>
      <c r="B640" t="s">
        <v>107</v>
      </c>
      <c r="C640" t="str">
        <f>_xll.BDP("023108MD Muni","INSURANCE_STATUS")</f>
        <v>#N/A Requesting Data...</v>
      </c>
      <c r="D640" t="str">
        <f>_xll.BDP("023108MD Muni","STATE_CODE")</f>
        <v>#N/A Requesting Data...</v>
      </c>
      <c r="E640" t="str">
        <f>_xll.BDP("023108MD Muni","COUNTY_LOCATION_ISSUER")</f>
        <v>#N/A Requesting Data...</v>
      </c>
      <c r="F640" t="str">
        <f>_xll.BDP("023108MD Muni","DUR_ADJ_MID")</f>
        <v>#N/A Requesting Data...</v>
      </c>
      <c r="G640" t="str">
        <f>_xll.BDP("023108MD Muni","SPREAD_AT_ISSUANCE_TO_WORST")</f>
        <v>#N/A Requesting Data...</v>
      </c>
      <c r="H640" t="str">
        <f>_xll.BDP("023108MD Muni","ISSUE_DT")</f>
        <v>#N/A Requesting Data...</v>
      </c>
      <c r="I640" t="str">
        <f>_xll.BDS("023108MD Muni","MUNI_PURPOSE_SCHED", "aggregate=y")</f>
        <v>#N/A Requesting Data...</v>
      </c>
      <c r="J640" t="str">
        <f>_xll.BDP("023108MD Muni","CPN")</f>
        <v>#N/A Requesting Data...</v>
      </c>
      <c r="K640" t="str">
        <f>_xll.BDP("023108MD Muni","MATURITY")</f>
        <v>#N/A Requesting Data...</v>
      </c>
      <c r="L640">
        <v>625000</v>
      </c>
      <c r="M640" t="str">
        <f>_xll.BDP("023108MD Muni","YIELD_ON_ISSUE_DATE")</f>
        <v>#N/A Requesting Data...</v>
      </c>
      <c r="N640" t="str">
        <f>_xll.BDP("023108MD Muni","YTW_SPREAD_TO_MATURITY_AT_ISSU")</f>
        <v>#N/A Requesting Data...</v>
      </c>
      <c r="O640" t="str">
        <f>_xll.BDP("023108MD Muni","BVAL_MID_YTM")</f>
        <v>#N/A Requesting Data...</v>
      </c>
      <c r="P640" t="str">
        <f>_xll.BDP("023108MD Muni","MUNI_TAX_PROV")</f>
        <v>#N/A Requesting Data...</v>
      </c>
      <c r="Q640" t="str">
        <f>_xll.BDP("023108MD Muni","MUNI_FED_TAX")</f>
        <v>#N/A Requesting Data...</v>
      </c>
      <c r="R640" t="str">
        <f>_xll.BDP("023108MD Muni","MUNI_MSRB_VOLUME")</f>
        <v>#N/A Requesting Data...</v>
      </c>
      <c r="S640" t="str">
        <f>_xll.BDP("023108MD Muni","BB_COMPOSITE")</f>
        <v>#N/A Requesting Data...</v>
      </c>
      <c r="T640" t="str">
        <f>_xll.BDP("023108MD Muni","LQA_LIQUIDITY_SCORE")</f>
        <v>#N/A Requesting Data...</v>
      </c>
    </row>
    <row r="641" spans="1:20" x14ac:dyDescent="0.25">
      <c r="A641" t="str">
        <f>_xll.BDP("023108ME Muni","ID_CUSIP")</f>
        <v>#N/A Requesting Data...</v>
      </c>
      <c r="B641" t="s">
        <v>107</v>
      </c>
      <c r="C641" t="str">
        <f>_xll.BDP("023108ME Muni","INSURANCE_STATUS")</f>
        <v>#N/A Requesting Data...</v>
      </c>
      <c r="D641" t="str">
        <f>_xll.BDP("023108ME Muni","STATE_CODE")</f>
        <v>#N/A Requesting Data...</v>
      </c>
      <c r="E641" t="str">
        <f>_xll.BDP("023108ME Muni","COUNTY_LOCATION_ISSUER")</f>
        <v>#N/A Requesting Data...</v>
      </c>
      <c r="F641" t="str">
        <f>_xll.BDP("023108ME Muni","DUR_ADJ_MID")</f>
        <v>#N/A Requesting Data...</v>
      </c>
      <c r="G641" t="str">
        <f>_xll.BDP("023108ME Muni","SPREAD_AT_ISSUANCE_TO_WORST")</f>
        <v>#N/A Requesting Data...</v>
      </c>
      <c r="H641" t="str">
        <f>_xll.BDP("023108ME Muni","ISSUE_DT")</f>
        <v>#N/A Requesting Data...</v>
      </c>
      <c r="I641" t="str">
        <f>_xll.BDS("023108ME Muni","MUNI_PURPOSE_SCHED", "aggregate=y")</f>
        <v>#N/A Requesting Data...</v>
      </c>
      <c r="J641" t="str">
        <f>_xll.BDP("023108ME Muni","CPN")</f>
        <v>#N/A Requesting Data...</v>
      </c>
      <c r="K641" t="str">
        <f>_xll.BDP("023108ME Muni","MATURITY")</f>
        <v>#N/A Requesting Data...</v>
      </c>
      <c r="L641">
        <v>655000</v>
      </c>
      <c r="M641" t="str">
        <f>_xll.BDP("023108ME Muni","YIELD_ON_ISSUE_DATE")</f>
        <v>#N/A Requesting Data...</v>
      </c>
      <c r="N641" t="str">
        <f>_xll.BDP("023108ME Muni","YTW_SPREAD_TO_MATURITY_AT_ISSU")</f>
        <v>#N/A Requesting Data...</v>
      </c>
      <c r="O641" t="str">
        <f>_xll.BDP("023108ME Muni","BVAL_MID_YTM")</f>
        <v>#N/A Requesting Data...</v>
      </c>
      <c r="P641" t="str">
        <f>_xll.BDP("023108ME Muni","MUNI_TAX_PROV")</f>
        <v>#N/A Requesting Data...</v>
      </c>
      <c r="Q641" t="str">
        <f>_xll.BDP("023108ME Muni","MUNI_FED_TAX")</f>
        <v>#N/A Requesting Data...</v>
      </c>
      <c r="R641" t="str">
        <f>_xll.BDP("023108ME Muni","MUNI_MSRB_VOLUME")</f>
        <v>#N/A Requesting Data...</v>
      </c>
      <c r="S641" t="str">
        <f>_xll.BDP("023108ME Muni","BB_COMPOSITE")</f>
        <v>#N/A Requesting Data...</v>
      </c>
      <c r="T641" t="str">
        <f>_xll.BDP("023108ME Muni","LQA_LIQUIDITY_SCORE")</f>
        <v>#N/A Requesting Data...</v>
      </c>
    </row>
    <row r="642" spans="1:20" x14ac:dyDescent="0.25">
      <c r="A642" t="str">
        <f>_xll.BDP("023108MG Muni","ID_CUSIP")</f>
        <v>#N/A Requesting Data...</v>
      </c>
      <c r="B642" t="s">
        <v>107</v>
      </c>
      <c r="C642" t="str">
        <f>_xll.BDP("023108MG Muni","INSURANCE_STATUS")</f>
        <v>#N/A Requesting Data...</v>
      </c>
      <c r="D642" t="str">
        <f>_xll.BDP("023108MG Muni","STATE_CODE")</f>
        <v>#N/A Requesting Data...</v>
      </c>
      <c r="E642" t="str">
        <f>_xll.BDP("023108MG Muni","COUNTY_LOCATION_ISSUER")</f>
        <v>#N/A Requesting Data...</v>
      </c>
      <c r="F642" t="str">
        <f>_xll.BDP("023108MG Muni","DUR_ADJ_MID")</f>
        <v>#N/A Requesting Data...</v>
      </c>
      <c r="G642" t="str">
        <f>_xll.BDP("023108MG Muni","SPREAD_AT_ISSUANCE_TO_WORST")</f>
        <v>#N/A Requesting Data...</v>
      </c>
      <c r="H642" t="str">
        <f>_xll.BDP("023108MG Muni","ISSUE_DT")</f>
        <v>#N/A Requesting Data...</v>
      </c>
      <c r="I642" t="str">
        <f>_xll.BDS("023108MG Muni","MUNI_PURPOSE_SCHED", "aggregate=y")</f>
        <v>#N/A Requesting Data...</v>
      </c>
      <c r="J642" t="str">
        <f>_xll.BDP("023108MG Muni","CPN")</f>
        <v>#N/A Requesting Data...</v>
      </c>
      <c r="K642" t="str">
        <f>_xll.BDP("023108MG Muni","MATURITY")</f>
        <v>#N/A Requesting Data...</v>
      </c>
      <c r="L642">
        <v>725000</v>
      </c>
      <c r="M642" t="str">
        <f>_xll.BDP("023108MG Muni","YIELD_ON_ISSUE_DATE")</f>
        <v>#N/A Requesting Data...</v>
      </c>
      <c r="N642" t="str">
        <f>_xll.BDP("023108MG Muni","YTW_SPREAD_TO_MATURITY_AT_ISSU")</f>
        <v>#N/A Requesting Data...</v>
      </c>
      <c r="O642" t="str">
        <f>_xll.BDP("023108MG Muni","BVAL_MID_YTM")</f>
        <v>#N/A Requesting Data...</v>
      </c>
      <c r="P642" t="str">
        <f>_xll.BDP("023108MG Muni","MUNI_TAX_PROV")</f>
        <v>#N/A Requesting Data...</v>
      </c>
      <c r="Q642" t="str">
        <f>_xll.BDP("023108MG Muni","MUNI_FED_TAX")</f>
        <v>#N/A Requesting Data...</v>
      </c>
      <c r="R642" t="str">
        <f>_xll.BDP("023108MG Muni","MUNI_MSRB_VOLUME")</f>
        <v>#N/A Requesting Data...</v>
      </c>
      <c r="S642" t="str">
        <f>_xll.BDP("023108MG Muni","BB_COMPOSITE")</f>
        <v>#N/A Requesting Data...</v>
      </c>
      <c r="T642" t="str">
        <f>_xll.BDP("023108MG Muni","LQA_LIQUIDITY_SCORE")</f>
        <v>#N/A Requesting Data...</v>
      </c>
    </row>
    <row r="643" spans="1:20" x14ac:dyDescent="0.25">
      <c r="A643" t="str">
        <f>_xll.BDP("14045AAP Muni","ID_CUSIP")</f>
        <v>#N/A Requesting Data...</v>
      </c>
      <c r="B643" t="s">
        <v>108</v>
      </c>
      <c r="C643" t="str">
        <f>_xll.BDP("14045AAP Muni","INSURANCE_STATUS")</f>
        <v>#N/A Requesting Data...</v>
      </c>
      <c r="D643" t="str">
        <f>_xll.BDP("14045AAP Muni","STATE_CODE")</f>
        <v>#N/A Requesting Data...</v>
      </c>
      <c r="E643" t="str">
        <f>_xll.BDP("14045AAP Muni","COUNTY_LOCATION_ISSUER")</f>
        <v>#N/A Requesting Data...</v>
      </c>
      <c r="F643" t="str">
        <f>_xll.BDP("14045AAP Muni","DUR_ADJ_MID")</f>
        <v>#N/A Requesting Data...</v>
      </c>
      <c r="G643" t="str">
        <f>_xll.BDP("14045AAP Muni","SPREAD_AT_ISSUANCE_TO_WORST")</f>
        <v>#N/A Requesting Data...</v>
      </c>
      <c r="H643" t="str">
        <f>_xll.BDP("14045AAP Muni","ISSUE_DT")</f>
        <v>#N/A Requesting Data...</v>
      </c>
      <c r="I643" t="str">
        <f>_xll.BDS("14045AAP Muni","MUNI_PURPOSE_SCHED", "aggregate=y")</f>
        <v>#N/A Requesting Data...</v>
      </c>
      <c r="J643" t="str">
        <f>_xll.BDP("14045AAP Muni","CPN")</f>
        <v>#N/A Requesting Data...</v>
      </c>
      <c r="K643" t="str">
        <f>_xll.BDP("14045AAP Muni","MATURITY")</f>
        <v>#N/A Requesting Data...</v>
      </c>
      <c r="L643">
        <v>5860000</v>
      </c>
      <c r="M643" t="str">
        <f>_xll.BDP("14045AAP Muni","YIELD_ON_ISSUE_DATE")</f>
        <v>#N/A Requesting Data...</v>
      </c>
      <c r="N643" t="str">
        <f>_xll.BDP("14045AAP Muni","YTW_SPREAD_TO_MATURITY_AT_ISSU")</f>
        <v>#N/A Requesting Data...</v>
      </c>
      <c r="O643" t="str">
        <f>_xll.BDP("14045AAP Muni","BVAL_MID_YTM")</f>
        <v>#N/A Requesting Data...</v>
      </c>
      <c r="P643" t="str">
        <f>_xll.BDP("14045AAP Muni","MUNI_TAX_PROV")</f>
        <v>#N/A Requesting Data...</v>
      </c>
      <c r="Q643" t="str">
        <f>_xll.BDP("14045AAP Muni","MUNI_FED_TAX")</f>
        <v>#N/A Requesting Data...</v>
      </c>
      <c r="R643" t="str">
        <f>_xll.BDP("14045AAP Muni","MUNI_MSRB_VOLUME")</f>
        <v>#N/A Requesting Data...</v>
      </c>
      <c r="S643" t="str">
        <f>_xll.BDP("14045AAP Muni","BB_COMPOSITE")</f>
        <v>#N/A Requesting Data...</v>
      </c>
      <c r="T643" t="str">
        <f>_xll.BDP("14045AAP Muni","LQA_LIQUIDITY_SCORE")</f>
        <v>#N/A Requesting Data...</v>
      </c>
    </row>
    <row r="644" spans="1:20" x14ac:dyDescent="0.25">
      <c r="A644" t="str">
        <f>_xll.BDP("14045AAR Muni","ID_CUSIP")</f>
        <v>#N/A Requesting Data...</v>
      </c>
      <c r="B644" t="s">
        <v>108</v>
      </c>
      <c r="C644" t="str">
        <f>_xll.BDP("14045AAR Muni","INSURANCE_STATUS")</f>
        <v>#N/A Requesting Data...</v>
      </c>
      <c r="D644" t="str">
        <f>_xll.BDP("14045AAR Muni","STATE_CODE")</f>
        <v>#N/A Requesting Data...</v>
      </c>
      <c r="E644" t="str">
        <f>_xll.BDP("14045AAR Muni","COUNTY_LOCATION_ISSUER")</f>
        <v>#N/A Requesting Data...</v>
      </c>
      <c r="F644" t="str">
        <f>_xll.BDP("14045AAR Muni","DUR_ADJ_MID")</f>
        <v>#N/A Requesting Data...</v>
      </c>
      <c r="G644" t="str">
        <f>_xll.BDP("14045AAR Muni","SPREAD_AT_ISSUANCE_TO_WORST")</f>
        <v>#N/A Requesting Data...</v>
      </c>
      <c r="H644" t="str">
        <f>_xll.BDP("14045AAR Muni","ISSUE_DT")</f>
        <v>#N/A Requesting Data...</v>
      </c>
      <c r="I644" t="str">
        <f>_xll.BDS("14045AAR Muni","MUNI_PURPOSE_SCHED", "aggregate=y")</f>
        <v>#N/A Requesting Data...</v>
      </c>
      <c r="J644" t="str">
        <f>_xll.BDP("14045AAR Muni","CPN")</f>
        <v>#N/A Requesting Data...</v>
      </c>
      <c r="K644" t="str">
        <f>_xll.BDP("14045AAR Muni","MATURITY")</f>
        <v>#N/A Requesting Data...</v>
      </c>
      <c r="L644">
        <v>6460000</v>
      </c>
      <c r="M644" t="str">
        <f>_xll.BDP("14045AAR Muni","YIELD_ON_ISSUE_DATE")</f>
        <v>#N/A Requesting Data...</v>
      </c>
      <c r="N644" t="str">
        <f>_xll.BDP("14045AAR Muni","YTW_SPREAD_TO_MATURITY_AT_ISSU")</f>
        <v>#N/A Requesting Data...</v>
      </c>
      <c r="O644" t="str">
        <f>_xll.BDP("14045AAR Muni","BVAL_MID_YTM")</f>
        <v>#N/A Requesting Data...</v>
      </c>
      <c r="P644" t="str">
        <f>_xll.BDP("14045AAR Muni","MUNI_TAX_PROV")</f>
        <v>#N/A Requesting Data...</v>
      </c>
      <c r="Q644" t="str">
        <f>_xll.BDP("14045AAR Muni","MUNI_FED_TAX")</f>
        <v>#N/A Requesting Data...</v>
      </c>
      <c r="R644" t="str">
        <f>_xll.BDP("14045AAR Muni","MUNI_MSRB_VOLUME")</f>
        <v>#N/A Requesting Data...</v>
      </c>
      <c r="S644" t="str">
        <f>_xll.BDP("14045AAR Muni","BB_COMPOSITE")</f>
        <v>#N/A Requesting Data...</v>
      </c>
      <c r="T644" t="str">
        <f>_xll.BDP("14045AAR Muni","LQA_LIQUIDITY_SCORE")</f>
        <v>#N/A Requesting Data...</v>
      </c>
    </row>
    <row r="645" spans="1:20" x14ac:dyDescent="0.25">
      <c r="A645" t="str">
        <f>_xll.BDP("14063YBX Muni","ID_CUSIP")</f>
        <v>#N/A Requesting Data...</v>
      </c>
      <c r="B645" t="s">
        <v>109</v>
      </c>
      <c r="C645" t="str">
        <f>_xll.BDP("14063YBX Muni","INSURANCE_STATUS")</f>
        <v>#N/A Requesting Data...</v>
      </c>
      <c r="D645" t="str">
        <f>_xll.BDP("14063YBX Muni","STATE_CODE")</f>
        <v>#N/A Requesting Data...</v>
      </c>
      <c r="E645" t="str">
        <f>_xll.BDP("14063YBX Muni","COUNTY_LOCATION_ISSUER")</f>
        <v>#N/A Requesting Data...</v>
      </c>
      <c r="F645" t="str">
        <f>_xll.BDP("14063YBX Muni","DUR_ADJ_MID")</f>
        <v>#N/A Requesting Data...</v>
      </c>
      <c r="G645" t="str">
        <f>_xll.BDP("14063YBX Muni","SPREAD_AT_ISSUANCE_TO_WORST")</f>
        <v>#N/A Requesting Data...</v>
      </c>
      <c r="H645" t="str">
        <f>_xll.BDP("14063YBX Muni","ISSUE_DT")</f>
        <v>#N/A Requesting Data...</v>
      </c>
      <c r="I645" t="str">
        <f>_xll.BDS("14063YBX Muni","MUNI_PURPOSE_SCHED", "aggregate=y")</f>
        <v>#N/A Requesting Data...</v>
      </c>
      <c r="J645" t="str">
        <f>_xll.BDP("14063YBX Muni","CPN")</f>
        <v>#N/A Requesting Data...</v>
      </c>
      <c r="K645" t="str">
        <f>_xll.BDP("14063YBX Muni","MATURITY")</f>
        <v>#N/A Requesting Data...</v>
      </c>
      <c r="L645">
        <v>415000</v>
      </c>
      <c r="M645" t="str">
        <f>_xll.BDP("14063YBX Muni","YIELD_ON_ISSUE_DATE")</f>
        <v>#N/A Requesting Data...</v>
      </c>
      <c r="N645" t="str">
        <f>_xll.BDP("14063YBX Muni","YTW_SPREAD_TO_MATURITY_AT_ISSU")</f>
        <v>#N/A Requesting Data...</v>
      </c>
      <c r="O645" t="str">
        <f>_xll.BDP("14063YBX Muni","BVAL_MID_YTM")</f>
        <v>#N/A Requesting Data...</v>
      </c>
      <c r="P645" t="str">
        <f>_xll.BDP("14063YBX Muni","MUNI_TAX_PROV")</f>
        <v>#N/A Requesting Data...</v>
      </c>
      <c r="Q645" t="str">
        <f>_xll.BDP("14063YBX Muni","MUNI_FED_TAX")</f>
        <v>#N/A Requesting Data...</v>
      </c>
      <c r="R645" t="str">
        <f>_xll.BDP("14063YBX Muni","MUNI_MSRB_VOLUME")</f>
        <v>#N/A Requesting Data...</v>
      </c>
      <c r="S645" t="str">
        <f>_xll.BDP("14063YBX Muni","BB_COMPOSITE")</f>
        <v>#N/A Requesting Data...</v>
      </c>
      <c r="T645" t="str">
        <f>_xll.BDP("14063YBX Muni","LQA_LIQUIDITY_SCORE")</f>
        <v>#N/A Requesting Data...</v>
      </c>
    </row>
    <row r="646" spans="1:20" x14ac:dyDescent="0.25">
      <c r="A646" t="str">
        <f>_xll.BDP("14063YBZ Muni","ID_CUSIP")</f>
        <v>#N/A Requesting Data...</v>
      </c>
      <c r="B646" t="s">
        <v>109</v>
      </c>
      <c r="C646" t="str">
        <f>_xll.BDP("14063YBZ Muni","INSURANCE_STATUS")</f>
        <v>#N/A Requesting Data...</v>
      </c>
      <c r="D646" t="str">
        <f>_xll.BDP("14063YBZ Muni","STATE_CODE")</f>
        <v>#N/A Requesting Data...</v>
      </c>
      <c r="E646" t="str">
        <f>_xll.BDP("14063YBZ Muni","COUNTY_LOCATION_ISSUER")</f>
        <v>#N/A Requesting Data...</v>
      </c>
      <c r="F646" t="str">
        <f>_xll.BDP("14063YBZ Muni","DUR_ADJ_MID")</f>
        <v>#N/A Requesting Data...</v>
      </c>
      <c r="G646" t="str">
        <f>_xll.BDP("14063YBZ Muni","SPREAD_AT_ISSUANCE_TO_WORST")</f>
        <v>#N/A Requesting Data...</v>
      </c>
      <c r="H646" t="str">
        <f>_xll.BDP("14063YBZ Muni","ISSUE_DT")</f>
        <v>#N/A Requesting Data...</v>
      </c>
      <c r="I646" t="str">
        <f>_xll.BDS("14063YBZ Muni","MUNI_PURPOSE_SCHED", "aggregate=y")</f>
        <v>#N/A Requesting Data...</v>
      </c>
      <c r="J646" t="str">
        <f>_xll.BDP("14063YBZ Muni","CPN")</f>
        <v>#N/A Requesting Data...</v>
      </c>
      <c r="K646" t="str">
        <f>_xll.BDP("14063YBZ Muni","MATURITY")</f>
        <v>#N/A Requesting Data...</v>
      </c>
      <c r="L646">
        <v>440000</v>
      </c>
      <c r="M646" t="str">
        <f>_xll.BDP("14063YBZ Muni","YIELD_ON_ISSUE_DATE")</f>
        <v>#N/A Requesting Data...</v>
      </c>
      <c r="N646" t="str">
        <f>_xll.BDP("14063YBZ Muni","YTW_SPREAD_TO_MATURITY_AT_ISSU")</f>
        <v>#N/A Requesting Data...</v>
      </c>
      <c r="O646" t="str">
        <f>_xll.BDP("14063YBZ Muni","BVAL_MID_YTM")</f>
        <v>#N/A Requesting Data...</v>
      </c>
      <c r="P646" t="str">
        <f>_xll.BDP("14063YBZ Muni","MUNI_TAX_PROV")</f>
        <v>#N/A Requesting Data...</v>
      </c>
      <c r="Q646" t="str">
        <f>_xll.BDP("14063YBZ Muni","MUNI_FED_TAX")</f>
        <v>#N/A Requesting Data...</v>
      </c>
      <c r="R646" t="str">
        <f>_xll.BDP("14063YBZ Muni","MUNI_MSRB_VOLUME")</f>
        <v>#N/A Requesting Data...</v>
      </c>
      <c r="S646" t="str">
        <f>_xll.BDP("14063YBZ Muni","BB_COMPOSITE")</f>
        <v>#N/A Requesting Data...</v>
      </c>
      <c r="T646" t="str">
        <f>_xll.BDP("14063YBZ Muni","LQA_LIQUIDITY_SCORE")</f>
        <v>#N/A Requesting Data...</v>
      </c>
    </row>
    <row r="647" spans="1:20" x14ac:dyDescent="0.25">
      <c r="A647" t="str">
        <f>_xll.BDP("035393GA Muni","ID_CUSIP")</f>
        <v>#N/A Requesting Data...</v>
      </c>
      <c r="B647" t="s">
        <v>175</v>
      </c>
      <c r="C647" t="str">
        <f>_xll.BDP("035393GA Muni","INSURANCE_STATUS")</f>
        <v>#N/A Requesting Data...</v>
      </c>
      <c r="D647" t="str">
        <f>_xll.BDP("035393GA Muni","STATE_CODE")</f>
        <v>#N/A Requesting Data...</v>
      </c>
      <c r="E647" t="str">
        <f>_xll.BDP("035393GA Muni","COUNTY_LOCATION_ISSUER")</f>
        <v>#N/A Requesting Data...</v>
      </c>
      <c r="F647" t="str">
        <f>_xll.BDP("035393GA Muni","DUR_ADJ_MID")</f>
        <v>#N/A Requesting Data...</v>
      </c>
      <c r="G647" t="str">
        <f>_xll.BDP("035393GA Muni","SPREAD_AT_ISSUANCE_TO_WORST")</f>
        <v>#N/A Requesting Data...</v>
      </c>
      <c r="H647" t="str">
        <f>_xll.BDP("035393GA Muni","ISSUE_DT")</f>
        <v>#N/A Requesting Data...</v>
      </c>
      <c r="I647" t="str">
        <f>_xll.BDS("035393GA Muni","MUNI_PURPOSE_SCHED", "aggregate=y")</f>
        <v>#N/A Requesting Data...</v>
      </c>
      <c r="J647" t="str">
        <f>_xll.BDP("035393GA Muni","CPN")</f>
        <v>#N/A Requesting Data...</v>
      </c>
      <c r="K647" t="str">
        <f>_xll.BDP("035393GA Muni","MATURITY")</f>
        <v>#N/A Requesting Data...</v>
      </c>
      <c r="L647">
        <v>355000</v>
      </c>
      <c r="M647" t="str">
        <f>_xll.BDP("035393GA Muni","YIELD_ON_ISSUE_DATE")</f>
        <v>#N/A Requesting Data...</v>
      </c>
      <c r="N647" t="str">
        <f>_xll.BDP("035393GA Muni","YTW_SPREAD_TO_MATURITY_AT_ISSU")</f>
        <v>#N/A Requesting Data...</v>
      </c>
      <c r="O647" t="str">
        <f>_xll.BDP("035393GA Muni","BVAL_MID_YTM")</f>
        <v>#N/A Requesting Data...</v>
      </c>
      <c r="P647" t="str">
        <f>_xll.BDP("035393GA Muni","MUNI_TAX_PROV")</f>
        <v>#N/A Requesting Data...</v>
      </c>
      <c r="Q647" t="str">
        <f>_xll.BDP("035393GA Muni","MUNI_FED_TAX")</f>
        <v>#N/A Requesting Data...</v>
      </c>
      <c r="R647" t="str">
        <f>_xll.BDP("035393GA Muni","MUNI_MSRB_VOLUME")</f>
        <v>#N/A Requesting Data...</v>
      </c>
      <c r="S647" t="str">
        <f>_xll.BDP("035393GA Muni","BB_COMPOSITE")</f>
        <v>#N/A Requesting Data...</v>
      </c>
      <c r="T647" t="str">
        <f>_xll.BDP("035393GA Muni","LQA_LIQUIDITY_SCORE")</f>
        <v>#N/A Requesting Data...</v>
      </c>
    </row>
    <row r="648" spans="1:20" x14ac:dyDescent="0.25">
      <c r="A648" t="str">
        <f>_xll.BDP("035393GC Muni","ID_CUSIP")</f>
        <v>#N/A Requesting Data...</v>
      </c>
      <c r="B648" t="s">
        <v>175</v>
      </c>
      <c r="C648" t="str">
        <f>_xll.BDP("035393GC Muni","INSURANCE_STATUS")</f>
        <v>#N/A Requesting Data...</v>
      </c>
      <c r="D648" t="str">
        <f>_xll.BDP("035393GC Muni","STATE_CODE")</f>
        <v>#N/A Requesting Data...</v>
      </c>
      <c r="E648" t="str">
        <f>_xll.BDP("035393GC Muni","COUNTY_LOCATION_ISSUER")</f>
        <v>#N/A Requesting Data...</v>
      </c>
      <c r="F648" t="str">
        <f>_xll.BDP("035393GC Muni","DUR_ADJ_MID")</f>
        <v>#N/A Requesting Data...</v>
      </c>
      <c r="G648" t="str">
        <f>_xll.BDP("035393GC Muni","SPREAD_AT_ISSUANCE_TO_WORST")</f>
        <v>#N/A Requesting Data...</v>
      </c>
      <c r="H648" t="str">
        <f>_xll.BDP("035393GC Muni","ISSUE_DT")</f>
        <v>#N/A Requesting Data...</v>
      </c>
      <c r="I648" t="str">
        <f>_xll.BDS("035393GC Muni","MUNI_PURPOSE_SCHED", "aggregate=y")</f>
        <v>#N/A Requesting Data...</v>
      </c>
      <c r="J648" t="str">
        <f>_xll.BDP("035393GC Muni","CPN")</f>
        <v>#N/A Requesting Data...</v>
      </c>
      <c r="K648" t="str">
        <f>_xll.BDP("035393GC Muni","MATURITY")</f>
        <v>#N/A Requesting Data...</v>
      </c>
      <c r="L648">
        <v>380000</v>
      </c>
      <c r="M648" t="str">
        <f>_xll.BDP("035393GC Muni","YIELD_ON_ISSUE_DATE")</f>
        <v>#N/A Requesting Data...</v>
      </c>
      <c r="N648" t="str">
        <f>_xll.BDP("035393GC Muni","YTW_SPREAD_TO_MATURITY_AT_ISSU")</f>
        <v>#N/A Requesting Data...</v>
      </c>
      <c r="O648" t="str">
        <f>_xll.BDP("035393GC Muni","BVAL_MID_YTM")</f>
        <v>#N/A Requesting Data...</v>
      </c>
      <c r="P648" t="str">
        <f>_xll.BDP("035393GC Muni","MUNI_TAX_PROV")</f>
        <v>#N/A Requesting Data...</v>
      </c>
      <c r="Q648" t="str">
        <f>_xll.BDP("035393GC Muni","MUNI_FED_TAX")</f>
        <v>#N/A Requesting Data...</v>
      </c>
      <c r="R648" t="str">
        <f>_xll.BDP("035393GC Muni","MUNI_MSRB_VOLUME")</f>
        <v>#N/A Requesting Data...</v>
      </c>
      <c r="S648" t="str">
        <f>_xll.BDP("035393GC Muni","BB_COMPOSITE")</f>
        <v>#N/A Requesting Data...</v>
      </c>
      <c r="T648" t="str">
        <f>_xll.BDP("035393GC Muni","LQA_LIQUIDITY_SCORE")</f>
        <v>#N/A Requesting Data...</v>
      </c>
    </row>
    <row r="649" spans="1:20" x14ac:dyDescent="0.25">
      <c r="A649" t="str">
        <f>_xll.BDP("1448798B Muni","ID_CUSIP")</f>
        <v>#N/A Requesting Data...</v>
      </c>
      <c r="B649" t="s">
        <v>176</v>
      </c>
      <c r="C649" t="str">
        <f>_xll.BDP("1448798B Muni","INSURANCE_STATUS")</f>
        <v>#N/A Requesting Data...</v>
      </c>
      <c r="D649" t="str">
        <f>_xll.BDP("1448798B Muni","STATE_CODE")</f>
        <v>#N/A Requesting Data...</v>
      </c>
      <c r="E649" t="str">
        <f>_xll.BDP("1448798B Muni","COUNTY_LOCATION_ISSUER")</f>
        <v>#N/A Requesting Data...</v>
      </c>
      <c r="F649" t="str">
        <f>_xll.BDP("1448798B Muni","DUR_ADJ_MID")</f>
        <v>#N/A Requesting Data...</v>
      </c>
      <c r="G649" t="str">
        <f>_xll.BDP("1448798B Muni","SPREAD_AT_ISSUANCE_TO_WORST")</f>
        <v>#N/A Requesting Data...</v>
      </c>
      <c r="H649" t="str">
        <f>_xll.BDP("1448798B Muni","ISSUE_DT")</f>
        <v>#N/A Requesting Data...</v>
      </c>
      <c r="I649" t="str">
        <f>_xll.BDS("1448798B Muni","MUNI_PURPOSE_SCHED", "aggregate=y")</f>
        <v>#N/A Requesting Data...</v>
      </c>
      <c r="J649" t="str">
        <f>_xll.BDP("1448798B Muni","CPN")</f>
        <v>#N/A Requesting Data...</v>
      </c>
      <c r="K649" t="str">
        <f>_xll.BDP("1448798B Muni","MATURITY")</f>
        <v>#N/A Requesting Data...</v>
      </c>
      <c r="L649">
        <v>1250000</v>
      </c>
      <c r="M649" t="str">
        <f>_xll.BDP("1448798B Muni","YIELD_ON_ISSUE_DATE")</f>
        <v>#N/A Requesting Data...</v>
      </c>
      <c r="N649" t="str">
        <f>_xll.BDP("1448798B Muni","YTW_SPREAD_TO_MATURITY_AT_ISSU")</f>
        <v>#N/A Requesting Data...</v>
      </c>
      <c r="O649" t="str">
        <f>_xll.BDP("1448798B Muni","BVAL_MID_YTM")</f>
        <v>#N/A Requesting Data...</v>
      </c>
      <c r="P649" t="str">
        <f>_xll.BDP("1448798B Muni","MUNI_TAX_PROV")</f>
        <v>#N/A Requesting Data...</v>
      </c>
      <c r="Q649" t="str">
        <f>_xll.BDP("1448798B Muni","MUNI_FED_TAX")</f>
        <v>#N/A Requesting Data...</v>
      </c>
      <c r="R649" t="str">
        <f>_xll.BDP("1448798B Muni","MUNI_MSRB_VOLUME")</f>
        <v>#N/A Requesting Data...</v>
      </c>
      <c r="S649" t="str">
        <f>_xll.BDP("1448798B Muni","BB_COMPOSITE")</f>
        <v>#N/A Requesting Data...</v>
      </c>
      <c r="T649" t="str">
        <f>_xll.BDP("1448798B Muni","LQA_LIQUIDITY_SCORE")</f>
        <v>#N/A Requesting Data...</v>
      </c>
    </row>
    <row r="650" spans="1:20" x14ac:dyDescent="0.25">
      <c r="A650" t="str">
        <f>_xll.BDP("1448798C Muni","ID_CUSIP")</f>
        <v>#N/A Requesting Data...</v>
      </c>
      <c r="B650" t="s">
        <v>176</v>
      </c>
      <c r="C650" t="str">
        <f>_xll.BDP("1448798C Muni","INSURANCE_STATUS")</f>
        <v>#N/A Requesting Data...</v>
      </c>
      <c r="D650" t="str">
        <f>_xll.BDP("1448798C Muni","STATE_CODE")</f>
        <v>#N/A Requesting Data...</v>
      </c>
      <c r="E650" t="str">
        <f>_xll.BDP("1448798C Muni","COUNTY_LOCATION_ISSUER")</f>
        <v>#N/A Requesting Data...</v>
      </c>
      <c r="F650" t="str">
        <f>_xll.BDP("1448798C Muni","DUR_ADJ_MID")</f>
        <v>#N/A Requesting Data...</v>
      </c>
      <c r="G650" t="str">
        <f>_xll.BDP("1448798C Muni","SPREAD_AT_ISSUANCE_TO_WORST")</f>
        <v>#N/A Requesting Data...</v>
      </c>
      <c r="H650" t="str">
        <f>_xll.BDP("1448798C Muni","ISSUE_DT")</f>
        <v>#N/A Requesting Data...</v>
      </c>
      <c r="I650" t="str">
        <f>_xll.BDS("1448798C Muni","MUNI_PURPOSE_SCHED", "aggregate=y")</f>
        <v>#N/A Requesting Data...</v>
      </c>
      <c r="J650" t="str">
        <f>_xll.BDP("1448798C Muni","CPN")</f>
        <v>#N/A Requesting Data...</v>
      </c>
      <c r="K650" t="str">
        <f>_xll.BDP("1448798C Muni","MATURITY")</f>
        <v>#N/A Requesting Data...</v>
      </c>
      <c r="L650">
        <v>1250000</v>
      </c>
      <c r="M650" t="str">
        <f>_xll.BDP("1448798C Muni","YIELD_ON_ISSUE_DATE")</f>
        <v>#N/A Requesting Data...</v>
      </c>
      <c r="N650" t="str">
        <f>_xll.BDP("1448798C Muni","YTW_SPREAD_TO_MATURITY_AT_ISSU")</f>
        <v>#N/A Requesting Data...</v>
      </c>
      <c r="O650" t="str">
        <f>_xll.BDP("1448798C Muni","BVAL_MID_YTM")</f>
        <v>#N/A Requesting Data...</v>
      </c>
      <c r="P650" t="str">
        <f>_xll.BDP("1448798C Muni","MUNI_TAX_PROV")</f>
        <v>#N/A Requesting Data...</v>
      </c>
      <c r="Q650" t="str">
        <f>_xll.BDP("1448798C Muni","MUNI_FED_TAX")</f>
        <v>#N/A Requesting Data...</v>
      </c>
      <c r="R650" t="str">
        <f>_xll.BDP("1448798C Muni","MUNI_MSRB_VOLUME")</f>
        <v>#N/A Requesting Data...</v>
      </c>
      <c r="S650" t="str">
        <f>_xll.BDP("1448798C Muni","BB_COMPOSITE")</f>
        <v>#N/A Requesting Data...</v>
      </c>
      <c r="T650" t="str">
        <f>_xll.BDP("1448798C Muni","LQA_LIQUIDITY_SCORE")</f>
        <v>#N/A Requesting Data...</v>
      </c>
    </row>
    <row r="651" spans="1:20" x14ac:dyDescent="0.25">
      <c r="A651" t="str">
        <f>_xll.BDP("1448798E Muni","ID_CUSIP")</f>
        <v>#N/A Requesting Data...</v>
      </c>
      <c r="B651" t="s">
        <v>176</v>
      </c>
      <c r="C651" t="str">
        <f>_xll.BDP("1448798E Muni","INSURANCE_STATUS")</f>
        <v>#N/A Requesting Data...</v>
      </c>
      <c r="D651" t="str">
        <f>_xll.BDP("1448798E Muni","STATE_CODE")</f>
        <v>#N/A Requesting Data...</v>
      </c>
      <c r="E651" t="str">
        <f>_xll.BDP("1448798E Muni","COUNTY_LOCATION_ISSUER")</f>
        <v>#N/A Requesting Data...</v>
      </c>
      <c r="F651" t="str">
        <f>_xll.BDP("1448798E Muni","DUR_ADJ_MID")</f>
        <v>#N/A Requesting Data...</v>
      </c>
      <c r="G651" t="str">
        <f>_xll.BDP("1448798E Muni","SPREAD_AT_ISSUANCE_TO_WORST")</f>
        <v>#N/A Requesting Data...</v>
      </c>
      <c r="H651" t="str">
        <f>_xll.BDP("1448798E Muni","ISSUE_DT")</f>
        <v>#N/A Requesting Data...</v>
      </c>
      <c r="I651" t="str">
        <f>_xll.BDS("1448798E Muni","MUNI_PURPOSE_SCHED", "aggregate=y")</f>
        <v>#N/A Requesting Data...</v>
      </c>
      <c r="J651" t="str">
        <f>_xll.BDP("1448798E Muni","CPN")</f>
        <v>#N/A Requesting Data...</v>
      </c>
      <c r="K651" t="str">
        <f>_xll.BDP("1448798E Muni","MATURITY")</f>
        <v>#N/A Requesting Data...</v>
      </c>
      <c r="L651">
        <v>1250000</v>
      </c>
      <c r="M651" t="str">
        <f>_xll.BDP("1448798E Muni","YIELD_ON_ISSUE_DATE")</f>
        <v>#N/A Requesting Data...</v>
      </c>
      <c r="N651" t="str">
        <f>_xll.BDP("1448798E Muni","YTW_SPREAD_TO_MATURITY_AT_ISSU")</f>
        <v>#N/A Requesting Data...</v>
      </c>
      <c r="O651" t="str">
        <f>_xll.BDP("1448798E Muni","BVAL_MID_YTM")</f>
        <v>#N/A Requesting Data...</v>
      </c>
      <c r="P651" t="str">
        <f>_xll.BDP("1448798E Muni","MUNI_TAX_PROV")</f>
        <v>#N/A Requesting Data...</v>
      </c>
      <c r="Q651" t="str">
        <f>_xll.BDP("1448798E Muni","MUNI_FED_TAX")</f>
        <v>#N/A Requesting Data...</v>
      </c>
      <c r="R651" t="str">
        <f>_xll.BDP("1448798E Muni","MUNI_MSRB_VOLUME")</f>
        <v>#N/A Requesting Data...</v>
      </c>
      <c r="S651" t="str">
        <f>_xll.BDP("1448798E Muni","BB_COMPOSITE")</f>
        <v>#N/A Requesting Data...</v>
      </c>
      <c r="T651" t="str">
        <f>_xll.BDP("1448798E Muni","LQA_LIQUIDITY_SCORE")</f>
        <v>#N/A Requesting Data...</v>
      </c>
    </row>
    <row r="652" spans="1:20" x14ac:dyDescent="0.25">
      <c r="A652" t="str">
        <f>_xll.BDP("10608MDD Muni","ID_CUSIP")</f>
        <v>#N/A Requesting Data...</v>
      </c>
      <c r="B652" t="s">
        <v>59</v>
      </c>
      <c r="C652" t="str">
        <f>_xll.BDP("10608MDD Muni","INSURANCE_STATUS")</f>
        <v>#N/A Requesting Data...</v>
      </c>
      <c r="D652" t="str">
        <f>_xll.BDP("10608MDD Muni","STATE_CODE")</f>
        <v>#N/A Requesting Data...</v>
      </c>
      <c r="E652" t="str">
        <f>_xll.BDP("10608MDD Muni","COUNTY_LOCATION_ISSUER")</f>
        <v>#N/A Requesting Data...</v>
      </c>
      <c r="F652" t="str">
        <f>_xll.BDP("10608MDD Muni","DUR_ADJ_MID")</f>
        <v>#N/A Requesting Data...</v>
      </c>
      <c r="G652" t="str">
        <f>_xll.BDP("10608MDD Muni","SPREAD_AT_ISSUANCE_TO_WORST")</f>
        <v>#N/A Requesting Data...</v>
      </c>
      <c r="H652" t="str">
        <f>_xll.BDP("10608MDD Muni","ISSUE_DT")</f>
        <v>#N/A Requesting Data...</v>
      </c>
      <c r="I652" t="str">
        <f>_xll.BDS("10608MDD Muni","MUNI_PURPOSE_SCHED", "aggregate=y")</f>
        <v>#N/A Requesting Data...</v>
      </c>
      <c r="J652" t="str">
        <f>_xll.BDP("10608MDD Muni","CPN")</f>
        <v>#N/A Requesting Data...</v>
      </c>
      <c r="K652" t="str">
        <f>_xll.BDP("10608MDD Muni","MATURITY")</f>
        <v>#N/A Requesting Data...</v>
      </c>
      <c r="L652">
        <v>105000</v>
      </c>
      <c r="M652" t="str">
        <f>_xll.BDP("10608MDD Muni","YIELD_ON_ISSUE_DATE")</f>
        <v>#N/A Requesting Data...</v>
      </c>
      <c r="N652" t="str">
        <f>_xll.BDP("10608MDD Muni","YTW_SPREAD_TO_MATURITY_AT_ISSU")</f>
        <v>#N/A Requesting Data...</v>
      </c>
      <c r="O652" t="str">
        <f>_xll.BDP("10608MDD Muni","BVAL_MID_YTM")</f>
        <v>#N/A Requesting Data...</v>
      </c>
      <c r="P652" t="str">
        <f>_xll.BDP("10608MDD Muni","MUNI_TAX_PROV")</f>
        <v>#N/A Requesting Data...</v>
      </c>
      <c r="Q652" t="str">
        <f>_xll.BDP("10608MDD Muni","MUNI_FED_TAX")</f>
        <v>#N/A Requesting Data...</v>
      </c>
      <c r="R652" t="str">
        <f>_xll.BDP("10608MDD Muni","MUNI_MSRB_VOLUME")</f>
        <v>#N/A Requesting Data...</v>
      </c>
      <c r="S652" t="str">
        <f>_xll.BDP("10608MDD Muni","BB_COMPOSITE")</f>
        <v>#N/A Requesting Data...</v>
      </c>
      <c r="T652" t="str">
        <f>_xll.BDP("10608MDD Muni","LQA_LIQUIDITY_SCORE")</f>
        <v>#N/A Requesting Data...</v>
      </c>
    </row>
    <row r="653" spans="1:20" x14ac:dyDescent="0.25">
      <c r="A653" t="str">
        <f>_xll.BDP("106147HW Muni","ID_CUSIP")</f>
        <v>#N/A Requesting Data...</v>
      </c>
      <c r="B653" t="s">
        <v>60</v>
      </c>
      <c r="C653" t="str">
        <f>_xll.BDP("106147HW Muni","INSURANCE_STATUS")</f>
        <v>#N/A Requesting Data...</v>
      </c>
      <c r="D653" t="str">
        <f>_xll.BDP("106147HW Muni","STATE_CODE")</f>
        <v>#N/A Requesting Data...</v>
      </c>
      <c r="E653" t="str">
        <f>_xll.BDP("106147HW Muni","COUNTY_LOCATION_ISSUER")</f>
        <v>#N/A Requesting Data...</v>
      </c>
      <c r="F653" t="str">
        <f>_xll.BDP("106147HW Muni","DUR_ADJ_MID")</f>
        <v>#N/A Requesting Data...</v>
      </c>
      <c r="G653" t="str">
        <f>_xll.BDP("106147HW Muni","SPREAD_AT_ISSUANCE_TO_WORST")</f>
        <v>#N/A Requesting Data...</v>
      </c>
      <c r="H653" t="str">
        <f>_xll.BDP("106147HW Muni","ISSUE_DT")</f>
        <v>#N/A Requesting Data...</v>
      </c>
      <c r="I653" t="str">
        <f>_xll.BDS("106147HW Muni","MUNI_PURPOSE_SCHED", "aggregate=y")</f>
        <v>#N/A Requesting Data...</v>
      </c>
      <c r="J653" t="str">
        <f>_xll.BDP("106147HW Muni","CPN")</f>
        <v>#N/A Requesting Data...</v>
      </c>
      <c r="K653" t="str">
        <f>_xll.BDP("106147HW Muni","MATURITY")</f>
        <v>#N/A Requesting Data...</v>
      </c>
      <c r="L653">
        <v>600000</v>
      </c>
      <c r="M653" t="str">
        <f>_xll.BDP("106147HW Muni","YIELD_ON_ISSUE_DATE")</f>
        <v>#N/A Requesting Data...</v>
      </c>
      <c r="N653" t="str">
        <f>_xll.BDP("106147HW Muni","YTW_SPREAD_TO_MATURITY_AT_ISSU")</f>
        <v>#N/A Requesting Data...</v>
      </c>
      <c r="O653" t="str">
        <f>_xll.BDP("106147HW Muni","BVAL_MID_YTM")</f>
        <v>#N/A Requesting Data...</v>
      </c>
      <c r="P653" t="str">
        <f>_xll.BDP("106147HW Muni","MUNI_TAX_PROV")</f>
        <v>#N/A Requesting Data...</v>
      </c>
      <c r="Q653" t="str">
        <f>_xll.BDP("106147HW Muni","MUNI_FED_TAX")</f>
        <v>#N/A Requesting Data...</v>
      </c>
      <c r="R653" t="str">
        <f>_xll.BDP("106147HW Muni","MUNI_MSRB_VOLUME")</f>
        <v>#N/A Requesting Data...</v>
      </c>
      <c r="S653" t="str">
        <f>_xll.BDP("106147HW Muni","BB_COMPOSITE")</f>
        <v>#N/A Requesting Data...</v>
      </c>
      <c r="T653" t="str">
        <f>_xll.BDP("106147HW Muni","LQA_LIQUIDITY_SCORE")</f>
        <v>#N/A Requesting Data...</v>
      </c>
    </row>
    <row r="654" spans="1:20" x14ac:dyDescent="0.25">
      <c r="A654" t="str">
        <f>_xll.BDP("34681NGV Muni","ID_CUSIP")</f>
        <v>#N/A Requesting Data...</v>
      </c>
      <c r="B654" t="s">
        <v>180</v>
      </c>
      <c r="C654" t="str">
        <f>_xll.BDP("34681NGV Muni","INSURANCE_STATUS")</f>
        <v>#N/A Requesting Data...</v>
      </c>
      <c r="D654" t="str">
        <f>_xll.BDP("34681NGV Muni","STATE_CODE")</f>
        <v>#N/A Requesting Data...</v>
      </c>
      <c r="E654" t="str">
        <f>_xll.BDP("34681NGV Muni","COUNTY_LOCATION_ISSUER")</f>
        <v>#N/A Requesting Data...</v>
      </c>
      <c r="F654" t="str">
        <f>_xll.BDP("34681NGV Muni","DUR_ADJ_MID")</f>
        <v>#N/A Requesting Data...</v>
      </c>
      <c r="G654" t="str">
        <f>_xll.BDP("34681NGV Muni","SPREAD_AT_ISSUANCE_TO_WORST")</f>
        <v>#N/A Requesting Data...</v>
      </c>
      <c r="H654" t="str">
        <f>_xll.BDP("34681NGV Muni","ISSUE_DT")</f>
        <v>#N/A Requesting Data...</v>
      </c>
      <c r="I654" t="str">
        <f>_xll.BDS("34681NGV Muni","MUNI_PURPOSE_SCHED", "aggregate=y")</f>
        <v>#N/A Requesting Data...</v>
      </c>
      <c r="J654" t="str">
        <f>_xll.BDP("34681NGV Muni","CPN")</f>
        <v>#N/A Requesting Data...</v>
      </c>
      <c r="K654" t="str">
        <f>_xll.BDP("34681NGV Muni","MATURITY")</f>
        <v>#N/A Requesting Data...</v>
      </c>
      <c r="L654">
        <v>95000</v>
      </c>
      <c r="M654" t="str">
        <f>_xll.BDP("34681NGV Muni","YIELD_ON_ISSUE_DATE")</f>
        <v>#N/A Requesting Data...</v>
      </c>
      <c r="N654" t="str">
        <f>_xll.BDP("34681NGV Muni","YTW_SPREAD_TO_MATURITY_AT_ISSU")</f>
        <v>#N/A Requesting Data...</v>
      </c>
      <c r="O654" t="str">
        <f>_xll.BDP("34681NGV Muni","BVAL_MID_YTM")</f>
        <v>#N/A Requesting Data...</v>
      </c>
      <c r="P654" t="str">
        <f>_xll.BDP("34681NGV Muni","MUNI_TAX_PROV")</f>
        <v>#N/A Requesting Data...</v>
      </c>
      <c r="Q654" t="str">
        <f>_xll.BDP("34681NGV Muni","MUNI_FED_TAX")</f>
        <v>#N/A Requesting Data...</v>
      </c>
      <c r="R654" t="str">
        <f>_xll.BDP("34681NGV Muni","MUNI_MSRB_VOLUME")</f>
        <v>#N/A Requesting Data...</v>
      </c>
      <c r="S654" t="str">
        <f>_xll.BDP("34681NGV Muni","BB_COMPOSITE")</f>
        <v>#N/A Requesting Data...</v>
      </c>
      <c r="T654" t="str">
        <f>_xll.BDP("34681NGV Muni","LQA_LIQUIDITY_SCORE")</f>
        <v>#N/A Requesting Data...</v>
      </c>
    </row>
    <row r="655" spans="1:20" x14ac:dyDescent="0.25">
      <c r="A655" t="str">
        <f>_xll.BDP("34681NGW Muni","ID_CUSIP")</f>
        <v>#N/A Requesting Data...</v>
      </c>
      <c r="B655" t="s">
        <v>180</v>
      </c>
      <c r="C655" t="str">
        <f>_xll.BDP("34681NGW Muni","INSURANCE_STATUS")</f>
        <v>#N/A Requesting Data...</v>
      </c>
      <c r="D655" t="str">
        <f>_xll.BDP("34681NGW Muni","STATE_CODE")</f>
        <v>#N/A Requesting Data...</v>
      </c>
      <c r="E655" t="str">
        <f>_xll.BDP("34681NGW Muni","COUNTY_LOCATION_ISSUER")</f>
        <v>#N/A Requesting Data...</v>
      </c>
      <c r="F655" t="str">
        <f>_xll.BDP("34681NGW Muni","DUR_ADJ_MID")</f>
        <v>#N/A Requesting Data...</v>
      </c>
      <c r="G655" t="str">
        <f>_xll.BDP("34681NGW Muni","SPREAD_AT_ISSUANCE_TO_WORST")</f>
        <v>#N/A Requesting Data...</v>
      </c>
      <c r="H655" t="str">
        <f>_xll.BDP("34681NGW Muni","ISSUE_DT")</f>
        <v>#N/A Requesting Data...</v>
      </c>
      <c r="I655" t="str">
        <f>_xll.BDS("34681NGW Muni","MUNI_PURPOSE_SCHED", "aggregate=y")</f>
        <v>#N/A Requesting Data...</v>
      </c>
      <c r="J655" t="str">
        <f>_xll.BDP("34681NGW Muni","CPN")</f>
        <v>#N/A Requesting Data...</v>
      </c>
      <c r="K655" t="str">
        <f>_xll.BDP("34681NGW Muni","MATURITY")</f>
        <v>#N/A Requesting Data...</v>
      </c>
      <c r="L655">
        <v>100000</v>
      </c>
      <c r="M655" t="str">
        <f>_xll.BDP("34681NGW Muni","YIELD_ON_ISSUE_DATE")</f>
        <v>#N/A Requesting Data...</v>
      </c>
      <c r="N655" t="str">
        <f>_xll.BDP("34681NGW Muni","YTW_SPREAD_TO_MATURITY_AT_ISSU")</f>
        <v>#N/A Requesting Data...</v>
      </c>
      <c r="O655" t="str">
        <f>_xll.BDP("34681NGW Muni","BVAL_MID_YTM")</f>
        <v>#N/A Requesting Data...</v>
      </c>
      <c r="P655" t="str">
        <f>_xll.BDP("34681NGW Muni","MUNI_TAX_PROV")</f>
        <v>#N/A Requesting Data...</v>
      </c>
      <c r="Q655" t="str">
        <f>_xll.BDP("34681NGW Muni","MUNI_FED_TAX")</f>
        <v>#N/A Requesting Data...</v>
      </c>
      <c r="R655" t="str">
        <f>_xll.BDP("34681NGW Muni","MUNI_MSRB_VOLUME")</f>
        <v>#N/A Requesting Data...</v>
      </c>
      <c r="S655" t="str">
        <f>_xll.BDP("34681NGW Muni","BB_COMPOSITE")</f>
        <v>#N/A Requesting Data...</v>
      </c>
      <c r="T655" t="str">
        <f>_xll.BDP("34681NGW Muni","LQA_LIQUIDITY_SCORE")</f>
        <v>#N/A Requesting Data...</v>
      </c>
    </row>
    <row r="656" spans="1:20" x14ac:dyDescent="0.25">
      <c r="A656" t="str">
        <f>_xll.BDP("34681VPC Muni","ID_CUSIP")</f>
        <v>#N/A Requesting Data...</v>
      </c>
      <c r="B656" t="s">
        <v>181</v>
      </c>
      <c r="C656" t="str">
        <f>_xll.BDP("34681VPC Muni","INSURANCE_STATUS")</f>
        <v>#N/A Requesting Data...</v>
      </c>
      <c r="D656" t="str">
        <f>_xll.BDP("34681VPC Muni","STATE_CODE")</f>
        <v>#N/A Requesting Data...</v>
      </c>
      <c r="E656" t="str">
        <f>_xll.BDP("34681VPC Muni","COUNTY_LOCATION_ISSUER")</f>
        <v>#N/A Requesting Data...</v>
      </c>
      <c r="F656" t="str">
        <f>_xll.BDP("34681VPC Muni","DUR_ADJ_MID")</f>
        <v>#N/A Requesting Data...</v>
      </c>
      <c r="G656" t="str">
        <f>_xll.BDP("34681VPC Muni","SPREAD_AT_ISSUANCE_TO_WORST")</f>
        <v>#N/A Requesting Data...</v>
      </c>
      <c r="H656" t="str">
        <f>_xll.BDP("34681VPC Muni","ISSUE_DT")</f>
        <v>#N/A Requesting Data...</v>
      </c>
      <c r="I656" t="str">
        <f>_xll.BDS("34681VPC Muni","MUNI_PURPOSE_SCHED", "aggregate=y")</f>
        <v>#N/A Requesting Data...</v>
      </c>
      <c r="J656" t="str">
        <f>_xll.BDP("34681VPC Muni","CPN")</f>
        <v>#N/A Requesting Data...</v>
      </c>
      <c r="K656" t="str">
        <f>_xll.BDP("34681VPC Muni","MATURITY")</f>
        <v>#N/A Requesting Data...</v>
      </c>
      <c r="L656">
        <v>275000</v>
      </c>
      <c r="M656" t="str">
        <f>_xll.BDP("34681VPC Muni","YIELD_ON_ISSUE_DATE")</f>
        <v>#N/A Requesting Data...</v>
      </c>
      <c r="N656" t="str">
        <f>_xll.BDP("34681VPC Muni","YTW_SPREAD_TO_MATURITY_AT_ISSU")</f>
        <v>#N/A Requesting Data...</v>
      </c>
      <c r="O656" t="str">
        <f>_xll.BDP("34681VPC Muni","BVAL_MID_YTM")</f>
        <v>#N/A Requesting Data...</v>
      </c>
      <c r="P656" t="str">
        <f>_xll.BDP("34681VPC Muni","MUNI_TAX_PROV")</f>
        <v>#N/A Requesting Data...</v>
      </c>
      <c r="Q656" t="str">
        <f>_xll.BDP("34681VPC Muni","MUNI_FED_TAX")</f>
        <v>#N/A Requesting Data...</v>
      </c>
      <c r="R656" t="str">
        <f>_xll.BDP("34681VPC Muni","MUNI_MSRB_VOLUME")</f>
        <v>#N/A Requesting Data...</v>
      </c>
      <c r="S656" t="str">
        <f>_xll.BDP("34681VPC Muni","BB_COMPOSITE")</f>
        <v>#N/A Requesting Data...</v>
      </c>
      <c r="T656" t="str">
        <f>_xll.BDP("34681VPC Muni","LQA_LIQUIDITY_SCORE")</f>
        <v>#N/A Requesting Data...</v>
      </c>
    </row>
    <row r="657" spans="1:20" x14ac:dyDescent="0.25">
      <c r="A657" t="str">
        <f>_xll.BDP("34681VPD Muni","ID_CUSIP")</f>
        <v>#N/A Requesting Data...</v>
      </c>
      <c r="B657" t="s">
        <v>181</v>
      </c>
      <c r="C657" t="str">
        <f>_xll.BDP("34681VPD Muni","INSURANCE_STATUS")</f>
        <v>#N/A Requesting Data...</v>
      </c>
      <c r="D657" t="str">
        <f>_xll.BDP("34681VPD Muni","STATE_CODE")</f>
        <v>#N/A Requesting Data...</v>
      </c>
      <c r="E657" t="str">
        <f>_xll.BDP("34681VPD Muni","COUNTY_LOCATION_ISSUER")</f>
        <v>#N/A Requesting Data...</v>
      </c>
      <c r="F657" t="str">
        <f>_xll.BDP("34681VPD Muni","DUR_ADJ_MID")</f>
        <v>#N/A Requesting Data...</v>
      </c>
      <c r="G657" t="str">
        <f>_xll.BDP("34681VPD Muni","SPREAD_AT_ISSUANCE_TO_WORST")</f>
        <v>#N/A Requesting Data...</v>
      </c>
      <c r="H657" t="str">
        <f>_xll.BDP("34681VPD Muni","ISSUE_DT")</f>
        <v>#N/A Requesting Data...</v>
      </c>
      <c r="I657" t="str">
        <f>_xll.BDS("34681VPD Muni","MUNI_PURPOSE_SCHED", "aggregate=y")</f>
        <v>#N/A Requesting Data...</v>
      </c>
      <c r="J657" t="str">
        <f>_xll.BDP("34681VPD Muni","CPN")</f>
        <v>#N/A Requesting Data...</v>
      </c>
      <c r="K657" t="str">
        <f>_xll.BDP("34681VPD Muni","MATURITY")</f>
        <v>#N/A Requesting Data...</v>
      </c>
      <c r="L657">
        <v>275000</v>
      </c>
      <c r="M657" t="str">
        <f>_xll.BDP("34681VPD Muni","YIELD_ON_ISSUE_DATE")</f>
        <v>#N/A Requesting Data...</v>
      </c>
      <c r="N657" t="str">
        <f>_xll.BDP("34681VPD Muni","YTW_SPREAD_TO_MATURITY_AT_ISSU")</f>
        <v>#N/A Requesting Data...</v>
      </c>
      <c r="O657" t="str">
        <f>_xll.BDP("34681VPD Muni","BVAL_MID_YTM")</f>
        <v>#N/A Requesting Data...</v>
      </c>
      <c r="P657" t="str">
        <f>_xll.BDP("34681VPD Muni","MUNI_TAX_PROV")</f>
        <v>#N/A Requesting Data...</v>
      </c>
      <c r="Q657" t="str">
        <f>_xll.BDP("34681VPD Muni","MUNI_FED_TAX")</f>
        <v>#N/A Requesting Data...</v>
      </c>
      <c r="R657" t="str">
        <f>_xll.BDP("34681VPD Muni","MUNI_MSRB_VOLUME")</f>
        <v>#N/A Requesting Data...</v>
      </c>
      <c r="S657" t="str">
        <f>_xll.BDP("34681VPD Muni","BB_COMPOSITE")</f>
        <v>#N/A Requesting Data...</v>
      </c>
      <c r="T657" t="str">
        <f>_xll.BDP("34681VPD Muni","LQA_LIQUIDITY_SCORE")</f>
        <v>#N/A Requesting Data...</v>
      </c>
    </row>
    <row r="658" spans="1:20" x14ac:dyDescent="0.25">
      <c r="A658" t="str">
        <f>_xll.BDP("34681WSW Muni","ID_CUSIP")</f>
        <v>#N/A Requesting Data...</v>
      </c>
      <c r="B658" t="s">
        <v>182</v>
      </c>
      <c r="C658" t="str">
        <f>_xll.BDP("34681WSW Muni","INSURANCE_STATUS")</f>
        <v>#N/A Requesting Data...</v>
      </c>
      <c r="D658" t="str">
        <f>_xll.BDP("34681WSW Muni","STATE_CODE")</f>
        <v>#N/A Requesting Data...</v>
      </c>
      <c r="E658" t="str">
        <f>_xll.BDP("34681WSW Muni","COUNTY_LOCATION_ISSUER")</f>
        <v>#N/A Requesting Data...</v>
      </c>
      <c r="F658" t="str">
        <f>_xll.BDP("34681WSW Muni","DUR_ADJ_MID")</f>
        <v>#N/A Requesting Data...</v>
      </c>
      <c r="G658" t="str">
        <f>_xll.BDP("34681WSW Muni","SPREAD_AT_ISSUANCE_TO_WORST")</f>
        <v>#N/A Requesting Data...</v>
      </c>
      <c r="H658" t="str">
        <f>_xll.BDP("34681WSW Muni","ISSUE_DT")</f>
        <v>#N/A Requesting Data...</v>
      </c>
      <c r="I658" t="str">
        <f>_xll.BDS("34681WSW Muni","MUNI_PURPOSE_SCHED", "aggregate=y")</f>
        <v>#N/A Requesting Data...</v>
      </c>
      <c r="J658" t="str">
        <f>_xll.BDP("34681WSW Muni","CPN")</f>
        <v>#N/A Requesting Data...</v>
      </c>
      <c r="K658" t="str">
        <f>_xll.BDP("34681WSW Muni","MATURITY")</f>
        <v>#N/A Requesting Data...</v>
      </c>
      <c r="L658">
        <v>100000</v>
      </c>
      <c r="M658" t="str">
        <f>_xll.BDP("34681WSW Muni","YIELD_ON_ISSUE_DATE")</f>
        <v>#N/A Requesting Data...</v>
      </c>
      <c r="N658" t="str">
        <f>_xll.BDP("34681WSW Muni","YTW_SPREAD_TO_MATURITY_AT_ISSU")</f>
        <v>#N/A Requesting Data...</v>
      </c>
      <c r="O658" t="str">
        <f>_xll.BDP("34681WSW Muni","BVAL_MID_YTM")</f>
        <v>#N/A Requesting Data...</v>
      </c>
      <c r="P658" t="str">
        <f>_xll.BDP("34681WSW Muni","MUNI_TAX_PROV")</f>
        <v>#N/A Requesting Data...</v>
      </c>
      <c r="Q658" t="str">
        <f>_xll.BDP("34681WSW Muni","MUNI_FED_TAX")</f>
        <v>#N/A Requesting Data...</v>
      </c>
      <c r="R658" t="str">
        <f>_xll.BDP("34681WSW Muni","MUNI_MSRB_VOLUME")</f>
        <v>#N/A Requesting Data...</v>
      </c>
      <c r="S658" t="str">
        <f>_xll.BDP("34681WSW Muni","BB_COMPOSITE")</f>
        <v>#N/A Requesting Data...</v>
      </c>
      <c r="T658" t="str">
        <f>_xll.BDP("34681WSW Muni","LQA_LIQUIDITY_SCORE")</f>
        <v>#N/A Requesting Data...</v>
      </c>
    </row>
    <row r="659" spans="1:20" x14ac:dyDescent="0.25">
      <c r="A659" t="str">
        <f>_xll.BDP("34681WSX Muni","ID_CUSIP")</f>
        <v>#N/A Requesting Data...</v>
      </c>
      <c r="B659" t="s">
        <v>182</v>
      </c>
      <c r="C659" t="str">
        <f>_xll.BDP("34681WSX Muni","INSURANCE_STATUS")</f>
        <v>#N/A Requesting Data...</v>
      </c>
      <c r="D659" t="str">
        <f>_xll.BDP("34681WSX Muni","STATE_CODE")</f>
        <v>#N/A Requesting Data...</v>
      </c>
      <c r="E659" t="str">
        <f>_xll.BDP("34681WSX Muni","COUNTY_LOCATION_ISSUER")</f>
        <v>#N/A Requesting Data...</v>
      </c>
      <c r="F659" t="str">
        <f>_xll.BDP("34681WSX Muni","DUR_ADJ_MID")</f>
        <v>#N/A Requesting Data...</v>
      </c>
      <c r="G659" t="str">
        <f>_xll.BDP("34681WSX Muni","SPREAD_AT_ISSUANCE_TO_WORST")</f>
        <v>#N/A Requesting Data...</v>
      </c>
      <c r="H659" t="str">
        <f>_xll.BDP("34681WSX Muni","ISSUE_DT")</f>
        <v>#N/A Requesting Data...</v>
      </c>
      <c r="I659" t="str">
        <f>_xll.BDS("34681WSX Muni","MUNI_PURPOSE_SCHED", "aggregate=y")</f>
        <v>#N/A Requesting Data...</v>
      </c>
      <c r="J659" t="str">
        <f>_xll.BDP("34681WSX Muni","CPN")</f>
        <v>#N/A Requesting Data...</v>
      </c>
      <c r="K659" t="str">
        <f>_xll.BDP("34681WSX Muni","MATURITY")</f>
        <v>#N/A Requesting Data...</v>
      </c>
      <c r="L659">
        <v>100000</v>
      </c>
      <c r="M659" t="str">
        <f>_xll.BDP("34681WSX Muni","YIELD_ON_ISSUE_DATE")</f>
        <v>#N/A Requesting Data...</v>
      </c>
      <c r="N659" t="str">
        <f>_xll.BDP("34681WSX Muni","YTW_SPREAD_TO_MATURITY_AT_ISSU")</f>
        <v>#N/A Requesting Data...</v>
      </c>
      <c r="O659" t="str">
        <f>_xll.BDP("34681WSX Muni","BVAL_MID_YTM")</f>
        <v>#N/A Requesting Data...</v>
      </c>
      <c r="P659" t="str">
        <f>_xll.BDP("34681WSX Muni","MUNI_TAX_PROV")</f>
        <v>#N/A Requesting Data...</v>
      </c>
      <c r="Q659" t="str">
        <f>_xll.BDP("34681WSX Muni","MUNI_FED_TAX")</f>
        <v>#N/A Requesting Data...</v>
      </c>
      <c r="R659" t="str">
        <f>_xll.BDP("34681WSX Muni","MUNI_MSRB_VOLUME")</f>
        <v>#N/A Requesting Data...</v>
      </c>
      <c r="S659" t="str">
        <f>_xll.BDP("34681WSX Muni","BB_COMPOSITE")</f>
        <v>#N/A Requesting Data...</v>
      </c>
      <c r="T659" t="str">
        <f>_xll.BDP("34681WSX Muni","LQA_LIQUIDITY_SCORE")</f>
        <v>#N/A Requesting Data...</v>
      </c>
    </row>
    <row r="660" spans="1:20" x14ac:dyDescent="0.25">
      <c r="A660" t="str">
        <f>_xll.BDP("34682BCF Muni","ID_CUSIP")</f>
        <v>#N/A Requesting Data...</v>
      </c>
      <c r="B660" t="s">
        <v>183</v>
      </c>
      <c r="C660" t="str">
        <f>_xll.BDP("34682BCF Muni","INSURANCE_STATUS")</f>
        <v>#N/A Requesting Data...</v>
      </c>
      <c r="D660" t="str">
        <f>_xll.BDP("34682BCF Muni","STATE_CODE")</f>
        <v>#N/A Requesting Data...</v>
      </c>
      <c r="E660" t="str">
        <f>_xll.BDP("34682BCF Muni","COUNTY_LOCATION_ISSUER")</f>
        <v>#N/A Requesting Data...</v>
      </c>
      <c r="F660" t="str">
        <f>_xll.BDP("34682BCF Muni","DUR_ADJ_MID")</f>
        <v>#N/A Requesting Data...</v>
      </c>
      <c r="G660" t="str">
        <f>_xll.BDP("34682BCF Muni","SPREAD_AT_ISSUANCE_TO_WORST")</f>
        <v>#N/A Requesting Data...</v>
      </c>
      <c r="H660" t="str">
        <f>_xll.BDP("34682BCF Muni","ISSUE_DT")</f>
        <v>#N/A Requesting Data...</v>
      </c>
      <c r="I660" t="str">
        <f>_xll.BDS("34682BCF Muni","MUNI_PURPOSE_SCHED", "aggregate=y")</f>
        <v>#N/A Requesting Data...</v>
      </c>
      <c r="J660" t="str">
        <f>_xll.BDP("34682BCF Muni","CPN")</f>
        <v>#N/A Requesting Data...</v>
      </c>
      <c r="K660" t="str">
        <f>_xll.BDP("34682BCF Muni","MATURITY")</f>
        <v>#N/A Requesting Data...</v>
      </c>
      <c r="L660">
        <v>255000</v>
      </c>
      <c r="M660" t="str">
        <f>_xll.BDP("34682BCF Muni","YIELD_ON_ISSUE_DATE")</f>
        <v>#N/A Requesting Data...</v>
      </c>
      <c r="N660" t="str">
        <f>_xll.BDP("34682BCF Muni","YTW_SPREAD_TO_MATURITY_AT_ISSU")</f>
        <v>#N/A Requesting Data...</v>
      </c>
      <c r="O660" t="str">
        <f>_xll.BDP("34682BCF Muni","BVAL_MID_YTM")</f>
        <v>#N/A Requesting Data...</v>
      </c>
      <c r="P660" t="str">
        <f>_xll.BDP("34682BCF Muni","MUNI_TAX_PROV")</f>
        <v>#N/A Requesting Data...</v>
      </c>
      <c r="Q660" t="str">
        <f>_xll.BDP("34682BCF Muni","MUNI_FED_TAX")</f>
        <v>#N/A Requesting Data...</v>
      </c>
      <c r="R660" t="str">
        <f>_xll.BDP("34682BCF Muni","MUNI_MSRB_VOLUME")</f>
        <v>#N/A Requesting Data...</v>
      </c>
      <c r="S660" t="str">
        <f>_xll.BDP("34682BCF Muni","BB_COMPOSITE")</f>
        <v>#N/A Requesting Data...</v>
      </c>
      <c r="T660" t="str">
        <f>_xll.BDP("34682BCF Muni","LQA_LIQUIDITY_SCORE")</f>
        <v>#N/A Requesting Data...</v>
      </c>
    </row>
    <row r="661" spans="1:20" x14ac:dyDescent="0.25">
      <c r="A661" t="str">
        <f>_xll.BDP("34682BCG Muni","ID_CUSIP")</f>
        <v>#N/A Requesting Data...</v>
      </c>
      <c r="B661" t="s">
        <v>183</v>
      </c>
      <c r="C661" t="str">
        <f>_xll.BDP("34682BCG Muni","INSURANCE_STATUS")</f>
        <v>#N/A Requesting Data...</v>
      </c>
      <c r="D661" t="str">
        <f>_xll.BDP("34682BCG Muni","STATE_CODE")</f>
        <v>#N/A Requesting Data...</v>
      </c>
      <c r="E661" t="str">
        <f>_xll.BDP("34682BCG Muni","COUNTY_LOCATION_ISSUER")</f>
        <v>#N/A Requesting Data...</v>
      </c>
      <c r="F661" t="str">
        <f>_xll.BDP("34682BCG Muni","DUR_ADJ_MID")</f>
        <v>#N/A Requesting Data...</v>
      </c>
      <c r="G661" t="str">
        <f>_xll.BDP("34682BCG Muni","SPREAD_AT_ISSUANCE_TO_WORST")</f>
        <v>#N/A Requesting Data...</v>
      </c>
      <c r="H661" t="str">
        <f>_xll.BDP("34682BCG Muni","ISSUE_DT")</f>
        <v>#N/A Requesting Data...</v>
      </c>
      <c r="I661" t="str">
        <f>_xll.BDS("34682BCG Muni","MUNI_PURPOSE_SCHED", "aggregate=y")</f>
        <v>#N/A Requesting Data...</v>
      </c>
      <c r="J661" t="str">
        <f>_xll.BDP("34682BCG Muni","CPN")</f>
        <v>#N/A Requesting Data...</v>
      </c>
      <c r="K661" t="str">
        <f>_xll.BDP("34682BCG Muni","MATURITY")</f>
        <v>#N/A Requesting Data...</v>
      </c>
      <c r="L661">
        <v>270000</v>
      </c>
      <c r="M661" t="str">
        <f>_xll.BDP("34682BCG Muni","YIELD_ON_ISSUE_DATE")</f>
        <v>#N/A Requesting Data...</v>
      </c>
      <c r="N661" t="str">
        <f>_xll.BDP("34682BCG Muni","YTW_SPREAD_TO_MATURITY_AT_ISSU")</f>
        <v>#N/A Requesting Data...</v>
      </c>
      <c r="O661" t="str">
        <f>_xll.BDP("34682BCG Muni","BVAL_MID_YTM")</f>
        <v>#N/A Requesting Data...</v>
      </c>
      <c r="P661" t="str">
        <f>_xll.BDP("34682BCG Muni","MUNI_TAX_PROV")</f>
        <v>#N/A Requesting Data...</v>
      </c>
      <c r="Q661" t="str">
        <f>_xll.BDP("34682BCG Muni","MUNI_FED_TAX")</f>
        <v>#N/A Requesting Data...</v>
      </c>
      <c r="R661" t="str">
        <f>_xll.BDP("34682BCG Muni","MUNI_MSRB_VOLUME")</f>
        <v>#N/A Requesting Data...</v>
      </c>
      <c r="S661" t="str">
        <f>_xll.BDP("34682BCG Muni","BB_COMPOSITE")</f>
        <v>#N/A Requesting Data...</v>
      </c>
      <c r="T661" t="str">
        <f>_xll.BDP("34682BCG Muni","LQA_LIQUIDITY_SCORE")</f>
        <v>#N/A Requesting Data...</v>
      </c>
    </row>
    <row r="662" spans="1:20" x14ac:dyDescent="0.25">
      <c r="A662" t="str">
        <f>_xll.BDP("34682GHE Muni","ID_CUSIP")</f>
        <v>#N/A Requesting Data...</v>
      </c>
      <c r="B662" t="s">
        <v>184</v>
      </c>
      <c r="C662" t="str">
        <f>_xll.BDP("34682GHE Muni","INSURANCE_STATUS")</f>
        <v>#N/A Requesting Data...</v>
      </c>
      <c r="D662" t="str">
        <f>_xll.BDP("34682GHE Muni","STATE_CODE")</f>
        <v>#N/A Requesting Data...</v>
      </c>
      <c r="E662" t="str">
        <f>_xll.BDP("34682GHE Muni","COUNTY_LOCATION_ISSUER")</f>
        <v>#N/A Requesting Data...</v>
      </c>
      <c r="F662" t="str">
        <f>_xll.BDP("34682GHE Muni","DUR_ADJ_MID")</f>
        <v>#N/A Requesting Data...</v>
      </c>
      <c r="G662" t="str">
        <f>_xll.BDP("34682GHE Muni","SPREAD_AT_ISSUANCE_TO_WORST")</f>
        <v>#N/A Requesting Data...</v>
      </c>
      <c r="H662" t="str">
        <f>_xll.BDP("34682GHE Muni","ISSUE_DT")</f>
        <v>#N/A Requesting Data...</v>
      </c>
      <c r="I662" t="str">
        <f>_xll.BDS("34682GHE Muni","MUNI_PURPOSE_SCHED", "aggregate=y")</f>
        <v>#N/A Requesting Data...</v>
      </c>
      <c r="J662" t="str">
        <f>_xll.BDP("34682GHE Muni","CPN")</f>
        <v>#N/A Requesting Data...</v>
      </c>
      <c r="K662" t="str">
        <f>_xll.BDP("34682GHE Muni","MATURITY")</f>
        <v>#N/A Requesting Data...</v>
      </c>
      <c r="L662">
        <v>190000</v>
      </c>
      <c r="M662" t="str">
        <f>_xll.BDP("34682GHE Muni","YIELD_ON_ISSUE_DATE")</f>
        <v>#N/A Requesting Data...</v>
      </c>
      <c r="N662" t="str">
        <f>_xll.BDP("34682GHE Muni","YTW_SPREAD_TO_MATURITY_AT_ISSU")</f>
        <v>#N/A Requesting Data...</v>
      </c>
      <c r="O662" t="str">
        <f>_xll.BDP("34682GHE Muni","BVAL_MID_YTM")</f>
        <v>#N/A Requesting Data...</v>
      </c>
      <c r="P662" t="str">
        <f>_xll.BDP("34682GHE Muni","MUNI_TAX_PROV")</f>
        <v>#N/A Requesting Data...</v>
      </c>
      <c r="Q662" t="str">
        <f>_xll.BDP("34682GHE Muni","MUNI_FED_TAX")</f>
        <v>#N/A Requesting Data...</v>
      </c>
      <c r="R662" t="str">
        <f>_xll.BDP("34682GHE Muni","MUNI_MSRB_VOLUME")</f>
        <v>#N/A Requesting Data...</v>
      </c>
      <c r="S662" t="str">
        <f>_xll.BDP("34682GHE Muni","BB_COMPOSITE")</f>
        <v>#N/A Requesting Data...</v>
      </c>
      <c r="T662" t="str">
        <f>_xll.BDP("34682GHE Muni","LQA_LIQUIDITY_SCORE")</f>
        <v>#N/A Requesting Data...</v>
      </c>
    </row>
    <row r="663" spans="1:20" x14ac:dyDescent="0.25">
      <c r="A663" t="str">
        <f>_xll.BDP("34682GHF Muni","ID_CUSIP")</f>
        <v>#N/A Requesting Data...</v>
      </c>
      <c r="B663" t="s">
        <v>184</v>
      </c>
      <c r="C663" t="str">
        <f>_xll.BDP("34682GHF Muni","INSURANCE_STATUS")</f>
        <v>#N/A Requesting Data...</v>
      </c>
      <c r="D663" t="str">
        <f>_xll.BDP("34682GHF Muni","STATE_CODE")</f>
        <v>#N/A Requesting Data...</v>
      </c>
      <c r="E663" t="str">
        <f>_xll.BDP("34682GHF Muni","COUNTY_LOCATION_ISSUER")</f>
        <v>#N/A Requesting Data...</v>
      </c>
      <c r="F663" t="str">
        <f>_xll.BDP("34682GHF Muni","DUR_ADJ_MID")</f>
        <v>#N/A Requesting Data...</v>
      </c>
      <c r="G663" t="str">
        <f>_xll.BDP("34682GHF Muni","SPREAD_AT_ISSUANCE_TO_WORST")</f>
        <v>#N/A Requesting Data...</v>
      </c>
      <c r="H663" t="str">
        <f>_xll.BDP("34682GHF Muni","ISSUE_DT")</f>
        <v>#N/A Requesting Data...</v>
      </c>
      <c r="I663" t="str">
        <f>_xll.BDS("34682GHF Muni","MUNI_PURPOSE_SCHED", "aggregate=y")</f>
        <v>#N/A Requesting Data...</v>
      </c>
      <c r="J663" t="str">
        <f>_xll.BDP("34682GHF Muni","CPN")</f>
        <v>#N/A Requesting Data...</v>
      </c>
      <c r="K663" t="str">
        <f>_xll.BDP("34682GHF Muni","MATURITY")</f>
        <v>#N/A Requesting Data...</v>
      </c>
      <c r="L663">
        <v>195000</v>
      </c>
      <c r="M663" t="str">
        <f>_xll.BDP("34682GHF Muni","YIELD_ON_ISSUE_DATE")</f>
        <v>#N/A Requesting Data...</v>
      </c>
      <c r="N663" t="str">
        <f>_xll.BDP("34682GHF Muni","YTW_SPREAD_TO_MATURITY_AT_ISSU")</f>
        <v>#N/A Requesting Data...</v>
      </c>
      <c r="O663" t="str">
        <f>_xll.BDP("34682GHF Muni","BVAL_MID_YTM")</f>
        <v>#N/A Requesting Data...</v>
      </c>
      <c r="P663" t="str">
        <f>_xll.BDP("34682GHF Muni","MUNI_TAX_PROV")</f>
        <v>#N/A Requesting Data...</v>
      </c>
      <c r="Q663" t="str">
        <f>_xll.BDP("34682GHF Muni","MUNI_FED_TAX")</f>
        <v>#N/A Requesting Data...</v>
      </c>
      <c r="R663" t="str">
        <f>_xll.BDP("34682GHF Muni","MUNI_MSRB_VOLUME")</f>
        <v>#N/A Requesting Data...</v>
      </c>
      <c r="S663" t="str">
        <f>_xll.BDP("34682GHF Muni","BB_COMPOSITE")</f>
        <v>#N/A Requesting Data...</v>
      </c>
      <c r="T663" t="str">
        <f>_xll.BDP("34682GHF Muni","LQA_LIQUIDITY_SCORE")</f>
        <v>#N/A Requesting Data...</v>
      </c>
    </row>
    <row r="664" spans="1:20" x14ac:dyDescent="0.25">
      <c r="A664" t="str">
        <f>_xll.BDP("171312JR Muni","ID_CUSIP")</f>
        <v>#N/A Requesting Data...</v>
      </c>
      <c r="B664" t="s">
        <v>185</v>
      </c>
      <c r="C664" t="str">
        <f>_xll.BDP("171312JR Muni","INSURANCE_STATUS")</f>
        <v>#N/A Requesting Data...</v>
      </c>
      <c r="D664" t="str">
        <f>_xll.BDP("171312JR Muni","STATE_CODE")</f>
        <v>#N/A Requesting Data...</v>
      </c>
      <c r="E664" t="str">
        <f>_xll.BDP("171312JR Muni","COUNTY_LOCATION_ISSUER")</f>
        <v>#N/A Requesting Data...</v>
      </c>
      <c r="F664" t="str">
        <f>_xll.BDP("171312JR Muni","DUR_ADJ_MID")</f>
        <v>#N/A Requesting Data...</v>
      </c>
      <c r="G664" t="str">
        <f>_xll.BDP("171312JR Muni","SPREAD_AT_ISSUANCE_TO_WORST")</f>
        <v>#N/A Requesting Data...</v>
      </c>
      <c r="H664" t="str">
        <f>_xll.BDP("171312JR Muni","ISSUE_DT")</f>
        <v>#N/A Requesting Data...</v>
      </c>
      <c r="I664" t="str">
        <f>_xll.BDS("171312JR Muni","MUNI_PURPOSE_SCHED", "aggregate=y")</f>
        <v>#N/A Requesting Data...</v>
      </c>
      <c r="J664" t="str">
        <f>_xll.BDP("171312JR Muni","CPN")</f>
        <v>#N/A Requesting Data...</v>
      </c>
      <c r="K664" t="str">
        <f>_xll.BDP("171312JR Muni","MATURITY")</f>
        <v>#N/A Requesting Data...</v>
      </c>
      <c r="L664">
        <v>80000</v>
      </c>
      <c r="M664" t="str">
        <f>_xll.BDP("171312JR Muni","YIELD_ON_ISSUE_DATE")</f>
        <v>#N/A Requesting Data...</v>
      </c>
      <c r="N664" t="str">
        <f>_xll.BDP("171312JR Muni","YTW_SPREAD_TO_MATURITY_AT_ISSU")</f>
        <v>#N/A Requesting Data...</v>
      </c>
      <c r="O664" t="str">
        <f>_xll.BDP("171312JR Muni","BVAL_MID_YTM")</f>
        <v>#N/A Requesting Data...</v>
      </c>
      <c r="P664" t="str">
        <f>_xll.BDP("171312JR Muni","MUNI_TAX_PROV")</f>
        <v>#N/A Requesting Data...</v>
      </c>
      <c r="Q664" t="str">
        <f>_xll.BDP("171312JR Muni","MUNI_FED_TAX")</f>
        <v>#N/A Requesting Data...</v>
      </c>
      <c r="R664" t="str">
        <f>_xll.BDP("171312JR Muni","MUNI_MSRB_VOLUME")</f>
        <v>#N/A Requesting Data...</v>
      </c>
      <c r="S664" t="str">
        <f>_xll.BDP("171312JR Muni","BB_COMPOSITE")</f>
        <v>#N/A Requesting Data...</v>
      </c>
      <c r="T664" t="str">
        <f>_xll.BDP("171312JR Muni","LQA_LIQUIDITY_SCORE")</f>
        <v>#N/A Requesting Data...</v>
      </c>
    </row>
    <row r="665" spans="1:20" x14ac:dyDescent="0.25">
      <c r="A665" t="str">
        <f>_xll.BDP("171312JS Muni","ID_CUSIP")</f>
        <v>#N/A Requesting Data...</v>
      </c>
      <c r="B665" t="s">
        <v>185</v>
      </c>
      <c r="C665" t="str">
        <f>_xll.BDP("171312JS Muni","INSURANCE_STATUS")</f>
        <v>#N/A Requesting Data...</v>
      </c>
      <c r="D665" t="str">
        <f>_xll.BDP("171312JS Muni","STATE_CODE")</f>
        <v>#N/A Requesting Data...</v>
      </c>
      <c r="E665" t="str">
        <f>_xll.BDP("171312JS Muni","COUNTY_LOCATION_ISSUER")</f>
        <v>#N/A Requesting Data...</v>
      </c>
      <c r="F665" t="str">
        <f>_xll.BDP("171312JS Muni","DUR_ADJ_MID")</f>
        <v>#N/A Requesting Data...</v>
      </c>
      <c r="G665" t="str">
        <f>_xll.BDP("171312JS Muni","SPREAD_AT_ISSUANCE_TO_WORST")</f>
        <v>#N/A Requesting Data...</v>
      </c>
      <c r="H665" t="str">
        <f>_xll.BDP("171312JS Muni","ISSUE_DT")</f>
        <v>#N/A Requesting Data...</v>
      </c>
      <c r="I665" t="str">
        <f>_xll.BDS("171312JS Muni","MUNI_PURPOSE_SCHED", "aggregate=y")</f>
        <v>#N/A Requesting Data...</v>
      </c>
      <c r="J665" t="str">
        <f>_xll.BDP("171312JS Muni","CPN")</f>
        <v>#N/A Requesting Data...</v>
      </c>
      <c r="K665" t="str">
        <f>_xll.BDP("171312JS Muni","MATURITY")</f>
        <v>#N/A Requesting Data...</v>
      </c>
      <c r="L665">
        <v>100000</v>
      </c>
      <c r="M665" t="str">
        <f>_xll.BDP("171312JS Muni","YIELD_ON_ISSUE_DATE")</f>
        <v>#N/A Requesting Data...</v>
      </c>
      <c r="N665" t="str">
        <f>_xll.BDP("171312JS Muni","YTW_SPREAD_TO_MATURITY_AT_ISSU")</f>
        <v>#N/A Requesting Data...</v>
      </c>
      <c r="O665" t="str">
        <f>_xll.BDP("171312JS Muni","BVAL_MID_YTM")</f>
        <v>#N/A Requesting Data...</v>
      </c>
      <c r="P665" t="str">
        <f>_xll.BDP("171312JS Muni","MUNI_TAX_PROV")</f>
        <v>#N/A Requesting Data...</v>
      </c>
      <c r="Q665" t="str">
        <f>_xll.BDP("171312JS Muni","MUNI_FED_TAX")</f>
        <v>#N/A Requesting Data...</v>
      </c>
      <c r="R665" t="str">
        <f>_xll.BDP("171312JS Muni","MUNI_MSRB_VOLUME")</f>
        <v>#N/A Requesting Data...</v>
      </c>
      <c r="S665" t="str">
        <f>_xll.BDP("171312JS Muni","BB_COMPOSITE")</f>
        <v>#N/A Requesting Data...</v>
      </c>
      <c r="T665" t="str">
        <f>_xll.BDP("171312JS Muni","LQA_LIQUIDITY_SCORE")</f>
        <v>#N/A Requesting Data...</v>
      </c>
    </row>
    <row r="666" spans="1:20" x14ac:dyDescent="0.25">
      <c r="A666" t="str">
        <f>_xll.BDP("171312JT Muni","ID_CUSIP")</f>
        <v>#N/A Requesting Data...</v>
      </c>
      <c r="B666" t="s">
        <v>185</v>
      </c>
      <c r="C666" t="str">
        <f>_xll.BDP("171312JT Muni","INSURANCE_STATUS")</f>
        <v>#N/A Requesting Data...</v>
      </c>
      <c r="D666" t="str">
        <f>_xll.BDP("171312JT Muni","STATE_CODE")</f>
        <v>#N/A Requesting Data...</v>
      </c>
      <c r="E666" t="str">
        <f>_xll.BDP("171312JT Muni","COUNTY_LOCATION_ISSUER")</f>
        <v>#N/A Requesting Data...</v>
      </c>
      <c r="F666" t="str">
        <f>_xll.BDP("171312JT Muni","DUR_ADJ_MID")</f>
        <v>#N/A Requesting Data...</v>
      </c>
      <c r="G666" t="str">
        <f>_xll.BDP("171312JT Muni","SPREAD_AT_ISSUANCE_TO_WORST")</f>
        <v>#N/A Requesting Data...</v>
      </c>
      <c r="H666" t="str">
        <f>_xll.BDP("171312JT Muni","ISSUE_DT")</f>
        <v>#N/A Requesting Data...</v>
      </c>
      <c r="I666" t="str">
        <f>_xll.BDS("171312JT Muni","MUNI_PURPOSE_SCHED", "aggregate=y")</f>
        <v>#N/A Requesting Data...</v>
      </c>
      <c r="J666" t="str">
        <f>_xll.BDP("171312JT Muni","CPN")</f>
        <v>#N/A Requesting Data...</v>
      </c>
      <c r="K666" t="str">
        <f>_xll.BDP("171312JT Muni","MATURITY")</f>
        <v>#N/A Requesting Data...</v>
      </c>
      <c r="L666">
        <v>115000</v>
      </c>
      <c r="M666" t="str">
        <f>_xll.BDP("171312JT Muni","YIELD_ON_ISSUE_DATE")</f>
        <v>#N/A Requesting Data...</v>
      </c>
      <c r="N666" t="str">
        <f>_xll.BDP("171312JT Muni","YTW_SPREAD_TO_MATURITY_AT_ISSU")</f>
        <v>#N/A Requesting Data...</v>
      </c>
      <c r="O666" t="str">
        <f>_xll.BDP("171312JT Muni","BVAL_MID_YTM")</f>
        <v>#N/A Requesting Data...</v>
      </c>
      <c r="P666" t="str">
        <f>_xll.BDP("171312JT Muni","MUNI_TAX_PROV")</f>
        <v>#N/A Requesting Data...</v>
      </c>
      <c r="Q666" t="str">
        <f>_xll.BDP("171312JT Muni","MUNI_FED_TAX")</f>
        <v>#N/A Requesting Data...</v>
      </c>
      <c r="R666" t="str">
        <f>_xll.BDP("171312JT Muni","MUNI_MSRB_VOLUME")</f>
        <v>#N/A Requesting Data...</v>
      </c>
      <c r="S666" t="str">
        <f>_xll.BDP("171312JT Muni","BB_COMPOSITE")</f>
        <v>#N/A Requesting Data...</v>
      </c>
      <c r="T666" t="str">
        <f>_xll.BDP("171312JT Muni","LQA_LIQUIDITY_SCORE")</f>
        <v>#N/A Requesting Data...</v>
      </c>
    </row>
    <row r="667" spans="1:20" x14ac:dyDescent="0.25">
      <c r="A667" t="str">
        <f>_xll.BDP("171312JU Muni","ID_CUSIP")</f>
        <v>#N/A Requesting Data...</v>
      </c>
      <c r="B667" t="s">
        <v>185</v>
      </c>
      <c r="C667" t="str">
        <f>_xll.BDP("171312JU Muni","INSURANCE_STATUS")</f>
        <v>#N/A Requesting Data...</v>
      </c>
      <c r="D667" t="str">
        <f>_xll.BDP("171312JU Muni","STATE_CODE")</f>
        <v>#N/A Requesting Data...</v>
      </c>
      <c r="E667" t="str">
        <f>_xll.BDP("171312JU Muni","COUNTY_LOCATION_ISSUER")</f>
        <v>#N/A Requesting Data...</v>
      </c>
      <c r="F667" t="str">
        <f>_xll.BDP("171312JU Muni","DUR_ADJ_MID")</f>
        <v>#N/A Requesting Data...</v>
      </c>
      <c r="G667" t="str">
        <f>_xll.BDP("171312JU Muni","SPREAD_AT_ISSUANCE_TO_WORST")</f>
        <v>#N/A Requesting Data...</v>
      </c>
      <c r="H667" t="str">
        <f>_xll.BDP("171312JU Muni","ISSUE_DT")</f>
        <v>#N/A Requesting Data...</v>
      </c>
      <c r="I667" t="str">
        <f>_xll.BDS("171312JU Muni","MUNI_PURPOSE_SCHED", "aggregate=y")</f>
        <v>#N/A Requesting Data...</v>
      </c>
      <c r="J667" t="str">
        <f>_xll.BDP("171312JU Muni","CPN")</f>
        <v>#N/A Requesting Data...</v>
      </c>
      <c r="K667" t="str">
        <f>_xll.BDP("171312JU Muni","MATURITY")</f>
        <v>#N/A Requesting Data...</v>
      </c>
      <c r="L667">
        <v>135000</v>
      </c>
      <c r="M667" t="str">
        <f>_xll.BDP("171312JU Muni","YIELD_ON_ISSUE_DATE")</f>
        <v>#N/A Requesting Data...</v>
      </c>
      <c r="N667" t="str">
        <f>_xll.BDP("171312JU Muni","YTW_SPREAD_TO_MATURITY_AT_ISSU")</f>
        <v>#N/A Requesting Data...</v>
      </c>
      <c r="O667" t="str">
        <f>_xll.BDP("171312JU Muni","BVAL_MID_YTM")</f>
        <v>#N/A Requesting Data...</v>
      </c>
      <c r="P667" t="str">
        <f>_xll.BDP("171312JU Muni","MUNI_TAX_PROV")</f>
        <v>#N/A Requesting Data...</v>
      </c>
      <c r="Q667" t="str">
        <f>_xll.BDP("171312JU Muni","MUNI_FED_TAX")</f>
        <v>#N/A Requesting Data...</v>
      </c>
      <c r="R667" t="str">
        <f>_xll.BDP("171312JU Muni","MUNI_MSRB_VOLUME")</f>
        <v>#N/A Requesting Data...</v>
      </c>
      <c r="S667" t="str">
        <f>_xll.BDP("171312JU Muni","BB_COMPOSITE")</f>
        <v>#N/A Requesting Data...</v>
      </c>
      <c r="T667" t="str">
        <f>_xll.BDP("171312JU Muni","LQA_LIQUIDITY_SCORE")</f>
        <v>#N/A Requesting Data...</v>
      </c>
    </row>
    <row r="668" spans="1:20" x14ac:dyDescent="0.25">
      <c r="A668" t="str">
        <f>_xll.BDP("157793CD Muni","ID_CUSIP")</f>
        <v>#N/A Requesting Data...</v>
      </c>
      <c r="B668" t="s">
        <v>186</v>
      </c>
      <c r="C668" t="str">
        <f>_xll.BDP("157793CD Muni","INSURANCE_STATUS")</f>
        <v>#N/A Requesting Data...</v>
      </c>
      <c r="D668" t="str">
        <f>_xll.BDP("157793CD Muni","STATE_CODE")</f>
        <v>#N/A Requesting Data...</v>
      </c>
      <c r="E668" t="str">
        <f>_xll.BDP("157793CD Muni","COUNTY_LOCATION_ISSUER")</f>
        <v>#N/A Requesting Data...</v>
      </c>
      <c r="F668" t="str">
        <f>_xll.BDP("157793CD Muni","DUR_ADJ_MID")</f>
        <v>#N/A Requesting Data...</v>
      </c>
      <c r="G668" t="str">
        <f>_xll.BDP("157793CD Muni","SPREAD_AT_ISSUANCE_TO_WORST")</f>
        <v>#N/A Requesting Data...</v>
      </c>
      <c r="H668" t="str">
        <f>_xll.BDP("157793CD Muni","ISSUE_DT")</f>
        <v>#N/A Requesting Data...</v>
      </c>
      <c r="I668" t="str">
        <f>_xll.BDS("157793CD Muni","MUNI_PURPOSE_SCHED", "aggregate=y")</f>
        <v>#N/A Requesting Data...</v>
      </c>
      <c r="J668" t="str">
        <f>_xll.BDP("157793CD Muni","CPN")</f>
        <v>#N/A Requesting Data...</v>
      </c>
      <c r="K668" t="str">
        <f>_xll.BDP("157793CD Muni","MATURITY")</f>
        <v>#N/A Requesting Data...</v>
      </c>
      <c r="L668">
        <v>105000</v>
      </c>
      <c r="M668" t="str">
        <f>_xll.BDP("157793CD Muni","YIELD_ON_ISSUE_DATE")</f>
        <v>#N/A Requesting Data...</v>
      </c>
      <c r="N668" t="str">
        <f>_xll.BDP("157793CD Muni","YTW_SPREAD_TO_MATURITY_AT_ISSU")</f>
        <v>#N/A Requesting Data...</v>
      </c>
      <c r="O668" t="str">
        <f>_xll.BDP("157793CD Muni","BVAL_MID_YTM")</f>
        <v>#N/A Requesting Data...</v>
      </c>
      <c r="P668" t="str">
        <f>_xll.BDP("157793CD Muni","MUNI_TAX_PROV")</f>
        <v>#N/A Requesting Data...</v>
      </c>
      <c r="Q668" t="str">
        <f>_xll.BDP("157793CD Muni","MUNI_FED_TAX")</f>
        <v>#N/A Requesting Data...</v>
      </c>
      <c r="R668" t="str">
        <f>_xll.BDP("157793CD Muni","MUNI_MSRB_VOLUME")</f>
        <v>#N/A Requesting Data...</v>
      </c>
      <c r="S668" t="str">
        <f>_xll.BDP("157793CD Muni","BB_COMPOSITE")</f>
        <v>#N/A Requesting Data...</v>
      </c>
      <c r="T668" t="str">
        <f>_xll.BDP("157793CD Muni","LQA_LIQUIDITY_SCORE")</f>
        <v>#N/A Requesting Data...</v>
      </c>
    </row>
    <row r="669" spans="1:20" x14ac:dyDescent="0.25">
      <c r="A669" t="str">
        <f>_xll.BDP("157793CE Muni","ID_CUSIP")</f>
        <v>#N/A Requesting Data...</v>
      </c>
      <c r="B669" t="s">
        <v>186</v>
      </c>
      <c r="C669" t="str">
        <f>_xll.BDP("157793CE Muni","INSURANCE_STATUS")</f>
        <v>#N/A Requesting Data...</v>
      </c>
      <c r="D669" t="str">
        <f>_xll.BDP("157793CE Muni","STATE_CODE")</f>
        <v>#N/A Requesting Data...</v>
      </c>
      <c r="E669" t="str">
        <f>_xll.BDP("157793CE Muni","COUNTY_LOCATION_ISSUER")</f>
        <v>#N/A Requesting Data...</v>
      </c>
      <c r="F669" t="str">
        <f>_xll.BDP("157793CE Muni","DUR_ADJ_MID")</f>
        <v>#N/A Requesting Data...</v>
      </c>
      <c r="G669" t="str">
        <f>_xll.BDP("157793CE Muni","SPREAD_AT_ISSUANCE_TO_WORST")</f>
        <v>#N/A Requesting Data...</v>
      </c>
      <c r="H669" t="str">
        <f>_xll.BDP("157793CE Muni","ISSUE_DT")</f>
        <v>#N/A Requesting Data...</v>
      </c>
      <c r="I669" t="str">
        <f>_xll.BDS("157793CE Muni","MUNI_PURPOSE_SCHED", "aggregate=y")</f>
        <v>#N/A Requesting Data...</v>
      </c>
      <c r="J669" t="str">
        <f>_xll.BDP("157793CE Muni","CPN")</f>
        <v>#N/A Requesting Data...</v>
      </c>
      <c r="K669" t="str">
        <f>_xll.BDP("157793CE Muni","MATURITY")</f>
        <v>#N/A Requesting Data...</v>
      </c>
      <c r="L669">
        <v>110000</v>
      </c>
      <c r="M669" t="str">
        <f>_xll.BDP("157793CE Muni","YIELD_ON_ISSUE_DATE")</f>
        <v>#N/A Requesting Data...</v>
      </c>
      <c r="N669" t="str">
        <f>_xll.BDP("157793CE Muni","YTW_SPREAD_TO_MATURITY_AT_ISSU")</f>
        <v>#N/A Requesting Data...</v>
      </c>
      <c r="O669" t="str">
        <f>_xll.BDP("157793CE Muni","BVAL_MID_YTM")</f>
        <v>#N/A Requesting Data...</v>
      </c>
      <c r="P669" t="str">
        <f>_xll.BDP("157793CE Muni","MUNI_TAX_PROV")</f>
        <v>#N/A Requesting Data...</v>
      </c>
      <c r="Q669" t="str">
        <f>_xll.BDP("157793CE Muni","MUNI_FED_TAX")</f>
        <v>#N/A Requesting Data...</v>
      </c>
      <c r="R669" t="str">
        <f>_xll.BDP("157793CE Muni","MUNI_MSRB_VOLUME")</f>
        <v>#N/A Requesting Data...</v>
      </c>
      <c r="S669" t="str">
        <f>_xll.BDP("157793CE Muni","BB_COMPOSITE")</f>
        <v>#N/A Requesting Data...</v>
      </c>
      <c r="T669" t="str">
        <f>_xll.BDP("157793CE Muni","LQA_LIQUIDITY_SCORE")</f>
        <v>#N/A Requesting Data...</v>
      </c>
    </row>
    <row r="670" spans="1:20" x14ac:dyDescent="0.25">
      <c r="A670" t="str">
        <f>_xll.BDP("157793CF Muni","ID_CUSIP")</f>
        <v>#N/A Requesting Data...</v>
      </c>
      <c r="B670" t="s">
        <v>186</v>
      </c>
      <c r="C670" t="str">
        <f>_xll.BDP("157793CF Muni","INSURANCE_STATUS")</f>
        <v>#N/A Requesting Data...</v>
      </c>
      <c r="D670" t="str">
        <f>_xll.BDP("157793CF Muni","STATE_CODE")</f>
        <v>#N/A Requesting Data...</v>
      </c>
      <c r="E670" t="str">
        <f>_xll.BDP("157793CF Muni","COUNTY_LOCATION_ISSUER")</f>
        <v>#N/A Requesting Data...</v>
      </c>
      <c r="F670" t="str">
        <f>_xll.BDP("157793CF Muni","DUR_ADJ_MID")</f>
        <v>#N/A Requesting Data...</v>
      </c>
      <c r="G670" t="str">
        <f>_xll.BDP("157793CF Muni","SPREAD_AT_ISSUANCE_TO_WORST")</f>
        <v>#N/A Requesting Data...</v>
      </c>
      <c r="H670" t="str">
        <f>_xll.BDP("157793CF Muni","ISSUE_DT")</f>
        <v>#N/A Requesting Data...</v>
      </c>
      <c r="I670" t="str">
        <f>_xll.BDS("157793CF Muni","MUNI_PURPOSE_SCHED", "aggregate=y")</f>
        <v>#N/A Requesting Data...</v>
      </c>
      <c r="J670" t="str">
        <f>_xll.BDP("157793CF Muni","CPN")</f>
        <v>#N/A Requesting Data...</v>
      </c>
      <c r="K670" t="str">
        <f>_xll.BDP("157793CF Muni","MATURITY")</f>
        <v>#N/A Requesting Data...</v>
      </c>
      <c r="L670">
        <v>115000</v>
      </c>
      <c r="M670" t="str">
        <f>_xll.BDP("157793CF Muni","YIELD_ON_ISSUE_DATE")</f>
        <v>#N/A Requesting Data...</v>
      </c>
      <c r="N670" t="str">
        <f>_xll.BDP("157793CF Muni","YTW_SPREAD_TO_MATURITY_AT_ISSU")</f>
        <v>#N/A Requesting Data...</v>
      </c>
      <c r="O670" t="str">
        <f>_xll.BDP("157793CF Muni","BVAL_MID_YTM")</f>
        <v>#N/A Requesting Data...</v>
      </c>
      <c r="P670" t="str">
        <f>_xll.BDP("157793CF Muni","MUNI_TAX_PROV")</f>
        <v>#N/A Requesting Data...</v>
      </c>
      <c r="Q670" t="str">
        <f>_xll.BDP("157793CF Muni","MUNI_FED_TAX")</f>
        <v>#N/A Requesting Data...</v>
      </c>
      <c r="R670" t="str">
        <f>_xll.BDP("157793CF Muni","MUNI_MSRB_VOLUME")</f>
        <v>#N/A Requesting Data...</v>
      </c>
      <c r="S670" t="str">
        <f>_xll.BDP("157793CF Muni","BB_COMPOSITE")</f>
        <v>#N/A Requesting Data...</v>
      </c>
      <c r="T670" t="str">
        <f>_xll.BDP("157793CF Muni","LQA_LIQUIDITY_SCORE")</f>
        <v>#N/A Requesting Data...</v>
      </c>
    </row>
    <row r="671" spans="1:20" x14ac:dyDescent="0.25">
      <c r="A671" t="str">
        <f>_xll.BDP("159106DC Muni","ID_CUSIP")</f>
        <v>#N/A Requesting Data...</v>
      </c>
      <c r="B671" t="s">
        <v>187</v>
      </c>
      <c r="C671" t="str">
        <f>_xll.BDP("159106DC Muni","INSURANCE_STATUS")</f>
        <v>#N/A Requesting Data...</v>
      </c>
      <c r="D671" t="str">
        <f>_xll.BDP("159106DC Muni","STATE_CODE")</f>
        <v>#N/A Requesting Data...</v>
      </c>
      <c r="E671" t="str">
        <f>_xll.BDP("159106DC Muni","COUNTY_LOCATION_ISSUER")</f>
        <v>#N/A Requesting Data...</v>
      </c>
      <c r="F671" t="str">
        <f>_xll.BDP("159106DC Muni","DUR_ADJ_MID")</f>
        <v>#N/A Requesting Data...</v>
      </c>
      <c r="G671" t="str">
        <f>_xll.BDP("159106DC Muni","SPREAD_AT_ISSUANCE_TO_WORST")</f>
        <v>#N/A Requesting Data...</v>
      </c>
      <c r="H671" t="str">
        <f>_xll.BDP("159106DC Muni","ISSUE_DT")</f>
        <v>#N/A Requesting Data...</v>
      </c>
      <c r="I671" t="str">
        <f>_xll.BDS("159106DC Muni","MUNI_PURPOSE_SCHED", "aggregate=y")</f>
        <v>#N/A Requesting Data...</v>
      </c>
      <c r="J671" t="str">
        <f>_xll.BDP("159106DC Muni","CPN")</f>
        <v>#N/A Requesting Data...</v>
      </c>
      <c r="K671" t="str">
        <f>_xll.BDP("159106DC Muni","MATURITY")</f>
        <v>#N/A Requesting Data...</v>
      </c>
      <c r="L671">
        <v>285000</v>
      </c>
      <c r="M671" t="str">
        <f>_xll.BDP("159106DC Muni","YIELD_ON_ISSUE_DATE")</f>
        <v>#N/A Requesting Data...</v>
      </c>
      <c r="N671" t="str">
        <f>_xll.BDP("159106DC Muni","YTW_SPREAD_TO_MATURITY_AT_ISSU")</f>
        <v>#N/A Requesting Data...</v>
      </c>
      <c r="O671" t="str">
        <f>_xll.BDP("159106DC Muni","BVAL_MID_YTM")</f>
        <v>#N/A Requesting Data...</v>
      </c>
      <c r="P671" t="str">
        <f>_xll.BDP("159106DC Muni","MUNI_TAX_PROV")</f>
        <v>#N/A Requesting Data...</v>
      </c>
      <c r="Q671" t="str">
        <f>_xll.BDP("159106DC Muni","MUNI_FED_TAX")</f>
        <v>#N/A Requesting Data...</v>
      </c>
      <c r="R671" t="str">
        <f>_xll.BDP("159106DC Muni","MUNI_MSRB_VOLUME")</f>
        <v>#N/A Requesting Data...</v>
      </c>
      <c r="S671" t="str">
        <f>_xll.BDP("159106DC Muni","BB_COMPOSITE")</f>
        <v>#N/A Requesting Data...</v>
      </c>
      <c r="T671" t="str">
        <f>_xll.BDP("159106DC Muni","LQA_LIQUIDITY_SCORE")</f>
        <v>#N/A Requesting Data...</v>
      </c>
    </row>
    <row r="672" spans="1:20" x14ac:dyDescent="0.25">
      <c r="A672" t="str">
        <f>_xll.BDP("159106DD Muni","ID_CUSIP")</f>
        <v>#N/A Requesting Data...</v>
      </c>
      <c r="B672" t="s">
        <v>187</v>
      </c>
      <c r="C672" t="str">
        <f>_xll.BDP("159106DD Muni","INSURANCE_STATUS")</f>
        <v>#N/A Requesting Data...</v>
      </c>
      <c r="D672" t="str">
        <f>_xll.BDP("159106DD Muni","STATE_CODE")</f>
        <v>#N/A Requesting Data...</v>
      </c>
      <c r="E672" t="str">
        <f>_xll.BDP("159106DD Muni","COUNTY_LOCATION_ISSUER")</f>
        <v>#N/A Requesting Data...</v>
      </c>
      <c r="F672" t="str">
        <f>_xll.BDP("159106DD Muni","DUR_ADJ_MID")</f>
        <v>#N/A Requesting Data...</v>
      </c>
      <c r="G672" t="str">
        <f>_xll.BDP("159106DD Muni","SPREAD_AT_ISSUANCE_TO_WORST")</f>
        <v>#N/A Requesting Data...</v>
      </c>
      <c r="H672" t="str">
        <f>_xll.BDP("159106DD Muni","ISSUE_DT")</f>
        <v>#N/A Requesting Data...</v>
      </c>
      <c r="I672" t="str">
        <f>_xll.BDS("159106DD Muni","MUNI_PURPOSE_SCHED", "aggregate=y")</f>
        <v>#N/A Requesting Data...</v>
      </c>
      <c r="J672" t="str">
        <f>_xll.BDP("159106DD Muni","CPN")</f>
        <v>#N/A Requesting Data...</v>
      </c>
      <c r="K672" t="str">
        <f>_xll.BDP("159106DD Muni","MATURITY")</f>
        <v>#N/A Requesting Data...</v>
      </c>
      <c r="L672">
        <v>295000</v>
      </c>
      <c r="M672" t="str">
        <f>_xll.BDP("159106DD Muni","YIELD_ON_ISSUE_DATE")</f>
        <v>#N/A Requesting Data...</v>
      </c>
      <c r="N672" t="str">
        <f>_xll.BDP("159106DD Muni","YTW_SPREAD_TO_MATURITY_AT_ISSU")</f>
        <v>#N/A Requesting Data...</v>
      </c>
      <c r="O672" t="str">
        <f>_xll.BDP("159106DD Muni","BVAL_MID_YTM")</f>
        <v>#N/A Requesting Data...</v>
      </c>
      <c r="P672" t="str">
        <f>_xll.BDP("159106DD Muni","MUNI_TAX_PROV")</f>
        <v>#N/A Requesting Data...</v>
      </c>
      <c r="Q672" t="str">
        <f>_xll.BDP("159106DD Muni","MUNI_FED_TAX")</f>
        <v>#N/A Requesting Data...</v>
      </c>
      <c r="R672" t="str">
        <f>_xll.BDP("159106DD Muni","MUNI_MSRB_VOLUME")</f>
        <v>#N/A Requesting Data...</v>
      </c>
      <c r="S672" t="str">
        <f>_xll.BDP("159106DD Muni","BB_COMPOSITE")</f>
        <v>#N/A Requesting Data...</v>
      </c>
      <c r="T672" t="str">
        <f>_xll.BDP("159106DD Muni","LQA_LIQUIDITY_SCORE")</f>
        <v>#N/A Requesting Data...</v>
      </c>
    </row>
    <row r="673" spans="1:20" x14ac:dyDescent="0.25">
      <c r="A673" t="str">
        <f>_xll.BDP("159106DE Muni","ID_CUSIP")</f>
        <v>#N/A Requesting Data...</v>
      </c>
      <c r="B673" t="s">
        <v>187</v>
      </c>
      <c r="C673" t="str">
        <f>_xll.BDP("159106DE Muni","INSURANCE_STATUS")</f>
        <v>#N/A Requesting Data...</v>
      </c>
      <c r="D673" t="str">
        <f>_xll.BDP("159106DE Muni","STATE_CODE")</f>
        <v>#N/A Requesting Data...</v>
      </c>
      <c r="E673" t="str">
        <f>_xll.BDP("159106DE Muni","COUNTY_LOCATION_ISSUER")</f>
        <v>#N/A Requesting Data...</v>
      </c>
      <c r="F673" t="str">
        <f>_xll.BDP("159106DE Muni","DUR_ADJ_MID")</f>
        <v>#N/A Requesting Data...</v>
      </c>
      <c r="G673" t="str">
        <f>_xll.BDP("159106DE Muni","SPREAD_AT_ISSUANCE_TO_WORST")</f>
        <v>#N/A Requesting Data...</v>
      </c>
      <c r="H673" t="str">
        <f>_xll.BDP("159106DE Muni","ISSUE_DT")</f>
        <v>#N/A Requesting Data...</v>
      </c>
      <c r="I673" t="str">
        <f>_xll.BDS("159106DE Muni","MUNI_PURPOSE_SCHED", "aggregate=y")</f>
        <v>#N/A Requesting Data...</v>
      </c>
      <c r="J673" t="str">
        <f>_xll.BDP("159106DE Muni","CPN")</f>
        <v>#N/A Requesting Data...</v>
      </c>
      <c r="K673" t="str">
        <f>_xll.BDP("159106DE Muni","MATURITY")</f>
        <v>#N/A Requesting Data...</v>
      </c>
      <c r="L673">
        <v>300000</v>
      </c>
      <c r="M673" t="str">
        <f>_xll.BDP("159106DE Muni","YIELD_ON_ISSUE_DATE")</f>
        <v>#N/A Requesting Data...</v>
      </c>
      <c r="N673" t="str">
        <f>_xll.BDP("159106DE Muni","YTW_SPREAD_TO_MATURITY_AT_ISSU")</f>
        <v>#N/A Requesting Data...</v>
      </c>
      <c r="O673" t="str">
        <f>_xll.BDP("159106DE Muni","BVAL_MID_YTM")</f>
        <v>#N/A Requesting Data...</v>
      </c>
      <c r="P673" t="str">
        <f>_xll.BDP("159106DE Muni","MUNI_TAX_PROV")</f>
        <v>#N/A Requesting Data...</v>
      </c>
      <c r="Q673" t="str">
        <f>_xll.BDP("159106DE Muni","MUNI_FED_TAX")</f>
        <v>#N/A Requesting Data...</v>
      </c>
      <c r="R673" t="str">
        <f>_xll.BDP("159106DE Muni","MUNI_MSRB_VOLUME")</f>
        <v>#N/A Requesting Data...</v>
      </c>
      <c r="S673" t="str">
        <f>_xll.BDP("159106DE Muni","BB_COMPOSITE")</f>
        <v>#N/A Requesting Data...</v>
      </c>
      <c r="T673" t="str">
        <f>_xll.BDP("159106DE Muni","LQA_LIQUIDITY_SCORE")</f>
        <v>#N/A Requesting Data...</v>
      </c>
    </row>
    <row r="674" spans="1:20" x14ac:dyDescent="0.25">
      <c r="A674" t="str">
        <f>_xll.BDP("159106DF Muni","ID_CUSIP")</f>
        <v>#N/A Requesting Data...</v>
      </c>
      <c r="B674" t="s">
        <v>187</v>
      </c>
      <c r="C674" t="str">
        <f>_xll.BDP("159106DF Muni","INSURANCE_STATUS")</f>
        <v>#N/A Requesting Data...</v>
      </c>
      <c r="D674" t="str">
        <f>_xll.BDP("159106DF Muni","STATE_CODE")</f>
        <v>#N/A Requesting Data...</v>
      </c>
      <c r="E674" t="str">
        <f>_xll.BDP("159106DF Muni","COUNTY_LOCATION_ISSUER")</f>
        <v>#N/A Requesting Data...</v>
      </c>
      <c r="F674" t="str">
        <f>_xll.BDP("159106DF Muni","DUR_ADJ_MID")</f>
        <v>#N/A Requesting Data...</v>
      </c>
      <c r="G674" t="str">
        <f>_xll.BDP("159106DF Muni","SPREAD_AT_ISSUANCE_TO_WORST")</f>
        <v>#N/A Requesting Data...</v>
      </c>
      <c r="H674" t="str">
        <f>_xll.BDP("159106DF Muni","ISSUE_DT")</f>
        <v>#N/A Requesting Data...</v>
      </c>
      <c r="I674" t="str">
        <f>_xll.BDS("159106DF Muni","MUNI_PURPOSE_SCHED", "aggregate=y")</f>
        <v>#N/A Requesting Data...</v>
      </c>
      <c r="J674" t="str">
        <f>_xll.BDP("159106DF Muni","CPN")</f>
        <v>#N/A Requesting Data...</v>
      </c>
      <c r="K674" t="str">
        <f>_xll.BDP("159106DF Muni","MATURITY")</f>
        <v>#N/A Requesting Data...</v>
      </c>
      <c r="L674">
        <v>310000</v>
      </c>
      <c r="M674" t="str">
        <f>_xll.BDP("159106DF Muni","YIELD_ON_ISSUE_DATE")</f>
        <v>#N/A Requesting Data...</v>
      </c>
      <c r="N674" t="str">
        <f>_xll.BDP("159106DF Muni","YTW_SPREAD_TO_MATURITY_AT_ISSU")</f>
        <v>#N/A Requesting Data...</v>
      </c>
      <c r="O674" t="str">
        <f>_xll.BDP("159106DF Muni","BVAL_MID_YTM")</f>
        <v>#N/A Requesting Data...</v>
      </c>
      <c r="P674" t="str">
        <f>_xll.BDP("159106DF Muni","MUNI_TAX_PROV")</f>
        <v>#N/A Requesting Data...</v>
      </c>
      <c r="Q674" t="str">
        <f>_xll.BDP("159106DF Muni","MUNI_FED_TAX")</f>
        <v>#N/A Requesting Data...</v>
      </c>
      <c r="R674" t="str">
        <f>_xll.BDP("159106DF Muni","MUNI_MSRB_VOLUME")</f>
        <v>#N/A Requesting Data...</v>
      </c>
      <c r="S674" t="str">
        <f>_xll.BDP("159106DF Muni","BB_COMPOSITE")</f>
        <v>#N/A Requesting Data...</v>
      </c>
      <c r="T674" t="str">
        <f>_xll.BDP("159106DF Muni","LQA_LIQUIDITY_SCORE")</f>
        <v>#N/A Requesting Data...</v>
      </c>
    </row>
    <row r="675" spans="1:20" x14ac:dyDescent="0.25">
      <c r="A675" t="str">
        <f>_xll.BDP("346748ND Muni","ID_CUSIP")</f>
        <v>#N/A Requesting Data...</v>
      </c>
      <c r="B675" t="s">
        <v>21</v>
      </c>
      <c r="C675" t="str">
        <f>_xll.BDP("346748ND Muni","INSURANCE_STATUS")</f>
        <v>#N/A Requesting Data...</v>
      </c>
      <c r="D675" t="str">
        <f>_xll.BDP("346748ND Muni","STATE_CODE")</f>
        <v>#N/A Requesting Data...</v>
      </c>
      <c r="E675" t="str">
        <f>_xll.BDP("346748ND Muni","COUNTY_LOCATION_ISSUER")</f>
        <v>#N/A Requesting Data...</v>
      </c>
      <c r="F675" t="str">
        <f>_xll.BDP("346748ND Muni","DUR_ADJ_MID")</f>
        <v>#N/A Requesting Data...</v>
      </c>
      <c r="G675" t="str">
        <f>_xll.BDP("346748ND Muni","SPREAD_AT_ISSUANCE_TO_WORST")</f>
        <v>#N/A Requesting Data...</v>
      </c>
      <c r="H675" t="str">
        <f>_xll.BDP("346748ND Muni","ISSUE_DT")</f>
        <v>#N/A Requesting Data...</v>
      </c>
      <c r="I675" t="str">
        <f>_xll.BDS("346748ND Muni","MUNI_PURPOSE_SCHED", "aggregate=y")</f>
        <v>#N/A Requesting Data...</v>
      </c>
      <c r="J675" t="str">
        <f>_xll.BDP("346748ND Muni","CPN")</f>
        <v>#N/A Requesting Data...</v>
      </c>
      <c r="K675" t="str">
        <f>_xll.BDP("346748ND Muni","MATURITY")</f>
        <v>#N/A Requesting Data...</v>
      </c>
      <c r="L675">
        <v>185000</v>
      </c>
      <c r="M675" t="str">
        <f>_xll.BDP("346748ND Muni","YIELD_ON_ISSUE_DATE")</f>
        <v>#N/A Requesting Data...</v>
      </c>
      <c r="N675" t="str">
        <f>_xll.BDP("346748ND Muni","YTW_SPREAD_TO_MATURITY_AT_ISSU")</f>
        <v>#N/A Requesting Data...</v>
      </c>
      <c r="O675" t="str">
        <f>_xll.BDP("346748ND Muni","BVAL_MID_YTM")</f>
        <v>#N/A Requesting Data...</v>
      </c>
      <c r="P675" t="str">
        <f>_xll.BDP("346748ND Muni","MUNI_TAX_PROV")</f>
        <v>#N/A Requesting Data...</v>
      </c>
      <c r="Q675" t="str">
        <f>_xll.BDP("346748ND Muni","MUNI_FED_TAX")</f>
        <v>#N/A Requesting Data...</v>
      </c>
      <c r="R675" t="str">
        <f>_xll.BDP("346748ND Muni","MUNI_MSRB_VOLUME")</f>
        <v>#N/A Requesting Data...</v>
      </c>
      <c r="S675" t="str">
        <f>_xll.BDP("346748ND Muni","BB_COMPOSITE")</f>
        <v>#N/A Requesting Data...</v>
      </c>
      <c r="T675" t="str">
        <f>_xll.BDP("346748ND Muni","LQA_LIQUIDITY_SCORE")</f>
        <v>#N/A Requesting Data...</v>
      </c>
    </row>
    <row r="676" spans="1:20" x14ac:dyDescent="0.25">
      <c r="A676" t="str">
        <f>_xll.BDP("392546FT Muni","ID_CUSIP")</f>
        <v>#N/A Requesting Data...</v>
      </c>
      <c r="B676" t="s">
        <v>188</v>
      </c>
      <c r="C676" t="str">
        <f>_xll.BDP("392546FT Muni","INSURANCE_STATUS")</f>
        <v>#N/A Requesting Data...</v>
      </c>
      <c r="D676" t="str">
        <f>_xll.BDP("392546FT Muni","STATE_CODE")</f>
        <v>#N/A Requesting Data...</v>
      </c>
      <c r="E676" t="str">
        <f>_xll.BDP("392546FT Muni","COUNTY_LOCATION_ISSUER")</f>
        <v>#N/A Requesting Data...</v>
      </c>
      <c r="F676" t="str">
        <f>_xll.BDP("392546FT Muni","DUR_ADJ_MID")</f>
        <v>#N/A Requesting Data...</v>
      </c>
      <c r="G676" t="str">
        <f>_xll.BDP("392546FT Muni","SPREAD_AT_ISSUANCE_TO_WORST")</f>
        <v>#N/A Requesting Data...</v>
      </c>
      <c r="H676" t="str">
        <f>_xll.BDP("392546FT Muni","ISSUE_DT")</f>
        <v>#N/A Requesting Data...</v>
      </c>
      <c r="I676" t="str">
        <f>_xll.BDS("392546FT Muni","MUNI_PURPOSE_SCHED", "aggregate=y")</f>
        <v>#N/A Requesting Data...</v>
      </c>
      <c r="J676" t="str">
        <f>_xll.BDP("392546FT Muni","CPN")</f>
        <v>#N/A Requesting Data...</v>
      </c>
      <c r="K676" t="str">
        <f>_xll.BDP("392546FT Muni","MATURITY")</f>
        <v>#N/A Requesting Data...</v>
      </c>
      <c r="L676">
        <v>2030000</v>
      </c>
      <c r="M676" t="str">
        <f>_xll.BDP("392546FT Muni","YIELD_ON_ISSUE_DATE")</f>
        <v>#N/A Requesting Data...</v>
      </c>
      <c r="N676" t="str">
        <f>_xll.BDP("392546FT Muni","YTW_SPREAD_TO_MATURITY_AT_ISSU")</f>
        <v>#N/A Requesting Data...</v>
      </c>
      <c r="O676" t="str">
        <f>_xll.BDP("392546FT Muni","BVAL_MID_YTM")</f>
        <v>#N/A Requesting Data...</v>
      </c>
      <c r="P676" t="str">
        <f>_xll.BDP("392546FT Muni","MUNI_TAX_PROV")</f>
        <v>#N/A Requesting Data...</v>
      </c>
      <c r="Q676" t="str">
        <f>_xll.BDP("392546FT Muni","MUNI_FED_TAX")</f>
        <v>#N/A Requesting Data...</v>
      </c>
      <c r="R676" t="str">
        <f>_xll.BDP("392546FT Muni","MUNI_MSRB_VOLUME")</f>
        <v>#N/A Requesting Data...</v>
      </c>
      <c r="S676" t="str">
        <f>_xll.BDP("392546FT Muni","BB_COMPOSITE")</f>
        <v>#N/A Requesting Data...</v>
      </c>
      <c r="T676" t="str">
        <f>_xll.BDP("392546FT Muni","LQA_LIQUIDITY_SCORE")</f>
        <v>#N/A Requesting Data...</v>
      </c>
    </row>
    <row r="677" spans="1:20" x14ac:dyDescent="0.25">
      <c r="A677" t="str">
        <f>_xll.BDP("392546FU Muni","ID_CUSIP")</f>
        <v>#N/A Requesting Data...</v>
      </c>
      <c r="B677" t="s">
        <v>188</v>
      </c>
      <c r="C677" t="str">
        <f>_xll.BDP("392546FU Muni","INSURANCE_STATUS")</f>
        <v>#N/A Requesting Data...</v>
      </c>
      <c r="D677" t="str">
        <f>_xll.BDP("392546FU Muni","STATE_CODE")</f>
        <v>#N/A Requesting Data...</v>
      </c>
      <c r="E677" t="str">
        <f>_xll.BDP("392546FU Muni","COUNTY_LOCATION_ISSUER")</f>
        <v>#N/A Requesting Data...</v>
      </c>
      <c r="F677" t="str">
        <f>_xll.BDP("392546FU Muni","DUR_ADJ_MID")</f>
        <v>#N/A Requesting Data...</v>
      </c>
      <c r="G677" t="str">
        <f>_xll.BDP("392546FU Muni","SPREAD_AT_ISSUANCE_TO_WORST")</f>
        <v>#N/A Requesting Data...</v>
      </c>
      <c r="H677" t="str">
        <f>_xll.BDP("392546FU Muni","ISSUE_DT")</f>
        <v>#N/A Requesting Data...</v>
      </c>
      <c r="I677" t="str">
        <f>_xll.BDS("392546FU Muni","MUNI_PURPOSE_SCHED", "aggregate=y")</f>
        <v>#N/A Requesting Data...</v>
      </c>
      <c r="J677" t="str">
        <f>_xll.BDP("392546FU Muni","CPN")</f>
        <v>#N/A Requesting Data...</v>
      </c>
      <c r="K677" t="str">
        <f>_xll.BDP("392546FU Muni","MATURITY")</f>
        <v>#N/A Requesting Data...</v>
      </c>
      <c r="L677">
        <v>2135000</v>
      </c>
      <c r="M677" t="str">
        <f>_xll.BDP("392546FU Muni","YIELD_ON_ISSUE_DATE")</f>
        <v>#N/A Requesting Data...</v>
      </c>
      <c r="N677" t="str">
        <f>_xll.BDP("392546FU Muni","YTW_SPREAD_TO_MATURITY_AT_ISSU")</f>
        <v>#N/A Requesting Data...</v>
      </c>
      <c r="O677" t="str">
        <f>_xll.BDP("392546FU Muni","BVAL_MID_YTM")</f>
        <v>#N/A Requesting Data...</v>
      </c>
      <c r="P677" t="str">
        <f>_xll.BDP("392546FU Muni","MUNI_TAX_PROV")</f>
        <v>#N/A Requesting Data...</v>
      </c>
      <c r="Q677" t="str">
        <f>_xll.BDP("392546FU Muni","MUNI_FED_TAX")</f>
        <v>#N/A Requesting Data...</v>
      </c>
      <c r="R677" t="str">
        <f>_xll.BDP("392546FU Muni","MUNI_MSRB_VOLUME")</f>
        <v>#N/A Requesting Data...</v>
      </c>
      <c r="S677" t="str">
        <f>_xll.BDP("392546FU Muni","BB_COMPOSITE")</f>
        <v>#N/A Requesting Data...</v>
      </c>
      <c r="T677" t="str">
        <f>_xll.BDP("392546FU Muni","LQA_LIQUIDITY_SCORE")</f>
        <v>#N/A Requesting Data...</v>
      </c>
    </row>
    <row r="678" spans="1:20" x14ac:dyDescent="0.25">
      <c r="A678" t="str">
        <f>_xll.BDP("392546FV Muni","ID_CUSIP")</f>
        <v>#N/A Requesting Data...</v>
      </c>
      <c r="B678" t="s">
        <v>188</v>
      </c>
      <c r="C678" t="str">
        <f>_xll.BDP("392546FV Muni","INSURANCE_STATUS")</f>
        <v>#N/A Requesting Data...</v>
      </c>
      <c r="D678" t="str">
        <f>_xll.BDP("392546FV Muni","STATE_CODE")</f>
        <v>#N/A Requesting Data...</v>
      </c>
      <c r="E678" t="str">
        <f>_xll.BDP("392546FV Muni","COUNTY_LOCATION_ISSUER")</f>
        <v>#N/A Requesting Data...</v>
      </c>
      <c r="F678" t="str">
        <f>_xll.BDP("392546FV Muni","DUR_ADJ_MID")</f>
        <v>#N/A Requesting Data...</v>
      </c>
      <c r="G678" t="str">
        <f>_xll.BDP("392546FV Muni","SPREAD_AT_ISSUANCE_TO_WORST")</f>
        <v>#N/A Requesting Data...</v>
      </c>
      <c r="H678" t="str">
        <f>_xll.BDP("392546FV Muni","ISSUE_DT")</f>
        <v>#N/A Requesting Data...</v>
      </c>
      <c r="I678" t="str">
        <f>_xll.BDS("392546FV Muni","MUNI_PURPOSE_SCHED", "aggregate=y")</f>
        <v>#N/A Requesting Data...</v>
      </c>
      <c r="J678" t="str">
        <f>_xll.BDP("392546FV Muni","CPN")</f>
        <v>#N/A Requesting Data...</v>
      </c>
      <c r="K678" t="str">
        <f>_xll.BDP("392546FV Muni","MATURITY")</f>
        <v>#N/A Requesting Data...</v>
      </c>
      <c r="L678">
        <v>2195000</v>
      </c>
      <c r="M678" t="str">
        <f>_xll.BDP("392546FV Muni","YIELD_ON_ISSUE_DATE")</f>
        <v>#N/A Requesting Data...</v>
      </c>
      <c r="N678" t="str">
        <f>_xll.BDP("392546FV Muni","YTW_SPREAD_TO_MATURITY_AT_ISSU")</f>
        <v>#N/A Requesting Data...</v>
      </c>
      <c r="O678" t="str">
        <f>_xll.BDP("392546FV Muni","BVAL_MID_YTM")</f>
        <v>#N/A Requesting Data...</v>
      </c>
      <c r="P678" t="str">
        <f>_xll.BDP("392546FV Muni","MUNI_TAX_PROV")</f>
        <v>#N/A Requesting Data...</v>
      </c>
      <c r="Q678" t="str">
        <f>_xll.BDP("392546FV Muni","MUNI_FED_TAX")</f>
        <v>#N/A Requesting Data...</v>
      </c>
      <c r="R678" t="str">
        <f>_xll.BDP("392546FV Muni","MUNI_MSRB_VOLUME")</f>
        <v>#N/A Requesting Data...</v>
      </c>
      <c r="S678" t="str">
        <f>_xll.BDP("392546FV Muni","BB_COMPOSITE")</f>
        <v>#N/A Requesting Data...</v>
      </c>
      <c r="T678" t="str">
        <f>_xll.BDP("392546FV Muni","LQA_LIQUIDITY_SCORE")</f>
        <v>#N/A Requesting Data...</v>
      </c>
    </row>
    <row r="679" spans="1:20" x14ac:dyDescent="0.25">
      <c r="A679" t="str">
        <f>_xll.BDP("392546FW Muni","ID_CUSIP")</f>
        <v>#N/A Requesting Data...</v>
      </c>
      <c r="B679" t="s">
        <v>188</v>
      </c>
      <c r="C679" t="str">
        <f>_xll.BDP("392546FW Muni","INSURANCE_STATUS")</f>
        <v>#N/A Requesting Data...</v>
      </c>
      <c r="D679" t="str">
        <f>_xll.BDP("392546FW Muni","STATE_CODE")</f>
        <v>#N/A Requesting Data...</v>
      </c>
      <c r="E679" t="str">
        <f>_xll.BDP("392546FW Muni","COUNTY_LOCATION_ISSUER")</f>
        <v>#N/A Requesting Data...</v>
      </c>
      <c r="F679" t="str">
        <f>_xll.BDP("392546FW Muni","DUR_ADJ_MID")</f>
        <v>#N/A Requesting Data...</v>
      </c>
      <c r="G679" t="str">
        <f>_xll.BDP("392546FW Muni","SPREAD_AT_ISSUANCE_TO_WORST")</f>
        <v>#N/A Requesting Data...</v>
      </c>
      <c r="H679" t="str">
        <f>_xll.BDP("392546FW Muni","ISSUE_DT")</f>
        <v>#N/A Requesting Data...</v>
      </c>
      <c r="I679" t="str">
        <f>_xll.BDS("392546FW Muni","MUNI_PURPOSE_SCHED", "aggregate=y")</f>
        <v>#N/A Requesting Data...</v>
      </c>
      <c r="J679" t="str">
        <f>_xll.BDP("392546FW Muni","CPN")</f>
        <v>#N/A Requesting Data...</v>
      </c>
      <c r="K679" t="str">
        <f>_xll.BDP("392546FW Muni","MATURITY")</f>
        <v>#N/A Requesting Data...</v>
      </c>
      <c r="L679">
        <v>2310000</v>
      </c>
      <c r="M679" t="str">
        <f>_xll.BDP("392546FW Muni","YIELD_ON_ISSUE_DATE")</f>
        <v>#N/A Requesting Data...</v>
      </c>
      <c r="N679" t="str">
        <f>_xll.BDP("392546FW Muni","YTW_SPREAD_TO_MATURITY_AT_ISSU")</f>
        <v>#N/A Requesting Data...</v>
      </c>
      <c r="O679" t="str">
        <f>_xll.BDP("392546FW Muni","BVAL_MID_YTM")</f>
        <v>#N/A Requesting Data...</v>
      </c>
      <c r="P679" t="str">
        <f>_xll.BDP("392546FW Muni","MUNI_TAX_PROV")</f>
        <v>#N/A Requesting Data...</v>
      </c>
      <c r="Q679" t="str">
        <f>_xll.BDP("392546FW Muni","MUNI_FED_TAX")</f>
        <v>#N/A Requesting Data...</v>
      </c>
      <c r="R679" t="str">
        <f>_xll.BDP("392546FW Muni","MUNI_MSRB_VOLUME")</f>
        <v>#N/A Requesting Data...</v>
      </c>
      <c r="S679" t="str">
        <f>_xll.BDP("392546FW Muni","BB_COMPOSITE")</f>
        <v>#N/A Requesting Data...</v>
      </c>
      <c r="T679" t="str">
        <f>_xll.BDP("392546FW Muni","LQA_LIQUIDITY_SCORE")</f>
        <v>#N/A Requesting Data...</v>
      </c>
    </row>
    <row r="680" spans="1:20" x14ac:dyDescent="0.25">
      <c r="A680" t="str">
        <f>_xll.BDP("392546FX Muni","ID_CUSIP")</f>
        <v>#N/A Requesting Data...</v>
      </c>
      <c r="B680" t="s">
        <v>188</v>
      </c>
      <c r="C680" t="str">
        <f>_xll.BDP("392546FX Muni","INSURANCE_STATUS")</f>
        <v>#N/A Requesting Data...</v>
      </c>
      <c r="D680" t="str">
        <f>_xll.BDP("392546FX Muni","STATE_CODE")</f>
        <v>#N/A Requesting Data...</v>
      </c>
      <c r="E680" t="str">
        <f>_xll.BDP("392546FX Muni","COUNTY_LOCATION_ISSUER")</f>
        <v>#N/A Requesting Data...</v>
      </c>
      <c r="F680" t="str">
        <f>_xll.BDP("392546FX Muni","DUR_ADJ_MID")</f>
        <v>#N/A Requesting Data...</v>
      </c>
      <c r="G680" t="str">
        <f>_xll.BDP("392546FX Muni","SPREAD_AT_ISSUANCE_TO_WORST")</f>
        <v>#N/A Requesting Data...</v>
      </c>
      <c r="H680" t="str">
        <f>_xll.BDP("392546FX Muni","ISSUE_DT")</f>
        <v>#N/A Requesting Data...</v>
      </c>
      <c r="I680" t="str">
        <f>_xll.BDS("392546FX Muni","MUNI_PURPOSE_SCHED", "aggregate=y")</f>
        <v>#N/A Requesting Data...</v>
      </c>
      <c r="J680" t="str">
        <f>_xll.BDP("392546FX Muni","CPN")</f>
        <v>#N/A Requesting Data...</v>
      </c>
      <c r="K680" t="str">
        <f>_xll.BDP("392546FX Muni","MATURITY")</f>
        <v>#N/A Requesting Data...</v>
      </c>
      <c r="L680">
        <v>1585000</v>
      </c>
      <c r="M680" t="str">
        <f>_xll.BDP("392546FX Muni","YIELD_ON_ISSUE_DATE")</f>
        <v>#N/A Requesting Data...</v>
      </c>
      <c r="N680" t="str">
        <f>_xll.BDP("392546FX Muni","YTW_SPREAD_TO_MATURITY_AT_ISSU")</f>
        <v>#N/A Requesting Data...</v>
      </c>
      <c r="O680" t="str">
        <f>_xll.BDP("392546FX Muni","BVAL_MID_YTM")</f>
        <v>#N/A Requesting Data...</v>
      </c>
      <c r="P680" t="str">
        <f>_xll.BDP("392546FX Muni","MUNI_TAX_PROV")</f>
        <v>#N/A Requesting Data...</v>
      </c>
      <c r="Q680" t="str">
        <f>_xll.BDP("392546FX Muni","MUNI_FED_TAX")</f>
        <v>#N/A Requesting Data...</v>
      </c>
      <c r="R680" t="str">
        <f>_xll.BDP("392546FX Muni","MUNI_MSRB_VOLUME")</f>
        <v>#N/A Requesting Data...</v>
      </c>
      <c r="S680" t="str">
        <f>_xll.BDP("392546FX Muni","BB_COMPOSITE")</f>
        <v>#N/A Requesting Data...</v>
      </c>
      <c r="T680" t="str">
        <f>_xll.BDP("392546FX Muni","LQA_LIQUIDITY_SCORE")</f>
        <v>#N/A Requesting Data...</v>
      </c>
    </row>
    <row r="681" spans="1:20" x14ac:dyDescent="0.25">
      <c r="A681" t="str">
        <f>_xll.BDP("392546FY Muni","ID_CUSIP")</f>
        <v>#N/A Requesting Data...</v>
      </c>
      <c r="B681" t="s">
        <v>188</v>
      </c>
      <c r="C681" t="str">
        <f>_xll.BDP("392546FY Muni","INSURANCE_STATUS")</f>
        <v>#N/A Requesting Data...</v>
      </c>
      <c r="D681" t="str">
        <f>_xll.BDP("392546FY Muni","STATE_CODE")</f>
        <v>#N/A Requesting Data...</v>
      </c>
      <c r="E681" t="str">
        <f>_xll.BDP("392546FY Muni","COUNTY_LOCATION_ISSUER")</f>
        <v>#N/A Requesting Data...</v>
      </c>
      <c r="F681" t="str">
        <f>_xll.BDP("392546FY Muni","DUR_ADJ_MID")</f>
        <v>#N/A Requesting Data...</v>
      </c>
      <c r="G681" t="str">
        <f>_xll.BDP("392546FY Muni","SPREAD_AT_ISSUANCE_TO_WORST")</f>
        <v>#N/A Requesting Data...</v>
      </c>
      <c r="H681" t="str">
        <f>_xll.BDP("392546FY Muni","ISSUE_DT")</f>
        <v>#N/A Requesting Data...</v>
      </c>
      <c r="I681" t="str">
        <f>_xll.BDS("392546FY Muni","MUNI_PURPOSE_SCHED", "aggregate=y")</f>
        <v>#N/A Requesting Data...</v>
      </c>
      <c r="J681" t="str">
        <f>_xll.BDP("392546FY Muni","CPN")</f>
        <v>#N/A Requesting Data...</v>
      </c>
      <c r="K681" t="str">
        <f>_xll.BDP("392546FY Muni","MATURITY")</f>
        <v>#N/A Requesting Data...</v>
      </c>
      <c r="L681">
        <v>1665000</v>
      </c>
      <c r="M681" t="str">
        <f>_xll.BDP("392546FY Muni","YIELD_ON_ISSUE_DATE")</f>
        <v>#N/A Requesting Data...</v>
      </c>
      <c r="N681" t="str">
        <f>_xll.BDP("392546FY Muni","YTW_SPREAD_TO_MATURITY_AT_ISSU")</f>
        <v>#N/A Requesting Data...</v>
      </c>
      <c r="O681" t="str">
        <f>_xll.BDP("392546FY Muni","BVAL_MID_YTM")</f>
        <v>#N/A Requesting Data...</v>
      </c>
      <c r="P681" t="str">
        <f>_xll.BDP("392546FY Muni","MUNI_TAX_PROV")</f>
        <v>#N/A Requesting Data...</v>
      </c>
      <c r="Q681" t="str">
        <f>_xll.BDP("392546FY Muni","MUNI_FED_TAX")</f>
        <v>#N/A Requesting Data...</v>
      </c>
      <c r="R681" t="str">
        <f>_xll.BDP("392546FY Muni","MUNI_MSRB_VOLUME")</f>
        <v>#N/A Requesting Data...</v>
      </c>
      <c r="S681" t="str">
        <f>_xll.BDP("392546FY Muni","BB_COMPOSITE")</f>
        <v>#N/A Requesting Data...</v>
      </c>
      <c r="T681" t="str">
        <f>_xll.BDP("392546FY Muni","LQA_LIQUIDITY_SCORE")</f>
        <v>#N/A Requesting Data...</v>
      </c>
    </row>
    <row r="682" spans="1:20" x14ac:dyDescent="0.25">
      <c r="A682" t="str">
        <f>_xll.BDP("392546FZ Muni","ID_CUSIP")</f>
        <v>#N/A Requesting Data...</v>
      </c>
      <c r="B682" t="s">
        <v>188</v>
      </c>
      <c r="C682" t="str">
        <f>_xll.BDP("392546FZ Muni","INSURANCE_STATUS")</f>
        <v>#N/A Requesting Data...</v>
      </c>
      <c r="D682" t="str">
        <f>_xll.BDP("392546FZ Muni","STATE_CODE")</f>
        <v>#N/A Requesting Data...</v>
      </c>
      <c r="E682" t="str">
        <f>_xll.BDP("392546FZ Muni","COUNTY_LOCATION_ISSUER")</f>
        <v>#N/A Requesting Data...</v>
      </c>
      <c r="F682" t="str">
        <f>_xll.BDP("392546FZ Muni","DUR_ADJ_MID")</f>
        <v>#N/A Requesting Data...</v>
      </c>
      <c r="G682" t="str">
        <f>_xll.BDP("392546FZ Muni","SPREAD_AT_ISSUANCE_TO_WORST")</f>
        <v>#N/A Requesting Data...</v>
      </c>
      <c r="H682" t="str">
        <f>_xll.BDP("392546FZ Muni","ISSUE_DT")</f>
        <v>#N/A Requesting Data...</v>
      </c>
      <c r="I682" t="str">
        <f>_xll.BDS("392546FZ Muni","MUNI_PURPOSE_SCHED", "aggregate=y")</f>
        <v>#N/A Requesting Data...</v>
      </c>
      <c r="J682" t="str">
        <f>_xll.BDP("392546FZ Muni","CPN")</f>
        <v>#N/A Requesting Data...</v>
      </c>
      <c r="K682" t="str">
        <f>_xll.BDP("392546FZ Muni","MATURITY")</f>
        <v>#N/A Requesting Data...</v>
      </c>
      <c r="L682">
        <v>1745000</v>
      </c>
      <c r="M682" t="str">
        <f>_xll.BDP("392546FZ Muni","YIELD_ON_ISSUE_DATE")</f>
        <v>#N/A Requesting Data...</v>
      </c>
      <c r="N682" t="str">
        <f>_xll.BDP("392546FZ Muni","YTW_SPREAD_TO_MATURITY_AT_ISSU")</f>
        <v>#N/A Requesting Data...</v>
      </c>
      <c r="O682" t="str">
        <f>_xll.BDP("392546FZ Muni","BVAL_MID_YTM")</f>
        <v>#N/A Requesting Data...</v>
      </c>
      <c r="P682" t="str">
        <f>_xll.BDP("392546FZ Muni","MUNI_TAX_PROV")</f>
        <v>#N/A Requesting Data...</v>
      </c>
      <c r="Q682" t="str">
        <f>_xll.BDP("392546FZ Muni","MUNI_FED_TAX")</f>
        <v>#N/A Requesting Data...</v>
      </c>
      <c r="R682" t="str">
        <f>_xll.BDP("392546FZ Muni","MUNI_MSRB_VOLUME")</f>
        <v>#N/A Requesting Data...</v>
      </c>
      <c r="S682" t="str">
        <f>_xll.BDP("392546FZ Muni","BB_COMPOSITE")</f>
        <v>#N/A Requesting Data...</v>
      </c>
      <c r="T682" t="str">
        <f>_xll.BDP("392546FZ Muni","LQA_LIQUIDITY_SCORE")</f>
        <v>#N/A Requesting Data...</v>
      </c>
    </row>
    <row r="683" spans="1:20" x14ac:dyDescent="0.25">
      <c r="A683" t="str">
        <f>_xll.BDP("393731CK Muni","ID_CUSIP")</f>
        <v>#N/A Requesting Data...</v>
      </c>
      <c r="B683" t="s">
        <v>189</v>
      </c>
      <c r="C683" t="str">
        <f>_xll.BDP("393731CK Muni","INSURANCE_STATUS")</f>
        <v>#N/A Requesting Data...</v>
      </c>
      <c r="D683" t="str">
        <f>_xll.BDP("393731CK Muni","STATE_CODE")</f>
        <v>#N/A Requesting Data...</v>
      </c>
      <c r="E683" t="str">
        <f>_xll.BDP("393731CK Muni","COUNTY_LOCATION_ISSUER")</f>
        <v>#N/A Requesting Data...</v>
      </c>
      <c r="F683" t="str">
        <f>_xll.BDP("393731CK Muni","DUR_ADJ_MID")</f>
        <v>#N/A Requesting Data...</v>
      </c>
      <c r="G683" t="str">
        <f>_xll.BDP("393731CK Muni","SPREAD_AT_ISSUANCE_TO_WORST")</f>
        <v>#N/A Requesting Data...</v>
      </c>
      <c r="H683" t="str">
        <f>_xll.BDP("393731CK Muni","ISSUE_DT")</f>
        <v>#N/A Requesting Data...</v>
      </c>
      <c r="I683" t="str">
        <f>_xll.BDS("393731CK Muni","MUNI_PURPOSE_SCHED", "aggregate=y")</f>
        <v>#N/A Requesting Data...</v>
      </c>
      <c r="J683" t="str">
        <f>_xll.BDP("393731CK Muni","CPN")</f>
        <v>#N/A Requesting Data...</v>
      </c>
      <c r="K683" t="str">
        <f>_xll.BDP("393731CK Muni","MATURITY")</f>
        <v>#N/A Requesting Data...</v>
      </c>
      <c r="L683">
        <v>1220000</v>
      </c>
      <c r="M683" t="str">
        <f>_xll.BDP("393731CK Muni","YIELD_ON_ISSUE_DATE")</f>
        <v>#N/A Requesting Data...</v>
      </c>
      <c r="N683" t="str">
        <f>_xll.BDP("393731CK Muni","YTW_SPREAD_TO_MATURITY_AT_ISSU")</f>
        <v>#N/A Requesting Data...</v>
      </c>
      <c r="O683" t="str">
        <f>_xll.BDP("393731CK Muni","BVAL_MID_YTM")</f>
        <v>#N/A Requesting Data...</v>
      </c>
      <c r="P683" t="str">
        <f>_xll.BDP("393731CK Muni","MUNI_TAX_PROV")</f>
        <v>#N/A Requesting Data...</v>
      </c>
      <c r="Q683" t="str">
        <f>_xll.BDP("393731CK Muni","MUNI_FED_TAX")</f>
        <v>#N/A Requesting Data...</v>
      </c>
      <c r="R683" t="str">
        <f>_xll.BDP("393731CK Muni","MUNI_MSRB_VOLUME")</f>
        <v>#N/A Requesting Data...</v>
      </c>
      <c r="S683" t="str">
        <f>_xll.BDP("393731CK Muni","BB_COMPOSITE")</f>
        <v>#N/A Requesting Data...</v>
      </c>
      <c r="T683" t="str">
        <f>_xll.BDP("393731CK Muni","LQA_LIQUIDITY_SCORE")</f>
        <v>#N/A Requesting Data...</v>
      </c>
    </row>
    <row r="684" spans="1:20" x14ac:dyDescent="0.25">
      <c r="A684" t="str">
        <f>_xll.BDP("393731CL Muni","ID_CUSIP")</f>
        <v>#N/A Requesting Data...</v>
      </c>
      <c r="B684" t="s">
        <v>189</v>
      </c>
      <c r="C684" t="str">
        <f>_xll.BDP("393731CL Muni","INSURANCE_STATUS")</f>
        <v>#N/A Requesting Data...</v>
      </c>
      <c r="D684" t="str">
        <f>_xll.BDP("393731CL Muni","STATE_CODE")</f>
        <v>#N/A Requesting Data...</v>
      </c>
      <c r="E684" t="str">
        <f>_xll.BDP("393731CL Muni","COUNTY_LOCATION_ISSUER")</f>
        <v>#N/A Requesting Data...</v>
      </c>
      <c r="F684" t="str">
        <f>_xll.BDP("393731CL Muni","DUR_ADJ_MID")</f>
        <v>#N/A Requesting Data...</v>
      </c>
      <c r="G684" t="str">
        <f>_xll.BDP("393731CL Muni","SPREAD_AT_ISSUANCE_TO_WORST")</f>
        <v>#N/A Requesting Data...</v>
      </c>
      <c r="H684" t="str">
        <f>_xll.BDP("393731CL Muni","ISSUE_DT")</f>
        <v>#N/A Requesting Data...</v>
      </c>
      <c r="I684" t="str">
        <f>_xll.BDS("393731CL Muni","MUNI_PURPOSE_SCHED", "aggregate=y")</f>
        <v>#N/A Requesting Data...</v>
      </c>
      <c r="J684" t="str">
        <f>_xll.BDP("393731CL Muni","CPN")</f>
        <v>#N/A Requesting Data...</v>
      </c>
      <c r="K684" t="str">
        <f>_xll.BDP("393731CL Muni","MATURITY")</f>
        <v>#N/A Requesting Data...</v>
      </c>
      <c r="L684">
        <v>1135000</v>
      </c>
      <c r="M684" t="str">
        <f>_xll.BDP("393731CL Muni","YIELD_ON_ISSUE_DATE")</f>
        <v>#N/A Requesting Data...</v>
      </c>
      <c r="N684" t="str">
        <f>_xll.BDP("393731CL Muni","YTW_SPREAD_TO_MATURITY_AT_ISSU")</f>
        <v>#N/A Requesting Data...</v>
      </c>
      <c r="O684" t="str">
        <f>_xll.BDP("393731CL Muni","BVAL_MID_YTM")</f>
        <v>#N/A Requesting Data...</v>
      </c>
      <c r="P684" t="str">
        <f>_xll.BDP("393731CL Muni","MUNI_TAX_PROV")</f>
        <v>#N/A Requesting Data...</v>
      </c>
      <c r="Q684" t="str">
        <f>_xll.BDP("393731CL Muni","MUNI_FED_TAX")</f>
        <v>#N/A Requesting Data...</v>
      </c>
      <c r="R684" t="str">
        <f>_xll.BDP("393731CL Muni","MUNI_MSRB_VOLUME")</f>
        <v>#N/A Requesting Data...</v>
      </c>
      <c r="S684" t="str">
        <f>_xll.BDP("393731CL Muni","BB_COMPOSITE")</f>
        <v>#N/A Requesting Data...</v>
      </c>
      <c r="T684" t="str">
        <f>_xll.BDP("393731CL Muni","LQA_LIQUIDITY_SCORE")</f>
        <v>#N/A Requesting Data...</v>
      </c>
    </row>
    <row r="685" spans="1:20" x14ac:dyDescent="0.25">
      <c r="A685" t="str">
        <f>_xll.BDP("393731CM Muni","ID_CUSIP")</f>
        <v>#N/A Requesting Data...</v>
      </c>
      <c r="B685" t="s">
        <v>189</v>
      </c>
      <c r="C685" t="str">
        <f>_xll.BDP("393731CM Muni","INSURANCE_STATUS")</f>
        <v>#N/A Requesting Data...</v>
      </c>
      <c r="D685" t="str">
        <f>_xll.BDP("393731CM Muni","STATE_CODE")</f>
        <v>#N/A Requesting Data...</v>
      </c>
      <c r="E685" t="str">
        <f>_xll.BDP("393731CM Muni","COUNTY_LOCATION_ISSUER")</f>
        <v>#N/A Requesting Data...</v>
      </c>
      <c r="F685" t="str">
        <f>_xll.BDP("393731CM Muni","DUR_ADJ_MID")</f>
        <v>#N/A Requesting Data...</v>
      </c>
      <c r="G685" t="str">
        <f>_xll.BDP("393731CM Muni","SPREAD_AT_ISSUANCE_TO_WORST")</f>
        <v>#N/A Requesting Data...</v>
      </c>
      <c r="H685" t="str">
        <f>_xll.BDP("393731CM Muni","ISSUE_DT")</f>
        <v>#N/A Requesting Data...</v>
      </c>
      <c r="I685" t="str">
        <f>_xll.BDS("393731CM Muni","MUNI_PURPOSE_SCHED", "aggregate=y")</f>
        <v>#N/A Requesting Data...</v>
      </c>
      <c r="J685" t="str">
        <f>_xll.BDP("393731CM Muni","CPN")</f>
        <v>#N/A Requesting Data...</v>
      </c>
      <c r="K685" t="str">
        <f>_xll.BDP("393731CM Muni","MATURITY")</f>
        <v>#N/A Requesting Data...</v>
      </c>
      <c r="L685">
        <v>1140000</v>
      </c>
      <c r="M685" t="str">
        <f>_xll.BDP("393731CM Muni","YIELD_ON_ISSUE_DATE")</f>
        <v>#N/A Requesting Data...</v>
      </c>
      <c r="N685" t="str">
        <f>_xll.BDP("393731CM Muni","YTW_SPREAD_TO_MATURITY_AT_ISSU")</f>
        <v>#N/A Requesting Data...</v>
      </c>
      <c r="O685" t="str">
        <f>_xll.BDP("393731CM Muni","BVAL_MID_YTM")</f>
        <v>#N/A Requesting Data...</v>
      </c>
      <c r="P685" t="str">
        <f>_xll.BDP("393731CM Muni","MUNI_TAX_PROV")</f>
        <v>#N/A Requesting Data...</v>
      </c>
      <c r="Q685" t="str">
        <f>_xll.BDP("393731CM Muni","MUNI_FED_TAX")</f>
        <v>#N/A Requesting Data...</v>
      </c>
      <c r="R685" t="str">
        <f>_xll.BDP("393731CM Muni","MUNI_MSRB_VOLUME")</f>
        <v>#N/A Requesting Data...</v>
      </c>
      <c r="S685" t="str">
        <f>_xll.BDP("393731CM Muni","BB_COMPOSITE")</f>
        <v>#N/A Requesting Data...</v>
      </c>
      <c r="T685" t="str">
        <f>_xll.BDP("393731CM Muni","LQA_LIQUIDITY_SCORE")</f>
        <v>#N/A Requesting Data...</v>
      </c>
    </row>
    <row r="686" spans="1:20" x14ac:dyDescent="0.25">
      <c r="A686" t="str">
        <f>_xll.BDP("393731CN Muni","ID_CUSIP")</f>
        <v>#N/A Requesting Data...</v>
      </c>
      <c r="B686" t="s">
        <v>189</v>
      </c>
      <c r="C686" t="str">
        <f>_xll.BDP("393731CN Muni","INSURANCE_STATUS")</f>
        <v>#N/A Requesting Data...</v>
      </c>
      <c r="D686" t="str">
        <f>_xll.BDP("393731CN Muni","STATE_CODE")</f>
        <v>#N/A Requesting Data...</v>
      </c>
      <c r="E686" t="str">
        <f>_xll.BDP("393731CN Muni","COUNTY_LOCATION_ISSUER")</f>
        <v>#N/A Requesting Data...</v>
      </c>
      <c r="F686" t="str">
        <f>_xll.BDP("393731CN Muni","DUR_ADJ_MID")</f>
        <v>#N/A Requesting Data...</v>
      </c>
      <c r="G686" t="str">
        <f>_xll.BDP("393731CN Muni","SPREAD_AT_ISSUANCE_TO_WORST")</f>
        <v>#N/A Requesting Data...</v>
      </c>
      <c r="H686" t="str">
        <f>_xll.BDP("393731CN Muni","ISSUE_DT")</f>
        <v>#N/A Requesting Data...</v>
      </c>
      <c r="I686" t="str">
        <f>_xll.BDS("393731CN Muni","MUNI_PURPOSE_SCHED", "aggregate=y")</f>
        <v>#N/A Requesting Data...</v>
      </c>
      <c r="J686" t="str">
        <f>_xll.BDP("393731CN Muni","CPN")</f>
        <v>#N/A Requesting Data...</v>
      </c>
      <c r="K686" t="str">
        <f>_xll.BDP("393731CN Muni","MATURITY")</f>
        <v>#N/A Requesting Data...</v>
      </c>
      <c r="L686">
        <v>1145000</v>
      </c>
      <c r="M686" t="str">
        <f>_xll.BDP("393731CN Muni","YIELD_ON_ISSUE_DATE")</f>
        <v>#N/A Requesting Data...</v>
      </c>
      <c r="N686" t="str">
        <f>_xll.BDP("393731CN Muni","YTW_SPREAD_TO_MATURITY_AT_ISSU")</f>
        <v>#N/A Requesting Data...</v>
      </c>
      <c r="O686" t="str">
        <f>_xll.BDP("393731CN Muni","BVAL_MID_YTM")</f>
        <v>#N/A Requesting Data...</v>
      </c>
      <c r="P686" t="str">
        <f>_xll.BDP("393731CN Muni","MUNI_TAX_PROV")</f>
        <v>#N/A Requesting Data...</v>
      </c>
      <c r="Q686" t="str">
        <f>_xll.BDP("393731CN Muni","MUNI_FED_TAX")</f>
        <v>#N/A Requesting Data...</v>
      </c>
      <c r="R686" t="str">
        <f>_xll.BDP("393731CN Muni","MUNI_MSRB_VOLUME")</f>
        <v>#N/A Requesting Data...</v>
      </c>
      <c r="S686" t="str">
        <f>_xll.BDP("393731CN Muni","BB_COMPOSITE")</f>
        <v>#N/A Requesting Data...</v>
      </c>
      <c r="T686" t="str">
        <f>_xll.BDP("393731CN Muni","LQA_LIQUIDITY_SCORE")</f>
        <v>#N/A Requesting Data...</v>
      </c>
    </row>
    <row r="687" spans="1:20" x14ac:dyDescent="0.25">
      <c r="A687" t="str">
        <f>_xll.BDP("394281AE Muni","ID_CUSIP")</f>
        <v>#N/A Requesting Data...</v>
      </c>
      <c r="B687" t="s">
        <v>190</v>
      </c>
      <c r="C687" t="str">
        <f>_xll.BDP("394281AE Muni","INSURANCE_STATUS")</f>
        <v>#N/A Requesting Data...</v>
      </c>
      <c r="D687" t="str">
        <f>_xll.BDP("394281AE Muni","STATE_CODE")</f>
        <v>#N/A Requesting Data...</v>
      </c>
      <c r="E687" t="str">
        <f>_xll.BDP("394281AE Muni","COUNTY_LOCATION_ISSUER")</f>
        <v>#N/A Requesting Data...</v>
      </c>
      <c r="F687" t="str">
        <f>_xll.BDP("394281AE Muni","DUR_ADJ_MID")</f>
        <v>#N/A Requesting Data...</v>
      </c>
      <c r="G687" t="str">
        <f>_xll.BDP("394281AE Muni","SPREAD_AT_ISSUANCE_TO_WORST")</f>
        <v>#N/A Requesting Data...</v>
      </c>
      <c r="H687" t="str">
        <f>_xll.BDP("394281AE Muni","ISSUE_DT")</f>
        <v>#N/A Requesting Data...</v>
      </c>
      <c r="I687" t="str">
        <f>_xll.BDS("394281AE Muni","MUNI_PURPOSE_SCHED", "aggregate=y")</f>
        <v>#N/A Requesting Data...</v>
      </c>
      <c r="J687" t="str">
        <f>_xll.BDP("394281AE Muni","CPN")</f>
        <v>#N/A Requesting Data...</v>
      </c>
      <c r="K687" t="str">
        <f>_xll.BDP("394281AE Muni","MATURITY")</f>
        <v>#N/A Requesting Data...</v>
      </c>
      <c r="L687">
        <v>185000</v>
      </c>
      <c r="M687" t="str">
        <f>_xll.BDP("394281AE Muni","YIELD_ON_ISSUE_DATE")</f>
        <v>#N/A Requesting Data...</v>
      </c>
      <c r="N687" t="str">
        <f>_xll.BDP("394281AE Muni","YTW_SPREAD_TO_MATURITY_AT_ISSU")</f>
        <v>#N/A Requesting Data...</v>
      </c>
      <c r="O687" t="str">
        <f>_xll.BDP("394281AE Muni","BVAL_MID_YTM")</f>
        <v>#N/A Requesting Data...</v>
      </c>
      <c r="P687" t="str">
        <f>_xll.BDP("394281AE Muni","MUNI_TAX_PROV")</f>
        <v>#N/A Requesting Data...</v>
      </c>
      <c r="Q687" t="str">
        <f>_xll.BDP("394281AE Muni","MUNI_FED_TAX")</f>
        <v>#N/A Requesting Data...</v>
      </c>
      <c r="R687" t="str">
        <f>_xll.BDP("394281AE Muni","MUNI_MSRB_VOLUME")</f>
        <v>#N/A Requesting Data...</v>
      </c>
      <c r="S687" t="str">
        <f>_xll.BDP("394281AE Muni","BB_COMPOSITE")</f>
        <v>#N/A Requesting Data...</v>
      </c>
      <c r="T687" t="str">
        <f>_xll.BDP("394281AE Muni","LQA_LIQUIDITY_SCORE")</f>
        <v>#N/A Requesting Data...</v>
      </c>
    </row>
    <row r="688" spans="1:20" x14ac:dyDescent="0.25">
      <c r="A688" t="str">
        <f>_xll.BDP("394281AF Muni","ID_CUSIP")</f>
        <v>#N/A Requesting Data...</v>
      </c>
      <c r="B688" t="s">
        <v>190</v>
      </c>
      <c r="C688" t="str">
        <f>_xll.BDP("394281AF Muni","INSURANCE_STATUS")</f>
        <v>#N/A Requesting Data...</v>
      </c>
      <c r="D688" t="str">
        <f>_xll.BDP("394281AF Muni","STATE_CODE")</f>
        <v>#N/A Requesting Data...</v>
      </c>
      <c r="E688" t="str">
        <f>_xll.BDP("394281AF Muni","COUNTY_LOCATION_ISSUER")</f>
        <v>#N/A Requesting Data...</v>
      </c>
      <c r="F688" t="str">
        <f>_xll.BDP("394281AF Muni","DUR_ADJ_MID")</f>
        <v>#N/A Requesting Data...</v>
      </c>
      <c r="G688" t="str">
        <f>_xll.BDP("394281AF Muni","SPREAD_AT_ISSUANCE_TO_WORST")</f>
        <v>#N/A Requesting Data...</v>
      </c>
      <c r="H688" t="str">
        <f>_xll.BDP("394281AF Muni","ISSUE_DT")</f>
        <v>#N/A Requesting Data...</v>
      </c>
      <c r="I688" t="str">
        <f>_xll.BDS("394281AF Muni","MUNI_PURPOSE_SCHED", "aggregate=y")</f>
        <v>#N/A Requesting Data...</v>
      </c>
      <c r="J688" t="str">
        <f>_xll.BDP("394281AF Muni","CPN")</f>
        <v>#N/A Requesting Data...</v>
      </c>
      <c r="K688" t="str">
        <f>_xll.BDP("394281AF Muni","MATURITY")</f>
        <v>#N/A Requesting Data...</v>
      </c>
      <c r="L688">
        <v>195000</v>
      </c>
      <c r="M688" t="str">
        <f>_xll.BDP("394281AF Muni","YIELD_ON_ISSUE_DATE")</f>
        <v>#N/A Requesting Data...</v>
      </c>
      <c r="N688" t="str">
        <f>_xll.BDP("394281AF Muni","YTW_SPREAD_TO_MATURITY_AT_ISSU")</f>
        <v>#N/A Requesting Data...</v>
      </c>
      <c r="O688" t="str">
        <f>_xll.BDP("394281AF Muni","BVAL_MID_YTM")</f>
        <v>#N/A Requesting Data...</v>
      </c>
      <c r="P688" t="str">
        <f>_xll.BDP("394281AF Muni","MUNI_TAX_PROV")</f>
        <v>#N/A Requesting Data...</v>
      </c>
      <c r="Q688" t="str">
        <f>_xll.BDP("394281AF Muni","MUNI_FED_TAX")</f>
        <v>#N/A Requesting Data...</v>
      </c>
      <c r="R688" t="str">
        <f>_xll.BDP("394281AF Muni","MUNI_MSRB_VOLUME")</f>
        <v>#N/A Requesting Data...</v>
      </c>
      <c r="S688" t="str">
        <f>_xll.BDP("394281AF Muni","BB_COMPOSITE")</f>
        <v>#N/A Requesting Data...</v>
      </c>
      <c r="T688" t="str">
        <f>_xll.BDP("394281AF Muni","LQA_LIQUIDITY_SCORE")</f>
        <v>#N/A Requesting Data...</v>
      </c>
    </row>
    <row r="689" spans="1:20" x14ac:dyDescent="0.25">
      <c r="A689" t="str">
        <f>_xll.BDP("394281AG Muni","ID_CUSIP")</f>
        <v>#N/A Requesting Data...</v>
      </c>
      <c r="B689" t="s">
        <v>190</v>
      </c>
      <c r="C689" t="str">
        <f>_xll.BDP("394281AG Muni","INSURANCE_STATUS")</f>
        <v>#N/A Requesting Data...</v>
      </c>
      <c r="D689" t="str">
        <f>_xll.BDP("394281AG Muni","STATE_CODE")</f>
        <v>#N/A Requesting Data...</v>
      </c>
      <c r="E689" t="str">
        <f>_xll.BDP("394281AG Muni","COUNTY_LOCATION_ISSUER")</f>
        <v>#N/A Requesting Data...</v>
      </c>
      <c r="F689" t="str">
        <f>_xll.BDP("394281AG Muni","DUR_ADJ_MID")</f>
        <v>#N/A Requesting Data...</v>
      </c>
      <c r="G689" t="str">
        <f>_xll.BDP("394281AG Muni","SPREAD_AT_ISSUANCE_TO_WORST")</f>
        <v>#N/A Requesting Data...</v>
      </c>
      <c r="H689" t="str">
        <f>_xll.BDP("394281AG Muni","ISSUE_DT")</f>
        <v>#N/A Requesting Data...</v>
      </c>
      <c r="I689" t="str">
        <f>_xll.BDS("394281AG Muni","MUNI_PURPOSE_SCHED", "aggregate=y")</f>
        <v>#N/A Requesting Data...</v>
      </c>
      <c r="J689" t="str">
        <f>_xll.BDP("394281AG Muni","CPN")</f>
        <v>#N/A Requesting Data...</v>
      </c>
      <c r="K689" t="str">
        <f>_xll.BDP("394281AG Muni","MATURITY")</f>
        <v>#N/A Requesting Data...</v>
      </c>
      <c r="L689">
        <v>200000</v>
      </c>
      <c r="M689" t="str">
        <f>_xll.BDP("394281AG Muni","YIELD_ON_ISSUE_DATE")</f>
        <v>#N/A Requesting Data...</v>
      </c>
      <c r="N689" t="str">
        <f>_xll.BDP("394281AG Muni","YTW_SPREAD_TO_MATURITY_AT_ISSU")</f>
        <v>#N/A Requesting Data...</v>
      </c>
      <c r="O689" t="str">
        <f>_xll.BDP("394281AG Muni","BVAL_MID_YTM")</f>
        <v>#N/A Requesting Data...</v>
      </c>
      <c r="P689" t="str">
        <f>_xll.BDP("394281AG Muni","MUNI_TAX_PROV")</f>
        <v>#N/A Requesting Data...</v>
      </c>
      <c r="Q689" t="str">
        <f>_xll.BDP("394281AG Muni","MUNI_FED_TAX")</f>
        <v>#N/A Requesting Data...</v>
      </c>
      <c r="R689" t="str">
        <f>_xll.BDP("394281AG Muni","MUNI_MSRB_VOLUME")</f>
        <v>#N/A Requesting Data...</v>
      </c>
      <c r="S689" t="str">
        <f>_xll.BDP("394281AG Muni","BB_COMPOSITE")</f>
        <v>#N/A Requesting Data...</v>
      </c>
      <c r="T689" t="str">
        <f>_xll.BDP("394281AG Muni","LQA_LIQUIDITY_SCORE")</f>
        <v>#N/A Requesting Data...</v>
      </c>
    </row>
    <row r="690" spans="1:20" x14ac:dyDescent="0.25">
      <c r="A690" t="str">
        <f>_xll.BDP("394281AH Muni","ID_CUSIP")</f>
        <v>#N/A Requesting Data...</v>
      </c>
      <c r="B690" t="s">
        <v>190</v>
      </c>
      <c r="C690" t="str">
        <f>_xll.BDP("394281AH Muni","INSURANCE_STATUS")</f>
        <v>#N/A Requesting Data...</v>
      </c>
      <c r="D690" t="str">
        <f>_xll.BDP("394281AH Muni","STATE_CODE")</f>
        <v>#N/A Requesting Data...</v>
      </c>
      <c r="E690" t="str">
        <f>_xll.BDP("394281AH Muni","COUNTY_LOCATION_ISSUER")</f>
        <v>#N/A Requesting Data...</v>
      </c>
      <c r="F690" t="str">
        <f>_xll.BDP("394281AH Muni","DUR_ADJ_MID")</f>
        <v>#N/A Requesting Data...</v>
      </c>
      <c r="G690" t="str">
        <f>_xll.BDP("394281AH Muni","SPREAD_AT_ISSUANCE_TO_WORST")</f>
        <v>#N/A Requesting Data...</v>
      </c>
      <c r="H690" t="str">
        <f>_xll.BDP("394281AH Muni","ISSUE_DT")</f>
        <v>#N/A Requesting Data...</v>
      </c>
      <c r="I690" t="str">
        <f>_xll.BDS("394281AH Muni","MUNI_PURPOSE_SCHED", "aggregate=y")</f>
        <v>#N/A Requesting Data...</v>
      </c>
      <c r="J690" t="str">
        <f>_xll.BDP("394281AH Muni","CPN")</f>
        <v>#N/A Requesting Data...</v>
      </c>
      <c r="K690" t="str">
        <f>_xll.BDP("394281AH Muni","MATURITY")</f>
        <v>#N/A Requesting Data...</v>
      </c>
      <c r="L690">
        <v>205000</v>
      </c>
      <c r="M690" t="str">
        <f>_xll.BDP("394281AH Muni","YIELD_ON_ISSUE_DATE")</f>
        <v>#N/A Requesting Data...</v>
      </c>
      <c r="N690" t="str">
        <f>_xll.BDP("394281AH Muni","YTW_SPREAD_TO_MATURITY_AT_ISSU")</f>
        <v>#N/A Requesting Data...</v>
      </c>
      <c r="O690" t="str">
        <f>_xll.BDP("394281AH Muni","BVAL_MID_YTM")</f>
        <v>#N/A Requesting Data...</v>
      </c>
      <c r="P690" t="str">
        <f>_xll.BDP("394281AH Muni","MUNI_TAX_PROV")</f>
        <v>#N/A Requesting Data...</v>
      </c>
      <c r="Q690" t="str">
        <f>_xll.BDP("394281AH Muni","MUNI_FED_TAX")</f>
        <v>#N/A Requesting Data...</v>
      </c>
      <c r="R690" t="str">
        <f>_xll.BDP("394281AH Muni","MUNI_MSRB_VOLUME")</f>
        <v>#N/A Requesting Data...</v>
      </c>
      <c r="S690" t="str">
        <f>_xll.BDP("394281AH Muni","BB_COMPOSITE")</f>
        <v>#N/A Requesting Data...</v>
      </c>
      <c r="T690" t="str">
        <f>_xll.BDP("394281AH Muni","LQA_LIQUIDITY_SCORE")</f>
        <v>#N/A Requesting Data...</v>
      </c>
    </row>
    <row r="691" spans="1:20" x14ac:dyDescent="0.25">
      <c r="A691" t="str">
        <f>_xll.BDP("429164CK Muni","ID_CUSIP")</f>
        <v>#N/A Requesting Data...</v>
      </c>
      <c r="B691" t="s">
        <v>191</v>
      </c>
      <c r="C691" t="str">
        <f>_xll.BDP("429164CK Muni","INSURANCE_STATUS")</f>
        <v>#N/A Requesting Data...</v>
      </c>
      <c r="D691" t="str">
        <f>_xll.BDP("429164CK Muni","STATE_CODE")</f>
        <v>#N/A Requesting Data...</v>
      </c>
      <c r="E691" t="str">
        <f>_xll.BDP("429164CK Muni","COUNTY_LOCATION_ISSUER")</f>
        <v>#N/A Requesting Data...</v>
      </c>
      <c r="F691" t="str">
        <f>_xll.BDP("429164CK Muni","DUR_ADJ_MID")</f>
        <v>#N/A Requesting Data...</v>
      </c>
      <c r="G691" t="str">
        <f>_xll.BDP("429164CK Muni","SPREAD_AT_ISSUANCE_TO_WORST")</f>
        <v>#N/A Requesting Data...</v>
      </c>
      <c r="H691" t="str">
        <f>_xll.BDP("429164CK Muni","ISSUE_DT")</f>
        <v>#N/A Requesting Data...</v>
      </c>
      <c r="I691" t="str">
        <f>_xll.BDS("429164CK Muni","MUNI_PURPOSE_SCHED", "aggregate=y")</f>
        <v>#N/A Requesting Data...</v>
      </c>
      <c r="J691" t="str">
        <f>_xll.BDP("429164CK Muni","CPN")</f>
        <v>#N/A Requesting Data...</v>
      </c>
      <c r="K691" t="str">
        <f>_xll.BDP("429164CK Muni","MATURITY")</f>
        <v>#N/A Requesting Data...</v>
      </c>
      <c r="L691">
        <v>625000</v>
      </c>
      <c r="M691" t="str">
        <f>_xll.BDP("429164CK Muni","YIELD_ON_ISSUE_DATE")</f>
        <v>#N/A Requesting Data...</v>
      </c>
      <c r="N691" t="str">
        <f>_xll.BDP("429164CK Muni","YTW_SPREAD_TO_MATURITY_AT_ISSU")</f>
        <v>#N/A Requesting Data...</v>
      </c>
      <c r="O691" t="str">
        <f>_xll.BDP("429164CK Muni","BVAL_MID_YTM")</f>
        <v>#N/A Requesting Data...</v>
      </c>
      <c r="P691" t="str">
        <f>_xll.BDP("429164CK Muni","MUNI_TAX_PROV")</f>
        <v>#N/A Requesting Data...</v>
      </c>
      <c r="Q691" t="str">
        <f>_xll.BDP("429164CK Muni","MUNI_FED_TAX")</f>
        <v>#N/A Requesting Data...</v>
      </c>
      <c r="R691" t="str">
        <f>_xll.BDP("429164CK Muni","MUNI_MSRB_VOLUME")</f>
        <v>#N/A Requesting Data...</v>
      </c>
      <c r="S691" t="str">
        <f>_xll.BDP("429164CK Muni","BB_COMPOSITE")</f>
        <v>#N/A Requesting Data...</v>
      </c>
      <c r="T691" t="str">
        <f>_xll.BDP("429164CK Muni","LQA_LIQUIDITY_SCORE")</f>
        <v>#N/A Requesting Data...</v>
      </c>
    </row>
    <row r="692" spans="1:20" x14ac:dyDescent="0.25">
      <c r="A692" t="str">
        <f>_xll.BDP("430840ZT Muni","ID_CUSIP")</f>
        <v>#N/A Requesting Data...</v>
      </c>
      <c r="B692" t="s">
        <v>192</v>
      </c>
      <c r="C692" t="str">
        <f>_xll.BDP("430840ZT Muni","INSURANCE_STATUS")</f>
        <v>#N/A Requesting Data...</v>
      </c>
      <c r="D692" t="str">
        <f>_xll.BDP("430840ZT Muni","STATE_CODE")</f>
        <v>#N/A Requesting Data...</v>
      </c>
      <c r="E692" t="str">
        <f>_xll.BDP("430840ZT Muni","COUNTY_LOCATION_ISSUER")</f>
        <v>#N/A Requesting Data...</v>
      </c>
      <c r="F692" t="str">
        <f>_xll.BDP("430840ZT Muni","DUR_ADJ_MID")</f>
        <v>#N/A Requesting Data...</v>
      </c>
      <c r="G692" t="str">
        <f>_xll.BDP("430840ZT Muni","SPREAD_AT_ISSUANCE_TO_WORST")</f>
        <v>#N/A Requesting Data...</v>
      </c>
      <c r="H692" t="str">
        <f>_xll.BDP("430840ZT Muni","ISSUE_DT")</f>
        <v>#N/A Requesting Data...</v>
      </c>
      <c r="I692" t="str">
        <f>_xll.BDS("430840ZT Muni","MUNI_PURPOSE_SCHED", "aggregate=y")</f>
        <v>#N/A Requesting Data...</v>
      </c>
      <c r="J692" t="str">
        <f>_xll.BDP("430840ZT Muni","CPN")</f>
        <v>#N/A Requesting Data...</v>
      </c>
      <c r="K692" t="str">
        <f>_xll.BDP("430840ZT Muni","MATURITY")</f>
        <v>#N/A Requesting Data...</v>
      </c>
      <c r="L692">
        <v>60000</v>
      </c>
      <c r="M692" t="str">
        <f>_xll.BDP("430840ZT Muni","YIELD_ON_ISSUE_DATE")</f>
        <v>#N/A Requesting Data...</v>
      </c>
      <c r="N692" t="str">
        <f>_xll.BDP("430840ZT Muni","YTW_SPREAD_TO_MATURITY_AT_ISSU")</f>
        <v>#N/A Requesting Data...</v>
      </c>
      <c r="O692" t="str">
        <f>_xll.BDP("430840ZT Muni","BVAL_MID_YTM")</f>
        <v>#N/A Requesting Data...</v>
      </c>
      <c r="P692" t="str">
        <f>_xll.BDP("430840ZT Muni","MUNI_TAX_PROV")</f>
        <v>#N/A Requesting Data...</v>
      </c>
      <c r="Q692" t="str">
        <f>_xll.BDP("430840ZT Muni","MUNI_FED_TAX")</f>
        <v>#N/A Requesting Data...</v>
      </c>
      <c r="R692" t="str">
        <f>_xll.BDP("430840ZT Muni","MUNI_MSRB_VOLUME")</f>
        <v>#N/A Requesting Data...</v>
      </c>
      <c r="S692" t="str">
        <f>_xll.BDP("430840ZT Muni","BB_COMPOSITE")</f>
        <v>#N/A Requesting Data...</v>
      </c>
      <c r="T692" t="str">
        <f>_xll.BDP("430840ZT Muni","LQA_LIQUIDITY_SCORE")</f>
        <v>#N/A Requesting Data...</v>
      </c>
    </row>
    <row r="693" spans="1:20" x14ac:dyDescent="0.25">
      <c r="A693" t="str">
        <f>_xll.BDP("430840ZU Muni","ID_CUSIP")</f>
        <v>#N/A Requesting Data...</v>
      </c>
      <c r="B693" t="s">
        <v>192</v>
      </c>
      <c r="C693" t="str">
        <f>_xll.BDP("430840ZU Muni","INSURANCE_STATUS")</f>
        <v>#N/A Requesting Data...</v>
      </c>
      <c r="D693" t="str">
        <f>_xll.BDP("430840ZU Muni","STATE_CODE")</f>
        <v>#N/A Requesting Data...</v>
      </c>
      <c r="E693" t="str">
        <f>_xll.BDP("430840ZU Muni","COUNTY_LOCATION_ISSUER")</f>
        <v>#N/A Requesting Data...</v>
      </c>
      <c r="F693" t="str">
        <f>_xll.BDP("430840ZU Muni","DUR_ADJ_MID")</f>
        <v>#N/A Requesting Data...</v>
      </c>
      <c r="G693" t="str">
        <f>_xll.BDP("430840ZU Muni","SPREAD_AT_ISSUANCE_TO_WORST")</f>
        <v>#N/A Requesting Data...</v>
      </c>
      <c r="H693" t="str">
        <f>_xll.BDP("430840ZU Muni","ISSUE_DT")</f>
        <v>#N/A Requesting Data...</v>
      </c>
      <c r="I693" t="str">
        <f>_xll.BDS("430840ZU Muni","MUNI_PURPOSE_SCHED", "aggregate=y")</f>
        <v>#N/A Requesting Data...</v>
      </c>
      <c r="J693" t="str">
        <f>_xll.BDP("430840ZU Muni","CPN")</f>
        <v>#N/A Requesting Data...</v>
      </c>
      <c r="K693" t="str">
        <f>_xll.BDP("430840ZU Muni","MATURITY")</f>
        <v>#N/A Requesting Data...</v>
      </c>
      <c r="L693">
        <v>70000</v>
      </c>
      <c r="M693" t="str">
        <f>_xll.BDP("430840ZU Muni","YIELD_ON_ISSUE_DATE")</f>
        <v>#N/A Requesting Data...</v>
      </c>
      <c r="N693" t="str">
        <f>_xll.BDP("430840ZU Muni","YTW_SPREAD_TO_MATURITY_AT_ISSU")</f>
        <v>#N/A Requesting Data...</v>
      </c>
      <c r="O693" t="str">
        <f>_xll.BDP("430840ZU Muni","BVAL_MID_YTM")</f>
        <v>#N/A Requesting Data...</v>
      </c>
      <c r="P693" t="str">
        <f>_xll.BDP("430840ZU Muni","MUNI_TAX_PROV")</f>
        <v>#N/A Requesting Data...</v>
      </c>
      <c r="Q693" t="str">
        <f>_xll.BDP("430840ZU Muni","MUNI_FED_TAX")</f>
        <v>#N/A Requesting Data...</v>
      </c>
      <c r="R693" t="str">
        <f>_xll.BDP("430840ZU Muni","MUNI_MSRB_VOLUME")</f>
        <v>#N/A Requesting Data...</v>
      </c>
      <c r="S693" t="str">
        <f>_xll.BDP("430840ZU Muni","BB_COMPOSITE")</f>
        <v>#N/A Requesting Data...</v>
      </c>
      <c r="T693" t="str">
        <f>_xll.BDP("430840ZU Muni","LQA_LIQUIDITY_SCORE")</f>
        <v>#N/A Requesting Data...</v>
      </c>
    </row>
    <row r="694" spans="1:20" x14ac:dyDescent="0.25">
      <c r="A694" t="str">
        <f>_xll.BDP("430840ZV Muni","ID_CUSIP")</f>
        <v>#N/A Requesting Data...</v>
      </c>
      <c r="B694" t="s">
        <v>192</v>
      </c>
      <c r="C694" t="str">
        <f>_xll.BDP("430840ZV Muni","INSURANCE_STATUS")</f>
        <v>#N/A Requesting Data...</v>
      </c>
      <c r="D694" t="str">
        <f>_xll.BDP("430840ZV Muni","STATE_CODE")</f>
        <v>#N/A Requesting Data...</v>
      </c>
      <c r="E694" t="str">
        <f>_xll.BDP("430840ZV Muni","COUNTY_LOCATION_ISSUER")</f>
        <v>#N/A Requesting Data...</v>
      </c>
      <c r="F694" t="str">
        <f>_xll.BDP("430840ZV Muni","DUR_ADJ_MID")</f>
        <v>#N/A Requesting Data...</v>
      </c>
      <c r="G694" t="str">
        <f>_xll.BDP("430840ZV Muni","SPREAD_AT_ISSUANCE_TO_WORST")</f>
        <v>#N/A Requesting Data...</v>
      </c>
      <c r="H694" t="str">
        <f>_xll.BDP("430840ZV Muni","ISSUE_DT")</f>
        <v>#N/A Requesting Data...</v>
      </c>
      <c r="I694" t="str">
        <f>_xll.BDS("430840ZV Muni","MUNI_PURPOSE_SCHED", "aggregate=y")</f>
        <v>#N/A Requesting Data...</v>
      </c>
      <c r="J694" t="str">
        <f>_xll.BDP("430840ZV Muni","CPN")</f>
        <v>#N/A Requesting Data...</v>
      </c>
      <c r="K694" t="str">
        <f>_xll.BDP("430840ZV Muni","MATURITY")</f>
        <v>#N/A Requesting Data...</v>
      </c>
      <c r="L694">
        <v>135000</v>
      </c>
      <c r="M694" t="str">
        <f>_xll.BDP("430840ZV Muni","YIELD_ON_ISSUE_DATE")</f>
        <v>#N/A Requesting Data...</v>
      </c>
      <c r="N694" t="str">
        <f>_xll.BDP("430840ZV Muni","YTW_SPREAD_TO_MATURITY_AT_ISSU")</f>
        <v>#N/A Requesting Data...</v>
      </c>
      <c r="O694" t="str">
        <f>_xll.BDP("430840ZV Muni","BVAL_MID_YTM")</f>
        <v>#N/A Requesting Data...</v>
      </c>
      <c r="P694" t="str">
        <f>_xll.BDP("430840ZV Muni","MUNI_TAX_PROV")</f>
        <v>#N/A Requesting Data...</v>
      </c>
      <c r="Q694" t="str">
        <f>_xll.BDP("430840ZV Muni","MUNI_FED_TAX")</f>
        <v>#N/A Requesting Data...</v>
      </c>
      <c r="R694" t="str">
        <f>_xll.BDP("430840ZV Muni","MUNI_MSRB_VOLUME")</f>
        <v>#N/A Requesting Data...</v>
      </c>
      <c r="S694" t="str">
        <f>_xll.BDP("430840ZV Muni","BB_COMPOSITE")</f>
        <v>#N/A Requesting Data...</v>
      </c>
      <c r="T694" t="str">
        <f>_xll.BDP("430840ZV Muni","LQA_LIQUIDITY_SCORE")</f>
        <v>#N/A Requesting Data...</v>
      </c>
    </row>
    <row r="695" spans="1:20" x14ac:dyDescent="0.25">
      <c r="A695" t="str">
        <f>_xll.BDP("430840ZW Muni","ID_CUSIP")</f>
        <v>#N/A Requesting Data...</v>
      </c>
      <c r="B695" t="s">
        <v>192</v>
      </c>
      <c r="C695" t="str">
        <f>_xll.BDP("430840ZW Muni","INSURANCE_STATUS")</f>
        <v>#N/A Requesting Data...</v>
      </c>
      <c r="D695" t="str">
        <f>_xll.BDP("430840ZW Muni","STATE_CODE")</f>
        <v>#N/A Requesting Data...</v>
      </c>
      <c r="E695" t="str">
        <f>_xll.BDP("430840ZW Muni","COUNTY_LOCATION_ISSUER")</f>
        <v>#N/A Requesting Data...</v>
      </c>
      <c r="F695" t="str">
        <f>_xll.BDP("430840ZW Muni","DUR_ADJ_MID")</f>
        <v>#N/A Requesting Data...</v>
      </c>
      <c r="G695" t="str">
        <f>_xll.BDP("430840ZW Muni","SPREAD_AT_ISSUANCE_TO_WORST")</f>
        <v>#N/A Requesting Data...</v>
      </c>
      <c r="H695" t="str">
        <f>_xll.BDP("430840ZW Muni","ISSUE_DT")</f>
        <v>#N/A Requesting Data...</v>
      </c>
      <c r="I695" t="str">
        <f>_xll.BDS("430840ZW Muni","MUNI_PURPOSE_SCHED", "aggregate=y")</f>
        <v>#N/A Requesting Data...</v>
      </c>
      <c r="J695" t="str">
        <f>_xll.BDP("430840ZW Muni","CPN")</f>
        <v>#N/A Requesting Data...</v>
      </c>
      <c r="K695" t="str">
        <f>_xll.BDP("430840ZW Muni","MATURITY")</f>
        <v>#N/A Requesting Data...</v>
      </c>
      <c r="L695">
        <v>140000</v>
      </c>
      <c r="M695" t="str">
        <f>_xll.BDP("430840ZW Muni","YIELD_ON_ISSUE_DATE")</f>
        <v>#N/A Requesting Data...</v>
      </c>
      <c r="N695" t="str">
        <f>_xll.BDP("430840ZW Muni","YTW_SPREAD_TO_MATURITY_AT_ISSU")</f>
        <v>#N/A Requesting Data...</v>
      </c>
      <c r="O695" t="str">
        <f>_xll.BDP("430840ZW Muni","BVAL_MID_YTM")</f>
        <v>#N/A Requesting Data...</v>
      </c>
      <c r="P695" t="str">
        <f>_xll.BDP("430840ZW Muni","MUNI_TAX_PROV")</f>
        <v>#N/A Requesting Data...</v>
      </c>
      <c r="Q695" t="str">
        <f>_xll.BDP("430840ZW Muni","MUNI_FED_TAX")</f>
        <v>#N/A Requesting Data...</v>
      </c>
      <c r="R695" t="str">
        <f>_xll.BDP("430840ZW Muni","MUNI_MSRB_VOLUME")</f>
        <v>#N/A Requesting Data...</v>
      </c>
      <c r="S695" t="str">
        <f>_xll.BDP("430840ZW Muni","BB_COMPOSITE")</f>
        <v>#N/A Requesting Data...</v>
      </c>
      <c r="T695" t="str">
        <f>_xll.BDP("430840ZW Muni","LQA_LIQUIDITY_SCORE")</f>
        <v>#N/A Requesting Data...</v>
      </c>
    </row>
    <row r="696" spans="1:20" x14ac:dyDescent="0.25">
      <c r="A696" t="str">
        <f>_xll.BDP("430840ZX Muni","ID_CUSIP")</f>
        <v>#N/A Requesting Data...</v>
      </c>
      <c r="B696" t="s">
        <v>192</v>
      </c>
      <c r="C696" t="str">
        <f>_xll.BDP("430840ZX Muni","INSURANCE_STATUS")</f>
        <v>#N/A Requesting Data...</v>
      </c>
      <c r="D696" t="str">
        <f>_xll.BDP("430840ZX Muni","STATE_CODE")</f>
        <v>#N/A Requesting Data...</v>
      </c>
      <c r="E696" t="str">
        <f>_xll.BDP("430840ZX Muni","COUNTY_LOCATION_ISSUER")</f>
        <v>#N/A Requesting Data...</v>
      </c>
      <c r="F696" t="str">
        <f>_xll.BDP("430840ZX Muni","DUR_ADJ_MID")</f>
        <v>#N/A Requesting Data...</v>
      </c>
      <c r="G696" t="str">
        <f>_xll.BDP("430840ZX Muni","SPREAD_AT_ISSUANCE_TO_WORST")</f>
        <v>#N/A Requesting Data...</v>
      </c>
      <c r="H696" t="str">
        <f>_xll.BDP("430840ZX Muni","ISSUE_DT")</f>
        <v>#N/A Requesting Data...</v>
      </c>
      <c r="I696" t="str">
        <f>_xll.BDS("430840ZX Muni","MUNI_PURPOSE_SCHED", "aggregate=y")</f>
        <v>#N/A Requesting Data...</v>
      </c>
      <c r="J696" t="str">
        <f>_xll.BDP("430840ZX Muni","CPN")</f>
        <v>#N/A Requesting Data...</v>
      </c>
      <c r="K696" t="str">
        <f>_xll.BDP("430840ZX Muni","MATURITY")</f>
        <v>#N/A Requesting Data...</v>
      </c>
      <c r="L696">
        <v>145000</v>
      </c>
      <c r="M696" t="str">
        <f>_xll.BDP("430840ZX Muni","YIELD_ON_ISSUE_DATE")</f>
        <v>#N/A Requesting Data...</v>
      </c>
      <c r="N696" t="str">
        <f>_xll.BDP("430840ZX Muni","YTW_SPREAD_TO_MATURITY_AT_ISSU")</f>
        <v>#N/A Requesting Data...</v>
      </c>
      <c r="O696" t="str">
        <f>_xll.BDP("430840ZX Muni","BVAL_MID_YTM")</f>
        <v>#N/A Requesting Data...</v>
      </c>
      <c r="P696" t="str">
        <f>_xll.BDP("430840ZX Muni","MUNI_TAX_PROV")</f>
        <v>#N/A Requesting Data...</v>
      </c>
      <c r="Q696" t="str">
        <f>_xll.BDP("430840ZX Muni","MUNI_FED_TAX")</f>
        <v>#N/A Requesting Data...</v>
      </c>
      <c r="R696" t="str">
        <f>_xll.BDP("430840ZX Muni","MUNI_MSRB_VOLUME")</f>
        <v>#N/A Requesting Data...</v>
      </c>
      <c r="S696" t="str">
        <f>_xll.BDP("430840ZX Muni","BB_COMPOSITE")</f>
        <v>#N/A Requesting Data...</v>
      </c>
      <c r="T696" t="str">
        <f>_xll.BDP("430840ZX Muni","LQA_LIQUIDITY_SCORE")</f>
        <v>#N/A Requesting Data...</v>
      </c>
    </row>
    <row r="697" spans="1:20" x14ac:dyDescent="0.25">
      <c r="A697" t="str">
        <f>_xll.BDP("430840ZY Muni","ID_CUSIP")</f>
        <v>#N/A Requesting Data...</v>
      </c>
      <c r="B697" t="s">
        <v>192</v>
      </c>
      <c r="C697" t="str">
        <f>_xll.BDP("430840ZY Muni","INSURANCE_STATUS")</f>
        <v>#N/A Requesting Data...</v>
      </c>
      <c r="D697" t="str">
        <f>_xll.BDP("430840ZY Muni","STATE_CODE")</f>
        <v>#N/A Requesting Data...</v>
      </c>
      <c r="E697" t="str">
        <f>_xll.BDP("430840ZY Muni","COUNTY_LOCATION_ISSUER")</f>
        <v>#N/A Requesting Data...</v>
      </c>
      <c r="F697" t="str">
        <f>_xll.BDP("430840ZY Muni","DUR_ADJ_MID")</f>
        <v>#N/A Requesting Data...</v>
      </c>
      <c r="G697" t="str">
        <f>_xll.BDP("430840ZY Muni","SPREAD_AT_ISSUANCE_TO_WORST")</f>
        <v>#N/A Requesting Data...</v>
      </c>
      <c r="H697" t="str">
        <f>_xll.BDP("430840ZY Muni","ISSUE_DT")</f>
        <v>#N/A Requesting Data...</v>
      </c>
      <c r="I697" t="str">
        <f>_xll.BDS("430840ZY Muni","MUNI_PURPOSE_SCHED", "aggregate=y")</f>
        <v>#N/A Requesting Data...</v>
      </c>
      <c r="J697" t="str">
        <f>_xll.BDP("430840ZY Muni","CPN")</f>
        <v>#N/A Requesting Data...</v>
      </c>
      <c r="K697" t="str">
        <f>_xll.BDP("430840ZY Muni","MATURITY")</f>
        <v>#N/A Requesting Data...</v>
      </c>
      <c r="L697">
        <v>150000</v>
      </c>
      <c r="M697" t="str">
        <f>_xll.BDP("430840ZY Muni","YIELD_ON_ISSUE_DATE")</f>
        <v>#N/A Requesting Data...</v>
      </c>
      <c r="N697" t="str">
        <f>_xll.BDP("430840ZY Muni","YTW_SPREAD_TO_MATURITY_AT_ISSU")</f>
        <v>#N/A Requesting Data...</v>
      </c>
      <c r="O697" t="str">
        <f>_xll.BDP("430840ZY Muni","BVAL_MID_YTM")</f>
        <v>#N/A Requesting Data...</v>
      </c>
      <c r="P697" t="str">
        <f>_xll.BDP("430840ZY Muni","MUNI_TAX_PROV")</f>
        <v>#N/A Requesting Data...</v>
      </c>
      <c r="Q697" t="str">
        <f>_xll.BDP("430840ZY Muni","MUNI_FED_TAX")</f>
        <v>#N/A Requesting Data...</v>
      </c>
      <c r="R697" t="str">
        <f>_xll.BDP("430840ZY Muni","MUNI_MSRB_VOLUME")</f>
        <v>#N/A Requesting Data...</v>
      </c>
      <c r="S697" t="str">
        <f>_xll.BDP("430840ZY Muni","BB_COMPOSITE")</f>
        <v>#N/A Requesting Data...</v>
      </c>
      <c r="T697" t="str">
        <f>_xll.BDP("430840ZY Muni","LQA_LIQUIDITY_SCORE")</f>
        <v>#N/A Requesting Data...</v>
      </c>
    </row>
    <row r="698" spans="1:20" x14ac:dyDescent="0.25">
      <c r="A698" t="str">
        <f>_xll.BDP("430883DP Muni","ID_CUSIP")</f>
        <v>#N/A Requesting Data...</v>
      </c>
      <c r="B698" t="s">
        <v>193</v>
      </c>
      <c r="C698" t="str">
        <f>_xll.BDP("430883DP Muni","INSURANCE_STATUS")</f>
        <v>#N/A Requesting Data...</v>
      </c>
      <c r="D698" t="str">
        <f>_xll.BDP("430883DP Muni","STATE_CODE")</f>
        <v>#N/A Requesting Data...</v>
      </c>
      <c r="E698" t="str">
        <f>_xll.BDP("430883DP Muni","COUNTY_LOCATION_ISSUER")</f>
        <v>#N/A Requesting Data...</v>
      </c>
      <c r="F698" t="str">
        <f>_xll.BDP("430883DP Muni","DUR_ADJ_MID")</f>
        <v>#N/A Requesting Data...</v>
      </c>
      <c r="G698" t="str">
        <f>_xll.BDP("430883DP Muni","SPREAD_AT_ISSUANCE_TO_WORST")</f>
        <v>#N/A Requesting Data...</v>
      </c>
      <c r="H698" t="str">
        <f>_xll.BDP("430883DP Muni","ISSUE_DT")</f>
        <v>#N/A Requesting Data...</v>
      </c>
      <c r="I698" t="str">
        <f>_xll.BDS("430883DP Muni","MUNI_PURPOSE_SCHED", "aggregate=y")</f>
        <v>#N/A Requesting Data...</v>
      </c>
      <c r="J698" t="str">
        <f>_xll.BDP("430883DP Muni","CPN")</f>
        <v>#N/A Requesting Data...</v>
      </c>
      <c r="K698" t="str">
        <f>_xll.BDP("430883DP Muni","MATURITY")</f>
        <v>#N/A Requesting Data...</v>
      </c>
      <c r="L698">
        <v>125000</v>
      </c>
      <c r="M698" t="str">
        <f>_xll.BDP("430883DP Muni","YIELD_ON_ISSUE_DATE")</f>
        <v>#N/A Requesting Data...</v>
      </c>
      <c r="N698" t="str">
        <f>_xll.BDP("430883DP Muni","YTW_SPREAD_TO_MATURITY_AT_ISSU")</f>
        <v>#N/A Requesting Data...</v>
      </c>
      <c r="O698" t="str">
        <f>_xll.BDP("430883DP Muni","BVAL_MID_YTM")</f>
        <v>#N/A Requesting Data...</v>
      </c>
      <c r="P698" t="str">
        <f>_xll.BDP("430883DP Muni","MUNI_TAX_PROV")</f>
        <v>#N/A Requesting Data...</v>
      </c>
      <c r="Q698" t="str">
        <f>_xll.BDP("430883DP Muni","MUNI_FED_TAX")</f>
        <v>#N/A Requesting Data...</v>
      </c>
      <c r="R698" t="str">
        <f>_xll.BDP("430883DP Muni","MUNI_MSRB_VOLUME")</f>
        <v>#N/A Requesting Data...</v>
      </c>
      <c r="S698" t="str">
        <f>_xll.BDP("430883DP Muni","BB_COMPOSITE")</f>
        <v>#N/A Requesting Data...</v>
      </c>
      <c r="T698" t="str">
        <f>_xll.BDP("430883DP Muni","LQA_LIQUIDITY_SCORE")</f>
        <v>#N/A Requesting Data...</v>
      </c>
    </row>
    <row r="699" spans="1:20" x14ac:dyDescent="0.25">
      <c r="A699" t="str">
        <f>_xll.BDP("430883DQ Muni","ID_CUSIP")</f>
        <v>#N/A Requesting Data...</v>
      </c>
      <c r="B699" t="s">
        <v>193</v>
      </c>
      <c r="C699" t="str">
        <f>_xll.BDP("430883DQ Muni","INSURANCE_STATUS")</f>
        <v>#N/A Requesting Data...</v>
      </c>
      <c r="D699" t="str">
        <f>_xll.BDP("430883DQ Muni","STATE_CODE")</f>
        <v>#N/A Requesting Data...</v>
      </c>
      <c r="E699" t="str">
        <f>_xll.BDP("430883DQ Muni","COUNTY_LOCATION_ISSUER")</f>
        <v>#N/A Requesting Data...</v>
      </c>
      <c r="F699" t="str">
        <f>_xll.BDP("430883DQ Muni","DUR_ADJ_MID")</f>
        <v>#N/A Requesting Data...</v>
      </c>
      <c r="G699" t="str">
        <f>_xll.BDP("430883DQ Muni","SPREAD_AT_ISSUANCE_TO_WORST")</f>
        <v>#N/A Requesting Data...</v>
      </c>
      <c r="H699" t="str">
        <f>_xll.BDP("430883DQ Muni","ISSUE_DT")</f>
        <v>#N/A Requesting Data...</v>
      </c>
      <c r="I699" t="str">
        <f>_xll.BDS("430883DQ Muni","MUNI_PURPOSE_SCHED", "aggregate=y")</f>
        <v>#N/A Requesting Data...</v>
      </c>
      <c r="J699" t="str">
        <f>_xll.BDP("430883DQ Muni","CPN")</f>
        <v>#N/A Requesting Data...</v>
      </c>
      <c r="K699" t="str">
        <f>_xll.BDP("430883DQ Muni","MATURITY")</f>
        <v>#N/A Requesting Data...</v>
      </c>
      <c r="L699">
        <v>130000</v>
      </c>
      <c r="M699" t="str">
        <f>_xll.BDP("430883DQ Muni","YIELD_ON_ISSUE_DATE")</f>
        <v>#N/A Requesting Data...</v>
      </c>
      <c r="N699" t="str">
        <f>_xll.BDP("430883DQ Muni","YTW_SPREAD_TO_MATURITY_AT_ISSU")</f>
        <v>#N/A Requesting Data...</v>
      </c>
      <c r="O699" t="str">
        <f>_xll.BDP("430883DQ Muni","BVAL_MID_YTM")</f>
        <v>#N/A Requesting Data...</v>
      </c>
      <c r="P699" t="str">
        <f>_xll.BDP("430883DQ Muni","MUNI_TAX_PROV")</f>
        <v>#N/A Requesting Data...</v>
      </c>
      <c r="Q699" t="str">
        <f>_xll.BDP("430883DQ Muni","MUNI_FED_TAX")</f>
        <v>#N/A Requesting Data...</v>
      </c>
      <c r="R699" t="str">
        <f>_xll.BDP("430883DQ Muni","MUNI_MSRB_VOLUME")</f>
        <v>#N/A Requesting Data...</v>
      </c>
      <c r="S699" t="str">
        <f>_xll.BDP("430883DQ Muni","BB_COMPOSITE")</f>
        <v>#N/A Requesting Data...</v>
      </c>
      <c r="T699" t="str">
        <f>_xll.BDP("430883DQ Muni","LQA_LIQUIDITY_SCORE")</f>
        <v>#N/A Requesting Data...</v>
      </c>
    </row>
    <row r="700" spans="1:20" x14ac:dyDescent="0.25">
      <c r="A700" t="str">
        <f>_xll.BDP("431164GY Muni","ID_CUSIP")</f>
        <v>#N/A Requesting Data...</v>
      </c>
      <c r="B700" t="s">
        <v>194</v>
      </c>
      <c r="C700" t="str">
        <f>_xll.BDP("431164GY Muni","INSURANCE_STATUS")</f>
        <v>#N/A Requesting Data...</v>
      </c>
      <c r="D700" t="str">
        <f>_xll.BDP("431164GY Muni","STATE_CODE")</f>
        <v>#N/A Requesting Data...</v>
      </c>
      <c r="E700" t="str">
        <f>_xll.BDP("431164GY Muni","COUNTY_LOCATION_ISSUER")</f>
        <v>#N/A Requesting Data...</v>
      </c>
      <c r="F700" t="str">
        <f>_xll.BDP("431164GY Muni","DUR_ADJ_MID")</f>
        <v>#N/A Requesting Data...</v>
      </c>
      <c r="G700" t="str">
        <f>_xll.BDP("431164GY Muni","SPREAD_AT_ISSUANCE_TO_WORST")</f>
        <v>#N/A Requesting Data...</v>
      </c>
      <c r="H700" t="str">
        <f>_xll.BDP("431164GY Muni","ISSUE_DT")</f>
        <v>#N/A Requesting Data...</v>
      </c>
      <c r="I700" t="str">
        <f>_xll.BDS("431164GY Muni","MUNI_PURPOSE_SCHED", "aggregate=y")</f>
        <v>#N/A Requesting Data...</v>
      </c>
      <c r="J700" t="str">
        <f>_xll.BDP("431164GY Muni","CPN")</f>
        <v>#N/A Requesting Data...</v>
      </c>
      <c r="K700" t="str">
        <f>_xll.BDP("431164GY Muni","MATURITY")</f>
        <v>#N/A Requesting Data...</v>
      </c>
      <c r="L700">
        <v>550000</v>
      </c>
      <c r="M700" t="str">
        <f>_xll.BDP("431164GY Muni","YIELD_ON_ISSUE_DATE")</f>
        <v>#N/A Requesting Data...</v>
      </c>
      <c r="N700" t="str">
        <f>_xll.BDP("431164GY Muni","YTW_SPREAD_TO_MATURITY_AT_ISSU")</f>
        <v>#N/A Requesting Data...</v>
      </c>
      <c r="O700" t="str">
        <f>_xll.BDP("431164GY Muni","BVAL_MID_YTM")</f>
        <v>#N/A Requesting Data...</v>
      </c>
      <c r="P700" t="str">
        <f>_xll.BDP("431164GY Muni","MUNI_TAX_PROV")</f>
        <v>#N/A Requesting Data...</v>
      </c>
      <c r="Q700" t="str">
        <f>_xll.BDP("431164GY Muni","MUNI_FED_TAX")</f>
        <v>#N/A Requesting Data...</v>
      </c>
      <c r="R700" t="str">
        <f>_xll.BDP("431164GY Muni","MUNI_MSRB_VOLUME")</f>
        <v>#N/A Requesting Data...</v>
      </c>
      <c r="S700" t="str">
        <f>_xll.BDP("431164GY Muni","BB_COMPOSITE")</f>
        <v>#N/A Requesting Data...</v>
      </c>
      <c r="T700" t="str">
        <f>_xll.BDP("431164GY Muni","LQA_LIQUIDITY_SCORE")</f>
        <v>#N/A Requesting Data...</v>
      </c>
    </row>
    <row r="701" spans="1:20" x14ac:dyDescent="0.25">
      <c r="A701" t="str">
        <f>_xll.BDP("431164GZ Muni","ID_CUSIP")</f>
        <v>#N/A Requesting Data...</v>
      </c>
      <c r="B701" t="s">
        <v>194</v>
      </c>
      <c r="C701" t="str">
        <f>_xll.BDP("431164GZ Muni","INSURANCE_STATUS")</f>
        <v>#N/A Requesting Data...</v>
      </c>
      <c r="D701" t="str">
        <f>_xll.BDP("431164GZ Muni","STATE_CODE")</f>
        <v>#N/A Requesting Data...</v>
      </c>
      <c r="E701" t="str">
        <f>_xll.BDP("431164GZ Muni","COUNTY_LOCATION_ISSUER")</f>
        <v>#N/A Requesting Data...</v>
      </c>
      <c r="F701" t="str">
        <f>_xll.BDP("431164GZ Muni","DUR_ADJ_MID")</f>
        <v>#N/A Requesting Data...</v>
      </c>
      <c r="G701" t="str">
        <f>_xll.BDP("431164GZ Muni","SPREAD_AT_ISSUANCE_TO_WORST")</f>
        <v>#N/A Requesting Data...</v>
      </c>
      <c r="H701" t="str">
        <f>_xll.BDP("431164GZ Muni","ISSUE_DT")</f>
        <v>#N/A Requesting Data...</v>
      </c>
      <c r="I701" t="str">
        <f>_xll.BDS("431164GZ Muni","MUNI_PURPOSE_SCHED", "aggregate=y")</f>
        <v>#N/A Requesting Data...</v>
      </c>
      <c r="J701" t="str">
        <f>_xll.BDP("431164GZ Muni","CPN")</f>
        <v>#N/A Requesting Data...</v>
      </c>
      <c r="K701" t="str">
        <f>_xll.BDP("431164GZ Muni","MATURITY")</f>
        <v>#N/A Requesting Data...</v>
      </c>
      <c r="L701">
        <v>555000</v>
      </c>
      <c r="M701" t="str">
        <f>_xll.BDP("431164GZ Muni","YIELD_ON_ISSUE_DATE")</f>
        <v>#N/A Requesting Data...</v>
      </c>
      <c r="N701" t="str">
        <f>_xll.BDP("431164GZ Muni","YTW_SPREAD_TO_MATURITY_AT_ISSU")</f>
        <v>#N/A Requesting Data...</v>
      </c>
      <c r="O701" t="str">
        <f>_xll.BDP("431164GZ Muni","BVAL_MID_YTM")</f>
        <v>#N/A Requesting Data...</v>
      </c>
      <c r="P701" t="str">
        <f>_xll.BDP("431164GZ Muni","MUNI_TAX_PROV")</f>
        <v>#N/A Requesting Data...</v>
      </c>
      <c r="Q701" t="str">
        <f>_xll.BDP("431164GZ Muni","MUNI_FED_TAX")</f>
        <v>#N/A Requesting Data...</v>
      </c>
      <c r="R701" t="str">
        <f>_xll.BDP("431164GZ Muni","MUNI_MSRB_VOLUME")</f>
        <v>#N/A Requesting Data...</v>
      </c>
      <c r="S701" t="str">
        <f>_xll.BDP("431164GZ Muni","BB_COMPOSITE")</f>
        <v>#N/A Requesting Data...</v>
      </c>
      <c r="T701" t="str">
        <f>_xll.BDP("431164GZ Muni","LQA_LIQUIDITY_SCORE")</f>
        <v>#N/A Requesting Data...</v>
      </c>
    </row>
    <row r="702" spans="1:20" x14ac:dyDescent="0.25">
      <c r="A702" t="str">
        <f>_xll.BDP("431164HA Muni","ID_CUSIP")</f>
        <v>#N/A Requesting Data...</v>
      </c>
      <c r="B702" t="s">
        <v>194</v>
      </c>
      <c r="C702" t="str">
        <f>_xll.BDP("431164HA Muni","INSURANCE_STATUS")</f>
        <v>#N/A Requesting Data...</v>
      </c>
      <c r="D702" t="str">
        <f>_xll.BDP("431164HA Muni","STATE_CODE")</f>
        <v>#N/A Requesting Data...</v>
      </c>
      <c r="E702" t="str">
        <f>_xll.BDP("431164HA Muni","COUNTY_LOCATION_ISSUER")</f>
        <v>#N/A Requesting Data...</v>
      </c>
      <c r="F702" t="str">
        <f>_xll.BDP("431164HA Muni","DUR_ADJ_MID")</f>
        <v>#N/A Requesting Data...</v>
      </c>
      <c r="G702" t="str">
        <f>_xll.BDP("431164HA Muni","SPREAD_AT_ISSUANCE_TO_WORST")</f>
        <v>#N/A Requesting Data...</v>
      </c>
      <c r="H702" t="str">
        <f>_xll.BDP("431164HA Muni","ISSUE_DT")</f>
        <v>#N/A Requesting Data...</v>
      </c>
      <c r="I702" t="str">
        <f>_xll.BDS("431164HA Muni","MUNI_PURPOSE_SCHED", "aggregate=y")</f>
        <v>#N/A Requesting Data...</v>
      </c>
      <c r="J702" t="str">
        <f>_xll.BDP("431164HA Muni","CPN")</f>
        <v>#N/A Requesting Data...</v>
      </c>
      <c r="K702" t="str">
        <f>_xll.BDP("431164HA Muni","MATURITY")</f>
        <v>#N/A Requesting Data...</v>
      </c>
      <c r="L702">
        <v>555000</v>
      </c>
      <c r="M702" t="str">
        <f>_xll.BDP("431164HA Muni","YIELD_ON_ISSUE_DATE")</f>
        <v>#N/A Requesting Data...</v>
      </c>
      <c r="N702" t="str">
        <f>_xll.BDP("431164HA Muni","YTW_SPREAD_TO_MATURITY_AT_ISSU")</f>
        <v>#N/A Requesting Data...</v>
      </c>
      <c r="O702" t="str">
        <f>_xll.BDP("431164HA Muni","BVAL_MID_YTM")</f>
        <v>#N/A Requesting Data...</v>
      </c>
      <c r="P702" t="str">
        <f>_xll.BDP("431164HA Muni","MUNI_TAX_PROV")</f>
        <v>#N/A Requesting Data...</v>
      </c>
      <c r="Q702" t="str">
        <f>_xll.BDP("431164HA Muni","MUNI_FED_TAX")</f>
        <v>#N/A Requesting Data...</v>
      </c>
      <c r="R702" t="str">
        <f>_xll.BDP("431164HA Muni","MUNI_MSRB_VOLUME")</f>
        <v>#N/A Requesting Data...</v>
      </c>
      <c r="S702" t="str">
        <f>_xll.BDP("431164HA Muni","BB_COMPOSITE")</f>
        <v>#N/A Requesting Data...</v>
      </c>
      <c r="T702" t="str">
        <f>_xll.BDP("431164HA Muni","LQA_LIQUIDITY_SCORE")</f>
        <v>#N/A Requesting Data...</v>
      </c>
    </row>
    <row r="703" spans="1:20" x14ac:dyDescent="0.25">
      <c r="A703" t="str">
        <f>_xll.BDP("43235QAC Muni","ID_CUSIP")</f>
        <v>#N/A Requesting Data...</v>
      </c>
      <c r="B703" t="s">
        <v>195</v>
      </c>
      <c r="C703" t="str">
        <f>_xll.BDP("43235QAC Muni","INSURANCE_STATUS")</f>
        <v>#N/A Requesting Data...</v>
      </c>
      <c r="D703" t="str">
        <f>_xll.BDP("43235QAC Muni","STATE_CODE")</f>
        <v>#N/A Requesting Data...</v>
      </c>
      <c r="E703" t="str">
        <f>_xll.BDP("43235QAC Muni","COUNTY_LOCATION_ISSUER")</f>
        <v>#N/A Requesting Data...</v>
      </c>
      <c r="F703" t="str">
        <f>_xll.BDP("43235QAC Muni","DUR_ADJ_MID")</f>
        <v>#N/A Requesting Data...</v>
      </c>
      <c r="G703" t="str">
        <f>_xll.BDP("43235QAC Muni","SPREAD_AT_ISSUANCE_TO_WORST")</f>
        <v>#N/A Requesting Data...</v>
      </c>
      <c r="H703" t="str">
        <f>_xll.BDP("43235QAC Muni","ISSUE_DT")</f>
        <v>#N/A Requesting Data...</v>
      </c>
      <c r="I703" t="str">
        <f>_xll.BDS("43235QAC Muni","MUNI_PURPOSE_SCHED", "aggregate=y")</f>
        <v>#N/A Requesting Data...</v>
      </c>
      <c r="J703" t="str">
        <f>_xll.BDP("43235QAC Muni","CPN")</f>
        <v>#N/A Requesting Data...</v>
      </c>
      <c r="K703" t="str">
        <f>_xll.BDP("43235QAC Muni","MATURITY")</f>
        <v>#N/A Requesting Data...</v>
      </c>
      <c r="L703">
        <v>30000</v>
      </c>
      <c r="M703" t="str">
        <f>_xll.BDP("43235QAC Muni","YIELD_ON_ISSUE_DATE")</f>
        <v>#N/A Requesting Data...</v>
      </c>
      <c r="N703" t="str">
        <f>_xll.BDP("43235QAC Muni","YTW_SPREAD_TO_MATURITY_AT_ISSU")</f>
        <v>#N/A Requesting Data...</v>
      </c>
      <c r="O703" t="str">
        <f>_xll.BDP("43235QAC Muni","BVAL_MID_YTM")</f>
        <v>#N/A Requesting Data...</v>
      </c>
      <c r="P703" t="str">
        <f>_xll.BDP("43235QAC Muni","MUNI_TAX_PROV")</f>
        <v>#N/A Requesting Data...</v>
      </c>
      <c r="Q703" t="str">
        <f>_xll.BDP("43235QAC Muni","MUNI_FED_TAX")</f>
        <v>#N/A Requesting Data...</v>
      </c>
      <c r="R703" t="str">
        <f>_xll.BDP("43235QAC Muni","MUNI_MSRB_VOLUME")</f>
        <v>#N/A Requesting Data...</v>
      </c>
      <c r="S703" t="str">
        <f>_xll.BDP("43235QAC Muni","BB_COMPOSITE")</f>
        <v>#N/A Requesting Data...</v>
      </c>
      <c r="T703" t="str">
        <f>_xll.BDP("43235QAC Muni","LQA_LIQUIDITY_SCORE")</f>
        <v>#N/A Requesting Data...</v>
      </c>
    </row>
    <row r="704" spans="1:20" x14ac:dyDescent="0.25">
      <c r="A704" t="str">
        <f>_xll.BDP("43235QAD Muni","ID_CUSIP")</f>
        <v>#N/A Requesting Data...</v>
      </c>
      <c r="B704" t="s">
        <v>195</v>
      </c>
      <c r="C704" t="str">
        <f>_xll.BDP("43235QAD Muni","INSURANCE_STATUS")</f>
        <v>#N/A Requesting Data...</v>
      </c>
      <c r="D704" t="str">
        <f>_xll.BDP("43235QAD Muni","STATE_CODE")</f>
        <v>#N/A Requesting Data...</v>
      </c>
      <c r="E704" t="str">
        <f>_xll.BDP("43235QAD Muni","COUNTY_LOCATION_ISSUER")</f>
        <v>#N/A Requesting Data...</v>
      </c>
      <c r="F704" t="str">
        <f>_xll.BDP("43235QAD Muni","DUR_ADJ_MID")</f>
        <v>#N/A Requesting Data...</v>
      </c>
      <c r="G704" t="str">
        <f>_xll.BDP("43235QAD Muni","SPREAD_AT_ISSUANCE_TO_WORST")</f>
        <v>#N/A Requesting Data...</v>
      </c>
      <c r="H704" t="str">
        <f>_xll.BDP("43235QAD Muni","ISSUE_DT")</f>
        <v>#N/A Requesting Data...</v>
      </c>
      <c r="I704" t="str">
        <f>_xll.BDS("43235QAD Muni","MUNI_PURPOSE_SCHED", "aggregate=y")</f>
        <v>#N/A Requesting Data...</v>
      </c>
      <c r="J704" t="str">
        <f>_xll.BDP("43235QAD Muni","CPN")</f>
        <v>#N/A Requesting Data...</v>
      </c>
      <c r="K704" t="str">
        <f>_xll.BDP("43235QAD Muni","MATURITY")</f>
        <v>#N/A Requesting Data...</v>
      </c>
      <c r="L704">
        <v>30000</v>
      </c>
      <c r="M704" t="str">
        <f>_xll.BDP("43235QAD Muni","YIELD_ON_ISSUE_DATE")</f>
        <v>#N/A Requesting Data...</v>
      </c>
      <c r="N704" t="str">
        <f>_xll.BDP("43235QAD Muni","YTW_SPREAD_TO_MATURITY_AT_ISSU")</f>
        <v>#N/A Requesting Data...</v>
      </c>
      <c r="O704" t="str">
        <f>_xll.BDP("43235QAD Muni","BVAL_MID_YTM")</f>
        <v>#N/A Requesting Data...</v>
      </c>
      <c r="P704" t="str">
        <f>_xll.BDP("43235QAD Muni","MUNI_TAX_PROV")</f>
        <v>#N/A Requesting Data...</v>
      </c>
      <c r="Q704" t="str">
        <f>_xll.BDP("43235QAD Muni","MUNI_FED_TAX")</f>
        <v>#N/A Requesting Data...</v>
      </c>
      <c r="R704" t="str">
        <f>_xll.BDP("43235QAD Muni","MUNI_MSRB_VOLUME")</f>
        <v>#N/A Requesting Data...</v>
      </c>
      <c r="S704" t="str">
        <f>_xll.BDP("43235QAD Muni","BB_COMPOSITE")</f>
        <v>#N/A Requesting Data...</v>
      </c>
      <c r="T704" t="str">
        <f>_xll.BDP("43235QAD Muni","LQA_LIQUIDITY_SCORE")</f>
        <v>#N/A Requesting Data...</v>
      </c>
    </row>
    <row r="705" spans="1:20" x14ac:dyDescent="0.25">
      <c r="A705" t="str">
        <f>_xll.BDP("43235QAE Muni","ID_CUSIP")</f>
        <v>#N/A Requesting Data...</v>
      </c>
      <c r="B705" t="s">
        <v>195</v>
      </c>
      <c r="C705" t="str">
        <f>_xll.BDP("43235QAE Muni","INSURANCE_STATUS")</f>
        <v>#N/A Requesting Data...</v>
      </c>
      <c r="D705" t="str">
        <f>_xll.BDP("43235QAE Muni","STATE_CODE")</f>
        <v>#N/A Requesting Data...</v>
      </c>
      <c r="E705" t="str">
        <f>_xll.BDP("43235QAE Muni","COUNTY_LOCATION_ISSUER")</f>
        <v>#N/A Requesting Data...</v>
      </c>
      <c r="F705" t="str">
        <f>_xll.BDP("43235QAE Muni","DUR_ADJ_MID")</f>
        <v>#N/A Requesting Data...</v>
      </c>
      <c r="G705" t="str">
        <f>_xll.BDP("43235QAE Muni","SPREAD_AT_ISSUANCE_TO_WORST")</f>
        <v>#N/A Requesting Data...</v>
      </c>
      <c r="H705" t="str">
        <f>_xll.BDP("43235QAE Muni","ISSUE_DT")</f>
        <v>#N/A Requesting Data...</v>
      </c>
      <c r="I705" t="str">
        <f>_xll.BDS("43235QAE Muni","MUNI_PURPOSE_SCHED", "aggregate=y")</f>
        <v>#N/A Requesting Data...</v>
      </c>
      <c r="J705" t="str">
        <f>_xll.BDP("43235QAE Muni","CPN")</f>
        <v>#N/A Requesting Data...</v>
      </c>
      <c r="K705" t="str">
        <f>_xll.BDP("43235QAE Muni","MATURITY")</f>
        <v>#N/A Requesting Data...</v>
      </c>
      <c r="L705">
        <v>30000</v>
      </c>
      <c r="M705" t="str">
        <f>_xll.BDP("43235QAE Muni","YIELD_ON_ISSUE_DATE")</f>
        <v>#N/A Requesting Data...</v>
      </c>
      <c r="N705" t="str">
        <f>_xll.BDP("43235QAE Muni","YTW_SPREAD_TO_MATURITY_AT_ISSU")</f>
        <v>#N/A Requesting Data...</v>
      </c>
      <c r="O705" t="str">
        <f>_xll.BDP("43235QAE Muni","BVAL_MID_YTM")</f>
        <v>#N/A Requesting Data...</v>
      </c>
      <c r="P705" t="str">
        <f>_xll.BDP("43235QAE Muni","MUNI_TAX_PROV")</f>
        <v>#N/A Requesting Data...</v>
      </c>
      <c r="Q705" t="str">
        <f>_xll.BDP("43235QAE Muni","MUNI_FED_TAX")</f>
        <v>#N/A Requesting Data...</v>
      </c>
      <c r="R705" t="str">
        <f>_xll.BDP("43235QAE Muni","MUNI_MSRB_VOLUME")</f>
        <v>#N/A Requesting Data...</v>
      </c>
      <c r="S705" t="str">
        <f>_xll.BDP("43235QAE Muni","BB_COMPOSITE")</f>
        <v>#N/A Requesting Data...</v>
      </c>
      <c r="T705" t="str">
        <f>_xll.BDP("43235QAE Muni","LQA_LIQUIDITY_SCORE")</f>
        <v>#N/A Requesting Data...</v>
      </c>
    </row>
    <row r="706" spans="1:20" x14ac:dyDescent="0.25">
      <c r="A706" t="str">
        <f>_xll.BDP("43235QAF Muni","ID_CUSIP")</f>
        <v>#N/A Requesting Data...</v>
      </c>
      <c r="B706" t="s">
        <v>195</v>
      </c>
      <c r="C706" t="str">
        <f>_xll.BDP("43235QAF Muni","INSURANCE_STATUS")</f>
        <v>#N/A Requesting Data...</v>
      </c>
      <c r="D706" t="str">
        <f>_xll.BDP("43235QAF Muni","STATE_CODE")</f>
        <v>#N/A Requesting Data...</v>
      </c>
      <c r="E706" t="str">
        <f>_xll.BDP("43235QAF Muni","COUNTY_LOCATION_ISSUER")</f>
        <v>#N/A Requesting Data...</v>
      </c>
      <c r="F706" t="str">
        <f>_xll.BDP("43235QAF Muni","DUR_ADJ_MID")</f>
        <v>#N/A Requesting Data...</v>
      </c>
      <c r="G706" t="str">
        <f>_xll.BDP("43235QAF Muni","SPREAD_AT_ISSUANCE_TO_WORST")</f>
        <v>#N/A Requesting Data...</v>
      </c>
      <c r="H706" t="str">
        <f>_xll.BDP("43235QAF Muni","ISSUE_DT")</f>
        <v>#N/A Requesting Data...</v>
      </c>
      <c r="I706" t="str">
        <f>_xll.BDS("43235QAF Muni","MUNI_PURPOSE_SCHED", "aggregate=y")</f>
        <v>#N/A Requesting Data...</v>
      </c>
      <c r="J706" t="str">
        <f>_xll.BDP("43235QAF Muni","CPN")</f>
        <v>#N/A Requesting Data...</v>
      </c>
      <c r="K706" t="str">
        <f>_xll.BDP("43235QAF Muni","MATURITY")</f>
        <v>#N/A Requesting Data...</v>
      </c>
      <c r="L706">
        <v>30000</v>
      </c>
      <c r="M706" t="str">
        <f>_xll.BDP("43235QAF Muni","YIELD_ON_ISSUE_DATE")</f>
        <v>#N/A Requesting Data...</v>
      </c>
      <c r="N706" t="str">
        <f>_xll.BDP("43235QAF Muni","YTW_SPREAD_TO_MATURITY_AT_ISSU")</f>
        <v>#N/A Requesting Data...</v>
      </c>
      <c r="O706" t="str">
        <f>_xll.BDP("43235QAF Muni","BVAL_MID_YTM")</f>
        <v>#N/A Requesting Data...</v>
      </c>
      <c r="P706" t="str">
        <f>_xll.BDP("43235QAF Muni","MUNI_TAX_PROV")</f>
        <v>#N/A Requesting Data...</v>
      </c>
      <c r="Q706" t="str">
        <f>_xll.BDP("43235QAF Muni","MUNI_FED_TAX")</f>
        <v>#N/A Requesting Data...</v>
      </c>
      <c r="R706" t="str">
        <f>_xll.BDP("43235QAF Muni","MUNI_MSRB_VOLUME")</f>
        <v>#N/A Requesting Data...</v>
      </c>
      <c r="S706" t="str">
        <f>_xll.BDP("43235QAF Muni","BB_COMPOSITE")</f>
        <v>#N/A Requesting Data...</v>
      </c>
      <c r="T706" t="str">
        <f>_xll.BDP("43235QAF Muni","LQA_LIQUIDITY_SCORE")</f>
        <v>#N/A Requesting Data...</v>
      </c>
    </row>
    <row r="707" spans="1:20" x14ac:dyDescent="0.25">
      <c r="A707" t="str">
        <f>_xll.BDP("43235QAG Muni","ID_CUSIP")</f>
        <v>#N/A Requesting Data...</v>
      </c>
      <c r="B707" t="s">
        <v>195</v>
      </c>
      <c r="C707" t="str">
        <f>_xll.BDP("43235QAG Muni","INSURANCE_STATUS")</f>
        <v>#N/A Requesting Data...</v>
      </c>
      <c r="D707" t="str">
        <f>_xll.BDP("43235QAG Muni","STATE_CODE")</f>
        <v>#N/A Requesting Data...</v>
      </c>
      <c r="E707" t="str">
        <f>_xll.BDP("43235QAG Muni","COUNTY_LOCATION_ISSUER")</f>
        <v>#N/A Requesting Data...</v>
      </c>
      <c r="F707" t="str">
        <f>_xll.BDP("43235QAG Muni","DUR_ADJ_MID")</f>
        <v>#N/A Requesting Data...</v>
      </c>
      <c r="G707" t="str">
        <f>_xll.BDP("43235QAG Muni","SPREAD_AT_ISSUANCE_TO_WORST")</f>
        <v>#N/A Requesting Data...</v>
      </c>
      <c r="H707" t="str">
        <f>_xll.BDP("43235QAG Muni","ISSUE_DT")</f>
        <v>#N/A Requesting Data...</v>
      </c>
      <c r="I707" t="str">
        <f>_xll.BDS("43235QAG Muni","MUNI_PURPOSE_SCHED", "aggregate=y")</f>
        <v>#N/A Requesting Data...</v>
      </c>
      <c r="J707" t="str">
        <f>_xll.BDP("43235QAG Muni","CPN")</f>
        <v>#N/A Requesting Data...</v>
      </c>
      <c r="K707" t="str">
        <f>_xll.BDP("43235QAG Muni","MATURITY")</f>
        <v>#N/A Requesting Data...</v>
      </c>
      <c r="L707">
        <v>35000</v>
      </c>
      <c r="M707" t="str">
        <f>_xll.BDP("43235QAG Muni","YIELD_ON_ISSUE_DATE")</f>
        <v>#N/A Requesting Data...</v>
      </c>
      <c r="N707" t="str">
        <f>_xll.BDP("43235QAG Muni","YTW_SPREAD_TO_MATURITY_AT_ISSU")</f>
        <v>#N/A Requesting Data...</v>
      </c>
      <c r="O707" t="str">
        <f>_xll.BDP("43235QAG Muni","BVAL_MID_YTM")</f>
        <v>#N/A Requesting Data...</v>
      </c>
      <c r="P707" t="str">
        <f>_xll.BDP("43235QAG Muni","MUNI_TAX_PROV")</f>
        <v>#N/A Requesting Data...</v>
      </c>
      <c r="Q707" t="str">
        <f>_xll.BDP("43235QAG Muni","MUNI_FED_TAX")</f>
        <v>#N/A Requesting Data...</v>
      </c>
      <c r="R707" t="str">
        <f>_xll.BDP("43235QAG Muni","MUNI_MSRB_VOLUME")</f>
        <v>#N/A Requesting Data...</v>
      </c>
      <c r="S707" t="str">
        <f>_xll.BDP("43235QAG Muni","BB_COMPOSITE")</f>
        <v>#N/A Requesting Data...</v>
      </c>
      <c r="T707" t="str">
        <f>_xll.BDP("43235QAG Muni","LQA_LIQUIDITY_SCORE")</f>
        <v>#N/A Requesting Data...</v>
      </c>
    </row>
    <row r="708" spans="1:20" x14ac:dyDescent="0.25">
      <c r="A708" t="str">
        <f>_xll.BDP("43235QAH Muni","ID_CUSIP")</f>
        <v>#N/A Requesting Data...</v>
      </c>
      <c r="B708" t="s">
        <v>195</v>
      </c>
      <c r="C708" t="str">
        <f>_xll.BDP("43235QAH Muni","INSURANCE_STATUS")</f>
        <v>#N/A Requesting Data...</v>
      </c>
      <c r="D708" t="str">
        <f>_xll.BDP("43235QAH Muni","STATE_CODE")</f>
        <v>#N/A Requesting Data...</v>
      </c>
      <c r="E708" t="str">
        <f>_xll.BDP("43235QAH Muni","COUNTY_LOCATION_ISSUER")</f>
        <v>#N/A Requesting Data...</v>
      </c>
      <c r="F708" t="str">
        <f>_xll.BDP("43235QAH Muni","DUR_ADJ_MID")</f>
        <v>#N/A Requesting Data...</v>
      </c>
      <c r="G708" t="str">
        <f>_xll.BDP("43235QAH Muni","SPREAD_AT_ISSUANCE_TO_WORST")</f>
        <v>#N/A Requesting Data...</v>
      </c>
      <c r="H708" t="str">
        <f>_xll.BDP("43235QAH Muni","ISSUE_DT")</f>
        <v>#N/A Requesting Data...</v>
      </c>
      <c r="I708" t="str">
        <f>_xll.BDS("43235QAH Muni","MUNI_PURPOSE_SCHED", "aggregate=y")</f>
        <v>#N/A Requesting Data...</v>
      </c>
      <c r="J708" t="str">
        <f>_xll.BDP("43235QAH Muni","CPN")</f>
        <v>#N/A Requesting Data...</v>
      </c>
      <c r="K708" t="str">
        <f>_xll.BDP("43235QAH Muni","MATURITY")</f>
        <v>#N/A Requesting Data...</v>
      </c>
      <c r="L708">
        <v>35000</v>
      </c>
      <c r="M708" t="str">
        <f>_xll.BDP("43235QAH Muni","YIELD_ON_ISSUE_DATE")</f>
        <v>#N/A Requesting Data...</v>
      </c>
      <c r="N708" t="str">
        <f>_xll.BDP("43235QAH Muni","YTW_SPREAD_TO_MATURITY_AT_ISSU")</f>
        <v>#N/A Requesting Data...</v>
      </c>
      <c r="O708" t="str">
        <f>_xll.BDP("43235QAH Muni","BVAL_MID_YTM")</f>
        <v>#N/A Requesting Data...</v>
      </c>
      <c r="P708" t="str">
        <f>_xll.BDP("43235QAH Muni","MUNI_TAX_PROV")</f>
        <v>#N/A Requesting Data...</v>
      </c>
      <c r="Q708" t="str">
        <f>_xll.BDP("43235QAH Muni","MUNI_FED_TAX")</f>
        <v>#N/A Requesting Data...</v>
      </c>
      <c r="R708" t="str">
        <f>_xll.BDP("43235QAH Muni","MUNI_MSRB_VOLUME")</f>
        <v>#N/A Requesting Data...</v>
      </c>
      <c r="S708" t="str">
        <f>_xll.BDP("43235QAH Muni","BB_COMPOSITE")</f>
        <v>#N/A Requesting Data...</v>
      </c>
      <c r="T708" t="str">
        <f>_xll.BDP("43235QAH Muni","LQA_LIQUIDITY_SCORE")</f>
        <v>#N/A Requesting Data...</v>
      </c>
    </row>
    <row r="709" spans="1:20" x14ac:dyDescent="0.25">
      <c r="A709" t="str">
        <f>_xll.BDP("43235QAJ Muni","ID_CUSIP")</f>
        <v>#N/A Requesting Data...</v>
      </c>
      <c r="B709" t="s">
        <v>195</v>
      </c>
      <c r="C709" t="str">
        <f>_xll.BDP("43235QAJ Muni","INSURANCE_STATUS")</f>
        <v>#N/A Requesting Data...</v>
      </c>
      <c r="D709" t="str">
        <f>_xll.BDP("43235QAJ Muni","STATE_CODE")</f>
        <v>#N/A Requesting Data...</v>
      </c>
      <c r="E709" t="str">
        <f>_xll.BDP("43235QAJ Muni","COUNTY_LOCATION_ISSUER")</f>
        <v>#N/A Requesting Data...</v>
      </c>
      <c r="F709" t="str">
        <f>_xll.BDP("43235QAJ Muni","DUR_ADJ_MID")</f>
        <v>#N/A Requesting Data...</v>
      </c>
      <c r="G709" t="str">
        <f>_xll.BDP("43235QAJ Muni","SPREAD_AT_ISSUANCE_TO_WORST")</f>
        <v>#N/A Requesting Data...</v>
      </c>
      <c r="H709" t="str">
        <f>_xll.BDP("43235QAJ Muni","ISSUE_DT")</f>
        <v>#N/A Requesting Data...</v>
      </c>
      <c r="I709" t="str">
        <f>_xll.BDS("43235QAJ Muni","MUNI_PURPOSE_SCHED", "aggregate=y")</f>
        <v>#N/A Requesting Data...</v>
      </c>
      <c r="J709" t="str">
        <f>_xll.BDP("43235QAJ Muni","CPN")</f>
        <v>#N/A Requesting Data...</v>
      </c>
      <c r="K709" t="str">
        <f>_xll.BDP("43235QAJ Muni","MATURITY")</f>
        <v>#N/A Requesting Data...</v>
      </c>
      <c r="L709">
        <v>40000</v>
      </c>
      <c r="M709" t="str">
        <f>_xll.BDP("43235QAJ Muni","YIELD_ON_ISSUE_DATE")</f>
        <v>#N/A Requesting Data...</v>
      </c>
      <c r="N709" t="str">
        <f>_xll.BDP("43235QAJ Muni","YTW_SPREAD_TO_MATURITY_AT_ISSU")</f>
        <v>#N/A Requesting Data...</v>
      </c>
      <c r="O709" t="str">
        <f>_xll.BDP("43235QAJ Muni","BVAL_MID_YTM")</f>
        <v>#N/A Requesting Data...</v>
      </c>
      <c r="P709" t="str">
        <f>_xll.BDP("43235QAJ Muni","MUNI_TAX_PROV")</f>
        <v>#N/A Requesting Data...</v>
      </c>
      <c r="Q709" t="str">
        <f>_xll.BDP("43235QAJ Muni","MUNI_FED_TAX")</f>
        <v>#N/A Requesting Data...</v>
      </c>
      <c r="R709" t="str">
        <f>_xll.BDP("43235QAJ Muni","MUNI_MSRB_VOLUME")</f>
        <v>#N/A Requesting Data...</v>
      </c>
      <c r="S709" t="str">
        <f>_xll.BDP("43235QAJ Muni","BB_COMPOSITE")</f>
        <v>#N/A Requesting Data...</v>
      </c>
      <c r="T709" t="str">
        <f>_xll.BDP("43235QAJ Muni","LQA_LIQUIDITY_SCORE")</f>
        <v>#N/A Requesting Data...</v>
      </c>
    </row>
    <row r="710" spans="1:20" x14ac:dyDescent="0.25">
      <c r="A710" t="str">
        <f>_xll.BDP("43384MAD Muni","ID_CUSIP")</f>
        <v>#N/A Requesting Data...</v>
      </c>
      <c r="B710" t="s">
        <v>196</v>
      </c>
      <c r="C710" t="str">
        <f>_xll.BDP("43384MAD Muni","INSURANCE_STATUS")</f>
        <v>#N/A Requesting Data...</v>
      </c>
      <c r="D710" t="str">
        <f>_xll.BDP("43384MAD Muni","STATE_CODE")</f>
        <v>#N/A Requesting Data...</v>
      </c>
      <c r="E710" t="str">
        <f>_xll.BDP("43384MAD Muni","COUNTY_LOCATION_ISSUER")</f>
        <v>#N/A Requesting Data...</v>
      </c>
      <c r="F710" t="str">
        <f>_xll.BDP("43384MAD Muni","DUR_ADJ_MID")</f>
        <v>#N/A Requesting Data...</v>
      </c>
      <c r="G710" t="str">
        <f>_xll.BDP("43384MAD Muni","SPREAD_AT_ISSUANCE_TO_WORST")</f>
        <v>#N/A Requesting Data...</v>
      </c>
      <c r="H710" t="str">
        <f>_xll.BDP("43384MAD Muni","ISSUE_DT")</f>
        <v>#N/A Requesting Data...</v>
      </c>
      <c r="I710" t="str">
        <f>_xll.BDS("43384MAD Muni","MUNI_PURPOSE_SCHED", "aggregate=y")</f>
        <v>#N/A Requesting Data...</v>
      </c>
      <c r="J710" t="str">
        <f>_xll.BDP("43384MAD Muni","CPN")</f>
        <v>#N/A Requesting Data...</v>
      </c>
      <c r="K710" t="str">
        <f>_xll.BDP("43384MAD Muni","MATURITY")</f>
        <v>#N/A Requesting Data...</v>
      </c>
      <c r="L710">
        <v>110000</v>
      </c>
      <c r="M710" t="str">
        <f>_xll.BDP("43384MAD Muni","YIELD_ON_ISSUE_DATE")</f>
        <v>#N/A Requesting Data...</v>
      </c>
      <c r="N710" t="str">
        <f>_xll.BDP("43384MAD Muni","YTW_SPREAD_TO_MATURITY_AT_ISSU")</f>
        <v>#N/A Requesting Data...</v>
      </c>
      <c r="O710" t="str">
        <f>_xll.BDP("43384MAD Muni","BVAL_MID_YTM")</f>
        <v>#N/A Requesting Data...</v>
      </c>
      <c r="P710" t="str">
        <f>_xll.BDP("43384MAD Muni","MUNI_TAX_PROV")</f>
        <v>#N/A Requesting Data...</v>
      </c>
      <c r="Q710" t="str">
        <f>_xll.BDP("43384MAD Muni","MUNI_FED_TAX")</f>
        <v>#N/A Requesting Data...</v>
      </c>
      <c r="R710" t="str">
        <f>_xll.BDP("43384MAD Muni","MUNI_MSRB_VOLUME")</f>
        <v>#N/A Requesting Data...</v>
      </c>
      <c r="S710" t="str">
        <f>_xll.BDP("43384MAD Muni","BB_COMPOSITE")</f>
        <v>#N/A Requesting Data...</v>
      </c>
      <c r="T710" t="str">
        <f>_xll.BDP("43384MAD Muni","LQA_LIQUIDITY_SCORE")</f>
        <v>#N/A Requesting Data...</v>
      </c>
    </row>
    <row r="711" spans="1:20" x14ac:dyDescent="0.25">
      <c r="A711" t="str">
        <f>_xll.BDP("43384MAE Muni","ID_CUSIP")</f>
        <v>#N/A Requesting Data...</v>
      </c>
      <c r="B711" t="s">
        <v>196</v>
      </c>
      <c r="C711" t="str">
        <f>_xll.BDP("43384MAE Muni","INSURANCE_STATUS")</f>
        <v>#N/A Requesting Data...</v>
      </c>
      <c r="D711" t="str">
        <f>_xll.BDP("43384MAE Muni","STATE_CODE")</f>
        <v>#N/A Requesting Data...</v>
      </c>
      <c r="E711" t="str">
        <f>_xll.BDP("43384MAE Muni","COUNTY_LOCATION_ISSUER")</f>
        <v>#N/A Requesting Data...</v>
      </c>
      <c r="F711" t="str">
        <f>_xll.BDP("43384MAE Muni","DUR_ADJ_MID")</f>
        <v>#N/A Requesting Data...</v>
      </c>
      <c r="G711" t="str">
        <f>_xll.BDP("43384MAE Muni","SPREAD_AT_ISSUANCE_TO_WORST")</f>
        <v>#N/A Requesting Data...</v>
      </c>
      <c r="H711" t="str">
        <f>_xll.BDP("43384MAE Muni","ISSUE_DT")</f>
        <v>#N/A Requesting Data...</v>
      </c>
      <c r="I711" t="str">
        <f>_xll.BDS("43384MAE Muni","MUNI_PURPOSE_SCHED", "aggregate=y")</f>
        <v>#N/A Requesting Data...</v>
      </c>
      <c r="J711" t="str">
        <f>_xll.BDP("43384MAE Muni","CPN")</f>
        <v>#N/A Requesting Data...</v>
      </c>
      <c r="K711" t="str">
        <f>_xll.BDP("43384MAE Muni","MATURITY")</f>
        <v>#N/A Requesting Data...</v>
      </c>
      <c r="L711">
        <v>115000</v>
      </c>
      <c r="M711" t="str">
        <f>_xll.BDP("43384MAE Muni","YIELD_ON_ISSUE_DATE")</f>
        <v>#N/A Requesting Data...</v>
      </c>
      <c r="N711" t="str">
        <f>_xll.BDP("43384MAE Muni","YTW_SPREAD_TO_MATURITY_AT_ISSU")</f>
        <v>#N/A Requesting Data...</v>
      </c>
      <c r="O711" t="str">
        <f>_xll.BDP("43384MAE Muni","BVAL_MID_YTM")</f>
        <v>#N/A Requesting Data...</v>
      </c>
      <c r="P711" t="str">
        <f>_xll.BDP("43384MAE Muni","MUNI_TAX_PROV")</f>
        <v>#N/A Requesting Data...</v>
      </c>
      <c r="Q711" t="str">
        <f>_xll.BDP("43384MAE Muni","MUNI_FED_TAX")</f>
        <v>#N/A Requesting Data...</v>
      </c>
      <c r="R711" t="str">
        <f>_xll.BDP("43384MAE Muni","MUNI_MSRB_VOLUME")</f>
        <v>#N/A Requesting Data...</v>
      </c>
      <c r="S711" t="str">
        <f>_xll.BDP("43384MAE Muni","BB_COMPOSITE")</f>
        <v>#N/A Requesting Data...</v>
      </c>
      <c r="T711" t="str">
        <f>_xll.BDP("43384MAE Muni","LQA_LIQUIDITY_SCORE")</f>
        <v>#N/A Requesting Data...</v>
      </c>
    </row>
    <row r="712" spans="1:20" x14ac:dyDescent="0.25">
      <c r="A712" t="str">
        <f>_xll.BDP("43384MAF Muni","ID_CUSIP")</f>
        <v>#N/A Requesting Data...</v>
      </c>
      <c r="B712" t="s">
        <v>196</v>
      </c>
      <c r="C712" t="str">
        <f>_xll.BDP("43384MAF Muni","INSURANCE_STATUS")</f>
        <v>#N/A Requesting Data...</v>
      </c>
      <c r="D712" t="str">
        <f>_xll.BDP("43384MAF Muni","STATE_CODE")</f>
        <v>#N/A Requesting Data...</v>
      </c>
      <c r="E712" t="str">
        <f>_xll.BDP("43384MAF Muni","COUNTY_LOCATION_ISSUER")</f>
        <v>#N/A Requesting Data...</v>
      </c>
      <c r="F712" t="str">
        <f>_xll.BDP("43384MAF Muni","DUR_ADJ_MID")</f>
        <v>#N/A Requesting Data...</v>
      </c>
      <c r="G712" t="str">
        <f>_xll.BDP("43384MAF Muni","SPREAD_AT_ISSUANCE_TO_WORST")</f>
        <v>#N/A Requesting Data...</v>
      </c>
      <c r="H712" t="str">
        <f>_xll.BDP("43384MAF Muni","ISSUE_DT")</f>
        <v>#N/A Requesting Data...</v>
      </c>
      <c r="I712" t="str">
        <f>_xll.BDS("43384MAF Muni","MUNI_PURPOSE_SCHED", "aggregate=y")</f>
        <v>#N/A Requesting Data...</v>
      </c>
      <c r="J712" t="str">
        <f>_xll.BDP("43384MAF Muni","CPN")</f>
        <v>#N/A Requesting Data...</v>
      </c>
      <c r="K712" t="str">
        <f>_xll.BDP("43384MAF Muni","MATURITY")</f>
        <v>#N/A Requesting Data...</v>
      </c>
      <c r="L712">
        <v>120000</v>
      </c>
      <c r="M712" t="str">
        <f>_xll.BDP("43384MAF Muni","YIELD_ON_ISSUE_DATE")</f>
        <v>#N/A Requesting Data...</v>
      </c>
      <c r="N712" t="str">
        <f>_xll.BDP("43384MAF Muni","YTW_SPREAD_TO_MATURITY_AT_ISSU")</f>
        <v>#N/A Requesting Data...</v>
      </c>
      <c r="O712" t="str">
        <f>_xll.BDP("43384MAF Muni","BVAL_MID_YTM")</f>
        <v>#N/A Requesting Data...</v>
      </c>
      <c r="P712" t="str">
        <f>_xll.BDP("43384MAF Muni","MUNI_TAX_PROV")</f>
        <v>#N/A Requesting Data...</v>
      </c>
      <c r="Q712" t="str">
        <f>_xll.BDP("43384MAF Muni","MUNI_FED_TAX")</f>
        <v>#N/A Requesting Data...</v>
      </c>
      <c r="R712" t="str">
        <f>_xll.BDP("43384MAF Muni","MUNI_MSRB_VOLUME")</f>
        <v>#N/A Requesting Data...</v>
      </c>
      <c r="S712" t="str">
        <f>_xll.BDP("43384MAF Muni","BB_COMPOSITE")</f>
        <v>#N/A Requesting Data...</v>
      </c>
      <c r="T712" t="str">
        <f>_xll.BDP("43384MAF Muni","LQA_LIQUIDITY_SCORE")</f>
        <v>#N/A Requesting Data...</v>
      </c>
    </row>
    <row r="713" spans="1:20" x14ac:dyDescent="0.25">
      <c r="A713" t="str">
        <f>_xll.BDP("43384MAG Muni","ID_CUSIP")</f>
        <v>#N/A Requesting Data...</v>
      </c>
      <c r="B713" t="s">
        <v>196</v>
      </c>
      <c r="C713" t="str">
        <f>_xll.BDP("43384MAG Muni","INSURANCE_STATUS")</f>
        <v>#N/A Requesting Data...</v>
      </c>
      <c r="D713" t="str">
        <f>_xll.BDP("43384MAG Muni","STATE_CODE")</f>
        <v>#N/A Requesting Data...</v>
      </c>
      <c r="E713" t="str">
        <f>_xll.BDP("43384MAG Muni","COUNTY_LOCATION_ISSUER")</f>
        <v>#N/A Requesting Data...</v>
      </c>
      <c r="F713" t="str">
        <f>_xll.BDP("43384MAG Muni","DUR_ADJ_MID")</f>
        <v>#N/A Requesting Data...</v>
      </c>
      <c r="G713" t="str">
        <f>_xll.BDP("43384MAG Muni","SPREAD_AT_ISSUANCE_TO_WORST")</f>
        <v>#N/A Requesting Data...</v>
      </c>
      <c r="H713" t="str">
        <f>_xll.BDP("43384MAG Muni","ISSUE_DT")</f>
        <v>#N/A Requesting Data...</v>
      </c>
      <c r="I713" t="str">
        <f>_xll.BDS("43384MAG Muni","MUNI_PURPOSE_SCHED", "aggregate=y")</f>
        <v>#N/A Requesting Data...</v>
      </c>
      <c r="J713" t="str">
        <f>_xll.BDP("43384MAG Muni","CPN")</f>
        <v>#N/A Requesting Data...</v>
      </c>
      <c r="K713" t="str">
        <f>_xll.BDP("43384MAG Muni","MATURITY")</f>
        <v>#N/A Requesting Data...</v>
      </c>
      <c r="L713">
        <v>125000</v>
      </c>
      <c r="M713" t="str">
        <f>_xll.BDP("43384MAG Muni","YIELD_ON_ISSUE_DATE")</f>
        <v>#N/A Requesting Data...</v>
      </c>
      <c r="N713" t="str">
        <f>_xll.BDP("43384MAG Muni","YTW_SPREAD_TO_MATURITY_AT_ISSU")</f>
        <v>#N/A Requesting Data...</v>
      </c>
      <c r="O713" t="str">
        <f>_xll.BDP("43384MAG Muni","BVAL_MID_YTM")</f>
        <v>#N/A Requesting Data...</v>
      </c>
      <c r="P713" t="str">
        <f>_xll.BDP("43384MAG Muni","MUNI_TAX_PROV")</f>
        <v>#N/A Requesting Data...</v>
      </c>
      <c r="Q713" t="str">
        <f>_xll.BDP("43384MAG Muni","MUNI_FED_TAX")</f>
        <v>#N/A Requesting Data...</v>
      </c>
      <c r="R713" t="str">
        <f>_xll.BDP("43384MAG Muni","MUNI_MSRB_VOLUME")</f>
        <v>#N/A Requesting Data...</v>
      </c>
      <c r="S713" t="str">
        <f>_xll.BDP("43384MAG Muni","BB_COMPOSITE")</f>
        <v>#N/A Requesting Data...</v>
      </c>
      <c r="T713" t="str">
        <f>_xll.BDP("43384MAG Muni","LQA_LIQUIDITY_SCORE")</f>
        <v>#N/A Requesting Data...</v>
      </c>
    </row>
    <row r="714" spans="1:20" x14ac:dyDescent="0.25">
      <c r="A714" t="str">
        <f>_xll.BDP("43384MAH Muni","ID_CUSIP")</f>
        <v>#N/A Requesting Data...</v>
      </c>
      <c r="B714" t="s">
        <v>196</v>
      </c>
      <c r="C714" t="str">
        <f>_xll.BDP("43384MAH Muni","INSURANCE_STATUS")</f>
        <v>#N/A Requesting Data...</v>
      </c>
      <c r="D714" t="str">
        <f>_xll.BDP("43384MAH Muni","STATE_CODE")</f>
        <v>#N/A Requesting Data...</v>
      </c>
      <c r="E714" t="str">
        <f>_xll.BDP("43384MAH Muni","COUNTY_LOCATION_ISSUER")</f>
        <v>#N/A Requesting Data...</v>
      </c>
      <c r="F714" t="str">
        <f>_xll.BDP("43384MAH Muni","DUR_ADJ_MID")</f>
        <v>#N/A Requesting Data...</v>
      </c>
      <c r="G714" t="str">
        <f>_xll.BDP("43384MAH Muni","SPREAD_AT_ISSUANCE_TO_WORST")</f>
        <v>#N/A Requesting Data...</v>
      </c>
      <c r="H714" t="str">
        <f>_xll.BDP("43384MAH Muni","ISSUE_DT")</f>
        <v>#N/A Requesting Data...</v>
      </c>
      <c r="I714" t="str">
        <f>_xll.BDS("43384MAH Muni","MUNI_PURPOSE_SCHED", "aggregate=y")</f>
        <v>#N/A Requesting Data...</v>
      </c>
      <c r="J714" t="str">
        <f>_xll.BDP("43384MAH Muni","CPN")</f>
        <v>#N/A Requesting Data...</v>
      </c>
      <c r="K714" t="str">
        <f>_xll.BDP("43384MAH Muni","MATURITY")</f>
        <v>#N/A Requesting Data...</v>
      </c>
      <c r="L714">
        <v>130000</v>
      </c>
      <c r="M714" t="str">
        <f>_xll.BDP("43384MAH Muni","YIELD_ON_ISSUE_DATE")</f>
        <v>#N/A Requesting Data...</v>
      </c>
      <c r="N714" t="str">
        <f>_xll.BDP("43384MAH Muni","YTW_SPREAD_TO_MATURITY_AT_ISSU")</f>
        <v>#N/A Requesting Data...</v>
      </c>
      <c r="O714" t="str">
        <f>_xll.BDP("43384MAH Muni","BVAL_MID_YTM")</f>
        <v>#N/A Requesting Data...</v>
      </c>
      <c r="P714" t="str">
        <f>_xll.BDP("43384MAH Muni","MUNI_TAX_PROV")</f>
        <v>#N/A Requesting Data...</v>
      </c>
      <c r="Q714" t="str">
        <f>_xll.BDP("43384MAH Muni","MUNI_FED_TAX")</f>
        <v>#N/A Requesting Data...</v>
      </c>
      <c r="R714" t="str">
        <f>_xll.BDP("43384MAH Muni","MUNI_MSRB_VOLUME")</f>
        <v>#N/A Requesting Data...</v>
      </c>
      <c r="S714" t="str">
        <f>_xll.BDP("43384MAH Muni","BB_COMPOSITE")</f>
        <v>#N/A Requesting Data...</v>
      </c>
      <c r="T714" t="str">
        <f>_xll.BDP("43384MAH Muni","LQA_LIQUIDITY_SCORE")</f>
        <v>#N/A Requesting Data...</v>
      </c>
    </row>
    <row r="715" spans="1:20" x14ac:dyDescent="0.25">
      <c r="A715" t="str">
        <f>_xll.BDP("434830SW Muni","ID_CUSIP")</f>
        <v>#N/A Requesting Data...</v>
      </c>
      <c r="B715" t="s">
        <v>197</v>
      </c>
      <c r="C715" t="str">
        <f>_xll.BDP("434830SW Muni","INSURANCE_STATUS")</f>
        <v>#N/A Requesting Data...</v>
      </c>
      <c r="D715" t="str">
        <f>_xll.BDP("434830SW Muni","STATE_CODE")</f>
        <v>#N/A Requesting Data...</v>
      </c>
      <c r="E715" t="str">
        <f>_xll.BDP("434830SW Muni","COUNTY_LOCATION_ISSUER")</f>
        <v>#N/A Requesting Data...</v>
      </c>
      <c r="F715" t="str">
        <f>_xll.BDP("434830SW Muni","DUR_ADJ_MID")</f>
        <v>#N/A Requesting Data...</v>
      </c>
      <c r="G715" t="str">
        <f>_xll.BDP("434830SW Muni","SPREAD_AT_ISSUANCE_TO_WORST")</f>
        <v>#N/A Requesting Data...</v>
      </c>
      <c r="H715" t="str">
        <f>_xll.BDP("434830SW Muni","ISSUE_DT")</f>
        <v>#N/A Requesting Data...</v>
      </c>
      <c r="I715" t="str">
        <f>_xll.BDS("434830SW Muni","MUNI_PURPOSE_SCHED", "aggregate=y")</f>
        <v>#N/A Requesting Data...</v>
      </c>
      <c r="J715" t="str">
        <f>_xll.BDP("434830SW Muni","CPN")</f>
        <v>#N/A Requesting Data...</v>
      </c>
      <c r="K715" t="str">
        <f>_xll.BDP("434830SW Muni","MATURITY")</f>
        <v>#N/A Requesting Data...</v>
      </c>
      <c r="L715">
        <v>200000</v>
      </c>
      <c r="M715" t="str">
        <f>_xll.BDP("434830SW Muni","YIELD_ON_ISSUE_DATE")</f>
        <v>#N/A Requesting Data...</v>
      </c>
      <c r="N715" t="str">
        <f>_xll.BDP("434830SW Muni","YTW_SPREAD_TO_MATURITY_AT_ISSU")</f>
        <v>#N/A Requesting Data...</v>
      </c>
      <c r="O715" t="str">
        <f>_xll.BDP("434830SW Muni","BVAL_MID_YTM")</f>
        <v>#N/A Requesting Data...</v>
      </c>
      <c r="P715" t="str">
        <f>_xll.BDP("434830SW Muni","MUNI_TAX_PROV")</f>
        <v>#N/A Requesting Data...</v>
      </c>
      <c r="Q715" t="str">
        <f>_xll.BDP("434830SW Muni","MUNI_FED_TAX")</f>
        <v>#N/A Requesting Data...</v>
      </c>
      <c r="R715" t="str">
        <f>_xll.BDP("434830SW Muni","MUNI_MSRB_VOLUME")</f>
        <v>#N/A Requesting Data...</v>
      </c>
      <c r="S715" t="str">
        <f>_xll.BDP("434830SW Muni","BB_COMPOSITE")</f>
        <v>#N/A Requesting Data...</v>
      </c>
      <c r="T715" t="str">
        <f>_xll.BDP("434830SW Muni","LQA_LIQUIDITY_SCORE")</f>
        <v>#N/A Requesting Data...</v>
      </c>
    </row>
    <row r="716" spans="1:20" x14ac:dyDescent="0.25">
      <c r="A716" t="str">
        <f>_xll.BDP("434830SX Muni","ID_CUSIP")</f>
        <v>#N/A Requesting Data...</v>
      </c>
      <c r="B716" t="s">
        <v>197</v>
      </c>
      <c r="C716" t="str">
        <f>_xll.BDP("434830SX Muni","INSURANCE_STATUS")</f>
        <v>#N/A Requesting Data...</v>
      </c>
      <c r="D716" t="str">
        <f>_xll.BDP("434830SX Muni","STATE_CODE")</f>
        <v>#N/A Requesting Data...</v>
      </c>
      <c r="E716" t="str">
        <f>_xll.BDP("434830SX Muni","COUNTY_LOCATION_ISSUER")</f>
        <v>#N/A Requesting Data...</v>
      </c>
      <c r="F716" t="str">
        <f>_xll.BDP("434830SX Muni","DUR_ADJ_MID")</f>
        <v>#N/A Requesting Data...</v>
      </c>
      <c r="G716" t="str">
        <f>_xll.BDP("434830SX Muni","SPREAD_AT_ISSUANCE_TO_WORST")</f>
        <v>#N/A Requesting Data...</v>
      </c>
      <c r="H716" t="str">
        <f>_xll.BDP("434830SX Muni","ISSUE_DT")</f>
        <v>#N/A Requesting Data...</v>
      </c>
      <c r="I716" t="str">
        <f>_xll.BDS("434830SX Muni","MUNI_PURPOSE_SCHED", "aggregate=y")</f>
        <v>#N/A Requesting Data...</v>
      </c>
      <c r="J716" t="str">
        <f>_xll.BDP("434830SX Muni","CPN")</f>
        <v>#N/A Requesting Data...</v>
      </c>
      <c r="K716" t="str">
        <f>_xll.BDP("434830SX Muni","MATURITY")</f>
        <v>#N/A Requesting Data...</v>
      </c>
      <c r="L716">
        <v>95000</v>
      </c>
      <c r="M716" t="str">
        <f>_xll.BDP("434830SX Muni","YIELD_ON_ISSUE_DATE")</f>
        <v>#N/A Requesting Data...</v>
      </c>
      <c r="N716" t="str">
        <f>_xll.BDP("434830SX Muni","YTW_SPREAD_TO_MATURITY_AT_ISSU")</f>
        <v>#N/A Requesting Data...</v>
      </c>
      <c r="O716" t="str">
        <f>_xll.BDP("434830SX Muni","BVAL_MID_YTM")</f>
        <v>#N/A Requesting Data...</v>
      </c>
      <c r="P716" t="str">
        <f>_xll.BDP("434830SX Muni","MUNI_TAX_PROV")</f>
        <v>#N/A Requesting Data...</v>
      </c>
      <c r="Q716" t="str">
        <f>_xll.BDP("434830SX Muni","MUNI_FED_TAX")</f>
        <v>#N/A Requesting Data...</v>
      </c>
      <c r="R716" t="str">
        <f>_xll.BDP("434830SX Muni","MUNI_MSRB_VOLUME")</f>
        <v>#N/A Requesting Data...</v>
      </c>
      <c r="S716" t="str">
        <f>_xll.BDP("434830SX Muni","BB_COMPOSITE")</f>
        <v>#N/A Requesting Data...</v>
      </c>
      <c r="T716" t="str">
        <f>_xll.BDP("434830SX Muni","LQA_LIQUIDITY_SCORE")</f>
        <v>#N/A Requesting Data...</v>
      </c>
    </row>
    <row r="717" spans="1:20" x14ac:dyDescent="0.25">
      <c r="A717" t="str">
        <f>_xll.BDP("434830SY Muni","ID_CUSIP")</f>
        <v>#N/A Requesting Data...</v>
      </c>
      <c r="B717" t="s">
        <v>197</v>
      </c>
      <c r="C717" t="str">
        <f>_xll.BDP("434830SY Muni","INSURANCE_STATUS")</f>
        <v>#N/A Requesting Data...</v>
      </c>
      <c r="D717" t="str">
        <f>_xll.BDP("434830SY Muni","STATE_CODE")</f>
        <v>#N/A Requesting Data...</v>
      </c>
      <c r="E717" t="str">
        <f>_xll.BDP("434830SY Muni","COUNTY_LOCATION_ISSUER")</f>
        <v>#N/A Requesting Data...</v>
      </c>
      <c r="F717" t="str">
        <f>_xll.BDP("434830SY Muni","DUR_ADJ_MID")</f>
        <v>#N/A Requesting Data...</v>
      </c>
      <c r="G717" t="str">
        <f>_xll.BDP("434830SY Muni","SPREAD_AT_ISSUANCE_TO_WORST")</f>
        <v>#N/A Requesting Data...</v>
      </c>
      <c r="H717" t="str">
        <f>_xll.BDP("434830SY Muni","ISSUE_DT")</f>
        <v>#N/A Requesting Data...</v>
      </c>
      <c r="I717" t="str">
        <f>_xll.BDS("434830SY Muni","MUNI_PURPOSE_SCHED", "aggregate=y")</f>
        <v>#N/A Requesting Data...</v>
      </c>
      <c r="J717" t="str">
        <f>_xll.BDP("434830SY Muni","CPN")</f>
        <v>#N/A Requesting Data...</v>
      </c>
      <c r="K717" t="str">
        <f>_xll.BDP("434830SY Muni","MATURITY")</f>
        <v>#N/A Requesting Data...</v>
      </c>
      <c r="L717">
        <v>95000</v>
      </c>
      <c r="M717" t="str">
        <f>_xll.BDP("434830SY Muni","YIELD_ON_ISSUE_DATE")</f>
        <v>#N/A Requesting Data...</v>
      </c>
      <c r="N717" t="str">
        <f>_xll.BDP("434830SY Muni","YTW_SPREAD_TO_MATURITY_AT_ISSU")</f>
        <v>#N/A Requesting Data...</v>
      </c>
      <c r="O717" t="str">
        <f>_xll.BDP("434830SY Muni","BVAL_MID_YTM")</f>
        <v>#N/A Requesting Data...</v>
      </c>
      <c r="P717" t="str">
        <f>_xll.BDP("434830SY Muni","MUNI_TAX_PROV")</f>
        <v>#N/A Requesting Data...</v>
      </c>
      <c r="Q717" t="str">
        <f>_xll.BDP("434830SY Muni","MUNI_FED_TAX")</f>
        <v>#N/A Requesting Data...</v>
      </c>
      <c r="R717" t="str">
        <f>_xll.BDP("434830SY Muni","MUNI_MSRB_VOLUME")</f>
        <v>#N/A Requesting Data...</v>
      </c>
      <c r="S717" t="str">
        <f>_xll.BDP("434830SY Muni","BB_COMPOSITE")</f>
        <v>#N/A Requesting Data...</v>
      </c>
      <c r="T717" t="str">
        <f>_xll.BDP("434830SY Muni","LQA_LIQUIDITY_SCORE")</f>
        <v>#N/A Requesting Data...</v>
      </c>
    </row>
    <row r="718" spans="1:20" x14ac:dyDescent="0.25">
      <c r="A718" t="str">
        <f>_xll.BDP("434830SZ Muni","ID_CUSIP")</f>
        <v>#N/A Requesting Data...</v>
      </c>
      <c r="B718" t="s">
        <v>197</v>
      </c>
      <c r="C718" t="str">
        <f>_xll.BDP("434830SZ Muni","INSURANCE_STATUS")</f>
        <v>#N/A Requesting Data...</v>
      </c>
      <c r="D718" t="str">
        <f>_xll.BDP("434830SZ Muni","STATE_CODE")</f>
        <v>#N/A Requesting Data...</v>
      </c>
      <c r="E718" t="str">
        <f>_xll.BDP("434830SZ Muni","COUNTY_LOCATION_ISSUER")</f>
        <v>#N/A Requesting Data...</v>
      </c>
      <c r="F718" t="str">
        <f>_xll.BDP("434830SZ Muni","DUR_ADJ_MID")</f>
        <v>#N/A Requesting Data...</v>
      </c>
      <c r="G718" t="str">
        <f>_xll.BDP("434830SZ Muni","SPREAD_AT_ISSUANCE_TO_WORST")</f>
        <v>#N/A Requesting Data...</v>
      </c>
      <c r="H718" t="str">
        <f>_xll.BDP("434830SZ Muni","ISSUE_DT")</f>
        <v>#N/A Requesting Data...</v>
      </c>
      <c r="I718" t="str">
        <f>_xll.BDS("434830SZ Muni","MUNI_PURPOSE_SCHED", "aggregate=y")</f>
        <v>#N/A Requesting Data...</v>
      </c>
      <c r="J718" t="str">
        <f>_xll.BDP("434830SZ Muni","CPN")</f>
        <v>#N/A Requesting Data...</v>
      </c>
      <c r="K718" t="str">
        <f>_xll.BDP("434830SZ Muni","MATURITY")</f>
        <v>#N/A Requesting Data...</v>
      </c>
      <c r="L718">
        <v>95000</v>
      </c>
      <c r="M718" t="str">
        <f>_xll.BDP("434830SZ Muni","YIELD_ON_ISSUE_DATE")</f>
        <v>#N/A Requesting Data...</v>
      </c>
      <c r="N718" t="str">
        <f>_xll.BDP("434830SZ Muni","YTW_SPREAD_TO_MATURITY_AT_ISSU")</f>
        <v>#N/A Requesting Data...</v>
      </c>
      <c r="O718" t="str">
        <f>_xll.BDP("434830SZ Muni","BVAL_MID_YTM")</f>
        <v>#N/A Requesting Data...</v>
      </c>
      <c r="P718" t="str">
        <f>_xll.BDP("434830SZ Muni","MUNI_TAX_PROV")</f>
        <v>#N/A Requesting Data...</v>
      </c>
      <c r="Q718" t="str">
        <f>_xll.BDP("434830SZ Muni","MUNI_FED_TAX")</f>
        <v>#N/A Requesting Data...</v>
      </c>
      <c r="R718" t="str">
        <f>_xll.BDP("434830SZ Muni","MUNI_MSRB_VOLUME")</f>
        <v>#N/A Requesting Data...</v>
      </c>
      <c r="S718" t="str">
        <f>_xll.BDP("434830SZ Muni","BB_COMPOSITE")</f>
        <v>#N/A Requesting Data...</v>
      </c>
      <c r="T718" t="str">
        <f>_xll.BDP("434830SZ Muni","LQA_LIQUIDITY_SCORE")</f>
        <v>#N/A Requesting Data...</v>
      </c>
    </row>
    <row r="719" spans="1:20" x14ac:dyDescent="0.25">
      <c r="A719" t="str">
        <f>_xll.BDP("434830TA Muni","ID_CUSIP")</f>
        <v>#N/A Requesting Data...</v>
      </c>
      <c r="B719" t="s">
        <v>197</v>
      </c>
      <c r="C719" t="str">
        <f>_xll.BDP("434830TA Muni","INSURANCE_STATUS")</f>
        <v>#N/A Requesting Data...</v>
      </c>
      <c r="D719" t="str">
        <f>_xll.BDP("434830TA Muni","STATE_CODE")</f>
        <v>#N/A Requesting Data...</v>
      </c>
      <c r="E719" t="str">
        <f>_xll.BDP("434830TA Muni","COUNTY_LOCATION_ISSUER")</f>
        <v>#N/A Requesting Data...</v>
      </c>
      <c r="F719" t="str">
        <f>_xll.BDP("434830TA Muni","DUR_ADJ_MID")</f>
        <v>#N/A Requesting Data...</v>
      </c>
      <c r="G719" t="str">
        <f>_xll.BDP("434830TA Muni","SPREAD_AT_ISSUANCE_TO_WORST")</f>
        <v>#N/A Requesting Data...</v>
      </c>
      <c r="H719" t="str">
        <f>_xll.BDP("434830TA Muni","ISSUE_DT")</f>
        <v>#N/A Requesting Data...</v>
      </c>
      <c r="I719" t="str">
        <f>_xll.BDS("434830TA Muni","MUNI_PURPOSE_SCHED", "aggregate=y")</f>
        <v>#N/A Requesting Data...</v>
      </c>
      <c r="J719" t="str">
        <f>_xll.BDP("434830TA Muni","CPN")</f>
        <v>#N/A Requesting Data...</v>
      </c>
      <c r="K719" t="str">
        <f>_xll.BDP("434830TA Muni","MATURITY")</f>
        <v>#N/A Requesting Data...</v>
      </c>
      <c r="L719">
        <v>95000</v>
      </c>
      <c r="M719" t="str">
        <f>_xll.BDP("434830TA Muni","YIELD_ON_ISSUE_DATE")</f>
        <v>#N/A Requesting Data...</v>
      </c>
      <c r="N719" t="str">
        <f>_xll.BDP("434830TA Muni","YTW_SPREAD_TO_MATURITY_AT_ISSU")</f>
        <v>#N/A Requesting Data...</v>
      </c>
      <c r="O719" t="str">
        <f>_xll.BDP("434830TA Muni","BVAL_MID_YTM")</f>
        <v>#N/A Requesting Data...</v>
      </c>
      <c r="P719" t="str">
        <f>_xll.BDP("434830TA Muni","MUNI_TAX_PROV")</f>
        <v>#N/A Requesting Data...</v>
      </c>
      <c r="Q719" t="str">
        <f>_xll.BDP("434830TA Muni","MUNI_FED_TAX")</f>
        <v>#N/A Requesting Data...</v>
      </c>
      <c r="R719" t="str">
        <f>_xll.BDP("434830TA Muni","MUNI_MSRB_VOLUME")</f>
        <v>#N/A Requesting Data...</v>
      </c>
      <c r="S719" t="str">
        <f>_xll.BDP("434830TA Muni","BB_COMPOSITE")</f>
        <v>#N/A Requesting Data...</v>
      </c>
      <c r="T719" t="str">
        <f>_xll.BDP("434830TA Muni","LQA_LIQUIDITY_SCORE")</f>
        <v>#N/A Requesting Data...</v>
      </c>
    </row>
    <row r="720" spans="1:20" x14ac:dyDescent="0.25">
      <c r="A720" t="str">
        <f>_xll.BDP("434830TB Muni","ID_CUSIP")</f>
        <v>#N/A Requesting Data...</v>
      </c>
      <c r="B720" t="s">
        <v>197</v>
      </c>
      <c r="C720" t="str">
        <f>_xll.BDP("434830TB Muni","INSURANCE_STATUS")</f>
        <v>#N/A Requesting Data...</v>
      </c>
      <c r="D720" t="str">
        <f>_xll.BDP("434830TB Muni","STATE_CODE")</f>
        <v>#N/A Requesting Data...</v>
      </c>
      <c r="E720" t="str">
        <f>_xll.BDP("434830TB Muni","COUNTY_LOCATION_ISSUER")</f>
        <v>#N/A Requesting Data...</v>
      </c>
      <c r="F720" t="str">
        <f>_xll.BDP("434830TB Muni","DUR_ADJ_MID")</f>
        <v>#N/A Requesting Data...</v>
      </c>
      <c r="G720" t="str">
        <f>_xll.BDP("434830TB Muni","SPREAD_AT_ISSUANCE_TO_WORST")</f>
        <v>#N/A Requesting Data...</v>
      </c>
      <c r="H720" t="str">
        <f>_xll.BDP("434830TB Muni","ISSUE_DT")</f>
        <v>#N/A Requesting Data...</v>
      </c>
      <c r="I720" t="str">
        <f>_xll.BDS("434830TB Muni","MUNI_PURPOSE_SCHED", "aggregate=y")</f>
        <v>#N/A Requesting Data...</v>
      </c>
      <c r="J720" t="str">
        <f>_xll.BDP("434830TB Muni","CPN")</f>
        <v>#N/A Requesting Data...</v>
      </c>
      <c r="K720" t="str">
        <f>_xll.BDP("434830TB Muni","MATURITY")</f>
        <v>#N/A Requesting Data...</v>
      </c>
      <c r="L720">
        <v>95000</v>
      </c>
      <c r="M720" t="str">
        <f>_xll.BDP("434830TB Muni","YIELD_ON_ISSUE_DATE")</f>
        <v>#N/A Requesting Data...</v>
      </c>
      <c r="N720" t="str">
        <f>_xll.BDP("434830TB Muni","YTW_SPREAD_TO_MATURITY_AT_ISSU")</f>
        <v>#N/A Requesting Data...</v>
      </c>
      <c r="O720" t="str">
        <f>_xll.BDP("434830TB Muni","BVAL_MID_YTM")</f>
        <v>#N/A Requesting Data...</v>
      </c>
      <c r="P720" t="str">
        <f>_xll.BDP("434830TB Muni","MUNI_TAX_PROV")</f>
        <v>#N/A Requesting Data...</v>
      </c>
      <c r="Q720" t="str">
        <f>_xll.BDP("434830TB Muni","MUNI_FED_TAX")</f>
        <v>#N/A Requesting Data...</v>
      </c>
      <c r="R720" t="str">
        <f>_xll.BDP("434830TB Muni","MUNI_MSRB_VOLUME")</f>
        <v>#N/A Requesting Data...</v>
      </c>
      <c r="S720" t="str">
        <f>_xll.BDP("434830TB Muni","BB_COMPOSITE")</f>
        <v>#N/A Requesting Data...</v>
      </c>
      <c r="T720" t="str">
        <f>_xll.BDP("434830TB Muni","LQA_LIQUIDITY_SCORE")</f>
        <v>#N/A Requesting Data...</v>
      </c>
    </row>
    <row r="721" spans="1:20" x14ac:dyDescent="0.25">
      <c r="A721" t="str">
        <f>_xll.BDP("41421DYL Muni","ID_CUSIP")</f>
        <v>#N/A Requesting Data...</v>
      </c>
      <c r="B721" t="s">
        <v>198</v>
      </c>
      <c r="C721" t="str">
        <f>_xll.BDP("41421DYL Muni","INSURANCE_STATUS")</f>
        <v>#N/A Requesting Data...</v>
      </c>
      <c r="D721" t="str">
        <f>_xll.BDP("41421DYL Muni","STATE_CODE")</f>
        <v>#N/A Requesting Data...</v>
      </c>
      <c r="E721" t="str">
        <f>_xll.BDP("41421DYL Muni","COUNTY_LOCATION_ISSUER")</f>
        <v>#N/A Requesting Data...</v>
      </c>
      <c r="F721" t="str">
        <f>_xll.BDP("41421DYL Muni","DUR_ADJ_MID")</f>
        <v>#N/A Requesting Data...</v>
      </c>
      <c r="G721" t="str">
        <f>_xll.BDP("41421DYL Muni","SPREAD_AT_ISSUANCE_TO_WORST")</f>
        <v>#N/A Requesting Data...</v>
      </c>
      <c r="H721" t="str">
        <f>_xll.BDP("41421DYL Muni","ISSUE_DT")</f>
        <v>#N/A Requesting Data...</v>
      </c>
      <c r="I721" t="str">
        <f>_xll.BDS("41421DYL Muni","MUNI_PURPOSE_SCHED", "aggregate=y")</f>
        <v>#N/A Requesting Data...</v>
      </c>
      <c r="J721" t="str">
        <f>_xll.BDP("41421DYL Muni","CPN")</f>
        <v>#N/A Requesting Data...</v>
      </c>
      <c r="K721" t="str">
        <f>_xll.BDP("41421DYL Muni","MATURITY")</f>
        <v>#N/A Requesting Data...</v>
      </c>
      <c r="L721">
        <v>175000</v>
      </c>
      <c r="M721" t="str">
        <f>_xll.BDP("41421DYL Muni","YIELD_ON_ISSUE_DATE")</f>
        <v>#N/A Requesting Data...</v>
      </c>
      <c r="N721" t="str">
        <f>_xll.BDP("41421DYL Muni","YTW_SPREAD_TO_MATURITY_AT_ISSU")</f>
        <v>#N/A Requesting Data...</v>
      </c>
      <c r="O721" t="str">
        <f>_xll.BDP("41421DYL Muni","BVAL_MID_YTM")</f>
        <v>#N/A Requesting Data...</v>
      </c>
      <c r="P721" t="str">
        <f>_xll.BDP("41421DYL Muni","MUNI_TAX_PROV")</f>
        <v>#N/A Requesting Data...</v>
      </c>
      <c r="Q721" t="str">
        <f>_xll.BDP("41421DYL Muni","MUNI_FED_TAX")</f>
        <v>#N/A Requesting Data...</v>
      </c>
      <c r="R721" t="str">
        <f>_xll.BDP("41421DYL Muni","MUNI_MSRB_VOLUME")</f>
        <v>#N/A Requesting Data...</v>
      </c>
      <c r="S721" t="str">
        <f>_xll.BDP("41421DYL Muni","BB_COMPOSITE")</f>
        <v>#N/A Requesting Data...</v>
      </c>
      <c r="T721" t="str">
        <f>_xll.BDP("41421DYL Muni","LQA_LIQUIDITY_SCORE")</f>
        <v>#N/A Requesting Data...</v>
      </c>
    </row>
    <row r="722" spans="1:20" x14ac:dyDescent="0.25">
      <c r="A722" t="str">
        <f>_xll.BDP("315598EJ Muni","ID_CUSIP")</f>
        <v>#N/A Requesting Data...</v>
      </c>
      <c r="B722" t="s">
        <v>199</v>
      </c>
      <c r="C722" t="str">
        <f>_xll.BDP("315598EJ Muni","INSURANCE_STATUS")</f>
        <v>#N/A Requesting Data...</v>
      </c>
      <c r="D722" t="str">
        <f>_xll.BDP("315598EJ Muni","STATE_CODE")</f>
        <v>#N/A Requesting Data...</v>
      </c>
      <c r="E722" t="str">
        <f>_xll.BDP("315598EJ Muni","COUNTY_LOCATION_ISSUER")</f>
        <v>#N/A Requesting Data...</v>
      </c>
      <c r="F722" t="str">
        <f>_xll.BDP("315598EJ Muni","DUR_ADJ_MID")</f>
        <v>#N/A Requesting Data...</v>
      </c>
      <c r="G722" t="str">
        <f>_xll.BDP("315598EJ Muni","SPREAD_AT_ISSUANCE_TO_WORST")</f>
        <v>#N/A Requesting Data...</v>
      </c>
      <c r="H722" t="str">
        <f>_xll.BDP("315598EJ Muni","ISSUE_DT")</f>
        <v>#N/A Requesting Data...</v>
      </c>
      <c r="I722" t="str">
        <f>_xll.BDS("315598EJ Muni","MUNI_PURPOSE_SCHED", "aggregate=y")</f>
        <v>#N/A Requesting Data...</v>
      </c>
      <c r="J722" t="str">
        <f>_xll.BDP("315598EJ Muni","CPN")</f>
        <v>#N/A Requesting Data...</v>
      </c>
      <c r="K722" t="str">
        <f>_xll.BDP("315598EJ Muni","MATURITY")</f>
        <v>#N/A Requesting Data...</v>
      </c>
      <c r="L722">
        <v>65000</v>
      </c>
      <c r="M722" t="str">
        <f>_xll.BDP("315598EJ Muni","YIELD_ON_ISSUE_DATE")</f>
        <v>#N/A Requesting Data...</v>
      </c>
      <c r="N722" t="str">
        <f>_xll.BDP("315598EJ Muni","YTW_SPREAD_TO_MATURITY_AT_ISSU")</f>
        <v>#N/A Requesting Data...</v>
      </c>
      <c r="O722" t="str">
        <f>_xll.BDP("315598EJ Muni","BVAL_MID_YTM")</f>
        <v>#N/A Requesting Data...</v>
      </c>
      <c r="P722" t="str">
        <f>_xll.BDP("315598EJ Muni","MUNI_TAX_PROV")</f>
        <v>#N/A Requesting Data...</v>
      </c>
      <c r="Q722" t="str">
        <f>_xll.BDP("315598EJ Muni","MUNI_FED_TAX")</f>
        <v>#N/A Requesting Data...</v>
      </c>
      <c r="R722" t="str">
        <f>_xll.BDP("315598EJ Muni","MUNI_MSRB_VOLUME")</f>
        <v>#N/A Requesting Data...</v>
      </c>
      <c r="S722" t="str">
        <f>_xll.BDP("315598EJ Muni","BB_COMPOSITE")</f>
        <v>#N/A Requesting Data...</v>
      </c>
      <c r="T722" t="str">
        <f>_xll.BDP("315598EJ Muni","LQA_LIQUIDITY_SCORE")</f>
        <v>#N/A Requesting Data...</v>
      </c>
    </row>
    <row r="723" spans="1:20" x14ac:dyDescent="0.25">
      <c r="A723" t="str">
        <f>_xll.BDP("315598EK Muni","ID_CUSIP")</f>
        <v>#N/A Requesting Data...</v>
      </c>
      <c r="B723" t="s">
        <v>199</v>
      </c>
      <c r="C723" t="str">
        <f>_xll.BDP("315598EK Muni","INSURANCE_STATUS")</f>
        <v>#N/A Requesting Data...</v>
      </c>
      <c r="D723" t="str">
        <f>_xll.BDP("315598EK Muni","STATE_CODE")</f>
        <v>#N/A Requesting Data...</v>
      </c>
      <c r="E723" t="str">
        <f>_xll.BDP("315598EK Muni","COUNTY_LOCATION_ISSUER")</f>
        <v>#N/A Requesting Data...</v>
      </c>
      <c r="F723" t="str">
        <f>_xll.BDP("315598EK Muni","DUR_ADJ_MID")</f>
        <v>#N/A Requesting Data...</v>
      </c>
      <c r="G723" t="str">
        <f>_xll.BDP("315598EK Muni","SPREAD_AT_ISSUANCE_TO_WORST")</f>
        <v>#N/A Requesting Data...</v>
      </c>
      <c r="H723" t="str">
        <f>_xll.BDP("315598EK Muni","ISSUE_DT")</f>
        <v>#N/A Requesting Data...</v>
      </c>
      <c r="I723" t="str">
        <f>_xll.BDS("315598EK Muni","MUNI_PURPOSE_SCHED", "aggregate=y")</f>
        <v>#N/A Requesting Data...</v>
      </c>
      <c r="J723" t="str">
        <f>_xll.BDP("315598EK Muni","CPN")</f>
        <v>#N/A Requesting Data...</v>
      </c>
      <c r="K723" t="str">
        <f>_xll.BDP("315598EK Muni","MATURITY")</f>
        <v>#N/A Requesting Data...</v>
      </c>
      <c r="L723">
        <v>65000</v>
      </c>
      <c r="M723" t="str">
        <f>_xll.BDP("315598EK Muni","YIELD_ON_ISSUE_DATE")</f>
        <v>#N/A Requesting Data...</v>
      </c>
      <c r="N723" t="str">
        <f>_xll.BDP("315598EK Muni","YTW_SPREAD_TO_MATURITY_AT_ISSU")</f>
        <v>#N/A Requesting Data...</v>
      </c>
      <c r="O723" t="str">
        <f>_xll.BDP("315598EK Muni","BVAL_MID_YTM")</f>
        <v>#N/A Requesting Data...</v>
      </c>
      <c r="P723" t="str">
        <f>_xll.BDP("315598EK Muni","MUNI_TAX_PROV")</f>
        <v>#N/A Requesting Data...</v>
      </c>
      <c r="Q723" t="str">
        <f>_xll.BDP("315598EK Muni","MUNI_FED_TAX")</f>
        <v>#N/A Requesting Data...</v>
      </c>
      <c r="R723" t="str">
        <f>_xll.BDP("315598EK Muni","MUNI_MSRB_VOLUME")</f>
        <v>#N/A Requesting Data...</v>
      </c>
      <c r="S723" t="str">
        <f>_xll.BDP("315598EK Muni","BB_COMPOSITE")</f>
        <v>#N/A Requesting Data...</v>
      </c>
      <c r="T723" t="str">
        <f>_xll.BDP("315598EK Muni","LQA_LIQUIDITY_SCORE")</f>
        <v>#N/A Requesting Data...</v>
      </c>
    </row>
    <row r="724" spans="1:20" x14ac:dyDescent="0.25">
      <c r="A724" t="str">
        <f>_xll.BDP("315598EL Muni","ID_CUSIP")</f>
        <v>#N/A Requesting Data...</v>
      </c>
      <c r="B724" t="s">
        <v>199</v>
      </c>
      <c r="C724" t="str">
        <f>_xll.BDP("315598EL Muni","INSURANCE_STATUS")</f>
        <v>#N/A Requesting Data...</v>
      </c>
      <c r="D724" t="str">
        <f>_xll.BDP("315598EL Muni","STATE_CODE")</f>
        <v>#N/A Requesting Data...</v>
      </c>
      <c r="E724" t="str">
        <f>_xll.BDP("315598EL Muni","COUNTY_LOCATION_ISSUER")</f>
        <v>#N/A Requesting Data...</v>
      </c>
      <c r="F724" t="str">
        <f>_xll.BDP("315598EL Muni","DUR_ADJ_MID")</f>
        <v>#N/A Requesting Data...</v>
      </c>
      <c r="G724" t="str">
        <f>_xll.BDP("315598EL Muni","SPREAD_AT_ISSUANCE_TO_WORST")</f>
        <v>#N/A Requesting Data...</v>
      </c>
      <c r="H724" t="str">
        <f>_xll.BDP("315598EL Muni","ISSUE_DT")</f>
        <v>#N/A Requesting Data...</v>
      </c>
      <c r="I724" t="str">
        <f>_xll.BDS("315598EL Muni","MUNI_PURPOSE_SCHED", "aggregate=y")</f>
        <v>#N/A Requesting Data...</v>
      </c>
      <c r="J724" t="str">
        <f>_xll.BDP("315598EL Muni","CPN")</f>
        <v>#N/A Requesting Data...</v>
      </c>
      <c r="K724" t="str">
        <f>_xll.BDP("315598EL Muni","MATURITY")</f>
        <v>#N/A Requesting Data...</v>
      </c>
      <c r="L724">
        <v>70000</v>
      </c>
      <c r="M724" t="str">
        <f>_xll.BDP("315598EL Muni","YIELD_ON_ISSUE_DATE")</f>
        <v>#N/A Requesting Data...</v>
      </c>
      <c r="N724" t="str">
        <f>_xll.BDP("315598EL Muni","YTW_SPREAD_TO_MATURITY_AT_ISSU")</f>
        <v>#N/A Requesting Data...</v>
      </c>
      <c r="O724" t="str">
        <f>_xll.BDP("315598EL Muni","BVAL_MID_YTM")</f>
        <v>#N/A Requesting Data...</v>
      </c>
      <c r="P724" t="str">
        <f>_xll.BDP("315598EL Muni","MUNI_TAX_PROV")</f>
        <v>#N/A Requesting Data...</v>
      </c>
      <c r="Q724" t="str">
        <f>_xll.BDP("315598EL Muni","MUNI_FED_TAX")</f>
        <v>#N/A Requesting Data...</v>
      </c>
      <c r="R724" t="str">
        <f>_xll.BDP("315598EL Muni","MUNI_MSRB_VOLUME")</f>
        <v>#N/A Requesting Data...</v>
      </c>
      <c r="S724" t="str">
        <f>_xll.BDP("315598EL Muni","BB_COMPOSITE")</f>
        <v>#N/A Requesting Data...</v>
      </c>
      <c r="T724" t="str">
        <f>_xll.BDP("315598EL Muni","LQA_LIQUIDITY_SCORE")</f>
        <v>#N/A Requesting Data...</v>
      </c>
    </row>
    <row r="725" spans="1:20" x14ac:dyDescent="0.25">
      <c r="A725" t="str">
        <f>_xll.BDP("315598EN Muni","ID_CUSIP")</f>
        <v>#N/A Requesting Data...</v>
      </c>
      <c r="B725" t="s">
        <v>199</v>
      </c>
      <c r="C725" t="str">
        <f>_xll.BDP("315598EN Muni","INSURANCE_STATUS")</f>
        <v>#N/A Requesting Data...</v>
      </c>
      <c r="D725" t="str">
        <f>_xll.BDP("315598EN Muni","STATE_CODE")</f>
        <v>#N/A Requesting Data...</v>
      </c>
      <c r="E725" t="str">
        <f>_xll.BDP("315598EN Muni","COUNTY_LOCATION_ISSUER")</f>
        <v>#N/A Requesting Data...</v>
      </c>
      <c r="F725" t="str">
        <f>_xll.BDP("315598EN Muni","DUR_ADJ_MID")</f>
        <v>#N/A Requesting Data...</v>
      </c>
      <c r="G725" t="str">
        <f>_xll.BDP("315598EN Muni","SPREAD_AT_ISSUANCE_TO_WORST")</f>
        <v>#N/A Requesting Data...</v>
      </c>
      <c r="H725" t="str">
        <f>_xll.BDP("315598EN Muni","ISSUE_DT")</f>
        <v>#N/A Requesting Data...</v>
      </c>
      <c r="I725" t="str">
        <f>_xll.BDS("315598EN Muni","MUNI_PURPOSE_SCHED", "aggregate=y")</f>
        <v>#N/A Requesting Data...</v>
      </c>
      <c r="J725" t="str">
        <f>_xll.BDP("315598EN Muni","CPN")</f>
        <v>#N/A Requesting Data...</v>
      </c>
      <c r="K725" t="str">
        <f>_xll.BDP("315598EN Muni","MATURITY")</f>
        <v>#N/A Requesting Data...</v>
      </c>
      <c r="L725">
        <v>80000</v>
      </c>
      <c r="M725" t="str">
        <f>_xll.BDP("315598EN Muni","YIELD_ON_ISSUE_DATE")</f>
        <v>#N/A Requesting Data...</v>
      </c>
      <c r="N725" t="str">
        <f>_xll.BDP("315598EN Muni","YTW_SPREAD_TO_MATURITY_AT_ISSU")</f>
        <v>#N/A Requesting Data...</v>
      </c>
      <c r="O725" t="str">
        <f>_xll.BDP("315598EN Muni","BVAL_MID_YTM")</f>
        <v>#N/A Requesting Data...</v>
      </c>
      <c r="P725" t="str">
        <f>_xll.BDP("315598EN Muni","MUNI_TAX_PROV")</f>
        <v>#N/A Requesting Data...</v>
      </c>
      <c r="Q725" t="str">
        <f>_xll.BDP("315598EN Muni","MUNI_FED_TAX")</f>
        <v>#N/A Requesting Data...</v>
      </c>
      <c r="R725" t="str">
        <f>_xll.BDP("315598EN Muni","MUNI_MSRB_VOLUME")</f>
        <v>#N/A Requesting Data...</v>
      </c>
      <c r="S725" t="str">
        <f>_xll.BDP("315598EN Muni","BB_COMPOSITE")</f>
        <v>#N/A Requesting Data...</v>
      </c>
      <c r="T725" t="str">
        <f>_xll.BDP("315598EN Muni","LQA_LIQUIDITY_SCORE")</f>
        <v>#N/A Requesting Data...</v>
      </c>
    </row>
    <row r="726" spans="1:20" x14ac:dyDescent="0.25">
      <c r="A726" t="str">
        <f>_xll.BDP("41421DZK Muni","ID_CUSIP")</f>
        <v>#N/A Requesting Data...</v>
      </c>
      <c r="B726" t="s">
        <v>198</v>
      </c>
      <c r="C726" t="str">
        <f>_xll.BDP("41421DZK Muni","INSURANCE_STATUS")</f>
        <v>#N/A Requesting Data...</v>
      </c>
      <c r="D726" t="str">
        <f>_xll.BDP("41421DZK Muni","STATE_CODE")</f>
        <v>#N/A Requesting Data...</v>
      </c>
      <c r="E726" t="str">
        <f>_xll.BDP("41421DZK Muni","COUNTY_LOCATION_ISSUER")</f>
        <v>#N/A Requesting Data...</v>
      </c>
      <c r="F726" t="str">
        <f>_xll.BDP("41421DZK Muni","DUR_ADJ_MID")</f>
        <v>#N/A Requesting Data...</v>
      </c>
      <c r="G726" t="str">
        <f>_xll.BDP("41421DZK Muni","SPREAD_AT_ISSUANCE_TO_WORST")</f>
        <v>#N/A Requesting Data...</v>
      </c>
      <c r="H726" t="str">
        <f>_xll.BDP("41421DZK Muni","ISSUE_DT")</f>
        <v>#N/A Requesting Data...</v>
      </c>
      <c r="I726" t="str">
        <f>_xll.BDS("41421DZK Muni","MUNI_PURPOSE_SCHED", "aggregate=y")</f>
        <v>#N/A Requesting Data...</v>
      </c>
      <c r="J726" t="str">
        <f>_xll.BDP("41421DZK Muni","CPN")</f>
        <v>#N/A Requesting Data...</v>
      </c>
      <c r="K726" t="str">
        <f>_xll.BDP("41421DZK Muni","MATURITY")</f>
        <v>#N/A Requesting Data...</v>
      </c>
      <c r="L726">
        <v>50000</v>
      </c>
      <c r="M726" t="str">
        <f>_xll.BDP("41421DZK Muni","YIELD_ON_ISSUE_DATE")</f>
        <v>#N/A Requesting Data...</v>
      </c>
      <c r="N726" t="str">
        <f>_xll.BDP("41421DZK Muni","YTW_SPREAD_TO_MATURITY_AT_ISSU")</f>
        <v>#N/A Requesting Data...</v>
      </c>
      <c r="O726" t="str">
        <f>_xll.BDP("41421DZK Muni","BVAL_MID_YTM")</f>
        <v>#N/A Requesting Data...</v>
      </c>
      <c r="P726" t="str">
        <f>_xll.BDP("41421DZK Muni","MUNI_TAX_PROV")</f>
        <v>#N/A Requesting Data...</v>
      </c>
      <c r="Q726" t="str">
        <f>_xll.BDP("41421DZK Muni","MUNI_FED_TAX")</f>
        <v>#N/A Requesting Data...</v>
      </c>
      <c r="R726" t="str">
        <f>_xll.BDP("41421DZK Muni","MUNI_MSRB_VOLUME")</f>
        <v>#N/A Requesting Data...</v>
      </c>
      <c r="S726" t="str">
        <f>_xll.BDP("41421DZK Muni","BB_COMPOSITE")</f>
        <v>#N/A Requesting Data...</v>
      </c>
      <c r="T726" t="str">
        <f>_xll.BDP("41421DZK Muni","LQA_LIQUIDITY_SCORE")</f>
        <v>#N/A Requesting Data...</v>
      </c>
    </row>
    <row r="727" spans="1:20" x14ac:dyDescent="0.25">
      <c r="A727" t="str">
        <f>_xll.BDP("41421DZM Muni","ID_CUSIP")</f>
        <v>#N/A Requesting Data...</v>
      </c>
      <c r="B727" t="s">
        <v>198</v>
      </c>
      <c r="C727" t="str">
        <f>_xll.BDP("41421DZM Muni","INSURANCE_STATUS")</f>
        <v>#N/A Requesting Data...</v>
      </c>
      <c r="D727" t="str">
        <f>_xll.BDP("41421DZM Muni","STATE_CODE")</f>
        <v>#N/A Requesting Data...</v>
      </c>
      <c r="E727" t="str">
        <f>_xll.BDP("41421DZM Muni","COUNTY_LOCATION_ISSUER")</f>
        <v>#N/A Requesting Data...</v>
      </c>
      <c r="F727" t="str">
        <f>_xll.BDP("41421DZM Muni","DUR_ADJ_MID")</f>
        <v>#N/A Requesting Data...</v>
      </c>
      <c r="G727" t="str">
        <f>_xll.BDP("41421DZM Muni","SPREAD_AT_ISSUANCE_TO_WORST")</f>
        <v>#N/A Requesting Data...</v>
      </c>
      <c r="H727" t="str">
        <f>_xll.BDP("41421DZM Muni","ISSUE_DT")</f>
        <v>#N/A Requesting Data...</v>
      </c>
      <c r="I727" t="str">
        <f>_xll.BDS("41421DZM Muni","MUNI_PURPOSE_SCHED", "aggregate=y")</f>
        <v>#N/A Requesting Data...</v>
      </c>
      <c r="J727" t="str">
        <f>_xll.BDP("41421DZM Muni","CPN")</f>
        <v>#N/A Requesting Data...</v>
      </c>
      <c r="K727" t="str">
        <f>_xll.BDP("41421DZM Muni","MATURITY")</f>
        <v>#N/A Requesting Data...</v>
      </c>
      <c r="L727">
        <v>50000</v>
      </c>
      <c r="M727" t="str">
        <f>_xll.BDP("41421DZM Muni","YIELD_ON_ISSUE_DATE")</f>
        <v>#N/A Requesting Data...</v>
      </c>
      <c r="N727" t="str">
        <f>_xll.BDP("41421DZM Muni","YTW_SPREAD_TO_MATURITY_AT_ISSU")</f>
        <v>#N/A Requesting Data...</v>
      </c>
      <c r="O727" t="str">
        <f>_xll.BDP("41421DZM Muni","BVAL_MID_YTM")</f>
        <v>#N/A Requesting Data...</v>
      </c>
      <c r="P727" t="str">
        <f>_xll.BDP("41421DZM Muni","MUNI_TAX_PROV")</f>
        <v>#N/A Requesting Data...</v>
      </c>
      <c r="Q727" t="str">
        <f>_xll.BDP("41421DZM Muni","MUNI_FED_TAX")</f>
        <v>#N/A Requesting Data...</v>
      </c>
      <c r="R727" t="str">
        <f>_xll.BDP("41421DZM Muni","MUNI_MSRB_VOLUME")</f>
        <v>#N/A Requesting Data...</v>
      </c>
      <c r="S727" t="str">
        <f>_xll.BDP("41421DZM Muni","BB_COMPOSITE")</f>
        <v>#N/A Requesting Data...</v>
      </c>
      <c r="T727" t="str">
        <f>_xll.BDP("41421DZM Muni","LQA_LIQUIDITY_SCORE")</f>
        <v>#N/A Requesting Data...</v>
      </c>
    </row>
    <row r="728" spans="1:20" x14ac:dyDescent="0.25">
      <c r="A728" t="str">
        <f>_xll.BDP("316608CS Muni","ID_CUSIP")</f>
        <v>#N/A Requesting Data...</v>
      </c>
      <c r="B728" t="s">
        <v>200</v>
      </c>
      <c r="C728" t="str">
        <f>_xll.BDP("316608CS Muni","INSURANCE_STATUS")</f>
        <v>#N/A Requesting Data...</v>
      </c>
      <c r="D728" t="str">
        <f>_xll.BDP("316608CS Muni","STATE_CODE")</f>
        <v>#N/A Requesting Data...</v>
      </c>
      <c r="E728" t="str">
        <f>_xll.BDP("316608CS Muni","COUNTY_LOCATION_ISSUER")</f>
        <v>#N/A Requesting Data...</v>
      </c>
      <c r="F728" t="str">
        <f>_xll.BDP("316608CS Muni","DUR_ADJ_MID")</f>
        <v>#N/A Requesting Data...</v>
      </c>
      <c r="G728" t="str">
        <f>_xll.BDP("316608CS Muni","SPREAD_AT_ISSUANCE_TO_WORST")</f>
        <v>#N/A Requesting Data...</v>
      </c>
      <c r="H728" t="str">
        <f>_xll.BDP("316608CS Muni","ISSUE_DT")</f>
        <v>#N/A Requesting Data...</v>
      </c>
      <c r="I728" t="str">
        <f>_xll.BDS("316608CS Muni","MUNI_PURPOSE_SCHED", "aggregate=y")</f>
        <v>#N/A Requesting Data...</v>
      </c>
      <c r="J728" t="str">
        <f>_xll.BDP("316608CS Muni","CPN")</f>
        <v>#N/A Requesting Data...</v>
      </c>
      <c r="K728" t="str">
        <f>_xll.BDP("316608CS Muni","MATURITY")</f>
        <v>#N/A Requesting Data...</v>
      </c>
      <c r="L728">
        <v>310000</v>
      </c>
      <c r="M728" t="str">
        <f>_xll.BDP("316608CS Muni","YIELD_ON_ISSUE_DATE")</f>
        <v>#N/A Requesting Data...</v>
      </c>
      <c r="N728" t="str">
        <f>_xll.BDP("316608CS Muni","YTW_SPREAD_TO_MATURITY_AT_ISSU")</f>
        <v>#N/A Requesting Data...</v>
      </c>
      <c r="O728" t="str">
        <f>_xll.BDP("316608CS Muni","BVAL_MID_YTM")</f>
        <v>#N/A Requesting Data...</v>
      </c>
      <c r="P728" t="str">
        <f>_xll.BDP("316608CS Muni","MUNI_TAX_PROV")</f>
        <v>#N/A Requesting Data...</v>
      </c>
      <c r="Q728" t="str">
        <f>_xll.BDP("316608CS Muni","MUNI_FED_TAX")</f>
        <v>#N/A Requesting Data...</v>
      </c>
      <c r="R728" t="str">
        <f>_xll.BDP("316608CS Muni","MUNI_MSRB_VOLUME")</f>
        <v>#N/A Requesting Data...</v>
      </c>
      <c r="S728" t="str">
        <f>_xll.BDP("316608CS Muni","BB_COMPOSITE")</f>
        <v>#N/A Requesting Data...</v>
      </c>
      <c r="T728" t="str">
        <f>_xll.BDP("316608CS Muni","LQA_LIQUIDITY_SCORE")</f>
        <v>#N/A Requesting Data...</v>
      </c>
    </row>
    <row r="729" spans="1:20" x14ac:dyDescent="0.25">
      <c r="A729" t="str">
        <f>_xll.BDP("316608CU Muni","ID_CUSIP")</f>
        <v>#N/A Requesting Data...</v>
      </c>
      <c r="B729" t="s">
        <v>200</v>
      </c>
      <c r="C729" t="str">
        <f>_xll.BDP("316608CU Muni","INSURANCE_STATUS")</f>
        <v>#N/A Requesting Data...</v>
      </c>
      <c r="D729" t="str">
        <f>_xll.BDP("316608CU Muni","STATE_CODE")</f>
        <v>#N/A Requesting Data...</v>
      </c>
      <c r="E729" t="str">
        <f>_xll.BDP("316608CU Muni","COUNTY_LOCATION_ISSUER")</f>
        <v>#N/A Requesting Data...</v>
      </c>
      <c r="F729" t="str">
        <f>_xll.BDP("316608CU Muni","DUR_ADJ_MID")</f>
        <v>#N/A Requesting Data...</v>
      </c>
      <c r="G729" t="str">
        <f>_xll.BDP("316608CU Muni","SPREAD_AT_ISSUANCE_TO_WORST")</f>
        <v>#N/A Requesting Data...</v>
      </c>
      <c r="H729" t="str">
        <f>_xll.BDP("316608CU Muni","ISSUE_DT")</f>
        <v>#N/A Requesting Data...</v>
      </c>
      <c r="I729" t="str">
        <f>_xll.BDS("316608CU Muni","MUNI_PURPOSE_SCHED", "aggregate=y")</f>
        <v>#N/A Requesting Data...</v>
      </c>
      <c r="J729" t="str">
        <f>_xll.BDP("316608CU Muni","CPN")</f>
        <v>#N/A Requesting Data...</v>
      </c>
      <c r="K729" t="str">
        <f>_xll.BDP("316608CU Muni","MATURITY")</f>
        <v>#N/A Requesting Data...</v>
      </c>
      <c r="L729">
        <v>625000</v>
      </c>
      <c r="M729" t="str">
        <f>_xll.BDP("316608CU Muni","YIELD_ON_ISSUE_DATE")</f>
        <v>#N/A Requesting Data...</v>
      </c>
      <c r="N729" t="str">
        <f>_xll.BDP("316608CU Muni","YTW_SPREAD_TO_MATURITY_AT_ISSU")</f>
        <v>#N/A Requesting Data...</v>
      </c>
      <c r="O729" t="str">
        <f>_xll.BDP("316608CU Muni","BVAL_MID_YTM")</f>
        <v>#N/A Requesting Data...</v>
      </c>
      <c r="P729" t="str">
        <f>_xll.BDP("316608CU Muni","MUNI_TAX_PROV")</f>
        <v>#N/A Requesting Data...</v>
      </c>
      <c r="Q729" t="str">
        <f>_xll.BDP("316608CU Muni","MUNI_FED_TAX")</f>
        <v>#N/A Requesting Data...</v>
      </c>
      <c r="R729" t="str">
        <f>_xll.BDP("316608CU Muni","MUNI_MSRB_VOLUME")</f>
        <v>#N/A Requesting Data...</v>
      </c>
      <c r="S729" t="str">
        <f>_xll.BDP("316608CU Muni","BB_COMPOSITE")</f>
        <v>#N/A Requesting Data...</v>
      </c>
      <c r="T729" t="str">
        <f>_xll.BDP("316608CU Muni","LQA_LIQUIDITY_SCORE")</f>
        <v>#N/A Requesting Data...</v>
      </c>
    </row>
    <row r="730" spans="1:20" x14ac:dyDescent="0.25">
      <c r="A730" t="str">
        <f>_xll.BDP("316608CW Muni","ID_CUSIP")</f>
        <v>#N/A Requesting Data...</v>
      </c>
      <c r="B730" t="s">
        <v>200</v>
      </c>
      <c r="C730" t="str">
        <f>_xll.BDP("316608CW Muni","INSURANCE_STATUS")</f>
        <v>#N/A Requesting Data...</v>
      </c>
      <c r="D730" t="str">
        <f>_xll.BDP("316608CW Muni","STATE_CODE")</f>
        <v>#N/A Requesting Data...</v>
      </c>
      <c r="E730" t="str">
        <f>_xll.BDP("316608CW Muni","COUNTY_LOCATION_ISSUER")</f>
        <v>#N/A Requesting Data...</v>
      </c>
      <c r="F730" t="str">
        <f>_xll.BDP("316608CW Muni","DUR_ADJ_MID")</f>
        <v>#N/A Requesting Data...</v>
      </c>
      <c r="G730" t="str">
        <f>_xll.BDP("316608CW Muni","SPREAD_AT_ISSUANCE_TO_WORST")</f>
        <v>#N/A Requesting Data...</v>
      </c>
      <c r="H730" t="str">
        <f>_xll.BDP("316608CW Muni","ISSUE_DT")</f>
        <v>#N/A Requesting Data...</v>
      </c>
      <c r="I730" t="str">
        <f>_xll.BDS("316608CW Muni","MUNI_PURPOSE_SCHED", "aggregate=y")</f>
        <v>#N/A Requesting Data...</v>
      </c>
      <c r="J730" t="str">
        <f>_xll.BDP("316608CW Muni","CPN")</f>
        <v>#N/A Requesting Data...</v>
      </c>
      <c r="K730" t="str">
        <f>_xll.BDP("316608CW Muni","MATURITY")</f>
        <v>#N/A Requesting Data...</v>
      </c>
      <c r="L730">
        <v>465000</v>
      </c>
      <c r="M730" t="str">
        <f>_xll.BDP("316608CW Muni","YIELD_ON_ISSUE_DATE")</f>
        <v>#N/A Requesting Data...</v>
      </c>
      <c r="N730" t="str">
        <f>_xll.BDP("316608CW Muni","YTW_SPREAD_TO_MATURITY_AT_ISSU")</f>
        <v>#N/A Requesting Data...</v>
      </c>
      <c r="O730" t="str">
        <f>_xll.BDP("316608CW Muni","BVAL_MID_YTM")</f>
        <v>#N/A Requesting Data...</v>
      </c>
      <c r="P730" t="str">
        <f>_xll.BDP("316608CW Muni","MUNI_TAX_PROV")</f>
        <v>#N/A Requesting Data...</v>
      </c>
      <c r="Q730" t="str">
        <f>_xll.BDP("316608CW Muni","MUNI_FED_TAX")</f>
        <v>#N/A Requesting Data...</v>
      </c>
      <c r="R730" t="str">
        <f>_xll.BDP("316608CW Muni","MUNI_MSRB_VOLUME")</f>
        <v>#N/A Requesting Data...</v>
      </c>
      <c r="S730" t="str">
        <f>_xll.BDP("316608CW Muni","BB_COMPOSITE")</f>
        <v>#N/A Requesting Data...</v>
      </c>
      <c r="T730" t="str">
        <f>_xll.BDP("316608CW Muni","LQA_LIQUIDITY_SCORE")</f>
        <v>#N/A Requesting Data...</v>
      </c>
    </row>
    <row r="731" spans="1:20" x14ac:dyDescent="0.25">
      <c r="A731" t="str">
        <f>_xll.BDP("41421HEF Muni","ID_CUSIP")</f>
        <v>#N/A Requesting Data...</v>
      </c>
      <c r="B731" t="s">
        <v>201</v>
      </c>
      <c r="C731" t="str">
        <f>_xll.BDP("41421HEF Muni","INSURANCE_STATUS")</f>
        <v>#N/A Requesting Data...</v>
      </c>
      <c r="D731" t="str">
        <f>_xll.BDP("41421HEF Muni","STATE_CODE")</f>
        <v>#N/A Requesting Data...</v>
      </c>
      <c r="E731" t="str">
        <f>_xll.BDP("41421HEF Muni","COUNTY_LOCATION_ISSUER")</f>
        <v>#N/A Requesting Data...</v>
      </c>
      <c r="F731" t="str">
        <f>_xll.BDP("41421HEF Muni","DUR_ADJ_MID")</f>
        <v>#N/A Requesting Data...</v>
      </c>
      <c r="G731" t="str">
        <f>_xll.BDP("41421HEF Muni","SPREAD_AT_ISSUANCE_TO_WORST")</f>
        <v>#N/A Requesting Data...</v>
      </c>
      <c r="H731" t="str">
        <f>_xll.BDP("41421HEF Muni","ISSUE_DT")</f>
        <v>#N/A Requesting Data...</v>
      </c>
      <c r="I731" t="str">
        <f>_xll.BDS("41421HEF Muni","MUNI_PURPOSE_SCHED", "aggregate=y")</f>
        <v>#N/A Requesting Data...</v>
      </c>
      <c r="J731" t="str">
        <f>_xll.BDP("41421HEF Muni","CPN")</f>
        <v>#N/A Requesting Data...</v>
      </c>
      <c r="K731" t="str">
        <f>_xll.BDP("41421HEF Muni","MATURITY")</f>
        <v>#N/A Requesting Data...</v>
      </c>
      <c r="L731">
        <v>25000</v>
      </c>
      <c r="M731" t="str">
        <f>_xll.BDP("41421HEF Muni","YIELD_ON_ISSUE_DATE")</f>
        <v>#N/A Requesting Data...</v>
      </c>
      <c r="N731" t="str">
        <f>_xll.BDP("41421HEF Muni","YTW_SPREAD_TO_MATURITY_AT_ISSU")</f>
        <v>#N/A Requesting Data...</v>
      </c>
      <c r="O731" t="str">
        <f>_xll.BDP("41421HEF Muni","BVAL_MID_YTM")</f>
        <v>#N/A Requesting Data...</v>
      </c>
      <c r="P731" t="str">
        <f>_xll.BDP("41421HEF Muni","MUNI_TAX_PROV")</f>
        <v>#N/A Requesting Data...</v>
      </c>
      <c r="Q731" t="str">
        <f>_xll.BDP("41421HEF Muni","MUNI_FED_TAX")</f>
        <v>#N/A Requesting Data...</v>
      </c>
      <c r="R731" t="str">
        <f>_xll.BDP("41421HEF Muni","MUNI_MSRB_VOLUME")</f>
        <v>#N/A Requesting Data...</v>
      </c>
      <c r="S731" t="str">
        <f>_xll.BDP("41421HEF Muni","BB_COMPOSITE")</f>
        <v>#N/A Requesting Data...</v>
      </c>
      <c r="T731" t="str">
        <f>_xll.BDP("41421HEF Muni","LQA_LIQUIDITY_SCORE")</f>
        <v>#N/A Requesting Data...</v>
      </c>
    </row>
    <row r="732" spans="1:20" x14ac:dyDescent="0.25">
      <c r="A732" t="str">
        <f>_xll.BDP("41421TFD Muni","ID_CUSIP")</f>
        <v>#N/A Requesting Data...</v>
      </c>
      <c r="B732" t="s">
        <v>202</v>
      </c>
      <c r="C732" t="str">
        <f>_xll.BDP("41421TFD Muni","INSURANCE_STATUS")</f>
        <v>#N/A Requesting Data...</v>
      </c>
      <c r="D732" t="str">
        <f>_xll.BDP("41421TFD Muni","STATE_CODE")</f>
        <v>#N/A Requesting Data...</v>
      </c>
      <c r="E732" t="str">
        <f>_xll.BDP("41421TFD Muni","COUNTY_LOCATION_ISSUER")</f>
        <v>#N/A Requesting Data...</v>
      </c>
      <c r="F732" t="str">
        <f>_xll.BDP("41421TFD Muni","DUR_ADJ_MID")</f>
        <v>#N/A Requesting Data...</v>
      </c>
      <c r="G732" t="str">
        <f>_xll.BDP("41421TFD Muni","SPREAD_AT_ISSUANCE_TO_WORST")</f>
        <v>#N/A Requesting Data...</v>
      </c>
      <c r="H732" t="str">
        <f>_xll.BDP("41421TFD Muni","ISSUE_DT")</f>
        <v>#N/A Requesting Data...</v>
      </c>
      <c r="I732" t="str">
        <f>_xll.BDS("41421TFD Muni","MUNI_PURPOSE_SCHED", "aggregate=y")</f>
        <v>#N/A Requesting Data...</v>
      </c>
      <c r="J732" t="str">
        <f>_xll.BDP("41421TFD Muni","CPN")</f>
        <v>#N/A Requesting Data...</v>
      </c>
      <c r="K732" t="str">
        <f>_xll.BDP("41421TFD Muni","MATURITY")</f>
        <v>#N/A Requesting Data...</v>
      </c>
      <c r="L732">
        <v>25000</v>
      </c>
      <c r="M732" t="str">
        <f>_xll.BDP("41421TFD Muni","YIELD_ON_ISSUE_DATE")</f>
        <v>#N/A Requesting Data...</v>
      </c>
      <c r="N732" t="str">
        <f>_xll.BDP("41421TFD Muni","YTW_SPREAD_TO_MATURITY_AT_ISSU")</f>
        <v>#N/A Requesting Data...</v>
      </c>
      <c r="O732" t="str">
        <f>_xll.BDP("41421TFD Muni","BVAL_MID_YTM")</f>
        <v>#N/A Requesting Data...</v>
      </c>
      <c r="P732" t="str">
        <f>_xll.BDP("41421TFD Muni","MUNI_TAX_PROV")</f>
        <v>#N/A Requesting Data...</v>
      </c>
      <c r="Q732" t="str">
        <f>_xll.BDP("41421TFD Muni","MUNI_FED_TAX")</f>
        <v>#N/A Requesting Data...</v>
      </c>
      <c r="R732" t="str">
        <f>_xll.BDP("41421TFD Muni","MUNI_MSRB_VOLUME")</f>
        <v>#N/A Requesting Data...</v>
      </c>
      <c r="S732" t="str">
        <f>_xll.BDP("41421TFD Muni","BB_COMPOSITE")</f>
        <v>#N/A Requesting Data...</v>
      </c>
      <c r="T732" t="str">
        <f>_xll.BDP("41421TFD Muni","LQA_LIQUIDITY_SCORE")</f>
        <v>#N/A Requesting Data...</v>
      </c>
    </row>
    <row r="733" spans="1:20" x14ac:dyDescent="0.25">
      <c r="A733" t="str">
        <f>_xll.BDP("41421TFE Muni","ID_CUSIP")</f>
        <v>#N/A Requesting Data...</v>
      </c>
      <c r="B733" t="s">
        <v>202</v>
      </c>
      <c r="C733" t="str">
        <f>_xll.BDP("41421TFE Muni","INSURANCE_STATUS")</f>
        <v>#N/A Requesting Data...</v>
      </c>
      <c r="D733" t="str">
        <f>_xll.BDP("41421TFE Muni","STATE_CODE")</f>
        <v>#N/A Requesting Data...</v>
      </c>
      <c r="E733" t="str">
        <f>_xll.BDP("41421TFE Muni","COUNTY_LOCATION_ISSUER")</f>
        <v>#N/A Requesting Data...</v>
      </c>
      <c r="F733" t="str">
        <f>_xll.BDP("41421TFE Muni","DUR_ADJ_MID")</f>
        <v>#N/A Requesting Data...</v>
      </c>
      <c r="G733" t="str">
        <f>_xll.BDP("41421TFE Muni","SPREAD_AT_ISSUANCE_TO_WORST")</f>
        <v>#N/A Requesting Data...</v>
      </c>
      <c r="H733" t="str">
        <f>_xll.BDP("41421TFE Muni","ISSUE_DT")</f>
        <v>#N/A Requesting Data...</v>
      </c>
      <c r="I733" t="str">
        <f>_xll.BDS("41421TFE Muni","MUNI_PURPOSE_SCHED", "aggregate=y")</f>
        <v>#N/A Requesting Data...</v>
      </c>
      <c r="J733" t="str">
        <f>_xll.BDP("41421TFE Muni","CPN")</f>
        <v>#N/A Requesting Data...</v>
      </c>
      <c r="K733" t="str">
        <f>_xll.BDP("41421TFE Muni","MATURITY")</f>
        <v>#N/A Requesting Data...</v>
      </c>
      <c r="L733">
        <v>25000</v>
      </c>
      <c r="M733" t="str">
        <f>_xll.BDP("41421TFE Muni","YIELD_ON_ISSUE_DATE")</f>
        <v>#N/A Requesting Data...</v>
      </c>
      <c r="N733" t="str">
        <f>_xll.BDP("41421TFE Muni","YTW_SPREAD_TO_MATURITY_AT_ISSU")</f>
        <v>#N/A Requesting Data...</v>
      </c>
      <c r="O733" t="str">
        <f>_xll.BDP("41421TFE Muni","BVAL_MID_YTM")</f>
        <v>#N/A Requesting Data...</v>
      </c>
      <c r="P733" t="str">
        <f>_xll.BDP("41421TFE Muni","MUNI_TAX_PROV")</f>
        <v>#N/A Requesting Data...</v>
      </c>
      <c r="Q733" t="str">
        <f>_xll.BDP("41421TFE Muni","MUNI_FED_TAX")</f>
        <v>#N/A Requesting Data...</v>
      </c>
      <c r="R733" t="str">
        <f>_xll.BDP("41421TFE Muni","MUNI_MSRB_VOLUME")</f>
        <v>#N/A Requesting Data...</v>
      </c>
      <c r="S733" t="str">
        <f>_xll.BDP("41421TFE Muni","BB_COMPOSITE")</f>
        <v>#N/A Requesting Data...</v>
      </c>
      <c r="T733" t="str">
        <f>_xll.BDP("41421TFE Muni","LQA_LIQUIDITY_SCORE")</f>
        <v>#N/A Requesting Data...</v>
      </c>
    </row>
    <row r="734" spans="1:20" x14ac:dyDescent="0.25">
      <c r="A734" t="str">
        <f>_xll.BDP("41422MCF Muni","ID_CUSIP")</f>
        <v>#N/A Requesting Data...</v>
      </c>
      <c r="B734" t="s">
        <v>203</v>
      </c>
      <c r="C734" t="str">
        <f>_xll.BDP("41422MCF Muni","INSURANCE_STATUS")</f>
        <v>#N/A Requesting Data...</v>
      </c>
      <c r="D734" t="str">
        <f>_xll.BDP("41422MCF Muni","STATE_CODE")</f>
        <v>#N/A Requesting Data...</v>
      </c>
      <c r="E734" t="str">
        <f>_xll.BDP("41422MCF Muni","COUNTY_LOCATION_ISSUER")</f>
        <v>#N/A Requesting Data...</v>
      </c>
      <c r="F734" t="str">
        <f>_xll.BDP("41422MCF Muni","DUR_ADJ_MID")</f>
        <v>#N/A Requesting Data...</v>
      </c>
      <c r="G734" t="str">
        <f>_xll.BDP("41422MCF Muni","SPREAD_AT_ISSUANCE_TO_WORST")</f>
        <v>#N/A Requesting Data...</v>
      </c>
      <c r="H734" t="str">
        <f>_xll.BDP("41422MCF Muni","ISSUE_DT")</f>
        <v>#N/A Requesting Data...</v>
      </c>
      <c r="I734" t="str">
        <f>_xll.BDS("41422MCF Muni","MUNI_PURPOSE_SCHED", "aggregate=y")</f>
        <v>#N/A Requesting Data...</v>
      </c>
      <c r="J734" t="str">
        <f>_xll.BDP("41422MCF Muni","CPN")</f>
        <v>#N/A Requesting Data...</v>
      </c>
      <c r="K734" t="str">
        <f>_xll.BDP("41422MCF Muni","MATURITY")</f>
        <v>#N/A Requesting Data...</v>
      </c>
      <c r="L734">
        <v>100000</v>
      </c>
      <c r="M734" t="str">
        <f>_xll.BDP("41422MCF Muni","YIELD_ON_ISSUE_DATE")</f>
        <v>#N/A Requesting Data...</v>
      </c>
      <c r="N734" t="str">
        <f>_xll.BDP("41422MCF Muni","YTW_SPREAD_TO_MATURITY_AT_ISSU")</f>
        <v>#N/A Requesting Data...</v>
      </c>
      <c r="O734" t="str">
        <f>_xll.BDP("41422MCF Muni","BVAL_MID_YTM")</f>
        <v>#N/A Requesting Data...</v>
      </c>
      <c r="P734" t="str">
        <f>_xll.BDP("41422MCF Muni","MUNI_TAX_PROV")</f>
        <v>#N/A Requesting Data...</v>
      </c>
      <c r="Q734" t="str">
        <f>_xll.BDP("41422MCF Muni","MUNI_FED_TAX")</f>
        <v>#N/A Requesting Data...</v>
      </c>
      <c r="R734" t="str">
        <f>_xll.BDP("41422MCF Muni","MUNI_MSRB_VOLUME")</f>
        <v>#N/A Requesting Data...</v>
      </c>
      <c r="S734" t="str">
        <f>_xll.BDP("41422MCF Muni","BB_COMPOSITE")</f>
        <v>#N/A Requesting Data...</v>
      </c>
      <c r="T734" t="str">
        <f>_xll.BDP("41422MCF Muni","LQA_LIQUIDITY_SCORE")</f>
        <v>#N/A Requesting Data...</v>
      </c>
    </row>
    <row r="735" spans="1:20" x14ac:dyDescent="0.25">
      <c r="A735" t="str">
        <f>_xll.BDP("338073EF Muni","ID_CUSIP")</f>
        <v>#N/A Requesting Data...</v>
      </c>
      <c r="B735" t="s">
        <v>204</v>
      </c>
      <c r="C735" t="str">
        <f>_xll.BDP("338073EF Muni","INSURANCE_STATUS")</f>
        <v>#N/A Requesting Data...</v>
      </c>
      <c r="D735" t="str">
        <f>_xll.BDP("338073EF Muni","STATE_CODE")</f>
        <v>#N/A Requesting Data...</v>
      </c>
      <c r="E735" t="str">
        <f>_xll.BDP("338073EF Muni","COUNTY_LOCATION_ISSUER")</f>
        <v>#N/A Requesting Data...</v>
      </c>
      <c r="F735" t="str">
        <f>_xll.BDP("338073EF Muni","DUR_ADJ_MID")</f>
        <v>#N/A Requesting Data...</v>
      </c>
      <c r="G735" t="str">
        <f>_xll.BDP("338073EF Muni","SPREAD_AT_ISSUANCE_TO_WORST")</f>
        <v>#N/A Requesting Data...</v>
      </c>
      <c r="H735" t="str">
        <f>_xll.BDP("338073EF Muni","ISSUE_DT")</f>
        <v>#N/A Requesting Data...</v>
      </c>
      <c r="I735" t="str">
        <f>_xll.BDS("338073EF Muni","MUNI_PURPOSE_SCHED", "aggregate=y")</f>
        <v>#N/A Requesting Data...</v>
      </c>
      <c r="J735" t="str">
        <f>_xll.BDP("338073EF Muni","CPN")</f>
        <v>#N/A Requesting Data...</v>
      </c>
      <c r="K735" t="str">
        <f>_xll.BDP("338073EF Muni","MATURITY")</f>
        <v>#N/A Requesting Data...</v>
      </c>
      <c r="L735">
        <v>115000</v>
      </c>
      <c r="M735" t="str">
        <f>_xll.BDP("338073EF Muni","YIELD_ON_ISSUE_DATE")</f>
        <v>#N/A Requesting Data...</v>
      </c>
      <c r="N735" t="str">
        <f>_xll.BDP("338073EF Muni","YTW_SPREAD_TO_MATURITY_AT_ISSU")</f>
        <v>#N/A Requesting Data...</v>
      </c>
      <c r="O735" t="str">
        <f>_xll.BDP("338073EF Muni","BVAL_MID_YTM")</f>
        <v>#N/A Requesting Data...</v>
      </c>
      <c r="P735" t="str">
        <f>_xll.BDP("338073EF Muni","MUNI_TAX_PROV")</f>
        <v>#N/A Requesting Data...</v>
      </c>
      <c r="Q735" t="str">
        <f>_xll.BDP("338073EF Muni","MUNI_FED_TAX")</f>
        <v>#N/A Requesting Data...</v>
      </c>
      <c r="R735" t="str">
        <f>_xll.BDP("338073EF Muni","MUNI_MSRB_VOLUME")</f>
        <v>#N/A Requesting Data...</v>
      </c>
      <c r="S735" t="str">
        <f>_xll.BDP("338073EF Muni","BB_COMPOSITE")</f>
        <v>#N/A Requesting Data...</v>
      </c>
      <c r="T735" t="str">
        <f>_xll.BDP("338073EF Muni","LQA_LIQUIDITY_SCORE")</f>
        <v>#N/A Requesting Data...</v>
      </c>
    </row>
    <row r="736" spans="1:20" x14ac:dyDescent="0.25">
      <c r="A736" t="str">
        <f>_xll.BDP("41422PLE Muni","ID_CUSIP")</f>
        <v>#N/A Requesting Data...</v>
      </c>
      <c r="B736" t="s">
        <v>205</v>
      </c>
      <c r="C736" t="str">
        <f>_xll.BDP("41422PLE Muni","INSURANCE_STATUS")</f>
        <v>#N/A Requesting Data...</v>
      </c>
      <c r="D736" t="str">
        <f>_xll.BDP("41422PLE Muni","STATE_CODE")</f>
        <v>#N/A Requesting Data...</v>
      </c>
      <c r="E736" t="str">
        <f>_xll.BDP("41422PLE Muni","COUNTY_LOCATION_ISSUER")</f>
        <v>#N/A Requesting Data...</v>
      </c>
      <c r="F736" t="str">
        <f>_xll.BDP("41422PLE Muni","DUR_ADJ_MID")</f>
        <v>#N/A Requesting Data...</v>
      </c>
      <c r="G736" t="str">
        <f>_xll.BDP("41422PLE Muni","SPREAD_AT_ISSUANCE_TO_WORST")</f>
        <v>#N/A Requesting Data...</v>
      </c>
      <c r="H736" t="str">
        <f>_xll.BDP("41422PLE Muni","ISSUE_DT")</f>
        <v>#N/A Requesting Data...</v>
      </c>
      <c r="I736" t="str">
        <f>_xll.BDS("41422PLE Muni","MUNI_PURPOSE_SCHED", "aggregate=y")</f>
        <v>#N/A Requesting Data...</v>
      </c>
      <c r="J736" t="str">
        <f>_xll.BDP("41422PLE Muni","CPN")</f>
        <v>#N/A Requesting Data...</v>
      </c>
      <c r="K736" t="str">
        <f>_xll.BDP("41422PLE Muni","MATURITY")</f>
        <v>#N/A Requesting Data...</v>
      </c>
      <c r="L736">
        <v>325000</v>
      </c>
      <c r="M736" t="str">
        <f>_xll.BDP("41422PLE Muni","YIELD_ON_ISSUE_DATE")</f>
        <v>#N/A Requesting Data...</v>
      </c>
      <c r="N736" t="str">
        <f>_xll.BDP("41422PLE Muni","YTW_SPREAD_TO_MATURITY_AT_ISSU")</f>
        <v>#N/A Requesting Data...</v>
      </c>
      <c r="O736" t="str">
        <f>_xll.BDP("41422PLE Muni","BVAL_MID_YTM")</f>
        <v>#N/A Requesting Data...</v>
      </c>
      <c r="P736" t="str">
        <f>_xll.BDP("41422PLE Muni","MUNI_TAX_PROV")</f>
        <v>#N/A Requesting Data...</v>
      </c>
      <c r="Q736" t="str">
        <f>_xll.BDP("41422PLE Muni","MUNI_FED_TAX")</f>
        <v>#N/A Requesting Data...</v>
      </c>
      <c r="R736" t="str">
        <f>_xll.BDP("41422PLE Muni","MUNI_MSRB_VOLUME")</f>
        <v>#N/A Requesting Data...</v>
      </c>
      <c r="S736" t="str">
        <f>_xll.BDP("41422PLE Muni","BB_COMPOSITE")</f>
        <v>#N/A Requesting Data...</v>
      </c>
      <c r="T736" t="str">
        <f>_xll.BDP("41422PLE Muni","LQA_LIQUIDITY_SCORE")</f>
        <v>#N/A Requesting Data...</v>
      </c>
    </row>
    <row r="737" spans="1:20" x14ac:dyDescent="0.25">
      <c r="A737" t="str">
        <f>_xll.BDP("41422PLG Muni","ID_CUSIP")</f>
        <v>#N/A Requesting Data...</v>
      </c>
      <c r="B737" t="s">
        <v>205</v>
      </c>
      <c r="C737" t="str">
        <f>_xll.BDP("41422PLG Muni","INSURANCE_STATUS")</f>
        <v>#N/A Requesting Data...</v>
      </c>
      <c r="D737" t="str">
        <f>_xll.BDP("41422PLG Muni","STATE_CODE")</f>
        <v>#N/A Requesting Data...</v>
      </c>
      <c r="E737" t="str">
        <f>_xll.BDP("41422PLG Muni","COUNTY_LOCATION_ISSUER")</f>
        <v>#N/A Requesting Data...</v>
      </c>
      <c r="F737" t="str">
        <f>_xll.BDP("41422PLG Muni","DUR_ADJ_MID")</f>
        <v>#N/A Requesting Data...</v>
      </c>
      <c r="G737" t="str">
        <f>_xll.BDP("41422PLG Muni","SPREAD_AT_ISSUANCE_TO_WORST")</f>
        <v>#N/A Requesting Data...</v>
      </c>
      <c r="H737" t="str">
        <f>_xll.BDP("41422PLG Muni","ISSUE_DT")</f>
        <v>#N/A Requesting Data...</v>
      </c>
      <c r="I737" t="str">
        <f>_xll.BDS("41422PLG Muni","MUNI_PURPOSE_SCHED", "aggregate=y")</f>
        <v>#N/A Requesting Data...</v>
      </c>
      <c r="J737" t="str">
        <f>_xll.BDP("41422PLG Muni","CPN")</f>
        <v>#N/A Requesting Data...</v>
      </c>
      <c r="K737" t="str">
        <f>_xll.BDP("41422PLG Muni","MATURITY")</f>
        <v>#N/A Requesting Data...</v>
      </c>
      <c r="L737">
        <v>345000</v>
      </c>
      <c r="M737" t="str">
        <f>_xll.BDP("41422PLG Muni","YIELD_ON_ISSUE_DATE")</f>
        <v>#N/A Requesting Data...</v>
      </c>
      <c r="N737" t="str">
        <f>_xll.BDP("41422PLG Muni","YTW_SPREAD_TO_MATURITY_AT_ISSU")</f>
        <v>#N/A Requesting Data...</v>
      </c>
      <c r="O737" t="str">
        <f>_xll.BDP("41422PLG Muni","BVAL_MID_YTM")</f>
        <v>#N/A Requesting Data...</v>
      </c>
      <c r="P737" t="str">
        <f>_xll.BDP("41422PLG Muni","MUNI_TAX_PROV")</f>
        <v>#N/A Requesting Data...</v>
      </c>
      <c r="Q737" t="str">
        <f>_xll.BDP("41422PLG Muni","MUNI_FED_TAX")</f>
        <v>#N/A Requesting Data...</v>
      </c>
      <c r="R737" t="str">
        <f>_xll.BDP("41422PLG Muni","MUNI_MSRB_VOLUME")</f>
        <v>#N/A Requesting Data...</v>
      </c>
      <c r="S737" t="str">
        <f>_xll.BDP("41422PLG Muni","BB_COMPOSITE")</f>
        <v>#N/A Requesting Data...</v>
      </c>
      <c r="T737" t="str">
        <f>_xll.BDP("41422PLG Muni","LQA_LIQUIDITY_SCORE")</f>
        <v>#N/A Requesting Data...</v>
      </c>
    </row>
    <row r="738" spans="1:20" x14ac:dyDescent="0.25">
      <c r="A738" t="str">
        <f>_xll.BDP("41422RCT Muni","ID_CUSIP")</f>
        <v>#N/A Requesting Data...</v>
      </c>
      <c r="B738" t="s">
        <v>206</v>
      </c>
      <c r="C738" t="str">
        <f>_xll.BDP("41422RCT Muni","INSURANCE_STATUS")</f>
        <v>#N/A Requesting Data...</v>
      </c>
      <c r="D738" t="str">
        <f>_xll.BDP("41422RCT Muni","STATE_CODE")</f>
        <v>#N/A Requesting Data...</v>
      </c>
      <c r="E738" t="str">
        <f>_xll.BDP("41422RCT Muni","COUNTY_LOCATION_ISSUER")</f>
        <v>#N/A Requesting Data...</v>
      </c>
      <c r="F738" t="str">
        <f>_xll.BDP("41422RCT Muni","DUR_ADJ_MID")</f>
        <v>#N/A Requesting Data...</v>
      </c>
      <c r="G738" t="str">
        <f>_xll.BDP("41422RCT Muni","SPREAD_AT_ISSUANCE_TO_WORST")</f>
        <v>#N/A Requesting Data...</v>
      </c>
      <c r="H738" t="str">
        <f>_xll.BDP("41422RCT Muni","ISSUE_DT")</f>
        <v>#N/A Requesting Data...</v>
      </c>
      <c r="I738" t="str">
        <f>_xll.BDS("41422RCT Muni","MUNI_PURPOSE_SCHED", "aggregate=y")</f>
        <v>#N/A Requesting Data...</v>
      </c>
      <c r="J738" t="str">
        <f>_xll.BDP("41422RCT Muni","CPN")</f>
        <v>#N/A Requesting Data...</v>
      </c>
      <c r="K738" t="str">
        <f>_xll.BDP("41422RCT Muni","MATURITY")</f>
        <v>#N/A Requesting Data...</v>
      </c>
      <c r="L738">
        <v>300000</v>
      </c>
      <c r="M738" t="str">
        <f>_xll.BDP("41422RCT Muni","YIELD_ON_ISSUE_DATE")</f>
        <v>#N/A Requesting Data...</v>
      </c>
      <c r="N738" t="str">
        <f>_xll.BDP("41422RCT Muni","YTW_SPREAD_TO_MATURITY_AT_ISSU")</f>
        <v>#N/A Requesting Data...</v>
      </c>
      <c r="O738" t="str">
        <f>_xll.BDP("41422RCT Muni","BVAL_MID_YTM")</f>
        <v>#N/A Requesting Data...</v>
      </c>
      <c r="P738" t="str">
        <f>_xll.BDP("41422RCT Muni","MUNI_TAX_PROV")</f>
        <v>#N/A Requesting Data...</v>
      </c>
      <c r="Q738" t="str">
        <f>_xll.BDP("41422RCT Muni","MUNI_FED_TAX")</f>
        <v>#N/A Requesting Data...</v>
      </c>
      <c r="R738" t="str">
        <f>_xll.BDP("41422RCT Muni","MUNI_MSRB_VOLUME")</f>
        <v>#N/A Requesting Data...</v>
      </c>
      <c r="S738" t="str">
        <f>_xll.BDP("41422RCT Muni","BB_COMPOSITE")</f>
        <v>#N/A Requesting Data...</v>
      </c>
      <c r="T738" t="str">
        <f>_xll.BDP("41422RCT Muni","LQA_LIQUIDITY_SCORE")</f>
        <v>#N/A Requesting Data...</v>
      </c>
    </row>
    <row r="739" spans="1:20" x14ac:dyDescent="0.25">
      <c r="A739" t="str">
        <f>_xll.BDP("41422SGL Muni","ID_CUSIP")</f>
        <v>#N/A Requesting Data...</v>
      </c>
      <c r="B739" t="s">
        <v>207</v>
      </c>
      <c r="C739" t="str">
        <f>_xll.BDP("41422SGL Muni","INSURANCE_STATUS")</f>
        <v>#N/A Requesting Data...</v>
      </c>
      <c r="D739" t="str">
        <f>_xll.BDP("41422SGL Muni","STATE_CODE")</f>
        <v>#N/A Requesting Data...</v>
      </c>
      <c r="E739" t="str">
        <f>_xll.BDP("41422SGL Muni","COUNTY_LOCATION_ISSUER")</f>
        <v>#N/A Requesting Data...</v>
      </c>
      <c r="F739" t="str">
        <f>_xll.BDP("41422SGL Muni","DUR_ADJ_MID")</f>
        <v>#N/A Requesting Data...</v>
      </c>
      <c r="G739" t="str">
        <f>_xll.BDP("41422SGL Muni","SPREAD_AT_ISSUANCE_TO_WORST")</f>
        <v>#N/A Requesting Data...</v>
      </c>
      <c r="H739" t="str">
        <f>_xll.BDP("41422SGL Muni","ISSUE_DT")</f>
        <v>#N/A Requesting Data...</v>
      </c>
      <c r="I739" t="str">
        <f>_xll.BDS("41422SGL Muni","MUNI_PURPOSE_SCHED", "aggregate=y")</f>
        <v>#N/A Requesting Data...</v>
      </c>
      <c r="J739" t="str">
        <f>_xll.BDP("41422SGL Muni","CPN")</f>
        <v>#N/A Requesting Data...</v>
      </c>
      <c r="K739" t="str">
        <f>_xll.BDP("41422SGL Muni","MATURITY")</f>
        <v>#N/A Requesting Data...</v>
      </c>
      <c r="L739">
        <v>75000</v>
      </c>
      <c r="M739" t="str">
        <f>_xll.BDP("41422SGL Muni","YIELD_ON_ISSUE_DATE")</f>
        <v>#N/A Requesting Data...</v>
      </c>
      <c r="N739" t="str">
        <f>_xll.BDP("41422SGL Muni","YTW_SPREAD_TO_MATURITY_AT_ISSU")</f>
        <v>#N/A Requesting Data...</v>
      </c>
      <c r="O739" t="str">
        <f>_xll.BDP("41422SGL Muni","BVAL_MID_YTM")</f>
        <v>#N/A Requesting Data...</v>
      </c>
      <c r="P739" t="str">
        <f>_xll.BDP("41422SGL Muni","MUNI_TAX_PROV")</f>
        <v>#N/A Requesting Data...</v>
      </c>
      <c r="Q739" t="str">
        <f>_xll.BDP("41422SGL Muni","MUNI_FED_TAX")</f>
        <v>#N/A Requesting Data...</v>
      </c>
      <c r="R739" t="str">
        <f>_xll.BDP("41422SGL Muni","MUNI_MSRB_VOLUME")</f>
        <v>#N/A Requesting Data...</v>
      </c>
      <c r="S739" t="str">
        <f>_xll.BDP("41422SGL Muni","BB_COMPOSITE")</f>
        <v>#N/A Requesting Data...</v>
      </c>
      <c r="T739" t="str">
        <f>_xll.BDP("41422SGL Muni","LQA_LIQUIDITY_SCORE")</f>
        <v>#N/A Requesting Data...</v>
      </c>
    </row>
    <row r="740" spans="1:20" x14ac:dyDescent="0.25">
      <c r="A740" t="str">
        <f>_xll.BDP("41422SGN Muni","ID_CUSIP")</f>
        <v>#N/A Requesting Data...</v>
      </c>
      <c r="B740" t="s">
        <v>207</v>
      </c>
      <c r="C740" t="str">
        <f>_xll.BDP("41422SGN Muni","INSURANCE_STATUS")</f>
        <v>#N/A Requesting Data...</v>
      </c>
      <c r="D740" t="str">
        <f>_xll.BDP("41422SGN Muni","STATE_CODE")</f>
        <v>#N/A Requesting Data...</v>
      </c>
      <c r="E740" t="str">
        <f>_xll.BDP("41422SGN Muni","COUNTY_LOCATION_ISSUER")</f>
        <v>#N/A Requesting Data...</v>
      </c>
      <c r="F740" t="str">
        <f>_xll.BDP("41422SGN Muni","DUR_ADJ_MID")</f>
        <v>#N/A Requesting Data...</v>
      </c>
      <c r="G740" t="str">
        <f>_xll.BDP("41422SGN Muni","SPREAD_AT_ISSUANCE_TO_WORST")</f>
        <v>#N/A Requesting Data...</v>
      </c>
      <c r="H740" t="str">
        <f>_xll.BDP("41422SGN Muni","ISSUE_DT")</f>
        <v>#N/A Requesting Data...</v>
      </c>
      <c r="I740" t="str">
        <f>_xll.BDS("41422SGN Muni","MUNI_PURPOSE_SCHED", "aggregate=y")</f>
        <v>#N/A Requesting Data...</v>
      </c>
      <c r="J740" t="str">
        <f>_xll.BDP("41422SGN Muni","CPN")</f>
        <v>#N/A Requesting Data...</v>
      </c>
      <c r="K740" t="str">
        <f>_xll.BDP("41422SGN Muni","MATURITY")</f>
        <v>#N/A Requesting Data...</v>
      </c>
      <c r="L740">
        <v>75000</v>
      </c>
      <c r="M740" t="str">
        <f>_xll.BDP("41422SGN Muni","YIELD_ON_ISSUE_DATE")</f>
        <v>#N/A Requesting Data...</v>
      </c>
      <c r="N740" t="str">
        <f>_xll.BDP("41422SGN Muni","YTW_SPREAD_TO_MATURITY_AT_ISSU")</f>
        <v>#N/A Requesting Data...</v>
      </c>
      <c r="O740" t="str">
        <f>_xll.BDP("41422SGN Muni","BVAL_MID_YTM")</f>
        <v>#N/A Requesting Data...</v>
      </c>
      <c r="P740" t="str">
        <f>_xll.BDP("41422SGN Muni","MUNI_TAX_PROV")</f>
        <v>#N/A Requesting Data...</v>
      </c>
      <c r="Q740" t="str">
        <f>_xll.BDP("41422SGN Muni","MUNI_FED_TAX")</f>
        <v>#N/A Requesting Data...</v>
      </c>
      <c r="R740" t="str">
        <f>_xll.BDP("41422SGN Muni","MUNI_MSRB_VOLUME")</f>
        <v>#N/A Requesting Data...</v>
      </c>
      <c r="S740" t="str">
        <f>_xll.BDP("41422SGN Muni","BB_COMPOSITE")</f>
        <v>#N/A Requesting Data...</v>
      </c>
      <c r="T740" t="str">
        <f>_xll.BDP("41422SGN Muni","LQA_LIQUIDITY_SCORE")</f>
        <v>#N/A Requesting Data...</v>
      </c>
    </row>
    <row r="741" spans="1:20" x14ac:dyDescent="0.25">
      <c r="A741" t="str">
        <f>_xll.BDP("338444BK Muni","ID_CUSIP")</f>
        <v>#N/A Requesting Data...</v>
      </c>
      <c r="B741" t="s">
        <v>208</v>
      </c>
      <c r="C741" t="str">
        <f>_xll.BDP("338444BK Muni","INSURANCE_STATUS")</f>
        <v>#N/A Requesting Data...</v>
      </c>
      <c r="D741" t="str">
        <f>_xll.BDP("338444BK Muni","STATE_CODE")</f>
        <v>#N/A Requesting Data...</v>
      </c>
      <c r="E741" t="str">
        <f>_xll.BDP("338444BK Muni","COUNTY_LOCATION_ISSUER")</f>
        <v>#N/A Requesting Data...</v>
      </c>
      <c r="F741" t="str">
        <f>_xll.BDP("338444BK Muni","DUR_ADJ_MID")</f>
        <v>#N/A Requesting Data...</v>
      </c>
      <c r="G741" t="str">
        <f>_xll.BDP("338444BK Muni","SPREAD_AT_ISSUANCE_TO_WORST")</f>
        <v>#N/A Requesting Data...</v>
      </c>
      <c r="H741" t="str">
        <f>_xll.BDP("338444BK Muni","ISSUE_DT")</f>
        <v>#N/A Requesting Data...</v>
      </c>
      <c r="I741" t="str">
        <f>_xll.BDS("338444BK Muni","MUNI_PURPOSE_SCHED", "aggregate=y")</f>
        <v>#N/A Requesting Data...</v>
      </c>
      <c r="J741" t="str">
        <f>_xll.BDP("338444BK Muni","CPN")</f>
        <v>#N/A Requesting Data...</v>
      </c>
      <c r="K741" t="str">
        <f>_xll.BDP("338444BK Muni","MATURITY")</f>
        <v>#N/A Requesting Data...</v>
      </c>
      <c r="L741">
        <v>425000</v>
      </c>
      <c r="M741" t="str">
        <f>_xll.BDP("338444BK Muni","YIELD_ON_ISSUE_DATE")</f>
        <v>#N/A Requesting Data...</v>
      </c>
      <c r="N741" t="str">
        <f>_xll.BDP("338444BK Muni","YTW_SPREAD_TO_MATURITY_AT_ISSU")</f>
        <v>#N/A Requesting Data...</v>
      </c>
      <c r="O741" t="str">
        <f>_xll.BDP("338444BK Muni","BVAL_MID_YTM")</f>
        <v>#N/A Requesting Data...</v>
      </c>
      <c r="P741" t="str">
        <f>_xll.BDP("338444BK Muni","MUNI_TAX_PROV")</f>
        <v>#N/A Requesting Data...</v>
      </c>
      <c r="Q741" t="str">
        <f>_xll.BDP("338444BK Muni","MUNI_FED_TAX")</f>
        <v>#N/A Requesting Data...</v>
      </c>
      <c r="R741" t="str">
        <f>_xll.BDP("338444BK Muni","MUNI_MSRB_VOLUME")</f>
        <v>#N/A Requesting Data...</v>
      </c>
      <c r="S741" t="str">
        <f>_xll.BDP("338444BK Muni","BB_COMPOSITE")</f>
        <v>#N/A Requesting Data...</v>
      </c>
      <c r="T741" t="str">
        <f>_xll.BDP("338444BK Muni","LQA_LIQUIDITY_SCORE")</f>
        <v>#N/A Requesting Data...</v>
      </c>
    </row>
    <row r="742" spans="1:20" x14ac:dyDescent="0.25">
      <c r="A742" t="str">
        <f>_xll.BDP("338444BL Muni","ID_CUSIP")</f>
        <v>#N/A Requesting Data...</v>
      </c>
      <c r="B742" t="s">
        <v>208</v>
      </c>
      <c r="C742" t="str">
        <f>_xll.BDP("338444BL Muni","INSURANCE_STATUS")</f>
        <v>#N/A Requesting Data...</v>
      </c>
      <c r="D742" t="str">
        <f>_xll.BDP("338444BL Muni","STATE_CODE")</f>
        <v>#N/A Requesting Data...</v>
      </c>
      <c r="E742" t="str">
        <f>_xll.BDP("338444BL Muni","COUNTY_LOCATION_ISSUER")</f>
        <v>#N/A Requesting Data...</v>
      </c>
      <c r="F742" t="str">
        <f>_xll.BDP("338444BL Muni","DUR_ADJ_MID")</f>
        <v>#N/A Requesting Data...</v>
      </c>
      <c r="G742" t="str">
        <f>_xll.BDP("338444BL Muni","SPREAD_AT_ISSUANCE_TO_WORST")</f>
        <v>#N/A Requesting Data...</v>
      </c>
      <c r="H742" t="str">
        <f>_xll.BDP("338444BL Muni","ISSUE_DT")</f>
        <v>#N/A Requesting Data...</v>
      </c>
      <c r="I742" t="str">
        <f>_xll.BDS("338444BL Muni","MUNI_PURPOSE_SCHED", "aggregate=y")</f>
        <v>#N/A Requesting Data...</v>
      </c>
      <c r="J742" t="str">
        <f>_xll.BDP("338444BL Muni","CPN")</f>
        <v>#N/A Requesting Data...</v>
      </c>
      <c r="K742" t="str">
        <f>_xll.BDP("338444BL Muni","MATURITY")</f>
        <v>#N/A Requesting Data...</v>
      </c>
      <c r="L742">
        <v>445000</v>
      </c>
      <c r="M742" t="str">
        <f>_xll.BDP("338444BL Muni","YIELD_ON_ISSUE_DATE")</f>
        <v>#N/A Requesting Data...</v>
      </c>
      <c r="N742" t="str">
        <f>_xll.BDP("338444BL Muni","YTW_SPREAD_TO_MATURITY_AT_ISSU")</f>
        <v>#N/A Requesting Data...</v>
      </c>
      <c r="O742" t="str">
        <f>_xll.BDP("338444BL Muni","BVAL_MID_YTM")</f>
        <v>#N/A Requesting Data...</v>
      </c>
      <c r="P742" t="str">
        <f>_xll.BDP("338444BL Muni","MUNI_TAX_PROV")</f>
        <v>#N/A Requesting Data...</v>
      </c>
      <c r="Q742" t="str">
        <f>_xll.BDP("338444BL Muni","MUNI_FED_TAX")</f>
        <v>#N/A Requesting Data...</v>
      </c>
      <c r="R742" t="str">
        <f>_xll.BDP("338444BL Muni","MUNI_MSRB_VOLUME")</f>
        <v>#N/A Requesting Data...</v>
      </c>
      <c r="S742" t="str">
        <f>_xll.BDP("338444BL Muni","BB_COMPOSITE")</f>
        <v>#N/A Requesting Data...</v>
      </c>
      <c r="T742" t="str">
        <f>_xll.BDP("338444BL Muni","LQA_LIQUIDITY_SCORE")</f>
        <v>#N/A Requesting Data...</v>
      </c>
    </row>
    <row r="743" spans="1:20" x14ac:dyDescent="0.25">
      <c r="A743" t="str">
        <f>_xll.BDP("41422WDG Muni","ID_CUSIP")</f>
        <v>#N/A Requesting Data...</v>
      </c>
      <c r="B743" t="s">
        <v>209</v>
      </c>
      <c r="C743" t="str">
        <f>_xll.BDP("41422WDG Muni","INSURANCE_STATUS")</f>
        <v>#N/A Requesting Data...</v>
      </c>
      <c r="D743" t="str">
        <f>_xll.BDP("41422WDG Muni","STATE_CODE")</f>
        <v>#N/A Requesting Data...</v>
      </c>
      <c r="E743" t="str">
        <f>_xll.BDP("41422WDG Muni","COUNTY_LOCATION_ISSUER")</f>
        <v>#N/A Requesting Data...</v>
      </c>
      <c r="F743" t="str">
        <f>_xll.BDP("41422WDG Muni","DUR_ADJ_MID")</f>
        <v>#N/A Requesting Data...</v>
      </c>
      <c r="G743" t="str">
        <f>_xll.BDP("41422WDG Muni","SPREAD_AT_ISSUANCE_TO_WORST")</f>
        <v>#N/A Requesting Data...</v>
      </c>
      <c r="H743" t="str">
        <f>_xll.BDP("41422WDG Muni","ISSUE_DT")</f>
        <v>#N/A Requesting Data...</v>
      </c>
      <c r="I743" t="str">
        <f>_xll.BDS("41422WDG Muni","MUNI_PURPOSE_SCHED", "aggregate=y")</f>
        <v>#N/A Requesting Data...</v>
      </c>
      <c r="J743" t="str">
        <f>_xll.BDP("41422WDG Muni","CPN")</f>
        <v>#N/A Requesting Data...</v>
      </c>
      <c r="K743" t="str">
        <f>_xll.BDP("41422WDG Muni","MATURITY")</f>
        <v>#N/A Requesting Data...</v>
      </c>
      <c r="L743">
        <v>115000</v>
      </c>
      <c r="M743" t="str">
        <f>_xll.BDP("41422WDG Muni","YIELD_ON_ISSUE_DATE")</f>
        <v>#N/A Requesting Data...</v>
      </c>
      <c r="N743" t="str">
        <f>_xll.BDP("41422WDG Muni","YTW_SPREAD_TO_MATURITY_AT_ISSU")</f>
        <v>#N/A Requesting Data...</v>
      </c>
      <c r="O743" t="str">
        <f>_xll.BDP("41422WDG Muni","BVAL_MID_YTM")</f>
        <v>#N/A Requesting Data...</v>
      </c>
      <c r="P743" t="str">
        <f>_xll.BDP("41422WDG Muni","MUNI_TAX_PROV")</f>
        <v>#N/A Requesting Data...</v>
      </c>
      <c r="Q743" t="str">
        <f>_xll.BDP("41422WDG Muni","MUNI_FED_TAX")</f>
        <v>#N/A Requesting Data...</v>
      </c>
      <c r="R743" t="str">
        <f>_xll.BDP("41422WDG Muni","MUNI_MSRB_VOLUME")</f>
        <v>#N/A Requesting Data...</v>
      </c>
      <c r="S743" t="str">
        <f>_xll.BDP("41422WDG Muni","BB_COMPOSITE")</f>
        <v>#N/A Requesting Data...</v>
      </c>
      <c r="T743" t="str">
        <f>_xll.BDP("41422WDG Muni","LQA_LIQUIDITY_SCORE")</f>
        <v>#N/A Requesting Data...</v>
      </c>
    </row>
    <row r="744" spans="1:20" x14ac:dyDescent="0.25">
      <c r="A744" t="str">
        <f>_xll.BDP("41423EDE Muni","ID_CUSIP")</f>
        <v>#N/A Requesting Data...</v>
      </c>
      <c r="B744" t="s">
        <v>210</v>
      </c>
      <c r="C744" t="str">
        <f>_xll.BDP("41423EDE Muni","INSURANCE_STATUS")</f>
        <v>#N/A Requesting Data...</v>
      </c>
      <c r="D744" t="str">
        <f>_xll.BDP("41423EDE Muni","STATE_CODE")</f>
        <v>#N/A Requesting Data...</v>
      </c>
      <c r="E744" t="str">
        <f>_xll.BDP("41423EDE Muni","COUNTY_LOCATION_ISSUER")</f>
        <v>#N/A Requesting Data...</v>
      </c>
      <c r="F744" t="str">
        <f>_xll.BDP("41423EDE Muni","DUR_ADJ_MID")</f>
        <v>#N/A Requesting Data...</v>
      </c>
      <c r="G744" t="str">
        <f>_xll.BDP("41423EDE Muni","SPREAD_AT_ISSUANCE_TO_WORST")</f>
        <v>#N/A Requesting Data...</v>
      </c>
      <c r="H744" t="str">
        <f>_xll.BDP("41423EDE Muni","ISSUE_DT")</f>
        <v>#N/A Requesting Data...</v>
      </c>
      <c r="I744" t="str">
        <f>_xll.BDS("41423EDE Muni","MUNI_PURPOSE_SCHED", "aggregate=y")</f>
        <v>#N/A Requesting Data...</v>
      </c>
      <c r="J744" t="str">
        <f>_xll.BDP("41423EDE Muni","CPN")</f>
        <v>#N/A Requesting Data...</v>
      </c>
      <c r="K744" t="str">
        <f>_xll.BDP("41423EDE Muni","MATURITY")</f>
        <v>#N/A Requesting Data...</v>
      </c>
      <c r="L744">
        <v>165000</v>
      </c>
      <c r="M744" t="str">
        <f>_xll.BDP("41423EDE Muni","YIELD_ON_ISSUE_DATE")</f>
        <v>#N/A Requesting Data...</v>
      </c>
      <c r="N744" t="str">
        <f>_xll.BDP("41423EDE Muni","YTW_SPREAD_TO_MATURITY_AT_ISSU")</f>
        <v>#N/A Requesting Data...</v>
      </c>
      <c r="O744" t="str">
        <f>_xll.BDP("41423EDE Muni","BVAL_MID_YTM")</f>
        <v>#N/A Requesting Data...</v>
      </c>
      <c r="P744" t="str">
        <f>_xll.BDP("41423EDE Muni","MUNI_TAX_PROV")</f>
        <v>#N/A Requesting Data...</v>
      </c>
      <c r="Q744" t="str">
        <f>_xll.BDP("41423EDE Muni","MUNI_FED_TAX")</f>
        <v>#N/A Requesting Data...</v>
      </c>
      <c r="R744" t="str">
        <f>_xll.BDP("41423EDE Muni","MUNI_MSRB_VOLUME")</f>
        <v>#N/A Requesting Data...</v>
      </c>
      <c r="S744" t="str">
        <f>_xll.BDP("41423EDE Muni","BB_COMPOSITE")</f>
        <v>#N/A Requesting Data...</v>
      </c>
      <c r="T744" t="str">
        <f>_xll.BDP("41423EDE Muni","LQA_LIQUIDITY_SCORE")</f>
        <v>#N/A Requesting Data...</v>
      </c>
    </row>
    <row r="745" spans="1:20" x14ac:dyDescent="0.25">
      <c r="A745" t="str">
        <f>_xll.BDP("41423LAD Muni","ID_CUSIP")</f>
        <v>#N/A Requesting Data...</v>
      </c>
      <c r="B745" t="s">
        <v>211</v>
      </c>
      <c r="C745" t="str">
        <f>_xll.BDP("41423LAD Muni","INSURANCE_STATUS")</f>
        <v>#N/A Requesting Data...</v>
      </c>
      <c r="D745" t="str">
        <f>_xll.BDP("41423LAD Muni","STATE_CODE")</f>
        <v>#N/A Requesting Data...</v>
      </c>
      <c r="E745" t="str">
        <f>_xll.BDP("41423LAD Muni","COUNTY_LOCATION_ISSUER")</f>
        <v>#N/A Requesting Data...</v>
      </c>
      <c r="F745" t="str">
        <f>_xll.BDP("41423LAD Muni","DUR_ADJ_MID")</f>
        <v>#N/A Requesting Data...</v>
      </c>
      <c r="G745" t="str">
        <f>_xll.BDP("41423LAD Muni","SPREAD_AT_ISSUANCE_TO_WORST")</f>
        <v>#N/A Requesting Data...</v>
      </c>
      <c r="H745" t="str">
        <f>_xll.BDP("41423LAD Muni","ISSUE_DT")</f>
        <v>#N/A Requesting Data...</v>
      </c>
      <c r="I745" t="str">
        <f>_xll.BDS("41423LAD Muni","MUNI_PURPOSE_SCHED", "aggregate=y")</f>
        <v>#N/A Requesting Data...</v>
      </c>
      <c r="J745" t="str">
        <f>_xll.BDP("41423LAD Muni","CPN")</f>
        <v>#N/A Requesting Data...</v>
      </c>
      <c r="K745" t="str">
        <f>_xll.BDP("41423LAD Muni","MATURITY")</f>
        <v>#N/A Requesting Data...</v>
      </c>
      <c r="L745">
        <v>100000</v>
      </c>
      <c r="M745" t="str">
        <f>_xll.BDP("41423LAD Muni","YIELD_ON_ISSUE_DATE")</f>
        <v>#N/A Requesting Data...</v>
      </c>
      <c r="N745" t="str">
        <f>_xll.BDP("41423LAD Muni","YTW_SPREAD_TO_MATURITY_AT_ISSU")</f>
        <v>#N/A Requesting Data...</v>
      </c>
      <c r="O745" t="str">
        <f>_xll.BDP("41423LAD Muni","BVAL_MID_YTM")</f>
        <v>#N/A Requesting Data...</v>
      </c>
      <c r="P745" t="str">
        <f>_xll.BDP("41423LAD Muni","MUNI_TAX_PROV")</f>
        <v>#N/A Requesting Data...</v>
      </c>
      <c r="Q745" t="str">
        <f>_xll.BDP("41423LAD Muni","MUNI_FED_TAX")</f>
        <v>#N/A Requesting Data...</v>
      </c>
      <c r="R745" t="str">
        <f>_xll.BDP("41423LAD Muni","MUNI_MSRB_VOLUME")</f>
        <v>#N/A Requesting Data...</v>
      </c>
      <c r="S745" t="str">
        <f>_xll.BDP("41423LAD Muni","BB_COMPOSITE")</f>
        <v>#N/A Requesting Data...</v>
      </c>
      <c r="T745" t="str">
        <f>_xll.BDP("41423LAD Muni","LQA_LIQUIDITY_SCORE")</f>
        <v>#N/A Requesting Data...</v>
      </c>
    </row>
    <row r="746" spans="1:20" x14ac:dyDescent="0.25">
      <c r="A746" t="str">
        <f>_xll.BDP("41423LAE Muni","ID_CUSIP")</f>
        <v>#N/A Requesting Data...</v>
      </c>
      <c r="B746" t="s">
        <v>211</v>
      </c>
      <c r="C746" t="str">
        <f>_xll.BDP("41423LAE Muni","INSURANCE_STATUS")</f>
        <v>#N/A Requesting Data...</v>
      </c>
      <c r="D746" t="str">
        <f>_xll.BDP("41423LAE Muni","STATE_CODE")</f>
        <v>#N/A Requesting Data...</v>
      </c>
      <c r="E746" t="str">
        <f>_xll.BDP("41423LAE Muni","COUNTY_LOCATION_ISSUER")</f>
        <v>#N/A Requesting Data...</v>
      </c>
      <c r="F746" t="str">
        <f>_xll.BDP("41423LAE Muni","DUR_ADJ_MID")</f>
        <v>#N/A Requesting Data...</v>
      </c>
      <c r="G746" t="str">
        <f>_xll.BDP("41423LAE Muni","SPREAD_AT_ISSUANCE_TO_WORST")</f>
        <v>#N/A Requesting Data...</v>
      </c>
      <c r="H746" t="str">
        <f>_xll.BDP("41423LAE Muni","ISSUE_DT")</f>
        <v>#N/A Requesting Data...</v>
      </c>
      <c r="I746" t="str">
        <f>_xll.BDS("41423LAE Muni","MUNI_PURPOSE_SCHED", "aggregate=y")</f>
        <v>#N/A Requesting Data...</v>
      </c>
      <c r="J746" t="str">
        <f>_xll.BDP("41423LAE Muni","CPN")</f>
        <v>#N/A Requesting Data...</v>
      </c>
      <c r="K746" t="str">
        <f>_xll.BDP("41423LAE Muni","MATURITY")</f>
        <v>#N/A Requesting Data...</v>
      </c>
      <c r="L746">
        <v>100000</v>
      </c>
      <c r="M746" t="str">
        <f>_xll.BDP("41423LAE Muni","YIELD_ON_ISSUE_DATE")</f>
        <v>#N/A Requesting Data...</v>
      </c>
      <c r="N746" t="str">
        <f>_xll.BDP("41423LAE Muni","YTW_SPREAD_TO_MATURITY_AT_ISSU")</f>
        <v>#N/A Requesting Data...</v>
      </c>
      <c r="O746" t="str">
        <f>_xll.BDP("41423LAE Muni","BVAL_MID_YTM")</f>
        <v>#N/A Requesting Data...</v>
      </c>
      <c r="P746" t="str">
        <f>_xll.BDP("41423LAE Muni","MUNI_TAX_PROV")</f>
        <v>#N/A Requesting Data...</v>
      </c>
      <c r="Q746" t="str">
        <f>_xll.BDP("41423LAE Muni","MUNI_FED_TAX")</f>
        <v>#N/A Requesting Data...</v>
      </c>
      <c r="R746" t="str">
        <f>_xll.BDP("41423LAE Muni","MUNI_MSRB_VOLUME")</f>
        <v>#N/A Requesting Data...</v>
      </c>
      <c r="S746" t="str">
        <f>_xll.BDP("41423LAE Muni","BB_COMPOSITE")</f>
        <v>#N/A Requesting Data...</v>
      </c>
      <c r="T746" t="str">
        <f>_xll.BDP("41423LAE Muni","LQA_LIQUIDITY_SCORE")</f>
        <v>#N/A Requesting Data...</v>
      </c>
    </row>
    <row r="747" spans="1:20" x14ac:dyDescent="0.25">
      <c r="A747" t="str">
        <f>_xll.BDP("41423LAF Muni","ID_CUSIP")</f>
        <v>#N/A Requesting Data...</v>
      </c>
      <c r="B747" t="s">
        <v>211</v>
      </c>
      <c r="C747" t="str">
        <f>_xll.BDP("41423LAF Muni","INSURANCE_STATUS")</f>
        <v>#N/A Requesting Data...</v>
      </c>
      <c r="D747" t="str">
        <f>_xll.BDP("41423LAF Muni","STATE_CODE")</f>
        <v>#N/A Requesting Data...</v>
      </c>
      <c r="E747" t="str">
        <f>_xll.BDP("41423LAF Muni","COUNTY_LOCATION_ISSUER")</f>
        <v>#N/A Requesting Data...</v>
      </c>
      <c r="F747" t="str">
        <f>_xll.BDP("41423LAF Muni","DUR_ADJ_MID")</f>
        <v>#N/A Requesting Data...</v>
      </c>
      <c r="G747" t="str">
        <f>_xll.BDP("41423LAF Muni","SPREAD_AT_ISSUANCE_TO_WORST")</f>
        <v>#N/A Requesting Data...</v>
      </c>
      <c r="H747" t="str">
        <f>_xll.BDP("41423LAF Muni","ISSUE_DT")</f>
        <v>#N/A Requesting Data...</v>
      </c>
      <c r="I747" t="str">
        <f>_xll.BDS("41423LAF Muni","MUNI_PURPOSE_SCHED", "aggregate=y")</f>
        <v>#N/A Requesting Data...</v>
      </c>
      <c r="J747" t="str">
        <f>_xll.BDP("41423LAF Muni","CPN")</f>
        <v>#N/A Requesting Data...</v>
      </c>
      <c r="K747" t="str">
        <f>_xll.BDP("41423LAF Muni","MATURITY")</f>
        <v>#N/A Requesting Data...</v>
      </c>
      <c r="L747">
        <v>105000</v>
      </c>
      <c r="M747" t="str">
        <f>_xll.BDP("41423LAF Muni","YIELD_ON_ISSUE_DATE")</f>
        <v>#N/A Requesting Data...</v>
      </c>
      <c r="N747" t="str">
        <f>_xll.BDP("41423LAF Muni","YTW_SPREAD_TO_MATURITY_AT_ISSU")</f>
        <v>#N/A Requesting Data...</v>
      </c>
      <c r="O747" t="str">
        <f>_xll.BDP("41423LAF Muni","BVAL_MID_YTM")</f>
        <v>#N/A Requesting Data...</v>
      </c>
      <c r="P747" t="str">
        <f>_xll.BDP("41423LAF Muni","MUNI_TAX_PROV")</f>
        <v>#N/A Requesting Data...</v>
      </c>
      <c r="Q747" t="str">
        <f>_xll.BDP("41423LAF Muni","MUNI_FED_TAX")</f>
        <v>#N/A Requesting Data...</v>
      </c>
      <c r="R747" t="str">
        <f>_xll.BDP("41423LAF Muni","MUNI_MSRB_VOLUME")</f>
        <v>#N/A Requesting Data...</v>
      </c>
      <c r="S747" t="str">
        <f>_xll.BDP("41423LAF Muni","BB_COMPOSITE")</f>
        <v>#N/A Requesting Data...</v>
      </c>
      <c r="T747" t="str">
        <f>_xll.BDP("41423LAF Muni","LQA_LIQUIDITY_SCORE")</f>
        <v>#N/A Requesting Data...</v>
      </c>
    </row>
    <row r="748" spans="1:20" x14ac:dyDescent="0.25">
      <c r="A748" t="str">
        <f>_xll.BDP("386316NL Muni","ID_CUSIP")</f>
        <v>#N/A Requesting Data...</v>
      </c>
      <c r="B748" t="s">
        <v>212</v>
      </c>
      <c r="C748" t="str">
        <f>_xll.BDP("386316NL Muni","INSURANCE_STATUS")</f>
        <v>#N/A Requesting Data...</v>
      </c>
      <c r="D748" t="str">
        <f>_xll.BDP("386316NL Muni","STATE_CODE")</f>
        <v>#N/A Requesting Data...</v>
      </c>
      <c r="E748" t="str">
        <f>_xll.BDP("386316NL Muni","COUNTY_LOCATION_ISSUER")</f>
        <v>#N/A Requesting Data...</v>
      </c>
      <c r="F748" t="str">
        <f>_xll.BDP("386316NL Muni","DUR_ADJ_MID")</f>
        <v>#N/A Requesting Data...</v>
      </c>
      <c r="G748" t="str">
        <f>_xll.BDP("386316NL Muni","SPREAD_AT_ISSUANCE_TO_WORST")</f>
        <v>#N/A Requesting Data...</v>
      </c>
      <c r="H748" t="str">
        <f>_xll.BDP("386316NL Muni","ISSUE_DT")</f>
        <v>#N/A Requesting Data...</v>
      </c>
      <c r="I748" t="str">
        <f>_xll.BDS("386316NL Muni","MUNI_PURPOSE_SCHED", "aggregate=y")</f>
        <v>#N/A Requesting Data...</v>
      </c>
      <c r="J748" t="str">
        <f>_xll.BDP("386316NL Muni","CPN")</f>
        <v>#N/A Requesting Data...</v>
      </c>
      <c r="K748" t="str">
        <f>_xll.BDP("386316NL Muni","MATURITY")</f>
        <v>#N/A Requesting Data...</v>
      </c>
      <c r="L748">
        <v>605000</v>
      </c>
      <c r="M748" t="str">
        <f>_xll.BDP("386316NL Muni","YIELD_ON_ISSUE_DATE")</f>
        <v>#N/A Requesting Data...</v>
      </c>
      <c r="N748" t="str">
        <f>_xll.BDP("386316NL Muni","YTW_SPREAD_TO_MATURITY_AT_ISSU")</f>
        <v>#N/A Requesting Data...</v>
      </c>
      <c r="O748" t="str">
        <f>_xll.BDP("386316NL Muni","BVAL_MID_YTM")</f>
        <v>#N/A Requesting Data...</v>
      </c>
      <c r="P748" t="str">
        <f>_xll.BDP("386316NL Muni","MUNI_TAX_PROV")</f>
        <v>#N/A Requesting Data...</v>
      </c>
      <c r="Q748" t="str">
        <f>_xll.BDP("386316NL Muni","MUNI_FED_TAX")</f>
        <v>#N/A Requesting Data...</v>
      </c>
      <c r="R748" t="str">
        <f>_xll.BDP("386316NL Muni","MUNI_MSRB_VOLUME")</f>
        <v>#N/A Requesting Data...</v>
      </c>
      <c r="S748" t="str">
        <f>_xll.BDP("386316NL Muni","BB_COMPOSITE")</f>
        <v>#N/A Requesting Data...</v>
      </c>
      <c r="T748" t="str">
        <f>_xll.BDP("386316NL Muni","LQA_LIQUIDITY_SCORE")</f>
        <v>#N/A Requesting Data...</v>
      </c>
    </row>
    <row r="749" spans="1:20" x14ac:dyDescent="0.25">
      <c r="A749" t="str">
        <f>_xll.BDP("386316NM Muni","ID_CUSIP")</f>
        <v>#N/A Requesting Data...</v>
      </c>
      <c r="B749" t="s">
        <v>212</v>
      </c>
      <c r="C749" t="str">
        <f>_xll.BDP("386316NM Muni","INSURANCE_STATUS")</f>
        <v>#N/A Requesting Data...</v>
      </c>
      <c r="D749" t="str">
        <f>_xll.BDP("386316NM Muni","STATE_CODE")</f>
        <v>#N/A Requesting Data...</v>
      </c>
      <c r="E749" t="str">
        <f>_xll.BDP("386316NM Muni","COUNTY_LOCATION_ISSUER")</f>
        <v>#N/A Requesting Data...</v>
      </c>
      <c r="F749" t="str">
        <f>_xll.BDP("386316NM Muni","DUR_ADJ_MID")</f>
        <v>#N/A Requesting Data...</v>
      </c>
      <c r="G749" t="str">
        <f>_xll.BDP("386316NM Muni","SPREAD_AT_ISSUANCE_TO_WORST")</f>
        <v>#N/A Requesting Data...</v>
      </c>
      <c r="H749" t="str">
        <f>_xll.BDP("386316NM Muni","ISSUE_DT")</f>
        <v>#N/A Requesting Data...</v>
      </c>
      <c r="I749" t="str">
        <f>_xll.BDS("386316NM Muni","MUNI_PURPOSE_SCHED", "aggregate=y")</f>
        <v>#N/A Requesting Data...</v>
      </c>
      <c r="J749" t="str">
        <f>_xll.BDP("386316NM Muni","CPN")</f>
        <v>#N/A Requesting Data...</v>
      </c>
      <c r="K749" t="str">
        <f>_xll.BDP("386316NM Muni","MATURITY")</f>
        <v>#N/A Requesting Data...</v>
      </c>
      <c r="L749">
        <v>635000</v>
      </c>
      <c r="M749" t="str">
        <f>_xll.BDP("386316NM Muni","YIELD_ON_ISSUE_DATE")</f>
        <v>#N/A Requesting Data...</v>
      </c>
      <c r="N749" t="str">
        <f>_xll.BDP("386316NM Muni","YTW_SPREAD_TO_MATURITY_AT_ISSU")</f>
        <v>#N/A Requesting Data...</v>
      </c>
      <c r="O749" t="str">
        <f>_xll.BDP("386316NM Muni","BVAL_MID_YTM")</f>
        <v>#N/A Requesting Data...</v>
      </c>
      <c r="P749" t="str">
        <f>_xll.BDP("386316NM Muni","MUNI_TAX_PROV")</f>
        <v>#N/A Requesting Data...</v>
      </c>
      <c r="Q749" t="str">
        <f>_xll.BDP("386316NM Muni","MUNI_FED_TAX")</f>
        <v>#N/A Requesting Data...</v>
      </c>
      <c r="R749" t="str">
        <f>_xll.BDP("386316NM Muni","MUNI_MSRB_VOLUME")</f>
        <v>#N/A Requesting Data...</v>
      </c>
      <c r="S749" t="str">
        <f>_xll.BDP("386316NM Muni","BB_COMPOSITE")</f>
        <v>#N/A Requesting Data...</v>
      </c>
      <c r="T749" t="str">
        <f>_xll.BDP("386316NM Muni","LQA_LIQUIDITY_SCORE")</f>
        <v>#N/A Requesting Data...</v>
      </c>
    </row>
    <row r="750" spans="1:20" x14ac:dyDescent="0.25">
      <c r="A750" t="str">
        <f>_xll.BDP("386316NN Muni","ID_CUSIP")</f>
        <v>#N/A Requesting Data...</v>
      </c>
      <c r="B750" t="s">
        <v>212</v>
      </c>
      <c r="C750" t="str">
        <f>_xll.BDP("386316NN Muni","INSURANCE_STATUS")</f>
        <v>#N/A Requesting Data...</v>
      </c>
      <c r="D750" t="str">
        <f>_xll.BDP("386316NN Muni","STATE_CODE")</f>
        <v>#N/A Requesting Data...</v>
      </c>
      <c r="E750" t="str">
        <f>_xll.BDP("386316NN Muni","COUNTY_LOCATION_ISSUER")</f>
        <v>#N/A Requesting Data...</v>
      </c>
      <c r="F750" t="str">
        <f>_xll.BDP("386316NN Muni","DUR_ADJ_MID")</f>
        <v>#N/A Requesting Data...</v>
      </c>
      <c r="G750" t="str">
        <f>_xll.BDP("386316NN Muni","SPREAD_AT_ISSUANCE_TO_WORST")</f>
        <v>#N/A Requesting Data...</v>
      </c>
      <c r="H750" t="str">
        <f>_xll.BDP("386316NN Muni","ISSUE_DT")</f>
        <v>#N/A Requesting Data...</v>
      </c>
      <c r="I750" t="str">
        <f>_xll.BDS("386316NN Muni","MUNI_PURPOSE_SCHED", "aggregate=y")</f>
        <v>#N/A Requesting Data...</v>
      </c>
      <c r="J750" t="str">
        <f>_xll.BDP("386316NN Muni","CPN")</f>
        <v>#N/A Requesting Data...</v>
      </c>
      <c r="K750" t="str">
        <f>_xll.BDP("386316NN Muni","MATURITY")</f>
        <v>#N/A Requesting Data...</v>
      </c>
      <c r="L750">
        <v>665000</v>
      </c>
      <c r="M750" t="str">
        <f>_xll.BDP("386316NN Muni","YIELD_ON_ISSUE_DATE")</f>
        <v>#N/A Requesting Data...</v>
      </c>
      <c r="N750" t="str">
        <f>_xll.BDP("386316NN Muni","YTW_SPREAD_TO_MATURITY_AT_ISSU")</f>
        <v>#N/A Requesting Data...</v>
      </c>
      <c r="O750" t="str">
        <f>_xll.BDP("386316NN Muni","BVAL_MID_YTM")</f>
        <v>#N/A Requesting Data...</v>
      </c>
      <c r="P750" t="str">
        <f>_xll.BDP("386316NN Muni","MUNI_TAX_PROV")</f>
        <v>#N/A Requesting Data...</v>
      </c>
      <c r="Q750" t="str">
        <f>_xll.BDP("386316NN Muni","MUNI_FED_TAX")</f>
        <v>#N/A Requesting Data...</v>
      </c>
      <c r="R750" t="str">
        <f>_xll.BDP("386316NN Muni","MUNI_MSRB_VOLUME")</f>
        <v>#N/A Requesting Data...</v>
      </c>
      <c r="S750" t="str">
        <f>_xll.BDP("386316NN Muni","BB_COMPOSITE")</f>
        <v>#N/A Requesting Data...</v>
      </c>
      <c r="T750" t="str">
        <f>_xll.BDP("386316NN Muni","LQA_LIQUIDITY_SCORE")</f>
        <v>#N/A Requesting Data...</v>
      </c>
    </row>
    <row r="751" spans="1:20" x14ac:dyDescent="0.25">
      <c r="A751" t="str">
        <f>_xll.BDP("386316NP Muni","ID_CUSIP")</f>
        <v>#N/A Requesting Data...</v>
      </c>
      <c r="B751" t="s">
        <v>212</v>
      </c>
      <c r="C751" t="str">
        <f>_xll.BDP("386316NP Muni","INSURANCE_STATUS")</f>
        <v>#N/A Requesting Data...</v>
      </c>
      <c r="D751" t="str">
        <f>_xll.BDP("386316NP Muni","STATE_CODE")</f>
        <v>#N/A Requesting Data...</v>
      </c>
      <c r="E751" t="str">
        <f>_xll.BDP("386316NP Muni","COUNTY_LOCATION_ISSUER")</f>
        <v>#N/A Requesting Data...</v>
      </c>
      <c r="F751" t="str">
        <f>_xll.BDP("386316NP Muni","DUR_ADJ_MID")</f>
        <v>#N/A Requesting Data...</v>
      </c>
      <c r="G751" t="str">
        <f>_xll.BDP("386316NP Muni","SPREAD_AT_ISSUANCE_TO_WORST")</f>
        <v>#N/A Requesting Data...</v>
      </c>
      <c r="H751" t="str">
        <f>_xll.BDP("386316NP Muni","ISSUE_DT")</f>
        <v>#N/A Requesting Data...</v>
      </c>
      <c r="I751" t="str">
        <f>_xll.BDS("386316NP Muni","MUNI_PURPOSE_SCHED", "aggregate=y")</f>
        <v>#N/A Requesting Data...</v>
      </c>
      <c r="J751" t="str">
        <f>_xll.BDP("386316NP Muni","CPN")</f>
        <v>#N/A Requesting Data...</v>
      </c>
      <c r="K751" t="str">
        <f>_xll.BDP("386316NP Muni","MATURITY")</f>
        <v>#N/A Requesting Data...</v>
      </c>
      <c r="L751">
        <v>700000</v>
      </c>
      <c r="M751" t="str">
        <f>_xll.BDP("386316NP Muni","YIELD_ON_ISSUE_DATE")</f>
        <v>#N/A Requesting Data...</v>
      </c>
      <c r="N751" t="str">
        <f>_xll.BDP("386316NP Muni","YTW_SPREAD_TO_MATURITY_AT_ISSU")</f>
        <v>#N/A Requesting Data...</v>
      </c>
      <c r="O751" t="str">
        <f>_xll.BDP("386316NP Muni","BVAL_MID_YTM")</f>
        <v>#N/A Requesting Data...</v>
      </c>
      <c r="P751" t="str">
        <f>_xll.BDP("386316NP Muni","MUNI_TAX_PROV")</f>
        <v>#N/A Requesting Data...</v>
      </c>
      <c r="Q751" t="str">
        <f>_xll.BDP("386316NP Muni","MUNI_FED_TAX")</f>
        <v>#N/A Requesting Data...</v>
      </c>
      <c r="R751" t="str">
        <f>_xll.BDP("386316NP Muni","MUNI_MSRB_VOLUME")</f>
        <v>#N/A Requesting Data...</v>
      </c>
      <c r="S751" t="str">
        <f>_xll.BDP("386316NP Muni","BB_COMPOSITE")</f>
        <v>#N/A Requesting Data...</v>
      </c>
      <c r="T751" t="str">
        <f>_xll.BDP("386316NP Muni","LQA_LIQUIDITY_SCORE")</f>
        <v>#N/A Requesting Data...</v>
      </c>
    </row>
    <row r="752" spans="1:20" x14ac:dyDescent="0.25">
      <c r="A752" t="str">
        <f>_xll.BDP("386316NQ Muni","ID_CUSIP")</f>
        <v>#N/A Requesting Data...</v>
      </c>
      <c r="B752" t="s">
        <v>212</v>
      </c>
      <c r="C752" t="str">
        <f>_xll.BDP("386316NQ Muni","INSURANCE_STATUS")</f>
        <v>#N/A Requesting Data...</v>
      </c>
      <c r="D752" t="str">
        <f>_xll.BDP("386316NQ Muni","STATE_CODE")</f>
        <v>#N/A Requesting Data...</v>
      </c>
      <c r="E752" t="str">
        <f>_xll.BDP("386316NQ Muni","COUNTY_LOCATION_ISSUER")</f>
        <v>#N/A Requesting Data...</v>
      </c>
      <c r="F752" t="str">
        <f>_xll.BDP("386316NQ Muni","DUR_ADJ_MID")</f>
        <v>#N/A Requesting Data...</v>
      </c>
      <c r="G752" t="str">
        <f>_xll.BDP("386316NQ Muni","SPREAD_AT_ISSUANCE_TO_WORST")</f>
        <v>#N/A Requesting Data...</v>
      </c>
      <c r="H752" t="str">
        <f>_xll.BDP("386316NQ Muni","ISSUE_DT")</f>
        <v>#N/A Requesting Data...</v>
      </c>
      <c r="I752" t="str">
        <f>_xll.BDS("386316NQ Muni","MUNI_PURPOSE_SCHED", "aggregate=y")</f>
        <v>#N/A Requesting Data...</v>
      </c>
      <c r="J752" t="str">
        <f>_xll.BDP("386316NQ Muni","CPN")</f>
        <v>#N/A Requesting Data...</v>
      </c>
      <c r="K752" t="str">
        <f>_xll.BDP("386316NQ Muni","MATURITY")</f>
        <v>#N/A Requesting Data...</v>
      </c>
      <c r="L752">
        <v>735000</v>
      </c>
      <c r="M752" t="str">
        <f>_xll.BDP("386316NQ Muni","YIELD_ON_ISSUE_DATE")</f>
        <v>#N/A Requesting Data...</v>
      </c>
      <c r="N752" t="str">
        <f>_xll.BDP("386316NQ Muni","YTW_SPREAD_TO_MATURITY_AT_ISSU")</f>
        <v>#N/A Requesting Data...</v>
      </c>
      <c r="O752" t="str">
        <f>_xll.BDP("386316NQ Muni","BVAL_MID_YTM")</f>
        <v>#N/A Requesting Data...</v>
      </c>
      <c r="P752" t="str">
        <f>_xll.BDP("386316NQ Muni","MUNI_TAX_PROV")</f>
        <v>#N/A Requesting Data...</v>
      </c>
      <c r="Q752" t="str">
        <f>_xll.BDP("386316NQ Muni","MUNI_FED_TAX")</f>
        <v>#N/A Requesting Data...</v>
      </c>
      <c r="R752" t="str">
        <f>_xll.BDP("386316NQ Muni","MUNI_MSRB_VOLUME")</f>
        <v>#N/A Requesting Data...</v>
      </c>
      <c r="S752" t="str">
        <f>_xll.BDP("386316NQ Muni","BB_COMPOSITE")</f>
        <v>#N/A Requesting Data...</v>
      </c>
      <c r="T752" t="str">
        <f>_xll.BDP("386316NQ Muni","LQA_LIQUIDITY_SCORE")</f>
        <v>#N/A Requesting Data...</v>
      </c>
    </row>
    <row r="753" spans="1:20" x14ac:dyDescent="0.25">
      <c r="A753" t="str">
        <f>_xll.BDP("386316NR Muni","ID_CUSIP")</f>
        <v>#N/A Requesting Data...</v>
      </c>
      <c r="B753" t="s">
        <v>212</v>
      </c>
      <c r="C753" t="str">
        <f>_xll.BDP("386316NR Muni","INSURANCE_STATUS")</f>
        <v>#N/A Requesting Data...</v>
      </c>
      <c r="D753" t="str">
        <f>_xll.BDP("386316NR Muni","STATE_CODE")</f>
        <v>#N/A Requesting Data...</v>
      </c>
      <c r="E753" t="str">
        <f>_xll.BDP("386316NR Muni","COUNTY_LOCATION_ISSUER")</f>
        <v>#N/A Requesting Data...</v>
      </c>
      <c r="F753" t="str">
        <f>_xll.BDP("386316NR Muni","DUR_ADJ_MID")</f>
        <v>#N/A Requesting Data...</v>
      </c>
      <c r="G753" t="str">
        <f>_xll.BDP("386316NR Muni","SPREAD_AT_ISSUANCE_TO_WORST")</f>
        <v>#N/A Requesting Data...</v>
      </c>
      <c r="H753" t="str">
        <f>_xll.BDP("386316NR Muni","ISSUE_DT")</f>
        <v>#N/A Requesting Data...</v>
      </c>
      <c r="I753" t="str">
        <f>_xll.BDS("386316NR Muni","MUNI_PURPOSE_SCHED", "aggregate=y")</f>
        <v>#N/A Requesting Data...</v>
      </c>
      <c r="J753" t="str">
        <f>_xll.BDP("386316NR Muni","CPN")</f>
        <v>#N/A Requesting Data...</v>
      </c>
      <c r="K753" t="str">
        <f>_xll.BDP("386316NR Muni","MATURITY")</f>
        <v>#N/A Requesting Data...</v>
      </c>
      <c r="L753">
        <v>770000</v>
      </c>
      <c r="M753" t="str">
        <f>_xll.BDP("386316NR Muni","YIELD_ON_ISSUE_DATE")</f>
        <v>#N/A Requesting Data...</v>
      </c>
      <c r="N753" t="str">
        <f>_xll.BDP("386316NR Muni","YTW_SPREAD_TO_MATURITY_AT_ISSU")</f>
        <v>#N/A Requesting Data...</v>
      </c>
      <c r="O753" t="str">
        <f>_xll.BDP("386316NR Muni","BVAL_MID_YTM")</f>
        <v>#N/A Requesting Data...</v>
      </c>
      <c r="P753" t="str">
        <f>_xll.BDP("386316NR Muni","MUNI_TAX_PROV")</f>
        <v>#N/A Requesting Data...</v>
      </c>
      <c r="Q753" t="str">
        <f>_xll.BDP("386316NR Muni","MUNI_FED_TAX")</f>
        <v>#N/A Requesting Data...</v>
      </c>
      <c r="R753" t="str">
        <f>_xll.BDP("386316NR Muni","MUNI_MSRB_VOLUME")</f>
        <v>#N/A Requesting Data...</v>
      </c>
      <c r="S753" t="str">
        <f>_xll.BDP("386316NR Muni","BB_COMPOSITE")</f>
        <v>#N/A Requesting Data...</v>
      </c>
      <c r="T753" t="str">
        <f>_xll.BDP("386316NR Muni","LQA_LIQUIDITY_SCORE")</f>
        <v>#N/A Requesting Data...</v>
      </c>
    </row>
    <row r="754" spans="1:20" x14ac:dyDescent="0.25">
      <c r="A754" t="str">
        <f>_xll.BDP("386497BQ Muni","ID_CUSIP")</f>
        <v>#N/A Requesting Data...</v>
      </c>
      <c r="B754" t="s">
        <v>213</v>
      </c>
      <c r="C754" t="str">
        <f>_xll.BDP("386497BQ Muni","INSURANCE_STATUS")</f>
        <v>#N/A Requesting Data...</v>
      </c>
      <c r="D754" t="str">
        <f>_xll.BDP("386497BQ Muni","STATE_CODE")</f>
        <v>#N/A Requesting Data...</v>
      </c>
      <c r="E754" t="str">
        <f>_xll.BDP("386497BQ Muni","COUNTY_LOCATION_ISSUER")</f>
        <v>#N/A Requesting Data...</v>
      </c>
      <c r="F754" t="str">
        <f>_xll.BDP("386497BQ Muni","DUR_ADJ_MID")</f>
        <v>#N/A Requesting Data...</v>
      </c>
      <c r="G754" t="str">
        <f>_xll.BDP("386497BQ Muni","SPREAD_AT_ISSUANCE_TO_WORST")</f>
        <v>#N/A Requesting Data...</v>
      </c>
      <c r="H754" t="str">
        <f>_xll.BDP("386497BQ Muni","ISSUE_DT")</f>
        <v>#N/A Requesting Data...</v>
      </c>
      <c r="I754" t="str">
        <f>_xll.BDS("386497BQ Muni","MUNI_PURPOSE_SCHED", "aggregate=y")</f>
        <v>#N/A Requesting Data...</v>
      </c>
      <c r="J754" t="str">
        <f>_xll.BDP("386497BQ Muni","CPN")</f>
        <v>#N/A Requesting Data...</v>
      </c>
      <c r="K754" t="str">
        <f>_xll.BDP("386497BQ Muni","MATURITY")</f>
        <v>#N/A Requesting Data...</v>
      </c>
      <c r="L754">
        <v>35000</v>
      </c>
      <c r="M754" t="str">
        <f>_xll.BDP("386497BQ Muni","YIELD_ON_ISSUE_DATE")</f>
        <v>#N/A Requesting Data...</v>
      </c>
      <c r="N754" t="str">
        <f>_xll.BDP("386497BQ Muni","YTW_SPREAD_TO_MATURITY_AT_ISSU")</f>
        <v>#N/A Requesting Data...</v>
      </c>
      <c r="O754" t="str">
        <f>_xll.BDP("386497BQ Muni","BVAL_MID_YTM")</f>
        <v>#N/A Requesting Data...</v>
      </c>
      <c r="P754" t="str">
        <f>_xll.BDP("386497BQ Muni","MUNI_TAX_PROV")</f>
        <v>#N/A Requesting Data...</v>
      </c>
      <c r="Q754" t="str">
        <f>_xll.BDP("386497BQ Muni","MUNI_FED_TAX")</f>
        <v>#N/A Requesting Data...</v>
      </c>
      <c r="R754" t="str">
        <f>_xll.BDP("386497BQ Muni","MUNI_MSRB_VOLUME")</f>
        <v>#N/A Requesting Data...</v>
      </c>
      <c r="S754" t="str">
        <f>_xll.BDP("386497BQ Muni","BB_COMPOSITE")</f>
        <v>#N/A Requesting Data...</v>
      </c>
      <c r="T754" t="str">
        <f>_xll.BDP("386497BQ Muni","LQA_LIQUIDITY_SCORE")</f>
        <v>#N/A Requesting Data...</v>
      </c>
    </row>
    <row r="755" spans="1:20" x14ac:dyDescent="0.25">
      <c r="A755" t="str">
        <f>_xll.BDP("386497BR Muni","ID_CUSIP")</f>
        <v>#N/A Requesting Data...</v>
      </c>
      <c r="B755" t="s">
        <v>213</v>
      </c>
      <c r="C755" t="str">
        <f>_xll.BDP("386497BR Muni","INSURANCE_STATUS")</f>
        <v>#N/A Requesting Data...</v>
      </c>
      <c r="D755" t="str">
        <f>_xll.BDP("386497BR Muni","STATE_CODE")</f>
        <v>#N/A Requesting Data...</v>
      </c>
      <c r="E755" t="str">
        <f>_xll.BDP("386497BR Muni","COUNTY_LOCATION_ISSUER")</f>
        <v>#N/A Requesting Data...</v>
      </c>
      <c r="F755" t="str">
        <f>_xll.BDP("386497BR Muni","DUR_ADJ_MID")</f>
        <v>#N/A Requesting Data...</v>
      </c>
      <c r="G755" t="str">
        <f>_xll.BDP("386497BR Muni","SPREAD_AT_ISSUANCE_TO_WORST")</f>
        <v>#N/A Requesting Data...</v>
      </c>
      <c r="H755" t="str">
        <f>_xll.BDP("386497BR Muni","ISSUE_DT")</f>
        <v>#N/A Requesting Data...</v>
      </c>
      <c r="I755" t="str">
        <f>_xll.BDS("386497BR Muni","MUNI_PURPOSE_SCHED", "aggregate=y")</f>
        <v>#N/A Requesting Data...</v>
      </c>
      <c r="J755" t="str">
        <f>_xll.BDP("386497BR Muni","CPN")</f>
        <v>#N/A Requesting Data...</v>
      </c>
      <c r="K755" t="str">
        <f>_xll.BDP("386497BR Muni","MATURITY")</f>
        <v>#N/A Requesting Data...</v>
      </c>
      <c r="L755">
        <v>35000</v>
      </c>
      <c r="M755" t="str">
        <f>_xll.BDP("386497BR Muni","YIELD_ON_ISSUE_DATE")</f>
        <v>#N/A Requesting Data...</v>
      </c>
      <c r="N755" t="str">
        <f>_xll.BDP("386497BR Muni","YTW_SPREAD_TO_MATURITY_AT_ISSU")</f>
        <v>#N/A Requesting Data...</v>
      </c>
      <c r="O755" t="str">
        <f>_xll.BDP("386497BR Muni","BVAL_MID_YTM")</f>
        <v>#N/A Requesting Data...</v>
      </c>
      <c r="P755" t="str">
        <f>_xll.BDP("386497BR Muni","MUNI_TAX_PROV")</f>
        <v>#N/A Requesting Data...</v>
      </c>
      <c r="Q755" t="str">
        <f>_xll.BDP("386497BR Muni","MUNI_FED_TAX")</f>
        <v>#N/A Requesting Data...</v>
      </c>
      <c r="R755" t="str">
        <f>_xll.BDP("386497BR Muni","MUNI_MSRB_VOLUME")</f>
        <v>#N/A Requesting Data...</v>
      </c>
      <c r="S755" t="str">
        <f>_xll.BDP("386497BR Muni","BB_COMPOSITE")</f>
        <v>#N/A Requesting Data...</v>
      </c>
      <c r="T755" t="str">
        <f>_xll.BDP("386497BR Muni","LQA_LIQUIDITY_SCORE")</f>
        <v>#N/A Requesting Data...</v>
      </c>
    </row>
    <row r="756" spans="1:20" x14ac:dyDescent="0.25">
      <c r="A756" t="str">
        <f>_xll.BDP("386497BS Muni","ID_CUSIP")</f>
        <v>#N/A Requesting Data...</v>
      </c>
      <c r="B756" t="s">
        <v>213</v>
      </c>
      <c r="C756" t="str">
        <f>_xll.BDP("386497BS Muni","INSURANCE_STATUS")</f>
        <v>#N/A Requesting Data...</v>
      </c>
      <c r="D756" t="str">
        <f>_xll.BDP("386497BS Muni","STATE_CODE")</f>
        <v>#N/A Requesting Data...</v>
      </c>
      <c r="E756" t="str">
        <f>_xll.BDP("386497BS Muni","COUNTY_LOCATION_ISSUER")</f>
        <v>#N/A Requesting Data...</v>
      </c>
      <c r="F756" t="str">
        <f>_xll.BDP("386497BS Muni","DUR_ADJ_MID")</f>
        <v>#N/A Requesting Data...</v>
      </c>
      <c r="G756" t="str">
        <f>_xll.BDP("386497BS Muni","SPREAD_AT_ISSUANCE_TO_WORST")</f>
        <v>#N/A Requesting Data...</v>
      </c>
      <c r="H756" t="str">
        <f>_xll.BDP("386497BS Muni","ISSUE_DT")</f>
        <v>#N/A Requesting Data...</v>
      </c>
      <c r="I756" t="str">
        <f>_xll.BDS("386497BS Muni","MUNI_PURPOSE_SCHED", "aggregate=y")</f>
        <v>#N/A Requesting Data...</v>
      </c>
      <c r="J756" t="str">
        <f>_xll.BDP("386497BS Muni","CPN")</f>
        <v>#N/A Requesting Data...</v>
      </c>
      <c r="K756" t="str">
        <f>_xll.BDP("386497BS Muni","MATURITY")</f>
        <v>#N/A Requesting Data...</v>
      </c>
      <c r="L756">
        <v>40000</v>
      </c>
      <c r="M756" t="str">
        <f>_xll.BDP("386497BS Muni","YIELD_ON_ISSUE_DATE")</f>
        <v>#N/A Requesting Data...</v>
      </c>
      <c r="N756" t="str">
        <f>_xll.BDP("386497BS Muni","YTW_SPREAD_TO_MATURITY_AT_ISSU")</f>
        <v>#N/A Requesting Data...</v>
      </c>
      <c r="O756" t="str">
        <f>_xll.BDP("386497BS Muni","BVAL_MID_YTM")</f>
        <v>#N/A Requesting Data...</v>
      </c>
      <c r="P756" t="str">
        <f>_xll.BDP("386497BS Muni","MUNI_TAX_PROV")</f>
        <v>#N/A Requesting Data...</v>
      </c>
      <c r="Q756" t="str">
        <f>_xll.BDP("386497BS Muni","MUNI_FED_TAX")</f>
        <v>#N/A Requesting Data...</v>
      </c>
      <c r="R756" t="str">
        <f>_xll.BDP("386497BS Muni","MUNI_MSRB_VOLUME")</f>
        <v>#N/A Requesting Data...</v>
      </c>
      <c r="S756" t="str">
        <f>_xll.BDP("386497BS Muni","BB_COMPOSITE")</f>
        <v>#N/A Requesting Data...</v>
      </c>
      <c r="T756" t="str">
        <f>_xll.BDP("386497BS Muni","LQA_LIQUIDITY_SCORE")</f>
        <v>#N/A Requesting Data...</v>
      </c>
    </row>
    <row r="757" spans="1:20" x14ac:dyDescent="0.25">
      <c r="A757" t="str">
        <f>_xll.BDP("386497BT Muni","ID_CUSIP")</f>
        <v>#N/A Requesting Data...</v>
      </c>
      <c r="B757" t="s">
        <v>213</v>
      </c>
      <c r="C757" t="str">
        <f>_xll.BDP("386497BT Muni","INSURANCE_STATUS")</f>
        <v>#N/A Requesting Data...</v>
      </c>
      <c r="D757" t="str">
        <f>_xll.BDP("386497BT Muni","STATE_CODE")</f>
        <v>#N/A Requesting Data...</v>
      </c>
      <c r="E757" t="str">
        <f>_xll.BDP("386497BT Muni","COUNTY_LOCATION_ISSUER")</f>
        <v>#N/A Requesting Data...</v>
      </c>
      <c r="F757" t="str">
        <f>_xll.BDP("386497BT Muni","DUR_ADJ_MID")</f>
        <v>#N/A Requesting Data...</v>
      </c>
      <c r="G757" t="str">
        <f>_xll.BDP("386497BT Muni","SPREAD_AT_ISSUANCE_TO_WORST")</f>
        <v>#N/A Requesting Data...</v>
      </c>
      <c r="H757" t="str">
        <f>_xll.BDP("386497BT Muni","ISSUE_DT")</f>
        <v>#N/A Requesting Data...</v>
      </c>
      <c r="I757" t="str">
        <f>_xll.BDS("386497BT Muni","MUNI_PURPOSE_SCHED", "aggregate=y")</f>
        <v>#N/A Requesting Data...</v>
      </c>
      <c r="J757" t="str">
        <f>_xll.BDP("386497BT Muni","CPN")</f>
        <v>#N/A Requesting Data...</v>
      </c>
      <c r="K757" t="str">
        <f>_xll.BDP("386497BT Muni","MATURITY")</f>
        <v>#N/A Requesting Data...</v>
      </c>
      <c r="L757">
        <v>40000</v>
      </c>
      <c r="M757" t="str">
        <f>_xll.BDP("386497BT Muni","YIELD_ON_ISSUE_DATE")</f>
        <v>#N/A Requesting Data...</v>
      </c>
      <c r="N757" t="str">
        <f>_xll.BDP("386497BT Muni","YTW_SPREAD_TO_MATURITY_AT_ISSU")</f>
        <v>#N/A Requesting Data...</v>
      </c>
      <c r="O757" t="str">
        <f>_xll.BDP("386497BT Muni","BVAL_MID_YTM")</f>
        <v>#N/A Requesting Data...</v>
      </c>
      <c r="P757" t="str">
        <f>_xll.BDP("386497BT Muni","MUNI_TAX_PROV")</f>
        <v>#N/A Requesting Data...</v>
      </c>
      <c r="Q757" t="str">
        <f>_xll.BDP("386497BT Muni","MUNI_FED_TAX")</f>
        <v>#N/A Requesting Data...</v>
      </c>
      <c r="R757" t="str">
        <f>_xll.BDP("386497BT Muni","MUNI_MSRB_VOLUME")</f>
        <v>#N/A Requesting Data...</v>
      </c>
      <c r="S757" t="str">
        <f>_xll.BDP("386497BT Muni","BB_COMPOSITE")</f>
        <v>#N/A Requesting Data...</v>
      </c>
      <c r="T757" t="str">
        <f>_xll.BDP("386497BT Muni","LQA_LIQUIDITY_SCORE")</f>
        <v>#N/A Requesting Data...</v>
      </c>
    </row>
    <row r="758" spans="1:20" x14ac:dyDescent="0.25">
      <c r="A758" t="str">
        <f>_xll.BDP("48563UBH Muni","ID_CUSIP")</f>
        <v>#N/A Requesting Data...</v>
      </c>
      <c r="B758" t="s">
        <v>214</v>
      </c>
      <c r="C758" t="str">
        <f>_xll.BDP("48563UBH Muni","INSURANCE_STATUS")</f>
        <v>#N/A Requesting Data...</v>
      </c>
      <c r="D758" t="str">
        <f>_xll.BDP("48563UBH Muni","STATE_CODE")</f>
        <v>#N/A Requesting Data...</v>
      </c>
      <c r="E758" t="str">
        <f>_xll.BDP("48563UBH Muni","COUNTY_LOCATION_ISSUER")</f>
        <v>#N/A Requesting Data...</v>
      </c>
      <c r="F758" t="str">
        <f>_xll.BDP("48563UBH Muni","DUR_ADJ_MID")</f>
        <v>#N/A Requesting Data...</v>
      </c>
      <c r="G758" t="str">
        <f>_xll.BDP("48563UBH Muni","SPREAD_AT_ISSUANCE_TO_WORST")</f>
        <v>#N/A Requesting Data...</v>
      </c>
      <c r="H758" t="str">
        <f>_xll.BDP("48563UBH Muni","ISSUE_DT")</f>
        <v>#N/A Requesting Data...</v>
      </c>
      <c r="I758" t="str">
        <f>_xll.BDS("48563UBH Muni","MUNI_PURPOSE_SCHED", "aggregate=y")</f>
        <v>#N/A Requesting Data...</v>
      </c>
      <c r="J758" t="str">
        <f>_xll.BDP("48563UBH Muni","CPN")</f>
        <v>#N/A Requesting Data...</v>
      </c>
      <c r="K758" t="str">
        <f>_xll.BDP("48563UBH Muni","MATURITY")</f>
        <v>#N/A Requesting Data...</v>
      </c>
      <c r="L758">
        <v>1370000</v>
      </c>
      <c r="M758" t="str">
        <f>_xll.BDP("48563UBH Muni","YIELD_ON_ISSUE_DATE")</f>
        <v>#N/A Requesting Data...</v>
      </c>
      <c r="N758" t="str">
        <f>_xll.BDP("48563UBH Muni","YTW_SPREAD_TO_MATURITY_AT_ISSU")</f>
        <v>#N/A Requesting Data...</v>
      </c>
      <c r="O758" t="str">
        <f>_xll.BDP("48563UBH Muni","BVAL_MID_YTM")</f>
        <v>#N/A Requesting Data...</v>
      </c>
      <c r="P758" t="str">
        <f>_xll.BDP("48563UBH Muni","MUNI_TAX_PROV")</f>
        <v>#N/A Requesting Data...</v>
      </c>
      <c r="Q758" t="str">
        <f>_xll.BDP("48563UBH Muni","MUNI_FED_TAX")</f>
        <v>#N/A Requesting Data...</v>
      </c>
      <c r="R758" t="str">
        <f>_xll.BDP("48563UBH Muni","MUNI_MSRB_VOLUME")</f>
        <v>#N/A Requesting Data...</v>
      </c>
      <c r="S758" t="str">
        <f>_xll.BDP("48563UBH Muni","BB_COMPOSITE")</f>
        <v>#N/A Requesting Data...</v>
      </c>
      <c r="T758" t="str">
        <f>_xll.BDP("48563UBH Muni","LQA_LIQUIDITY_SCORE")</f>
        <v>#N/A Requesting Data...</v>
      </c>
    </row>
    <row r="759" spans="1:20" x14ac:dyDescent="0.25">
      <c r="A759" t="str">
        <f>_xll.BDP("48563UBL Muni","ID_CUSIP")</f>
        <v>#N/A Requesting Data...</v>
      </c>
      <c r="B759" t="s">
        <v>214</v>
      </c>
      <c r="C759" t="str">
        <f>_xll.BDP("48563UBL Muni","INSURANCE_STATUS")</f>
        <v>#N/A Requesting Data...</v>
      </c>
      <c r="D759" t="str">
        <f>_xll.BDP("48563UBL Muni","STATE_CODE")</f>
        <v>#N/A Requesting Data...</v>
      </c>
      <c r="E759" t="str">
        <f>_xll.BDP("48563UBL Muni","COUNTY_LOCATION_ISSUER")</f>
        <v>#N/A Requesting Data...</v>
      </c>
      <c r="F759" t="str">
        <f>_xll.BDP("48563UBL Muni","DUR_ADJ_MID")</f>
        <v>#N/A Requesting Data...</v>
      </c>
      <c r="G759" t="str">
        <f>_xll.BDP("48563UBL Muni","SPREAD_AT_ISSUANCE_TO_WORST")</f>
        <v>#N/A Requesting Data...</v>
      </c>
      <c r="H759" t="str">
        <f>_xll.BDP("48563UBL Muni","ISSUE_DT")</f>
        <v>#N/A Requesting Data...</v>
      </c>
      <c r="I759" t="str">
        <f>_xll.BDS("48563UBL Muni","MUNI_PURPOSE_SCHED", "aggregate=y")</f>
        <v>#N/A Requesting Data...</v>
      </c>
      <c r="J759" t="str">
        <f>_xll.BDP("48563UBL Muni","CPN")</f>
        <v>#N/A Requesting Data...</v>
      </c>
      <c r="K759" t="str">
        <f>_xll.BDP("48563UBL Muni","MATURITY")</f>
        <v>#N/A Requesting Data...</v>
      </c>
      <c r="L759">
        <v>1585000</v>
      </c>
      <c r="M759" t="str">
        <f>_xll.BDP("48563UBL Muni","YIELD_ON_ISSUE_DATE")</f>
        <v>#N/A Requesting Data...</v>
      </c>
      <c r="N759" t="str">
        <f>_xll.BDP("48563UBL Muni","YTW_SPREAD_TO_MATURITY_AT_ISSU")</f>
        <v>#N/A Requesting Data...</v>
      </c>
      <c r="O759" t="str">
        <f>_xll.BDP("48563UBL Muni","BVAL_MID_YTM")</f>
        <v>#N/A Requesting Data...</v>
      </c>
      <c r="P759" t="str">
        <f>_xll.BDP("48563UBL Muni","MUNI_TAX_PROV")</f>
        <v>#N/A Requesting Data...</v>
      </c>
      <c r="Q759" t="str">
        <f>_xll.BDP("48563UBL Muni","MUNI_FED_TAX")</f>
        <v>#N/A Requesting Data...</v>
      </c>
      <c r="R759" t="str">
        <f>_xll.BDP("48563UBL Muni","MUNI_MSRB_VOLUME")</f>
        <v>#N/A Requesting Data...</v>
      </c>
      <c r="S759" t="str">
        <f>_xll.BDP("48563UBL Muni","BB_COMPOSITE")</f>
        <v>#N/A Requesting Data...</v>
      </c>
      <c r="T759" t="str">
        <f>_xll.BDP("48563UBL Muni","LQA_LIQUIDITY_SCORE")</f>
        <v>#N/A Requesting Data...</v>
      </c>
    </row>
    <row r="760" spans="1:20" x14ac:dyDescent="0.25">
      <c r="A760" t="str">
        <f>_xll.BDP("48563UBN Muni","ID_CUSIP")</f>
        <v>#N/A Requesting Data...</v>
      </c>
      <c r="B760" t="s">
        <v>214</v>
      </c>
      <c r="C760" t="str">
        <f>_xll.BDP("48563UBN Muni","INSURANCE_STATUS")</f>
        <v>#N/A Requesting Data...</v>
      </c>
      <c r="D760" t="str">
        <f>_xll.BDP("48563UBN Muni","STATE_CODE")</f>
        <v>#N/A Requesting Data...</v>
      </c>
      <c r="E760" t="str">
        <f>_xll.BDP("48563UBN Muni","COUNTY_LOCATION_ISSUER")</f>
        <v>#N/A Requesting Data...</v>
      </c>
      <c r="F760" t="str">
        <f>_xll.BDP("48563UBN Muni","DUR_ADJ_MID")</f>
        <v>#N/A Requesting Data...</v>
      </c>
      <c r="G760" t="str">
        <f>_xll.BDP("48563UBN Muni","SPREAD_AT_ISSUANCE_TO_WORST")</f>
        <v>#N/A Requesting Data...</v>
      </c>
      <c r="H760" t="str">
        <f>_xll.BDP("48563UBN Muni","ISSUE_DT")</f>
        <v>#N/A Requesting Data...</v>
      </c>
      <c r="I760" t="str">
        <f>_xll.BDS("48563UBN Muni","MUNI_PURPOSE_SCHED", "aggregate=y")</f>
        <v>#N/A Requesting Data...</v>
      </c>
      <c r="J760" t="str">
        <f>_xll.BDP("48563UBN Muni","CPN")</f>
        <v>#N/A Requesting Data...</v>
      </c>
      <c r="K760" t="str">
        <f>_xll.BDP("48563UBN Muni","MATURITY")</f>
        <v>#N/A Requesting Data...</v>
      </c>
      <c r="L760">
        <v>1745000</v>
      </c>
      <c r="M760" t="str">
        <f>_xll.BDP("48563UBN Muni","YIELD_ON_ISSUE_DATE")</f>
        <v>#N/A Requesting Data...</v>
      </c>
      <c r="N760" t="str">
        <f>_xll.BDP("48563UBN Muni","YTW_SPREAD_TO_MATURITY_AT_ISSU")</f>
        <v>#N/A Requesting Data...</v>
      </c>
      <c r="O760" t="str">
        <f>_xll.BDP("48563UBN Muni","BVAL_MID_YTM")</f>
        <v>#N/A Requesting Data...</v>
      </c>
      <c r="P760" t="str">
        <f>_xll.BDP("48563UBN Muni","MUNI_TAX_PROV")</f>
        <v>#N/A Requesting Data...</v>
      </c>
      <c r="Q760" t="str">
        <f>_xll.BDP("48563UBN Muni","MUNI_FED_TAX")</f>
        <v>#N/A Requesting Data...</v>
      </c>
      <c r="R760" t="str">
        <f>_xll.BDP("48563UBN Muni","MUNI_MSRB_VOLUME")</f>
        <v>#N/A Requesting Data...</v>
      </c>
      <c r="S760" t="str">
        <f>_xll.BDP("48563UBN Muni","BB_COMPOSITE")</f>
        <v>#N/A Requesting Data...</v>
      </c>
      <c r="T760" t="str">
        <f>_xll.BDP("48563UBN Muni","LQA_LIQUIDITY_SCORE")</f>
        <v>#N/A Requesting Data...</v>
      </c>
    </row>
    <row r="761" spans="1:20" x14ac:dyDescent="0.25">
      <c r="A761" t="str">
        <f>_xll.BDP("541372BK Muni","ID_CUSIP")</f>
        <v>#N/A Requesting Data...</v>
      </c>
      <c r="B761" t="s">
        <v>215</v>
      </c>
      <c r="C761" t="str">
        <f>_xll.BDP("541372BK Muni","INSURANCE_STATUS")</f>
        <v>#N/A Requesting Data...</v>
      </c>
      <c r="D761" t="str">
        <f>_xll.BDP("541372BK Muni","STATE_CODE")</f>
        <v>#N/A Requesting Data...</v>
      </c>
      <c r="E761" t="str">
        <f>_xll.BDP("541372BK Muni","COUNTY_LOCATION_ISSUER")</f>
        <v>#N/A Requesting Data...</v>
      </c>
      <c r="F761" t="str">
        <f>_xll.BDP("541372BK Muni","DUR_ADJ_MID")</f>
        <v>#N/A Requesting Data...</v>
      </c>
      <c r="G761" t="str">
        <f>_xll.BDP("541372BK Muni","SPREAD_AT_ISSUANCE_TO_WORST")</f>
        <v>#N/A Requesting Data...</v>
      </c>
      <c r="H761" t="str">
        <f>_xll.BDP("541372BK Muni","ISSUE_DT")</f>
        <v>#N/A Requesting Data...</v>
      </c>
      <c r="I761" t="str">
        <f>_xll.BDS("541372BK Muni","MUNI_PURPOSE_SCHED", "aggregate=y")</f>
        <v>#N/A Requesting Data...</v>
      </c>
      <c r="J761" t="str">
        <f>_xll.BDP("541372BK Muni","CPN")</f>
        <v>#N/A Requesting Data...</v>
      </c>
      <c r="K761" t="str">
        <f>_xll.BDP("541372BK Muni","MATURITY")</f>
        <v>#N/A Requesting Data...</v>
      </c>
      <c r="L761">
        <v>445000</v>
      </c>
      <c r="M761" t="str">
        <f>_xll.BDP("541372BK Muni","YIELD_ON_ISSUE_DATE")</f>
        <v>#N/A Requesting Data...</v>
      </c>
      <c r="N761" t="str">
        <f>_xll.BDP("541372BK Muni","YTW_SPREAD_TO_MATURITY_AT_ISSU")</f>
        <v>#N/A Requesting Data...</v>
      </c>
      <c r="O761" t="str">
        <f>_xll.BDP("541372BK Muni","BVAL_MID_YTM")</f>
        <v>#N/A Requesting Data...</v>
      </c>
      <c r="P761" t="str">
        <f>_xll.BDP("541372BK Muni","MUNI_TAX_PROV")</f>
        <v>#N/A Requesting Data...</v>
      </c>
      <c r="Q761" t="str">
        <f>_xll.BDP("541372BK Muni","MUNI_FED_TAX")</f>
        <v>#N/A Requesting Data...</v>
      </c>
      <c r="R761" t="str">
        <f>_xll.BDP("541372BK Muni","MUNI_MSRB_VOLUME")</f>
        <v>#N/A Requesting Data...</v>
      </c>
      <c r="S761" t="str">
        <f>_xll.BDP("541372BK Muni","BB_COMPOSITE")</f>
        <v>#N/A Requesting Data...</v>
      </c>
      <c r="T761" t="str">
        <f>_xll.BDP("541372BK Muni","LQA_LIQUIDITY_SCORE")</f>
        <v>#N/A Requesting Data...</v>
      </c>
    </row>
    <row r="762" spans="1:20" x14ac:dyDescent="0.25">
      <c r="A762" t="str">
        <f>_xll.BDP("541372BL Muni","ID_CUSIP")</f>
        <v>#N/A Requesting Data...</v>
      </c>
      <c r="B762" t="s">
        <v>215</v>
      </c>
      <c r="C762" t="str">
        <f>_xll.BDP("541372BL Muni","INSURANCE_STATUS")</f>
        <v>#N/A Requesting Data...</v>
      </c>
      <c r="D762" t="str">
        <f>_xll.BDP("541372BL Muni","STATE_CODE")</f>
        <v>#N/A Requesting Data...</v>
      </c>
      <c r="E762" t="str">
        <f>_xll.BDP("541372BL Muni","COUNTY_LOCATION_ISSUER")</f>
        <v>#N/A Requesting Data...</v>
      </c>
      <c r="F762" t="str">
        <f>_xll.BDP("541372BL Muni","DUR_ADJ_MID")</f>
        <v>#N/A Requesting Data...</v>
      </c>
      <c r="G762" t="str">
        <f>_xll.BDP("541372BL Muni","SPREAD_AT_ISSUANCE_TO_WORST")</f>
        <v>#N/A Requesting Data...</v>
      </c>
      <c r="H762" t="str">
        <f>_xll.BDP("541372BL Muni","ISSUE_DT")</f>
        <v>#N/A Requesting Data...</v>
      </c>
      <c r="I762" t="str">
        <f>_xll.BDS("541372BL Muni","MUNI_PURPOSE_SCHED", "aggregate=y")</f>
        <v>#N/A Requesting Data...</v>
      </c>
      <c r="J762" t="str">
        <f>_xll.BDP("541372BL Muni","CPN")</f>
        <v>#N/A Requesting Data...</v>
      </c>
      <c r="K762" t="str">
        <f>_xll.BDP("541372BL Muni","MATURITY")</f>
        <v>#N/A Requesting Data...</v>
      </c>
      <c r="L762">
        <v>470000</v>
      </c>
      <c r="M762" t="str">
        <f>_xll.BDP("541372BL Muni","YIELD_ON_ISSUE_DATE")</f>
        <v>#N/A Requesting Data...</v>
      </c>
      <c r="N762" t="str">
        <f>_xll.BDP("541372BL Muni","YTW_SPREAD_TO_MATURITY_AT_ISSU")</f>
        <v>#N/A Requesting Data...</v>
      </c>
      <c r="O762" t="str">
        <f>_xll.BDP("541372BL Muni","BVAL_MID_YTM")</f>
        <v>#N/A Requesting Data...</v>
      </c>
      <c r="P762" t="str">
        <f>_xll.BDP("541372BL Muni","MUNI_TAX_PROV")</f>
        <v>#N/A Requesting Data...</v>
      </c>
      <c r="Q762" t="str">
        <f>_xll.BDP("541372BL Muni","MUNI_FED_TAX")</f>
        <v>#N/A Requesting Data...</v>
      </c>
      <c r="R762" t="str">
        <f>_xll.BDP("541372BL Muni","MUNI_MSRB_VOLUME")</f>
        <v>#N/A Requesting Data...</v>
      </c>
      <c r="S762" t="str">
        <f>_xll.BDP("541372BL Muni","BB_COMPOSITE")</f>
        <v>#N/A Requesting Data...</v>
      </c>
      <c r="T762" t="str">
        <f>_xll.BDP("541372BL Muni","LQA_LIQUIDITY_SCORE")</f>
        <v>#N/A Requesting Data...</v>
      </c>
    </row>
    <row r="763" spans="1:20" x14ac:dyDescent="0.25">
      <c r="A763" t="str">
        <f>_xll.BDP("541372BM Muni","ID_CUSIP")</f>
        <v>#N/A Requesting Data...</v>
      </c>
      <c r="B763" t="s">
        <v>215</v>
      </c>
      <c r="C763" t="str">
        <f>_xll.BDP("541372BM Muni","INSURANCE_STATUS")</f>
        <v>#N/A Requesting Data...</v>
      </c>
      <c r="D763" t="str">
        <f>_xll.BDP("541372BM Muni","STATE_CODE")</f>
        <v>#N/A Requesting Data...</v>
      </c>
      <c r="E763" t="str">
        <f>_xll.BDP("541372BM Muni","COUNTY_LOCATION_ISSUER")</f>
        <v>#N/A Requesting Data...</v>
      </c>
      <c r="F763" t="str">
        <f>_xll.BDP("541372BM Muni","DUR_ADJ_MID")</f>
        <v>#N/A Requesting Data...</v>
      </c>
      <c r="G763" t="str">
        <f>_xll.BDP("541372BM Muni","SPREAD_AT_ISSUANCE_TO_WORST")</f>
        <v>#N/A Requesting Data...</v>
      </c>
      <c r="H763" t="str">
        <f>_xll.BDP("541372BM Muni","ISSUE_DT")</f>
        <v>#N/A Requesting Data...</v>
      </c>
      <c r="I763" t="str">
        <f>_xll.BDS("541372BM Muni","MUNI_PURPOSE_SCHED", "aggregate=y")</f>
        <v>#N/A Requesting Data...</v>
      </c>
      <c r="J763" t="str">
        <f>_xll.BDP("541372BM Muni","CPN")</f>
        <v>#N/A Requesting Data...</v>
      </c>
      <c r="K763" t="str">
        <f>_xll.BDP("541372BM Muni","MATURITY")</f>
        <v>#N/A Requesting Data...</v>
      </c>
      <c r="L763">
        <v>490000</v>
      </c>
      <c r="M763" t="str">
        <f>_xll.BDP("541372BM Muni","YIELD_ON_ISSUE_DATE")</f>
        <v>#N/A Requesting Data...</v>
      </c>
      <c r="N763" t="str">
        <f>_xll.BDP("541372BM Muni","YTW_SPREAD_TO_MATURITY_AT_ISSU")</f>
        <v>#N/A Requesting Data...</v>
      </c>
      <c r="O763" t="str">
        <f>_xll.BDP("541372BM Muni","BVAL_MID_YTM")</f>
        <v>#N/A Requesting Data...</v>
      </c>
      <c r="P763" t="str">
        <f>_xll.BDP("541372BM Muni","MUNI_TAX_PROV")</f>
        <v>#N/A Requesting Data...</v>
      </c>
      <c r="Q763" t="str">
        <f>_xll.BDP("541372BM Muni","MUNI_FED_TAX")</f>
        <v>#N/A Requesting Data...</v>
      </c>
      <c r="R763" t="str">
        <f>_xll.BDP("541372BM Muni","MUNI_MSRB_VOLUME")</f>
        <v>#N/A Requesting Data...</v>
      </c>
      <c r="S763" t="str">
        <f>_xll.BDP("541372BM Muni","BB_COMPOSITE")</f>
        <v>#N/A Requesting Data...</v>
      </c>
      <c r="T763" t="str">
        <f>_xll.BDP("541372BM Muni","LQA_LIQUIDITY_SCORE")</f>
        <v>#N/A Requesting Data...</v>
      </c>
    </row>
    <row r="764" spans="1:20" x14ac:dyDescent="0.25">
      <c r="A764" t="str">
        <f>_xll.BDP("541372BN Muni","ID_CUSIP")</f>
        <v>#N/A Requesting Data...</v>
      </c>
      <c r="B764" t="s">
        <v>215</v>
      </c>
      <c r="C764" t="str">
        <f>_xll.BDP("541372BN Muni","INSURANCE_STATUS")</f>
        <v>#N/A Requesting Data...</v>
      </c>
      <c r="D764" t="str">
        <f>_xll.BDP("541372BN Muni","STATE_CODE")</f>
        <v>#N/A Requesting Data...</v>
      </c>
      <c r="E764" t="str">
        <f>_xll.BDP("541372BN Muni","COUNTY_LOCATION_ISSUER")</f>
        <v>#N/A Requesting Data...</v>
      </c>
      <c r="F764" t="str">
        <f>_xll.BDP("541372BN Muni","DUR_ADJ_MID")</f>
        <v>#N/A Requesting Data...</v>
      </c>
      <c r="G764" t="str">
        <f>_xll.BDP("541372BN Muni","SPREAD_AT_ISSUANCE_TO_WORST")</f>
        <v>#N/A Requesting Data...</v>
      </c>
      <c r="H764" t="str">
        <f>_xll.BDP("541372BN Muni","ISSUE_DT")</f>
        <v>#N/A Requesting Data...</v>
      </c>
      <c r="I764" t="str">
        <f>_xll.BDS("541372BN Muni","MUNI_PURPOSE_SCHED", "aggregate=y")</f>
        <v>#N/A Requesting Data...</v>
      </c>
      <c r="J764" t="str">
        <f>_xll.BDP("541372BN Muni","CPN")</f>
        <v>#N/A Requesting Data...</v>
      </c>
      <c r="K764" t="str">
        <f>_xll.BDP("541372BN Muni","MATURITY")</f>
        <v>#N/A Requesting Data...</v>
      </c>
      <c r="L764">
        <v>515000</v>
      </c>
      <c r="M764" t="str">
        <f>_xll.BDP("541372BN Muni","YIELD_ON_ISSUE_DATE")</f>
        <v>#N/A Requesting Data...</v>
      </c>
      <c r="N764" t="str">
        <f>_xll.BDP("541372BN Muni","YTW_SPREAD_TO_MATURITY_AT_ISSU")</f>
        <v>#N/A Requesting Data...</v>
      </c>
      <c r="O764" t="str">
        <f>_xll.BDP("541372BN Muni","BVAL_MID_YTM")</f>
        <v>#N/A Requesting Data...</v>
      </c>
      <c r="P764" t="str">
        <f>_xll.BDP("541372BN Muni","MUNI_TAX_PROV")</f>
        <v>#N/A Requesting Data...</v>
      </c>
      <c r="Q764" t="str">
        <f>_xll.BDP("541372BN Muni","MUNI_FED_TAX")</f>
        <v>#N/A Requesting Data...</v>
      </c>
      <c r="R764" t="str">
        <f>_xll.BDP("541372BN Muni","MUNI_MSRB_VOLUME")</f>
        <v>#N/A Requesting Data...</v>
      </c>
      <c r="S764" t="str">
        <f>_xll.BDP("541372BN Muni","BB_COMPOSITE")</f>
        <v>#N/A Requesting Data...</v>
      </c>
      <c r="T764" t="str">
        <f>_xll.BDP("541372BN Muni","LQA_LIQUIDITY_SCORE")</f>
        <v>#N/A Requesting Data...</v>
      </c>
    </row>
    <row r="765" spans="1:20" x14ac:dyDescent="0.25">
      <c r="A765" t="str">
        <f>_xll.BDP("541372BP Muni","ID_CUSIP")</f>
        <v>#N/A Requesting Data...</v>
      </c>
      <c r="B765" t="s">
        <v>215</v>
      </c>
      <c r="C765" t="str">
        <f>_xll.BDP("541372BP Muni","INSURANCE_STATUS")</f>
        <v>#N/A Requesting Data...</v>
      </c>
      <c r="D765" t="str">
        <f>_xll.BDP("541372BP Muni","STATE_CODE")</f>
        <v>#N/A Requesting Data...</v>
      </c>
      <c r="E765" t="str">
        <f>_xll.BDP("541372BP Muni","COUNTY_LOCATION_ISSUER")</f>
        <v>#N/A Requesting Data...</v>
      </c>
      <c r="F765" t="str">
        <f>_xll.BDP("541372BP Muni","DUR_ADJ_MID")</f>
        <v>#N/A Requesting Data...</v>
      </c>
      <c r="G765" t="str">
        <f>_xll.BDP("541372BP Muni","SPREAD_AT_ISSUANCE_TO_WORST")</f>
        <v>#N/A Requesting Data...</v>
      </c>
      <c r="H765" t="str">
        <f>_xll.BDP("541372BP Muni","ISSUE_DT")</f>
        <v>#N/A Requesting Data...</v>
      </c>
      <c r="I765" t="str">
        <f>_xll.BDS("541372BP Muni","MUNI_PURPOSE_SCHED", "aggregate=y")</f>
        <v>#N/A Requesting Data...</v>
      </c>
      <c r="J765" t="str">
        <f>_xll.BDP("541372BP Muni","CPN")</f>
        <v>#N/A Requesting Data...</v>
      </c>
      <c r="K765" t="str">
        <f>_xll.BDP("541372BP Muni","MATURITY")</f>
        <v>#N/A Requesting Data...</v>
      </c>
      <c r="L765">
        <v>315000</v>
      </c>
      <c r="M765" t="str">
        <f>_xll.BDP("541372BP Muni","YIELD_ON_ISSUE_DATE")</f>
        <v>#N/A Requesting Data...</v>
      </c>
      <c r="N765" t="str">
        <f>_xll.BDP("541372BP Muni","YTW_SPREAD_TO_MATURITY_AT_ISSU")</f>
        <v>#N/A Requesting Data...</v>
      </c>
      <c r="O765" t="str">
        <f>_xll.BDP("541372BP Muni","BVAL_MID_YTM")</f>
        <v>#N/A Requesting Data...</v>
      </c>
      <c r="P765" t="str">
        <f>_xll.BDP("541372BP Muni","MUNI_TAX_PROV")</f>
        <v>#N/A Requesting Data...</v>
      </c>
      <c r="Q765" t="str">
        <f>_xll.BDP("541372BP Muni","MUNI_FED_TAX")</f>
        <v>#N/A Requesting Data...</v>
      </c>
      <c r="R765" t="str">
        <f>_xll.BDP("541372BP Muni","MUNI_MSRB_VOLUME")</f>
        <v>#N/A Requesting Data...</v>
      </c>
      <c r="S765" t="str">
        <f>_xll.BDP("541372BP Muni","BB_COMPOSITE")</f>
        <v>#N/A Requesting Data...</v>
      </c>
      <c r="T765" t="str">
        <f>_xll.BDP("541372BP Muni","LQA_LIQUIDITY_SCORE")</f>
        <v>#N/A Requesting Data...</v>
      </c>
    </row>
    <row r="766" spans="1:20" x14ac:dyDescent="0.25">
      <c r="A766" t="str">
        <f>_xll.BDP("541372BQ Muni","ID_CUSIP")</f>
        <v>#N/A Requesting Data...</v>
      </c>
      <c r="B766" t="s">
        <v>215</v>
      </c>
      <c r="C766" t="str">
        <f>_xll.BDP("541372BQ Muni","INSURANCE_STATUS")</f>
        <v>#N/A Requesting Data...</v>
      </c>
      <c r="D766" t="str">
        <f>_xll.BDP("541372BQ Muni","STATE_CODE")</f>
        <v>#N/A Requesting Data...</v>
      </c>
      <c r="E766" t="str">
        <f>_xll.BDP("541372BQ Muni","COUNTY_LOCATION_ISSUER")</f>
        <v>#N/A Requesting Data...</v>
      </c>
      <c r="F766" t="str">
        <f>_xll.BDP("541372BQ Muni","DUR_ADJ_MID")</f>
        <v>#N/A Requesting Data...</v>
      </c>
      <c r="G766" t="str">
        <f>_xll.BDP("541372BQ Muni","SPREAD_AT_ISSUANCE_TO_WORST")</f>
        <v>#N/A Requesting Data...</v>
      </c>
      <c r="H766" t="str">
        <f>_xll.BDP("541372BQ Muni","ISSUE_DT")</f>
        <v>#N/A Requesting Data...</v>
      </c>
      <c r="I766" t="str">
        <f>_xll.BDS("541372BQ Muni","MUNI_PURPOSE_SCHED", "aggregate=y")</f>
        <v>#N/A Requesting Data...</v>
      </c>
      <c r="J766" t="str">
        <f>_xll.BDP("541372BQ Muni","CPN")</f>
        <v>#N/A Requesting Data...</v>
      </c>
      <c r="K766" t="str">
        <f>_xll.BDP("541372BQ Muni","MATURITY")</f>
        <v>#N/A Requesting Data...</v>
      </c>
      <c r="L766">
        <v>340000</v>
      </c>
      <c r="M766" t="str">
        <f>_xll.BDP("541372BQ Muni","YIELD_ON_ISSUE_DATE")</f>
        <v>#N/A Requesting Data...</v>
      </c>
      <c r="N766" t="str">
        <f>_xll.BDP("541372BQ Muni","YTW_SPREAD_TO_MATURITY_AT_ISSU")</f>
        <v>#N/A Requesting Data...</v>
      </c>
      <c r="O766" t="str">
        <f>_xll.BDP("541372BQ Muni","BVAL_MID_YTM")</f>
        <v>#N/A Requesting Data...</v>
      </c>
      <c r="P766" t="str">
        <f>_xll.BDP("541372BQ Muni","MUNI_TAX_PROV")</f>
        <v>#N/A Requesting Data...</v>
      </c>
      <c r="Q766" t="str">
        <f>_xll.BDP("541372BQ Muni","MUNI_FED_TAX")</f>
        <v>#N/A Requesting Data...</v>
      </c>
      <c r="R766" t="str">
        <f>_xll.BDP("541372BQ Muni","MUNI_MSRB_VOLUME")</f>
        <v>#N/A Requesting Data...</v>
      </c>
      <c r="S766" t="str">
        <f>_xll.BDP("541372BQ Muni","BB_COMPOSITE")</f>
        <v>#N/A Requesting Data...</v>
      </c>
      <c r="T766" t="str">
        <f>_xll.BDP("541372BQ Muni","LQA_LIQUIDITY_SCORE")</f>
        <v>#N/A Requesting Data...</v>
      </c>
    </row>
    <row r="767" spans="1:20" x14ac:dyDescent="0.25">
      <c r="A767" t="str">
        <f>_xll.BDP("541372CC Muni","ID_CUSIP")</f>
        <v>#N/A Requesting Data...</v>
      </c>
      <c r="B767" t="s">
        <v>215</v>
      </c>
      <c r="C767" t="str">
        <f>_xll.BDP("541372CC Muni","INSURANCE_STATUS")</f>
        <v>#N/A Requesting Data...</v>
      </c>
      <c r="D767" t="str">
        <f>_xll.BDP("541372CC Muni","STATE_CODE")</f>
        <v>#N/A Requesting Data...</v>
      </c>
      <c r="E767" t="str">
        <f>_xll.BDP("541372CC Muni","COUNTY_LOCATION_ISSUER")</f>
        <v>#N/A Requesting Data...</v>
      </c>
      <c r="F767" t="str">
        <f>_xll.BDP("541372CC Muni","DUR_ADJ_MID")</f>
        <v>#N/A Requesting Data...</v>
      </c>
      <c r="G767" t="str">
        <f>_xll.BDP("541372CC Muni","SPREAD_AT_ISSUANCE_TO_WORST")</f>
        <v>#N/A Requesting Data...</v>
      </c>
      <c r="H767" t="str">
        <f>_xll.BDP("541372CC Muni","ISSUE_DT")</f>
        <v>#N/A Requesting Data...</v>
      </c>
      <c r="I767" t="str">
        <f>_xll.BDS("541372CC Muni","MUNI_PURPOSE_SCHED", "aggregate=y")</f>
        <v>#N/A Requesting Data...</v>
      </c>
      <c r="J767" t="str">
        <f>_xll.BDP("541372CC Muni","CPN")</f>
        <v>#N/A Requesting Data...</v>
      </c>
      <c r="K767" t="str">
        <f>_xll.BDP("541372CC Muni","MATURITY")</f>
        <v>#N/A Requesting Data...</v>
      </c>
      <c r="L767">
        <v>225000</v>
      </c>
      <c r="M767" t="str">
        <f>_xll.BDP("541372CC Muni","YIELD_ON_ISSUE_DATE")</f>
        <v>#N/A Requesting Data...</v>
      </c>
      <c r="N767" t="str">
        <f>_xll.BDP("541372CC Muni","YTW_SPREAD_TO_MATURITY_AT_ISSU")</f>
        <v>#N/A Requesting Data...</v>
      </c>
      <c r="O767" t="str">
        <f>_xll.BDP("541372CC Muni","BVAL_MID_YTM")</f>
        <v>#N/A Requesting Data...</v>
      </c>
      <c r="P767" t="str">
        <f>_xll.BDP("541372CC Muni","MUNI_TAX_PROV")</f>
        <v>#N/A Requesting Data...</v>
      </c>
      <c r="Q767" t="str">
        <f>_xll.BDP("541372CC Muni","MUNI_FED_TAX")</f>
        <v>#N/A Requesting Data...</v>
      </c>
      <c r="R767" t="str">
        <f>_xll.BDP("541372CC Muni","MUNI_MSRB_VOLUME")</f>
        <v>#N/A Requesting Data...</v>
      </c>
      <c r="S767" t="str">
        <f>_xll.BDP("541372CC Muni","BB_COMPOSITE")</f>
        <v>#N/A Requesting Data...</v>
      </c>
      <c r="T767" t="str">
        <f>_xll.BDP("541372CC Muni","LQA_LIQUIDITY_SCORE")</f>
        <v>#N/A Requesting Data...</v>
      </c>
    </row>
    <row r="768" spans="1:20" x14ac:dyDescent="0.25">
      <c r="A768" t="str">
        <f>_xll.BDP("541372CD Muni","ID_CUSIP")</f>
        <v>#N/A Requesting Data...</v>
      </c>
      <c r="B768" t="s">
        <v>215</v>
      </c>
      <c r="C768" t="str">
        <f>_xll.BDP("541372CD Muni","INSURANCE_STATUS")</f>
        <v>#N/A Requesting Data...</v>
      </c>
      <c r="D768" t="str">
        <f>_xll.BDP("541372CD Muni","STATE_CODE")</f>
        <v>#N/A Requesting Data...</v>
      </c>
      <c r="E768" t="str">
        <f>_xll.BDP("541372CD Muni","COUNTY_LOCATION_ISSUER")</f>
        <v>#N/A Requesting Data...</v>
      </c>
      <c r="F768" t="str">
        <f>_xll.BDP("541372CD Muni","DUR_ADJ_MID")</f>
        <v>#N/A Requesting Data...</v>
      </c>
      <c r="G768" t="str">
        <f>_xll.BDP("541372CD Muni","SPREAD_AT_ISSUANCE_TO_WORST")</f>
        <v>#N/A Requesting Data...</v>
      </c>
      <c r="H768" t="str">
        <f>_xll.BDP("541372CD Muni","ISSUE_DT")</f>
        <v>#N/A Requesting Data...</v>
      </c>
      <c r="I768" t="str">
        <f>_xll.BDS("541372CD Muni","MUNI_PURPOSE_SCHED", "aggregate=y")</f>
        <v>#N/A Requesting Data...</v>
      </c>
      <c r="J768" t="str">
        <f>_xll.BDP("541372CD Muni","CPN")</f>
        <v>#N/A Requesting Data...</v>
      </c>
      <c r="K768" t="str">
        <f>_xll.BDP("541372CD Muni","MATURITY")</f>
        <v>#N/A Requesting Data...</v>
      </c>
      <c r="L768">
        <v>225000</v>
      </c>
      <c r="M768" t="str">
        <f>_xll.BDP("541372CD Muni","YIELD_ON_ISSUE_DATE")</f>
        <v>#N/A Requesting Data...</v>
      </c>
      <c r="N768" t="str">
        <f>_xll.BDP("541372CD Muni","YTW_SPREAD_TO_MATURITY_AT_ISSU")</f>
        <v>#N/A Requesting Data...</v>
      </c>
      <c r="O768" t="str">
        <f>_xll.BDP("541372CD Muni","BVAL_MID_YTM")</f>
        <v>#N/A Requesting Data...</v>
      </c>
      <c r="P768" t="str">
        <f>_xll.BDP("541372CD Muni","MUNI_TAX_PROV")</f>
        <v>#N/A Requesting Data...</v>
      </c>
      <c r="Q768" t="str">
        <f>_xll.BDP("541372CD Muni","MUNI_FED_TAX")</f>
        <v>#N/A Requesting Data...</v>
      </c>
      <c r="R768" t="str">
        <f>_xll.BDP("541372CD Muni","MUNI_MSRB_VOLUME")</f>
        <v>#N/A Requesting Data...</v>
      </c>
      <c r="S768" t="str">
        <f>_xll.BDP("541372CD Muni","BB_COMPOSITE")</f>
        <v>#N/A Requesting Data...</v>
      </c>
      <c r="T768" t="str">
        <f>_xll.BDP("541372CD Muni","LQA_LIQUIDITY_SCORE")</f>
        <v>#N/A Requesting Data...</v>
      </c>
    </row>
    <row r="769" spans="1:20" x14ac:dyDescent="0.25">
      <c r="A769" t="str">
        <f>_xll.BDP("541568UP Muni","ID_CUSIP")</f>
        <v>#N/A Requesting Data...</v>
      </c>
      <c r="B769" t="s">
        <v>216</v>
      </c>
      <c r="C769" t="str">
        <f>_xll.BDP("541568UP Muni","INSURANCE_STATUS")</f>
        <v>#N/A Requesting Data...</v>
      </c>
      <c r="D769" t="str">
        <f>_xll.BDP("541568UP Muni","STATE_CODE")</f>
        <v>#N/A Requesting Data...</v>
      </c>
      <c r="E769" t="str">
        <f>_xll.BDP("541568UP Muni","COUNTY_LOCATION_ISSUER")</f>
        <v>#N/A Requesting Data...</v>
      </c>
      <c r="F769" t="str">
        <f>_xll.BDP("541568UP Muni","DUR_ADJ_MID")</f>
        <v>#N/A Requesting Data...</v>
      </c>
      <c r="G769" t="str">
        <f>_xll.BDP("541568UP Muni","SPREAD_AT_ISSUANCE_TO_WORST")</f>
        <v>#N/A Requesting Data...</v>
      </c>
      <c r="H769" t="str">
        <f>_xll.BDP("541568UP Muni","ISSUE_DT")</f>
        <v>#N/A Requesting Data...</v>
      </c>
      <c r="I769" t="str">
        <f>_xll.BDS("541568UP Muni","MUNI_PURPOSE_SCHED", "aggregate=y")</f>
        <v>#N/A Requesting Data...</v>
      </c>
      <c r="J769" t="str">
        <f>_xll.BDP("541568UP Muni","CPN")</f>
        <v>#N/A Requesting Data...</v>
      </c>
      <c r="K769" t="str">
        <f>_xll.BDP("541568UP Muni","MATURITY")</f>
        <v>#N/A Requesting Data...</v>
      </c>
      <c r="L769">
        <v>1000000</v>
      </c>
      <c r="M769" t="str">
        <f>_xll.BDP("541568UP Muni","YIELD_ON_ISSUE_DATE")</f>
        <v>#N/A Requesting Data...</v>
      </c>
      <c r="N769" t="str">
        <f>_xll.BDP("541568UP Muni","YTW_SPREAD_TO_MATURITY_AT_ISSU")</f>
        <v>#N/A Requesting Data...</v>
      </c>
      <c r="O769" t="str">
        <f>_xll.BDP("541568UP Muni","BVAL_MID_YTM")</f>
        <v>#N/A Requesting Data...</v>
      </c>
      <c r="P769" t="str">
        <f>_xll.BDP("541568UP Muni","MUNI_TAX_PROV")</f>
        <v>#N/A Requesting Data...</v>
      </c>
      <c r="Q769" t="str">
        <f>_xll.BDP("541568UP Muni","MUNI_FED_TAX")</f>
        <v>#N/A Requesting Data...</v>
      </c>
      <c r="R769" t="str">
        <f>_xll.BDP("541568UP Muni","MUNI_MSRB_VOLUME")</f>
        <v>#N/A Requesting Data...</v>
      </c>
      <c r="S769" t="str">
        <f>_xll.BDP("541568UP Muni","BB_COMPOSITE")</f>
        <v>#N/A Requesting Data...</v>
      </c>
      <c r="T769" t="str">
        <f>_xll.BDP("541568UP Muni","LQA_LIQUIDITY_SCORE")</f>
        <v>#N/A Requesting Data...</v>
      </c>
    </row>
    <row r="770" spans="1:20" x14ac:dyDescent="0.25">
      <c r="A770" t="str">
        <f>_xll.BDP("541568UQ Muni","ID_CUSIP")</f>
        <v>#N/A Requesting Data...</v>
      </c>
      <c r="B770" t="s">
        <v>216</v>
      </c>
      <c r="C770" t="str">
        <f>_xll.BDP("541568UQ Muni","INSURANCE_STATUS")</f>
        <v>#N/A Requesting Data...</v>
      </c>
      <c r="D770" t="str">
        <f>_xll.BDP("541568UQ Muni","STATE_CODE")</f>
        <v>#N/A Requesting Data...</v>
      </c>
      <c r="E770" t="str">
        <f>_xll.BDP("541568UQ Muni","COUNTY_LOCATION_ISSUER")</f>
        <v>#N/A Requesting Data...</v>
      </c>
      <c r="F770" t="str">
        <f>_xll.BDP("541568UQ Muni","DUR_ADJ_MID")</f>
        <v>#N/A Requesting Data...</v>
      </c>
      <c r="G770" t="str">
        <f>_xll.BDP("541568UQ Muni","SPREAD_AT_ISSUANCE_TO_WORST")</f>
        <v>#N/A Requesting Data...</v>
      </c>
      <c r="H770" t="str">
        <f>_xll.BDP("541568UQ Muni","ISSUE_DT")</f>
        <v>#N/A Requesting Data...</v>
      </c>
      <c r="I770" t="str">
        <f>_xll.BDS("541568UQ Muni","MUNI_PURPOSE_SCHED", "aggregate=y")</f>
        <v>#N/A Requesting Data...</v>
      </c>
      <c r="J770" t="str">
        <f>_xll.BDP("541568UQ Muni","CPN")</f>
        <v>#N/A Requesting Data...</v>
      </c>
      <c r="K770" t="str">
        <f>_xll.BDP("541568UQ Muni","MATURITY")</f>
        <v>#N/A Requesting Data...</v>
      </c>
      <c r="L770">
        <v>1040000</v>
      </c>
      <c r="M770" t="str">
        <f>_xll.BDP("541568UQ Muni","YIELD_ON_ISSUE_DATE")</f>
        <v>#N/A Requesting Data...</v>
      </c>
      <c r="N770" t="str">
        <f>_xll.BDP("541568UQ Muni","YTW_SPREAD_TO_MATURITY_AT_ISSU")</f>
        <v>#N/A Requesting Data...</v>
      </c>
      <c r="O770" t="str">
        <f>_xll.BDP("541568UQ Muni","BVAL_MID_YTM")</f>
        <v>#N/A Requesting Data...</v>
      </c>
      <c r="P770" t="str">
        <f>_xll.BDP("541568UQ Muni","MUNI_TAX_PROV")</f>
        <v>#N/A Requesting Data...</v>
      </c>
      <c r="Q770" t="str">
        <f>_xll.BDP("541568UQ Muni","MUNI_FED_TAX")</f>
        <v>#N/A Requesting Data...</v>
      </c>
      <c r="R770" t="str">
        <f>_xll.BDP("541568UQ Muni","MUNI_MSRB_VOLUME")</f>
        <v>#N/A Requesting Data...</v>
      </c>
      <c r="S770" t="str">
        <f>_xll.BDP("541568UQ Muni","BB_COMPOSITE")</f>
        <v>#N/A Requesting Data...</v>
      </c>
      <c r="T770" t="str">
        <f>_xll.BDP("541568UQ Muni","LQA_LIQUIDITY_SCORE")</f>
        <v>#N/A Requesting Data...</v>
      </c>
    </row>
    <row r="771" spans="1:20" x14ac:dyDescent="0.25">
      <c r="A771" t="str">
        <f>_xll.BDP("542824TH Muni","ID_CUSIP")</f>
        <v>#N/A Requesting Data...</v>
      </c>
      <c r="B771" t="s">
        <v>217</v>
      </c>
      <c r="C771" t="str">
        <f>_xll.BDP("542824TH Muni","INSURANCE_STATUS")</f>
        <v>#N/A Requesting Data...</v>
      </c>
      <c r="D771" t="str">
        <f>_xll.BDP("542824TH Muni","STATE_CODE")</f>
        <v>#N/A Requesting Data...</v>
      </c>
      <c r="E771" t="str">
        <f>_xll.BDP("542824TH Muni","COUNTY_LOCATION_ISSUER")</f>
        <v>#N/A Requesting Data...</v>
      </c>
      <c r="F771" t="str">
        <f>_xll.BDP("542824TH Muni","DUR_ADJ_MID")</f>
        <v>#N/A Requesting Data...</v>
      </c>
      <c r="G771" t="str">
        <f>_xll.BDP("542824TH Muni","SPREAD_AT_ISSUANCE_TO_WORST")</f>
        <v>#N/A Requesting Data...</v>
      </c>
      <c r="H771" t="str">
        <f>_xll.BDP("542824TH Muni","ISSUE_DT")</f>
        <v>#N/A Requesting Data...</v>
      </c>
      <c r="I771" t="str">
        <f>_xll.BDS("542824TH Muni","MUNI_PURPOSE_SCHED", "aggregate=y")</f>
        <v>#N/A Requesting Data...</v>
      </c>
      <c r="J771" t="str">
        <f>_xll.BDP("542824TH Muni","CPN")</f>
        <v>#N/A Requesting Data...</v>
      </c>
      <c r="K771" t="str">
        <f>_xll.BDP("542824TH Muni","MATURITY")</f>
        <v>#N/A Requesting Data...</v>
      </c>
      <c r="L771">
        <v>165000</v>
      </c>
      <c r="M771" t="str">
        <f>_xll.BDP("542824TH Muni","YIELD_ON_ISSUE_DATE")</f>
        <v>#N/A Requesting Data...</v>
      </c>
      <c r="N771" t="str">
        <f>_xll.BDP("542824TH Muni","YTW_SPREAD_TO_MATURITY_AT_ISSU")</f>
        <v>#N/A Requesting Data...</v>
      </c>
      <c r="O771" t="str">
        <f>_xll.BDP("542824TH Muni","BVAL_MID_YTM")</f>
        <v>#N/A Requesting Data...</v>
      </c>
      <c r="P771" t="str">
        <f>_xll.BDP("542824TH Muni","MUNI_TAX_PROV")</f>
        <v>#N/A Requesting Data...</v>
      </c>
      <c r="Q771" t="str">
        <f>_xll.BDP("542824TH Muni","MUNI_FED_TAX")</f>
        <v>#N/A Requesting Data...</v>
      </c>
      <c r="R771" t="str">
        <f>_xll.BDP("542824TH Muni","MUNI_MSRB_VOLUME")</f>
        <v>#N/A Requesting Data...</v>
      </c>
      <c r="S771" t="str">
        <f>_xll.BDP("542824TH Muni","BB_COMPOSITE")</f>
        <v>#N/A Requesting Data...</v>
      </c>
      <c r="T771" t="str">
        <f>_xll.BDP("542824TH Muni","LQA_LIQUIDITY_SCORE")</f>
        <v>#N/A Requesting Data...</v>
      </c>
    </row>
    <row r="772" spans="1:20" x14ac:dyDescent="0.25">
      <c r="A772" t="str">
        <f>_xll.BDP("542824TJ Muni","ID_CUSIP")</f>
        <v>#N/A Requesting Data...</v>
      </c>
      <c r="B772" t="s">
        <v>217</v>
      </c>
      <c r="C772" t="str">
        <f>_xll.BDP("542824TJ Muni","INSURANCE_STATUS")</f>
        <v>#N/A Requesting Data...</v>
      </c>
      <c r="D772" t="str">
        <f>_xll.BDP("542824TJ Muni","STATE_CODE")</f>
        <v>#N/A Requesting Data...</v>
      </c>
      <c r="E772" t="str">
        <f>_xll.BDP("542824TJ Muni","COUNTY_LOCATION_ISSUER")</f>
        <v>#N/A Requesting Data...</v>
      </c>
      <c r="F772" t="str">
        <f>_xll.BDP("542824TJ Muni","DUR_ADJ_MID")</f>
        <v>#N/A Requesting Data...</v>
      </c>
      <c r="G772" t="str">
        <f>_xll.BDP("542824TJ Muni","SPREAD_AT_ISSUANCE_TO_WORST")</f>
        <v>#N/A Requesting Data...</v>
      </c>
      <c r="H772" t="str">
        <f>_xll.BDP("542824TJ Muni","ISSUE_DT")</f>
        <v>#N/A Requesting Data...</v>
      </c>
      <c r="I772" t="str">
        <f>_xll.BDS("542824TJ Muni","MUNI_PURPOSE_SCHED", "aggregate=y")</f>
        <v>#N/A Requesting Data...</v>
      </c>
      <c r="J772" t="str">
        <f>_xll.BDP("542824TJ Muni","CPN")</f>
        <v>#N/A Requesting Data...</v>
      </c>
      <c r="K772" t="str">
        <f>_xll.BDP("542824TJ Muni","MATURITY")</f>
        <v>#N/A Requesting Data...</v>
      </c>
      <c r="L772">
        <v>170000</v>
      </c>
      <c r="M772" t="str">
        <f>_xll.BDP("542824TJ Muni","YIELD_ON_ISSUE_DATE")</f>
        <v>#N/A Requesting Data...</v>
      </c>
      <c r="N772" t="str">
        <f>_xll.BDP("542824TJ Muni","YTW_SPREAD_TO_MATURITY_AT_ISSU")</f>
        <v>#N/A Requesting Data...</v>
      </c>
      <c r="O772" t="str">
        <f>_xll.BDP("542824TJ Muni","BVAL_MID_YTM")</f>
        <v>#N/A Requesting Data...</v>
      </c>
      <c r="P772" t="str">
        <f>_xll.BDP("542824TJ Muni","MUNI_TAX_PROV")</f>
        <v>#N/A Requesting Data...</v>
      </c>
      <c r="Q772" t="str">
        <f>_xll.BDP("542824TJ Muni","MUNI_FED_TAX")</f>
        <v>#N/A Requesting Data...</v>
      </c>
      <c r="R772" t="str">
        <f>_xll.BDP("542824TJ Muni","MUNI_MSRB_VOLUME")</f>
        <v>#N/A Requesting Data...</v>
      </c>
      <c r="S772" t="str">
        <f>_xll.BDP("542824TJ Muni","BB_COMPOSITE")</f>
        <v>#N/A Requesting Data...</v>
      </c>
      <c r="T772" t="str">
        <f>_xll.BDP("542824TJ Muni","LQA_LIQUIDITY_SCORE")</f>
        <v>#N/A Requesting Data...</v>
      </c>
    </row>
    <row r="773" spans="1:20" x14ac:dyDescent="0.25">
      <c r="A773" t="str">
        <f>_xll.BDP("542824TK Muni","ID_CUSIP")</f>
        <v>#N/A Requesting Data...</v>
      </c>
      <c r="B773" t="s">
        <v>217</v>
      </c>
      <c r="C773" t="str">
        <f>_xll.BDP("542824TK Muni","INSURANCE_STATUS")</f>
        <v>#N/A Requesting Data...</v>
      </c>
      <c r="D773" t="str">
        <f>_xll.BDP("542824TK Muni","STATE_CODE")</f>
        <v>#N/A Requesting Data...</v>
      </c>
      <c r="E773" t="str">
        <f>_xll.BDP("542824TK Muni","COUNTY_LOCATION_ISSUER")</f>
        <v>#N/A Requesting Data...</v>
      </c>
      <c r="F773" t="str">
        <f>_xll.BDP("542824TK Muni","DUR_ADJ_MID")</f>
        <v>#N/A Requesting Data...</v>
      </c>
      <c r="G773" t="str">
        <f>_xll.BDP("542824TK Muni","SPREAD_AT_ISSUANCE_TO_WORST")</f>
        <v>#N/A Requesting Data...</v>
      </c>
      <c r="H773" t="str">
        <f>_xll.BDP("542824TK Muni","ISSUE_DT")</f>
        <v>#N/A Requesting Data...</v>
      </c>
      <c r="I773" t="str">
        <f>_xll.BDS("542824TK Muni","MUNI_PURPOSE_SCHED", "aggregate=y")</f>
        <v>#N/A Requesting Data...</v>
      </c>
      <c r="J773" t="str">
        <f>_xll.BDP("542824TK Muni","CPN")</f>
        <v>#N/A Requesting Data...</v>
      </c>
      <c r="K773" t="str">
        <f>_xll.BDP("542824TK Muni","MATURITY")</f>
        <v>#N/A Requesting Data...</v>
      </c>
      <c r="L773">
        <v>180000</v>
      </c>
      <c r="M773" t="str">
        <f>_xll.BDP("542824TK Muni","YIELD_ON_ISSUE_DATE")</f>
        <v>#N/A Requesting Data...</v>
      </c>
      <c r="N773" t="str">
        <f>_xll.BDP("542824TK Muni","YTW_SPREAD_TO_MATURITY_AT_ISSU")</f>
        <v>#N/A Requesting Data...</v>
      </c>
      <c r="O773" t="str">
        <f>_xll.BDP("542824TK Muni","BVAL_MID_YTM")</f>
        <v>#N/A Requesting Data...</v>
      </c>
      <c r="P773" t="str">
        <f>_xll.BDP("542824TK Muni","MUNI_TAX_PROV")</f>
        <v>#N/A Requesting Data...</v>
      </c>
      <c r="Q773" t="str">
        <f>_xll.BDP("542824TK Muni","MUNI_FED_TAX")</f>
        <v>#N/A Requesting Data...</v>
      </c>
      <c r="R773" t="str">
        <f>_xll.BDP("542824TK Muni","MUNI_MSRB_VOLUME")</f>
        <v>#N/A Requesting Data...</v>
      </c>
      <c r="S773" t="str">
        <f>_xll.BDP("542824TK Muni","BB_COMPOSITE")</f>
        <v>#N/A Requesting Data...</v>
      </c>
      <c r="T773" t="str">
        <f>_xll.BDP("542824TK Muni","LQA_LIQUIDITY_SCORE")</f>
        <v>#N/A Requesting Data...</v>
      </c>
    </row>
    <row r="774" spans="1:20" x14ac:dyDescent="0.25">
      <c r="A774" t="str">
        <f>_xll.BDP("542824TL Muni","ID_CUSIP")</f>
        <v>#N/A Requesting Data...</v>
      </c>
      <c r="B774" t="s">
        <v>217</v>
      </c>
      <c r="C774" t="str">
        <f>_xll.BDP("542824TL Muni","INSURANCE_STATUS")</f>
        <v>#N/A Requesting Data...</v>
      </c>
      <c r="D774" t="str">
        <f>_xll.BDP("542824TL Muni","STATE_CODE")</f>
        <v>#N/A Requesting Data...</v>
      </c>
      <c r="E774" t="str">
        <f>_xll.BDP("542824TL Muni","COUNTY_LOCATION_ISSUER")</f>
        <v>#N/A Requesting Data...</v>
      </c>
      <c r="F774" t="str">
        <f>_xll.BDP("542824TL Muni","DUR_ADJ_MID")</f>
        <v>#N/A Requesting Data...</v>
      </c>
      <c r="G774" t="str">
        <f>_xll.BDP("542824TL Muni","SPREAD_AT_ISSUANCE_TO_WORST")</f>
        <v>#N/A Requesting Data...</v>
      </c>
      <c r="H774" t="str">
        <f>_xll.BDP("542824TL Muni","ISSUE_DT")</f>
        <v>#N/A Requesting Data...</v>
      </c>
      <c r="I774" t="str">
        <f>_xll.BDS("542824TL Muni","MUNI_PURPOSE_SCHED", "aggregate=y")</f>
        <v>#N/A Requesting Data...</v>
      </c>
      <c r="J774" t="str">
        <f>_xll.BDP("542824TL Muni","CPN")</f>
        <v>#N/A Requesting Data...</v>
      </c>
      <c r="K774" t="str">
        <f>_xll.BDP("542824TL Muni","MATURITY")</f>
        <v>#N/A Requesting Data...</v>
      </c>
      <c r="L774">
        <v>185000</v>
      </c>
      <c r="M774" t="str">
        <f>_xll.BDP("542824TL Muni","YIELD_ON_ISSUE_DATE")</f>
        <v>#N/A Requesting Data...</v>
      </c>
      <c r="N774" t="str">
        <f>_xll.BDP("542824TL Muni","YTW_SPREAD_TO_MATURITY_AT_ISSU")</f>
        <v>#N/A Requesting Data...</v>
      </c>
      <c r="O774" t="str">
        <f>_xll.BDP("542824TL Muni","BVAL_MID_YTM")</f>
        <v>#N/A Requesting Data...</v>
      </c>
      <c r="P774" t="str">
        <f>_xll.BDP("542824TL Muni","MUNI_TAX_PROV")</f>
        <v>#N/A Requesting Data...</v>
      </c>
      <c r="Q774" t="str">
        <f>_xll.BDP("542824TL Muni","MUNI_FED_TAX")</f>
        <v>#N/A Requesting Data...</v>
      </c>
      <c r="R774" t="str">
        <f>_xll.BDP("542824TL Muni","MUNI_MSRB_VOLUME")</f>
        <v>#N/A Requesting Data...</v>
      </c>
      <c r="S774" t="str">
        <f>_xll.BDP("542824TL Muni","BB_COMPOSITE")</f>
        <v>#N/A Requesting Data...</v>
      </c>
      <c r="T774" t="str">
        <f>_xll.BDP("542824TL Muni","LQA_LIQUIDITY_SCORE")</f>
        <v>#N/A Requesting Data...</v>
      </c>
    </row>
    <row r="775" spans="1:20" x14ac:dyDescent="0.25">
      <c r="A775" t="str">
        <f>_xll.BDP("542824TM Muni","ID_CUSIP")</f>
        <v>#N/A Requesting Data...</v>
      </c>
      <c r="B775" t="s">
        <v>217</v>
      </c>
      <c r="C775" t="str">
        <f>_xll.BDP("542824TM Muni","INSURANCE_STATUS")</f>
        <v>#N/A Requesting Data...</v>
      </c>
      <c r="D775" t="str">
        <f>_xll.BDP("542824TM Muni","STATE_CODE")</f>
        <v>#N/A Requesting Data...</v>
      </c>
      <c r="E775" t="str">
        <f>_xll.BDP("542824TM Muni","COUNTY_LOCATION_ISSUER")</f>
        <v>#N/A Requesting Data...</v>
      </c>
      <c r="F775" t="str">
        <f>_xll.BDP("542824TM Muni","DUR_ADJ_MID")</f>
        <v>#N/A Requesting Data...</v>
      </c>
      <c r="G775" t="str">
        <f>_xll.BDP("542824TM Muni","SPREAD_AT_ISSUANCE_TO_WORST")</f>
        <v>#N/A Requesting Data...</v>
      </c>
      <c r="H775" t="str">
        <f>_xll.BDP("542824TM Muni","ISSUE_DT")</f>
        <v>#N/A Requesting Data...</v>
      </c>
      <c r="I775" t="str">
        <f>_xll.BDS("542824TM Muni","MUNI_PURPOSE_SCHED", "aggregate=y")</f>
        <v>#N/A Requesting Data...</v>
      </c>
      <c r="J775" t="str">
        <f>_xll.BDP("542824TM Muni","CPN")</f>
        <v>#N/A Requesting Data...</v>
      </c>
      <c r="K775" t="str">
        <f>_xll.BDP("542824TM Muni","MATURITY")</f>
        <v>#N/A Requesting Data...</v>
      </c>
      <c r="L775">
        <v>190000</v>
      </c>
      <c r="M775" t="str">
        <f>_xll.BDP("542824TM Muni","YIELD_ON_ISSUE_DATE")</f>
        <v>#N/A Requesting Data...</v>
      </c>
      <c r="N775" t="str">
        <f>_xll.BDP("542824TM Muni","YTW_SPREAD_TO_MATURITY_AT_ISSU")</f>
        <v>#N/A Requesting Data...</v>
      </c>
      <c r="O775" t="str">
        <f>_xll.BDP("542824TM Muni","BVAL_MID_YTM")</f>
        <v>#N/A Requesting Data...</v>
      </c>
      <c r="P775" t="str">
        <f>_xll.BDP("542824TM Muni","MUNI_TAX_PROV")</f>
        <v>#N/A Requesting Data...</v>
      </c>
      <c r="Q775" t="str">
        <f>_xll.BDP("542824TM Muni","MUNI_FED_TAX")</f>
        <v>#N/A Requesting Data...</v>
      </c>
      <c r="R775" t="str">
        <f>_xll.BDP("542824TM Muni","MUNI_MSRB_VOLUME")</f>
        <v>#N/A Requesting Data...</v>
      </c>
      <c r="S775" t="str">
        <f>_xll.BDP("542824TM Muni","BB_COMPOSITE")</f>
        <v>#N/A Requesting Data...</v>
      </c>
      <c r="T775" t="str">
        <f>_xll.BDP("542824TM Muni","LQA_LIQUIDITY_SCORE")</f>
        <v>#N/A Requesting Data...</v>
      </c>
    </row>
    <row r="776" spans="1:20" x14ac:dyDescent="0.25">
      <c r="A776" t="str">
        <f>_xll.BDP("54336RBY Muni","ID_CUSIP")</f>
        <v>#N/A Requesting Data...</v>
      </c>
      <c r="B776" t="s">
        <v>218</v>
      </c>
      <c r="C776" t="str">
        <f>_xll.BDP("54336RBY Muni","INSURANCE_STATUS")</f>
        <v>#N/A Requesting Data...</v>
      </c>
      <c r="D776" t="str">
        <f>_xll.BDP("54336RBY Muni","STATE_CODE")</f>
        <v>#N/A Requesting Data...</v>
      </c>
      <c r="E776" t="str">
        <f>_xll.BDP("54336RBY Muni","COUNTY_LOCATION_ISSUER")</f>
        <v>#N/A Requesting Data...</v>
      </c>
      <c r="F776" t="str">
        <f>_xll.BDP("54336RBY Muni","DUR_ADJ_MID")</f>
        <v>#N/A Requesting Data...</v>
      </c>
      <c r="G776" t="str">
        <f>_xll.BDP("54336RBY Muni","SPREAD_AT_ISSUANCE_TO_WORST")</f>
        <v>#N/A Requesting Data...</v>
      </c>
      <c r="H776" t="str">
        <f>_xll.BDP("54336RBY Muni","ISSUE_DT")</f>
        <v>#N/A Requesting Data...</v>
      </c>
      <c r="I776" t="str">
        <f>_xll.BDS("54336RBY Muni","MUNI_PURPOSE_SCHED", "aggregate=y")</f>
        <v>#N/A Requesting Data...</v>
      </c>
      <c r="J776" t="str">
        <f>_xll.BDP("54336RBY Muni","CPN")</f>
        <v>#N/A Requesting Data...</v>
      </c>
      <c r="K776" t="str">
        <f>_xll.BDP("54336RBY Muni","MATURITY")</f>
        <v>#N/A Requesting Data...</v>
      </c>
      <c r="L776">
        <v>425000</v>
      </c>
      <c r="M776" t="str">
        <f>_xll.BDP("54336RBY Muni","YIELD_ON_ISSUE_DATE")</f>
        <v>#N/A Requesting Data...</v>
      </c>
      <c r="N776" t="str">
        <f>_xll.BDP("54336RBY Muni","YTW_SPREAD_TO_MATURITY_AT_ISSU")</f>
        <v>#N/A Requesting Data...</v>
      </c>
      <c r="O776" t="str">
        <f>_xll.BDP("54336RBY Muni","BVAL_MID_YTM")</f>
        <v>#N/A Requesting Data...</v>
      </c>
      <c r="P776" t="str">
        <f>_xll.BDP("54336RBY Muni","MUNI_TAX_PROV")</f>
        <v>#N/A Requesting Data...</v>
      </c>
      <c r="Q776" t="str">
        <f>_xll.BDP("54336RBY Muni","MUNI_FED_TAX")</f>
        <v>#N/A Requesting Data...</v>
      </c>
      <c r="R776" t="str">
        <f>_xll.BDP("54336RBY Muni","MUNI_MSRB_VOLUME")</f>
        <v>#N/A Requesting Data...</v>
      </c>
      <c r="S776" t="str">
        <f>_xll.BDP("54336RBY Muni","BB_COMPOSITE")</f>
        <v>#N/A Requesting Data...</v>
      </c>
      <c r="T776" t="str">
        <f>_xll.BDP("54336RBY Muni","LQA_LIQUIDITY_SCORE")</f>
        <v>#N/A Requesting Data...</v>
      </c>
    </row>
    <row r="777" spans="1:20" x14ac:dyDescent="0.25">
      <c r="A777" t="str">
        <f>_xll.BDP("54336RBZ Muni","ID_CUSIP")</f>
        <v>#N/A Requesting Data...</v>
      </c>
      <c r="B777" t="s">
        <v>218</v>
      </c>
      <c r="C777" t="str">
        <f>_xll.BDP("54336RBZ Muni","INSURANCE_STATUS")</f>
        <v>#N/A Requesting Data...</v>
      </c>
      <c r="D777" t="str">
        <f>_xll.BDP("54336RBZ Muni","STATE_CODE")</f>
        <v>#N/A Requesting Data...</v>
      </c>
      <c r="E777" t="str">
        <f>_xll.BDP("54336RBZ Muni","COUNTY_LOCATION_ISSUER")</f>
        <v>#N/A Requesting Data...</v>
      </c>
      <c r="F777" t="str">
        <f>_xll.BDP("54336RBZ Muni","DUR_ADJ_MID")</f>
        <v>#N/A Requesting Data...</v>
      </c>
      <c r="G777" t="str">
        <f>_xll.BDP("54336RBZ Muni","SPREAD_AT_ISSUANCE_TO_WORST")</f>
        <v>#N/A Requesting Data...</v>
      </c>
      <c r="H777" t="str">
        <f>_xll.BDP("54336RBZ Muni","ISSUE_DT")</f>
        <v>#N/A Requesting Data...</v>
      </c>
      <c r="I777" t="str">
        <f>_xll.BDS("54336RBZ Muni","MUNI_PURPOSE_SCHED", "aggregate=y")</f>
        <v>#N/A Requesting Data...</v>
      </c>
      <c r="J777" t="str">
        <f>_xll.BDP("54336RBZ Muni","CPN")</f>
        <v>#N/A Requesting Data...</v>
      </c>
      <c r="K777" t="str">
        <f>_xll.BDP("54336RBZ Muni","MATURITY")</f>
        <v>#N/A Requesting Data...</v>
      </c>
      <c r="L777">
        <v>445000</v>
      </c>
      <c r="M777" t="str">
        <f>_xll.BDP("54336RBZ Muni","YIELD_ON_ISSUE_DATE")</f>
        <v>#N/A Requesting Data...</v>
      </c>
      <c r="N777" t="str">
        <f>_xll.BDP("54336RBZ Muni","YTW_SPREAD_TO_MATURITY_AT_ISSU")</f>
        <v>#N/A Requesting Data...</v>
      </c>
      <c r="O777" t="str">
        <f>_xll.BDP("54336RBZ Muni","BVAL_MID_YTM")</f>
        <v>#N/A Requesting Data...</v>
      </c>
      <c r="P777" t="str">
        <f>_xll.BDP("54336RBZ Muni","MUNI_TAX_PROV")</f>
        <v>#N/A Requesting Data...</v>
      </c>
      <c r="Q777" t="str">
        <f>_xll.BDP("54336RBZ Muni","MUNI_FED_TAX")</f>
        <v>#N/A Requesting Data...</v>
      </c>
      <c r="R777" t="str">
        <f>_xll.BDP("54336RBZ Muni","MUNI_MSRB_VOLUME")</f>
        <v>#N/A Requesting Data...</v>
      </c>
      <c r="S777" t="str">
        <f>_xll.BDP("54336RBZ Muni","BB_COMPOSITE")</f>
        <v>#N/A Requesting Data...</v>
      </c>
      <c r="T777" t="str">
        <f>_xll.BDP("54336RBZ Muni","LQA_LIQUIDITY_SCORE")</f>
        <v>#N/A Requesting Data...</v>
      </c>
    </row>
    <row r="778" spans="1:20" x14ac:dyDescent="0.25">
      <c r="A778" t="str">
        <f>_xll.BDP("54336RCA Muni","ID_CUSIP")</f>
        <v>#N/A Requesting Data...</v>
      </c>
      <c r="B778" t="s">
        <v>218</v>
      </c>
      <c r="C778" t="str">
        <f>_xll.BDP("54336RCA Muni","INSURANCE_STATUS")</f>
        <v>#N/A Requesting Data...</v>
      </c>
      <c r="D778" t="str">
        <f>_xll.BDP("54336RCA Muni","STATE_CODE")</f>
        <v>#N/A Requesting Data...</v>
      </c>
      <c r="E778" t="str">
        <f>_xll.BDP("54336RCA Muni","COUNTY_LOCATION_ISSUER")</f>
        <v>#N/A Requesting Data...</v>
      </c>
      <c r="F778" t="str">
        <f>_xll.BDP("54336RCA Muni","DUR_ADJ_MID")</f>
        <v>#N/A Requesting Data...</v>
      </c>
      <c r="G778" t="str">
        <f>_xll.BDP("54336RCA Muni","SPREAD_AT_ISSUANCE_TO_WORST")</f>
        <v>#N/A Requesting Data...</v>
      </c>
      <c r="H778" t="str">
        <f>_xll.BDP("54336RCA Muni","ISSUE_DT")</f>
        <v>#N/A Requesting Data...</v>
      </c>
      <c r="I778" t="str">
        <f>_xll.BDS("54336RCA Muni","MUNI_PURPOSE_SCHED", "aggregate=y")</f>
        <v>#N/A Requesting Data...</v>
      </c>
      <c r="J778" t="str">
        <f>_xll.BDP("54336RCA Muni","CPN")</f>
        <v>#N/A Requesting Data...</v>
      </c>
      <c r="K778" t="str">
        <f>_xll.BDP("54336RCA Muni","MATURITY")</f>
        <v>#N/A Requesting Data...</v>
      </c>
      <c r="L778">
        <v>470000</v>
      </c>
      <c r="M778" t="str">
        <f>_xll.BDP("54336RCA Muni","YIELD_ON_ISSUE_DATE")</f>
        <v>#N/A Requesting Data...</v>
      </c>
      <c r="N778" t="str">
        <f>_xll.BDP("54336RCA Muni","YTW_SPREAD_TO_MATURITY_AT_ISSU")</f>
        <v>#N/A Requesting Data...</v>
      </c>
      <c r="O778" t="str">
        <f>_xll.BDP("54336RCA Muni","BVAL_MID_YTM")</f>
        <v>#N/A Requesting Data...</v>
      </c>
      <c r="P778" t="str">
        <f>_xll.BDP("54336RCA Muni","MUNI_TAX_PROV")</f>
        <v>#N/A Requesting Data...</v>
      </c>
      <c r="Q778" t="str">
        <f>_xll.BDP("54336RCA Muni","MUNI_FED_TAX")</f>
        <v>#N/A Requesting Data...</v>
      </c>
      <c r="R778" t="str">
        <f>_xll.BDP("54336RCA Muni","MUNI_MSRB_VOLUME")</f>
        <v>#N/A Requesting Data...</v>
      </c>
      <c r="S778" t="str">
        <f>_xll.BDP("54336RCA Muni","BB_COMPOSITE")</f>
        <v>#N/A Requesting Data...</v>
      </c>
      <c r="T778" t="str">
        <f>_xll.BDP("54336RCA Muni","LQA_LIQUIDITY_SCORE")</f>
        <v>#N/A Requesting Data...</v>
      </c>
    </row>
    <row r="779" spans="1:20" x14ac:dyDescent="0.25">
      <c r="A779" t="str">
        <f>_xll.BDP("543378LR Muni","ID_CUSIP")</f>
        <v>#N/A Requesting Data...</v>
      </c>
      <c r="B779" t="s">
        <v>219</v>
      </c>
      <c r="C779" t="str">
        <f>_xll.BDP("543378LR Muni","INSURANCE_STATUS")</f>
        <v>#N/A Requesting Data...</v>
      </c>
      <c r="D779" t="str">
        <f>_xll.BDP("543378LR Muni","STATE_CODE")</f>
        <v>#N/A Requesting Data...</v>
      </c>
      <c r="E779" t="str">
        <f>_xll.BDP("543378LR Muni","COUNTY_LOCATION_ISSUER")</f>
        <v>#N/A Requesting Data...</v>
      </c>
      <c r="F779" t="str">
        <f>_xll.BDP("543378LR Muni","DUR_ADJ_MID")</f>
        <v>#N/A Requesting Data...</v>
      </c>
      <c r="G779" t="str">
        <f>_xll.BDP("543378LR Muni","SPREAD_AT_ISSUANCE_TO_WORST")</f>
        <v>#N/A Requesting Data...</v>
      </c>
      <c r="H779" t="str">
        <f>_xll.BDP("543378LR Muni","ISSUE_DT")</f>
        <v>#N/A Requesting Data...</v>
      </c>
      <c r="I779" t="str">
        <f>_xll.BDS("543378LR Muni","MUNI_PURPOSE_SCHED", "aggregate=y")</f>
        <v>#N/A Requesting Data...</v>
      </c>
      <c r="J779" t="str">
        <f>_xll.BDP("543378LR Muni","CPN")</f>
        <v>#N/A Requesting Data...</v>
      </c>
      <c r="K779" t="str">
        <f>_xll.BDP("543378LR Muni","MATURITY")</f>
        <v>#N/A Requesting Data...</v>
      </c>
      <c r="L779">
        <v>110000</v>
      </c>
      <c r="M779" t="str">
        <f>_xll.BDP("543378LR Muni","YIELD_ON_ISSUE_DATE")</f>
        <v>#N/A Requesting Data...</v>
      </c>
      <c r="N779" t="str">
        <f>_xll.BDP("543378LR Muni","YTW_SPREAD_TO_MATURITY_AT_ISSU")</f>
        <v>#N/A Requesting Data...</v>
      </c>
      <c r="O779" t="str">
        <f>_xll.BDP("543378LR Muni","BVAL_MID_YTM")</f>
        <v>#N/A Requesting Data...</v>
      </c>
      <c r="P779" t="str">
        <f>_xll.BDP("543378LR Muni","MUNI_TAX_PROV")</f>
        <v>#N/A Requesting Data...</v>
      </c>
      <c r="Q779" t="str">
        <f>_xll.BDP("543378LR Muni","MUNI_FED_TAX")</f>
        <v>#N/A Requesting Data...</v>
      </c>
      <c r="R779" t="str">
        <f>_xll.BDP("543378LR Muni","MUNI_MSRB_VOLUME")</f>
        <v>#N/A Requesting Data...</v>
      </c>
      <c r="S779" t="str">
        <f>_xll.BDP("543378LR Muni","BB_COMPOSITE")</f>
        <v>#N/A Requesting Data...</v>
      </c>
      <c r="T779" t="str">
        <f>_xll.BDP("543378LR Muni","LQA_LIQUIDITY_SCORE")</f>
        <v>#N/A Requesting Data...</v>
      </c>
    </row>
    <row r="780" spans="1:20" x14ac:dyDescent="0.25">
      <c r="A780" t="str">
        <f>_xll.BDP("543378LS Muni","ID_CUSIP")</f>
        <v>#N/A Requesting Data...</v>
      </c>
      <c r="B780" t="s">
        <v>219</v>
      </c>
      <c r="C780" t="str">
        <f>_xll.BDP("543378LS Muni","INSURANCE_STATUS")</f>
        <v>#N/A Requesting Data...</v>
      </c>
      <c r="D780" t="str">
        <f>_xll.BDP("543378LS Muni","STATE_CODE")</f>
        <v>#N/A Requesting Data...</v>
      </c>
      <c r="E780" t="str">
        <f>_xll.BDP("543378LS Muni","COUNTY_LOCATION_ISSUER")</f>
        <v>#N/A Requesting Data...</v>
      </c>
      <c r="F780" t="str">
        <f>_xll.BDP("543378LS Muni","DUR_ADJ_MID")</f>
        <v>#N/A Requesting Data...</v>
      </c>
      <c r="G780" t="str">
        <f>_xll.BDP("543378LS Muni","SPREAD_AT_ISSUANCE_TO_WORST")</f>
        <v>#N/A Requesting Data...</v>
      </c>
      <c r="H780" t="str">
        <f>_xll.BDP("543378LS Muni","ISSUE_DT")</f>
        <v>#N/A Requesting Data...</v>
      </c>
      <c r="I780" t="str">
        <f>_xll.BDS("543378LS Muni","MUNI_PURPOSE_SCHED", "aggregate=y")</f>
        <v>#N/A Requesting Data...</v>
      </c>
      <c r="J780" t="str">
        <f>_xll.BDP("543378LS Muni","CPN")</f>
        <v>#N/A Requesting Data...</v>
      </c>
      <c r="K780" t="str">
        <f>_xll.BDP("543378LS Muni","MATURITY")</f>
        <v>#N/A Requesting Data...</v>
      </c>
      <c r="L780">
        <v>115000</v>
      </c>
      <c r="M780" t="str">
        <f>_xll.BDP("543378LS Muni","YIELD_ON_ISSUE_DATE")</f>
        <v>#N/A Requesting Data...</v>
      </c>
      <c r="N780" t="str">
        <f>_xll.BDP("543378LS Muni","YTW_SPREAD_TO_MATURITY_AT_ISSU")</f>
        <v>#N/A Requesting Data...</v>
      </c>
      <c r="O780" t="str">
        <f>_xll.BDP("543378LS Muni","BVAL_MID_YTM")</f>
        <v>#N/A Requesting Data...</v>
      </c>
      <c r="P780" t="str">
        <f>_xll.BDP("543378LS Muni","MUNI_TAX_PROV")</f>
        <v>#N/A Requesting Data...</v>
      </c>
      <c r="Q780" t="str">
        <f>_xll.BDP("543378LS Muni","MUNI_FED_TAX")</f>
        <v>#N/A Requesting Data...</v>
      </c>
      <c r="R780" t="str">
        <f>_xll.BDP("543378LS Muni","MUNI_MSRB_VOLUME")</f>
        <v>#N/A Requesting Data...</v>
      </c>
      <c r="S780" t="str">
        <f>_xll.BDP("543378LS Muni","BB_COMPOSITE")</f>
        <v>#N/A Requesting Data...</v>
      </c>
      <c r="T780" t="str">
        <f>_xll.BDP("543378LS Muni","LQA_LIQUIDITY_SCORE")</f>
        <v>#N/A Requesting Data...</v>
      </c>
    </row>
    <row r="781" spans="1:20" x14ac:dyDescent="0.25">
      <c r="A781" t="str">
        <f>_xll.BDP("543378LT Muni","ID_CUSIP")</f>
        <v>#N/A Requesting Data...</v>
      </c>
      <c r="B781" t="s">
        <v>219</v>
      </c>
      <c r="C781" t="str">
        <f>_xll.BDP("543378LT Muni","INSURANCE_STATUS")</f>
        <v>#N/A Requesting Data...</v>
      </c>
      <c r="D781" t="str">
        <f>_xll.BDP("543378LT Muni","STATE_CODE")</f>
        <v>#N/A Requesting Data...</v>
      </c>
      <c r="E781" t="str">
        <f>_xll.BDP("543378LT Muni","COUNTY_LOCATION_ISSUER")</f>
        <v>#N/A Requesting Data...</v>
      </c>
      <c r="F781" t="str">
        <f>_xll.BDP("543378LT Muni","DUR_ADJ_MID")</f>
        <v>#N/A Requesting Data...</v>
      </c>
      <c r="G781" t="str">
        <f>_xll.BDP("543378LT Muni","SPREAD_AT_ISSUANCE_TO_WORST")</f>
        <v>#N/A Requesting Data...</v>
      </c>
      <c r="H781" t="str">
        <f>_xll.BDP("543378LT Muni","ISSUE_DT")</f>
        <v>#N/A Requesting Data...</v>
      </c>
      <c r="I781" t="str">
        <f>_xll.BDS("543378LT Muni","MUNI_PURPOSE_SCHED", "aggregate=y")</f>
        <v>#N/A Requesting Data...</v>
      </c>
      <c r="J781" t="str">
        <f>_xll.BDP("543378LT Muni","CPN")</f>
        <v>#N/A Requesting Data...</v>
      </c>
      <c r="K781" t="str">
        <f>_xll.BDP("543378LT Muni","MATURITY")</f>
        <v>#N/A Requesting Data...</v>
      </c>
      <c r="L781">
        <v>120000</v>
      </c>
      <c r="M781" t="str">
        <f>_xll.BDP("543378LT Muni","YIELD_ON_ISSUE_DATE")</f>
        <v>#N/A Requesting Data...</v>
      </c>
      <c r="N781" t="str">
        <f>_xll.BDP("543378LT Muni","YTW_SPREAD_TO_MATURITY_AT_ISSU")</f>
        <v>#N/A Requesting Data...</v>
      </c>
      <c r="O781" t="str">
        <f>_xll.BDP("543378LT Muni","BVAL_MID_YTM")</f>
        <v>#N/A Requesting Data...</v>
      </c>
      <c r="P781" t="str">
        <f>_xll.BDP("543378LT Muni","MUNI_TAX_PROV")</f>
        <v>#N/A Requesting Data...</v>
      </c>
      <c r="Q781" t="str">
        <f>_xll.BDP("543378LT Muni","MUNI_FED_TAX")</f>
        <v>#N/A Requesting Data...</v>
      </c>
      <c r="R781" t="str">
        <f>_xll.BDP("543378LT Muni","MUNI_MSRB_VOLUME")</f>
        <v>#N/A Requesting Data...</v>
      </c>
      <c r="S781" t="str">
        <f>_xll.BDP("543378LT Muni","BB_COMPOSITE")</f>
        <v>#N/A Requesting Data...</v>
      </c>
      <c r="T781" t="str">
        <f>_xll.BDP("543378LT Muni","LQA_LIQUIDITY_SCORE")</f>
        <v>#N/A Requesting Data...</v>
      </c>
    </row>
    <row r="782" spans="1:20" x14ac:dyDescent="0.25">
      <c r="A782" t="str">
        <f>_xll.BDP("544525WM Muni","ID_CUSIP")</f>
        <v>#N/A Requesting Data...</v>
      </c>
      <c r="B782" t="s">
        <v>220</v>
      </c>
      <c r="C782" t="str">
        <f>_xll.BDP("544525WM Muni","INSURANCE_STATUS")</f>
        <v>#N/A Requesting Data...</v>
      </c>
      <c r="D782" t="str">
        <f>_xll.BDP("544525WM Muni","STATE_CODE")</f>
        <v>#N/A Requesting Data...</v>
      </c>
      <c r="E782" t="str">
        <f>_xll.BDP("544525WM Muni","COUNTY_LOCATION_ISSUER")</f>
        <v>#N/A Requesting Data...</v>
      </c>
      <c r="F782" t="str">
        <f>_xll.BDP("544525WM Muni","DUR_ADJ_MID")</f>
        <v>#N/A Requesting Data...</v>
      </c>
      <c r="G782" t="str">
        <f>_xll.BDP("544525WM Muni","SPREAD_AT_ISSUANCE_TO_WORST")</f>
        <v>#N/A Requesting Data...</v>
      </c>
      <c r="H782" t="str">
        <f>_xll.BDP("544525WM Muni","ISSUE_DT")</f>
        <v>#N/A Requesting Data...</v>
      </c>
      <c r="I782" t="str">
        <f>_xll.BDS("544525WM Muni","MUNI_PURPOSE_SCHED", "aggregate=y")</f>
        <v>#N/A Requesting Data...</v>
      </c>
      <c r="J782" t="str">
        <f>_xll.BDP("544525WM Muni","CPN")</f>
        <v>#N/A Requesting Data...</v>
      </c>
      <c r="K782" t="str">
        <f>_xll.BDP("544525WM Muni","MATURITY")</f>
        <v>#N/A Requesting Data...</v>
      </c>
      <c r="L782">
        <v>9690000</v>
      </c>
      <c r="M782" t="str">
        <f>_xll.BDP("544525WM Muni","YIELD_ON_ISSUE_DATE")</f>
        <v>#N/A Requesting Data...</v>
      </c>
      <c r="N782" t="str">
        <f>_xll.BDP("544525WM Muni","YTW_SPREAD_TO_MATURITY_AT_ISSU")</f>
        <v>#N/A Requesting Data...</v>
      </c>
      <c r="O782" t="str">
        <f>_xll.BDP("544525WM Muni","BVAL_MID_YTM")</f>
        <v>#N/A Requesting Data...</v>
      </c>
      <c r="P782" t="str">
        <f>_xll.BDP("544525WM Muni","MUNI_TAX_PROV")</f>
        <v>#N/A Requesting Data...</v>
      </c>
      <c r="Q782" t="str">
        <f>_xll.BDP("544525WM Muni","MUNI_FED_TAX")</f>
        <v>#N/A Requesting Data...</v>
      </c>
      <c r="R782" t="str">
        <f>_xll.BDP("544525WM Muni","MUNI_MSRB_VOLUME")</f>
        <v>#N/A Requesting Data...</v>
      </c>
      <c r="S782" t="str">
        <f>_xll.BDP("544525WM Muni","BB_COMPOSITE")</f>
        <v>#N/A Requesting Data...</v>
      </c>
      <c r="T782" t="str">
        <f>_xll.BDP("544525WM Muni","LQA_LIQUIDITY_SCORE")</f>
        <v>#N/A Requesting Data...</v>
      </c>
    </row>
    <row r="783" spans="1:20" x14ac:dyDescent="0.25">
      <c r="A783" t="str">
        <f>_xll.BDP("544525WN Muni","ID_CUSIP")</f>
        <v>#N/A Requesting Data...</v>
      </c>
      <c r="B783" t="s">
        <v>220</v>
      </c>
      <c r="C783" t="str">
        <f>_xll.BDP("544525WN Muni","INSURANCE_STATUS")</f>
        <v>#N/A Requesting Data...</v>
      </c>
      <c r="D783" t="str">
        <f>_xll.BDP("544525WN Muni","STATE_CODE")</f>
        <v>#N/A Requesting Data...</v>
      </c>
      <c r="E783" t="str">
        <f>_xll.BDP("544525WN Muni","COUNTY_LOCATION_ISSUER")</f>
        <v>#N/A Requesting Data...</v>
      </c>
      <c r="F783" t="str">
        <f>_xll.BDP("544525WN Muni","DUR_ADJ_MID")</f>
        <v>#N/A Requesting Data...</v>
      </c>
      <c r="G783" t="str">
        <f>_xll.BDP("544525WN Muni","SPREAD_AT_ISSUANCE_TO_WORST")</f>
        <v>#N/A Requesting Data...</v>
      </c>
      <c r="H783" t="str">
        <f>_xll.BDP("544525WN Muni","ISSUE_DT")</f>
        <v>#N/A Requesting Data...</v>
      </c>
      <c r="I783" t="str">
        <f>_xll.BDS("544525WN Muni","MUNI_PURPOSE_SCHED", "aggregate=y")</f>
        <v>#N/A Requesting Data...</v>
      </c>
      <c r="J783" t="str">
        <f>_xll.BDP("544525WN Muni","CPN")</f>
        <v>#N/A Requesting Data...</v>
      </c>
      <c r="K783" t="str">
        <f>_xll.BDP("544525WN Muni","MATURITY")</f>
        <v>#N/A Requesting Data...</v>
      </c>
      <c r="L783">
        <v>10205000</v>
      </c>
      <c r="M783" t="str">
        <f>_xll.BDP("544525WN Muni","YIELD_ON_ISSUE_DATE")</f>
        <v>#N/A Requesting Data...</v>
      </c>
      <c r="N783" t="str">
        <f>_xll.BDP("544525WN Muni","YTW_SPREAD_TO_MATURITY_AT_ISSU")</f>
        <v>#N/A Requesting Data...</v>
      </c>
      <c r="O783" t="str">
        <f>_xll.BDP("544525WN Muni","BVAL_MID_YTM")</f>
        <v>#N/A Requesting Data...</v>
      </c>
      <c r="P783" t="str">
        <f>_xll.BDP("544525WN Muni","MUNI_TAX_PROV")</f>
        <v>#N/A Requesting Data...</v>
      </c>
      <c r="Q783" t="str">
        <f>_xll.BDP("544525WN Muni","MUNI_FED_TAX")</f>
        <v>#N/A Requesting Data...</v>
      </c>
      <c r="R783" t="str">
        <f>_xll.BDP("544525WN Muni","MUNI_MSRB_VOLUME")</f>
        <v>#N/A Requesting Data...</v>
      </c>
      <c r="S783" t="str">
        <f>_xll.BDP("544525WN Muni","BB_COMPOSITE")</f>
        <v>#N/A Requesting Data...</v>
      </c>
      <c r="T783" t="str">
        <f>_xll.BDP("544525WN Muni","LQA_LIQUIDITY_SCORE")</f>
        <v>#N/A Requesting Data...</v>
      </c>
    </row>
    <row r="784" spans="1:20" x14ac:dyDescent="0.25">
      <c r="A784" t="str">
        <f>_xll.BDP("544525WP Muni","ID_CUSIP")</f>
        <v>#N/A Requesting Data...</v>
      </c>
      <c r="B784" t="s">
        <v>220</v>
      </c>
      <c r="C784" t="str">
        <f>_xll.BDP("544525WP Muni","INSURANCE_STATUS")</f>
        <v>#N/A Requesting Data...</v>
      </c>
      <c r="D784" t="str">
        <f>_xll.BDP("544525WP Muni","STATE_CODE")</f>
        <v>#N/A Requesting Data...</v>
      </c>
      <c r="E784" t="str">
        <f>_xll.BDP("544525WP Muni","COUNTY_LOCATION_ISSUER")</f>
        <v>#N/A Requesting Data...</v>
      </c>
      <c r="F784" t="str">
        <f>_xll.BDP("544525WP Muni","DUR_ADJ_MID")</f>
        <v>#N/A Requesting Data...</v>
      </c>
      <c r="G784" t="str">
        <f>_xll.BDP("544525WP Muni","SPREAD_AT_ISSUANCE_TO_WORST")</f>
        <v>#N/A Requesting Data...</v>
      </c>
      <c r="H784" t="str">
        <f>_xll.BDP("544525WP Muni","ISSUE_DT")</f>
        <v>#N/A Requesting Data...</v>
      </c>
      <c r="I784" t="str">
        <f>_xll.BDS("544525WP Muni","MUNI_PURPOSE_SCHED", "aggregate=y")</f>
        <v>#N/A Requesting Data...</v>
      </c>
      <c r="J784" t="str">
        <f>_xll.BDP("544525WP Muni","CPN")</f>
        <v>#N/A Requesting Data...</v>
      </c>
      <c r="K784" t="str">
        <f>_xll.BDP("544525WP Muni","MATURITY")</f>
        <v>#N/A Requesting Data...</v>
      </c>
      <c r="L784">
        <v>9580000</v>
      </c>
      <c r="M784" t="str">
        <f>_xll.BDP("544525WP Muni","YIELD_ON_ISSUE_DATE")</f>
        <v>#N/A Requesting Data...</v>
      </c>
      <c r="N784" t="str">
        <f>_xll.BDP("544525WP Muni","YTW_SPREAD_TO_MATURITY_AT_ISSU")</f>
        <v>#N/A Requesting Data...</v>
      </c>
      <c r="O784" t="str">
        <f>_xll.BDP("544525WP Muni","BVAL_MID_YTM")</f>
        <v>#N/A Requesting Data...</v>
      </c>
      <c r="P784" t="str">
        <f>_xll.BDP("544525WP Muni","MUNI_TAX_PROV")</f>
        <v>#N/A Requesting Data...</v>
      </c>
      <c r="Q784" t="str">
        <f>_xll.BDP("544525WP Muni","MUNI_FED_TAX")</f>
        <v>#N/A Requesting Data...</v>
      </c>
      <c r="R784" t="str">
        <f>_xll.BDP("544525WP Muni","MUNI_MSRB_VOLUME")</f>
        <v>#N/A Requesting Data...</v>
      </c>
      <c r="S784" t="str">
        <f>_xll.BDP("544525WP Muni","BB_COMPOSITE")</f>
        <v>#N/A Requesting Data...</v>
      </c>
      <c r="T784" t="str">
        <f>_xll.BDP("544525WP Muni","LQA_LIQUIDITY_SCORE")</f>
        <v>#N/A Requesting Data...</v>
      </c>
    </row>
    <row r="785" spans="1:20" x14ac:dyDescent="0.25">
      <c r="A785" t="str">
        <f>_xll.BDP("544525WQ Muni","ID_CUSIP")</f>
        <v>#N/A Requesting Data...</v>
      </c>
      <c r="B785" t="s">
        <v>220</v>
      </c>
      <c r="C785" t="str">
        <f>_xll.BDP("544525WQ Muni","INSURANCE_STATUS")</f>
        <v>#N/A Requesting Data...</v>
      </c>
      <c r="D785" t="str">
        <f>_xll.BDP("544525WQ Muni","STATE_CODE")</f>
        <v>#N/A Requesting Data...</v>
      </c>
      <c r="E785" t="str">
        <f>_xll.BDP("544525WQ Muni","COUNTY_LOCATION_ISSUER")</f>
        <v>#N/A Requesting Data...</v>
      </c>
      <c r="F785" t="str">
        <f>_xll.BDP("544525WQ Muni","DUR_ADJ_MID")</f>
        <v>#N/A Requesting Data...</v>
      </c>
      <c r="G785" t="str">
        <f>_xll.BDP("544525WQ Muni","SPREAD_AT_ISSUANCE_TO_WORST")</f>
        <v>#N/A Requesting Data...</v>
      </c>
      <c r="H785" t="str">
        <f>_xll.BDP("544525WQ Muni","ISSUE_DT")</f>
        <v>#N/A Requesting Data...</v>
      </c>
      <c r="I785" t="str">
        <f>_xll.BDS("544525WQ Muni","MUNI_PURPOSE_SCHED", "aggregate=y")</f>
        <v>#N/A Requesting Data...</v>
      </c>
      <c r="J785" t="str">
        <f>_xll.BDP("544525WQ Muni","CPN")</f>
        <v>#N/A Requesting Data...</v>
      </c>
      <c r="K785" t="str">
        <f>_xll.BDP("544525WQ Muni","MATURITY")</f>
        <v>#N/A Requesting Data...</v>
      </c>
      <c r="L785">
        <v>10080000</v>
      </c>
      <c r="M785" t="str">
        <f>_xll.BDP("544525WQ Muni","YIELD_ON_ISSUE_DATE")</f>
        <v>#N/A Requesting Data...</v>
      </c>
      <c r="N785" t="str">
        <f>_xll.BDP("544525WQ Muni","YTW_SPREAD_TO_MATURITY_AT_ISSU")</f>
        <v>#N/A Requesting Data...</v>
      </c>
      <c r="O785" t="str">
        <f>_xll.BDP("544525WQ Muni","BVAL_MID_YTM")</f>
        <v>#N/A Requesting Data...</v>
      </c>
      <c r="P785" t="str">
        <f>_xll.BDP("544525WQ Muni","MUNI_TAX_PROV")</f>
        <v>#N/A Requesting Data...</v>
      </c>
      <c r="Q785" t="str">
        <f>_xll.BDP("544525WQ Muni","MUNI_FED_TAX")</f>
        <v>#N/A Requesting Data...</v>
      </c>
      <c r="R785" t="str">
        <f>_xll.BDP("544525WQ Muni","MUNI_MSRB_VOLUME")</f>
        <v>#N/A Requesting Data...</v>
      </c>
      <c r="S785" t="str">
        <f>_xll.BDP("544525WQ Muni","BB_COMPOSITE")</f>
        <v>#N/A Requesting Data...</v>
      </c>
      <c r="T785" t="str">
        <f>_xll.BDP("544525WQ Muni","LQA_LIQUIDITY_SCORE")</f>
        <v>#N/A Requesting Data...</v>
      </c>
    </row>
    <row r="786" spans="1:20" x14ac:dyDescent="0.25">
      <c r="A786" t="str">
        <f>_xll.BDP("544525WR Muni","ID_CUSIP")</f>
        <v>#N/A Requesting Data...</v>
      </c>
      <c r="B786" t="s">
        <v>220</v>
      </c>
      <c r="C786" t="str">
        <f>_xll.BDP("544525WR Muni","INSURANCE_STATUS")</f>
        <v>#N/A Requesting Data...</v>
      </c>
      <c r="D786" t="str">
        <f>_xll.BDP("544525WR Muni","STATE_CODE")</f>
        <v>#N/A Requesting Data...</v>
      </c>
      <c r="E786" t="str">
        <f>_xll.BDP("544525WR Muni","COUNTY_LOCATION_ISSUER")</f>
        <v>#N/A Requesting Data...</v>
      </c>
      <c r="F786" t="str">
        <f>_xll.BDP("544525WR Muni","DUR_ADJ_MID")</f>
        <v>#N/A Requesting Data...</v>
      </c>
      <c r="G786" t="str">
        <f>_xll.BDP("544525WR Muni","SPREAD_AT_ISSUANCE_TO_WORST")</f>
        <v>#N/A Requesting Data...</v>
      </c>
      <c r="H786" t="str">
        <f>_xll.BDP("544525WR Muni","ISSUE_DT")</f>
        <v>#N/A Requesting Data...</v>
      </c>
      <c r="I786" t="str">
        <f>_xll.BDS("544525WR Muni","MUNI_PURPOSE_SCHED", "aggregate=y")</f>
        <v>#N/A Requesting Data...</v>
      </c>
      <c r="J786" t="str">
        <f>_xll.BDP("544525WR Muni","CPN")</f>
        <v>#N/A Requesting Data...</v>
      </c>
      <c r="K786" t="str">
        <f>_xll.BDP("544525WR Muni","MATURITY")</f>
        <v>#N/A Requesting Data...</v>
      </c>
      <c r="L786">
        <v>10700000</v>
      </c>
      <c r="M786" t="str">
        <f>_xll.BDP("544525WR Muni","YIELD_ON_ISSUE_DATE")</f>
        <v>#N/A Requesting Data...</v>
      </c>
      <c r="N786" t="str">
        <f>_xll.BDP("544525WR Muni","YTW_SPREAD_TO_MATURITY_AT_ISSU")</f>
        <v>#N/A Requesting Data...</v>
      </c>
      <c r="O786" t="str">
        <f>_xll.BDP("544525WR Muni","BVAL_MID_YTM")</f>
        <v>#N/A Requesting Data...</v>
      </c>
      <c r="P786" t="str">
        <f>_xll.BDP("544525WR Muni","MUNI_TAX_PROV")</f>
        <v>#N/A Requesting Data...</v>
      </c>
      <c r="Q786" t="str">
        <f>_xll.BDP("544525WR Muni","MUNI_FED_TAX")</f>
        <v>#N/A Requesting Data...</v>
      </c>
      <c r="R786" t="str">
        <f>_xll.BDP("544525WR Muni","MUNI_MSRB_VOLUME")</f>
        <v>#N/A Requesting Data...</v>
      </c>
      <c r="S786" t="str">
        <f>_xll.BDP("544525WR Muni","BB_COMPOSITE")</f>
        <v>#N/A Requesting Data...</v>
      </c>
      <c r="T786" t="str">
        <f>_xll.BDP("544525WR Muni","LQA_LIQUIDITY_SCORE")</f>
        <v>#N/A Requesting Data...</v>
      </c>
    </row>
    <row r="787" spans="1:20" x14ac:dyDescent="0.25">
      <c r="A787" t="str">
        <f>_xll.BDP("544525XL Muni","ID_CUSIP")</f>
        <v>#N/A Requesting Data...</v>
      </c>
      <c r="B787" t="s">
        <v>220</v>
      </c>
      <c r="C787" t="str">
        <f>_xll.BDP("544525XL Muni","INSURANCE_STATUS")</f>
        <v>#N/A Requesting Data...</v>
      </c>
      <c r="D787" t="str">
        <f>_xll.BDP("544525XL Muni","STATE_CODE")</f>
        <v>#N/A Requesting Data...</v>
      </c>
      <c r="E787" t="str">
        <f>_xll.BDP("544525XL Muni","COUNTY_LOCATION_ISSUER")</f>
        <v>#N/A Requesting Data...</v>
      </c>
      <c r="F787" t="str">
        <f>_xll.BDP("544525XL Muni","DUR_ADJ_MID")</f>
        <v>#N/A Requesting Data...</v>
      </c>
      <c r="G787" t="str">
        <f>_xll.BDP("544525XL Muni","SPREAD_AT_ISSUANCE_TO_WORST")</f>
        <v>#N/A Requesting Data...</v>
      </c>
      <c r="H787" t="str">
        <f>_xll.BDP("544525XL Muni","ISSUE_DT")</f>
        <v>#N/A Requesting Data...</v>
      </c>
      <c r="I787" t="str">
        <f>_xll.BDS("544525XL Muni","MUNI_PURPOSE_SCHED", "aggregate=y")</f>
        <v>#N/A Requesting Data...</v>
      </c>
      <c r="J787" t="str">
        <f>_xll.BDP("544525XL Muni","CPN")</f>
        <v>#N/A Requesting Data...</v>
      </c>
      <c r="K787" t="str">
        <f>_xll.BDP("544525XL Muni","MATURITY")</f>
        <v>#N/A Requesting Data...</v>
      </c>
      <c r="L787">
        <v>6585000</v>
      </c>
      <c r="M787" t="str">
        <f>_xll.BDP("544525XL Muni","YIELD_ON_ISSUE_DATE")</f>
        <v>#N/A Requesting Data...</v>
      </c>
      <c r="N787" t="str">
        <f>_xll.BDP("544525XL Muni","YTW_SPREAD_TO_MATURITY_AT_ISSU")</f>
        <v>#N/A Requesting Data...</v>
      </c>
      <c r="O787" t="str">
        <f>_xll.BDP("544525XL Muni","BVAL_MID_YTM")</f>
        <v>#N/A Requesting Data...</v>
      </c>
      <c r="P787" t="str">
        <f>_xll.BDP("544525XL Muni","MUNI_TAX_PROV")</f>
        <v>#N/A Requesting Data...</v>
      </c>
      <c r="Q787" t="str">
        <f>_xll.BDP("544525XL Muni","MUNI_FED_TAX")</f>
        <v>#N/A Requesting Data...</v>
      </c>
      <c r="R787" t="str">
        <f>_xll.BDP("544525XL Muni","MUNI_MSRB_VOLUME")</f>
        <v>#N/A Requesting Data...</v>
      </c>
      <c r="S787" t="str">
        <f>_xll.BDP("544525XL Muni","BB_COMPOSITE")</f>
        <v>#N/A Requesting Data...</v>
      </c>
      <c r="T787" t="str">
        <f>_xll.BDP("544525XL Muni","LQA_LIQUIDITY_SCORE")</f>
        <v>#N/A Requesting Data...</v>
      </c>
    </row>
    <row r="788" spans="1:20" x14ac:dyDescent="0.25">
      <c r="A788" t="str">
        <f>_xll.BDP("544525XM Muni","ID_CUSIP")</f>
        <v>#N/A Requesting Data...</v>
      </c>
      <c r="B788" t="s">
        <v>220</v>
      </c>
      <c r="C788" t="str">
        <f>_xll.BDP("544525XM Muni","INSURANCE_STATUS")</f>
        <v>#N/A Requesting Data...</v>
      </c>
      <c r="D788" t="str">
        <f>_xll.BDP("544525XM Muni","STATE_CODE")</f>
        <v>#N/A Requesting Data...</v>
      </c>
      <c r="E788" t="str">
        <f>_xll.BDP("544525XM Muni","COUNTY_LOCATION_ISSUER")</f>
        <v>#N/A Requesting Data...</v>
      </c>
      <c r="F788" t="str">
        <f>_xll.BDP("544525XM Muni","DUR_ADJ_MID")</f>
        <v>#N/A Requesting Data...</v>
      </c>
      <c r="G788" t="str">
        <f>_xll.BDP("544525XM Muni","SPREAD_AT_ISSUANCE_TO_WORST")</f>
        <v>#N/A Requesting Data...</v>
      </c>
      <c r="H788" t="str">
        <f>_xll.BDP("544525XM Muni","ISSUE_DT")</f>
        <v>#N/A Requesting Data...</v>
      </c>
      <c r="I788" t="str">
        <f>_xll.BDS("544525XM Muni","MUNI_PURPOSE_SCHED", "aggregate=y")</f>
        <v>#N/A Requesting Data...</v>
      </c>
      <c r="J788" t="str">
        <f>_xll.BDP("544525XM Muni","CPN")</f>
        <v>#N/A Requesting Data...</v>
      </c>
      <c r="K788" t="str">
        <f>_xll.BDP("544525XM Muni","MATURITY")</f>
        <v>#N/A Requesting Data...</v>
      </c>
      <c r="L788">
        <v>725000</v>
      </c>
      <c r="M788" t="str">
        <f>_xll.BDP("544525XM Muni","YIELD_ON_ISSUE_DATE")</f>
        <v>#N/A Requesting Data...</v>
      </c>
      <c r="N788" t="str">
        <f>_xll.BDP("544525XM Muni","YTW_SPREAD_TO_MATURITY_AT_ISSU")</f>
        <v>#N/A Requesting Data...</v>
      </c>
      <c r="O788" t="str">
        <f>_xll.BDP("544525XM Muni","BVAL_MID_YTM")</f>
        <v>#N/A Requesting Data...</v>
      </c>
      <c r="P788" t="str">
        <f>_xll.BDP("544525XM Muni","MUNI_TAX_PROV")</f>
        <v>#N/A Requesting Data...</v>
      </c>
      <c r="Q788" t="str">
        <f>_xll.BDP("544525XM Muni","MUNI_FED_TAX")</f>
        <v>#N/A Requesting Data...</v>
      </c>
      <c r="R788" t="str">
        <f>_xll.BDP("544525XM Muni","MUNI_MSRB_VOLUME")</f>
        <v>#N/A Requesting Data...</v>
      </c>
      <c r="S788" t="str">
        <f>_xll.BDP("544525XM Muni","BB_COMPOSITE")</f>
        <v>#N/A Requesting Data...</v>
      </c>
      <c r="T788" t="str">
        <f>_xll.BDP("544525XM Muni","LQA_LIQUIDITY_SCORE")</f>
        <v>#N/A Requesting Data...</v>
      </c>
    </row>
    <row r="789" spans="1:20" x14ac:dyDescent="0.25">
      <c r="A789" t="str">
        <f>_xll.BDP("544525XN Muni","ID_CUSIP")</f>
        <v>#N/A Requesting Data...</v>
      </c>
      <c r="B789" t="s">
        <v>220</v>
      </c>
      <c r="C789" t="str">
        <f>_xll.BDP("544525XN Muni","INSURANCE_STATUS")</f>
        <v>#N/A Requesting Data...</v>
      </c>
      <c r="D789" t="str">
        <f>_xll.BDP("544525XN Muni","STATE_CODE")</f>
        <v>#N/A Requesting Data...</v>
      </c>
      <c r="E789" t="str">
        <f>_xll.BDP("544525XN Muni","COUNTY_LOCATION_ISSUER")</f>
        <v>#N/A Requesting Data...</v>
      </c>
      <c r="F789" t="str">
        <f>_xll.BDP("544525XN Muni","DUR_ADJ_MID")</f>
        <v>#N/A Requesting Data...</v>
      </c>
      <c r="G789" t="str">
        <f>_xll.BDP("544525XN Muni","SPREAD_AT_ISSUANCE_TO_WORST")</f>
        <v>#N/A Requesting Data...</v>
      </c>
      <c r="H789" t="str">
        <f>_xll.BDP("544525XN Muni","ISSUE_DT")</f>
        <v>#N/A Requesting Data...</v>
      </c>
      <c r="I789" t="str">
        <f>_xll.BDS("544525XN Muni","MUNI_PURPOSE_SCHED", "aggregate=y")</f>
        <v>#N/A Requesting Data...</v>
      </c>
      <c r="J789" t="str">
        <f>_xll.BDP("544525XN Muni","CPN")</f>
        <v>#N/A Requesting Data...</v>
      </c>
      <c r="K789" t="str">
        <f>_xll.BDP("544525XN Muni","MATURITY")</f>
        <v>#N/A Requesting Data...</v>
      </c>
      <c r="L789">
        <v>635000</v>
      </c>
      <c r="M789" t="str">
        <f>_xll.BDP("544525XN Muni","YIELD_ON_ISSUE_DATE")</f>
        <v>#N/A Requesting Data...</v>
      </c>
      <c r="N789" t="str">
        <f>_xll.BDP("544525XN Muni","YTW_SPREAD_TO_MATURITY_AT_ISSU")</f>
        <v>#N/A Requesting Data...</v>
      </c>
      <c r="O789" t="str">
        <f>_xll.BDP("544525XN Muni","BVAL_MID_YTM")</f>
        <v>#N/A Requesting Data...</v>
      </c>
      <c r="P789" t="str">
        <f>_xll.BDP("544525XN Muni","MUNI_TAX_PROV")</f>
        <v>#N/A Requesting Data...</v>
      </c>
      <c r="Q789" t="str">
        <f>_xll.BDP("544525XN Muni","MUNI_FED_TAX")</f>
        <v>#N/A Requesting Data...</v>
      </c>
      <c r="R789" t="str">
        <f>_xll.BDP("544525XN Muni","MUNI_MSRB_VOLUME")</f>
        <v>#N/A Requesting Data...</v>
      </c>
      <c r="S789" t="str">
        <f>_xll.BDP("544525XN Muni","BB_COMPOSITE")</f>
        <v>#N/A Requesting Data...</v>
      </c>
      <c r="T789" t="str">
        <f>_xll.BDP("544525XN Muni","LQA_LIQUIDITY_SCORE")</f>
        <v>#N/A Requesting Data...</v>
      </c>
    </row>
    <row r="790" spans="1:20" x14ac:dyDescent="0.25">
      <c r="A790" t="str">
        <f>_xll.BDP("544525XP Muni","ID_CUSIP")</f>
        <v>#N/A Requesting Data...</v>
      </c>
      <c r="B790" t="s">
        <v>220</v>
      </c>
      <c r="C790" t="str">
        <f>_xll.BDP("544525XP Muni","INSURANCE_STATUS")</f>
        <v>#N/A Requesting Data...</v>
      </c>
      <c r="D790" t="str">
        <f>_xll.BDP("544525XP Muni","STATE_CODE")</f>
        <v>#N/A Requesting Data...</v>
      </c>
      <c r="E790" t="str">
        <f>_xll.BDP("544525XP Muni","COUNTY_LOCATION_ISSUER")</f>
        <v>#N/A Requesting Data...</v>
      </c>
      <c r="F790" t="str">
        <f>_xll.BDP("544525XP Muni","DUR_ADJ_MID")</f>
        <v>#N/A Requesting Data...</v>
      </c>
      <c r="G790" t="str">
        <f>_xll.BDP("544525XP Muni","SPREAD_AT_ISSUANCE_TO_WORST")</f>
        <v>#N/A Requesting Data...</v>
      </c>
      <c r="H790" t="str">
        <f>_xll.BDP("544525XP Muni","ISSUE_DT")</f>
        <v>#N/A Requesting Data...</v>
      </c>
      <c r="I790" t="str">
        <f>_xll.BDS("544525XP Muni","MUNI_PURPOSE_SCHED", "aggregate=y")</f>
        <v>#N/A Requesting Data...</v>
      </c>
      <c r="J790" t="str">
        <f>_xll.BDP("544525XP Muni","CPN")</f>
        <v>#N/A Requesting Data...</v>
      </c>
      <c r="K790" t="str">
        <f>_xll.BDP("544525XP Muni","MATURITY")</f>
        <v>#N/A Requesting Data...</v>
      </c>
      <c r="L790">
        <v>7040000</v>
      </c>
      <c r="M790" t="str">
        <f>_xll.BDP("544525XP Muni","YIELD_ON_ISSUE_DATE")</f>
        <v>#N/A Requesting Data...</v>
      </c>
      <c r="N790" t="str">
        <f>_xll.BDP("544525XP Muni","YTW_SPREAD_TO_MATURITY_AT_ISSU")</f>
        <v>#N/A Requesting Data...</v>
      </c>
      <c r="O790" t="str">
        <f>_xll.BDP("544525XP Muni","BVAL_MID_YTM")</f>
        <v>#N/A Requesting Data...</v>
      </c>
      <c r="P790" t="str">
        <f>_xll.BDP("544525XP Muni","MUNI_TAX_PROV")</f>
        <v>#N/A Requesting Data...</v>
      </c>
      <c r="Q790" t="str">
        <f>_xll.BDP("544525XP Muni","MUNI_FED_TAX")</f>
        <v>#N/A Requesting Data...</v>
      </c>
      <c r="R790" t="str">
        <f>_xll.BDP("544525XP Muni","MUNI_MSRB_VOLUME")</f>
        <v>#N/A Requesting Data...</v>
      </c>
      <c r="S790" t="str">
        <f>_xll.BDP("544525XP Muni","BB_COMPOSITE")</f>
        <v>#N/A Requesting Data...</v>
      </c>
      <c r="T790" t="str">
        <f>_xll.BDP("544525XP Muni","LQA_LIQUIDITY_SCORE")</f>
        <v>#N/A Requesting Data...</v>
      </c>
    </row>
    <row r="791" spans="1:20" x14ac:dyDescent="0.25">
      <c r="A791" t="str">
        <f>_xll.BDP("544525XQ Muni","ID_CUSIP")</f>
        <v>#N/A Requesting Data...</v>
      </c>
      <c r="B791" t="s">
        <v>220</v>
      </c>
      <c r="C791" t="str">
        <f>_xll.BDP("544525XQ Muni","INSURANCE_STATUS")</f>
        <v>#N/A Requesting Data...</v>
      </c>
      <c r="D791" t="str">
        <f>_xll.BDP("544525XQ Muni","STATE_CODE")</f>
        <v>#N/A Requesting Data...</v>
      </c>
      <c r="E791" t="str">
        <f>_xll.BDP("544525XQ Muni","COUNTY_LOCATION_ISSUER")</f>
        <v>#N/A Requesting Data...</v>
      </c>
      <c r="F791" t="str">
        <f>_xll.BDP("544525XQ Muni","DUR_ADJ_MID")</f>
        <v>#N/A Requesting Data...</v>
      </c>
      <c r="G791" t="str">
        <f>_xll.BDP("544525XQ Muni","SPREAD_AT_ISSUANCE_TO_WORST")</f>
        <v>#N/A Requesting Data...</v>
      </c>
      <c r="H791" t="str">
        <f>_xll.BDP("544525XQ Muni","ISSUE_DT")</f>
        <v>#N/A Requesting Data...</v>
      </c>
      <c r="I791" t="str">
        <f>_xll.BDS("544525XQ Muni","MUNI_PURPOSE_SCHED", "aggregate=y")</f>
        <v>#N/A Requesting Data...</v>
      </c>
      <c r="J791" t="str">
        <f>_xll.BDP("544525XQ Muni","CPN")</f>
        <v>#N/A Requesting Data...</v>
      </c>
      <c r="K791" t="str">
        <f>_xll.BDP("544525XQ Muni","MATURITY")</f>
        <v>#N/A Requesting Data...</v>
      </c>
      <c r="L791">
        <v>8885000</v>
      </c>
      <c r="M791" t="str">
        <f>_xll.BDP("544525XQ Muni","YIELD_ON_ISSUE_DATE")</f>
        <v>#N/A Requesting Data...</v>
      </c>
      <c r="N791" t="str">
        <f>_xll.BDP("544525XQ Muni","YTW_SPREAD_TO_MATURITY_AT_ISSU")</f>
        <v>#N/A Requesting Data...</v>
      </c>
      <c r="O791" t="str">
        <f>_xll.BDP("544525XQ Muni","BVAL_MID_YTM")</f>
        <v>#N/A Requesting Data...</v>
      </c>
      <c r="P791" t="str">
        <f>_xll.BDP("544525XQ Muni","MUNI_TAX_PROV")</f>
        <v>#N/A Requesting Data...</v>
      </c>
      <c r="Q791" t="str">
        <f>_xll.BDP("544525XQ Muni","MUNI_FED_TAX")</f>
        <v>#N/A Requesting Data...</v>
      </c>
      <c r="R791" t="str">
        <f>_xll.BDP("544525XQ Muni","MUNI_MSRB_VOLUME")</f>
        <v>#N/A Requesting Data...</v>
      </c>
      <c r="S791" t="str">
        <f>_xll.BDP("544525XQ Muni","BB_COMPOSITE")</f>
        <v>#N/A Requesting Data...</v>
      </c>
      <c r="T791" t="str">
        <f>_xll.BDP("544525XQ Muni","LQA_LIQUIDITY_SCORE")</f>
        <v>#N/A Requesting Data...</v>
      </c>
    </row>
    <row r="792" spans="1:20" x14ac:dyDescent="0.25">
      <c r="A792" t="str">
        <f>_xll.BDP("544525XR Muni","ID_CUSIP")</f>
        <v>#N/A Requesting Data...</v>
      </c>
      <c r="B792" t="s">
        <v>220</v>
      </c>
      <c r="C792" t="str">
        <f>_xll.BDP("544525XR Muni","INSURANCE_STATUS")</f>
        <v>#N/A Requesting Data...</v>
      </c>
      <c r="D792" t="str">
        <f>_xll.BDP("544525XR Muni","STATE_CODE")</f>
        <v>#N/A Requesting Data...</v>
      </c>
      <c r="E792" t="str">
        <f>_xll.BDP("544525XR Muni","COUNTY_LOCATION_ISSUER")</f>
        <v>#N/A Requesting Data...</v>
      </c>
      <c r="F792" t="str">
        <f>_xll.BDP("544525XR Muni","DUR_ADJ_MID")</f>
        <v>#N/A Requesting Data...</v>
      </c>
      <c r="G792" t="str">
        <f>_xll.BDP("544525XR Muni","SPREAD_AT_ISSUANCE_TO_WORST")</f>
        <v>#N/A Requesting Data...</v>
      </c>
      <c r="H792" t="str">
        <f>_xll.BDP("544525XR Muni","ISSUE_DT")</f>
        <v>#N/A Requesting Data...</v>
      </c>
      <c r="I792" t="str">
        <f>_xll.BDS("544525XR Muni","MUNI_PURPOSE_SCHED", "aggregate=y")</f>
        <v>#N/A Requesting Data...</v>
      </c>
      <c r="J792" t="str">
        <f>_xll.BDP("544525XR Muni","CPN")</f>
        <v>#N/A Requesting Data...</v>
      </c>
      <c r="K792" t="str">
        <f>_xll.BDP("544525XR Muni","MATURITY")</f>
        <v>#N/A Requesting Data...</v>
      </c>
      <c r="L792">
        <v>350000</v>
      </c>
      <c r="M792" t="str">
        <f>_xll.BDP("544525XR Muni","YIELD_ON_ISSUE_DATE")</f>
        <v>#N/A Requesting Data...</v>
      </c>
      <c r="N792" t="str">
        <f>_xll.BDP("544525XR Muni","YTW_SPREAD_TO_MATURITY_AT_ISSU")</f>
        <v>#N/A Requesting Data...</v>
      </c>
      <c r="O792" t="str">
        <f>_xll.BDP("544525XR Muni","BVAL_MID_YTM")</f>
        <v>#N/A Requesting Data...</v>
      </c>
      <c r="P792" t="str">
        <f>_xll.BDP("544525XR Muni","MUNI_TAX_PROV")</f>
        <v>#N/A Requesting Data...</v>
      </c>
      <c r="Q792" t="str">
        <f>_xll.BDP("544525XR Muni","MUNI_FED_TAX")</f>
        <v>#N/A Requesting Data...</v>
      </c>
      <c r="R792" t="str">
        <f>_xll.BDP("544525XR Muni","MUNI_MSRB_VOLUME")</f>
        <v>#N/A Requesting Data...</v>
      </c>
      <c r="S792" t="str">
        <f>_xll.BDP("544525XR Muni","BB_COMPOSITE")</f>
        <v>#N/A Requesting Data...</v>
      </c>
      <c r="T792" t="str">
        <f>_xll.BDP("544525XR Muni","LQA_LIQUIDITY_SCORE")</f>
        <v>#N/A Requesting Data...</v>
      </c>
    </row>
    <row r="793" spans="1:20" x14ac:dyDescent="0.25">
      <c r="A793" t="str">
        <f>_xll.BDP("544525XS Muni","ID_CUSIP")</f>
        <v>#N/A Requesting Data...</v>
      </c>
      <c r="B793" t="s">
        <v>220</v>
      </c>
      <c r="C793" t="str">
        <f>_xll.BDP("544525XS Muni","INSURANCE_STATUS")</f>
        <v>#N/A Requesting Data...</v>
      </c>
      <c r="D793" t="str">
        <f>_xll.BDP("544525XS Muni","STATE_CODE")</f>
        <v>#N/A Requesting Data...</v>
      </c>
      <c r="E793" t="str">
        <f>_xll.BDP("544525XS Muni","COUNTY_LOCATION_ISSUER")</f>
        <v>#N/A Requesting Data...</v>
      </c>
      <c r="F793" t="str">
        <f>_xll.BDP("544525XS Muni","DUR_ADJ_MID")</f>
        <v>#N/A Requesting Data...</v>
      </c>
      <c r="G793" t="str">
        <f>_xll.BDP("544525XS Muni","SPREAD_AT_ISSUANCE_TO_WORST")</f>
        <v>#N/A Requesting Data...</v>
      </c>
      <c r="H793" t="str">
        <f>_xll.BDP("544525XS Muni","ISSUE_DT")</f>
        <v>#N/A Requesting Data...</v>
      </c>
      <c r="I793" t="str">
        <f>_xll.BDS("544525XS Muni","MUNI_PURPOSE_SCHED", "aggregate=y")</f>
        <v>#N/A Requesting Data...</v>
      </c>
      <c r="J793" t="str">
        <f>_xll.BDP("544525XS Muni","CPN")</f>
        <v>#N/A Requesting Data...</v>
      </c>
      <c r="K793" t="str">
        <f>_xll.BDP("544525XS Muni","MATURITY")</f>
        <v>#N/A Requesting Data...</v>
      </c>
      <c r="L793">
        <v>700000</v>
      </c>
      <c r="M793" t="str">
        <f>_xll.BDP("544525XS Muni","YIELD_ON_ISSUE_DATE")</f>
        <v>#N/A Requesting Data...</v>
      </c>
      <c r="N793" t="str">
        <f>_xll.BDP("544525XS Muni","YTW_SPREAD_TO_MATURITY_AT_ISSU")</f>
        <v>#N/A Requesting Data...</v>
      </c>
      <c r="O793" t="str">
        <f>_xll.BDP("544525XS Muni","BVAL_MID_YTM")</f>
        <v>#N/A Requesting Data...</v>
      </c>
      <c r="P793" t="str">
        <f>_xll.BDP("544525XS Muni","MUNI_TAX_PROV")</f>
        <v>#N/A Requesting Data...</v>
      </c>
      <c r="Q793" t="str">
        <f>_xll.BDP("544525XS Muni","MUNI_FED_TAX")</f>
        <v>#N/A Requesting Data...</v>
      </c>
      <c r="R793" t="str">
        <f>_xll.BDP("544525XS Muni","MUNI_MSRB_VOLUME")</f>
        <v>#N/A Requesting Data...</v>
      </c>
      <c r="S793" t="str">
        <f>_xll.BDP("544525XS Muni","BB_COMPOSITE")</f>
        <v>#N/A Requesting Data...</v>
      </c>
      <c r="T793" t="str">
        <f>_xll.BDP("544525XS Muni","LQA_LIQUIDITY_SCORE")</f>
        <v>#N/A Requesting Data...</v>
      </c>
    </row>
    <row r="794" spans="1:20" x14ac:dyDescent="0.25">
      <c r="A794" t="str">
        <f>_xll.BDP("544525XT Muni","ID_CUSIP")</f>
        <v>#N/A Requesting Data...</v>
      </c>
      <c r="B794" t="s">
        <v>220</v>
      </c>
      <c r="C794" t="str">
        <f>_xll.BDP("544525XT Muni","INSURANCE_STATUS")</f>
        <v>#N/A Requesting Data...</v>
      </c>
      <c r="D794" t="str">
        <f>_xll.BDP("544525XT Muni","STATE_CODE")</f>
        <v>#N/A Requesting Data...</v>
      </c>
      <c r="E794" t="str">
        <f>_xll.BDP("544525XT Muni","COUNTY_LOCATION_ISSUER")</f>
        <v>#N/A Requesting Data...</v>
      </c>
      <c r="F794" t="str">
        <f>_xll.BDP("544525XT Muni","DUR_ADJ_MID")</f>
        <v>#N/A Requesting Data...</v>
      </c>
      <c r="G794" t="str">
        <f>_xll.BDP("544525XT Muni","SPREAD_AT_ISSUANCE_TO_WORST")</f>
        <v>#N/A Requesting Data...</v>
      </c>
      <c r="H794" t="str">
        <f>_xll.BDP("544525XT Muni","ISSUE_DT")</f>
        <v>#N/A Requesting Data...</v>
      </c>
      <c r="I794" t="str">
        <f>_xll.BDS("544525XT Muni","MUNI_PURPOSE_SCHED", "aggregate=y")</f>
        <v>#N/A Requesting Data...</v>
      </c>
      <c r="J794" t="str">
        <f>_xll.BDP("544525XT Muni","CPN")</f>
        <v>#N/A Requesting Data...</v>
      </c>
      <c r="K794" t="str">
        <f>_xll.BDP("544525XT Muni","MATURITY")</f>
        <v>#N/A Requesting Data...</v>
      </c>
      <c r="L794">
        <v>9110000</v>
      </c>
      <c r="M794" t="str">
        <f>_xll.BDP("544525XT Muni","YIELD_ON_ISSUE_DATE")</f>
        <v>#N/A Requesting Data...</v>
      </c>
      <c r="N794" t="str">
        <f>_xll.BDP("544525XT Muni","YTW_SPREAD_TO_MATURITY_AT_ISSU")</f>
        <v>#N/A Requesting Data...</v>
      </c>
      <c r="O794" t="str">
        <f>_xll.BDP("544525XT Muni","BVAL_MID_YTM")</f>
        <v>#N/A Requesting Data...</v>
      </c>
      <c r="P794" t="str">
        <f>_xll.BDP("544525XT Muni","MUNI_TAX_PROV")</f>
        <v>#N/A Requesting Data...</v>
      </c>
      <c r="Q794" t="str">
        <f>_xll.BDP("544525XT Muni","MUNI_FED_TAX")</f>
        <v>#N/A Requesting Data...</v>
      </c>
      <c r="R794" t="str">
        <f>_xll.BDP("544525XT Muni","MUNI_MSRB_VOLUME")</f>
        <v>#N/A Requesting Data...</v>
      </c>
      <c r="S794" t="str">
        <f>_xll.BDP("544525XT Muni","BB_COMPOSITE")</f>
        <v>#N/A Requesting Data...</v>
      </c>
      <c r="T794" t="str">
        <f>_xll.BDP("544525XT Muni","LQA_LIQUIDITY_SCORE")</f>
        <v>#N/A Requesting Data...</v>
      </c>
    </row>
    <row r="795" spans="1:20" x14ac:dyDescent="0.25">
      <c r="A795" t="str">
        <f>_xll.BDP("544525XU Muni","ID_CUSIP")</f>
        <v>#N/A Requesting Data...</v>
      </c>
      <c r="B795" t="s">
        <v>220</v>
      </c>
      <c r="C795" t="str">
        <f>_xll.BDP("544525XU Muni","INSURANCE_STATUS")</f>
        <v>#N/A Requesting Data...</v>
      </c>
      <c r="D795" t="str">
        <f>_xll.BDP("544525XU Muni","STATE_CODE")</f>
        <v>#N/A Requesting Data...</v>
      </c>
      <c r="E795" t="str">
        <f>_xll.BDP("544525XU Muni","COUNTY_LOCATION_ISSUER")</f>
        <v>#N/A Requesting Data...</v>
      </c>
      <c r="F795" t="str">
        <f>_xll.BDP("544525XU Muni","DUR_ADJ_MID")</f>
        <v>#N/A Requesting Data...</v>
      </c>
      <c r="G795" t="str">
        <f>_xll.BDP("544525XU Muni","SPREAD_AT_ISSUANCE_TO_WORST")</f>
        <v>#N/A Requesting Data...</v>
      </c>
      <c r="H795" t="str">
        <f>_xll.BDP("544525XU Muni","ISSUE_DT")</f>
        <v>#N/A Requesting Data...</v>
      </c>
      <c r="I795" t="str">
        <f>_xll.BDS("544525XU Muni","MUNI_PURPOSE_SCHED", "aggregate=y")</f>
        <v>#N/A Requesting Data...</v>
      </c>
      <c r="J795" t="str">
        <f>_xll.BDP("544525XU Muni","CPN")</f>
        <v>#N/A Requesting Data...</v>
      </c>
      <c r="K795" t="str">
        <f>_xll.BDP("544525XU Muni","MATURITY")</f>
        <v>#N/A Requesting Data...</v>
      </c>
      <c r="L795">
        <v>9790000</v>
      </c>
      <c r="M795" t="str">
        <f>_xll.BDP("544525XU Muni","YIELD_ON_ISSUE_DATE")</f>
        <v>#N/A Requesting Data...</v>
      </c>
      <c r="N795" t="str">
        <f>_xll.BDP("544525XU Muni","YTW_SPREAD_TO_MATURITY_AT_ISSU")</f>
        <v>#N/A Requesting Data...</v>
      </c>
      <c r="O795" t="str">
        <f>_xll.BDP("544525XU Muni","BVAL_MID_YTM")</f>
        <v>#N/A Requesting Data...</v>
      </c>
      <c r="P795" t="str">
        <f>_xll.BDP("544525XU Muni","MUNI_TAX_PROV")</f>
        <v>#N/A Requesting Data...</v>
      </c>
      <c r="Q795" t="str">
        <f>_xll.BDP("544525XU Muni","MUNI_FED_TAX")</f>
        <v>#N/A Requesting Data...</v>
      </c>
      <c r="R795" t="str">
        <f>_xll.BDP("544525XU Muni","MUNI_MSRB_VOLUME")</f>
        <v>#N/A Requesting Data...</v>
      </c>
      <c r="S795" t="str">
        <f>_xll.BDP("544525XU Muni","BB_COMPOSITE")</f>
        <v>#N/A Requesting Data...</v>
      </c>
      <c r="T795" t="str">
        <f>_xll.BDP("544525XU Muni","LQA_LIQUIDITY_SCORE")</f>
        <v>#N/A Requesting Data...</v>
      </c>
    </row>
    <row r="796" spans="1:20" x14ac:dyDescent="0.25">
      <c r="A796" t="str">
        <f>_xll.BDP("544525XV Muni","ID_CUSIP")</f>
        <v>#N/A Requesting Data...</v>
      </c>
      <c r="B796" t="s">
        <v>220</v>
      </c>
      <c r="C796" t="str">
        <f>_xll.BDP("544525XV Muni","INSURANCE_STATUS")</f>
        <v>#N/A Requesting Data...</v>
      </c>
      <c r="D796" t="str">
        <f>_xll.BDP("544525XV Muni","STATE_CODE")</f>
        <v>#N/A Requesting Data...</v>
      </c>
      <c r="E796" t="str">
        <f>_xll.BDP("544525XV Muni","COUNTY_LOCATION_ISSUER")</f>
        <v>#N/A Requesting Data...</v>
      </c>
      <c r="F796" t="str">
        <f>_xll.BDP("544525XV Muni","DUR_ADJ_MID")</f>
        <v>#N/A Requesting Data...</v>
      </c>
      <c r="G796" t="str">
        <f>_xll.BDP("544525XV Muni","SPREAD_AT_ISSUANCE_TO_WORST")</f>
        <v>#N/A Requesting Data...</v>
      </c>
      <c r="H796" t="str">
        <f>_xll.BDP("544525XV Muni","ISSUE_DT")</f>
        <v>#N/A Requesting Data...</v>
      </c>
      <c r="I796" t="str">
        <f>_xll.BDS("544525XV Muni","MUNI_PURPOSE_SCHED", "aggregate=y")</f>
        <v>#N/A Requesting Data...</v>
      </c>
      <c r="J796" t="str">
        <f>_xll.BDP("544525XV Muni","CPN")</f>
        <v>#N/A Requesting Data...</v>
      </c>
      <c r="K796" t="str">
        <f>_xll.BDP("544525XV Muni","MATURITY")</f>
        <v>#N/A Requesting Data...</v>
      </c>
      <c r="L796">
        <v>540000</v>
      </c>
      <c r="M796" t="str">
        <f>_xll.BDP("544525XV Muni","YIELD_ON_ISSUE_DATE")</f>
        <v>#N/A Requesting Data...</v>
      </c>
      <c r="N796" t="str">
        <f>_xll.BDP("544525XV Muni","YTW_SPREAD_TO_MATURITY_AT_ISSU")</f>
        <v>#N/A Requesting Data...</v>
      </c>
      <c r="O796" t="str">
        <f>_xll.BDP("544525XV Muni","BVAL_MID_YTM")</f>
        <v>#N/A Requesting Data...</v>
      </c>
      <c r="P796" t="str">
        <f>_xll.BDP("544525XV Muni","MUNI_TAX_PROV")</f>
        <v>#N/A Requesting Data...</v>
      </c>
      <c r="Q796" t="str">
        <f>_xll.BDP("544525XV Muni","MUNI_FED_TAX")</f>
        <v>#N/A Requesting Data...</v>
      </c>
      <c r="R796" t="str">
        <f>_xll.BDP("544525XV Muni","MUNI_MSRB_VOLUME")</f>
        <v>#N/A Requesting Data...</v>
      </c>
      <c r="S796" t="str">
        <f>_xll.BDP("544525XV Muni","BB_COMPOSITE")</f>
        <v>#N/A Requesting Data...</v>
      </c>
      <c r="T796" t="str">
        <f>_xll.BDP("544525XV Muni","LQA_LIQUIDITY_SCORE")</f>
        <v>#N/A Requesting Data...</v>
      </c>
    </row>
    <row r="797" spans="1:20" x14ac:dyDescent="0.25">
      <c r="A797" t="str">
        <f>_xll.BDP("544525XW Muni","ID_CUSIP")</f>
        <v>#N/A Requesting Data...</v>
      </c>
      <c r="B797" t="s">
        <v>220</v>
      </c>
      <c r="C797" t="str">
        <f>_xll.BDP("544525XW Muni","INSURANCE_STATUS")</f>
        <v>#N/A Requesting Data...</v>
      </c>
      <c r="D797" t="str">
        <f>_xll.BDP("544525XW Muni","STATE_CODE")</f>
        <v>#N/A Requesting Data...</v>
      </c>
      <c r="E797" t="str">
        <f>_xll.BDP("544525XW Muni","COUNTY_LOCATION_ISSUER")</f>
        <v>#N/A Requesting Data...</v>
      </c>
      <c r="F797" t="str">
        <f>_xll.BDP("544525XW Muni","DUR_ADJ_MID")</f>
        <v>#N/A Requesting Data...</v>
      </c>
      <c r="G797" t="str">
        <f>_xll.BDP("544525XW Muni","SPREAD_AT_ISSUANCE_TO_WORST")</f>
        <v>#N/A Requesting Data...</v>
      </c>
      <c r="H797" t="str">
        <f>_xll.BDP("544525XW Muni","ISSUE_DT")</f>
        <v>#N/A Requesting Data...</v>
      </c>
      <c r="I797" t="str">
        <f>_xll.BDS("544525XW Muni","MUNI_PURPOSE_SCHED", "aggregate=y")</f>
        <v>#N/A Requesting Data...</v>
      </c>
      <c r="J797" t="str">
        <f>_xll.BDP("544525XW Muni","CPN")</f>
        <v>#N/A Requesting Data...</v>
      </c>
      <c r="K797" t="str">
        <f>_xll.BDP("544525XW Muni","MATURITY")</f>
        <v>#N/A Requesting Data...</v>
      </c>
      <c r="L797">
        <v>10875000</v>
      </c>
      <c r="M797" t="str">
        <f>_xll.BDP("544525XW Muni","YIELD_ON_ISSUE_DATE")</f>
        <v>#N/A Requesting Data...</v>
      </c>
      <c r="N797" t="str">
        <f>_xll.BDP("544525XW Muni","YTW_SPREAD_TO_MATURITY_AT_ISSU")</f>
        <v>#N/A Requesting Data...</v>
      </c>
      <c r="O797" t="str">
        <f>_xll.BDP("544525XW Muni","BVAL_MID_YTM")</f>
        <v>#N/A Requesting Data...</v>
      </c>
      <c r="P797" t="str">
        <f>_xll.BDP("544525XW Muni","MUNI_TAX_PROV")</f>
        <v>#N/A Requesting Data...</v>
      </c>
      <c r="Q797" t="str">
        <f>_xll.BDP("544525XW Muni","MUNI_FED_TAX")</f>
        <v>#N/A Requesting Data...</v>
      </c>
      <c r="R797" t="str">
        <f>_xll.BDP("544525XW Muni","MUNI_MSRB_VOLUME")</f>
        <v>#N/A Requesting Data...</v>
      </c>
      <c r="S797" t="str">
        <f>_xll.BDP("544525XW Muni","BB_COMPOSITE")</f>
        <v>#N/A Requesting Data...</v>
      </c>
      <c r="T797" t="str">
        <f>_xll.BDP("544525XW Muni","LQA_LIQUIDITY_SCORE")</f>
        <v>#N/A Requesting Data...</v>
      </c>
    </row>
    <row r="798" spans="1:20" x14ac:dyDescent="0.25">
      <c r="A798" t="str">
        <f>_xll.BDP("462632YP Muni","ID_CUSIP")</f>
        <v>#N/A Requesting Data...</v>
      </c>
      <c r="B798" t="s">
        <v>221</v>
      </c>
      <c r="C798" t="str">
        <f>_xll.BDP("462632YP Muni","INSURANCE_STATUS")</f>
        <v>#N/A Requesting Data...</v>
      </c>
      <c r="D798" t="str">
        <f>_xll.BDP("462632YP Muni","STATE_CODE")</f>
        <v>#N/A Requesting Data...</v>
      </c>
      <c r="E798" t="str">
        <f>_xll.BDP("462632YP Muni","COUNTY_LOCATION_ISSUER")</f>
        <v>#N/A Requesting Data...</v>
      </c>
      <c r="F798" t="str">
        <f>_xll.BDP("462632YP Muni","DUR_ADJ_MID")</f>
        <v>#N/A Requesting Data...</v>
      </c>
      <c r="G798" t="str">
        <f>_xll.BDP("462632YP Muni","SPREAD_AT_ISSUANCE_TO_WORST")</f>
        <v>#N/A Requesting Data...</v>
      </c>
      <c r="H798" t="str">
        <f>_xll.BDP("462632YP Muni","ISSUE_DT")</f>
        <v>#N/A Requesting Data...</v>
      </c>
      <c r="I798" t="str">
        <f>_xll.BDS("462632YP Muni","MUNI_PURPOSE_SCHED", "aggregate=y")</f>
        <v>#N/A Requesting Data...</v>
      </c>
      <c r="J798" t="str">
        <f>_xll.BDP("462632YP Muni","CPN")</f>
        <v>#N/A Requesting Data...</v>
      </c>
      <c r="K798" t="str">
        <f>_xll.BDP("462632YP Muni","MATURITY")</f>
        <v>#N/A Requesting Data...</v>
      </c>
      <c r="L798">
        <v>285000</v>
      </c>
      <c r="M798" t="str">
        <f>_xll.BDP("462632YP Muni","YIELD_ON_ISSUE_DATE")</f>
        <v>#N/A Requesting Data...</v>
      </c>
      <c r="N798" t="str">
        <f>_xll.BDP("462632YP Muni","YTW_SPREAD_TO_MATURITY_AT_ISSU")</f>
        <v>#N/A Requesting Data...</v>
      </c>
      <c r="O798" t="str">
        <f>_xll.BDP("462632YP Muni","BVAL_MID_YTM")</f>
        <v>#N/A Requesting Data...</v>
      </c>
      <c r="P798" t="str">
        <f>_xll.BDP("462632YP Muni","MUNI_TAX_PROV")</f>
        <v>#N/A Requesting Data...</v>
      </c>
      <c r="Q798" t="str">
        <f>_xll.BDP("462632YP Muni","MUNI_FED_TAX")</f>
        <v>#N/A Requesting Data...</v>
      </c>
      <c r="R798" t="str">
        <f>_xll.BDP("462632YP Muni","MUNI_MSRB_VOLUME")</f>
        <v>#N/A Requesting Data...</v>
      </c>
      <c r="S798" t="str">
        <f>_xll.BDP("462632YP Muni","BB_COMPOSITE")</f>
        <v>#N/A Requesting Data...</v>
      </c>
      <c r="T798" t="str">
        <f>_xll.BDP("462632YP Muni","LQA_LIQUIDITY_SCORE")</f>
        <v>#N/A Requesting Data...</v>
      </c>
    </row>
    <row r="799" spans="1:20" x14ac:dyDescent="0.25">
      <c r="A799" t="str">
        <f>_xll.BDP("462632YQ Muni","ID_CUSIP")</f>
        <v>#N/A Requesting Data...</v>
      </c>
      <c r="B799" t="s">
        <v>221</v>
      </c>
      <c r="C799" t="str">
        <f>_xll.BDP("462632YQ Muni","INSURANCE_STATUS")</f>
        <v>#N/A Requesting Data...</v>
      </c>
      <c r="D799" t="str">
        <f>_xll.BDP("462632YQ Muni","STATE_CODE")</f>
        <v>#N/A Requesting Data...</v>
      </c>
      <c r="E799" t="str">
        <f>_xll.BDP("462632YQ Muni","COUNTY_LOCATION_ISSUER")</f>
        <v>#N/A Requesting Data...</v>
      </c>
      <c r="F799" t="str">
        <f>_xll.BDP("462632YQ Muni","DUR_ADJ_MID")</f>
        <v>#N/A Requesting Data...</v>
      </c>
      <c r="G799" t="str">
        <f>_xll.BDP("462632YQ Muni","SPREAD_AT_ISSUANCE_TO_WORST")</f>
        <v>#N/A Requesting Data...</v>
      </c>
      <c r="H799" t="str">
        <f>_xll.BDP("462632YQ Muni","ISSUE_DT")</f>
        <v>#N/A Requesting Data...</v>
      </c>
      <c r="I799" t="str">
        <f>_xll.BDS("462632YQ Muni","MUNI_PURPOSE_SCHED", "aggregate=y")</f>
        <v>#N/A Requesting Data...</v>
      </c>
      <c r="J799" t="str">
        <f>_xll.BDP("462632YQ Muni","CPN")</f>
        <v>#N/A Requesting Data...</v>
      </c>
      <c r="K799" t="str">
        <f>_xll.BDP("462632YQ Muni","MATURITY")</f>
        <v>#N/A Requesting Data...</v>
      </c>
      <c r="L799">
        <v>285000</v>
      </c>
      <c r="M799" t="str">
        <f>_xll.BDP("462632YQ Muni","YIELD_ON_ISSUE_DATE")</f>
        <v>#N/A Requesting Data...</v>
      </c>
      <c r="N799" t="str">
        <f>_xll.BDP("462632YQ Muni","YTW_SPREAD_TO_MATURITY_AT_ISSU")</f>
        <v>#N/A Requesting Data...</v>
      </c>
      <c r="O799" t="str">
        <f>_xll.BDP("462632YQ Muni","BVAL_MID_YTM")</f>
        <v>#N/A Requesting Data...</v>
      </c>
      <c r="P799" t="str">
        <f>_xll.BDP("462632YQ Muni","MUNI_TAX_PROV")</f>
        <v>#N/A Requesting Data...</v>
      </c>
      <c r="Q799" t="str">
        <f>_xll.BDP("462632YQ Muni","MUNI_FED_TAX")</f>
        <v>#N/A Requesting Data...</v>
      </c>
      <c r="R799" t="str">
        <f>_xll.BDP("462632YQ Muni","MUNI_MSRB_VOLUME")</f>
        <v>#N/A Requesting Data...</v>
      </c>
      <c r="S799" t="str">
        <f>_xll.BDP("462632YQ Muni","BB_COMPOSITE")</f>
        <v>#N/A Requesting Data...</v>
      </c>
      <c r="T799" t="str">
        <f>_xll.BDP("462632YQ Muni","LQA_LIQUIDITY_SCORE")</f>
        <v>#N/A Requesting Data...</v>
      </c>
    </row>
    <row r="800" spans="1:20" x14ac:dyDescent="0.25">
      <c r="A800" t="str">
        <f>_xll.BDP("462632YR Muni","ID_CUSIP")</f>
        <v>#N/A Requesting Data...</v>
      </c>
      <c r="B800" t="s">
        <v>221</v>
      </c>
      <c r="C800" t="str">
        <f>_xll.BDP("462632YR Muni","INSURANCE_STATUS")</f>
        <v>#N/A Requesting Data...</v>
      </c>
      <c r="D800" t="str">
        <f>_xll.BDP("462632YR Muni","STATE_CODE")</f>
        <v>#N/A Requesting Data...</v>
      </c>
      <c r="E800" t="str">
        <f>_xll.BDP("462632YR Muni","COUNTY_LOCATION_ISSUER")</f>
        <v>#N/A Requesting Data...</v>
      </c>
      <c r="F800" t="str">
        <f>_xll.BDP("462632YR Muni","DUR_ADJ_MID")</f>
        <v>#N/A Requesting Data...</v>
      </c>
      <c r="G800" t="str">
        <f>_xll.BDP("462632YR Muni","SPREAD_AT_ISSUANCE_TO_WORST")</f>
        <v>#N/A Requesting Data...</v>
      </c>
      <c r="H800" t="str">
        <f>_xll.BDP("462632YR Muni","ISSUE_DT")</f>
        <v>#N/A Requesting Data...</v>
      </c>
      <c r="I800" t="str">
        <f>_xll.BDS("462632YR Muni","MUNI_PURPOSE_SCHED", "aggregate=y")</f>
        <v>#N/A Requesting Data...</v>
      </c>
      <c r="J800" t="str">
        <f>_xll.BDP("462632YR Muni","CPN")</f>
        <v>#N/A Requesting Data...</v>
      </c>
      <c r="K800" t="str">
        <f>_xll.BDP("462632YR Muni","MATURITY")</f>
        <v>#N/A Requesting Data...</v>
      </c>
      <c r="L800">
        <v>285000</v>
      </c>
      <c r="M800" t="str">
        <f>_xll.BDP("462632YR Muni","YIELD_ON_ISSUE_DATE")</f>
        <v>#N/A Requesting Data...</v>
      </c>
      <c r="N800" t="str">
        <f>_xll.BDP("462632YR Muni","YTW_SPREAD_TO_MATURITY_AT_ISSU")</f>
        <v>#N/A Requesting Data...</v>
      </c>
      <c r="O800" t="str">
        <f>_xll.BDP("462632YR Muni","BVAL_MID_YTM")</f>
        <v>#N/A Requesting Data...</v>
      </c>
      <c r="P800" t="str">
        <f>_xll.BDP("462632YR Muni","MUNI_TAX_PROV")</f>
        <v>#N/A Requesting Data...</v>
      </c>
      <c r="Q800" t="str">
        <f>_xll.BDP("462632YR Muni","MUNI_FED_TAX")</f>
        <v>#N/A Requesting Data...</v>
      </c>
      <c r="R800" t="str">
        <f>_xll.BDP("462632YR Muni","MUNI_MSRB_VOLUME")</f>
        <v>#N/A Requesting Data...</v>
      </c>
      <c r="S800" t="str">
        <f>_xll.BDP("462632YR Muni","BB_COMPOSITE")</f>
        <v>#N/A Requesting Data...</v>
      </c>
      <c r="T800" t="str">
        <f>_xll.BDP("462632YR Muni","LQA_LIQUIDITY_SCORE")</f>
        <v>#N/A Requesting Data...</v>
      </c>
    </row>
    <row r="801" spans="1:20" x14ac:dyDescent="0.25">
      <c r="A801" t="str">
        <f>_xll.BDP("462632YS Muni","ID_CUSIP")</f>
        <v>#N/A Requesting Data...</v>
      </c>
      <c r="B801" t="s">
        <v>221</v>
      </c>
      <c r="C801" t="str">
        <f>_xll.BDP("462632YS Muni","INSURANCE_STATUS")</f>
        <v>#N/A Requesting Data...</v>
      </c>
      <c r="D801" t="str">
        <f>_xll.BDP("462632YS Muni","STATE_CODE")</f>
        <v>#N/A Requesting Data...</v>
      </c>
      <c r="E801" t="str">
        <f>_xll.BDP("462632YS Muni","COUNTY_LOCATION_ISSUER")</f>
        <v>#N/A Requesting Data...</v>
      </c>
      <c r="F801" t="str">
        <f>_xll.BDP("462632YS Muni","DUR_ADJ_MID")</f>
        <v>#N/A Requesting Data...</v>
      </c>
      <c r="G801" t="str">
        <f>_xll.BDP("462632YS Muni","SPREAD_AT_ISSUANCE_TO_WORST")</f>
        <v>#N/A Requesting Data...</v>
      </c>
      <c r="H801" t="str">
        <f>_xll.BDP("462632YS Muni","ISSUE_DT")</f>
        <v>#N/A Requesting Data...</v>
      </c>
      <c r="I801" t="str">
        <f>_xll.BDS("462632YS Muni","MUNI_PURPOSE_SCHED", "aggregate=y")</f>
        <v>#N/A Requesting Data...</v>
      </c>
      <c r="J801" t="str">
        <f>_xll.BDP("462632YS Muni","CPN")</f>
        <v>#N/A Requesting Data...</v>
      </c>
      <c r="K801" t="str">
        <f>_xll.BDP("462632YS Muni","MATURITY")</f>
        <v>#N/A Requesting Data...</v>
      </c>
      <c r="L801">
        <v>280000</v>
      </c>
      <c r="M801" t="str">
        <f>_xll.BDP("462632YS Muni","YIELD_ON_ISSUE_DATE")</f>
        <v>#N/A Requesting Data...</v>
      </c>
      <c r="N801" t="str">
        <f>_xll.BDP("462632YS Muni","YTW_SPREAD_TO_MATURITY_AT_ISSU")</f>
        <v>#N/A Requesting Data...</v>
      </c>
      <c r="O801" t="str">
        <f>_xll.BDP("462632YS Muni","BVAL_MID_YTM")</f>
        <v>#N/A Requesting Data...</v>
      </c>
      <c r="P801" t="str">
        <f>_xll.BDP("462632YS Muni","MUNI_TAX_PROV")</f>
        <v>#N/A Requesting Data...</v>
      </c>
      <c r="Q801" t="str">
        <f>_xll.BDP("462632YS Muni","MUNI_FED_TAX")</f>
        <v>#N/A Requesting Data...</v>
      </c>
      <c r="R801" t="str">
        <f>_xll.BDP("462632YS Muni","MUNI_MSRB_VOLUME")</f>
        <v>#N/A Requesting Data...</v>
      </c>
      <c r="S801" t="str">
        <f>_xll.BDP("462632YS Muni","BB_COMPOSITE")</f>
        <v>#N/A Requesting Data...</v>
      </c>
      <c r="T801" t="str">
        <f>_xll.BDP("462632YS Muni","LQA_LIQUIDITY_SCORE")</f>
        <v>#N/A Requesting Data...</v>
      </c>
    </row>
    <row r="802" spans="1:20" x14ac:dyDescent="0.25">
      <c r="A802" t="str">
        <f>_xll.BDP("462632YT Muni","ID_CUSIP")</f>
        <v>#N/A Requesting Data...</v>
      </c>
      <c r="B802" t="s">
        <v>221</v>
      </c>
      <c r="C802" t="str">
        <f>_xll.BDP("462632YT Muni","INSURANCE_STATUS")</f>
        <v>#N/A Requesting Data...</v>
      </c>
      <c r="D802" t="str">
        <f>_xll.BDP("462632YT Muni","STATE_CODE")</f>
        <v>#N/A Requesting Data...</v>
      </c>
      <c r="E802" t="str">
        <f>_xll.BDP("462632YT Muni","COUNTY_LOCATION_ISSUER")</f>
        <v>#N/A Requesting Data...</v>
      </c>
      <c r="F802" t="str">
        <f>_xll.BDP("462632YT Muni","DUR_ADJ_MID")</f>
        <v>#N/A Requesting Data...</v>
      </c>
      <c r="G802" t="str">
        <f>_xll.BDP("462632YT Muni","SPREAD_AT_ISSUANCE_TO_WORST")</f>
        <v>#N/A Requesting Data...</v>
      </c>
      <c r="H802" t="str">
        <f>_xll.BDP("462632YT Muni","ISSUE_DT")</f>
        <v>#N/A Requesting Data...</v>
      </c>
      <c r="I802" t="str">
        <f>_xll.BDS("462632YT Muni","MUNI_PURPOSE_SCHED", "aggregate=y")</f>
        <v>#N/A Requesting Data...</v>
      </c>
      <c r="J802" t="str">
        <f>_xll.BDP("462632YT Muni","CPN")</f>
        <v>#N/A Requesting Data...</v>
      </c>
      <c r="K802" t="str">
        <f>_xll.BDP("462632YT Muni","MATURITY")</f>
        <v>#N/A Requesting Data...</v>
      </c>
      <c r="L802">
        <v>280000</v>
      </c>
      <c r="M802" t="str">
        <f>_xll.BDP("462632YT Muni","YIELD_ON_ISSUE_DATE")</f>
        <v>#N/A Requesting Data...</v>
      </c>
      <c r="N802" t="str">
        <f>_xll.BDP("462632YT Muni","YTW_SPREAD_TO_MATURITY_AT_ISSU")</f>
        <v>#N/A Requesting Data...</v>
      </c>
      <c r="O802" t="str">
        <f>_xll.BDP("462632YT Muni","BVAL_MID_YTM")</f>
        <v>#N/A Requesting Data...</v>
      </c>
      <c r="P802" t="str">
        <f>_xll.BDP("462632YT Muni","MUNI_TAX_PROV")</f>
        <v>#N/A Requesting Data...</v>
      </c>
      <c r="Q802" t="str">
        <f>_xll.BDP("462632YT Muni","MUNI_FED_TAX")</f>
        <v>#N/A Requesting Data...</v>
      </c>
      <c r="R802" t="str">
        <f>_xll.BDP("462632YT Muni","MUNI_MSRB_VOLUME")</f>
        <v>#N/A Requesting Data...</v>
      </c>
      <c r="S802" t="str">
        <f>_xll.BDP("462632YT Muni","BB_COMPOSITE")</f>
        <v>#N/A Requesting Data...</v>
      </c>
      <c r="T802" t="str">
        <f>_xll.BDP("462632YT Muni","LQA_LIQUIDITY_SCORE")</f>
        <v>#N/A Requesting Data...</v>
      </c>
    </row>
    <row r="803" spans="1:20" x14ac:dyDescent="0.25">
      <c r="A803" t="str">
        <f>_xll.BDP("462632YU Muni","ID_CUSIP")</f>
        <v>#N/A Requesting Data...</v>
      </c>
      <c r="B803" t="s">
        <v>221</v>
      </c>
      <c r="C803" t="str">
        <f>_xll.BDP("462632YU Muni","INSURANCE_STATUS")</f>
        <v>#N/A Requesting Data...</v>
      </c>
      <c r="D803" t="str">
        <f>_xll.BDP("462632YU Muni","STATE_CODE")</f>
        <v>#N/A Requesting Data...</v>
      </c>
      <c r="E803" t="str">
        <f>_xll.BDP("462632YU Muni","COUNTY_LOCATION_ISSUER")</f>
        <v>#N/A Requesting Data...</v>
      </c>
      <c r="F803" t="str">
        <f>_xll.BDP("462632YU Muni","DUR_ADJ_MID")</f>
        <v>#N/A Requesting Data...</v>
      </c>
      <c r="G803" t="str">
        <f>_xll.BDP("462632YU Muni","SPREAD_AT_ISSUANCE_TO_WORST")</f>
        <v>#N/A Requesting Data...</v>
      </c>
      <c r="H803" t="str">
        <f>_xll.BDP("462632YU Muni","ISSUE_DT")</f>
        <v>#N/A Requesting Data...</v>
      </c>
      <c r="I803" t="str">
        <f>_xll.BDS("462632YU Muni","MUNI_PURPOSE_SCHED", "aggregate=y")</f>
        <v>#N/A Requesting Data...</v>
      </c>
      <c r="J803" t="str">
        <f>_xll.BDP("462632YU Muni","CPN")</f>
        <v>#N/A Requesting Data...</v>
      </c>
      <c r="K803" t="str">
        <f>_xll.BDP("462632YU Muni","MATURITY")</f>
        <v>#N/A Requesting Data...</v>
      </c>
      <c r="L803">
        <v>280000</v>
      </c>
      <c r="M803" t="str">
        <f>_xll.BDP("462632YU Muni","YIELD_ON_ISSUE_DATE")</f>
        <v>#N/A Requesting Data...</v>
      </c>
      <c r="N803" t="str">
        <f>_xll.BDP("462632YU Muni","YTW_SPREAD_TO_MATURITY_AT_ISSU")</f>
        <v>#N/A Requesting Data...</v>
      </c>
      <c r="O803" t="str">
        <f>_xll.BDP("462632YU Muni","BVAL_MID_YTM")</f>
        <v>#N/A Requesting Data...</v>
      </c>
      <c r="P803" t="str">
        <f>_xll.BDP("462632YU Muni","MUNI_TAX_PROV")</f>
        <v>#N/A Requesting Data...</v>
      </c>
      <c r="Q803" t="str">
        <f>_xll.BDP("462632YU Muni","MUNI_FED_TAX")</f>
        <v>#N/A Requesting Data...</v>
      </c>
      <c r="R803" t="str">
        <f>_xll.BDP("462632YU Muni","MUNI_MSRB_VOLUME")</f>
        <v>#N/A Requesting Data...</v>
      </c>
      <c r="S803" t="str">
        <f>_xll.BDP("462632YU Muni","BB_COMPOSITE")</f>
        <v>#N/A Requesting Data...</v>
      </c>
      <c r="T803" t="str">
        <f>_xll.BDP("462632YU Muni","LQA_LIQUIDITY_SCORE")</f>
        <v>#N/A Requesting Data...</v>
      </c>
    </row>
    <row r="804" spans="1:20" x14ac:dyDescent="0.25">
      <c r="A804" t="str">
        <f>_xll.BDP("463831QW Muni","ID_CUSIP")</f>
        <v>#N/A Requesting Data...</v>
      </c>
      <c r="B804" t="s">
        <v>222</v>
      </c>
      <c r="C804" t="str">
        <f>_xll.BDP("463831QW Muni","INSURANCE_STATUS")</f>
        <v>#N/A Requesting Data...</v>
      </c>
      <c r="D804" t="str">
        <f>_xll.BDP("463831QW Muni","STATE_CODE")</f>
        <v>#N/A Requesting Data...</v>
      </c>
      <c r="E804" t="str">
        <f>_xll.BDP("463831QW Muni","COUNTY_LOCATION_ISSUER")</f>
        <v>#N/A Requesting Data...</v>
      </c>
      <c r="F804" t="str">
        <f>_xll.BDP("463831QW Muni","DUR_ADJ_MID")</f>
        <v>#N/A Requesting Data...</v>
      </c>
      <c r="G804" t="str">
        <f>_xll.BDP("463831QW Muni","SPREAD_AT_ISSUANCE_TO_WORST")</f>
        <v>#N/A Requesting Data...</v>
      </c>
      <c r="H804" t="str">
        <f>_xll.BDP("463831QW Muni","ISSUE_DT")</f>
        <v>#N/A Requesting Data...</v>
      </c>
      <c r="I804" t="str">
        <f>_xll.BDS("463831QW Muni","MUNI_PURPOSE_SCHED", "aggregate=y")</f>
        <v>#N/A Requesting Data...</v>
      </c>
      <c r="J804" t="str">
        <f>_xll.BDP("463831QW Muni","CPN")</f>
        <v>#N/A Requesting Data...</v>
      </c>
      <c r="K804" t="str">
        <f>_xll.BDP("463831QW Muni","MATURITY")</f>
        <v>#N/A Requesting Data...</v>
      </c>
      <c r="L804">
        <v>555000</v>
      </c>
      <c r="M804" t="str">
        <f>_xll.BDP("463831QW Muni","YIELD_ON_ISSUE_DATE")</f>
        <v>#N/A Requesting Data...</v>
      </c>
      <c r="N804" t="str">
        <f>_xll.BDP("463831QW Muni","YTW_SPREAD_TO_MATURITY_AT_ISSU")</f>
        <v>#N/A Requesting Data...</v>
      </c>
      <c r="O804" t="str">
        <f>_xll.BDP("463831QW Muni","BVAL_MID_YTM")</f>
        <v>#N/A Requesting Data...</v>
      </c>
      <c r="P804" t="str">
        <f>_xll.BDP("463831QW Muni","MUNI_TAX_PROV")</f>
        <v>#N/A Requesting Data...</v>
      </c>
      <c r="Q804" t="str">
        <f>_xll.BDP("463831QW Muni","MUNI_FED_TAX")</f>
        <v>#N/A Requesting Data...</v>
      </c>
      <c r="R804" t="str">
        <f>_xll.BDP("463831QW Muni","MUNI_MSRB_VOLUME")</f>
        <v>#N/A Requesting Data...</v>
      </c>
      <c r="S804" t="str">
        <f>_xll.BDP("463831QW Muni","BB_COMPOSITE")</f>
        <v>#N/A Requesting Data...</v>
      </c>
      <c r="T804" t="str">
        <f>_xll.BDP("463831QW Muni","LQA_LIQUIDITY_SCORE")</f>
        <v>#N/A Requesting Data...</v>
      </c>
    </row>
    <row r="805" spans="1:20" x14ac:dyDescent="0.25">
      <c r="A805" t="str">
        <f>_xll.BDP("463831QX Muni","ID_CUSIP")</f>
        <v>#N/A Requesting Data...</v>
      </c>
      <c r="B805" t="s">
        <v>222</v>
      </c>
      <c r="C805" t="str">
        <f>_xll.BDP("463831QX Muni","INSURANCE_STATUS")</f>
        <v>#N/A Requesting Data...</v>
      </c>
      <c r="D805" t="str">
        <f>_xll.BDP("463831QX Muni","STATE_CODE")</f>
        <v>#N/A Requesting Data...</v>
      </c>
      <c r="E805" t="str">
        <f>_xll.BDP("463831QX Muni","COUNTY_LOCATION_ISSUER")</f>
        <v>#N/A Requesting Data...</v>
      </c>
      <c r="F805" t="str">
        <f>_xll.BDP("463831QX Muni","DUR_ADJ_MID")</f>
        <v>#N/A Requesting Data...</v>
      </c>
      <c r="G805" t="str">
        <f>_xll.BDP("463831QX Muni","SPREAD_AT_ISSUANCE_TO_WORST")</f>
        <v>#N/A Requesting Data...</v>
      </c>
      <c r="H805" t="str">
        <f>_xll.BDP("463831QX Muni","ISSUE_DT")</f>
        <v>#N/A Requesting Data...</v>
      </c>
      <c r="I805" t="str">
        <f>_xll.BDS("463831QX Muni","MUNI_PURPOSE_SCHED", "aggregate=y")</f>
        <v>#N/A Requesting Data...</v>
      </c>
      <c r="J805" t="str">
        <f>_xll.BDP("463831QX Muni","CPN")</f>
        <v>#N/A Requesting Data...</v>
      </c>
      <c r="K805" t="str">
        <f>_xll.BDP("463831QX Muni","MATURITY")</f>
        <v>#N/A Requesting Data...</v>
      </c>
      <c r="L805">
        <v>580000</v>
      </c>
      <c r="M805" t="str">
        <f>_xll.BDP("463831QX Muni","YIELD_ON_ISSUE_DATE")</f>
        <v>#N/A Requesting Data...</v>
      </c>
      <c r="N805" t="str">
        <f>_xll.BDP("463831QX Muni","YTW_SPREAD_TO_MATURITY_AT_ISSU")</f>
        <v>#N/A Requesting Data...</v>
      </c>
      <c r="O805" t="str">
        <f>_xll.BDP("463831QX Muni","BVAL_MID_YTM")</f>
        <v>#N/A Requesting Data...</v>
      </c>
      <c r="P805" t="str">
        <f>_xll.BDP("463831QX Muni","MUNI_TAX_PROV")</f>
        <v>#N/A Requesting Data...</v>
      </c>
      <c r="Q805" t="str">
        <f>_xll.BDP("463831QX Muni","MUNI_FED_TAX")</f>
        <v>#N/A Requesting Data...</v>
      </c>
      <c r="R805" t="str">
        <f>_xll.BDP("463831QX Muni","MUNI_MSRB_VOLUME")</f>
        <v>#N/A Requesting Data...</v>
      </c>
      <c r="S805" t="str">
        <f>_xll.BDP("463831QX Muni","BB_COMPOSITE")</f>
        <v>#N/A Requesting Data...</v>
      </c>
      <c r="T805" t="str">
        <f>_xll.BDP("463831QX Muni","LQA_LIQUIDITY_SCORE")</f>
        <v>#N/A Requesting Data...</v>
      </c>
    </row>
    <row r="806" spans="1:20" x14ac:dyDescent="0.25">
      <c r="A806" t="str">
        <f>_xll.BDP("463831QY Muni","ID_CUSIP")</f>
        <v>#N/A Requesting Data...</v>
      </c>
      <c r="B806" t="s">
        <v>222</v>
      </c>
      <c r="C806" t="str">
        <f>_xll.BDP("463831QY Muni","INSURANCE_STATUS")</f>
        <v>#N/A Requesting Data...</v>
      </c>
      <c r="D806" t="str">
        <f>_xll.BDP("463831QY Muni","STATE_CODE")</f>
        <v>#N/A Requesting Data...</v>
      </c>
      <c r="E806" t="str">
        <f>_xll.BDP("463831QY Muni","COUNTY_LOCATION_ISSUER")</f>
        <v>#N/A Requesting Data...</v>
      </c>
      <c r="F806" t="str">
        <f>_xll.BDP("463831QY Muni","DUR_ADJ_MID")</f>
        <v>#N/A Requesting Data...</v>
      </c>
      <c r="G806" t="str">
        <f>_xll.BDP("463831QY Muni","SPREAD_AT_ISSUANCE_TO_WORST")</f>
        <v>#N/A Requesting Data...</v>
      </c>
      <c r="H806" t="str">
        <f>_xll.BDP("463831QY Muni","ISSUE_DT")</f>
        <v>#N/A Requesting Data...</v>
      </c>
      <c r="I806" t="str">
        <f>_xll.BDS("463831QY Muni","MUNI_PURPOSE_SCHED", "aggregate=y")</f>
        <v>#N/A Requesting Data...</v>
      </c>
      <c r="J806" t="str">
        <f>_xll.BDP("463831QY Muni","CPN")</f>
        <v>#N/A Requesting Data...</v>
      </c>
      <c r="K806" t="str">
        <f>_xll.BDP("463831QY Muni","MATURITY")</f>
        <v>#N/A Requesting Data...</v>
      </c>
      <c r="L806">
        <v>610000</v>
      </c>
      <c r="M806" t="str">
        <f>_xll.BDP("463831QY Muni","YIELD_ON_ISSUE_DATE")</f>
        <v>#N/A Requesting Data...</v>
      </c>
      <c r="N806" t="str">
        <f>_xll.BDP("463831QY Muni","YTW_SPREAD_TO_MATURITY_AT_ISSU")</f>
        <v>#N/A Requesting Data...</v>
      </c>
      <c r="O806" t="str">
        <f>_xll.BDP("463831QY Muni","BVAL_MID_YTM")</f>
        <v>#N/A Requesting Data...</v>
      </c>
      <c r="P806" t="str">
        <f>_xll.BDP("463831QY Muni","MUNI_TAX_PROV")</f>
        <v>#N/A Requesting Data...</v>
      </c>
      <c r="Q806" t="str">
        <f>_xll.BDP("463831QY Muni","MUNI_FED_TAX")</f>
        <v>#N/A Requesting Data...</v>
      </c>
      <c r="R806" t="str">
        <f>_xll.BDP("463831QY Muni","MUNI_MSRB_VOLUME")</f>
        <v>#N/A Requesting Data...</v>
      </c>
      <c r="S806" t="str">
        <f>_xll.BDP("463831QY Muni","BB_COMPOSITE")</f>
        <v>#N/A Requesting Data...</v>
      </c>
      <c r="T806" t="str">
        <f>_xll.BDP("463831QY Muni","LQA_LIQUIDITY_SCORE")</f>
        <v>#N/A Requesting Data...</v>
      </c>
    </row>
    <row r="807" spans="1:20" x14ac:dyDescent="0.25">
      <c r="A807" t="str">
        <f>_xll.BDP("463831QZ Muni","ID_CUSIP")</f>
        <v>#N/A Requesting Data...</v>
      </c>
      <c r="B807" t="s">
        <v>222</v>
      </c>
      <c r="C807" t="str">
        <f>_xll.BDP("463831QZ Muni","INSURANCE_STATUS")</f>
        <v>#N/A Requesting Data...</v>
      </c>
      <c r="D807" t="str">
        <f>_xll.BDP("463831QZ Muni","STATE_CODE")</f>
        <v>#N/A Requesting Data...</v>
      </c>
      <c r="E807" t="str">
        <f>_xll.BDP("463831QZ Muni","COUNTY_LOCATION_ISSUER")</f>
        <v>#N/A Requesting Data...</v>
      </c>
      <c r="F807" t="str">
        <f>_xll.BDP("463831QZ Muni","DUR_ADJ_MID")</f>
        <v>#N/A Requesting Data...</v>
      </c>
      <c r="G807" t="str">
        <f>_xll.BDP("463831QZ Muni","SPREAD_AT_ISSUANCE_TO_WORST")</f>
        <v>#N/A Requesting Data...</v>
      </c>
      <c r="H807" t="str">
        <f>_xll.BDP("463831QZ Muni","ISSUE_DT")</f>
        <v>#N/A Requesting Data...</v>
      </c>
      <c r="I807" t="str">
        <f>_xll.BDS("463831QZ Muni","MUNI_PURPOSE_SCHED", "aggregate=y")</f>
        <v>#N/A Requesting Data...</v>
      </c>
      <c r="J807" t="str">
        <f>_xll.BDP("463831QZ Muni","CPN")</f>
        <v>#N/A Requesting Data...</v>
      </c>
      <c r="K807" t="str">
        <f>_xll.BDP("463831QZ Muni","MATURITY")</f>
        <v>#N/A Requesting Data...</v>
      </c>
      <c r="L807">
        <v>640000</v>
      </c>
      <c r="M807" t="str">
        <f>_xll.BDP("463831QZ Muni","YIELD_ON_ISSUE_DATE")</f>
        <v>#N/A Requesting Data...</v>
      </c>
      <c r="N807" t="str">
        <f>_xll.BDP("463831QZ Muni","YTW_SPREAD_TO_MATURITY_AT_ISSU")</f>
        <v>#N/A Requesting Data...</v>
      </c>
      <c r="O807" t="str">
        <f>_xll.BDP("463831QZ Muni","BVAL_MID_YTM")</f>
        <v>#N/A Requesting Data...</v>
      </c>
      <c r="P807" t="str">
        <f>_xll.BDP("463831QZ Muni","MUNI_TAX_PROV")</f>
        <v>#N/A Requesting Data...</v>
      </c>
      <c r="Q807" t="str">
        <f>_xll.BDP("463831QZ Muni","MUNI_FED_TAX")</f>
        <v>#N/A Requesting Data...</v>
      </c>
      <c r="R807" t="str">
        <f>_xll.BDP("463831QZ Muni","MUNI_MSRB_VOLUME")</f>
        <v>#N/A Requesting Data...</v>
      </c>
      <c r="S807" t="str">
        <f>_xll.BDP("463831QZ Muni","BB_COMPOSITE")</f>
        <v>#N/A Requesting Data...</v>
      </c>
      <c r="T807" t="str">
        <f>_xll.BDP("463831QZ Muni","LQA_LIQUIDITY_SCORE")</f>
        <v>#N/A Requesting Data...</v>
      </c>
    </row>
    <row r="808" spans="1:20" x14ac:dyDescent="0.25">
      <c r="A808" t="str">
        <f>_xll.BDP("463831RA Muni","ID_CUSIP")</f>
        <v>#N/A Requesting Data...</v>
      </c>
      <c r="B808" t="s">
        <v>222</v>
      </c>
      <c r="C808" t="str">
        <f>_xll.BDP("463831RA Muni","INSURANCE_STATUS")</f>
        <v>#N/A Requesting Data...</v>
      </c>
      <c r="D808" t="str">
        <f>_xll.BDP("463831RA Muni","STATE_CODE")</f>
        <v>#N/A Requesting Data...</v>
      </c>
      <c r="E808" t="str">
        <f>_xll.BDP("463831RA Muni","COUNTY_LOCATION_ISSUER")</f>
        <v>#N/A Requesting Data...</v>
      </c>
      <c r="F808" t="str">
        <f>_xll.BDP("463831RA Muni","DUR_ADJ_MID")</f>
        <v>#N/A Requesting Data...</v>
      </c>
      <c r="G808" t="str">
        <f>_xll.BDP("463831RA Muni","SPREAD_AT_ISSUANCE_TO_WORST")</f>
        <v>#N/A Requesting Data...</v>
      </c>
      <c r="H808" t="str">
        <f>_xll.BDP("463831RA Muni","ISSUE_DT")</f>
        <v>#N/A Requesting Data...</v>
      </c>
      <c r="I808" t="str">
        <f>_xll.BDS("463831RA Muni","MUNI_PURPOSE_SCHED", "aggregate=y")</f>
        <v>#N/A Requesting Data...</v>
      </c>
      <c r="J808" t="str">
        <f>_xll.BDP("463831RA Muni","CPN")</f>
        <v>#N/A Requesting Data...</v>
      </c>
      <c r="K808" t="str">
        <f>_xll.BDP("463831RA Muni","MATURITY")</f>
        <v>#N/A Requesting Data...</v>
      </c>
      <c r="L808">
        <v>670000</v>
      </c>
      <c r="M808" t="str">
        <f>_xll.BDP("463831RA Muni","YIELD_ON_ISSUE_DATE")</f>
        <v>#N/A Requesting Data...</v>
      </c>
      <c r="N808" t="str">
        <f>_xll.BDP("463831RA Muni","YTW_SPREAD_TO_MATURITY_AT_ISSU")</f>
        <v>#N/A Requesting Data...</v>
      </c>
      <c r="O808" t="str">
        <f>_xll.BDP("463831RA Muni","BVAL_MID_YTM")</f>
        <v>#N/A Requesting Data...</v>
      </c>
      <c r="P808" t="str">
        <f>_xll.BDP("463831RA Muni","MUNI_TAX_PROV")</f>
        <v>#N/A Requesting Data...</v>
      </c>
      <c r="Q808" t="str">
        <f>_xll.BDP("463831RA Muni","MUNI_FED_TAX")</f>
        <v>#N/A Requesting Data...</v>
      </c>
      <c r="R808" t="str">
        <f>_xll.BDP("463831RA Muni","MUNI_MSRB_VOLUME")</f>
        <v>#N/A Requesting Data...</v>
      </c>
      <c r="S808" t="str">
        <f>_xll.BDP("463831RA Muni","BB_COMPOSITE")</f>
        <v>#N/A Requesting Data...</v>
      </c>
      <c r="T808" t="str">
        <f>_xll.BDP("463831RA Muni","LQA_LIQUIDITY_SCORE")</f>
        <v>#N/A Requesting Data...</v>
      </c>
    </row>
    <row r="809" spans="1:20" x14ac:dyDescent="0.25">
      <c r="A809" t="str">
        <f>_xll.BDP("463831RB Muni","ID_CUSIP")</f>
        <v>#N/A Requesting Data...</v>
      </c>
      <c r="B809" t="s">
        <v>222</v>
      </c>
      <c r="C809" t="str">
        <f>_xll.BDP("463831RB Muni","INSURANCE_STATUS")</f>
        <v>#N/A Requesting Data...</v>
      </c>
      <c r="D809" t="str">
        <f>_xll.BDP("463831RB Muni","STATE_CODE")</f>
        <v>#N/A Requesting Data...</v>
      </c>
      <c r="E809" t="str">
        <f>_xll.BDP("463831RB Muni","COUNTY_LOCATION_ISSUER")</f>
        <v>#N/A Requesting Data...</v>
      </c>
      <c r="F809" t="str">
        <f>_xll.BDP("463831RB Muni","DUR_ADJ_MID")</f>
        <v>#N/A Requesting Data...</v>
      </c>
      <c r="G809" t="str">
        <f>_xll.BDP("463831RB Muni","SPREAD_AT_ISSUANCE_TO_WORST")</f>
        <v>#N/A Requesting Data...</v>
      </c>
      <c r="H809" t="str">
        <f>_xll.BDP("463831RB Muni","ISSUE_DT")</f>
        <v>#N/A Requesting Data...</v>
      </c>
      <c r="I809" t="str">
        <f>_xll.BDS("463831RB Muni","MUNI_PURPOSE_SCHED", "aggregate=y")</f>
        <v>#N/A Requesting Data...</v>
      </c>
      <c r="J809" t="str">
        <f>_xll.BDP("463831RB Muni","CPN")</f>
        <v>#N/A Requesting Data...</v>
      </c>
      <c r="K809" t="str">
        <f>_xll.BDP("463831RB Muni","MATURITY")</f>
        <v>#N/A Requesting Data...</v>
      </c>
      <c r="L809">
        <v>705000</v>
      </c>
      <c r="M809" t="str">
        <f>_xll.BDP("463831RB Muni","YIELD_ON_ISSUE_DATE")</f>
        <v>#N/A Requesting Data...</v>
      </c>
      <c r="N809" t="str">
        <f>_xll.BDP("463831RB Muni","YTW_SPREAD_TO_MATURITY_AT_ISSU")</f>
        <v>#N/A Requesting Data...</v>
      </c>
      <c r="O809" t="str">
        <f>_xll.BDP("463831RB Muni","BVAL_MID_YTM")</f>
        <v>#N/A Requesting Data...</v>
      </c>
      <c r="P809" t="str">
        <f>_xll.BDP("463831RB Muni","MUNI_TAX_PROV")</f>
        <v>#N/A Requesting Data...</v>
      </c>
      <c r="Q809" t="str">
        <f>_xll.BDP("463831RB Muni","MUNI_FED_TAX")</f>
        <v>#N/A Requesting Data...</v>
      </c>
      <c r="R809" t="str">
        <f>_xll.BDP("463831RB Muni","MUNI_MSRB_VOLUME")</f>
        <v>#N/A Requesting Data...</v>
      </c>
      <c r="S809" t="str">
        <f>_xll.BDP("463831RB Muni","BB_COMPOSITE")</f>
        <v>#N/A Requesting Data...</v>
      </c>
      <c r="T809" t="str">
        <f>_xll.BDP("463831RB Muni","LQA_LIQUIDITY_SCORE")</f>
        <v>#N/A Requesting Data...</v>
      </c>
    </row>
    <row r="810" spans="1:20" x14ac:dyDescent="0.25">
      <c r="A810" t="str">
        <f>_xll.BDP("463831RC Muni","ID_CUSIP")</f>
        <v>#N/A Requesting Data...</v>
      </c>
      <c r="B810" t="s">
        <v>222</v>
      </c>
      <c r="C810" t="str">
        <f>_xll.BDP("463831RC Muni","INSURANCE_STATUS")</f>
        <v>#N/A Requesting Data...</v>
      </c>
      <c r="D810" t="str">
        <f>_xll.BDP("463831RC Muni","STATE_CODE")</f>
        <v>#N/A Requesting Data...</v>
      </c>
      <c r="E810" t="str">
        <f>_xll.BDP("463831RC Muni","COUNTY_LOCATION_ISSUER")</f>
        <v>#N/A Requesting Data...</v>
      </c>
      <c r="F810" t="str">
        <f>_xll.BDP("463831RC Muni","DUR_ADJ_MID")</f>
        <v>#N/A Requesting Data...</v>
      </c>
      <c r="G810" t="str">
        <f>_xll.BDP("463831RC Muni","SPREAD_AT_ISSUANCE_TO_WORST")</f>
        <v>#N/A Requesting Data...</v>
      </c>
      <c r="H810" t="str">
        <f>_xll.BDP("463831RC Muni","ISSUE_DT")</f>
        <v>#N/A Requesting Data...</v>
      </c>
      <c r="I810" t="str">
        <f>_xll.BDS("463831RC Muni","MUNI_PURPOSE_SCHED", "aggregate=y")</f>
        <v>#N/A Requesting Data...</v>
      </c>
      <c r="J810" t="str">
        <f>_xll.BDP("463831RC Muni","CPN")</f>
        <v>#N/A Requesting Data...</v>
      </c>
      <c r="K810" t="str">
        <f>_xll.BDP("463831RC Muni","MATURITY")</f>
        <v>#N/A Requesting Data...</v>
      </c>
      <c r="L810">
        <v>740000</v>
      </c>
      <c r="M810" t="str">
        <f>_xll.BDP("463831RC Muni","YIELD_ON_ISSUE_DATE")</f>
        <v>#N/A Requesting Data...</v>
      </c>
      <c r="N810" t="str">
        <f>_xll.BDP("463831RC Muni","YTW_SPREAD_TO_MATURITY_AT_ISSU")</f>
        <v>#N/A Requesting Data...</v>
      </c>
      <c r="O810" t="str">
        <f>_xll.BDP("463831RC Muni","BVAL_MID_YTM")</f>
        <v>#N/A Requesting Data...</v>
      </c>
      <c r="P810" t="str">
        <f>_xll.BDP("463831RC Muni","MUNI_TAX_PROV")</f>
        <v>#N/A Requesting Data...</v>
      </c>
      <c r="Q810" t="str">
        <f>_xll.BDP("463831RC Muni","MUNI_FED_TAX")</f>
        <v>#N/A Requesting Data...</v>
      </c>
      <c r="R810" t="str">
        <f>_xll.BDP("463831RC Muni","MUNI_MSRB_VOLUME")</f>
        <v>#N/A Requesting Data...</v>
      </c>
      <c r="S810" t="str">
        <f>_xll.BDP("463831RC Muni","BB_COMPOSITE")</f>
        <v>#N/A Requesting Data...</v>
      </c>
      <c r="T810" t="str">
        <f>_xll.BDP("463831RC Muni","LQA_LIQUIDITY_SCORE")</f>
        <v>#N/A Requesting Data...</v>
      </c>
    </row>
    <row r="811" spans="1:20" x14ac:dyDescent="0.25">
      <c r="A811" t="str">
        <f>_xll.BDP("486206LK Muni","ID_CUSIP")</f>
        <v>#N/A Requesting Data...</v>
      </c>
      <c r="B811" t="s">
        <v>223</v>
      </c>
      <c r="C811" t="str">
        <f>_xll.BDP("486206LK Muni","INSURANCE_STATUS")</f>
        <v>#N/A Requesting Data...</v>
      </c>
      <c r="D811" t="str">
        <f>_xll.BDP("486206LK Muni","STATE_CODE")</f>
        <v>#N/A Requesting Data...</v>
      </c>
      <c r="E811" t="str">
        <f>_xll.BDP("486206LK Muni","COUNTY_LOCATION_ISSUER")</f>
        <v>#N/A Requesting Data...</v>
      </c>
      <c r="F811" t="str">
        <f>_xll.BDP("486206LK Muni","DUR_ADJ_MID")</f>
        <v>#N/A Requesting Data...</v>
      </c>
      <c r="G811" t="str">
        <f>_xll.BDP("486206LK Muni","SPREAD_AT_ISSUANCE_TO_WORST")</f>
        <v>#N/A Requesting Data...</v>
      </c>
      <c r="H811" t="str">
        <f>_xll.BDP("486206LK Muni","ISSUE_DT")</f>
        <v>#N/A Requesting Data...</v>
      </c>
      <c r="I811" t="str">
        <f>_xll.BDS("486206LK Muni","MUNI_PURPOSE_SCHED", "aggregate=y")</f>
        <v>#N/A Requesting Data...</v>
      </c>
      <c r="J811" t="str">
        <f>_xll.BDP("486206LK Muni","CPN")</f>
        <v>#N/A Requesting Data...</v>
      </c>
      <c r="K811" t="str">
        <f>_xll.BDP("486206LK Muni","MATURITY")</f>
        <v>#N/A Requesting Data...</v>
      </c>
      <c r="L811">
        <v>115000</v>
      </c>
      <c r="M811" t="str">
        <f>_xll.BDP("486206LK Muni","YIELD_ON_ISSUE_DATE")</f>
        <v>#N/A Requesting Data...</v>
      </c>
      <c r="N811" t="str">
        <f>_xll.BDP("486206LK Muni","YTW_SPREAD_TO_MATURITY_AT_ISSU")</f>
        <v>#N/A Requesting Data...</v>
      </c>
      <c r="O811" t="str">
        <f>_xll.BDP("486206LK Muni","BVAL_MID_YTM")</f>
        <v>#N/A Requesting Data...</v>
      </c>
      <c r="P811" t="str">
        <f>_xll.BDP("486206LK Muni","MUNI_TAX_PROV")</f>
        <v>#N/A Requesting Data...</v>
      </c>
      <c r="Q811" t="str">
        <f>_xll.BDP("486206LK Muni","MUNI_FED_TAX")</f>
        <v>#N/A Requesting Data...</v>
      </c>
      <c r="R811" t="str">
        <f>_xll.BDP("486206LK Muni","MUNI_MSRB_VOLUME")</f>
        <v>#N/A Requesting Data...</v>
      </c>
      <c r="S811" t="str">
        <f>_xll.BDP("486206LK Muni","BB_COMPOSITE")</f>
        <v>#N/A Requesting Data...</v>
      </c>
      <c r="T811" t="str">
        <f>_xll.BDP("486206LK Muni","LQA_LIQUIDITY_SCORE")</f>
        <v>#N/A Requesting Data...</v>
      </c>
    </row>
    <row r="812" spans="1:20" x14ac:dyDescent="0.25">
      <c r="A812" t="str">
        <f>_xll.BDP("486206LL Muni","ID_CUSIP")</f>
        <v>#N/A Requesting Data...</v>
      </c>
      <c r="B812" t="s">
        <v>223</v>
      </c>
      <c r="C812" t="str">
        <f>_xll.BDP("486206LL Muni","INSURANCE_STATUS")</f>
        <v>#N/A Requesting Data...</v>
      </c>
      <c r="D812" t="str">
        <f>_xll.BDP("486206LL Muni","STATE_CODE")</f>
        <v>#N/A Requesting Data...</v>
      </c>
      <c r="E812" t="str">
        <f>_xll.BDP("486206LL Muni","COUNTY_LOCATION_ISSUER")</f>
        <v>#N/A Requesting Data...</v>
      </c>
      <c r="F812" t="str">
        <f>_xll.BDP("486206LL Muni","DUR_ADJ_MID")</f>
        <v>#N/A Requesting Data...</v>
      </c>
      <c r="G812" t="str">
        <f>_xll.BDP("486206LL Muni","SPREAD_AT_ISSUANCE_TO_WORST")</f>
        <v>#N/A Requesting Data...</v>
      </c>
      <c r="H812" t="str">
        <f>_xll.BDP("486206LL Muni","ISSUE_DT")</f>
        <v>#N/A Requesting Data...</v>
      </c>
      <c r="I812" t="str">
        <f>_xll.BDS("486206LL Muni","MUNI_PURPOSE_SCHED", "aggregate=y")</f>
        <v>#N/A Requesting Data...</v>
      </c>
      <c r="J812" t="str">
        <f>_xll.BDP("486206LL Muni","CPN")</f>
        <v>#N/A Requesting Data...</v>
      </c>
      <c r="K812" t="str">
        <f>_xll.BDP("486206LL Muni","MATURITY")</f>
        <v>#N/A Requesting Data...</v>
      </c>
      <c r="L812">
        <v>115000</v>
      </c>
      <c r="M812" t="str">
        <f>_xll.BDP("486206LL Muni","YIELD_ON_ISSUE_DATE")</f>
        <v>#N/A Requesting Data...</v>
      </c>
      <c r="N812" t="str">
        <f>_xll.BDP("486206LL Muni","YTW_SPREAD_TO_MATURITY_AT_ISSU")</f>
        <v>#N/A Requesting Data...</v>
      </c>
      <c r="O812" t="str">
        <f>_xll.BDP("486206LL Muni","BVAL_MID_YTM")</f>
        <v>#N/A Requesting Data...</v>
      </c>
      <c r="P812" t="str">
        <f>_xll.BDP("486206LL Muni","MUNI_TAX_PROV")</f>
        <v>#N/A Requesting Data...</v>
      </c>
      <c r="Q812" t="str">
        <f>_xll.BDP("486206LL Muni","MUNI_FED_TAX")</f>
        <v>#N/A Requesting Data...</v>
      </c>
      <c r="R812" t="str">
        <f>_xll.BDP("486206LL Muni","MUNI_MSRB_VOLUME")</f>
        <v>#N/A Requesting Data...</v>
      </c>
      <c r="S812" t="str">
        <f>_xll.BDP("486206LL Muni","BB_COMPOSITE")</f>
        <v>#N/A Requesting Data...</v>
      </c>
      <c r="T812" t="str">
        <f>_xll.BDP("486206LL Muni","LQA_LIQUIDITY_SCORE")</f>
        <v>#N/A Requesting Data...</v>
      </c>
    </row>
    <row r="813" spans="1:20" x14ac:dyDescent="0.25">
      <c r="A813" t="str">
        <f>_xll.BDP("486206LM Muni","ID_CUSIP")</f>
        <v>#N/A Requesting Data...</v>
      </c>
      <c r="B813" t="s">
        <v>223</v>
      </c>
      <c r="C813" t="str">
        <f>_xll.BDP("486206LM Muni","INSURANCE_STATUS")</f>
        <v>#N/A Requesting Data...</v>
      </c>
      <c r="D813" t="str">
        <f>_xll.BDP("486206LM Muni","STATE_CODE")</f>
        <v>#N/A Requesting Data...</v>
      </c>
      <c r="E813" t="str">
        <f>_xll.BDP("486206LM Muni","COUNTY_LOCATION_ISSUER")</f>
        <v>#N/A Requesting Data...</v>
      </c>
      <c r="F813" t="str">
        <f>_xll.BDP("486206LM Muni","DUR_ADJ_MID")</f>
        <v>#N/A Requesting Data...</v>
      </c>
      <c r="G813" t="str">
        <f>_xll.BDP("486206LM Muni","SPREAD_AT_ISSUANCE_TO_WORST")</f>
        <v>#N/A Requesting Data...</v>
      </c>
      <c r="H813" t="str">
        <f>_xll.BDP("486206LM Muni","ISSUE_DT")</f>
        <v>#N/A Requesting Data...</v>
      </c>
      <c r="I813" t="str">
        <f>_xll.BDS("486206LM Muni","MUNI_PURPOSE_SCHED", "aggregate=y")</f>
        <v>#N/A Requesting Data...</v>
      </c>
      <c r="J813" t="str">
        <f>_xll.BDP("486206LM Muni","CPN")</f>
        <v>#N/A Requesting Data...</v>
      </c>
      <c r="K813" t="str">
        <f>_xll.BDP("486206LM Muni","MATURITY")</f>
        <v>#N/A Requesting Data...</v>
      </c>
      <c r="L813">
        <v>125000</v>
      </c>
      <c r="M813" t="str">
        <f>_xll.BDP("486206LM Muni","YIELD_ON_ISSUE_DATE")</f>
        <v>#N/A Requesting Data...</v>
      </c>
      <c r="N813" t="str">
        <f>_xll.BDP("486206LM Muni","YTW_SPREAD_TO_MATURITY_AT_ISSU")</f>
        <v>#N/A Requesting Data...</v>
      </c>
      <c r="O813" t="str">
        <f>_xll.BDP("486206LM Muni","BVAL_MID_YTM")</f>
        <v>#N/A Requesting Data...</v>
      </c>
      <c r="P813" t="str">
        <f>_xll.BDP("486206LM Muni","MUNI_TAX_PROV")</f>
        <v>#N/A Requesting Data...</v>
      </c>
      <c r="Q813" t="str">
        <f>_xll.BDP("486206LM Muni","MUNI_FED_TAX")</f>
        <v>#N/A Requesting Data...</v>
      </c>
      <c r="R813" t="str">
        <f>_xll.BDP("486206LM Muni","MUNI_MSRB_VOLUME")</f>
        <v>#N/A Requesting Data...</v>
      </c>
      <c r="S813" t="str">
        <f>_xll.BDP("486206LM Muni","BB_COMPOSITE")</f>
        <v>#N/A Requesting Data...</v>
      </c>
      <c r="T813" t="str">
        <f>_xll.BDP("486206LM Muni","LQA_LIQUIDITY_SCORE")</f>
        <v>#N/A Requesting Data...</v>
      </c>
    </row>
    <row r="814" spans="1:20" x14ac:dyDescent="0.25">
      <c r="A814" t="str">
        <f>_xll.BDP("486206LN Muni","ID_CUSIP")</f>
        <v>#N/A Requesting Data...</v>
      </c>
      <c r="B814" t="s">
        <v>223</v>
      </c>
      <c r="C814" t="str">
        <f>_xll.BDP("486206LN Muni","INSURANCE_STATUS")</f>
        <v>#N/A Requesting Data...</v>
      </c>
      <c r="D814" t="str">
        <f>_xll.BDP("486206LN Muni","STATE_CODE")</f>
        <v>#N/A Requesting Data...</v>
      </c>
      <c r="E814" t="str">
        <f>_xll.BDP("486206LN Muni","COUNTY_LOCATION_ISSUER")</f>
        <v>#N/A Requesting Data...</v>
      </c>
      <c r="F814" t="str">
        <f>_xll.BDP("486206LN Muni","DUR_ADJ_MID")</f>
        <v>#N/A Requesting Data...</v>
      </c>
      <c r="G814" t="str">
        <f>_xll.BDP("486206LN Muni","SPREAD_AT_ISSUANCE_TO_WORST")</f>
        <v>#N/A Requesting Data...</v>
      </c>
      <c r="H814" t="str">
        <f>_xll.BDP("486206LN Muni","ISSUE_DT")</f>
        <v>#N/A Requesting Data...</v>
      </c>
      <c r="I814" t="str">
        <f>_xll.BDS("486206LN Muni","MUNI_PURPOSE_SCHED", "aggregate=y")</f>
        <v>#N/A Requesting Data...</v>
      </c>
      <c r="J814" t="str">
        <f>_xll.BDP("486206LN Muni","CPN")</f>
        <v>#N/A Requesting Data...</v>
      </c>
      <c r="K814" t="str">
        <f>_xll.BDP("486206LN Muni","MATURITY")</f>
        <v>#N/A Requesting Data...</v>
      </c>
      <c r="L814">
        <v>125000</v>
      </c>
      <c r="M814" t="str">
        <f>_xll.BDP("486206LN Muni","YIELD_ON_ISSUE_DATE")</f>
        <v>#N/A Requesting Data...</v>
      </c>
      <c r="N814" t="str">
        <f>_xll.BDP("486206LN Muni","YTW_SPREAD_TO_MATURITY_AT_ISSU")</f>
        <v>#N/A Requesting Data...</v>
      </c>
      <c r="O814" t="str">
        <f>_xll.BDP("486206LN Muni","BVAL_MID_YTM")</f>
        <v>#N/A Requesting Data...</v>
      </c>
      <c r="P814" t="str">
        <f>_xll.BDP("486206LN Muni","MUNI_TAX_PROV")</f>
        <v>#N/A Requesting Data...</v>
      </c>
      <c r="Q814" t="str">
        <f>_xll.BDP("486206LN Muni","MUNI_FED_TAX")</f>
        <v>#N/A Requesting Data...</v>
      </c>
      <c r="R814" t="str">
        <f>_xll.BDP("486206LN Muni","MUNI_MSRB_VOLUME")</f>
        <v>#N/A Requesting Data...</v>
      </c>
      <c r="S814" t="str">
        <f>_xll.BDP("486206LN Muni","BB_COMPOSITE")</f>
        <v>#N/A Requesting Data...</v>
      </c>
      <c r="T814" t="str">
        <f>_xll.BDP("486206LN Muni","LQA_LIQUIDITY_SCORE")</f>
        <v>#N/A Requesting Data...</v>
      </c>
    </row>
    <row r="815" spans="1:20" x14ac:dyDescent="0.25">
      <c r="A815" t="str">
        <f>_xll.BDP("486206LP Muni","ID_CUSIP")</f>
        <v>#N/A Requesting Data...</v>
      </c>
      <c r="B815" t="s">
        <v>223</v>
      </c>
      <c r="C815" t="str">
        <f>_xll.BDP("486206LP Muni","INSURANCE_STATUS")</f>
        <v>#N/A Requesting Data...</v>
      </c>
      <c r="D815" t="str">
        <f>_xll.BDP("486206LP Muni","STATE_CODE")</f>
        <v>#N/A Requesting Data...</v>
      </c>
      <c r="E815" t="str">
        <f>_xll.BDP("486206LP Muni","COUNTY_LOCATION_ISSUER")</f>
        <v>#N/A Requesting Data...</v>
      </c>
      <c r="F815" t="str">
        <f>_xll.BDP("486206LP Muni","DUR_ADJ_MID")</f>
        <v>#N/A Requesting Data...</v>
      </c>
      <c r="G815" t="str">
        <f>_xll.BDP("486206LP Muni","SPREAD_AT_ISSUANCE_TO_WORST")</f>
        <v>#N/A Requesting Data...</v>
      </c>
      <c r="H815" t="str">
        <f>_xll.BDP("486206LP Muni","ISSUE_DT")</f>
        <v>#N/A Requesting Data...</v>
      </c>
      <c r="I815" t="str">
        <f>_xll.BDS("486206LP Muni","MUNI_PURPOSE_SCHED", "aggregate=y")</f>
        <v>#N/A Requesting Data...</v>
      </c>
      <c r="J815" t="str">
        <f>_xll.BDP("486206LP Muni","CPN")</f>
        <v>#N/A Requesting Data...</v>
      </c>
      <c r="K815" t="str">
        <f>_xll.BDP("486206LP Muni","MATURITY")</f>
        <v>#N/A Requesting Data...</v>
      </c>
      <c r="L815">
        <v>130000</v>
      </c>
      <c r="M815" t="str">
        <f>_xll.BDP("486206LP Muni","YIELD_ON_ISSUE_DATE")</f>
        <v>#N/A Requesting Data...</v>
      </c>
      <c r="N815" t="str">
        <f>_xll.BDP("486206LP Muni","YTW_SPREAD_TO_MATURITY_AT_ISSU")</f>
        <v>#N/A Requesting Data...</v>
      </c>
      <c r="O815" t="str">
        <f>_xll.BDP("486206LP Muni","BVAL_MID_YTM")</f>
        <v>#N/A Requesting Data...</v>
      </c>
      <c r="P815" t="str">
        <f>_xll.BDP("486206LP Muni","MUNI_TAX_PROV")</f>
        <v>#N/A Requesting Data...</v>
      </c>
      <c r="Q815" t="str">
        <f>_xll.BDP("486206LP Muni","MUNI_FED_TAX")</f>
        <v>#N/A Requesting Data...</v>
      </c>
      <c r="R815" t="str">
        <f>_xll.BDP("486206LP Muni","MUNI_MSRB_VOLUME")</f>
        <v>#N/A Requesting Data...</v>
      </c>
      <c r="S815" t="str">
        <f>_xll.BDP("486206LP Muni","BB_COMPOSITE")</f>
        <v>#N/A Requesting Data...</v>
      </c>
      <c r="T815" t="str">
        <f>_xll.BDP("486206LP Muni","LQA_LIQUIDITY_SCORE")</f>
        <v>#N/A Requesting Data...</v>
      </c>
    </row>
    <row r="816" spans="1:20" x14ac:dyDescent="0.25">
      <c r="A816" t="str">
        <f>_xll.BDP("486852BW Muni","ID_CUSIP")</f>
        <v>#N/A Requesting Data...</v>
      </c>
      <c r="B816" t="s">
        <v>224</v>
      </c>
      <c r="C816" t="str">
        <f>_xll.BDP("486852BW Muni","INSURANCE_STATUS")</f>
        <v>#N/A Requesting Data...</v>
      </c>
      <c r="D816" t="str">
        <f>_xll.BDP("486852BW Muni","STATE_CODE")</f>
        <v>#N/A Requesting Data...</v>
      </c>
      <c r="E816" t="str">
        <f>_xll.BDP("486852BW Muni","COUNTY_LOCATION_ISSUER")</f>
        <v>#N/A Requesting Data...</v>
      </c>
      <c r="F816" t="str">
        <f>_xll.BDP("486852BW Muni","DUR_ADJ_MID")</f>
        <v>#N/A Requesting Data...</v>
      </c>
      <c r="G816" t="str">
        <f>_xll.BDP("486852BW Muni","SPREAD_AT_ISSUANCE_TO_WORST")</f>
        <v>#N/A Requesting Data...</v>
      </c>
      <c r="H816" t="str">
        <f>_xll.BDP("486852BW Muni","ISSUE_DT")</f>
        <v>#N/A Requesting Data...</v>
      </c>
      <c r="I816" t="str">
        <f>_xll.BDS("486852BW Muni","MUNI_PURPOSE_SCHED", "aggregate=y")</f>
        <v>#N/A Requesting Data...</v>
      </c>
      <c r="J816" t="str">
        <f>_xll.BDP("486852BW Muni","CPN")</f>
        <v>#N/A Requesting Data...</v>
      </c>
      <c r="K816" t="str">
        <f>_xll.BDP("486852BW Muni","MATURITY")</f>
        <v>#N/A Requesting Data...</v>
      </c>
      <c r="L816">
        <v>130000</v>
      </c>
      <c r="M816" t="str">
        <f>_xll.BDP("486852BW Muni","YIELD_ON_ISSUE_DATE")</f>
        <v>#N/A Requesting Data...</v>
      </c>
      <c r="N816" t="str">
        <f>_xll.BDP("486852BW Muni","YTW_SPREAD_TO_MATURITY_AT_ISSU")</f>
        <v>#N/A Requesting Data...</v>
      </c>
      <c r="O816" t="str">
        <f>_xll.BDP("486852BW Muni","BVAL_MID_YTM")</f>
        <v>#N/A Requesting Data...</v>
      </c>
      <c r="P816" t="str">
        <f>_xll.BDP("486852BW Muni","MUNI_TAX_PROV")</f>
        <v>#N/A Requesting Data...</v>
      </c>
      <c r="Q816" t="str">
        <f>_xll.BDP("486852BW Muni","MUNI_FED_TAX")</f>
        <v>#N/A Requesting Data...</v>
      </c>
      <c r="R816" t="str">
        <f>_xll.BDP("486852BW Muni","MUNI_MSRB_VOLUME")</f>
        <v>#N/A Requesting Data...</v>
      </c>
      <c r="S816" t="str">
        <f>_xll.BDP("486852BW Muni","BB_COMPOSITE")</f>
        <v>#N/A Requesting Data...</v>
      </c>
      <c r="T816" t="str">
        <f>_xll.BDP("486852BW Muni","LQA_LIQUIDITY_SCORE")</f>
        <v>#N/A Requesting Data...</v>
      </c>
    </row>
    <row r="817" spans="1:20" x14ac:dyDescent="0.25">
      <c r="A817" t="str">
        <f>_xll.BDP("486852BY Muni","ID_CUSIP")</f>
        <v>#N/A Requesting Data...</v>
      </c>
      <c r="B817" t="s">
        <v>224</v>
      </c>
      <c r="C817" t="str">
        <f>_xll.BDP("486852BY Muni","INSURANCE_STATUS")</f>
        <v>#N/A Requesting Data...</v>
      </c>
      <c r="D817" t="str">
        <f>_xll.BDP("486852BY Muni","STATE_CODE")</f>
        <v>#N/A Requesting Data...</v>
      </c>
      <c r="E817" t="str">
        <f>_xll.BDP("486852BY Muni","COUNTY_LOCATION_ISSUER")</f>
        <v>#N/A Requesting Data...</v>
      </c>
      <c r="F817" t="str">
        <f>_xll.BDP("486852BY Muni","DUR_ADJ_MID")</f>
        <v>#N/A Requesting Data...</v>
      </c>
      <c r="G817" t="str">
        <f>_xll.BDP("486852BY Muni","SPREAD_AT_ISSUANCE_TO_WORST")</f>
        <v>#N/A Requesting Data...</v>
      </c>
      <c r="H817" t="str">
        <f>_xll.BDP("486852BY Muni","ISSUE_DT")</f>
        <v>#N/A Requesting Data...</v>
      </c>
      <c r="I817" t="str">
        <f>_xll.BDS("486852BY Muni","MUNI_PURPOSE_SCHED", "aggregate=y")</f>
        <v>#N/A Requesting Data...</v>
      </c>
      <c r="J817" t="str">
        <f>_xll.BDP("486852BY Muni","CPN")</f>
        <v>#N/A Requesting Data...</v>
      </c>
      <c r="K817" t="str">
        <f>_xll.BDP("486852BY Muni","MATURITY")</f>
        <v>#N/A Requesting Data...</v>
      </c>
      <c r="L817">
        <v>140000</v>
      </c>
      <c r="M817" t="str">
        <f>_xll.BDP("486852BY Muni","YIELD_ON_ISSUE_DATE")</f>
        <v>#N/A Requesting Data...</v>
      </c>
      <c r="N817" t="str">
        <f>_xll.BDP("486852BY Muni","YTW_SPREAD_TO_MATURITY_AT_ISSU")</f>
        <v>#N/A Requesting Data...</v>
      </c>
      <c r="O817" t="str">
        <f>_xll.BDP("486852BY Muni","BVAL_MID_YTM")</f>
        <v>#N/A Requesting Data...</v>
      </c>
      <c r="P817" t="str">
        <f>_xll.BDP("486852BY Muni","MUNI_TAX_PROV")</f>
        <v>#N/A Requesting Data...</v>
      </c>
      <c r="Q817" t="str">
        <f>_xll.BDP("486852BY Muni","MUNI_FED_TAX")</f>
        <v>#N/A Requesting Data...</v>
      </c>
      <c r="R817" t="str">
        <f>_xll.BDP("486852BY Muni","MUNI_MSRB_VOLUME")</f>
        <v>#N/A Requesting Data...</v>
      </c>
      <c r="S817" t="str">
        <f>_xll.BDP("486852BY Muni","BB_COMPOSITE")</f>
        <v>#N/A Requesting Data...</v>
      </c>
      <c r="T817" t="str">
        <f>_xll.BDP("486852BY Muni","LQA_LIQUIDITY_SCORE")</f>
        <v>#N/A Requesting Data...</v>
      </c>
    </row>
    <row r="818" spans="1:20" x14ac:dyDescent="0.25">
      <c r="A818" t="str">
        <f>_xll.BDP("487226NR Muni","ID_CUSIP")</f>
        <v>#N/A Requesting Data...</v>
      </c>
      <c r="B818" t="s">
        <v>225</v>
      </c>
      <c r="C818" t="str">
        <f>_xll.BDP("487226NR Muni","INSURANCE_STATUS")</f>
        <v>#N/A Requesting Data...</v>
      </c>
      <c r="D818" t="str">
        <f>_xll.BDP("487226NR Muni","STATE_CODE")</f>
        <v>#N/A Requesting Data...</v>
      </c>
      <c r="E818" t="str">
        <f>_xll.BDP("487226NR Muni","COUNTY_LOCATION_ISSUER")</f>
        <v>#N/A Requesting Data...</v>
      </c>
      <c r="F818" t="str">
        <f>_xll.BDP("487226NR Muni","DUR_ADJ_MID")</f>
        <v>#N/A Requesting Data...</v>
      </c>
      <c r="G818" t="str">
        <f>_xll.BDP("487226NR Muni","SPREAD_AT_ISSUANCE_TO_WORST")</f>
        <v>#N/A Requesting Data...</v>
      </c>
      <c r="H818" t="str">
        <f>_xll.BDP("487226NR Muni","ISSUE_DT")</f>
        <v>#N/A Requesting Data...</v>
      </c>
      <c r="I818" t="str">
        <f>_xll.BDS("487226NR Muni","MUNI_PURPOSE_SCHED", "aggregate=y")</f>
        <v>#N/A Requesting Data...</v>
      </c>
      <c r="J818" t="str">
        <f>_xll.BDP("487226NR Muni","CPN")</f>
        <v>#N/A Requesting Data...</v>
      </c>
      <c r="K818" t="str">
        <f>_xll.BDP("487226NR Muni","MATURITY")</f>
        <v>#N/A Requesting Data...</v>
      </c>
      <c r="L818">
        <v>160000</v>
      </c>
      <c r="M818" t="str">
        <f>_xll.BDP("487226NR Muni","YIELD_ON_ISSUE_DATE")</f>
        <v>#N/A Requesting Data...</v>
      </c>
      <c r="N818" t="str">
        <f>_xll.BDP("487226NR Muni","YTW_SPREAD_TO_MATURITY_AT_ISSU")</f>
        <v>#N/A Requesting Data...</v>
      </c>
      <c r="O818" t="str">
        <f>_xll.BDP("487226NR Muni","BVAL_MID_YTM")</f>
        <v>#N/A Requesting Data...</v>
      </c>
      <c r="P818" t="str">
        <f>_xll.BDP("487226NR Muni","MUNI_TAX_PROV")</f>
        <v>#N/A Requesting Data...</v>
      </c>
      <c r="Q818" t="str">
        <f>_xll.BDP("487226NR Muni","MUNI_FED_TAX")</f>
        <v>#N/A Requesting Data...</v>
      </c>
      <c r="R818" t="str">
        <f>_xll.BDP("487226NR Muni","MUNI_MSRB_VOLUME")</f>
        <v>#N/A Requesting Data...</v>
      </c>
      <c r="S818" t="str">
        <f>_xll.BDP("487226NR Muni","BB_COMPOSITE")</f>
        <v>#N/A Requesting Data...</v>
      </c>
      <c r="T818" t="str">
        <f>_xll.BDP("487226NR Muni","LQA_LIQUIDITY_SCORE")</f>
        <v>#N/A Requesting Data...</v>
      </c>
    </row>
    <row r="819" spans="1:20" x14ac:dyDescent="0.25">
      <c r="A819" t="str">
        <f>_xll.BDP("487226NT Muni","ID_CUSIP")</f>
        <v>#N/A Requesting Data...</v>
      </c>
      <c r="B819" t="s">
        <v>225</v>
      </c>
      <c r="C819" t="str">
        <f>_xll.BDP("487226NT Muni","INSURANCE_STATUS")</f>
        <v>#N/A Requesting Data...</v>
      </c>
      <c r="D819" t="str">
        <f>_xll.BDP("487226NT Muni","STATE_CODE")</f>
        <v>#N/A Requesting Data...</v>
      </c>
      <c r="E819" t="str">
        <f>_xll.BDP("487226NT Muni","COUNTY_LOCATION_ISSUER")</f>
        <v>#N/A Requesting Data...</v>
      </c>
      <c r="F819" t="str">
        <f>_xll.BDP("487226NT Muni","DUR_ADJ_MID")</f>
        <v>#N/A Requesting Data...</v>
      </c>
      <c r="G819" t="str">
        <f>_xll.BDP("487226NT Muni","SPREAD_AT_ISSUANCE_TO_WORST")</f>
        <v>#N/A Requesting Data...</v>
      </c>
      <c r="H819" t="str">
        <f>_xll.BDP("487226NT Muni","ISSUE_DT")</f>
        <v>#N/A Requesting Data...</v>
      </c>
      <c r="I819" t="str">
        <f>_xll.BDS("487226NT Muni","MUNI_PURPOSE_SCHED", "aggregate=y")</f>
        <v>#N/A Requesting Data...</v>
      </c>
      <c r="J819" t="str">
        <f>_xll.BDP("487226NT Muni","CPN")</f>
        <v>#N/A Requesting Data...</v>
      </c>
      <c r="K819" t="str">
        <f>_xll.BDP("487226NT Muni","MATURITY")</f>
        <v>#N/A Requesting Data...</v>
      </c>
      <c r="L819">
        <v>155000</v>
      </c>
      <c r="M819" t="str">
        <f>_xll.BDP("487226NT Muni","YIELD_ON_ISSUE_DATE")</f>
        <v>#N/A Requesting Data...</v>
      </c>
      <c r="N819" t="str">
        <f>_xll.BDP("487226NT Muni","YTW_SPREAD_TO_MATURITY_AT_ISSU")</f>
        <v>#N/A Requesting Data...</v>
      </c>
      <c r="O819" t="str">
        <f>_xll.BDP("487226NT Muni","BVAL_MID_YTM")</f>
        <v>#N/A Requesting Data...</v>
      </c>
      <c r="P819" t="str">
        <f>_xll.BDP("487226NT Muni","MUNI_TAX_PROV")</f>
        <v>#N/A Requesting Data...</v>
      </c>
      <c r="Q819" t="str">
        <f>_xll.BDP("487226NT Muni","MUNI_FED_TAX")</f>
        <v>#N/A Requesting Data...</v>
      </c>
      <c r="R819" t="str">
        <f>_xll.BDP("487226NT Muni","MUNI_MSRB_VOLUME")</f>
        <v>#N/A Requesting Data...</v>
      </c>
      <c r="S819" t="str">
        <f>_xll.BDP("487226NT Muni","BB_COMPOSITE")</f>
        <v>#N/A Requesting Data...</v>
      </c>
      <c r="T819" t="str">
        <f>_xll.BDP("487226NT Muni","LQA_LIQUIDITY_SCORE")</f>
        <v>#N/A Requesting Data...</v>
      </c>
    </row>
    <row r="820" spans="1:20" x14ac:dyDescent="0.25">
      <c r="A820" t="str">
        <f>_xll.BDP("488133DA Muni","ID_CUSIP")</f>
        <v>#N/A Requesting Data...</v>
      </c>
      <c r="B820" t="s">
        <v>226</v>
      </c>
      <c r="C820" t="str">
        <f>_xll.BDP("488133DA Muni","INSURANCE_STATUS")</f>
        <v>#N/A Requesting Data...</v>
      </c>
      <c r="D820" t="str">
        <f>_xll.BDP("488133DA Muni","STATE_CODE")</f>
        <v>#N/A Requesting Data...</v>
      </c>
      <c r="E820" t="str">
        <f>_xll.BDP("488133DA Muni","COUNTY_LOCATION_ISSUER")</f>
        <v>#N/A Requesting Data...</v>
      </c>
      <c r="F820" t="str">
        <f>_xll.BDP("488133DA Muni","DUR_ADJ_MID")</f>
        <v>#N/A Requesting Data...</v>
      </c>
      <c r="G820" t="str">
        <f>_xll.BDP("488133DA Muni","SPREAD_AT_ISSUANCE_TO_WORST")</f>
        <v>#N/A Requesting Data...</v>
      </c>
      <c r="H820" t="str">
        <f>_xll.BDP("488133DA Muni","ISSUE_DT")</f>
        <v>#N/A Requesting Data...</v>
      </c>
      <c r="I820" t="str">
        <f>_xll.BDS("488133DA Muni","MUNI_PURPOSE_SCHED", "aggregate=y")</f>
        <v>#N/A Requesting Data...</v>
      </c>
      <c r="J820" t="str">
        <f>_xll.BDP("488133DA Muni","CPN")</f>
        <v>#N/A Requesting Data...</v>
      </c>
      <c r="K820" t="str">
        <f>_xll.BDP("488133DA Muni","MATURITY")</f>
        <v>#N/A Requesting Data...</v>
      </c>
      <c r="L820">
        <v>160000</v>
      </c>
      <c r="M820" t="str">
        <f>_xll.BDP("488133DA Muni","YIELD_ON_ISSUE_DATE")</f>
        <v>#N/A Requesting Data...</v>
      </c>
      <c r="N820" t="str">
        <f>_xll.BDP("488133DA Muni","YTW_SPREAD_TO_MATURITY_AT_ISSU")</f>
        <v>#N/A Requesting Data...</v>
      </c>
      <c r="O820" t="str">
        <f>_xll.BDP("488133DA Muni","BVAL_MID_YTM")</f>
        <v>#N/A Requesting Data...</v>
      </c>
      <c r="P820" t="str">
        <f>_xll.BDP("488133DA Muni","MUNI_TAX_PROV")</f>
        <v>#N/A Requesting Data...</v>
      </c>
      <c r="Q820" t="str">
        <f>_xll.BDP("488133DA Muni","MUNI_FED_TAX")</f>
        <v>#N/A Requesting Data...</v>
      </c>
      <c r="R820" t="str">
        <f>_xll.BDP("488133DA Muni","MUNI_MSRB_VOLUME")</f>
        <v>#N/A Requesting Data...</v>
      </c>
      <c r="S820" t="str">
        <f>_xll.BDP("488133DA Muni","BB_COMPOSITE")</f>
        <v>#N/A Requesting Data...</v>
      </c>
      <c r="T820" t="str">
        <f>_xll.BDP("488133DA Muni","LQA_LIQUIDITY_SCORE")</f>
        <v>#N/A Requesting Data...</v>
      </c>
    </row>
    <row r="821" spans="1:20" x14ac:dyDescent="0.25">
      <c r="A821" t="str">
        <f>_xll.BDP("483278RR Muni","ID_CUSIP")</f>
        <v>#N/A Requesting Data...</v>
      </c>
      <c r="B821" t="s">
        <v>227</v>
      </c>
      <c r="C821" t="str">
        <f>_xll.BDP("483278RR Muni","INSURANCE_STATUS")</f>
        <v>#N/A Requesting Data...</v>
      </c>
      <c r="D821" t="str">
        <f>_xll.BDP("483278RR Muni","STATE_CODE")</f>
        <v>#N/A Requesting Data...</v>
      </c>
      <c r="E821" t="str">
        <f>_xll.BDP("483278RR Muni","COUNTY_LOCATION_ISSUER")</f>
        <v>#N/A Requesting Data...</v>
      </c>
      <c r="F821" t="str">
        <f>_xll.BDP("483278RR Muni","DUR_ADJ_MID")</f>
        <v>#N/A Requesting Data...</v>
      </c>
      <c r="G821" t="str">
        <f>_xll.BDP("483278RR Muni","SPREAD_AT_ISSUANCE_TO_WORST")</f>
        <v>#N/A Requesting Data...</v>
      </c>
      <c r="H821" t="str">
        <f>_xll.BDP("483278RR Muni","ISSUE_DT")</f>
        <v>#N/A Requesting Data...</v>
      </c>
      <c r="I821" t="str">
        <f>_xll.BDS("483278RR Muni","MUNI_PURPOSE_SCHED", "aggregate=y")</f>
        <v>#N/A Requesting Data...</v>
      </c>
      <c r="J821" t="str">
        <f>_xll.BDP("483278RR Muni","CPN")</f>
        <v>#N/A Requesting Data...</v>
      </c>
      <c r="K821" t="str">
        <f>_xll.BDP("483278RR Muni","MATURITY")</f>
        <v>#N/A Requesting Data...</v>
      </c>
      <c r="L821">
        <v>260000</v>
      </c>
      <c r="M821" t="str">
        <f>_xll.BDP("483278RR Muni","YIELD_ON_ISSUE_DATE")</f>
        <v>#N/A Requesting Data...</v>
      </c>
      <c r="N821" t="str">
        <f>_xll.BDP("483278RR Muni","YTW_SPREAD_TO_MATURITY_AT_ISSU")</f>
        <v>#N/A Requesting Data...</v>
      </c>
      <c r="O821" t="str">
        <f>_xll.BDP("483278RR Muni","BVAL_MID_YTM")</f>
        <v>#N/A Requesting Data...</v>
      </c>
      <c r="P821" t="str">
        <f>_xll.BDP("483278RR Muni","MUNI_TAX_PROV")</f>
        <v>#N/A Requesting Data...</v>
      </c>
      <c r="Q821" t="str">
        <f>_xll.BDP("483278RR Muni","MUNI_FED_TAX")</f>
        <v>#N/A Requesting Data...</v>
      </c>
      <c r="R821" t="str">
        <f>_xll.BDP("483278RR Muni","MUNI_MSRB_VOLUME")</f>
        <v>#N/A Requesting Data...</v>
      </c>
      <c r="S821" t="str">
        <f>_xll.BDP("483278RR Muni","BB_COMPOSITE")</f>
        <v>#N/A Requesting Data...</v>
      </c>
      <c r="T821" t="str">
        <f>_xll.BDP("483278RR Muni","LQA_LIQUIDITY_SCORE")</f>
        <v>#N/A Requesting Data...</v>
      </c>
    </row>
    <row r="822" spans="1:20" x14ac:dyDescent="0.25">
      <c r="A822" t="str">
        <f>_xll.BDP("483278RT Muni","ID_CUSIP")</f>
        <v>#N/A Requesting Data...</v>
      </c>
      <c r="B822" t="s">
        <v>227</v>
      </c>
      <c r="C822" t="str">
        <f>_xll.BDP("483278RT Muni","INSURANCE_STATUS")</f>
        <v>#N/A Requesting Data...</v>
      </c>
      <c r="D822" t="str">
        <f>_xll.BDP("483278RT Muni","STATE_CODE")</f>
        <v>#N/A Requesting Data...</v>
      </c>
      <c r="E822" t="str">
        <f>_xll.BDP("483278RT Muni","COUNTY_LOCATION_ISSUER")</f>
        <v>#N/A Requesting Data...</v>
      </c>
      <c r="F822" t="str">
        <f>_xll.BDP("483278RT Muni","DUR_ADJ_MID")</f>
        <v>#N/A Requesting Data...</v>
      </c>
      <c r="G822" t="str">
        <f>_xll.BDP("483278RT Muni","SPREAD_AT_ISSUANCE_TO_WORST")</f>
        <v>#N/A Requesting Data...</v>
      </c>
      <c r="H822" t="str">
        <f>_xll.BDP("483278RT Muni","ISSUE_DT")</f>
        <v>#N/A Requesting Data...</v>
      </c>
      <c r="I822" t="str">
        <f>_xll.BDS("483278RT Muni","MUNI_PURPOSE_SCHED", "aggregate=y")</f>
        <v>#N/A Requesting Data...</v>
      </c>
      <c r="J822" t="str">
        <f>_xll.BDP("483278RT Muni","CPN")</f>
        <v>#N/A Requesting Data...</v>
      </c>
      <c r="K822" t="str">
        <f>_xll.BDP("483278RT Muni","MATURITY")</f>
        <v>#N/A Requesting Data...</v>
      </c>
      <c r="L822">
        <v>285000</v>
      </c>
      <c r="M822" t="str">
        <f>_xll.BDP("483278RT Muni","YIELD_ON_ISSUE_DATE")</f>
        <v>#N/A Requesting Data...</v>
      </c>
      <c r="N822" t="str">
        <f>_xll.BDP("483278RT Muni","YTW_SPREAD_TO_MATURITY_AT_ISSU")</f>
        <v>#N/A Requesting Data...</v>
      </c>
      <c r="O822" t="str">
        <f>_xll.BDP("483278RT Muni","BVAL_MID_YTM")</f>
        <v>#N/A Requesting Data...</v>
      </c>
      <c r="P822" t="str">
        <f>_xll.BDP("483278RT Muni","MUNI_TAX_PROV")</f>
        <v>#N/A Requesting Data...</v>
      </c>
      <c r="Q822" t="str">
        <f>_xll.BDP("483278RT Muni","MUNI_FED_TAX")</f>
        <v>#N/A Requesting Data...</v>
      </c>
      <c r="R822" t="str">
        <f>_xll.BDP("483278RT Muni","MUNI_MSRB_VOLUME")</f>
        <v>#N/A Requesting Data...</v>
      </c>
      <c r="S822" t="str">
        <f>_xll.BDP("483278RT Muni","BB_COMPOSITE")</f>
        <v>#N/A Requesting Data...</v>
      </c>
      <c r="T822" t="str">
        <f>_xll.BDP("483278RT Muni","LQA_LIQUIDITY_SCORE")</f>
        <v>#N/A Requesting Data...</v>
      </c>
    </row>
    <row r="823" spans="1:20" x14ac:dyDescent="0.25">
      <c r="A823" t="str">
        <f>_xll.BDP("483278RU Muni","ID_CUSIP")</f>
        <v>#N/A Requesting Data...</v>
      </c>
      <c r="B823" t="s">
        <v>227</v>
      </c>
      <c r="C823" t="str">
        <f>_xll.BDP("483278RU Muni","INSURANCE_STATUS")</f>
        <v>#N/A Requesting Data...</v>
      </c>
      <c r="D823" t="str">
        <f>_xll.BDP("483278RU Muni","STATE_CODE")</f>
        <v>#N/A Requesting Data...</v>
      </c>
      <c r="E823" t="str">
        <f>_xll.BDP("483278RU Muni","COUNTY_LOCATION_ISSUER")</f>
        <v>#N/A Requesting Data...</v>
      </c>
      <c r="F823" t="str">
        <f>_xll.BDP("483278RU Muni","DUR_ADJ_MID")</f>
        <v>#N/A Requesting Data...</v>
      </c>
      <c r="G823" t="str">
        <f>_xll.BDP("483278RU Muni","SPREAD_AT_ISSUANCE_TO_WORST")</f>
        <v>#N/A Requesting Data...</v>
      </c>
      <c r="H823" t="str">
        <f>_xll.BDP("483278RU Muni","ISSUE_DT")</f>
        <v>#N/A Requesting Data...</v>
      </c>
      <c r="I823" t="str">
        <f>_xll.BDS("483278RU Muni","MUNI_PURPOSE_SCHED", "aggregate=y")</f>
        <v>#N/A Requesting Data...</v>
      </c>
      <c r="J823" t="str">
        <f>_xll.BDP("483278RU Muni","CPN")</f>
        <v>#N/A Requesting Data...</v>
      </c>
      <c r="K823" t="str">
        <f>_xll.BDP("483278RU Muni","MATURITY")</f>
        <v>#N/A Requesting Data...</v>
      </c>
      <c r="L823">
        <v>295000</v>
      </c>
      <c r="M823" t="str">
        <f>_xll.BDP("483278RU Muni","YIELD_ON_ISSUE_DATE")</f>
        <v>#N/A Requesting Data...</v>
      </c>
      <c r="N823" t="str">
        <f>_xll.BDP("483278RU Muni","YTW_SPREAD_TO_MATURITY_AT_ISSU")</f>
        <v>#N/A Requesting Data...</v>
      </c>
      <c r="O823" t="str">
        <f>_xll.BDP("483278RU Muni","BVAL_MID_YTM")</f>
        <v>#N/A Requesting Data...</v>
      </c>
      <c r="P823" t="str">
        <f>_xll.BDP("483278RU Muni","MUNI_TAX_PROV")</f>
        <v>#N/A Requesting Data...</v>
      </c>
      <c r="Q823" t="str">
        <f>_xll.BDP("483278RU Muni","MUNI_FED_TAX")</f>
        <v>#N/A Requesting Data...</v>
      </c>
      <c r="R823" t="str">
        <f>_xll.BDP("483278RU Muni","MUNI_MSRB_VOLUME")</f>
        <v>#N/A Requesting Data...</v>
      </c>
      <c r="S823" t="str">
        <f>_xll.BDP("483278RU Muni","BB_COMPOSITE")</f>
        <v>#N/A Requesting Data...</v>
      </c>
      <c r="T823" t="str">
        <f>_xll.BDP("483278RU Muni","LQA_LIQUIDITY_SCORE")</f>
        <v>#N/A Requesting Data...</v>
      </c>
    </row>
    <row r="824" spans="1:20" x14ac:dyDescent="0.25">
      <c r="A824" t="str">
        <f>_xll.BDP("48563UBJ Muni","ID_CUSIP")</f>
        <v>#N/A Requesting Data...</v>
      </c>
      <c r="B824" t="s">
        <v>214</v>
      </c>
      <c r="C824" t="str">
        <f>_xll.BDP("48563UBJ Muni","INSURANCE_STATUS")</f>
        <v>#N/A Requesting Data...</v>
      </c>
      <c r="D824" t="str">
        <f>_xll.BDP("48563UBJ Muni","STATE_CODE")</f>
        <v>#N/A Requesting Data...</v>
      </c>
      <c r="E824" t="str">
        <f>_xll.BDP("48563UBJ Muni","COUNTY_LOCATION_ISSUER")</f>
        <v>#N/A Requesting Data...</v>
      </c>
      <c r="F824" t="str">
        <f>_xll.BDP("48563UBJ Muni","DUR_ADJ_MID")</f>
        <v>#N/A Requesting Data...</v>
      </c>
      <c r="G824" t="str">
        <f>_xll.BDP("48563UBJ Muni","SPREAD_AT_ISSUANCE_TO_WORST")</f>
        <v>#N/A Requesting Data...</v>
      </c>
      <c r="H824" t="str">
        <f>_xll.BDP("48563UBJ Muni","ISSUE_DT")</f>
        <v>#N/A Requesting Data...</v>
      </c>
      <c r="I824" t="str">
        <f>_xll.BDS("48563UBJ Muni","MUNI_PURPOSE_SCHED", "aggregate=y")</f>
        <v>#N/A Requesting Data...</v>
      </c>
      <c r="J824" t="str">
        <f>_xll.BDP("48563UBJ Muni","CPN")</f>
        <v>#N/A Requesting Data...</v>
      </c>
      <c r="K824" t="str">
        <f>_xll.BDP("48563UBJ Muni","MATURITY")</f>
        <v>#N/A Requesting Data...</v>
      </c>
      <c r="L824">
        <v>1435000</v>
      </c>
      <c r="M824" t="str">
        <f>_xll.BDP("48563UBJ Muni","YIELD_ON_ISSUE_DATE")</f>
        <v>#N/A Requesting Data...</v>
      </c>
      <c r="N824" t="str">
        <f>_xll.BDP("48563UBJ Muni","YTW_SPREAD_TO_MATURITY_AT_ISSU")</f>
        <v>#N/A Requesting Data...</v>
      </c>
      <c r="O824" t="str">
        <f>_xll.BDP("48563UBJ Muni","BVAL_MID_YTM")</f>
        <v>#N/A Requesting Data...</v>
      </c>
      <c r="P824" t="str">
        <f>_xll.BDP("48563UBJ Muni","MUNI_TAX_PROV")</f>
        <v>#N/A Requesting Data...</v>
      </c>
      <c r="Q824" t="str">
        <f>_xll.BDP("48563UBJ Muni","MUNI_FED_TAX")</f>
        <v>#N/A Requesting Data...</v>
      </c>
      <c r="R824" t="str">
        <f>_xll.BDP("48563UBJ Muni","MUNI_MSRB_VOLUME")</f>
        <v>#N/A Requesting Data...</v>
      </c>
      <c r="S824" t="str">
        <f>_xll.BDP("48563UBJ Muni","BB_COMPOSITE")</f>
        <v>#N/A Requesting Data...</v>
      </c>
      <c r="T824" t="str">
        <f>_xll.BDP("48563UBJ Muni","LQA_LIQUIDITY_SCORE")</f>
        <v>#N/A Requesting Data...</v>
      </c>
    </row>
    <row r="825" spans="1:20" x14ac:dyDescent="0.25">
      <c r="A825" t="str">
        <f>_xll.BDP("48563UBK Muni","ID_CUSIP")</f>
        <v>#N/A Requesting Data...</v>
      </c>
      <c r="B825" t="s">
        <v>214</v>
      </c>
      <c r="C825" t="str">
        <f>_xll.BDP("48563UBK Muni","INSURANCE_STATUS")</f>
        <v>#N/A Requesting Data...</v>
      </c>
      <c r="D825" t="str">
        <f>_xll.BDP("48563UBK Muni","STATE_CODE")</f>
        <v>#N/A Requesting Data...</v>
      </c>
      <c r="E825" t="str">
        <f>_xll.BDP("48563UBK Muni","COUNTY_LOCATION_ISSUER")</f>
        <v>#N/A Requesting Data...</v>
      </c>
      <c r="F825" t="str">
        <f>_xll.BDP("48563UBK Muni","DUR_ADJ_MID")</f>
        <v>#N/A Requesting Data...</v>
      </c>
      <c r="G825" t="str">
        <f>_xll.BDP("48563UBK Muni","SPREAD_AT_ISSUANCE_TO_WORST")</f>
        <v>#N/A Requesting Data...</v>
      </c>
      <c r="H825" t="str">
        <f>_xll.BDP("48563UBK Muni","ISSUE_DT")</f>
        <v>#N/A Requesting Data...</v>
      </c>
      <c r="I825" t="str">
        <f>_xll.BDS("48563UBK Muni","MUNI_PURPOSE_SCHED", "aggregate=y")</f>
        <v>#N/A Requesting Data...</v>
      </c>
      <c r="J825" t="str">
        <f>_xll.BDP("48563UBK Muni","CPN")</f>
        <v>#N/A Requesting Data...</v>
      </c>
      <c r="K825" t="str">
        <f>_xll.BDP("48563UBK Muni","MATURITY")</f>
        <v>#N/A Requesting Data...</v>
      </c>
      <c r="L825">
        <v>1510000</v>
      </c>
      <c r="M825" t="str">
        <f>_xll.BDP("48563UBK Muni","YIELD_ON_ISSUE_DATE")</f>
        <v>#N/A Requesting Data...</v>
      </c>
      <c r="N825" t="str">
        <f>_xll.BDP("48563UBK Muni","YTW_SPREAD_TO_MATURITY_AT_ISSU")</f>
        <v>#N/A Requesting Data...</v>
      </c>
      <c r="O825" t="str">
        <f>_xll.BDP("48563UBK Muni","BVAL_MID_YTM")</f>
        <v>#N/A Requesting Data...</v>
      </c>
      <c r="P825" t="str">
        <f>_xll.BDP("48563UBK Muni","MUNI_TAX_PROV")</f>
        <v>#N/A Requesting Data...</v>
      </c>
      <c r="Q825" t="str">
        <f>_xll.BDP("48563UBK Muni","MUNI_FED_TAX")</f>
        <v>#N/A Requesting Data...</v>
      </c>
      <c r="R825" t="str">
        <f>_xll.BDP("48563UBK Muni","MUNI_MSRB_VOLUME")</f>
        <v>#N/A Requesting Data...</v>
      </c>
      <c r="S825" t="str">
        <f>_xll.BDP("48563UBK Muni","BB_COMPOSITE")</f>
        <v>#N/A Requesting Data...</v>
      </c>
      <c r="T825" t="str">
        <f>_xll.BDP("48563UBK Muni","LQA_LIQUIDITY_SCORE")</f>
        <v>#N/A Requesting Data...</v>
      </c>
    </row>
    <row r="826" spans="1:20" x14ac:dyDescent="0.25">
      <c r="A826" t="str">
        <f>_xll.BDP("48563UBM Muni","ID_CUSIP")</f>
        <v>#N/A Requesting Data...</v>
      </c>
      <c r="B826" t="s">
        <v>214</v>
      </c>
      <c r="C826" t="str">
        <f>_xll.BDP("48563UBM Muni","INSURANCE_STATUS")</f>
        <v>#N/A Requesting Data...</v>
      </c>
      <c r="D826" t="str">
        <f>_xll.BDP("48563UBM Muni","STATE_CODE")</f>
        <v>#N/A Requesting Data...</v>
      </c>
      <c r="E826" t="str">
        <f>_xll.BDP("48563UBM Muni","COUNTY_LOCATION_ISSUER")</f>
        <v>#N/A Requesting Data...</v>
      </c>
      <c r="F826" t="str">
        <f>_xll.BDP("48563UBM Muni","DUR_ADJ_MID")</f>
        <v>#N/A Requesting Data...</v>
      </c>
      <c r="G826" t="str">
        <f>_xll.BDP("48563UBM Muni","SPREAD_AT_ISSUANCE_TO_WORST")</f>
        <v>#N/A Requesting Data...</v>
      </c>
      <c r="H826" t="str">
        <f>_xll.BDP("48563UBM Muni","ISSUE_DT")</f>
        <v>#N/A Requesting Data...</v>
      </c>
      <c r="I826" t="str">
        <f>_xll.BDS("48563UBM Muni","MUNI_PURPOSE_SCHED", "aggregate=y")</f>
        <v>#N/A Requesting Data...</v>
      </c>
      <c r="J826" t="str">
        <f>_xll.BDP("48563UBM Muni","CPN")</f>
        <v>#N/A Requesting Data...</v>
      </c>
      <c r="K826" t="str">
        <f>_xll.BDP("48563UBM Muni","MATURITY")</f>
        <v>#N/A Requesting Data...</v>
      </c>
      <c r="L826">
        <v>1665000</v>
      </c>
      <c r="M826" t="str">
        <f>_xll.BDP("48563UBM Muni","YIELD_ON_ISSUE_DATE")</f>
        <v>#N/A Requesting Data...</v>
      </c>
      <c r="N826" t="str">
        <f>_xll.BDP("48563UBM Muni","YTW_SPREAD_TO_MATURITY_AT_ISSU")</f>
        <v>#N/A Requesting Data...</v>
      </c>
      <c r="O826" t="str">
        <f>_xll.BDP("48563UBM Muni","BVAL_MID_YTM")</f>
        <v>#N/A Requesting Data...</v>
      </c>
      <c r="P826" t="str">
        <f>_xll.BDP("48563UBM Muni","MUNI_TAX_PROV")</f>
        <v>#N/A Requesting Data...</v>
      </c>
      <c r="Q826" t="str">
        <f>_xll.BDP("48563UBM Muni","MUNI_FED_TAX")</f>
        <v>#N/A Requesting Data...</v>
      </c>
      <c r="R826" t="str">
        <f>_xll.BDP("48563UBM Muni","MUNI_MSRB_VOLUME")</f>
        <v>#N/A Requesting Data...</v>
      </c>
      <c r="S826" t="str">
        <f>_xll.BDP("48563UBM Muni","BB_COMPOSITE")</f>
        <v>#N/A Requesting Data...</v>
      </c>
      <c r="T826" t="str">
        <f>_xll.BDP("48563UBM Muni","LQA_LIQUIDITY_SCORE")</f>
        <v>#N/A Requesting Data...</v>
      </c>
    </row>
    <row r="827" spans="1:20" x14ac:dyDescent="0.25">
      <c r="A827" t="str">
        <f>_xll.BDP("54039PAR Muni","ID_CUSIP")</f>
        <v>#N/A Requesting Data...</v>
      </c>
      <c r="B827" t="s">
        <v>228</v>
      </c>
      <c r="C827" t="str">
        <f>_xll.BDP("54039PAR Muni","INSURANCE_STATUS")</f>
        <v>#N/A Requesting Data...</v>
      </c>
      <c r="D827" t="str">
        <f>_xll.BDP("54039PAR Muni","STATE_CODE")</f>
        <v>#N/A Requesting Data...</v>
      </c>
      <c r="E827" t="str">
        <f>_xll.BDP("54039PAR Muni","COUNTY_LOCATION_ISSUER")</f>
        <v>#N/A Requesting Data...</v>
      </c>
      <c r="F827" t="str">
        <f>_xll.BDP("54039PAR Muni","DUR_ADJ_MID")</f>
        <v>#N/A Requesting Data...</v>
      </c>
      <c r="G827" t="str">
        <f>_xll.BDP("54039PAR Muni","SPREAD_AT_ISSUANCE_TO_WORST")</f>
        <v>#N/A Requesting Data...</v>
      </c>
      <c r="H827" t="str">
        <f>_xll.BDP("54039PAR Muni","ISSUE_DT")</f>
        <v>#N/A Requesting Data...</v>
      </c>
      <c r="I827" t="str">
        <f>_xll.BDS("54039PAR Muni","MUNI_PURPOSE_SCHED", "aggregate=y")</f>
        <v>#N/A Requesting Data...</v>
      </c>
      <c r="J827" t="str">
        <f>_xll.BDP("54039PAR Muni","CPN")</f>
        <v>#N/A Requesting Data...</v>
      </c>
      <c r="K827" t="str">
        <f>_xll.BDP("54039PAR Muni","MATURITY")</f>
        <v>#N/A Requesting Data...</v>
      </c>
      <c r="L827">
        <v>110000</v>
      </c>
      <c r="M827" t="str">
        <f>_xll.BDP("54039PAR Muni","YIELD_ON_ISSUE_DATE")</f>
        <v>#N/A Requesting Data...</v>
      </c>
      <c r="N827" t="str">
        <f>_xll.BDP("54039PAR Muni","YTW_SPREAD_TO_MATURITY_AT_ISSU")</f>
        <v>#N/A Requesting Data...</v>
      </c>
      <c r="O827" t="str">
        <f>_xll.BDP("54039PAR Muni","BVAL_MID_YTM")</f>
        <v>#N/A Requesting Data...</v>
      </c>
      <c r="P827" t="str">
        <f>_xll.BDP("54039PAR Muni","MUNI_TAX_PROV")</f>
        <v>#N/A Requesting Data...</v>
      </c>
      <c r="Q827" t="str">
        <f>_xll.BDP("54039PAR Muni","MUNI_FED_TAX")</f>
        <v>#N/A Requesting Data...</v>
      </c>
      <c r="R827" t="str">
        <f>_xll.BDP("54039PAR Muni","MUNI_MSRB_VOLUME")</f>
        <v>#N/A Requesting Data...</v>
      </c>
      <c r="S827" t="str">
        <f>_xll.BDP("54039PAR Muni","BB_COMPOSITE")</f>
        <v>#N/A Requesting Data...</v>
      </c>
      <c r="T827" t="str">
        <f>_xll.BDP("54039PAR Muni","LQA_LIQUIDITY_SCORE")</f>
        <v>#N/A Requesting Data...</v>
      </c>
    </row>
    <row r="828" spans="1:20" x14ac:dyDescent="0.25">
      <c r="A828" t="str">
        <f>_xll.BDP("54039PAS Muni","ID_CUSIP")</f>
        <v>#N/A Requesting Data...</v>
      </c>
      <c r="B828" t="s">
        <v>228</v>
      </c>
      <c r="C828" t="str">
        <f>_xll.BDP("54039PAS Muni","INSURANCE_STATUS")</f>
        <v>#N/A Requesting Data...</v>
      </c>
      <c r="D828" t="str">
        <f>_xll.BDP("54039PAS Muni","STATE_CODE")</f>
        <v>#N/A Requesting Data...</v>
      </c>
      <c r="E828" t="str">
        <f>_xll.BDP("54039PAS Muni","COUNTY_LOCATION_ISSUER")</f>
        <v>#N/A Requesting Data...</v>
      </c>
      <c r="F828" t="str">
        <f>_xll.BDP("54039PAS Muni","DUR_ADJ_MID")</f>
        <v>#N/A Requesting Data...</v>
      </c>
      <c r="G828" t="str">
        <f>_xll.BDP("54039PAS Muni","SPREAD_AT_ISSUANCE_TO_WORST")</f>
        <v>#N/A Requesting Data...</v>
      </c>
      <c r="H828" t="str">
        <f>_xll.BDP("54039PAS Muni","ISSUE_DT")</f>
        <v>#N/A Requesting Data...</v>
      </c>
      <c r="I828" t="str">
        <f>_xll.BDS("54039PAS Muni","MUNI_PURPOSE_SCHED", "aggregate=y")</f>
        <v>#N/A Requesting Data...</v>
      </c>
      <c r="J828" t="str">
        <f>_xll.BDP("54039PAS Muni","CPN")</f>
        <v>#N/A Requesting Data...</v>
      </c>
      <c r="K828" t="str">
        <f>_xll.BDP("54039PAS Muni","MATURITY")</f>
        <v>#N/A Requesting Data...</v>
      </c>
      <c r="L828">
        <v>120000</v>
      </c>
      <c r="M828" t="str">
        <f>_xll.BDP("54039PAS Muni","YIELD_ON_ISSUE_DATE")</f>
        <v>#N/A Requesting Data...</v>
      </c>
      <c r="N828" t="str">
        <f>_xll.BDP("54039PAS Muni","YTW_SPREAD_TO_MATURITY_AT_ISSU")</f>
        <v>#N/A Requesting Data...</v>
      </c>
      <c r="O828" t="str">
        <f>_xll.BDP("54039PAS Muni","BVAL_MID_YTM")</f>
        <v>#N/A Requesting Data...</v>
      </c>
      <c r="P828" t="str">
        <f>_xll.BDP("54039PAS Muni","MUNI_TAX_PROV")</f>
        <v>#N/A Requesting Data...</v>
      </c>
      <c r="Q828" t="str">
        <f>_xll.BDP("54039PAS Muni","MUNI_FED_TAX")</f>
        <v>#N/A Requesting Data...</v>
      </c>
      <c r="R828" t="str">
        <f>_xll.BDP("54039PAS Muni","MUNI_MSRB_VOLUME")</f>
        <v>#N/A Requesting Data...</v>
      </c>
      <c r="S828" t="str">
        <f>_xll.BDP("54039PAS Muni","BB_COMPOSITE")</f>
        <v>#N/A Requesting Data...</v>
      </c>
      <c r="T828" t="str">
        <f>_xll.BDP("54039PAS Muni","LQA_LIQUIDITY_SCORE")</f>
        <v>#N/A Requesting Data...</v>
      </c>
    </row>
    <row r="829" spans="1:20" x14ac:dyDescent="0.25">
      <c r="A829" t="str">
        <f>_xll.BDP("54039PAT Muni","ID_CUSIP")</f>
        <v>#N/A Requesting Data...</v>
      </c>
      <c r="B829" t="s">
        <v>228</v>
      </c>
      <c r="C829" t="str">
        <f>_xll.BDP("54039PAT Muni","INSURANCE_STATUS")</f>
        <v>#N/A Requesting Data...</v>
      </c>
      <c r="D829" t="str">
        <f>_xll.BDP("54039PAT Muni","STATE_CODE")</f>
        <v>#N/A Requesting Data...</v>
      </c>
      <c r="E829" t="str">
        <f>_xll.BDP("54039PAT Muni","COUNTY_LOCATION_ISSUER")</f>
        <v>#N/A Requesting Data...</v>
      </c>
      <c r="F829" t="str">
        <f>_xll.BDP("54039PAT Muni","DUR_ADJ_MID")</f>
        <v>#N/A Requesting Data...</v>
      </c>
      <c r="G829" t="str">
        <f>_xll.BDP("54039PAT Muni","SPREAD_AT_ISSUANCE_TO_WORST")</f>
        <v>#N/A Requesting Data...</v>
      </c>
      <c r="H829" t="str">
        <f>_xll.BDP("54039PAT Muni","ISSUE_DT")</f>
        <v>#N/A Requesting Data...</v>
      </c>
      <c r="I829" t="str">
        <f>_xll.BDS("54039PAT Muni","MUNI_PURPOSE_SCHED", "aggregate=y")</f>
        <v>#N/A Requesting Data...</v>
      </c>
      <c r="J829" t="str">
        <f>_xll.BDP("54039PAT Muni","CPN")</f>
        <v>#N/A Requesting Data...</v>
      </c>
      <c r="K829" t="str">
        <f>_xll.BDP("54039PAT Muni","MATURITY")</f>
        <v>#N/A Requesting Data...</v>
      </c>
      <c r="L829">
        <v>120000</v>
      </c>
      <c r="M829" t="str">
        <f>_xll.BDP("54039PAT Muni","YIELD_ON_ISSUE_DATE")</f>
        <v>#N/A Requesting Data...</v>
      </c>
      <c r="N829" t="str">
        <f>_xll.BDP("54039PAT Muni","YTW_SPREAD_TO_MATURITY_AT_ISSU")</f>
        <v>#N/A Requesting Data...</v>
      </c>
      <c r="O829" t="str">
        <f>_xll.BDP("54039PAT Muni","BVAL_MID_YTM")</f>
        <v>#N/A Requesting Data...</v>
      </c>
      <c r="P829" t="str">
        <f>_xll.BDP("54039PAT Muni","MUNI_TAX_PROV")</f>
        <v>#N/A Requesting Data...</v>
      </c>
      <c r="Q829" t="str">
        <f>_xll.BDP("54039PAT Muni","MUNI_FED_TAX")</f>
        <v>#N/A Requesting Data...</v>
      </c>
      <c r="R829" t="str">
        <f>_xll.BDP("54039PAT Muni","MUNI_MSRB_VOLUME")</f>
        <v>#N/A Requesting Data...</v>
      </c>
      <c r="S829" t="str">
        <f>_xll.BDP("54039PAT Muni","BB_COMPOSITE")</f>
        <v>#N/A Requesting Data...</v>
      </c>
      <c r="T829" t="str">
        <f>_xll.BDP("54039PAT Muni","LQA_LIQUIDITY_SCORE")</f>
        <v>#N/A Requesting Data...</v>
      </c>
    </row>
    <row r="830" spans="1:20" x14ac:dyDescent="0.25">
      <c r="A830" t="str">
        <f>_xll.BDP("54039PAU Muni","ID_CUSIP")</f>
        <v>#N/A Requesting Data...</v>
      </c>
      <c r="B830" t="s">
        <v>228</v>
      </c>
      <c r="C830" t="str">
        <f>_xll.BDP("54039PAU Muni","INSURANCE_STATUS")</f>
        <v>#N/A Requesting Data...</v>
      </c>
      <c r="D830" t="str">
        <f>_xll.BDP("54039PAU Muni","STATE_CODE")</f>
        <v>#N/A Requesting Data...</v>
      </c>
      <c r="E830" t="str">
        <f>_xll.BDP("54039PAU Muni","COUNTY_LOCATION_ISSUER")</f>
        <v>#N/A Requesting Data...</v>
      </c>
      <c r="F830" t="str">
        <f>_xll.BDP("54039PAU Muni","DUR_ADJ_MID")</f>
        <v>#N/A Requesting Data...</v>
      </c>
      <c r="G830" t="str">
        <f>_xll.BDP("54039PAU Muni","SPREAD_AT_ISSUANCE_TO_WORST")</f>
        <v>#N/A Requesting Data...</v>
      </c>
      <c r="H830" t="str">
        <f>_xll.BDP("54039PAU Muni","ISSUE_DT")</f>
        <v>#N/A Requesting Data...</v>
      </c>
      <c r="I830" t="str">
        <f>_xll.BDS("54039PAU Muni","MUNI_PURPOSE_SCHED", "aggregate=y")</f>
        <v>#N/A Requesting Data...</v>
      </c>
      <c r="J830" t="str">
        <f>_xll.BDP("54039PAU Muni","CPN")</f>
        <v>#N/A Requesting Data...</v>
      </c>
      <c r="K830" t="str">
        <f>_xll.BDP("54039PAU Muni","MATURITY")</f>
        <v>#N/A Requesting Data...</v>
      </c>
      <c r="L830">
        <v>120000</v>
      </c>
      <c r="M830" t="str">
        <f>_xll.BDP("54039PAU Muni","YIELD_ON_ISSUE_DATE")</f>
        <v>#N/A Requesting Data...</v>
      </c>
      <c r="N830" t="str">
        <f>_xll.BDP("54039PAU Muni","YTW_SPREAD_TO_MATURITY_AT_ISSU")</f>
        <v>#N/A Requesting Data...</v>
      </c>
      <c r="O830" t="str">
        <f>_xll.BDP("54039PAU Muni","BVAL_MID_YTM")</f>
        <v>#N/A Requesting Data...</v>
      </c>
      <c r="P830" t="str">
        <f>_xll.BDP("54039PAU Muni","MUNI_TAX_PROV")</f>
        <v>#N/A Requesting Data...</v>
      </c>
      <c r="Q830" t="str">
        <f>_xll.BDP("54039PAU Muni","MUNI_FED_TAX")</f>
        <v>#N/A Requesting Data...</v>
      </c>
      <c r="R830" t="str">
        <f>_xll.BDP("54039PAU Muni","MUNI_MSRB_VOLUME")</f>
        <v>#N/A Requesting Data...</v>
      </c>
      <c r="S830" t="str">
        <f>_xll.BDP("54039PAU Muni","BB_COMPOSITE")</f>
        <v>#N/A Requesting Data...</v>
      </c>
      <c r="T830" t="str">
        <f>_xll.BDP("54039PAU Muni","LQA_LIQUIDITY_SCORE")</f>
        <v>#N/A Requesting Data...</v>
      </c>
    </row>
    <row r="831" spans="1:20" x14ac:dyDescent="0.25">
      <c r="A831" t="str">
        <f>_xll.BDP("486852BV Muni","ID_CUSIP")</f>
        <v>#N/A Requesting Data...</v>
      </c>
      <c r="B831" t="s">
        <v>224</v>
      </c>
      <c r="C831" t="str">
        <f>_xll.BDP("486852BV Muni","INSURANCE_STATUS")</f>
        <v>#N/A Requesting Data...</v>
      </c>
      <c r="D831" t="str">
        <f>_xll.BDP("486852BV Muni","STATE_CODE")</f>
        <v>#N/A Requesting Data...</v>
      </c>
      <c r="E831" t="str">
        <f>_xll.BDP("486852BV Muni","COUNTY_LOCATION_ISSUER")</f>
        <v>#N/A Requesting Data...</v>
      </c>
      <c r="F831" t="str">
        <f>_xll.BDP("486852BV Muni","DUR_ADJ_MID")</f>
        <v>#N/A Requesting Data...</v>
      </c>
      <c r="G831" t="str">
        <f>_xll.BDP("486852BV Muni","SPREAD_AT_ISSUANCE_TO_WORST")</f>
        <v>#N/A Requesting Data...</v>
      </c>
      <c r="H831" t="str">
        <f>_xll.BDP("486852BV Muni","ISSUE_DT")</f>
        <v>#N/A Requesting Data...</v>
      </c>
      <c r="I831" t="str">
        <f>_xll.BDS("486852BV Muni","MUNI_PURPOSE_SCHED", "aggregate=y")</f>
        <v>#N/A Requesting Data...</v>
      </c>
      <c r="J831" t="str">
        <f>_xll.BDP("486852BV Muni","CPN")</f>
        <v>#N/A Requesting Data...</v>
      </c>
      <c r="K831" t="str">
        <f>_xll.BDP("486852BV Muni","MATURITY")</f>
        <v>#N/A Requesting Data...</v>
      </c>
      <c r="L831">
        <v>125000</v>
      </c>
      <c r="M831" t="str">
        <f>_xll.BDP("486852BV Muni","YIELD_ON_ISSUE_DATE")</f>
        <v>#N/A Requesting Data...</v>
      </c>
      <c r="N831" t="str">
        <f>_xll.BDP("486852BV Muni","YTW_SPREAD_TO_MATURITY_AT_ISSU")</f>
        <v>#N/A Requesting Data...</v>
      </c>
      <c r="O831" t="str">
        <f>_xll.BDP("486852BV Muni","BVAL_MID_YTM")</f>
        <v>#N/A Requesting Data...</v>
      </c>
      <c r="P831" t="str">
        <f>_xll.BDP("486852BV Muni","MUNI_TAX_PROV")</f>
        <v>#N/A Requesting Data...</v>
      </c>
      <c r="Q831" t="str">
        <f>_xll.BDP("486852BV Muni","MUNI_FED_TAX")</f>
        <v>#N/A Requesting Data...</v>
      </c>
      <c r="R831" t="str">
        <f>_xll.BDP("486852BV Muni","MUNI_MSRB_VOLUME")</f>
        <v>#N/A Requesting Data...</v>
      </c>
      <c r="S831" t="str">
        <f>_xll.BDP("486852BV Muni","BB_COMPOSITE")</f>
        <v>#N/A Requesting Data...</v>
      </c>
      <c r="T831" t="str">
        <f>_xll.BDP("486852BV Muni","LQA_LIQUIDITY_SCORE")</f>
        <v>#N/A Requesting Data...</v>
      </c>
    </row>
    <row r="832" spans="1:20" x14ac:dyDescent="0.25">
      <c r="A832" t="str">
        <f>_xll.BDP("486852BX Muni","ID_CUSIP")</f>
        <v>#N/A Requesting Data...</v>
      </c>
      <c r="B832" t="s">
        <v>224</v>
      </c>
      <c r="C832" t="str">
        <f>_xll.BDP("486852BX Muni","INSURANCE_STATUS")</f>
        <v>#N/A Requesting Data...</v>
      </c>
      <c r="D832" t="str">
        <f>_xll.BDP("486852BX Muni","STATE_CODE")</f>
        <v>#N/A Requesting Data...</v>
      </c>
      <c r="E832" t="str">
        <f>_xll.BDP("486852BX Muni","COUNTY_LOCATION_ISSUER")</f>
        <v>#N/A Requesting Data...</v>
      </c>
      <c r="F832" t="str">
        <f>_xll.BDP("486852BX Muni","DUR_ADJ_MID")</f>
        <v>#N/A Requesting Data...</v>
      </c>
      <c r="G832" t="str">
        <f>_xll.BDP("486852BX Muni","SPREAD_AT_ISSUANCE_TO_WORST")</f>
        <v>#N/A Requesting Data...</v>
      </c>
      <c r="H832" t="str">
        <f>_xll.BDP("486852BX Muni","ISSUE_DT")</f>
        <v>#N/A Requesting Data...</v>
      </c>
      <c r="I832" t="str">
        <f>_xll.BDS("486852BX Muni","MUNI_PURPOSE_SCHED", "aggregate=y")</f>
        <v>#N/A Requesting Data...</v>
      </c>
      <c r="J832" t="str">
        <f>_xll.BDP("486852BX Muni","CPN")</f>
        <v>#N/A Requesting Data...</v>
      </c>
      <c r="K832" t="str">
        <f>_xll.BDP("486852BX Muni","MATURITY")</f>
        <v>#N/A Requesting Data...</v>
      </c>
      <c r="L832">
        <v>140000</v>
      </c>
      <c r="M832" t="str">
        <f>_xll.BDP("486852BX Muni","YIELD_ON_ISSUE_DATE")</f>
        <v>#N/A Requesting Data...</v>
      </c>
      <c r="N832" t="str">
        <f>_xll.BDP("486852BX Muni","YTW_SPREAD_TO_MATURITY_AT_ISSU")</f>
        <v>#N/A Requesting Data...</v>
      </c>
      <c r="O832" t="str">
        <f>_xll.BDP("486852BX Muni","BVAL_MID_YTM")</f>
        <v>#N/A Requesting Data...</v>
      </c>
      <c r="P832" t="str">
        <f>_xll.BDP("486852BX Muni","MUNI_TAX_PROV")</f>
        <v>#N/A Requesting Data...</v>
      </c>
      <c r="Q832" t="str">
        <f>_xll.BDP("486852BX Muni","MUNI_FED_TAX")</f>
        <v>#N/A Requesting Data...</v>
      </c>
      <c r="R832" t="str">
        <f>_xll.BDP("486852BX Muni","MUNI_MSRB_VOLUME")</f>
        <v>#N/A Requesting Data...</v>
      </c>
      <c r="S832" t="str">
        <f>_xll.BDP("486852BX Muni","BB_COMPOSITE")</f>
        <v>#N/A Requesting Data...</v>
      </c>
      <c r="T832" t="str">
        <f>_xll.BDP("486852BX Muni","LQA_LIQUIDITY_SCORE")</f>
        <v>#N/A Requesting Data...</v>
      </c>
    </row>
    <row r="833" spans="1:20" x14ac:dyDescent="0.25">
      <c r="A833" t="str">
        <f>_xll.BDP("487226NS Muni","ID_CUSIP")</f>
        <v>#N/A Requesting Data...</v>
      </c>
      <c r="B833" t="s">
        <v>225</v>
      </c>
      <c r="C833" t="str">
        <f>_xll.BDP("487226NS Muni","INSURANCE_STATUS")</f>
        <v>#N/A Requesting Data...</v>
      </c>
      <c r="D833" t="str">
        <f>_xll.BDP("487226NS Muni","STATE_CODE")</f>
        <v>#N/A Requesting Data...</v>
      </c>
      <c r="E833" t="str">
        <f>_xll.BDP("487226NS Muni","COUNTY_LOCATION_ISSUER")</f>
        <v>#N/A Requesting Data...</v>
      </c>
      <c r="F833" t="str">
        <f>_xll.BDP("487226NS Muni","DUR_ADJ_MID")</f>
        <v>#N/A Requesting Data...</v>
      </c>
      <c r="G833" t="str">
        <f>_xll.BDP("487226NS Muni","SPREAD_AT_ISSUANCE_TO_WORST")</f>
        <v>#N/A Requesting Data...</v>
      </c>
      <c r="H833" t="str">
        <f>_xll.BDP("487226NS Muni","ISSUE_DT")</f>
        <v>#N/A Requesting Data...</v>
      </c>
      <c r="I833" t="str">
        <f>_xll.BDS("487226NS Muni","MUNI_PURPOSE_SCHED", "aggregate=y")</f>
        <v>#N/A Requesting Data...</v>
      </c>
      <c r="J833" t="str">
        <f>_xll.BDP("487226NS Muni","CPN")</f>
        <v>#N/A Requesting Data...</v>
      </c>
      <c r="K833" t="str">
        <f>_xll.BDP("487226NS Muni","MATURITY")</f>
        <v>#N/A Requesting Data...</v>
      </c>
      <c r="L833">
        <v>175000</v>
      </c>
      <c r="M833" t="str">
        <f>_xll.BDP("487226NS Muni","YIELD_ON_ISSUE_DATE")</f>
        <v>#N/A Requesting Data...</v>
      </c>
      <c r="N833" t="str">
        <f>_xll.BDP("487226NS Muni","YTW_SPREAD_TO_MATURITY_AT_ISSU")</f>
        <v>#N/A Requesting Data...</v>
      </c>
      <c r="O833" t="str">
        <f>_xll.BDP("487226NS Muni","BVAL_MID_YTM")</f>
        <v>#N/A Requesting Data...</v>
      </c>
      <c r="P833" t="str">
        <f>_xll.BDP("487226NS Muni","MUNI_TAX_PROV")</f>
        <v>#N/A Requesting Data...</v>
      </c>
      <c r="Q833" t="str">
        <f>_xll.BDP("487226NS Muni","MUNI_FED_TAX")</f>
        <v>#N/A Requesting Data...</v>
      </c>
      <c r="R833" t="str">
        <f>_xll.BDP("487226NS Muni","MUNI_MSRB_VOLUME")</f>
        <v>#N/A Requesting Data...</v>
      </c>
      <c r="S833" t="str">
        <f>_xll.BDP("487226NS Muni","BB_COMPOSITE")</f>
        <v>#N/A Requesting Data...</v>
      </c>
      <c r="T833" t="str">
        <f>_xll.BDP("487226NS Muni","LQA_LIQUIDITY_SCORE")</f>
        <v>#N/A Requesting Data...</v>
      </c>
    </row>
    <row r="834" spans="1:20" x14ac:dyDescent="0.25">
      <c r="A834" t="str">
        <f>_xll.BDP("487226NU Muni","ID_CUSIP")</f>
        <v>#N/A Requesting Data...</v>
      </c>
      <c r="B834" t="s">
        <v>225</v>
      </c>
      <c r="C834" t="str">
        <f>_xll.BDP("487226NU Muni","INSURANCE_STATUS")</f>
        <v>#N/A Requesting Data...</v>
      </c>
      <c r="D834" t="str">
        <f>_xll.BDP("487226NU Muni","STATE_CODE")</f>
        <v>#N/A Requesting Data...</v>
      </c>
      <c r="E834" t="str">
        <f>_xll.BDP("487226NU Muni","COUNTY_LOCATION_ISSUER")</f>
        <v>#N/A Requesting Data...</v>
      </c>
      <c r="F834" t="str">
        <f>_xll.BDP("487226NU Muni","DUR_ADJ_MID")</f>
        <v>#N/A Requesting Data...</v>
      </c>
      <c r="G834" t="str">
        <f>_xll.BDP("487226NU Muni","SPREAD_AT_ISSUANCE_TO_WORST")</f>
        <v>#N/A Requesting Data...</v>
      </c>
      <c r="H834" t="str">
        <f>_xll.BDP("487226NU Muni","ISSUE_DT")</f>
        <v>#N/A Requesting Data...</v>
      </c>
      <c r="I834" t="str">
        <f>_xll.BDS("487226NU Muni","MUNI_PURPOSE_SCHED", "aggregate=y")</f>
        <v>#N/A Requesting Data...</v>
      </c>
      <c r="J834" t="str">
        <f>_xll.BDP("487226NU Muni","CPN")</f>
        <v>#N/A Requesting Data...</v>
      </c>
      <c r="K834" t="str">
        <f>_xll.BDP("487226NU Muni","MATURITY")</f>
        <v>#N/A Requesting Data...</v>
      </c>
      <c r="L834">
        <v>165000</v>
      </c>
      <c r="M834" t="str">
        <f>_xll.BDP("487226NU Muni","YIELD_ON_ISSUE_DATE")</f>
        <v>#N/A Requesting Data...</v>
      </c>
      <c r="N834" t="str">
        <f>_xll.BDP("487226NU Muni","YTW_SPREAD_TO_MATURITY_AT_ISSU")</f>
        <v>#N/A Requesting Data...</v>
      </c>
      <c r="O834" t="str">
        <f>_xll.BDP("487226NU Muni","BVAL_MID_YTM")</f>
        <v>#N/A Requesting Data...</v>
      </c>
      <c r="P834" t="str">
        <f>_xll.BDP("487226NU Muni","MUNI_TAX_PROV")</f>
        <v>#N/A Requesting Data...</v>
      </c>
      <c r="Q834" t="str">
        <f>_xll.BDP("487226NU Muni","MUNI_FED_TAX")</f>
        <v>#N/A Requesting Data...</v>
      </c>
      <c r="R834" t="str">
        <f>_xll.BDP("487226NU Muni","MUNI_MSRB_VOLUME")</f>
        <v>#N/A Requesting Data...</v>
      </c>
      <c r="S834" t="str">
        <f>_xll.BDP("487226NU Muni","BB_COMPOSITE")</f>
        <v>#N/A Requesting Data...</v>
      </c>
      <c r="T834" t="str">
        <f>_xll.BDP("487226NU Muni","LQA_LIQUIDITY_SCORE")</f>
        <v>#N/A Requesting Data...</v>
      </c>
    </row>
    <row r="835" spans="1:20" x14ac:dyDescent="0.25">
      <c r="A835" t="str">
        <f>_xll.BDP("488133DB Muni","ID_CUSIP")</f>
        <v>#N/A Requesting Data...</v>
      </c>
      <c r="B835" t="s">
        <v>226</v>
      </c>
      <c r="C835" t="str">
        <f>_xll.BDP("488133DB Muni","INSURANCE_STATUS")</f>
        <v>#N/A Requesting Data...</v>
      </c>
      <c r="D835" t="str">
        <f>_xll.BDP("488133DB Muni","STATE_CODE")</f>
        <v>#N/A Requesting Data...</v>
      </c>
      <c r="E835" t="str">
        <f>_xll.BDP("488133DB Muni","COUNTY_LOCATION_ISSUER")</f>
        <v>#N/A Requesting Data...</v>
      </c>
      <c r="F835" t="str">
        <f>_xll.BDP("488133DB Muni","DUR_ADJ_MID")</f>
        <v>#N/A Requesting Data...</v>
      </c>
      <c r="G835" t="str">
        <f>_xll.BDP("488133DB Muni","SPREAD_AT_ISSUANCE_TO_WORST")</f>
        <v>#N/A Requesting Data...</v>
      </c>
      <c r="H835" t="str">
        <f>_xll.BDP("488133DB Muni","ISSUE_DT")</f>
        <v>#N/A Requesting Data...</v>
      </c>
      <c r="I835" t="str">
        <f>_xll.BDS("488133DB Muni","MUNI_PURPOSE_SCHED", "aggregate=y")</f>
        <v>#N/A Requesting Data...</v>
      </c>
      <c r="J835" t="str">
        <f>_xll.BDP("488133DB Muni","CPN")</f>
        <v>#N/A Requesting Data...</v>
      </c>
      <c r="K835" t="str">
        <f>_xll.BDP("488133DB Muni","MATURITY")</f>
        <v>#N/A Requesting Data...</v>
      </c>
      <c r="L835">
        <v>160000</v>
      </c>
      <c r="M835" t="str">
        <f>_xll.BDP("488133DB Muni","YIELD_ON_ISSUE_DATE")</f>
        <v>#N/A Requesting Data...</v>
      </c>
      <c r="N835" t="str">
        <f>_xll.BDP("488133DB Muni","YTW_SPREAD_TO_MATURITY_AT_ISSU")</f>
        <v>#N/A Requesting Data...</v>
      </c>
      <c r="O835" t="str">
        <f>_xll.BDP("488133DB Muni","BVAL_MID_YTM")</f>
        <v>#N/A Requesting Data...</v>
      </c>
      <c r="P835" t="str">
        <f>_xll.BDP("488133DB Muni","MUNI_TAX_PROV")</f>
        <v>#N/A Requesting Data...</v>
      </c>
      <c r="Q835" t="str">
        <f>_xll.BDP("488133DB Muni","MUNI_FED_TAX")</f>
        <v>#N/A Requesting Data...</v>
      </c>
      <c r="R835" t="str">
        <f>_xll.BDP("488133DB Muni","MUNI_MSRB_VOLUME")</f>
        <v>#N/A Requesting Data...</v>
      </c>
      <c r="S835" t="str">
        <f>_xll.BDP("488133DB Muni","BB_COMPOSITE")</f>
        <v>#N/A Requesting Data...</v>
      </c>
      <c r="T835" t="str">
        <f>_xll.BDP("488133DB Muni","LQA_LIQUIDITY_SCORE")</f>
        <v>#N/A Requesting Data...</v>
      </c>
    </row>
    <row r="836" spans="1:20" x14ac:dyDescent="0.25">
      <c r="A836" t="str">
        <f>_xll.BDP("48872TBE Muni","ID_CUSIP")</f>
        <v>#N/A Requesting Data...</v>
      </c>
      <c r="B836" t="s">
        <v>229</v>
      </c>
      <c r="C836" t="str">
        <f>_xll.BDP("48872TBE Muni","INSURANCE_STATUS")</f>
        <v>#N/A Requesting Data...</v>
      </c>
      <c r="D836" t="str">
        <f>_xll.BDP("48872TBE Muni","STATE_CODE")</f>
        <v>#N/A Requesting Data...</v>
      </c>
      <c r="E836" t="str">
        <f>_xll.BDP("48872TBE Muni","COUNTY_LOCATION_ISSUER")</f>
        <v>#N/A Requesting Data...</v>
      </c>
      <c r="F836" t="str">
        <f>_xll.BDP("48872TBE Muni","DUR_ADJ_MID")</f>
        <v>#N/A Requesting Data...</v>
      </c>
      <c r="G836" t="str">
        <f>_xll.BDP("48872TBE Muni","SPREAD_AT_ISSUANCE_TO_WORST")</f>
        <v>#N/A Requesting Data...</v>
      </c>
      <c r="H836" t="str">
        <f>_xll.BDP("48872TBE Muni","ISSUE_DT")</f>
        <v>#N/A Requesting Data...</v>
      </c>
      <c r="I836" t="str">
        <f>_xll.BDS("48872TBE Muni","MUNI_PURPOSE_SCHED", "aggregate=y")</f>
        <v>#N/A Requesting Data...</v>
      </c>
      <c r="J836" t="str">
        <f>_xll.BDP("48872TBE Muni","CPN")</f>
        <v>#N/A Requesting Data...</v>
      </c>
      <c r="K836" t="str">
        <f>_xll.BDP("48872TBE Muni","MATURITY")</f>
        <v>#N/A Requesting Data...</v>
      </c>
      <c r="L836">
        <v>85000</v>
      </c>
      <c r="M836" t="str">
        <f>_xll.BDP("48872TBE Muni","YIELD_ON_ISSUE_DATE")</f>
        <v>#N/A Requesting Data...</v>
      </c>
      <c r="N836" t="str">
        <f>_xll.BDP("48872TBE Muni","YTW_SPREAD_TO_MATURITY_AT_ISSU")</f>
        <v>#N/A Requesting Data...</v>
      </c>
      <c r="O836" t="str">
        <f>_xll.BDP("48872TBE Muni","BVAL_MID_YTM")</f>
        <v>#N/A Requesting Data...</v>
      </c>
      <c r="P836" t="str">
        <f>_xll.BDP("48872TBE Muni","MUNI_TAX_PROV")</f>
        <v>#N/A Requesting Data...</v>
      </c>
      <c r="Q836" t="str">
        <f>_xll.BDP("48872TBE Muni","MUNI_FED_TAX")</f>
        <v>#N/A Requesting Data...</v>
      </c>
      <c r="R836" t="str">
        <f>_xll.BDP("48872TBE Muni","MUNI_MSRB_VOLUME")</f>
        <v>#N/A Requesting Data...</v>
      </c>
      <c r="S836" t="str">
        <f>_xll.BDP("48872TBE Muni","BB_COMPOSITE")</f>
        <v>#N/A Requesting Data...</v>
      </c>
      <c r="T836" t="str">
        <f>_xll.BDP("48872TBE Muni","LQA_LIQUIDITY_SCORE")</f>
        <v>#N/A Requesting Data...</v>
      </c>
    </row>
    <row r="837" spans="1:20" x14ac:dyDescent="0.25">
      <c r="A837" t="str">
        <f>_xll.BDP("421033EZ Muni","ID_CUSIP")</f>
        <v>#N/A Requesting Data...</v>
      </c>
      <c r="B837" t="s">
        <v>230</v>
      </c>
      <c r="C837" t="str">
        <f>_xll.BDP("421033EZ Muni","INSURANCE_STATUS")</f>
        <v>#N/A Requesting Data...</v>
      </c>
      <c r="D837" t="str">
        <f>_xll.BDP("421033EZ Muni","STATE_CODE")</f>
        <v>#N/A Requesting Data...</v>
      </c>
      <c r="E837" t="str">
        <f>_xll.BDP("421033EZ Muni","COUNTY_LOCATION_ISSUER")</f>
        <v>#N/A Requesting Data...</v>
      </c>
      <c r="F837" t="str">
        <f>_xll.BDP("421033EZ Muni","DUR_ADJ_MID")</f>
        <v>#N/A Requesting Data...</v>
      </c>
      <c r="G837" t="str">
        <f>_xll.BDP("421033EZ Muni","SPREAD_AT_ISSUANCE_TO_WORST")</f>
        <v>#N/A Requesting Data...</v>
      </c>
      <c r="H837" t="str">
        <f>_xll.BDP("421033EZ Muni","ISSUE_DT")</f>
        <v>#N/A Requesting Data...</v>
      </c>
      <c r="I837" t="str">
        <f>_xll.BDS("421033EZ Muni","MUNI_PURPOSE_SCHED", "aggregate=y")</f>
        <v>#N/A Requesting Data...</v>
      </c>
      <c r="J837" t="str">
        <f>_xll.BDP("421033EZ Muni","CPN")</f>
        <v>#N/A Requesting Data...</v>
      </c>
      <c r="K837" t="str">
        <f>_xll.BDP("421033EZ Muni","MATURITY")</f>
        <v>#N/A Requesting Data...</v>
      </c>
      <c r="L837">
        <v>195000</v>
      </c>
      <c r="M837" t="str">
        <f>_xll.BDP("421033EZ Muni","YIELD_ON_ISSUE_DATE")</f>
        <v>#N/A Requesting Data...</v>
      </c>
      <c r="N837" t="str">
        <f>_xll.BDP("421033EZ Muni","YTW_SPREAD_TO_MATURITY_AT_ISSU")</f>
        <v>#N/A Requesting Data...</v>
      </c>
      <c r="O837" t="str">
        <f>_xll.BDP("421033EZ Muni","BVAL_MID_YTM")</f>
        <v>#N/A Requesting Data...</v>
      </c>
      <c r="P837" t="str">
        <f>_xll.BDP("421033EZ Muni","MUNI_TAX_PROV")</f>
        <v>#N/A Requesting Data...</v>
      </c>
      <c r="Q837" t="str">
        <f>_xll.BDP("421033EZ Muni","MUNI_FED_TAX")</f>
        <v>#N/A Requesting Data...</v>
      </c>
      <c r="R837" t="str">
        <f>_xll.BDP("421033EZ Muni","MUNI_MSRB_VOLUME")</f>
        <v>#N/A Requesting Data...</v>
      </c>
      <c r="S837" t="str">
        <f>_xll.BDP("421033EZ Muni","BB_COMPOSITE")</f>
        <v>#N/A Requesting Data...</v>
      </c>
      <c r="T837" t="str">
        <f>_xll.BDP("421033EZ Muni","LQA_LIQUIDITY_SCORE")</f>
        <v>#N/A Requesting Data...</v>
      </c>
    </row>
    <row r="838" spans="1:20" x14ac:dyDescent="0.25">
      <c r="A838" t="str">
        <f>_xll.BDP("42103PBY Muni","ID_CUSIP")</f>
        <v>#N/A Requesting Data...</v>
      </c>
      <c r="B838" t="s">
        <v>231</v>
      </c>
      <c r="C838" t="str">
        <f>_xll.BDP("42103PBY Muni","INSURANCE_STATUS")</f>
        <v>#N/A Requesting Data...</v>
      </c>
      <c r="D838" t="str">
        <f>_xll.BDP("42103PBY Muni","STATE_CODE")</f>
        <v>#N/A Requesting Data...</v>
      </c>
      <c r="E838" t="str">
        <f>_xll.BDP("42103PBY Muni","COUNTY_LOCATION_ISSUER")</f>
        <v>#N/A Requesting Data...</v>
      </c>
      <c r="F838" t="str">
        <f>_xll.BDP("42103PBY Muni","DUR_ADJ_MID")</f>
        <v>#N/A Requesting Data...</v>
      </c>
      <c r="G838" t="str">
        <f>_xll.BDP("42103PBY Muni","SPREAD_AT_ISSUANCE_TO_WORST")</f>
        <v>#N/A Requesting Data...</v>
      </c>
      <c r="H838" t="str">
        <f>_xll.BDP("42103PBY Muni","ISSUE_DT")</f>
        <v>#N/A Requesting Data...</v>
      </c>
      <c r="I838" t="str">
        <f>_xll.BDS("42103PBY Muni","MUNI_PURPOSE_SCHED", "aggregate=y")</f>
        <v>#N/A Requesting Data...</v>
      </c>
      <c r="J838" t="str">
        <f>_xll.BDP("42103PBY Muni","CPN")</f>
        <v>#N/A Requesting Data...</v>
      </c>
      <c r="K838" t="str">
        <f>_xll.BDP("42103PBY Muni","MATURITY")</f>
        <v>#N/A Requesting Data...</v>
      </c>
      <c r="L838">
        <v>195000</v>
      </c>
      <c r="M838" t="str">
        <f>_xll.BDP("42103PBY Muni","YIELD_ON_ISSUE_DATE")</f>
        <v>#N/A Requesting Data...</v>
      </c>
      <c r="N838" t="str">
        <f>_xll.BDP("42103PBY Muni","YTW_SPREAD_TO_MATURITY_AT_ISSU")</f>
        <v>#N/A Requesting Data...</v>
      </c>
      <c r="O838" t="str">
        <f>_xll.BDP("42103PBY Muni","BVAL_MID_YTM")</f>
        <v>#N/A Requesting Data...</v>
      </c>
      <c r="P838" t="str">
        <f>_xll.BDP("42103PBY Muni","MUNI_TAX_PROV")</f>
        <v>#N/A Requesting Data...</v>
      </c>
      <c r="Q838" t="str">
        <f>_xll.BDP("42103PBY Muni","MUNI_FED_TAX")</f>
        <v>#N/A Requesting Data...</v>
      </c>
      <c r="R838" t="str">
        <f>_xll.BDP("42103PBY Muni","MUNI_MSRB_VOLUME")</f>
        <v>#N/A Requesting Data...</v>
      </c>
      <c r="S838" t="str">
        <f>_xll.BDP("42103PBY Muni","BB_COMPOSITE")</f>
        <v>#N/A Requesting Data...</v>
      </c>
      <c r="T838" t="str">
        <f>_xll.BDP("42103PBY Muni","LQA_LIQUIDITY_SCORE")</f>
        <v>#N/A Requesting Data...</v>
      </c>
    </row>
    <row r="839" spans="1:20" x14ac:dyDescent="0.25">
      <c r="A839" t="str">
        <f>_xll.BDP("422460FB Muni","ID_CUSIP")</f>
        <v>#N/A Requesting Data...</v>
      </c>
      <c r="B839" t="s">
        <v>232</v>
      </c>
      <c r="C839" t="str">
        <f>_xll.BDP("422460FB Muni","INSURANCE_STATUS")</f>
        <v>#N/A Requesting Data...</v>
      </c>
      <c r="D839" t="str">
        <f>_xll.BDP("422460FB Muni","STATE_CODE")</f>
        <v>#N/A Requesting Data...</v>
      </c>
      <c r="E839" t="str">
        <f>_xll.BDP("422460FB Muni","COUNTY_LOCATION_ISSUER")</f>
        <v>#N/A Requesting Data...</v>
      </c>
      <c r="F839" t="str">
        <f>_xll.BDP("422460FB Muni","DUR_ADJ_MID")</f>
        <v>#N/A Requesting Data...</v>
      </c>
      <c r="G839" t="str">
        <f>_xll.BDP("422460FB Muni","SPREAD_AT_ISSUANCE_TO_WORST")</f>
        <v>#N/A Requesting Data...</v>
      </c>
      <c r="H839" t="str">
        <f>_xll.BDP("422460FB Muni","ISSUE_DT")</f>
        <v>#N/A Requesting Data...</v>
      </c>
      <c r="I839" t="str">
        <f>_xll.BDS("422460FB Muni","MUNI_PURPOSE_SCHED", "aggregate=y")</f>
        <v>#N/A Requesting Data...</v>
      </c>
      <c r="J839" t="str">
        <f>_xll.BDP("422460FB Muni","CPN")</f>
        <v>#N/A Requesting Data...</v>
      </c>
      <c r="K839" t="str">
        <f>_xll.BDP("422460FB Muni","MATURITY")</f>
        <v>#N/A Requesting Data...</v>
      </c>
      <c r="L839">
        <v>100000</v>
      </c>
      <c r="M839" t="str">
        <f>_xll.BDP("422460FB Muni","YIELD_ON_ISSUE_DATE")</f>
        <v>#N/A Requesting Data...</v>
      </c>
      <c r="N839" t="str">
        <f>_xll.BDP("422460FB Muni","YTW_SPREAD_TO_MATURITY_AT_ISSU")</f>
        <v>#N/A Requesting Data...</v>
      </c>
      <c r="O839" t="str">
        <f>_xll.BDP("422460FB Muni","BVAL_MID_YTM")</f>
        <v>#N/A Requesting Data...</v>
      </c>
      <c r="P839" t="str">
        <f>_xll.BDP("422460FB Muni","MUNI_TAX_PROV")</f>
        <v>#N/A Requesting Data...</v>
      </c>
      <c r="Q839" t="str">
        <f>_xll.BDP("422460FB Muni","MUNI_FED_TAX")</f>
        <v>#N/A Requesting Data...</v>
      </c>
      <c r="R839" t="str">
        <f>_xll.BDP("422460FB Muni","MUNI_MSRB_VOLUME")</f>
        <v>#N/A Requesting Data...</v>
      </c>
      <c r="S839" t="str">
        <f>_xll.BDP("422460FB Muni","BB_COMPOSITE")</f>
        <v>#N/A Requesting Data...</v>
      </c>
      <c r="T839" t="str">
        <f>_xll.BDP("422460FB Muni","LQA_LIQUIDITY_SCORE")</f>
        <v>#N/A Requesting Data...</v>
      </c>
    </row>
    <row r="840" spans="1:20" x14ac:dyDescent="0.25">
      <c r="A840" t="str">
        <f>_xll.BDP("424672XA Muni","ID_CUSIP")</f>
        <v>#N/A Requesting Data...</v>
      </c>
      <c r="B840" t="s">
        <v>233</v>
      </c>
      <c r="C840" t="str">
        <f>_xll.BDP("424672XA Muni","INSURANCE_STATUS")</f>
        <v>#N/A Requesting Data...</v>
      </c>
      <c r="D840" t="str">
        <f>_xll.BDP("424672XA Muni","STATE_CODE")</f>
        <v>#N/A Requesting Data...</v>
      </c>
      <c r="E840" t="str">
        <f>_xll.BDP("424672XA Muni","COUNTY_LOCATION_ISSUER")</f>
        <v>#N/A Requesting Data...</v>
      </c>
      <c r="F840" t="str">
        <f>_xll.BDP("424672XA Muni","DUR_ADJ_MID")</f>
        <v>#N/A Requesting Data...</v>
      </c>
      <c r="G840" t="str">
        <f>_xll.BDP("424672XA Muni","SPREAD_AT_ISSUANCE_TO_WORST")</f>
        <v>#N/A Requesting Data...</v>
      </c>
      <c r="H840" t="str">
        <f>_xll.BDP("424672XA Muni","ISSUE_DT")</f>
        <v>#N/A Requesting Data...</v>
      </c>
      <c r="I840" t="str">
        <f>_xll.BDS("424672XA Muni","MUNI_PURPOSE_SCHED", "aggregate=y")</f>
        <v>#N/A Requesting Data...</v>
      </c>
      <c r="J840" t="str">
        <f>_xll.BDP("424672XA Muni","CPN")</f>
        <v>#N/A Requesting Data...</v>
      </c>
      <c r="K840" t="str">
        <f>_xll.BDP("424672XA Muni","MATURITY")</f>
        <v>#N/A Requesting Data...</v>
      </c>
      <c r="L840">
        <v>7515000</v>
      </c>
      <c r="M840" t="str">
        <f>_xll.BDP("424672XA Muni","YIELD_ON_ISSUE_DATE")</f>
        <v>#N/A Requesting Data...</v>
      </c>
      <c r="N840" t="str">
        <f>_xll.BDP("424672XA Muni","YTW_SPREAD_TO_MATURITY_AT_ISSU")</f>
        <v>#N/A Requesting Data...</v>
      </c>
      <c r="O840" t="str">
        <f>_xll.BDP("424672XA Muni","BVAL_MID_YTM")</f>
        <v>#N/A Requesting Data...</v>
      </c>
      <c r="P840" t="str">
        <f>_xll.BDP("424672XA Muni","MUNI_TAX_PROV")</f>
        <v>#N/A Requesting Data...</v>
      </c>
      <c r="Q840" t="str">
        <f>_xll.BDP("424672XA Muni","MUNI_FED_TAX")</f>
        <v>#N/A Requesting Data...</v>
      </c>
      <c r="R840" t="str">
        <f>_xll.BDP("424672XA Muni","MUNI_MSRB_VOLUME")</f>
        <v>#N/A Requesting Data...</v>
      </c>
      <c r="S840" t="str">
        <f>_xll.BDP("424672XA Muni","BB_COMPOSITE")</f>
        <v>#N/A Requesting Data...</v>
      </c>
      <c r="T840" t="str">
        <f>_xll.BDP("424672XA Muni","LQA_LIQUIDITY_SCORE")</f>
        <v>#N/A Requesting Data...</v>
      </c>
    </row>
    <row r="841" spans="1:20" x14ac:dyDescent="0.25">
      <c r="A841" t="str">
        <f>_xll.BDP("424672XB Muni","ID_CUSIP")</f>
        <v>#N/A Requesting Data...</v>
      </c>
      <c r="B841" t="s">
        <v>233</v>
      </c>
      <c r="C841" t="str">
        <f>_xll.BDP("424672XB Muni","INSURANCE_STATUS")</f>
        <v>#N/A Requesting Data...</v>
      </c>
      <c r="D841" t="str">
        <f>_xll.BDP("424672XB Muni","STATE_CODE")</f>
        <v>#N/A Requesting Data...</v>
      </c>
      <c r="E841" t="str">
        <f>_xll.BDP("424672XB Muni","COUNTY_LOCATION_ISSUER")</f>
        <v>#N/A Requesting Data...</v>
      </c>
      <c r="F841" t="str">
        <f>_xll.BDP("424672XB Muni","DUR_ADJ_MID")</f>
        <v>#N/A Requesting Data...</v>
      </c>
      <c r="G841" t="str">
        <f>_xll.BDP("424672XB Muni","SPREAD_AT_ISSUANCE_TO_WORST")</f>
        <v>#N/A Requesting Data...</v>
      </c>
      <c r="H841" t="str">
        <f>_xll.BDP("424672XB Muni","ISSUE_DT")</f>
        <v>#N/A Requesting Data...</v>
      </c>
      <c r="I841" t="str">
        <f>_xll.BDS("424672XB Muni","MUNI_PURPOSE_SCHED", "aggregate=y")</f>
        <v>#N/A Requesting Data...</v>
      </c>
      <c r="J841" t="str">
        <f>_xll.BDP("424672XB Muni","CPN")</f>
        <v>#N/A Requesting Data...</v>
      </c>
      <c r="K841" t="str">
        <f>_xll.BDP("424672XB Muni","MATURITY")</f>
        <v>#N/A Requesting Data...</v>
      </c>
      <c r="L841">
        <v>7900000</v>
      </c>
      <c r="M841" t="str">
        <f>_xll.BDP("424672XB Muni","YIELD_ON_ISSUE_DATE")</f>
        <v>#N/A Requesting Data...</v>
      </c>
      <c r="N841" t="str">
        <f>_xll.BDP("424672XB Muni","YTW_SPREAD_TO_MATURITY_AT_ISSU")</f>
        <v>#N/A Requesting Data...</v>
      </c>
      <c r="O841" t="str">
        <f>_xll.BDP("424672XB Muni","BVAL_MID_YTM")</f>
        <v>#N/A Requesting Data...</v>
      </c>
      <c r="P841" t="str">
        <f>_xll.BDP("424672XB Muni","MUNI_TAX_PROV")</f>
        <v>#N/A Requesting Data...</v>
      </c>
      <c r="Q841" t="str">
        <f>_xll.BDP("424672XB Muni","MUNI_FED_TAX")</f>
        <v>#N/A Requesting Data...</v>
      </c>
      <c r="R841" t="str">
        <f>_xll.BDP("424672XB Muni","MUNI_MSRB_VOLUME")</f>
        <v>#N/A Requesting Data...</v>
      </c>
      <c r="S841" t="str">
        <f>_xll.BDP("424672XB Muni","BB_COMPOSITE")</f>
        <v>#N/A Requesting Data...</v>
      </c>
      <c r="T841" t="str">
        <f>_xll.BDP("424672XB Muni","LQA_LIQUIDITY_SCORE")</f>
        <v>#N/A Requesting Data...</v>
      </c>
    </row>
    <row r="842" spans="1:20" x14ac:dyDescent="0.25">
      <c r="A842" t="str">
        <f>_xll.BDP("424672XY Muni","ID_CUSIP")</f>
        <v>#N/A Requesting Data...</v>
      </c>
      <c r="B842" t="s">
        <v>233</v>
      </c>
      <c r="C842" t="str">
        <f>_xll.BDP("424672XY Muni","INSURANCE_STATUS")</f>
        <v>#N/A Requesting Data...</v>
      </c>
      <c r="D842" t="str">
        <f>_xll.BDP("424672XY Muni","STATE_CODE")</f>
        <v>#N/A Requesting Data...</v>
      </c>
      <c r="E842" t="str">
        <f>_xll.BDP("424672XY Muni","COUNTY_LOCATION_ISSUER")</f>
        <v>#N/A Requesting Data...</v>
      </c>
      <c r="F842" t="str">
        <f>_xll.BDP("424672XY Muni","DUR_ADJ_MID")</f>
        <v>#N/A Requesting Data...</v>
      </c>
      <c r="G842" t="str">
        <f>_xll.BDP("424672XY Muni","SPREAD_AT_ISSUANCE_TO_WORST")</f>
        <v>#N/A Requesting Data...</v>
      </c>
      <c r="H842" t="str">
        <f>_xll.BDP("424672XY Muni","ISSUE_DT")</f>
        <v>#N/A Requesting Data...</v>
      </c>
      <c r="I842" t="str">
        <f>_xll.BDS("424672XY Muni","MUNI_PURPOSE_SCHED", "aggregate=y")</f>
        <v>#N/A Requesting Data...</v>
      </c>
      <c r="J842" t="str">
        <f>_xll.BDP("424672XY Muni","CPN")</f>
        <v>#N/A Requesting Data...</v>
      </c>
      <c r="K842" t="str">
        <f>_xll.BDP("424672XY Muni","MATURITY")</f>
        <v>#N/A Requesting Data...</v>
      </c>
      <c r="L842">
        <v>310000</v>
      </c>
      <c r="M842" t="str">
        <f>_xll.BDP("424672XY Muni","YIELD_ON_ISSUE_DATE")</f>
        <v>#N/A Requesting Data...</v>
      </c>
      <c r="N842" t="str">
        <f>_xll.BDP("424672XY Muni","YTW_SPREAD_TO_MATURITY_AT_ISSU")</f>
        <v>#N/A Requesting Data...</v>
      </c>
      <c r="O842" t="str">
        <f>_xll.BDP("424672XY Muni","BVAL_MID_YTM")</f>
        <v>#N/A Requesting Data...</v>
      </c>
      <c r="P842" t="str">
        <f>_xll.BDP("424672XY Muni","MUNI_TAX_PROV")</f>
        <v>#N/A Requesting Data...</v>
      </c>
      <c r="Q842" t="str">
        <f>_xll.BDP("424672XY Muni","MUNI_FED_TAX")</f>
        <v>#N/A Requesting Data...</v>
      </c>
      <c r="R842" t="str">
        <f>_xll.BDP("424672XY Muni","MUNI_MSRB_VOLUME")</f>
        <v>#N/A Requesting Data...</v>
      </c>
      <c r="S842" t="str">
        <f>_xll.BDP("424672XY Muni","BB_COMPOSITE")</f>
        <v>#N/A Requesting Data...</v>
      </c>
      <c r="T842" t="str">
        <f>_xll.BDP("424672XY Muni","LQA_LIQUIDITY_SCORE")</f>
        <v>#N/A Requesting Data...</v>
      </c>
    </row>
    <row r="843" spans="1:20" x14ac:dyDescent="0.25">
      <c r="A843" t="str">
        <f>_xll.BDP("424672YA Muni","ID_CUSIP")</f>
        <v>#N/A Requesting Data...</v>
      </c>
      <c r="B843" t="s">
        <v>233</v>
      </c>
      <c r="C843" t="str">
        <f>_xll.BDP("424672YA Muni","INSURANCE_STATUS")</f>
        <v>#N/A Requesting Data...</v>
      </c>
      <c r="D843" t="str">
        <f>_xll.BDP("424672YA Muni","STATE_CODE")</f>
        <v>#N/A Requesting Data...</v>
      </c>
      <c r="E843" t="str">
        <f>_xll.BDP("424672YA Muni","COUNTY_LOCATION_ISSUER")</f>
        <v>#N/A Requesting Data...</v>
      </c>
      <c r="F843" t="str">
        <f>_xll.BDP("424672YA Muni","DUR_ADJ_MID")</f>
        <v>#N/A Requesting Data...</v>
      </c>
      <c r="G843" t="str">
        <f>_xll.BDP("424672YA Muni","SPREAD_AT_ISSUANCE_TO_WORST")</f>
        <v>#N/A Requesting Data...</v>
      </c>
      <c r="H843" t="str">
        <f>_xll.BDP("424672YA Muni","ISSUE_DT")</f>
        <v>#N/A Requesting Data...</v>
      </c>
      <c r="I843" t="str">
        <f>_xll.BDS("424672YA Muni","MUNI_PURPOSE_SCHED", "aggregate=y")</f>
        <v>#N/A Requesting Data...</v>
      </c>
      <c r="J843" t="str">
        <f>_xll.BDP("424672YA Muni","CPN")</f>
        <v>#N/A Requesting Data...</v>
      </c>
      <c r="K843" t="str">
        <f>_xll.BDP("424672YA Muni","MATURITY")</f>
        <v>#N/A Requesting Data...</v>
      </c>
      <c r="L843">
        <v>335000</v>
      </c>
      <c r="M843" t="str">
        <f>_xll.BDP("424672YA Muni","YIELD_ON_ISSUE_DATE")</f>
        <v>#N/A Requesting Data...</v>
      </c>
      <c r="N843" t="str">
        <f>_xll.BDP("424672YA Muni","YTW_SPREAD_TO_MATURITY_AT_ISSU")</f>
        <v>#N/A Requesting Data...</v>
      </c>
      <c r="O843" t="str">
        <f>_xll.BDP("424672YA Muni","BVAL_MID_YTM")</f>
        <v>#N/A Requesting Data...</v>
      </c>
      <c r="P843" t="str">
        <f>_xll.BDP("424672YA Muni","MUNI_TAX_PROV")</f>
        <v>#N/A Requesting Data...</v>
      </c>
      <c r="Q843" t="str">
        <f>_xll.BDP("424672YA Muni","MUNI_FED_TAX")</f>
        <v>#N/A Requesting Data...</v>
      </c>
      <c r="R843" t="str">
        <f>_xll.BDP("424672YA Muni","MUNI_MSRB_VOLUME")</f>
        <v>#N/A Requesting Data...</v>
      </c>
      <c r="S843" t="str">
        <f>_xll.BDP("424672YA Muni","BB_COMPOSITE")</f>
        <v>#N/A Requesting Data...</v>
      </c>
      <c r="T843" t="str">
        <f>_xll.BDP("424672YA Muni","LQA_LIQUIDITY_SCORE")</f>
        <v>#N/A Requesting Data...</v>
      </c>
    </row>
    <row r="844" spans="1:20" x14ac:dyDescent="0.25">
      <c r="A844" t="str">
        <f>_xll.BDP("424672YB Muni","ID_CUSIP")</f>
        <v>#N/A Requesting Data...</v>
      </c>
      <c r="B844" t="s">
        <v>233</v>
      </c>
      <c r="C844" t="str">
        <f>_xll.BDP("424672YB Muni","INSURANCE_STATUS")</f>
        <v>#N/A Requesting Data...</v>
      </c>
      <c r="D844" t="str">
        <f>_xll.BDP("424672YB Muni","STATE_CODE")</f>
        <v>#N/A Requesting Data...</v>
      </c>
      <c r="E844" t="str">
        <f>_xll.BDP("424672YB Muni","COUNTY_LOCATION_ISSUER")</f>
        <v>#N/A Requesting Data...</v>
      </c>
      <c r="F844" t="str">
        <f>_xll.BDP("424672YB Muni","DUR_ADJ_MID")</f>
        <v>#N/A Requesting Data...</v>
      </c>
      <c r="G844" t="str">
        <f>_xll.BDP("424672YB Muni","SPREAD_AT_ISSUANCE_TO_WORST")</f>
        <v>#N/A Requesting Data...</v>
      </c>
      <c r="H844" t="str">
        <f>_xll.BDP("424672YB Muni","ISSUE_DT")</f>
        <v>#N/A Requesting Data...</v>
      </c>
      <c r="I844" t="str">
        <f>_xll.BDS("424672YB Muni","MUNI_PURPOSE_SCHED", "aggregate=y")</f>
        <v>#N/A Requesting Data...</v>
      </c>
      <c r="J844" t="str">
        <f>_xll.BDP("424672YB Muni","CPN")</f>
        <v>#N/A Requesting Data...</v>
      </c>
      <c r="K844" t="str">
        <f>_xll.BDP("424672YB Muni","MATURITY")</f>
        <v>#N/A Requesting Data...</v>
      </c>
      <c r="L844">
        <v>345000</v>
      </c>
      <c r="M844" t="str">
        <f>_xll.BDP("424672YB Muni","YIELD_ON_ISSUE_DATE")</f>
        <v>#N/A Requesting Data...</v>
      </c>
      <c r="N844" t="str">
        <f>_xll.BDP("424672YB Muni","YTW_SPREAD_TO_MATURITY_AT_ISSU")</f>
        <v>#N/A Requesting Data...</v>
      </c>
      <c r="O844" t="str">
        <f>_xll.BDP("424672YB Muni","BVAL_MID_YTM")</f>
        <v>#N/A Requesting Data...</v>
      </c>
      <c r="P844" t="str">
        <f>_xll.BDP("424672YB Muni","MUNI_TAX_PROV")</f>
        <v>#N/A Requesting Data...</v>
      </c>
      <c r="Q844" t="str">
        <f>_xll.BDP("424672YB Muni","MUNI_FED_TAX")</f>
        <v>#N/A Requesting Data...</v>
      </c>
      <c r="R844" t="str">
        <f>_xll.BDP("424672YB Muni","MUNI_MSRB_VOLUME")</f>
        <v>#N/A Requesting Data...</v>
      </c>
      <c r="S844" t="str">
        <f>_xll.BDP("424672YB Muni","BB_COMPOSITE")</f>
        <v>#N/A Requesting Data...</v>
      </c>
      <c r="T844" t="str">
        <f>_xll.BDP("424672YB Muni","LQA_LIQUIDITY_SCORE")</f>
        <v>#N/A Requesting Data...</v>
      </c>
    </row>
    <row r="845" spans="1:20" x14ac:dyDescent="0.25">
      <c r="A845" t="str">
        <f>_xll.BDP("425208VF Muni","ID_CUSIP")</f>
        <v>#N/A Requesting Data...</v>
      </c>
      <c r="B845" t="s">
        <v>234</v>
      </c>
      <c r="C845" t="str">
        <f>_xll.BDP("425208VF Muni","INSURANCE_STATUS")</f>
        <v>#N/A Requesting Data...</v>
      </c>
      <c r="D845" t="str">
        <f>_xll.BDP("425208VF Muni","STATE_CODE")</f>
        <v>#N/A Requesting Data...</v>
      </c>
      <c r="E845" t="str">
        <f>_xll.BDP("425208VF Muni","COUNTY_LOCATION_ISSUER")</f>
        <v>#N/A Requesting Data...</v>
      </c>
      <c r="F845" t="str">
        <f>_xll.BDP("425208VF Muni","DUR_ADJ_MID")</f>
        <v>#N/A Requesting Data...</v>
      </c>
      <c r="G845" t="str">
        <f>_xll.BDP("425208VF Muni","SPREAD_AT_ISSUANCE_TO_WORST")</f>
        <v>#N/A Requesting Data...</v>
      </c>
      <c r="H845" t="str">
        <f>_xll.BDP("425208VF Muni","ISSUE_DT")</f>
        <v>#N/A Requesting Data...</v>
      </c>
      <c r="I845" t="str">
        <f>_xll.BDS("425208VF Muni","MUNI_PURPOSE_SCHED", "aggregate=y")</f>
        <v>#N/A Requesting Data...</v>
      </c>
      <c r="J845" t="str">
        <f>_xll.BDP("425208VF Muni","CPN")</f>
        <v>#N/A Requesting Data...</v>
      </c>
      <c r="K845" t="str">
        <f>_xll.BDP("425208VF Muni","MATURITY")</f>
        <v>#N/A Requesting Data...</v>
      </c>
      <c r="L845">
        <v>340000</v>
      </c>
      <c r="M845" t="str">
        <f>_xll.BDP("425208VF Muni","YIELD_ON_ISSUE_DATE")</f>
        <v>#N/A Requesting Data...</v>
      </c>
      <c r="N845" t="str">
        <f>_xll.BDP("425208VF Muni","YTW_SPREAD_TO_MATURITY_AT_ISSU")</f>
        <v>#N/A Requesting Data...</v>
      </c>
      <c r="O845" t="str">
        <f>_xll.BDP("425208VF Muni","BVAL_MID_YTM")</f>
        <v>#N/A Requesting Data...</v>
      </c>
      <c r="P845" t="str">
        <f>_xll.BDP("425208VF Muni","MUNI_TAX_PROV")</f>
        <v>#N/A Requesting Data...</v>
      </c>
      <c r="Q845" t="str">
        <f>_xll.BDP("425208VF Muni","MUNI_FED_TAX")</f>
        <v>#N/A Requesting Data...</v>
      </c>
      <c r="R845" t="str">
        <f>_xll.BDP("425208VF Muni","MUNI_MSRB_VOLUME")</f>
        <v>#N/A Requesting Data...</v>
      </c>
      <c r="S845" t="str">
        <f>_xll.BDP("425208VF Muni","BB_COMPOSITE")</f>
        <v>#N/A Requesting Data...</v>
      </c>
      <c r="T845" t="str">
        <f>_xll.BDP("425208VF Muni","LQA_LIQUIDITY_SCORE")</f>
        <v>#N/A Requesting Data...</v>
      </c>
    </row>
    <row r="846" spans="1:20" x14ac:dyDescent="0.25">
      <c r="A846" t="str">
        <f>_xll.BDP("425208VG Muni","ID_CUSIP")</f>
        <v>#N/A Requesting Data...</v>
      </c>
      <c r="B846" t="s">
        <v>234</v>
      </c>
      <c r="C846" t="str">
        <f>_xll.BDP("425208VG Muni","INSURANCE_STATUS")</f>
        <v>#N/A Requesting Data...</v>
      </c>
      <c r="D846" t="str">
        <f>_xll.BDP("425208VG Muni","STATE_CODE")</f>
        <v>#N/A Requesting Data...</v>
      </c>
      <c r="E846" t="str">
        <f>_xll.BDP("425208VG Muni","COUNTY_LOCATION_ISSUER")</f>
        <v>#N/A Requesting Data...</v>
      </c>
      <c r="F846" t="str">
        <f>_xll.BDP("425208VG Muni","DUR_ADJ_MID")</f>
        <v>#N/A Requesting Data...</v>
      </c>
      <c r="G846" t="str">
        <f>_xll.BDP("425208VG Muni","SPREAD_AT_ISSUANCE_TO_WORST")</f>
        <v>#N/A Requesting Data...</v>
      </c>
      <c r="H846" t="str">
        <f>_xll.BDP("425208VG Muni","ISSUE_DT")</f>
        <v>#N/A Requesting Data...</v>
      </c>
      <c r="I846" t="str">
        <f>_xll.BDS("425208VG Muni","MUNI_PURPOSE_SCHED", "aggregate=y")</f>
        <v>#N/A Requesting Data...</v>
      </c>
      <c r="J846" t="str">
        <f>_xll.BDP("425208VG Muni","CPN")</f>
        <v>#N/A Requesting Data...</v>
      </c>
      <c r="K846" t="str">
        <f>_xll.BDP("425208VG Muni","MATURITY")</f>
        <v>#N/A Requesting Data...</v>
      </c>
      <c r="L846">
        <v>350000</v>
      </c>
      <c r="M846" t="str">
        <f>_xll.BDP("425208VG Muni","YIELD_ON_ISSUE_DATE")</f>
        <v>#N/A Requesting Data...</v>
      </c>
      <c r="N846" t="str">
        <f>_xll.BDP("425208VG Muni","YTW_SPREAD_TO_MATURITY_AT_ISSU")</f>
        <v>#N/A Requesting Data...</v>
      </c>
      <c r="O846" t="str">
        <f>_xll.BDP("425208VG Muni","BVAL_MID_YTM")</f>
        <v>#N/A Requesting Data...</v>
      </c>
      <c r="P846" t="str">
        <f>_xll.BDP("425208VG Muni","MUNI_TAX_PROV")</f>
        <v>#N/A Requesting Data...</v>
      </c>
      <c r="Q846" t="str">
        <f>_xll.BDP("425208VG Muni","MUNI_FED_TAX")</f>
        <v>#N/A Requesting Data...</v>
      </c>
      <c r="R846" t="str">
        <f>_xll.BDP("425208VG Muni","MUNI_MSRB_VOLUME")</f>
        <v>#N/A Requesting Data...</v>
      </c>
      <c r="S846" t="str">
        <f>_xll.BDP("425208VG Muni","BB_COMPOSITE")</f>
        <v>#N/A Requesting Data...</v>
      </c>
      <c r="T846" t="str">
        <f>_xll.BDP("425208VG Muni","LQA_LIQUIDITY_SCORE")</f>
        <v>#N/A Requesting Data...</v>
      </c>
    </row>
    <row r="847" spans="1:20" x14ac:dyDescent="0.25">
      <c r="A847" t="str">
        <f>_xll.BDP("425208VH Muni","ID_CUSIP")</f>
        <v>#N/A Requesting Data...</v>
      </c>
      <c r="B847" t="s">
        <v>234</v>
      </c>
      <c r="C847" t="str">
        <f>_xll.BDP("425208VH Muni","INSURANCE_STATUS")</f>
        <v>#N/A Requesting Data...</v>
      </c>
      <c r="D847" t="str">
        <f>_xll.BDP("425208VH Muni","STATE_CODE")</f>
        <v>#N/A Requesting Data...</v>
      </c>
      <c r="E847" t="str">
        <f>_xll.BDP("425208VH Muni","COUNTY_LOCATION_ISSUER")</f>
        <v>#N/A Requesting Data...</v>
      </c>
      <c r="F847" t="str">
        <f>_xll.BDP("425208VH Muni","DUR_ADJ_MID")</f>
        <v>#N/A Requesting Data...</v>
      </c>
      <c r="G847" t="str">
        <f>_xll.BDP("425208VH Muni","SPREAD_AT_ISSUANCE_TO_WORST")</f>
        <v>#N/A Requesting Data...</v>
      </c>
      <c r="H847" t="str">
        <f>_xll.BDP("425208VH Muni","ISSUE_DT")</f>
        <v>#N/A Requesting Data...</v>
      </c>
      <c r="I847" t="str">
        <f>_xll.BDS("425208VH Muni","MUNI_PURPOSE_SCHED", "aggregate=y")</f>
        <v>#N/A Requesting Data...</v>
      </c>
      <c r="J847" t="str">
        <f>_xll.BDP("425208VH Muni","CPN")</f>
        <v>#N/A Requesting Data...</v>
      </c>
      <c r="K847" t="str">
        <f>_xll.BDP("425208VH Muni","MATURITY")</f>
        <v>#N/A Requesting Data...</v>
      </c>
      <c r="L847">
        <v>365000</v>
      </c>
      <c r="M847" t="str">
        <f>_xll.BDP("425208VH Muni","YIELD_ON_ISSUE_DATE")</f>
        <v>#N/A Requesting Data...</v>
      </c>
      <c r="N847" t="str">
        <f>_xll.BDP("425208VH Muni","YTW_SPREAD_TO_MATURITY_AT_ISSU")</f>
        <v>#N/A Requesting Data...</v>
      </c>
      <c r="O847" t="str">
        <f>_xll.BDP("425208VH Muni","BVAL_MID_YTM")</f>
        <v>#N/A Requesting Data...</v>
      </c>
      <c r="P847" t="str">
        <f>_xll.BDP("425208VH Muni","MUNI_TAX_PROV")</f>
        <v>#N/A Requesting Data...</v>
      </c>
      <c r="Q847" t="str">
        <f>_xll.BDP("425208VH Muni","MUNI_FED_TAX")</f>
        <v>#N/A Requesting Data...</v>
      </c>
      <c r="R847" t="str">
        <f>_xll.BDP("425208VH Muni","MUNI_MSRB_VOLUME")</f>
        <v>#N/A Requesting Data...</v>
      </c>
      <c r="S847" t="str">
        <f>_xll.BDP("425208VH Muni","BB_COMPOSITE")</f>
        <v>#N/A Requesting Data...</v>
      </c>
      <c r="T847" t="str">
        <f>_xll.BDP("425208VH Muni","LQA_LIQUIDITY_SCORE")</f>
        <v>#N/A Requesting Data...</v>
      </c>
    </row>
    <row r="848" spans="1:20" x14ac:dyDescent="0.25">
      <c r="A848" t="str">
        <f>_xll.BDP("425208VJ Muni","ID_CUSIP")</f>
        <v>#N/A Requesting Data...</v>
      </c>
      <c r="B848" t="s">
        <v>234</v>
      </c>
      <c r="C848" t="str">
        <f>_xll.BDP("425208VJ Muni","INSURANCE_STATUS")</f>
        <v>#N/A Requesting Data...</v>
      </c>
      <c r="D848" t="str">
        <f>_xll.BDP("425208VJ Muni","STATE_CODE")</f>
        <v>#N/A Requesting Data...</v>
      </c>
      <c r="E848" t="str">
        <f>_xll.BDP("425208VJ Muni","COUNTY_LOCATION_ISSUER")</f>
        <v>#N/A Requesting Data...</v>
      </c>
      <c r="F848" t="str">
        <f>_xll.BDP("425208VJ Muni","DUR_ADJ_MID")</f>
        <v>#N/A Requesting Data...</v>
      </c>
      <c r="G848" t="str">
        <f>_xll.BDP("425208VJ Muni","SPREAD_AT_ISSUANCE_TO_WORST")</f>
        <v>#N/A Requesting Data...</v>
      </c>
      <c r="H848" t="str">
        <f>_xll.BDP("425208VJ Muni","ISSUE_DT")</f>
        <v>#N/A Requesting Data...</v>
      </c>
      <c r="I848" t="str">
        <f>_xll.BDS("425208VJ Muni","MUNI_PURPOSE_SCHED", "aggregate=y")</f>
        <v>#N/A Requesting Data...</v>
      </c>
      <c r="J848" t="str">
        <f>_xll.BDP("425208VJ Muni","CPN")</f>
        <v>#N/A Requesting Data...</v>
      </c>
      <c r="K848" t="str">
        <f>_xll.BDP("425208VJ Muni","MATURITY")</f>
        <v>#N/A Requesting Data...</v>
      </c>
      <c r="L848">
        <v>380000</v>
      </c>
      <c r="M848" t="str">
        <f>_xll.BDP("425208VJ Muni","YIELD_ON_ISSUE_DATE")</f>
        <v>#N/A Requesting Data...</v>
      </c>
      <c r="N848" t="str">
        <f>_xll.BDP("425208VJ Muni","YTW_SPREAD_TO_MATURITY_AT_ISSU")</f>
        <v>#N/A Requesting Data...</v>
      </c>
      <c r="O848" t="str">
        <f>_xll.BDP("425208VJ Muni","BVAL_MID_YTM")</f>
        <v>#N/A Requesting Data...</v>
      </c>
      <c r="P848" t="str">
        <f>_xll.BDP("425208VJ Muni","MUNI_TAX_PROV")</f>
        <v>#N/A Requesting Data...</v>
      </c>
      <c r="Q848" t="str">
        <f>_xll.BDP("425208VJ Muni","MUNI_FED_TAX")</f>
        <v>#N/A Requesting Data...</v>
      </c>
      <c r="R848" t="str">
        <f>_xll.BDP("425208VJ Muni","MUNI_MSRB_VOLUME")</f>
        <v>#N/A Requesting Data...</v>
      </c>
      <c r="S848" t="str">
        <f>_xll.BDP("425208VJ Muni","BB_COMPOSITE")</f>
        <v>#N/A Requesting Data...</v>
      </c>
      <c r="T848" t="str">
        <f>_xll.BDP("425208VJ Muni","LQA_LIQUIDITY_SCORE")</f>
        <v>#N/A Requesting Data...</v>
      </c>
    </row>
    <row r="849" spans="1:20" x14ac:dyDescent="0.25">
      <c r="A849" t="str">
        <f>_xll.BDP("425208VK Muni","ID_CUSIP")</f>
        <v>#N/A Requesting Data...</v>
      </c>
      <c r="B849" t="s">
        <v>234</v>
      </c>
      <c r="C849" t="str">
        <f>_xll.BDP("425208VK Muni","INSURANCE_STATUS")</f>
        <v>#N/A Requesting Data...</v>
      </c>
      <c r="D849" t="str">
        <f>_xll.BDP("425208VK Muni","STATE_CODE")</f>
        <v>#N/A Requesting Data...</v>
      </c>
      <c r="E849" t="str">
        <f>_xll.BDP("425208VK Muni","COUNTY_LOCATION_ISSUER")</f>
        <v>#N/A Requesting Data...</v>
      </c>
      <c r="F849" t="str">
        <f>_xll.BDP("425208VK Muni","DUR_ADJ_MID")</f>
        <v>#N/A Requesting Data...</v>
      </c>
      <c r="G849" t="str">
        <f>_xll.BDP("425208VK Muni","SPREAD_AT_ISSUANCE_TO_WORST")</f>
        <v>#N/A Requesting Data...</v>
      </c>
      <c r="H849" t="str">
        <f>_xll.BDP("425208VK Muni","ISSUE_DT")</f>
        <v>#N/A Requesting Data...</v>
      </c>
      <c r="I849" t="str">
        <f>_xll.BDS("425208VK Muni","MUNI_PURPOSE_SCHED", "aggregate=y")</f>
        <v>#N/A Requesting Data...</v>
      </c>
      <c r="J849" t="str">
        <f>_xll.BDP("425208VK Muni","CPN")</f>
        <v>#N/A Requesting Data...</v>
      </c>
      <c r="K849" t="str">
        <f>_xll.BDP("425208VK Muni","MATURITY")</f>
        <v>#N/A Requesting Data...</v>
      </c>
      <c r="L849">
        <v>395000</v>
      </c>
      <c r="M849" t="str">
        <f>_xll.BDP("425208VK Muni","YIELD_ON_ISSUE_DATE")</f>
        <v>#N/A Requesting Data...</v>
      </c>
      <c r="N849" t="str">
        <f>_xll.BDP("425208VK Muni","YTW_SPREAD_TO_MATURITY_AT_ISSU")</f>
        <v>#N/A Requesting Data...</v>
      </c>
      <c r="O849" t="str">
        <f>_xll.BDP("425208VK Muni","BVAL_MID_YTM")</f>
        <v>#N/A Requesting Data...</v>
      </c>
      <c r="P849" t="str">
        <f>_xll.BDP("425208VK Muni","MUNI_TAX_PROV")</f>
        <v>#N/A Requesting Data...</v>
      </c>
      <c r="Q849" t="str">
        <f>_xll.BDP("425208VK Muni","MUNI_FED_TAX")</f>
        <v>#N/A Requesting Data...</v>
      </c>
      <c r="R849" t="str">
        <f>_xll.BDP("425208VK Muni","MUNI_MSRB_VOLUME")</f>
        <v>#N/A Requesting Data...</v>
      </c>
      <c r="S849" t="str">
        <f>_xll.BDP("425208VK Muni","BB_COMPOSITE")</f>
        <v>#N/A Requesting Data...</v>
      </c>
      <c r="T849" t="str">
        <f>_xll.BDP("425208VK Muni","LQA_LIQUIDITY_SCORE")</f>
        <v>#N/A Requesting Data...</v>
      </c>
    </row>
    <row r="850" spans="1:20" x14ac:dyDescent="0.25">
      <c r="A850" t="str">
        <f>_xll.BDP("425208VL Muni","ID_CUSIP")</f>
        <v>#N/A Requesting Data...</v>
      </c>
      <c r="B850" t="s">
        <v>234</v>
      </c>
      <c r="C850" t="str">
        <f>_xll.BDP("425208VL Muni","INSURANCE_STATUS")</f>
        <v>#N/A Requesting Data...</v>
      </c>
      <c r="D850" t="str">
        <f>_xll.BDP("425208VL Muni","STATE_CODE")</f>
        <v>#N/A Requesting Data...</v>
      </c>
      <c r="E850" t="str">
        <f>_xll.BDP("425208VL Muni","COUNTY_LOCATION_ISSUER")</f>
        <v>#N/A Requesting Data...</v>
      </c>
      <c r="F850" t="str">
        <f>_xll.BDP("425208VL Muni","DUR_ADJ_MID")</f>
        <v>#N/A Requesting Data...</v>
      </c>
      <c r="G850" t="str">
        <f>_xll.BDP("425208VL Muni","SPREAD_AT_ISSUANCE_TO_WORST")</f>
        <v>#N/A Requesting Data...</v>
      </c>
      <c r="H850" t="str">
        <f>_xll.BDP("425208VL Muni","ISSUE_DT")</f>
        <v>#N/A Requesting Data...</v>
      </c>
      <c r="I850" t="str">
        <f>_xll.BDS("425208VL Muni","MUNI_PURPOSE_SCHED", "aggregate=y")</f>
        <v>#N/A Requesting Data...</v>
      </c>
      <c r="J850" t="str">
        <f>_xll.BDP("425208VL Muni","CPN")</f>
        <v>#N/A Requesting Data...</v>
      </c>
      <c r="K850" t="str">
        <f>_xll.BDP("425208VL Muni","MATURITY")</f>
        <v>#N/A Requesting Data...</v>
      </c>
      <c r="L850">
        <v>410000</v>
      </c>
      <c r="M850" t="str">
        <f>_xll.BDP("425208VL Muni","YIELD_ON_ISSUE_DATE")</f>
        <v>#N/A Requesting Data...</v>
      </c>
      <c r="N850" t="str">
        <f>_xll.BDP("425208VL Muni","YTW_SPREAD_TO_MATURITY_AT_ISSU")</f>
        <v>#N/A Requesting Data...</v>
      </c>
      <c r="O850" t="str">
        <f>_xll.BDP("425208VL Muni","BVAL_MID_YTM")</f>
        <v>#N/A Requesting Data...</v>
      </c>
      <c r="P850" t="str">
        <f>_xll.BDP("425208VL Muni","MUNI_TAX_PROV")</f>
        <v>#N/A Requesting Data...</v>
      </c>
      <c r="Q850" t="str">
        <f>_xll.BDP("425208VL Muni","MUNI_FED_TAX")</f>
        <v>#N/A Requesting Data...</v>
      </c>
      <c r="R850" t="str">
        <f>_xll.BDP("425208VL Muni","MUNI_MSRB_VOLUME")</f>
        <v>#N/A Requesting Data...</v>
      </c>
      <c r="S850" t="str">
        <f>_xll.BDP("425208VL Muni","BB_COMPOSITE")</f>
        <v>#N/A Requesting Data...</v>
      </c>
      <c r="T850" t="str">
        <f>_xll.BDP("425208VL Muni","LQA_LIQUIDITY_SCORE")</f>
        <v>#N/A Requesting Data...</v>
      </c>
    </row>
    <row r="851" spans="1:20" x14ac:dyDescent="0.25">
      <c r="A851" t="str">
        <f>_xll.BDP("425208VM Muni","ID_CUSIP")</f>
        <v>#N/A Requesting Data...</v>
      </c>
      <c r="B851" t="s">
        <v>234</v>
      </c>
      <c r="C851" t="str">
        <f>_xll.BDP("425208VM Muni","INSURANCE_STATUS")</f>
        <v>#N/A Requesting Data...</v>
      </c>
      <c r="D851" t="str">
        <f>_xll.BDP("425208VM Muni","STATE_CODE")</f>
        <v>#N/A Requesting Data...</v>
      </c>
      <c r="E851" t="str">
        <f>_xll.BDP("425208VM Muni","COUNTY_LOCATION_ISSUER")</f>
        <v>#N/A Requesting Data...</v>
      </c>
      <c r="F851" t="str">
        <f>_xll.BDP("425208VM Muni","DUR_ADJ_MID")</f>
        <v>#N/A Requesting Data...</v>
      </c>
      <c r="G851" t="str">
        <f>_xll.BDP("425208VM Muni","SPREAD_AT_ISSUANCE_TO_WORST")</f>
        <v>#N/A Requesting Data...</v>
      </c>
      <c r="H851" t="str">
        <f>_xll.BDP("425208VM Muni","ISSUE_DT")</f>
        <v>#N/A Requesting Data...</v>
      </c>
      <c r="I851" t="str">
        <f>_xll.BDS("425208VM Muni","MUNI_PURPOSE_SCHED", "aggregate=y")</f>
        <v>#N/A Requesting Data...</v>
      </c>
      <c r="J851" t="str">
        <f>_xll.BDP("425208VM Muni","CPN")</f>
        <v>#N/A Requesting Data...</v>
      </c>
      <c r="K851" t="str">
        <f>_xll.BDP("425208VM Muni","MATURITY")</f>
        <v>#N/A Requesting Data...</v>
      </c>
      <c r="L851">
        <v>425000</v>
      </c>
      <c r="M851" t="str">
        <f>_xll.BDP("425208VM Muni","YIELD_ON_ISSUE_DATE")</f>
        <v>#N/A Requesting Data...</v>
      </c>
      <c r="N851" t="str">
        <f>_xll.BDP("425208VM Muni","YTW_SPREAD_TO_MATURITY_AT_ISSU")</f>
        <v>#N/A Requesting Data...</v>
      </c>
      <c r="O851" t="str">
        <f>_xll.BDP("425208VM Muni","BVAL_MID_YTM")</f>
        <v>#N/A Requesting Data...</v>
      </c>
      <c r="P851" t="str">
        <f>_xll.BDP("425208VM Muni","MUNI_TAX_PROV")</f>
        <v>#N/A Requesting Data...</v>
      </c>
      <c r="Q851" t="str">
        <f>_xll.BDP("425208VM Muni","MUNI_FED_TAX")</f>
        <v>#N/A Requesting Data...</v>
      </c>
      <c r="R851" t="str">
        <f>_xll.BDP("425208VM Muni","MUNI_MSRB_VOLUME")</f>
        <v>#N/A Requesting Data...</v>
      </c>
      <c r="S851" t="str">
        <f>_xll.BDP("425208VM Muni","BB_COMPOSITE")</f>
        <v>#N/A Requesting Data...</v>
      </c>
      <c r="T851" t="str">
        <f>_xll.BDP("425208VM Muni","LQA_LIQUIDITY_SCORE")</f>
        <v>#N/A Requesting Data...</v>
      </c>
    </row>
    <row r="852" spans="1:20" x14ac:dyDescent="0.25">
      <c r="A852" t="str">
        <f>_xll.BDP("425290FZ Muni","ID_CUSIP")</f>
        <v>#N/A Requesting Data...</v>
      </c>
      <c r="B852" t="s">
        <v>235</v>
      </c>
      <c r="C852" t="str">
        <f>_xll.BDP("425290FZ Muni","INSURANCE_STATUS")</f>
        <v>#N/A Requesting Data...</v>
      </c>
      <c r="D852" t="str">
        <f>_xll.BDP("425290FZ Muni","STATE_CODE")</f>
        <v>#N/A Requesting Data...</v>
      </c>
      <c r="E852" t="str">
        <f>_xll.BDP("425290FZ Muni","COUNTY_LOCATION_ISSUER")</f>
        <v>#N/A Requesting Data...</v>
      </c>
      <c r="F852" t="str">
        <f>_xll.BDP("425290FZ Muni","DUR_ADJ_MID")</f>
        <v>#N/A Requesting Data...</v>
      </c>
      <c r="G852" t="str">
        <f>_xll.BDP("425290FZ Muni","SPREAD_AT_ISSUANCE_TO_WORST")</f>
        <v>#N/A Requesting Data...</v>
      </c>
      <c r="H852" t="str">
        <f>_xll.BDP("425290FZ Muni","ISSUE_DT")</f>
        <v>#N/A Requesting Data...</v>
      </c>
      <c r="I852" t="str">
        <f>_xll.BDS("425290FZ Muni","MUNI_PURPOSE_SCHED", "aggregate=y")</f>
        <v>#N/A Requesting Data...</v>
      </c>
      <c r="J852" t="str">
        <f>_xll.BDP("425290FZ Muni","CPN")</f>
        <v>#N/A Requesting Data...</v>
      </c>
      <c r="K852" t="str">
        <f>_xll.BDP("425290FZ Muni","MATURITY")</f>
        <v>#N/A Requesting Data...</v>
      </c>
      <c r="L852">
        <v>90000</v>
      </c>
      <c r="M852" t="str">
        <f>_xll.BDP("425290FZ Muni","YIELD_ON_ISSUE_DATE")</f>
        <v>#N/A Requesting Data...</v>
      </c>
      <c r="N852" t="str">
        <f>_xll.BDP("425290FZ Muni","YTW_SPREAD_TO_MATURITY_AT_ISSU")</f>
        <v>#N/A Requesting Data...</v>
      </c>
      <c r="O852" t="str">
        <f>_xll.BDP("425290FZ Muni","BVAL_MID_YTM")</f>
        <v>#N/A Requesting Data...</v>
      </c>
      <c r="P852" t="str">
        <f>_xll.BDP("425290FZ Muni","MUNI_TAX_PROV")</f>
        <v>#N/A Requesting Data...</v>
      </c>
      <c r="Q852" t="str">
        <f>_xll.BDP("425290FZ Muni","MUNI_FED_TAX")</f>
        <v>#N/A Requesting Data...</v>
      </c>
      <c r="R852" t="str">
        <f>_xll.BDP("425290FZ Muni","MUNI_MSRB_VOLUME")</f>
        <v>#N/A Requesting Data...</v>
      </c>
      <c r="S852" t="str">
        <f>_xll.BDP("425290FZ Muni","BB_COMPOSITE")</f>
        <v>#N/A Requesting Data...</v>
      </c>
      <c r="T852" t="str">
        <f>_xll.BDP("425290FZ Muni","LQA_LIQUIDITY_SCORE")</f>
        <v>#N/A Requesting Data...</v>
      </c>
    </row>
    <row r="853" spans="1:20" x14ac:dyDescent="0.25">
      <c r="A853" t="str">
        <f>_xll.BDP("425290GA Muni","ID_CUSIP")</f>
        <v>#N/A Requesting Data...</v>
      </c>
      <c r="B853" t="s">
        <v>235</v>
      </c>
      <c r="C853" t="str">
        <f>_xll.BDP("425290GA Muni","INSURANCE_STATUS")</f>
        <v>#N/A Requesting Data...</v>
      </c>
      <c r="D853" t="str">
        <f>_xll.BDP("425290GA Muni","STATE_CODE")</f>
        <v>#N/A Requesting Data...</v>
      </c>
      <c r="E853" t="str">
        <f>_xll.BDP("425290GA Muni","COUNTY_LOCATION_ISSUER")</f>
        <v>#N/A Requesting Data...</v>
      </c>
      <c r="F853" t="str">
        <f>_xll.BDP("425290GA Muni","DUR_ADJ_MID")</f>
        <v>#N/A Requesting Data...</v>
      </c>
      <c r="G853" t="str">
        <f>_xll.BDP("425290GA Muni","SPREAD_AT_ISSUANCE_TO_WORST")</f>
        <v>#N/A Requesting Data...</v>
      </c>
      <c r="H853" t="str">
        <f>_xll.BDP("425290GA Muni","ISSUE_DT")</f>
        <v>#N/A Requesting Data...</v>
      </c>
      <c r="I853" t="str">
        <f>_xll.BDS("425290GA Muni","MUNI_PURPOSE_SCHED", "aggregate=y")</f>
        <v>#N/A Requesting Data...</v>
      </c>
      <c r="J853" t="str">
        <f>_xll.BDP("425290GA Muni","CPN")</f>
        <v>#N/A Requesting Data...</v>
      </c>
      <c r="K853" t="str">
        <f>_xll.BDP("425290GA Muni","MATURITY")</f>
        <v>#N/A Requesting Data...</v>
      </c>
      <c r="L853">
        <v>100000</v>
      </c>
      <c r="M853" t="str">
        <f>_xll.BDP("425290GA Muni","YIELD_ON_ISSUE_DATE")</f>
        <v>#N/A Requesting Data...</v>
      </c>
      <c r="N853" t="str">
        <f>_xll.BDP("425290GA Muni","YTW_SPREAD_TO_MATURITY_AT_ISSU")</f>
        <v>#N/A Requesting Data...</v>
      </c>
      <c r="O853" t="str">
        <f>_xll.BDP("425290GA Muni","BVAL_MID_YTM")</f>
        <v>#N/A Requesting Data...</v>
      </c>
      <c r="P853" t="str">
        <f>_xll.BDP("425290GA Muni","MUNI_TAX_PROV")</f>
        <v>#N/A Requesting Data...</v>
      </c>
      <c r="Q853" t="str">
        <f>_xll.BDP("425290GA Muni","MUNI_FED_TAX")</f>
        <v>#N/A Requesting Data...</v>
      </c>
      <c r="R853" t="str">
        <f>_xll.BDP("425290GA Muni","MUNI_MSRB_VOLUME")</f>
        <v>#N/A Requesting Data...</v>
      </c>
      <c r="S853" t="str">
        <f>_xll.BDP("425290GA Muni","BB_COMPOSITE")</f>
        <v>#N/A Requesting Data...</v>
      </c>
      <c r="T853" t="str">
        <f>_xll.BDP("425290GA Muni","LQA_LIQUIDITY_SCORE")</f>
        <v>#N/A Requesting Data...</v>
      </c>
    </row>
    <row r="854" spans="1:20" x14ac:dyDescent="0.25">
      <c r="A854" t="str">
        <f>_xll.BDP("425290GB Muni","ID_CUSIP")</f>
        <v>#N/A Requesting Data...</v>
      </c>
      <c r="B854" t="s">
        <v>235</v>
      </c>
      <c r="C854" t="str">
        <f>_xll.BDP("425290GB Muni","INSURANCE_STATUS")</f>
        <v>#N/A Requesting Data...</v>
      </c>
      <c r="D854" t="str">
        <f>_xll.BDP("425290GB Muni","STATE_CODE")</f>
        <v>#N/A Requesting Data...</v>
      </c>
      <c r="E854" t="str">
        <f>_xll.BDP("425290GB Muni","COUNTY_LOCATION_ISSUER")</f>
        <v>#N/A Requesting Data...</v>
      </c>
      <c r="F854" t="str">
        <f>_xll.BDP("425290GB Muni","DUR_ADJ_MID")</f>
        <v>#N/A Requesting Data...</v>
      </c>
      <c r="G854" t="str">
        <f>_xll.BDP("425290GB Muni","SPREAD_AT_ISSUANCE_TO_WORST")</f>
        <v>#N/A Requesting Data...</v>
      </c>
      <c r="H854" t="str">
        <f>_xll.BDP("425290GB Muni","ISSUE_DT")</f>
        <v>#N/A Requesting Data...</v>
      </c>
      <c r="I854" t="str">
        <f>_xll.BDS("425290GB Muni","MUNI_PURPOSE_SCHED", "aggregate=y")</f>
        <v>#N/A Requesting Data...</v>
      </c>
      <c r="J854" t="str">
        <f>_xll.BDP("425290GB Muni","CPN")</f>
        <v>#N/A Requesting Data...</v>
      </c>
      <c r="K854" t="str">
        <f>_xll.BDP("425290GB Muni","MATURITY")</f>
        <v>#N/A Requesting Data...</v>
      </c>
      <c r="L854">
        <v>110000</v>
      </c>
      <c r="M854" t="str">
        <f>_xll.BDP("425290GB Muni","YIELD_ON_ISSUE_DATE")</f>
        <v>#N/A Requesting Data...</v>
      </c>
      <c r="N854" t="str">
        <f>_xll.BDP("425290GB Muni","YTW_SPREAD_TO_MATURITY_AT_ISSU")</f>
        <v>#N/A Requesting Data...</v>
      </c>
      <c r="O854" t="str">
        <f>_xll.BDP("425290GB Muni","BVAL_MID_YTM")</f>
        <v>#N/A Requesting Data...</v>
      </c>
      <c r="P854" t="str">
        <f>_xll.BDP("425290GB Muni","MUNI_TAX_PROV")</f>
        <v>#N/A Requesting Data...</v>
      </c>
      <c r="Q854" t="str">
        <f>_xll.BDP("425290GB Muni","MUNI_FED_TAX")</f>
        <v>#N/A Requesting Data...</v>
      </c>
      <c r="R854" t="str">
        <f>_xll.BDP("425290GB Muni","MUNI_MSRB_VOLUME")</f>
        <v>#N/A Requesting Data...</v>
      </c>
      <c r="S854" t="str">
        <f>_xll.BDP("425290GB Muni","BB_COMPOSITE")</f>
        <v>#N/A Requesting Data...</v>
      </c>
      <c r="T854" t="str">
        <f>_xll.BDP("425290GB Muni","LQA_LIQUIDITY_SCORE")</f>
        <v>#N/A Requesting Data...</v>
      </c>
    </row>
    <row r="855" spans="1:20" x14ac:dyDescent="0.25">
      <c r="A855" t="str">
        <f>_xll.BDP("425290GC Muni","ID_CUSIP")</f>
        <v>#N/A Requesting Data...</v>
      </c>
      <c r="B855" t="s">
        <v>235</v>
      </c>
      <c r="C855" t="str">
        <f>_xll.BDP("425290GC Muni","INSURANCE_STATUS")</f>
        <v>#N/A Requesting Data...</v>
      </c>
      <c r="D855" t="str">
        <f>_xll.BDP("425290GC Muni","STATE_CODE")</f>
        <v>#N/A Requesting Data...</v>
      </c>
      <c r="E855" t="str">
        <f>_xll.BDP("425290GC Muni","COUNTY_LOCATION_ISSUER")</f>
        <v>#N/A Requesting Data...</v>
      </c>
      <c r="F855" t="str">
        <f>_xll.BDP("425290GC Muni","DUR_ADJ_MID")</f>
        <v>#N/A Requesting Data...</v>
      </c>
      <c r="G855" t="str">
        <f>_xll.BDP("425290GC Muni","SPREAD_AT_ISSUANCE_TO_WORST")</f>
        <v>#N/A Requesting Data...</v>
      </c>
      <c r="H855" t="str">
        <f>_xll.BDP("425290GC Muni","ISSUE_DT")</f>
        <v>#N/A Requesting Data...</v>
      </c>
      <c r="I855" t="str">
        <f>_xll.BDS("425290GC Muni","MUNI_PURPOSE_SCHED", "aggregate=y")</f>
        <v>#N/A Requesting Data...</v>
      </c>
      <c r="J855" t="str">
        <f>_xll.BDP("425290GC Muni","CPN")</f>
        <v>#N/A Requesting Data...</v>
      </c>
      <c r="K855" t="str">
        <f>_xll.BDP("425290GC Muni","MATURITY")</f>
        <v>#N/A Requesting Data...</v>
      </c>
      <c r="L855">
        <v>405000</v>
      </c>
      <c r="M855" t="str">
        <f>_xll.BDP("425290GC Muni","YIELD_ON_ISSUE_DATE")</f>
        <v>#N/A Requesting Data...</v>
      </c>
      <c r="N855" t="str">
        <f>_xll.BDP("425290GC Muni","YTW_SPREAD_TO_MATURITY_AT_ISSU")</f>
        <v>#N/A Requesting Data...</v>
      </c>
      <c r="O855" t="str">
        <f>_xll.BDP("425290GC Muni","BVAL_MID_YTM")</f>
        <v>#N/A Requesting Data...</v>
      </c>
      <c r="P855" t="str">
        <f>_xll.BDP("425290GC Muni","MUNI_TAX_PROV")</f>
        <v>#N/A Requesting Data...</v>
      </c>
      <c r="Q855" t="str">
        <f>_xll.BDP("425290GC Muni","MUNI_FED_TAX")</f>
        <v>#N/A Requesting Data...</v>
      </c>
      <c r="R855" t="str">
        <f>_xll.BDP("425290GC Muni","MUNI_MSRB_VOLUME")</f>
        <v>#N/A Requesting Data...</v>
      </c>
      <c r="S855" t="str">
        <f>_xll.BDP("425290GC Muni","BB_COMPOSITE")</f>
        <v>#N/A Requesting Data...</v>
      </c>
      <c r="T855" t="str">
        <f>_xll.BDP("425290GC Muni","LQA_LIQUIDITY_SCORE")</f>
        <v>#N/A Requesting Data...</v>
      </c>
    </row>
    <row r="856" spans="1:20" x14ac:dyDescent="0.25">
      <c r="A856" t="str">
        <f>_xll.BDP("425290GD Muni","ID_CUSIP")</f>
        <v>#N/A Requesting Data...</v>
      </c>
      <c r="B856" t="s">
        <v>235</v>
      </c>
      <c r="C856" t="str">
        <f>_xll.BDP("425290GD Muni","INSURANCE_STATUS")</f>
        <v>#N/A Requesting Data...</v>
      </c>
      <c r="D856" t="str">
        <f>_xll.BDP("425290GD Muni","STATE_CODE")</f>
        <v>#N/A Requesting Data...</v>
      </c>
      <c r="E856" t="str">
        <f>_xll.BDP("425290GD Muni","COUNTY_LOCATION_ISSUER")</f>
        <v>#N/A Requesting Data...</v>
      </c>
      <c r="F856" t="str">
        <f>_xll.BDP("425290GD Muni","DUR_ADJ_MID")</f>
        <v>#N/A Requesting Data...</v>
      </c>
      <c r="G856" t="str">
        <f>_xll.BDP("425290GD Muni","SPREAD_AT_ISSUANCE_TO_WORST")</f>
        <v>#N/A Requesting Data...</v>
      </c>
      <c r="H856" t="str">
        <f>_xll.BDP("425290GD Muni","ISSUE_DT")</f>
        <v>#N/A Requesting Data...</v>
      </c>
      <c r="I856" t="str">
        <f>_xll.BDS("425290GD Muni","MUNI_PURPOSE_SCHED", "aggregate=y")</f>
        <v>#N/A Requesting Data...</v>
      </c>
      <c r="J856" t="str">
        <f>_xll.BDP("425290GD Muni","CPN")</f>
        <v>#N/A Requesting Data...</v>
      </c>
      <c r="K856" t="str">
        <f>_xll.BDP("425290GD Muni","MATURITY")</f>
        <v>#N/A Requesting Data...</v>
      </c>
      <c r="L856">
        <v>425000</v>
      </c>
      <c r="M856" t="str">
        <f>_xll.BDP("425290GD Muni","YIELD_ON_ISSUE_DATE")</f>
        <v>#N/A Requesting Data...</v>
      </c>
      <c r="N856" t="str">
        <f>_xll.BDP("425290GD Muni","YTW_SPREAD_TO_MATURITY_AT_ISSU")</f>
        <v>#N/A Requesting Data...</v>
      </c>
      <c r="O856" t="str">
        <f>_xll.BDP("425290GD Muni","BVAL_MID_YTM")</f>
        <v>#N/A Requesting Data...</v>
      </c>
      <c r="P856" t="str">
        <f>_xll.BDP("425290GD Muni","MUNI_TAX_PROV")</f>
        <v>#N/A Requesting Data...</v>
      </c>
      <c r="Q856" t="str">
        <f>_xll.BDP("425290GD Muni","MUNI_FED_TAX")</f>
        <v>#N/A Requesting Data...</v>
      </c>
      <c r="R856" t="str">
        <f>_xll.BDP("425290GD Muni","MUNI_MSRB_VOLUME")</f>
        <v>#N/A Requesting Data...</v>
      </c>
      <c r="S856" t="str">
        <f>_xll.BDP("425290GD Muni","BB_COMPOSITE")</f>
        <v>#N/A Requesting Data...</v>
      </c>
      <c r="T856" t="str">
        <f>_xll.BDP("425290GD Muni","LQA_LIQUIDITY_SCORE")</f>
        <v>#N/A Requesting Data...</v>
      </c>
    </row>
    <row r="857" spans="1:20" x14ac:dyDescent="0.25">
      <c r="A857" t="str">
        <f>_xll.BDP("425290GE Muni","ID_CUSIP")</f>
        <v>#N/A Requesting Data...</v>
      </c>
      <c r="B857" t="s">
        <v>235</v>
      </c>
      <c r="C857" t="str">
        <f>_xll.BDP("425290GE Muni","INSURANCE_STATUS")</f>
        <v>#N/A Requesting Data...</v>
      </c>
      <c r="D857" t="str">
        <f>_xll.BDP("425290GE Muni","STATE_CODE")</f>
        <v>#N/A Requesting Data...</v>
      </c>
      <c r="E857" t="str">
        <f>_xll.BDP("425290GE Muni","COUNTY_LOCATION_ISSUER")</f>
        <v>#N/A Requesting Data...</v>
      </c>
      <c r="F857" t="str">
        <f>_xll.BDP("425290GE Muni","DUR_ADJ_MID")</f>
        <v>#N/A Requesting Data...</v>
      </c>
      <c r="G857" t="str">
        <f>_xll.BDP("425290GE Muni","SPREAD_AT_ISSUANCE_TO_WORST")</f>
        <v>#N/A Requesting Data...</v>
      </c>
      <c r="H857" t="str">
        <f>_xll.BDP("425290GE Muni","ISSUE_DT")</f>
        <v>#N/A Requesting Data...</v>
      </c>
      <c r="I857" t="str">
        <f>_xll.BDS("425290GE Muni","MUNI_PURPOSE_SCHED", "aggregate=y")</f>
        <v>#N/A Requesting Data...</v>
      </c>
      <c r="J857" t="str">
        <f>_xll.BDP("425290GE Muni","CPN")</f>
        <v>#N/A Requesting Data...</v>
      </c>
      <c r="K857" t="str">
        <f>_xll.BDP("425290GE Muni","MATURITY")</f>
        <v>#N/A Requesting Data...</v>
      </c>
      <c r="L857">
        <v>440000</v>
      </c>
      <c r="M857" t="str">
        <f>_xll.BDP("425290GE Muni","YIELD_ON_ISSUE_DATE")</f>
        <v>#N/A Requesting Data...</v>
      </c>
      <c r="N857" t="str">
        <f>_xll.BDP("425290GE Muni","YTW_SPREAD_TO_MATURITY_AT_ISSU")</f>
        <v>#N/A Requesting Data...</v>
      </c>
      <c r="O857" t="str">
        <f>_xll.BDP("425290GE Muni","BVAL_MID_YTM")</f>
        <v>#N/A Requesting Data...</v>
      </c>
      <c r="P857" t="str">
        <f>_xll.BDP("425290GE Muni","MUNI_TAX_PROV")</f>
        <v>#N/A Requesting Data...</v>
      </c>
      <c r="Q857" t="str">
        <f>_xll.BDP("425290GE Muni","MUNI_FED_TAX")</f>
        <v>#N/A Requesting Data...</v>
      </c>
      <c r="R857" t="str">
        <f>_xll.BDP("425290GE Muni","MUNI_MSRB_VOLUME")</f>
        <v>#N/A Requesting Data...</v>
      </c>
      <c r="S857" t="str">
        <f>_xll.BDP("425290GE Muni","BB_COMPOSITE")</f>
        <v>#N/A Requesting Data...</v>
      </c>
      <c r="T857" t="str">
        <f>_xll.BDP("425290GE Muni","LQA_LIQUIDITY_SCORE")</f>
        <v>#N/A Requesting Data...</v>
      </c>
    </row>
    <row r="858" spans="1:20" x14ac:dyDescent="0.25">
      <c r="A858" t="str">
        <f>_xll.BDP("426170NU Muni","ID_CUSIP")</f>
        <v>#N/A Requesting Data...</v>
      </c>
      <c r="B858" t="s">
        <v>236</v>
      </c>
      <c r="C858" t="str">
        <f>_xll.BDP("426170NU Muni","INSURANCE_STATUS")</f>
        <v>#N/A Requesting Data...</v>
      </c>
      <c r="D858" t="str">
        <f>_xll.BDP("426170NU Muni","STATE_CODE")</f>
        <v>#N/A Requesting Data...</v>
      </c>
      <c r="E858" t="str">
        <f>_xll.BDP("426170NU Muni","COUNTY_LOCATION_ISSUER")</f>
        <v>#N/A Requesting Data...</v>
      </c>
      <c r="F858" t="str">
        <f>_xll.BDP("426170NU Muni","DUR_ADJ_MID")</f>
        <v>#N/A Requesting Data...</v>
      </c>
      <c r="G858" t="str">
        <f>_xll.BDP("426170NU Muni","SPREAD_AT_ISSUANCE_TO_WORST")</f>
        <v>#N/A Requesting Data...</v>
      </c>
      <c r="H858" t="str">
        <f>_xll.BDP("426170NU Muni","ISSUE_DT")</f>
        <v>#N/A Requesting Data...</v>
      </c>
      <c r="I858" t="str">
        <f>_xll.BDS("426170NU Muni","MUNI_PURPOSE_SCHED", "aggregate=y")</f>
        <v>#N/A Requesting Data...</v>
      </c>
      <c r="J858" t="str">
        <f>_xll.BDP("426170NU Muni","CPN")</f>
        <v>#N/A Requesting Data...</v>
      </c>
      <c r="K858" t="str">
        <f>_xll.BDP("426170NU Muni","MATURITY")</f>
        <v>#N/A Requesting Data...</v>
      </c>
      <c r="L858">
        <v>2130000</v>
      </c>
      <c r="M858" t="str">
        <f>_xll.BDP("426170NU Muni","YIELD_ON_ISSUE_DATE")</f>
        <v>#N/A Requesting Data...</v>
      </c>
      <c r="N858" t="str">
        <f>_xll.BDP("426170NU Muni","YTW_SPREAD_TO_MATURITY_AT_ISSU")</f>
        <v>#N/A Requesting Data...</v>
      </c>
      <c r="O858" t="str">
        <f>_xll.BDP("426170NU Muni","BVAL_MID_YTM")</f>
        <v>#N/A Requesting Data...</v>
      </c>
      <c r="P858" t="str">
        <f>_xll.BDP("426170NU Muni","MUNI_TAX_PROV")</f>
        <v>#N/A Requesting Data...</v>
      </c>
      <c r="Q858" t="str">
        <f>_xll.BDP("426170NU Muni","MUNI_FED_TAX")</f>
        <v>#N/A Requesting Data...</v>
      </c>
      <c r="R858" t="str">
        <f>_xll.BDP("426170NU Muni","MUNI_MSRB_VOLUME")</f>
        <v>#N/A Requesting Data...</v>
      </c>
      <c r="S858" t="str">
        <f>_xll.BDP("426170NU Muni","BB_COMPOSITE")</f>
        <v>#N/A Requesting Data...</v>
      </c>
      <c r="T858" t="str">
        <f>_xll.BDP("426170NU Muni","LQA_LIQUIDITY_SCORE")</f>
        <v>#N/A Requesting Data...</v>
      </c>
    </row>
    <row r="859" spans="1:20" x14ac:dyDescent="0.25">
      <c r="A859" t="str">
        <f>_xll.BDP("426170NV Muni","ID_CUSIP")</f>
        <v>#N/A Requesting Data...</v>
      </c>
      <c r="B859" t="s">
        <v>236</v>
      </c>
      <c r="C859" t="str">
        <f>_xll.BDP("426170NV Muni","INSURANCE_STATUS")</f>
        <v>#N/A Requesting Data...</v>
      </c>
      <c r="D859" t="str">
        <f>_xll.BDP("426170NV Muni","STATE_CODE")</f>
        <v>#N/A Requesting Data...</v>
      </c>
      <c r="E859" t="str">
        <f>_xll.BDP("426170NV Muni","COUNTY_LOCATION_ISSUER")</f>
        <v>#N/A Requesting Data...</v>
      </c>
      <c r="F859" t="str">
        <f>_xll.BDP("426170NV Muni","DUR_ADJ_MID")</f>
        <v>#N/A Requesting Data...</v>
      </c>
      <c r="G859" t="str">
        <f>_xll.BDP("426170NV Muni","SPREAD_AT_ISSUANCE_TO_WORST")</f>
        <v>#N/A Requesting Data...</v>
      </c>
      <c r="H859" t="str">
        <f>_xll.BDP("426170NV Muni","ISSUE_DT")</f>
        <v>#N/A Requesting Data...</v>
      </c>
      <c r="I859" t="str">
        <f>_xll.BDS("426170NV Muni","MUNI_PURPOSE_SCHED", "aggregate=y")</f>
        <v>#N/A Requesting Data...</v>
      </c>
      <c r="J859" t="str">
        <f>_xll.BDP("426170NV Muni","CPN")</f>
        <v>#N/A Requesting Data...</v>
      </c>
      <c r="K859" t="str">
        <f>_xll.BDP("426170NV Muni","MATURITY")</f>
        <v>#N/A Requesting Data...</v>
      </c>
      <c r="L859">
        <v>2240000</v>
      </c>
      <c r="M859" t="str">
        <f>_xll.BDP("426170NV Muni","YIELD_ON_ISSUE_DATE")</f>
        <v>#N/A Requesting Data...</v>
      </c>
      <c r="N859" t="str">
        <f>_xll.BDP("426170NV Muni","YTW_SPREAD_TO_MATURITY_AT_ISSU")</f>
        <v>#N/A Requesting Data...</v>
      </c>
      <c r="O859" t="str">
        <f>_xll.BDP("426170NV Muni","BVAL_MID_YTM")</f>
        <v>#N/A Requesting Data...</v>
      </c>
      <c r="P859" t="str">
        <f>_xll.BDP("426170NV Muni","MUNI_TAX_PROV")</f>
        <v>#N/A Requesting Data...</v>
      </c>
      <c r="Q859" t="str">
        <f>_xll.BDP("426170NV Muni","MUNI_FED_TAX")</f>
        <v>#N/A Requesting Data...</v>
      </c>
      <c r="R859" t="str">
        <f>_xll.BDP("426170NV Muni","MUNI_MSRB_VOLUME")</f>
        <v>#N/A Requesting Data...</v>
      </c>
      <c r="S859" t="str">
        <f>_xll.BDP("426170NV Muni","BB_COMPOSITE")</f>
        <v>#N/A Requesting Data...</v>
      </c>
      <c r="T859" t="str">
        <f>_xll.BDP("426170NV Muni","LQA_LIQUIDITY_SCORE")</f>
        <v>#N/A Requesting Data...</v>
      </c>
    </row>
    <row r="860" spans="1:20" x14ac:dyDescent="0.25">
      <c r="A860" t="str">
        <f>_xll.BDP("426170NW Muni","ID_CUSIP")</f>
        <v>#N/A Requesting Data...</v>
      </c>
      <c r="B860" t="s">
        <v>236</v>
      </c>
      <c r="C860" t="str">
        <f>_xll.BDP("426170NW Muni","INSURANCE_STATUS")</f>
        <v>#N/A Requesting Data...</v>
      </c>
      <c r="D860" t="str">
        <f>_xll.BDP("426170NW Muni","STATE_CODE")</f>
        <v>#N/A Requesting Data...</v>
      </c>
      <c r="E860" t="str">
        <f>_xll.BDP("426170NW Muni","COUNTY_LOCATION_ISSUER")</f>
        <v>#N/A Requesting Data...</v>
      </c>
      <c r="F860" t="str">
        <f>_xll.BDP("426170NW Muni","DUR_ADJ_MID")</f>
        <v>#N/A Requesting Data...</v>
      </c>
      <c r="G860" t="str">
        <f>_xll.BDP("426170NW Muni","SPREAD_AT_ISSUANCE_TO_WORST")</f>
        <v>#N/A Requesting Data...</v>
      </c>
      <c r="H860" t="str">
        <f>_xll.BDP("426170NW Muni","ISSUE_DT")</f>
        <v>#N/A Requesting Data...</v>
      </c>
      <c r="I860" t="str">
        <f>_xll.BDS("426170NW Muni","MUNI_PURPOSE_SCHED", "aggregate=y")</f>
        <v>#N/A Requesting Data...</v>
      </c>
      <c r="J860" t="str">
        <f>_xll.BDP("426170NW Muni","CPN")</f>
        <v>#N/A Requesting Data...</v>
      </c>
      <c r="K860" t="str">
        <f>_xll.BDP("426170NW Muni","MATURITY")</f>
        <v>#N/A Requesting Data...</v>
      </c>
      <c r="L860">
        <v>2350000</v>
      </c>
      <c r="M860" t="str">
        <f>_xll.BDP("426170NW Muni","YIELD_ON_ISSUE_DATE")</f>
        <v>#N/A Requesting Data...</v>
      </c>
      <c r="N860" t="str">
        <f>_xll.BDP("426170NW Muni","YTW_SPREAD_TO_MATURITY_AT_ISSU")</f>
        <v>#N/A Requesting Data...</v>
      </c>
      <c r="O860" t="str">
        <f>_xll.BDP("426170NW Muni","BVAL_MID_YTM")</f>
        <v>#N/A Requesting Data...</v>
      </c>
      <c r="P860" t="str">
        <f>_xll.BDP("426170NW Muni","MUNI_TAX_PROV")</f>
        <v>#N/A Requesting Data...</v>
      </c>
      <c r="Q860" t="str">
        <f>_xll.BDP("426170NW Muni","MUNI_FED_TAX")</f>
        <v>#N/A Requesting Data...</v>
      </c>
      <c r="R860" t="str">
        <f>_xll.BDP("426170NW Muni","MUNI_MSRB_VOLUME")</f>
        <v>#N/A Requesting Data...</v>
      </c>
      <c r="S860" t="str">
        <f>_xll.BDP("426170NW Muni","BB_COMPOSITE")</f>
        <v>#N/A Requesting Data...</v>
      </c>
      <c r="T860" t="str">
        <f>_xll.BDP("426170NW Muni","LQA_LIQUIDITY_SCORE")</f>
        <v>#N/A Requesting Data...</v>
      </c>
    </row>
    <row r="861" spans="1:20" x14ac:dyDescent="0.25">
      <c r="A861" t="str">
        <f>_xll.BDP("426170NX Muni","ID_CUSIP")</f>
        <v>#N/A Requesting Data...</v>
      </c>
      <c r="B861" t="s">
        <v>236</v>
      </c>
      <c r="C861" t="str">
        <f>_xll.BDP("426170NX Muni","INSURANCE_STATUS")</f>
        <v>#N/A Requesting Data...</v>
      </c>
      <c r="D861" t="str">
        <f>_xll.BDP("426170NX Muni","STATE_CODE")</f>
        <v>#N/A Requesting Data...</v>
      </c>
      <c r="E861" t="str">
        <f>_xll.BDP("426170NX Muni","COUNTY_LOCATION_ISSUER")</f>
        <v>#N/A Requesting Data...</v>
      </c>
      <c r="F861" t="str">
        <f>_xll.BDP("426170NX Muni","DUR_ADJ_MID")</f>
        <v>#N/A Requesting Data...</v>
      </c>
      <c r="G861" t="str">
        <f>_xll.BDP("426170NX Muni","SPREAD_AT_ISSUANCE_TO_WORST")</f>
        <v>#N/A Requesting Data...</v>
      </c>
      <c r="H861" t="str">
        <f>_xll.BDP("426170NX Muni","ISSUE_DT")</f>
        <v>#N/A Requesting Data...</v>
      </c>
      <c r="I861" t="str">
        <f>_xll.BDS("426170NX Muni","MUNI_PURPOSE_SCHED", "aggregate=y")</f>
        <v>#N/A Requesting Data...</v>
      </c>
      <c r="J861" t="str">
        <f>_xll.BDP("426170NX Muni","CPN")</f>
        <v>#N/A Requesting Data...</v>
      </c>
      <c r="K861" t="str">
        <f>_xll.BDP("426170NX Muni","MATURITY")</f>
        <v>#N/A Requesting Data...</v>
      </c>
      <c r="L861">
        <v>2470000</v>
      </c>
      <c r="M861" t="str">
        <f>_xll.BDP("426170NX Muni","YIELD_ON_ISSUE_DATE")</f>
        <v>#N/A Requesting Data...</v>
      </c>
      <c r="N861" t="str">
        <f>_xll.BDP("426170NX Muni","YTW_SPREAD_TO_MATURITY_AT_ISSU")</f>
        <v>#N/A Requesting Data...</v>
      </c>
      <c r="O861" t="str">
        <f>_xll.BDP("426170NX Muni","BVAL_MID_YTM")</f>
        <v>#N/A Requesting Data...</v>
      </c>
      <c r="P861" t="str">
        <f>_xll.BDP("426170NX Muni","MUNI_TAX_PROV")</f>
        <v>#N/A Requesting Data...</v>
      </c>
      <c r="Q861" t="str">
        <f>_xll.BDP("426170NX Muni","MUNI_FED_TAX")</f>
        <v>#N/A Requesting Data...</v>
      </c>
      <c r="R861" t="str">
        <f>_xll.BDP("426170NX Muni","MUNI_MSRB_VOLUME")</f>
        <v>#N/A Requesting Data...</v>
      </c>
      <c r="S861" t="str">
        <f>_xll.BDP("426170NX Muni","BB_COMPOSITE")</f>
        <v>#N/A Requesting Data...</v>
      </c>
      <c r="T861" t="str">
        <f>_xll.BDP("426170NX Muni","LQA_LIQUIDITY_SCORE")</f>
        <v>#N/A Requesting Data...</v>
      </c>
    </row>
    <row r="862" spans="1:20" x14ac:dyDescent="0.25">
      <c r="A862" t="str">
        <f>_xll.BDP("426170NY Muni","ID_CUSIP")</f>
        <v>#N/A Requesting Data...</v>
      </c>
      <c r="B862" t="s">
        <v>236</v>
      </c>
      <c r="C862" t="str">
        <f>_xll.BDP("426170NY Muni","INSURANCE_STATUS")</f>
        <v>#N/A Requesting Data...</v>
      </c>
      <c r="D862" t="str">
        <f>_xll.BDP("426170NY Muni","STATE_CODE")</f>
        <v>#N/A Requesting Data...</v>
      </c>
      <c r="E862" t="str">
        <f>_xll.BDP("426170NY Muni","COUNTY_LOCATION_ISSUER")</f>
        <v>#N/A Requesting Data...</v>
      </c>
      <c r="F862" t="str">
        <f>_xll.BDP("426170NY Muni","DUR_ADJ_MID")</f>
        <v>#N/A Requesting Data...</v>
      </c>
      <c r="G862" t="str">
        <f>_xll.BDP("426170NY Muni","SPREAD_AT_ISSUANCE_TO_WORST")</f>
        <v>#N/A Requesting Data...</v>
      </c>
      <c r="H862" t="str">
        <f>_xll.BDP("426170NY Muni","ISSUE_DT")</f>
        <v>#N/A Requesting Data...</v>
      </c>
      <c r="I862" t="str">
        <f>_xll.BDS("426170NY Muni","MUNI_PURPOSE_SCHED", "aggregate=y")</f>
        <v>#N/A Requesting Data...</v>
      </c>
      <c r="J862" t="str">
        <f>_xll.BDP("426170NY Muni","CPN")</f>
        <v>#N/A Requesting Data...</v>
      </c>
      <c r="K862" t="str">
        <f>_xll.BDP("426170NY Muni","MATURITY")</f>
        <v>#N/A Requesting Data...</v>
      </c>
      <c r="L862">
        <v>2590000</v>
      </c>
      <c r="M862" t="str">
        <f>_xll.BDP("426170NY Muni","YIELD_ON_ISSUE_DATE")</f>
        <v>#N/A Requesting Data...</v>
      </c>
      <c r="N862" t="str">
        <f>_xll.BDP("426170NY Muni","YTW_SPREAD_TO_MATURITY_AT_ISSU")</f>
        <v>#N/A Requesting Data...</v>
      </c>
      <c r="O862" t="str">
        <f>_xll.BDP("426170NY Muni","BVAL_MID_YTM")</f>
        <v>#N/A Requesting Data...</v>
      </c>
      <c r="P862" t="str">
        <f>_xll.BDP("426170NY Muni","MUNI_TAX_PROV")</f>
        <v>#N/A Requesting Data...</v>
      </c>
      <c r="Q862" t="str">
        <f>_xll.BDP("426170NY Muni","MUNI_FED_TAX")</f>
        <v>#N/A Requesting Data...</v>
      </c>
      <c r="R862" t="str">
        <f>_xll.BDP("426170NY Muni","MUNI_MSRB_VOLUME")</f>
        <v>#N/A Requesting Data...</v>
      </c>
      <c r="S862" t="str">
        <f>_xll.BDP("426170NY Muni","BB_COMPOSITE")</f>
        <v>#N/A Requesting Data...</v>
      </c>
      <c r="T862" t="str">
        <f>_xll.BDP("426170NY Muni","LQA_LIQUIDITY_SCORE")</f>
        <v>#N/A Requesting Data...</v>
      </c>
    </row>
    <row r="863" spans="1:20" x14ac:dyDescent="0.25">
      <c r="A863" t="str">
        <f>_xll.BDP("426170NZ Muni","ID_CUSIP")</f>
        <v>#N/A Requesting Data...</v>
      </c>
      <c r="B863" t="s">
        <v>236</v>
      </c>
      <c r="C863" t="str">
        <f>_xll.BDP("426170NZ Muni","INSURANCE_STATUS")</f>
        <v>#N/A Requesting Data...</v>
      </c>
      <c r="D863" t="str">
        <f>_xll.BDP("426170NZ Muni","STATE_CODE")</f>
        <v>#N/A Requesting Data...</v>
      </c>
      <c r="E863" t="str">
        <f>_xll.BDP("426170NZ Muni","COUNTY_LOCATION_ISSUER")</f>
        <v>#N/A Requesting Data...</v>
      </c>
      <c r="F863" t="str">
        <f>_xll.BDP("426170NZ Muni","DUR_ADJ_MID")</f>
        <v>#N/A Requesting Data...</v>
      </c>
      <c r="G863" t="str">
        <f>_xll.BDP("426170NZ Muni","SPREAD_AT_ISSUANCE_TO_WORST")</f>
        <v>#N/A Requesting Data...</v>
      </c>
      <c r="H863" t="str">
        <f>_xll.BDP("426170NZ Muni","ISSUE_DT")</f>
        <v>#N/A Requesting Data...</v>
      </c>
      <c r="I863" t="str">
        <f>_xll.BDS("426170NZ Muni","MUNI_PURPOSE_SCHED", "aggregate=y")</f>
        <v>#N/A Requesting Data...</v>
      </c>
      <c r="J863" t="str">
        <f>_xll.BDP("426170NZ Muni","CPN")</f>
        <v>#N/A Requesting Data...</v>
      </c>
      <c r="K863" t="str">
        <f>_xll.BDP("426170NZ Muni","MATURITY")</f>
        <v>#N/A Requesting Data...</v>
      </c>
      <c r="L863">
        <v>2720000</v>
      </c>
      <c r="M863" t="str">
        <f>_xll.BDP("426170NZ Muni","YIELD_ON_ISSUE_DATE")</f>
        <v>#N/A Requesting Data...</v>
      </c>
      <c r="N863" t="str">
        <f>_xll.BDP("426170NZ Muni","YTW_SPREAD_TO_MATURITY_AT_ISSU")</f>
        <v>#N/A Requesting Data...</v>
      </c>
      <c r="O863" t="str">
        <f>_xll.BDP("426170NZ Muni","BVAL_MID_YTM")</f>
        <v>#N/A Requesting Data...</v>
      </c>
      <c r="P863" t="str">
        <f>_xll.BDP("426170NZ Muni","MUNI_TAX_PROV")</f>
        <v>#N/A Requesting Data...</v>
      </c>
      <c r="Q863" t="str">
        <f>_xll.BDP("426170NZ Muni","MUNI_FED_TAX")</f>
        <v>#N/A Requesting Data...</v>
      </c>
      <c r="R863" t="str">
        <f>_xll.BDP("426170NZ Muni","MUNI_MSRB_VOLUME")</f>
        <v>#N/A Requesting Data...</v>
      </c>
      <c r="S863" t="str">
        <f>_xll.BDP("426170NZ Muni","BB_COMPOSITE")</f>
        <v>#N/A Requesting Data...</v>
      </c>
      <c r="T863" t="str">
        <f>_xll.BDP("426170NZ Muni","LQA_LIQUIDITY_SCORE")</f>
        <v>#N/A Requesting Data...</v>
      </c>
    </row>
    <row r="864" spans="1:20" x14ac:dyDescent="0.25">
      <c r="A864" t="str">
        <f>_xll.BDP("471144DG Muni","ID_CUSIP")</f>
        <v>#N/A Requesting Data...</v>
      </c>
      <c r="B864" t="s">
        <v>237</v>
      </c>
      <c r="C864" t="str">
        <f>_xll.BDP("471144DG Muni","INSURANCE_STATUS")</f>
        <v>#N/A Requesting Data...</v>
      </c>
      <c r="D864" t="str">
        <f>_xll.BDP("471144DG Muni","STATE_CODE")</f>
        <v>#N/A Requesting Data...</v>
      </c>
      <c r="E864" t="str">
        <f>_xll.BDP("471144DG Muni","COUNTY_LOCATION_ISSUER")</f>
        <v>#N/A Requesting Data...</v>
      </c>
      <c r="F864" t="str">
        <f>_xll.BDP("471144DG Muni","DUR_ADJ_MID")</f>
        <v>#N/A Requesting Data...</v>
      </c>
      <c r="G864" t="str">
        <f>_xll.BDP("471144DG Muni","SPREAD_AT_ISSUANCE_TO_WORST")</f>
        <v>#N/A Requesting Data...</v>
      </c>
      <c r="H864" t="str">
        <f>_xll.BDP("471144DG Muni","ISSUE_DT")</f>
        <v>#N/A Requesting Data...</v>
      </c>
      <c r="I864" t="str">
        <f>_xll.BDS("471144DG Muni","MUNI_PURPOSE_SCHED", "aggregate=y")</f>
        <v>#N/A Requesting Data...</v>
      </c>
      <c r="J864" t="str">
        <f>_xll.BDP("471144DG Muni","CPN")</f>
        <v>#N/A Requesting Data...</v>
      </c>
      <c r="K864" t="str">
        <f>_xll.BDP("471144DG Muni","MATURITY")</f>
        <v>#N/A Requesting Data...</v>
      </c>
      <c r="L864">
        <v>55000</v>
      </c>
      <c r="M864" t="str">
        <f>_xll.BDP("471144DG Muni","YIELD_ON_ISSUE_DATE")</f>
        <v>#N/A Requesting Data...</v>
      </c>
      <c r="N864" t="str">
        <f>_xll.BDP("471144DG Muni","YTW_SPREAD_TO_MATURITY_AT_ISSU")</f>
        <v>#N/A Requesting Data...</v>
      </c>
      <c r="O864" t="str">
        <f>_xll.BDP("471144DG Muni","BVAL_MID_YTM")</f>
        <v>#N/A Requesting Data...</v>
      </c>
      <c r="P864" t="str">
        <f>_xll.BDP("471144DG Muni","MUNI_TAX_PROV")</f>
        <v>#N/A Requesting Data...</v>
      </c>
      <c r="Q864" t="str">
        <f>_xll.BDP("471144DG Muni","MUNI_FED_TAX")</f>
        <v>#N/A Requesting Data...</v>
      </c>
      <c r="R864" t="str">
        <f>_xll.BDP("471144DG Muni","MUNI_MSRB_VOLUME")</f>
        <v>#N/A Requesting Data...</v>
      </c>
      <c r="S864" t="str">
        <f>_xll.BDP("471144DG Muni","BB_COMPOSITE")</f>
        <v>#N/A Requesting Data...</v>
      </c>
      <c r="T864" t="str">
        <f>_xll.BDP("471144DG Muni","LQA_LIQUIDITY_SCORE")</f>
        <v>#N/A Requesting Data...</v>
      </c>
    </row>
    <row r="865" spans="1:20" x14ac:dyDescent="0.25">
      <c r="A865" t="str">
        <f>_xll.BDP("471144DJ Muni","ID_CUSIP")</f>
        <v>#N/A Requesting Data...</v>
      </c>
      <c r="B865" t="s">
        <v>237</v>
      </c>
      <c r="C865" t="str">
        <f>_xll.BDP("471144DJ Muni","INSURANCE_STATUS")</f>
        <v>#N/A Requesting Data...</v>
      </c>
      <c r="D865" t="str">
        <f>_xll.BDP("471144DJ Muni","STATE_CODE")</f>
        <v>#N/A Requesting Data...</v>
      </c>
      <c r="E865" t="str">
        <f>_xll.BDP("471144DJ Muni","COUNTY_LOCATION_ISSUER")</f>
        <v>#N/A Requesting Data...</v>
      </c>
      <c r="F865" t="str">
        <f>_xll.BDP("471144DJ Muni","DUR_ADJ_MID")</f>
        <v>#N/A Requesting Data...</v>
      </c>
      <c r="G865" t="str">
        <f>_xll.BDP("471144DJ Muni","SPREAD_AT_ISSUANCE_TO_WORST")</f>
        <v>#N/A Requesting Data...</v>
      </c>
      <c r="H865" t="str">
        <f>_xll.BDP("471144DJ Muni","ISSUE_DT")</f>
        <v>#N/A Requesting Data...</v>
      </c>
      <c r="I865" t="str">
        <f>_xll.BDS("471144DJ Muni","MUNI_PURPOSE_SCHED", "aggregate=y")</f>
        <v>#N/A Requesting Data...</v>
      </c>
      <c r="J865" t="str">
        <f>_xll.BDP("471144DJ Muni","CPN")</f>
        <v>#N/A Requesting Data...</v>
      </c>
      <c r="K865" t="str">
        <f>_xll.BDP("471144DJ Muni","MATURITY")</f>
        <v>#N/A Requesting Data...</v>
      </c>
      <c r="L865">
        <v>60000</v>
      </c>
      <c r="M865" t="str">
        <f>_xll.BDP("471144DJ Muni","YIELD_ON_ISSUE_DATE")</f>
        <v>#N/A Requesting Data...</v>
      </c>
      <c r="N865" t="str">
        <f>_xll.BDP("471144DJ Muni","YTW_SPREAD_TO_MATURITY_AT_ISSU")</f>
        <v>#N/A Requesting Data...</v>
      </c>
      <c r="O865" t="str">
        <f>_xll.BDP("471144DJ Muni","BVAL_MID_YTM")</f>
        <v>#N/A Requesting Data...</v>
      </c>
      <c r="P865" t="str">
        <f>_xll.BDP("471144DJ Muni","MUNI_TAX_PROV")</f>
        <v>#N/A Requesting Data...</v>
      </c>
      <c r="Q865" t="str">
        <f>_xll.BDP("471144DJ Muni","MUNI_FED_TAX")</f>
        <v>#N/A Requesting Data...</v>
      </c>
      <c r="R865" t="str">
        <f>_xll.BDP("471144DJ Muni","MUNI_MSRB_VOLUME")</f>
        <v>#N/A Requesting Data...</v>
      </c>
      <c r="S865" t="str">
        <f>_xll.BDP("471144DJ Muni","BB_COMPOSITE")</f>
        <v>#N/A Requesting Data...</v>
      </c>
      <c r="T865" t="str">
        <f>_xll.BDP("471144DJ Muni","LQA_LIQUIDITY_SCORE")</f>
        <v>#N/A Requesting Data...</v>
      </c>
    </row>
    <row r="866" spans="1:20" x14ac:dyDescent="0.25">
      <c r="A866" t="str">
        <f>_xll.BDP("471144DM Muni","ID_CUSIP")</f>
        <v>#N/A Requesting Data...</v>
      </c>
      <c r="B866" t="s">
        <v>237</v>
      </c>
      <c r="C866" t="str">
        <f>_xll.BDP("471144DM Muni","INSURANCE_STATUS")</f>
        <v>#N/A Requesting Data...</v>
      </c>
      <c r="D866" t="str">
        <f>_xll.BDP("471144DM Muni","STATE_CODE")</f>
        <v>#N/A Requesting Data...</v>
      </c>
      <c r="E866" t="str">
        <f>_xll.BDP("471144DM Muni","COUNTY_LOCATION_ISSUER")</f>
        <v>#N/A Requesting Data...</v>
      </c>
      <c r="F866" t="str">
        <f>_xll.BDP("471144DM Muni","DUR_ADJ_MID")</f>
        <v>#N/A Requesting Data...</v>
      </c>
      <c r="G866" t="str">
        <f>_xll.BDP("471144DM Muni","SPREAD_AT_ISSUANCE_TO_WORST")</f>
        <v>#N/A Requesting Data...</v>
      </c>
      <c r="H866" t="str">
        <f>_xll.BDP("471144DM Muni","ISSUE_DT")</f>
        <v>#N/A Requesting Data...</v>
      </c>
      <c r="I866" t="str">
        <f>_xll.BDS("471144DM Muni","MUNI_PURPOSE_SCHED", "aggregate=y")</f>
        <v>#N/A Requesting Data...</v>
      </c>
      <c r="J866" t="str">
        <f>_xll.BDP("471144DM Muni","CPN")</f>
        <v>#N/A Requesting Data...</v>
      </c>
      <c r="K866" t="str">
        <f>_xll.BDP("471144DM Muni","MATURITY")</f>
        <v>#N/A Requesting Data...</v>
      </c>
      <c r="L866">
        <v>70000</v>
      </c>
      <c r="M866" t="str">
        <f>_xll.BDP("471144DM Muni","YIELD_ON_ISSUE_DATE")</f>
        <v>#N/A Requesting Data...</v>
      </c>
      <c r="N866" t="str">
        <f>_xll.BDP("471144DM Muni","YTW_SPREAD_TO_MATURITY_AT_ISSU")</f>
        <v>#N/A Requesting Data...</v>
      </c>
      <c r="O866" t="str">
        <f>_xll.BDP("471144DM Muni","BVAL_MID_YTM")</f>
        <v>#N/A Requesting Data...</v>
      </c>
      <c r="P866" t="str">
        <f>_xll.BDP("471144DM Muni","MUNI_TAX_PROV")</f>
        <v>#N/A Requesting Data...</v>
      </c>
      <c r="Q866" t="str">
        <f>_xll.BDP("471144DM Muni","MUNI_FED_TAX")</f>
        <v>#N/A Requesting Data...</v>
      </c>
      <c r="R866" t="str">
        <f>_xll.BDP("471144DM Muni","MUNI_MSRB_VOLUME")</f>
        <v>#N/A Requesting Data...</v>
      </c>
      <c r="S866" t="str">
        <f>_xll.BDP("471144DM Muni","BB_COMPOSITE")</f>
        <v>#N/A Requesting Data...</v>
      </c>
      <c r="T866" t="str">
        <f>_xll.BDP("471144DM Muni","LQA_LIQUIDITY_SCORE")</f>
        <v>#N/A Requesting Data...</v>
      </c>
    </row>
    <row r="867" spans="1:20" x14ac:dyDescent="0.25">
      <c r="A867" t="str">
        <f>_xll.BDP("471305CL Muni","ID_CUSIP")</f>
        <v>#N/A Requesting Data...</v>
      </c>
      <c r="B867" t="s">
        <v>238</v>
      </c>
      <c r="C867" t="str">
        <f>_xll.BDP("471305CL Muni","INSURANCE_STATUS")</f>
        <v>#N/A Requesting Data...</v>
      </c>
      <c r="D867" t="str">
        <f>_xll.BDP("471305CL Muni","STATE_CODE")</f>
        <v>#N/A Requesting Data...</v>
      </c>
      <c r="E867" t="str">
        <f>_xll.BDP("471305CL Muni","COUNTY_LOCATION_ISSUER")</f>
        <v>#N/A Requesting Data...</v>
      </c>
      <c r="F867" t="str">
        <f>_xll.BDP("471305CL Muni","DUR_ADJ_MID")</f>
        <v>#N/A Requesting Data...</v>
      </c>
      <c r="G867" t="str">
        <f>_xll.BDP("471305CL Muni","SPREAD_AT_ISSUANCE_TO_WORST")</f>
        <v>#N/A Requesting Data...</v>
      </c>
      <c r="H867" t="str">
        <f>_xll.BDP("471305CL Muni","ISSUE_DT")</f>
        <v>#N/A Requesting Data...</v>
      </c>
      <c r="I867" t="str">
        <f>_xll.BDS("471305CL Muni","MUNI_PURPOSE_SCHED", "aggregate=y")</f>
        <v>#N/A Requesting Data...</v>
      </c>
      <c r="J867" t="str">
        <f>_xll.BDP("471305CL Muni","CPN")</f>
        <v>#N/A Requesting Data...</v>
      </c>
      <c r="K867" t="str">
        <f>_xll.BDP("471305CL Muni","MATURITY")</f>
        <v>#N/A Requesting Data...</v>
      </c>
      <c r="L867">
        <v>1120000</v>
      </c>
      <c r="M867" t="str">
        <f>_xll.BDP("471305CL Muni","YIELD_ON_ISSUE_DATE")</f>
        <v>#N/A Requesting Data...</v>
      </c>
      <c r="N867" t="str">
        <f>_xll.BDP("471305CL Muni","YTW_SPREAD_TO_MATURITY_AT_ISSU")</f>
        <v>#N/A Requesting Data...</v>
      </c>
      <c r="O867" t="str">
        <f>_xll.BDP("471305CL Muni","BVAL_MID_YTM")</f>
        <v>#N/A Requesting Data...</v>
      </c>
      <c r="P867" t="str">
        <f>_xll.BDP("471305CL Muni","MUNI_TAX_PROV")</f>
        <v>#N/A Requesting Data...</v>
      </c>
      <c r="Q867" t="str">
        <f>_xll.BDP("471305CL Muni","MUNI_FED_TAX")</f>
        <v>#N/A Requesting Data...</v>
      </c>
      <c r="R867" t="str">
        <f>_xll.BDP("471305CL Muni","MUNI_MSRB_VOLUME")</f>
        <v>#N/A Requesting Data...</v>
      </c>
      <c r="S867" t="str">
        <f>_xll.BDP("471305CL Muni","BB_COMPOSITE")</f>
        <v>#N/A Requesting Data...</v>
      </c>
      <c r="T867" t="str">
        <f>_xll.BDP("471305CL Muni","LQA_LIQUIDITY_SCORE")</f>
        <v>#N/A Requesting Data...</v>
      </c>
    </row>
    <row r="868" spans="1:20" x14ac:dyDescent="0.25">
      <c r="A868" t="str">
        <f>_xll.BDP("471305CU Muni","ID_CUSIP")</f>
        <v>#N/A Requesting Data...</v>
      </c>
      <c r="B868" t="s">
        <v>238</v>
      </c>
      <c r="C868" t="str">
        <f>_xll.BDP("471305CU Muni","INSURANCE_STATUS")</f>
        <v>#N/A Requesting Data...</v>
      </c>
      <c r="D868" t="str">
        <f>_xll.BDP("471305CU Muni","STATE_CODE")</f>
        <v>#N/A Requesting Data...</v>
      </c>
      <c r="E868" t="str">
        <f>_xll.BDP("471305CU Muni","COUNTY_LOCATION_ISSUER")</f>
        <v>#N/A Requesting Data...</v>
      </c>
      <c r="F868" t="str">
        <f>_xll.BDP("471305CU Muni","DUR_ADJ_MID")</f>
        <v>#N/A Requesting Data...</v>
      </c>
      <c r="G868" t="str">
        <f>_xll.BDP("471305CU Muni","SPREAD_AT_ISSUANCE_TO_WORST")</f>
        <v>#N/A Requesting Data...</v>
      </c>
      <c r="H868" t="str">
        <f>_xll.BDP("471305CU Muni","ISSUE_DT")</f>
        <v>#N/A Requesting Data...</v>
      </c>
      <c r="I868" t="str">
        <f>_xll.BDS("471305CU Muni","MUNI_PURPOSE_SCHED", "aggregate=y")</f>
        <v>#N/A Requesting Data...</v>
      </c>
      <c r="J868" t="str">
        <f>_xll.BDP("471305CU Muni","CPN")</f>
        <v>#N/A Requesting Data...</v>
      </c>
      <c r="K868" t="str">
        <f>_xll.BDP("471305CU Muni","MATURITY")</f>
        <v>#N/A Requesting Data...</v>
      </c>
      <c r="L868">
        <v>630000</v>
      </c>
      <c r="M868" t="str">
        <f>_xll.BDP("471305CU Muni","YIELD_ON_ISSUE_DATE")</f>
        <v>#N/A Requesting Data...</v>
      </c>
      <c r="N868" t="str">
        <f>_xll.BDP("471305CU Muni","YTW_SPREAD_TO_MATURITY_AT_ISSU")</f>
        <v>#N/A Requesting Data...</v>
      </c>
      <c r="O868" t="str">
        <f>_xll.BDP("471305CU Muni","BVAL_MID_YTM")</f>
        <v>#N/A Requesting Data...</v>
      </c>
      <c r="P868" t="str">
        <f>_xll.BDP("471305CU Muni","MUNI_TAX_PROV")</f>
        <v>#N/A Requesting Data...</v>
      </c>
      <c r="Q868" t="str">
        <f>_xll.BDP("471305CU Muni","MUNI_FED_TAX")</f>
        <v>#N/A Requesting Data...</v>
      </c>
      <c r="R868" t="str">
        <f>_xll.BDP("471305CU Muni","MUNI_MSRB_VOLUME")</f>
        <v>#N/A Requesting Data...</v>
      </c>
      <c r="S868" t="str">
        <f>_xll.BDP("471305CU Muni","BB_COMPOSITE")</f>
        <v>#N/A Requesting Data...</v>
      </c>
      <c r="T868" t="str">
        <f>_xll.BDP("471305CU Muni","LQA_LIQUIDITY_SCORE")</f>
        <v>#N/A Requesting Data...</v>
      </c>
    </row>
    <row r="869" spans="1:20" x14ac:dyDescent="0.25">
      <c r="A869" t="str">
        <f>_xll.BDP("45506DQ6 Muni","ID_CUSIP")</f>
        <v>#N/A Requesting Data...</v>
      </c>
      <c r="B869" t="s">
        <v>239</v>
      </c>
      <c r="C869" t="str">
        <f>_xll.BDP("45506DQ6 Muni","INSURANCE_STATUS")</f>
        <v>#N/A Requesting Data...</v>
      </c>
      <c r="D869" t="str">
        <f>_xll.BDP("45506DQ6 Muni","STATE_CODE")</f>
        <v>#N/A Requesting Data...</v>
      </c>
      <c r="E869" t="str">
        <f>_xll.BDP("45506DQ6 Muni","COUNTY_LOCATION_ISSUER")</f>
        <v>#N/A Requesting Data...</v>
      </c>
      <c r="F869" t="str">
        <f>_xll.BDP("45506DQ6 Muni","DUR_ADJ_MID")</f>
        <v>#N/A Requesting Data...</v>
      </c>
      <c r="G869" t="str">
        <f>_xll.BDP("45506DQ6 Muni","SPREAD_AT_ISSUANCE_TO_WORST")</f>
        <v>#N/A Requesting Data...</v>
      </c>
      <c r="H869" t="str">
        <f>_xll.BDP("45506DQ6 Muni","ISSUE_DT")</f>
        <v>#N/A Requesting Data...</v>
      </c>
      <c r="I869" t="str">
        <f>_xll.BDS("45506DQ6 Muni","MUNI_PURPOSE_SCHED", "aggregate=y")</f>
        <v>#N/A Requesting Data...</v>
      </c>
      <c r="J869" t="str">
        <f>_xll.BDP("45506DQ6 Muni","CPN")</f>
        <v>#N/A Requesting Data...</v>
      </c>
      <c r="K869" t="str">
        <f>_xll.BDP("45506DQ6 Muni","MATURITY")</f>
        <v>#N/A Requesting Data...</v>
      </c>
      <c r="L869">
        <v>330000</v>
      </c>
      <c r="M869" t="str">
        <f>_xll.BDP("45506DQ6 Muni","YIELD_ON_ISSUE_DATE")</f>
        <v>#N/A Requesting Data...</v>
      </c>
      <c r="N869" t="str">
        <f>_xll.BDP("45506DQ6 Muni","YTW_SPREAD_TO_MATURITY_AT_ISSU")</f>
        <v>#N/A Requesting Data...</v>
      </c>
      <c r="O869" t="str">
        <f>_xll.BDP("45506DQ6 Muni","BVAL_MID_YTM")</f>
        <v>#N/A Requesting Data...</v>
      </c>
      <c r="P869" t="str">
        <f>_xll.BDP("45506DQ6 Muni","MUNI_TAX_PROV")</f>
        <v>#N/A Requesting Data...</v>
      </c>
      <c r="Q869" t="str">
        <f>_xll.BDP("45506DQ6 Muni","MUNI_FED_TAX")</f>
        <v>#N/A Requesting Data...</v>
      </c>
      <c r="R869" t="str">
        <f>_xll.BDP("45506DQ6 Muni","MUNI_MSRB_VOLUME")</f>
        <v>#N/A Requesting Data...</v>
      </c>
      <c r="S869" t="str">
        <f>_xll.BDP("45506DQ6 Muni","BB_COMPOSITE")</f>
        <v>#N/A Requesting Data...</v>
      </c>
      <c r="T869" t="str">
        <f>_xll.BDP("45506DQ6 Muni","LQA_LIQUIDITY_SCORE")</f>
        <v>#N/A Requesting Data...</v>
      </c>
    </row>
    <row r="870" spans="1:20" x14ac:dyDescent="0.25">
      <c r="A870" t="str">
        <f>_xll.BDP("45506DQ8 Muni","ID_CUSIP")</f>
        <v>#N/A Requesting Data...</v>
      </c>
      <c r="B870" t="s">
        <v>239</v>
      </c>
      <c r="C870" t="str">
        <f>_xll.BDP("45506DQ8 Muni","INSURANCE_STATUS")</f>
        <v>#N/A Requesting Data...</v>
      </c>
      <c r="D870" t="str">
        <f>_xll.BDP("45506DQ8 Muni","STATE_CODE")</f>
        <v>#N/A Requesting Data...</v>
      </c>
      <c r="E870" t="str">
        <f>_xll.BDP("45506DQ8 Muni","COUNTY_LOCATION_ISSUER")</f>
        <v>#N/A Requesting Data...</v>
      </c>
      <c r="F870" t="str">
        <f>_xll.BDP("45506DQ8 Muni","DUR_ADJ_MID")</f>
        <v>#N/A Requesting Data...</v>
      </c>
      <c r="G870" t="str">
        <f>_xll.BDP("45506DQ8 Muni","SPREAD_AT_ISSUANCE_TO_WORST")</f>
        <v>#N/A Requesting Data...</v>
      </c>
      <c r="H870" t="str">
        <f>_xll.BDP("45506DQ8 Muni","ISSUE_DT")</f>
        <v>#N/A Requesting Data...</v>
      </c>
      <c r="I870" t="str">
        <f>_xll.BDS("45506DQ8 Muni","MUNI_PURPOSE_SCHED", "aggregate=y")</f>
        <v>#N/A Requesting Data...</v>
      </c>
      <c r="J870" t="str">
        <f>_xll.BDP("45506DQ8 Muni","CPN")</f>
        <v>#N/A Requesting Data...</v>
      </c>
      <c r="K870" t="str">
        <f>_xll.BDP("45506DQ8 Muni","MATURITY")</f>
        <v>#N/A Requesting Data...</v>
      </c>
      <c r="L870">
        <v>10885000</v>
      </c>
      <c r="M870" t="str">
        <f>_xll.BDP("45506DQ8 Muni","YIELD_ON_ISSUE_DATE")</f>
        <v>#N/A Requesting Data...</v>
      </c>
      <c r="N870" t="str">
        <f>_xll.BDP("45506DQ8 Muni","YTW_SPREAD_TO_MATURITY_AT_ISSU")</f>
        <v>#N/A Requesting Data...</v>
      </c>
      <c r="O870" t="str">
        <f>_xll.BDP("45506DQ8 Muni","BVAL_MID_YTM")</f>
        <v>#N/A Requesting Data...</v>
      </c>
      <c r="P870" t="str">
        <f>_xll.BDP("45506DQ8 Muni","MUNI_TAX_PROV")</f>
        <v>#N/A Requesting Data...</v>
      </c>
      <c r="Q870" t="str">
        <f>_xll.BDP("45506DQ8 Muni","MUNI_FED_TAX")</f>
        <v>#N/A Requesting Data...</v>
      </c>
      <c r="R870" t="str">
        <f>_xll.BDP("45506DQ8 Muni","MUNI_MSRB_VOLUME")</f>
        <v>#N/A Requesting Data...</v>
      </c>
      <c r="S870" t="str">
        <f>_xll.BDP("45506DQ8 Muni","BB_COMPOSITE")</f>
        <v>#N/A Requesting Data...</v>
      </c>
      <c r="T870" t="str">
        <f>_xll.BDP("45506DQ8 Muni","LQA_LIQUIDITY_SCORE")</f>
        <v>#N/A Requesting Data...</v>
      </c>
    </row>
    <row r="871" spans="1:20" x14ac:dyDescent="0.25">
      <c r="A871" t="str">
        <f>_xll.BDP("455412BC Muni","ID_CUSIP")</f>
        <v>#N/A Requesting Data...</v>
      </c>
      <c r="B871" t="s">
        <v>240</v>
      </c>
      <c r="C871" t="str">
        <f>_xll.BDP("455412BC Muni","INSURANCE_STATUS")</f>
        <v>#N/A Requesting Data...</v>
      </c>
      <c r="D871" t="str">
        <f>_xll.BDP("455412BC Muni","STATE_CODE")</f>
        <v>#N/A Requesting Data...</v>
      </c>
      <c r="E871" t="str">
        <f>_xll.BDP("455412BC Muni","COUNTY_LOCATION_ISSUER")</f>
        <v>#N/A Requesting Data...</v>
      </c>
      <c r="F871" t="str">
        <f>_xll.BDP("455412BC Muni","DUR_ADJ_MID")</f>
        <v>#N/A Requesting Data...</v>
      </c>
      <c r="G871" t="str">
        <f>_xll.BDP("455412BC Muni","SPREAD_AT_ISSUANCE_TO_WORST")</f>
        <v>#N/A Requesting Data...</v>
      </c>
      <c r="H871" t="str">
        <f>_xll.BDP("455412BC Muni","ISSUE_DT")</f>
        <v>#N/A Requesting Data...</v>
      </c>
      <c r="I871" t="str">
        <f>_xll.BDS("455412BC Muni","MUNI_PURPOSE_SCHED", "aggregate=y")</f>
        <v>#N/A Requesting Data...</v>
      </c>
      <c r="J871" t="str">
        <f>_xll.BDP("455412BC Muni","CPN")</f>
        <v>#N/A Requesting Data...</v>
      </c>
      <c r="K871" t="str">
        <f>_xll.BDP("455412BC Muni","MATURITY")</f>
        <v>#N/A Requesting Data...</v>
      </c>
      <c r="L871">
        <v>1865000</v>
      </c>
      <c r="M871" t="str">
        <f>_xll.BDP("455412BC Muni","YIELD_ON_ISSUE_DATE")</f>
        <v>#N/A Requesting Data...</v>
      </c>
      <c r="N871" t="str">
        <f>_xll.BDP("455412BC Muni","YTW_SPREAD_TO_MATURITY_AT_ISSU")</f>
        <v>#N/A Requesting Data...</v>
      </c>
      <c r="O871" t="str">
        <f>_xll.BDP("455412BC Muni","BVAL_MID_YTM")</f>
        <v>#N/A Requesting Data...</v>
      </c>
      <c r="P871" t="str">
        <f>_xll.BDP("455412BC Muni","MUNI_TAX_PROV")</f>
        <v>#N/A Requesting Data...</v>
      </c>
      <c r="Q871" t="str">
        <f>_xll.BDP("455412BC Muni","MUNI_FED_TAX")</f>
        <v>#N/A Requesting Data...</v>
      </c>
      <c r="R871" t="str">
        <f>_xll.BDP("455412BC Muni","MUNI_MSRB_VOLUME")</f>
        <v>#N/A Requesting Data...</v>
      </c>
      <c r="S871" t="str">
        <f>_xll.BDP("455412BC Muni","BB_COMPOSITE")</f>
        <v>#N/A Requesting Data...</v>
      </c>
      <c r="T871" t="str">
        <f>_xll.BDP("455412BC Muni","LQA_LIQUIDITY_SCORE")</f>
        <v>#N/A Requesting Data...</v>
      </c>
    </row>
    <row r="872" spans="1:20" x14ac:dyDescent="0.25">
      <c r="A872" t="str">
        <f>_xll.BDP("455412BD Muni","ID_CUSIP")</f>
        <v>#N/A Requesting Data...</v>
      </c>
      <c r="B872" t="s">
        <v>240</v>
      </c>
      <c r="C872" t="str">
        <f>_xll.BDP("455412BD Muni","INSURANCE_STATUS")</f>
        <v>#N/A Requesting Data...</v>
      </c>
      <c r="D872" t="str">
        <f>_xll.BDP("455412BD Muni","STATE_CODE")</f>
        <v>#N/A Requesting Data...</v>
      </c>
      <c r="E872" t="str">
        <f>_xll.BDP("455412BD Muni","COUNTY_LOCATION_ISSUER")</f>
        <v>#N/A Requesting Data...</v>
      </c>
      <c r="F872" t="str">
        <f>_xll.BDP("455412BD Muni","DUR_ADJ_MID")</f>
        <v>#N/A Requesting Data...</v>
      </c>
      <c r="G872" t="str">
        <f>_xll.BDP("455412BD Muni","SPREAD_AT_ISSUANCE_TO_WORST")</f>
        <v>#N/A Requesting Data...</v>
      </c>
      <c r="H872" t="str">
        <f>_xll.BDP("455412BD Muni","ISSUE_DT")</f>
        <v>#N/A Requesting Data...</v>
      </c>
      <c r="I872" t="str">
        <f>_xll.BDS("455412BD Muni","MUNI_PURPOSE_SCHED", "aggregate=y")</f>
        <v>#N/A Requesting Data...</v>
      </c>
      <c r="J872" t="str">
        <f>_xll.BDP("455412BD Muni","CPN")</f>
        <v>#N/A Requesting Data...</v>
      </c>
      <c r="K872" t="str">
        <f>_xll.BDP("455412BD Muni","MATURITY")</f>
        <v>#N/A Requesting Data...</v>
      </c>
      <c r="L872">
        <v>1350000</v>
      </c>
      <c r="M872" t="str">
        <f>_xll.BDP("455412BD Muni","YIELD_ON_ISSUE_DATE")</f>
        <v>#N/A Requesting Data...</v>
      </c>
      <c r="N872" t="str">
        <f>_xll.BDP("455412BD Muni","YTW_SPREAD_TO_MATURITY_AT_ISSU")</f>
        <v>#N/A Requesting Data...</v>
      </c>
      <c r="O872" t="str">
        <f>_xll.BDP("455412BD Muni","BVAL_MID_YTM")</f>
        <v>#N/A Requesting Data...</v>
      </c>
      <c r="P872" t="str">
        <f>_xll.BDP("455412BD Muni","MUNI_TAX_PROV")</f>
        <v>#N/A Requesting Data...</v>
      </c>
      <c r="Q872" t="str">
        <f>_xll.BDP("455412BD Muni","MUNI_FED_TAX")</f>
        <v>#N/A Requesting Data...</v>
      </c>
      <c r="R872" t="str">
        <f>_xll.BDP("455412BD Muni","MUNI_MSRB_VOLUME")</f>
        <v>#N/A Requesting Data...</v>
      </c>
      <c r="S872" t="str">
        <f>_xll.BDP("455412BD Muni","BB_COMPOSITE")</f>
        <v>#N/A Requesting Data...</v>
      </c>
      <c r="T872" t="str">
        <f>_xll.BDP("455412BD Muni","LQA_LIQUIDITY_SCORE")</f>
        <v>#N/A Requesting Data...</v>
      </c>
    </row>
    <row r="873" spans="1:20" x14ac:dyDescent="0.25">
      <c r="A873" t="str">
        <f>_xll.BDP("455412BE Muni","ID_CUSIP")</f>
        <v>#N/A Requesting Data...</v>
      </c>
      <c r="B873" t="s">
        <v>240</v>
      </c>
      <c r="C873" t="str">
        <f>_xll.BDP("455412BE Muni","INSURANCE_STATUS")</f>
        <v>#N/A Requesting Data...</v>
      </c>
      <c r="D873" t="str">
        <f>_xll.BDP("455412BE Muni","STATE_CODE")</f>
        <v>#N/A Requesting Data...</v>
      </c>
      <c r="E873" t="str">
        <f>_xll.BDP("455412BE Muni","COUNTY_LOCATION_ISSUER")</f>
        <v>#N/A Requesting Data...</v>
      </c>
      <c r="F873" t="str">
        <f>_xll.BDP("455412BE Muni","DUR_ADJ_MID")</f>
        <v>#N/A Requesting Data...</v>
      </c>
      <c r="G873" t="str">
        <f>_xll.BDP("455412BE Muni","SPREAD_AT_ISSUANCE_TO_WORST")</f>
        <v>#N/A Requesting Data...</v>
      </c>
      <c r="H873" t="str">
        <f>_xll.BDP("455412BE Muni","ISSUE_DT")</f>
        <v>#N/A Requesting Data...</v>
      </c>
      <c r="I873" t="str">
        <f>_xll.BDS("455412BE Muni","MUNI_PURPOSE_SCHED", "aggregate=y")</f>
        <v>#N/A Requesting Data...</v>
      </c>
      <c r="J873" t="str">
        <f>_xll.BDP("455412BE Muni","CPN")</f>
        <v>#N/A Requesting Data...</v>
      </c>
      <c r="K873" t="str">
        <f>_xll.BDP("455412BE Muni","MATURITY")</f>
        <v>#N/A Requesting Data...</v>
      </c>
      <c r="L873">
        <v>695000</v>
      </c>
      <c r="M873" t="str">
        <f>_xll.BDP("455412BE Muni","YIELD_ON_ISSUE_DATE")</f>
        <v>#N/A Requesting Data...</v>
      </c>
      <c r="N873" t="str">
        <f>_xll.BDP("455412BE Muni","YTW_SPREAD_TO_MATURITY_AT_ISSU")</f>
        <v>#N/A Requesting Data...</v>
      </c>
      <c r="O873" t="str">
        <f>_xll.BDP("455412BE Muni","BVAL_MID_YTM")</f>
        <v>#N/A Requesting Data...</v>
      </c>
      <c r="P873" t="str">
        <f>_xll.BDP("455412BE Muni","MUNI_TAX_PROV")</f>
        <v>#N/A Requesting Data...</v>
      </c>
      <c r="Q873" t="str">
        <f>_xll.BDP("455412BE Muni","MUNI_FED_TAX")</f>
        <v>#N/A Requesting Data...</v>
      </c>
      <c r="R873" t="str">
        <f>_xll.BDP("455412BE Muni","MUNI_MSRB_VOLUME")</f>
        <v>#N/A Requesting Data...</v>
      </c>
      <c r="S873" t="str">
        <f>_xll.BDP("455412BE Muni","BB_COMPOSITE")</f>
        <v>#N/A Requesting Data...</v>
      </c>
      <c r="T873" t="str">
        <f>_xll.BDP("455412BE Muni","LQA_LIQUIDITY_SCORE")</f>
        <v>#N/A Requesting Data...</v>
      </c>
    </row>
    <row r="874" spans="1:20" x14ac:dyDescent="0.25">
      <c r="A874" t="str">
        <f>_xll.BDP("455412BG Muni","ID_CUSIP")</f>
        <v>#N/A Requesting Data...</v>
      </c>
      <c r="B874" t="s">
        <v>240</v>
      </c>
      <c r="C874" t="str">
        <f>_xll.BDP("455412BG Muni","INSURANCE_STATUS")</f>
        <v>#N/A Requesting Data...</v>
      </c>
      <c r="D874" t="str">
        <f>_xll.BDP("455412BG Muni","STATE_CODE")</f>
        <v>#N/A Requesting Data...</v>
      </c>
      <c r="E874" t="str">
        <f>_xll.BDP("455412BG Muni","COUNTY_LOCATION_ISSUER")</f>
        <v>#N/A Requesting Data...</v>
      </c>
      <c r="F874" t="str">
        <f>_xll.BDP("455412BG Muni","DUR_ADJ_MID")</f>
        <v>#N/A Requesting Data...</v>
      </c>
      <c r="G874" t="str">
        <f>_xll.BDP("455412BG Muni","SPREAD_AT_ISSUANCE_TO_WORST")</f>
        <v>#N/A Requesting Data...</v>
      </c>
      <c r="H874" t="str">
        <f>_xll.BDP("455412BG Muni","ISSUE_DT")</f>
        <v>#N/A Requesting Data...</v>
      </c>
      <c r="I874" t="str">
        <f>_xll.BDS("455412BG Muni","MUNI_PURPOSE_SCHED", "aggregate=y")</f>
        <v>#N/A Requesting Data...</v>
      </c>
      <c r="J874" t="str">
        <f>_xll.BDP("455412BG Muni","CPN")</f>
        <v>#N/A Requesting Data...</v>
      </c>
      <c r="K874" t="str">
        <f>_xll.BDP("455412BG Muni","MATURITY")</f>
        <v>#N/A Requesting Data...</v>
      </c>
      <c r="L874">
        <v>22490000</v>
      </c>
      <c r="M874" t="str">
        <f>_xll.BDP("455412BG Muni","YIELD_ON_ISSUE_DATE")</f>
        <v>#N/A Requesting Data...</v>
      </c>
      <c r="N874" t="str">
        <f>_xll.BDP("455412BG Muni","YTW_SPREAD_TO_MATURITY_AT_ISSU")</f>
        <v>#N/A Requesting Data...</v>
      </c>
      <c r="O874" t="str">
        <f>_xll.BDP("455412BG Muni","BVAL_MID_YTM")</f>
        <v>#N/A Requesting Data...</v>
      </c>
      <c r="P874" t="str">
        <f>_xll.BDP("455412BG Muni","MUNI_TAX_PROV")</f>
        <v>#N/A Requesting Data...</v>
      </c>
      <c r="Q874" t="str">
        <f>_xll.BDP("455412BG Muni","MUNI_FED_TAX")</f>
        <v>#N/A Requesting Data...</v>
      </c>
      <c r="R874" t="str">
        <f>_xll.BDP("455412BG Muni","MUNI_MSRB_VOLUME")</f>
        <v>#N/A Requesting Data...</v>
      </c>
      <c r="S874" t="str">
        <f>_xll.BDP("455412BG Muni","BB_COMPOSITE")</f>
        <v>#N/A Requesting Data...</v>
      </c>
      <c r="T874" t="str">
        <f>_xll.BDP("455412BG Muni","LQA_LIQUIDITY_SCORE")</f>
        <v>#N/A Requesting Data...</v>
      </c>
    </row>
    <row r="875" spans="1:20" x14ac:dyDescent="0.25">
      <c r="A875" t="str">
        <f>_xll.BDP("468394QK Muni","ID_CUSIP")</f>
        <v>#N/A Requesting Data...</v>
      </c>
      <c r="B875" t="s">
        <v>241</v>
      </c>
      <c r="C875" t="str">
        <f>_xll.BDP("468394QK Muni","INSURANCE_STATUS")</f>
        <v>#N/A Requesting Data...</v>
      </c>
      <c r="D875" t="str">
        <f>_xll.BDP("468394QK Muni","STATE_CODE")</f>
        <v>#N/A Requesting Data...</v>
      </c>
      <c r="E875" t="str">
        <f>_xll.BDP("468394QK Muni","COUNTY_LOCATION_ISSUER")</f>
        <v>#N/A Requesting Data...</v>
      </c>
      <c r="F875" t="str">
        <f>_xll.BDP("468394QK Muni","DUR_ADJ_MID")</f>
        <v>#N/A Requesting Data...</v>
      </c>
      <c r="G875" t="str">
        <f>_xll.BDP("468394QK Muni","SPREAD_AT_ISSUANCE_TO_WORST")</f>
        <v>#N/A Requesting Data...</v>
      </c>
      <c r="H875" t="str">
        <f>_xll.BDP("468394QK Muni","ISSUE_DT")</f>
        <v>#N/A Requesting Data...</v>
      </c>
      <c r="I875" t="str">
        <f>_xll.BDS("468394QK Muni","MUNI_PURPOSE_SCHED", "aggregate=y")</f>
        <v>#N/A Requesting Data...</v>
      </c>
      <c r="J875" t="str">
        <f>_xll.BDP("468394QK Muni","CPN")</f>
        <v>#N/A Requesting Data...</v>
      </c>
      <c r="K875" t="str">
        <f>_xll.BDP("468394QK Muni","MATURITY")</f>
        <v>#N/A Requesting Data...</v>
      </c>
      <c r="L875">
        <v>85000</v>
      </c>
      <c r="M875" t="str">
        <f>_xll.BDP("468394QK Muni","YIELD_ON_ISSUE_DATE")</f>
        <v>#N/A Requesting Data...</v>
      </c>
      <c r="N875" t="str">
        <f>_xll.BDP("468394QK Muni","YTW_SPREAD_TO_MATURITY_AT_ISSU")</f>
        <v>#N/A Requesting Data...</v>
      </c>
      <c r="O875" t="str">
        <f>_xll.BDP("468394QK Muni","BVAL_MID_YTM")</f>
        <v>#N/A Requesting Data...</v>
      </c>
      <c r="P875" t="str">
        <f>_xll.BDP("468394QK Muni","MUNI_TAX_PROV")</f>
        <v>#N/A Requesting Data...</v>
      </c>
      <c r="Q875" t="str">
        <f>_xll.BDP("468394QK Muni","MUNI_FED_TAX")</f>
        <v>#N/A Requesting Data...</v>
      </c>
      <c r="R875" t="str">
        <f>_xll.BDP("468394QK Muni","MUNI_MSRB_VOLUME")</f>
        <v>#N/A Requesting Data...</v>
      </c>
      <c r="S875" t="str">
        <f>_xll.BDP("468394QK Muni","BB_COMPOSITE")</f>
        <v>#N/A Requesting Data...</v>
      </c>
      <c r="T875" t="str">
        <f>_xll.BDP("468394QK Muni","LQA_LIQUIDITY_SCORE")</f>
        <v>#N/A Requesting Data...</v>
      </c>
    </row>
    <row r="876" spans="1:20" x14ac:dyDescent="0.25">
      <c r="A876" t="str">
        <f>_xll.BDP("514192GK Muni","ID_CUSIP")</f>
        <v>#N/A Requesting Data...</v>
      </c>
      <c r="B876" t="s">
        <v>242</v>
      </c>
      <c r="C876" t="str">
        <f>_xll.BDP("514192GK Muni","INSURANCE_STATUS")</f>
        <v>#N/A Requesting Data...</v>
      </c>
      <c r="D876" t="str">
        <f>_xll.BDP("514192GK Muni","STATE_CODE")</f>
        <v>#N/A Requesting Data...</v>
      </c>
      <c r="E876" t="str">
        <f>_xll.BDP("514192GK Muni","COUNTY_LOCATION_ISSUER")</f>
        <v>#N/A Requesting Data...</v>
      </c>
      <c r="F876" t="str">
        <f>_xll.BDP("514192GK Muni","DUR_ADJ_MID")</f>
        <v>#N/A Requesting Data...</v>
      </c>
      <c r="G876" t="str">
        <f>_xll.BDP("514192GK Muni","SPREAD_AT_ISSUANCE_TO_WORST")</f>
        <v>#N/A Requesting Data...</v>
      </c>
      <c r="H876" t="str">
        <f>_xll.BDP("514192GK Muni","ISSUE_DT")</f>
        <v>#N/A Requesting Data...</v>
      </c>
      <c r="I876" t="str">
        <f>_xll.BDS("514192GK Muni","MUNI_PURPOSE_SCHED", "aggregate=y")</f>
        <v>#N/A Requesting Data...</v>
      </c>
      <c r="J876" t="str">
        <f>_xll.BDP("514192GK Muni","CPN")</f>
        <v>#N/A Requesting Data...</v>
      </c>
      <c r="K876" t="str">
        <f>_xll.BDP("514192GK Muni","MATURITY")</f>
        <v>#N/A Requesting Data...</v>
      </c>
      <c r="L876">
        <v>175000</v>
      </c>
      <c r="M876" t="str">
        <f>_xll.BDP("514192GK Muni","YIELD_ON_ISSUE_DATE")</f>
        <v>#N/A Requesting Data...</v>
      </c>
      <c r="N876" t="str">
        <f>_xll.BDP("514192GK Muni","YTW_SPREAD_TO_MATURITY_AT_ISSU")</f>
        <v>#N/A Requesting Data...</v>
      </c>
      <c r="O876" t="str">
        <f>_xll.BDP("514192GK Muni","BVAL_MID_YTM")</f>
        <v>#N/A Requesting Data...</v>
      </c>
      <c r="P876" t="str">
        <f>_xll.BDP("514192GK Muni","MUNI_TAX_PROV")</f>
        <v>#N/A Requesting Data...</v>
      </c>
      <c r="Q876" t="str">
        <f>_xll.BDP("514192GK Muni","MUNI_FED_TAX")</f>
        <v>#N/A Requesting Data...</v>
      </c>
      <c r="R876" t="str">
        <f>_xll.BDP("514192GK Muni","MUNI_MSRB_VOLUME")</f>
        <v>#N/A Requesting Data...</v>
      </c>
      <c r="S876" t="str">
        <f>_xll.BDP("514192GK Muni","BB_COMPOSITE")</f>
        <v>#N/A Requesting Data...</v>
      </c>
      <c r="T876" t="str">
        <f>_xll.BDP("514192GK Muni","LQA_LIQUIDITY_SCORE")</f>
        <v>#N/A Requesting Data...</v>
      </c>
    </row>
    <row r="877" spans="1:20" x14ac:dyDescent="0.25">
      <c r="A877" t="str">
        <f>_xll.BDP("514192GL Muni","ID_CUSIP")</f>
        <v>#N/A Requesting Data...</v>
      </c>
      <c r="B877" t="s">
        <v>242</v>
      </c>
      <c r="C877" t="str">
        <f>_xll.BDP("514192GL Muni","INSURANCE_STATUS")</f>
        <v>#N/A Requesting Data...</v>
      </c>
      <c r="D877" t="str">
        <f>_xll.BDP("514192GL Muni","STATE_CODE")</f>
        <v>#N/A Requesting Data...</v>
      </c>
      <c r="E877" t="str">
        <f>_xll.BDP("514192GL Muni","COUNTY_LOCATION_ISSUER")</f>
        <v>#N/A Requesting Data...</v>
      </c>
      <c r="F877" t="str">
        <f>_xll.BDP("514192GL Muni","DUR_ADJ_MID")</f>
        <v>#N/A Requesting Data...</v>
      </c>
      <c r="G877" t="str">
        <f>_xll.BDP("514192GL Muni","SPREAD_AT_ISSUANCE_TO_WORST")</f>
        <v>#N/A Requesting Data...</v>
      </c>
      <c r="H877" t="str">
        <f>_xll.BDP("514192GL Muni","ISSUE_DT")</f>
        <v>#N/A Requesting Data...</v>
      </c>
      <c r="I877" t="str">
        <f>_xll.BDS("514192GL Muni","MUNI_PURPOSE_SCHED", "aggregate=y")</f>
        <v>#N/A Requesting Data...</v>
      </c>
      <c r="J877" t="str">
        <f>_xll.BDP("514192GL Muni","CPN")</f>
        <v>#N/A Requesting Data...</v>
      </c>
      <c r="K877" t="str">
        <f>_xll.BDP("514192GL Muni","MATURITY")</f>
        <v>#N/A Requesting Data...</v>
      </c>
      <c r="L877">
        <v>175000</v>
      </c>
      <c r="M877" t="str">
        <f>_xll.BDP("514192GL Muni","YIELD_ON_ISSUE_DATE")</f>
        <v>#N/A Requesting Data...</v>
      </c>
      <c r="N877" t="str">
        <f>_xll.BDP("514192GL Muni","YTW_SPREAD_TO_MATURITY_AT_ISSU")</f>
        <v>#N/A Requesting Data...</v>
      </c>
      <c r="O877" t="str">
        <f>_xll.BDP("514192GL Muni","BVAL_MID_YTM")</f>
        <v>#N/A Requesting Data...</v>
      </c>
      <c r="P877" t="str">
        <f>_xll.BDP("514192GL Muni","MUNI_TAX_PROV")</f>
        <v>#N/A Requesting Data...</v>
      </c>
      <c r="Q877" t="str">
        <f>_xll.BDP("514192GL Muni","MUNI_FED_TAX")</f>
        <v>#N/A Requesting Data...</v>
      </c>
      <c r="R877" t="str">
        <f>_xll.BDP("514192GL Muni","MUNI_MSRB_VOLUME")</f>
        <v>#N/A Requesting Data...</v>
      </c>
      <c r="S877" t="str">
        <f>_xll.BDP("514192GL Muni","BB_COMPOSITE")</f>
        <v>#N/A Requesting Data...</v>
      </c>
      <c r="T877" t="str">
        <f>_xll.BDP("514192GL Muni","LQA_LIQUIDITY_SCORE")</f>
        <v>#N/A Requesting Data...</v>
      </c>
    </row>
    <row r="878" spans="1:20" x14ac:dyDescent="0.25">
      <c r="A878" t="str">
        <f>_xll.BDP("514192GN Muni","ID_CUSIP")</f>
        <v>#N/A Requesting Data...</v>
      </c>
      <c r="B878" t="s">
        <v>242</v>
      </c>
      <c r="C878" t="str">
        <f>_xll.BDP("514192GN Muni","INSURANCE_STATUS")</f>
        <v>#N/A Requesting Data...</v>
      </c>
      <c r="D878" t="str">
        <f>_xll.BDP("514192GN Muni","STATE_CODE")</f>
        <v>#N/A Requesting Data...</v>
      </c>
      <c r="E878" t="str">
        <f>_xll.BDP("514192GN Muni","COUNTY_LOCATION_ISSUER")</f>
        <v>#N/A Requesting Data...</v>
      </c>
      <c r="F878" t="str">
        <f>_xll.BDP("514192GN Muni","DUR_ADJ_MID")</f>
        <v>#N/A Requesting Data...</v>
      </c>
      <c r="G878" t="str">
        <f>_xll.BDP("514192GN Muni","SPREAD_AT_ISSUANCE_TO_WORST")</f>
        <v>#N/A Requesting Data...</v>
      </c>
      <c r="H878" t="str">
        <f>_xll.BDP("514192GN Muni","ISSUE_DT")</f>
        <v>#N/A Requesting Data...</v>
      </c>
      <c r="I878" t="str">
        <f>_xll.BDS("514192GN Muni","MUNI_PURPOSE_SCHED", "aggregate=y")</f>
        <v>#N/A Requesting Data...</v>
      </c>
      <c r="J878" t="str">
        <f>_xll.BDP("514192GN Muni","CPN")</f>
        <v>#N/A Requesting Data...</v>
      </c>
      <c r="K878" t="str">
        <f>_xll.BDP("514192GN Muni","MATURITY")</f>
        <v>#N/A Requesting Data...</v>
      </c>
      <c r="L878">
        <v>175000</v>
      </c>
      <c r="M878" t="str">
        <f>_xll.BDP("514192GN Muni","YIELD_ON_ISSUE_DATE")</f>
        <v>#N/A Requesting Data...</v>
      </c>
      <c r="N878" t="str">
        <f>_xll.BDP("514192GN Muni","YTW_SPREAD_TO_MATURITY_AT_ISSU")</f>
        <v>#N/A Requesting Data...</v>
      </c>
      <c r="O878" t="str">
        <f>_xll.BDP("514192GN Muni","BVAL_MID_YTM")</f>
        <v>#N/A Requesting Data...</v>
      </c>
      <c r="P878" t="str">
        <f>_xll.BDP("514192GN Muni","MUNI_TAX_PROV")</f>
        <v>#N/A Requesting Data...</v>
      </c>
      <c r="Q878" t="str">
        <f>_xll.BDP("514192GN Muni","MUNI_FED_TAX")</f>
        <v>#N/A Requesting Data...</v>
      </c>
      <c r="R878" t="str">
        <f>_xll.BDP("514192GN Muni","MUNI_MSRB_VOLUME")</f>
        <v>#N/A Requesting Data...</v>
      </c>
      <c r="S878" t="str">
        <f>_xll.BDP("514192GN Muni","BB_COMPOSITE")</f>
        <v>#N/A Requesting Data...</v>
      </c>
      <c r="T878" t="str">
        <f>_xll.BDP("514192GN Muni","LQA_LIQUIDITY_SCORE")</f>
        <v>#N/A Requesting Data...</v>
      </c>
    </row>
    <row r="879" spans="1:20" x14ac:dyDescent="0.25">
      <c r="A879" t="str">
        <f>_xll.BDP("514192GQ Muni","ID_CUSIP")</f>
        <v>#N/A Requesting Data...</v>
      </c>
      <c r="B879" t="s">
        <v>242</v>
      </c>
      <c r="C879" t="str">
        <f>_xll.BDP("514192GQ Muni","INSURANCE_STATUS")</f>
        <v>#N/A Requesting Data...</v>
      </c>
      <c r="D879" t="str">
        <f>_xll.BDP("514192GQ Muni","STATE_CODE")</f>
        <v>#N/A Requesting Data...</v>
      </c>
      <c r="E879" t="str">
        <f>_xll.BDP("514192GQ Muni","COUNTY_LOCATION_ISSUER")</f>
        <v>#N/A Requesting Data...</v>
      </c>
      <c r="F879" t="str">
        <f>_xll.BDP("514192GQ Muni","DUR_ADJ_MID")</f>
        <v>#N/A Requesting Data...</v>
      </c>
      <c r="G879" t="str">
        <f>_xll.BDP("514192GQ Muni","SPREAD_AT_ISSUANCE_TO_WORST")</f>
        <v>#N/A Requesting Data...</v>
      </c>
      <c r="H879" t="str">
        <f>_xll.BDP("514192GQ Muni","ISSUE_DT")</f>
        <v>#N/A Requesting Data...</v>
      </c>
      <c r="I879" t="str">
        <f>_xll.BDS("514192GQ Muni","MUNI_PURPOSE_SCHED", "aggregate=y")</f>
        <v>#N/A Requesting Data...</v>
      </c>
      <c r="J879" t="str">
        <f>_xll.BDP("514192GQ Muni","CPN")</f>
        <v>#N/A Requesting Data...</v>
      </c>
      <c r="K879" t="str">
        <f>_xll.BDP("514192GQ Muni","MATURITY")</f>
        <v>#N/A Requesting Data...</v>
      </c>
      <c r="L879">
        <v>175000</v>
      </c>
      <c r="M879" t="str">
        <f>_xll.BDP("514192GQ Muni","YIELD_ON_ISSUE_DATE")</f>
        <v>#N/A Requesting Data...</v>
      </c>
      <c r="N879" t="str">
        <f>_xll.BDP("514192GQ Muni","YTW_SPREAD_TO_MATURITY_AT_ISSU")</f>
        <v>#N/A Requesting Data...</v>
      </c>
      <c r="O879" t="str">
        <f>_xll.BDP("514192GQ Muni","BVAL_MID_YTM")</f>
        <v>#N/A Requesting Data...</v>
      </c>
      <c r="P879" t="str">
        <f>_xll.BDP("514192GQ Muni","MUNI_TAX_PROV")</f>
        <v>#N/A Requesting Data...</v>
      </c>
      <c r="Q879" t="str">
        <f>_xll.BDP("514192GQ Muni","MUNI_FED_TAX")</f>
        <v>#N/A Requesting Data...</v>
      </c>
      <c r="R879" t="str">
        <f>_xll.BDP("514192GQ Muni","MUNI_MSRB_VOLUME")</f>
        <v>#N/A Requesting Data...</v>
      </c>
      <c r="S879" t="str">
        <f>_xll.BDP("514192GQ Muni","BB_COMPOSITE")</f>
        <v>#N/A Requesting Data...</v>
      </c>
      <c r="T879" t="str">
        <f>_xll.BDP("514192GQ Muni","LQA_LIQUIDITY_SCORE")</f>
        <v>#N/A Requesting Data...</v>
      </c>
    </row>
    <row r="880" spans="1:20" x14ac:dyDescent="0.25">
      <c r="A880" t="str">
        <f>_xll.BDP("441182KR Muni","ID_CUSIP")</f>
        <v>#N/A Requesting Data...</v>
      </c>
      <c r="B880" t="s">
        <v>243</v>
      </c>
      <c r="C880" t="str">
        <f>_xll.BDP("441182KR Muni","INSURANCE_STATUS")</f>
        <v>#N/A Requesting Data...</v>
      </c>
      <c r="D880" t="str">
        <f>_xll.BDP("441182KR Muni","STATE_CODE")</f>
        <v>#N/A Requesting Data...</v>
      </c>
      <c r="E880" t="str">
        <f>_xll.BDP("441182KR Muni","COUNTY_LOCATION_ISSUER")</f>
        <v>#N/A Requesting Data...</v>
      </c>
      <c r="F880" t="str">
        <f>_xll.BDP("441182KR Muni","DUR_ADJ_MID")</f>
        <v>#N/A Requesting Data...</v>
      </c>
      <c r="G880" t="str">
        <f>_xll.BDP("441182KR Muni","SPREAD_AT_ISSUANCE_TO_WORST")</f>
        <v>#N/A Requesting Data...</v>
      </c>
      <c r="H880" t="str">
        <f>_xll.BDP("441182KR Muni","ISSUE_DT")</f>
        <v>#N/A Requesting Data...</v>
      </c>
      <c r="I880" t="str">
        <f>_xll.BDS("441182KR Muni","MUNI_PURPOSE_SCHED", "aggregate=y")</f>
        <v>#N/A Requesting Data...</v>
      </c>
      <c r="J880" t="str">
        <f>_xll.BDP("441182KR Muni","CPN")</f>
        <v>#N/A Requesting Data...</v>
      </c>
      <c r="K880" t="str">
        <f>_xll.BDP("441182KR Muni","MATURITY")</f>
        <v>#N/A Requesting Data...</v>
      </c>
      <c r="L880">
        <v>580000</v>
      </c>
      <c r="M880" t="str">
        <f>_xll.BDP("441182KR Muni","YIELD_ON_ISSUE_DATE")</f>
        <v>#N/A Requesting Data...</v>
      </c>
      <c r="N880" t="str">
        <f>_xll.BDP("441182KR Muni","YTW_SPREAD_TO_MATURITY_AT_ISSU")</f>
        <v>#N/A Requesting Data...</v>
      </c>
      <c r="O880" t="str">
        <f>_xll.BDP("441182KR Muni","BVAL_MID_YTM")</f>
        <v>#N/A Requesting Data...</v>
      </c>
      <c r="P880" t="str">
        <f>_xll.BDP("441182KR Muni","MUNI_TAX_PROV")</f>
        <v>#N/A Requesting Data...</v>
      </c>
      <c r="Q880" t="str">
        <f>_xll.BDP("441182KR Muni","MUNI_FED_TAX")</f>
        <v>#N/A Requesting Data...</v>
      </c>
      <c r="R880" t="str">
        <f>_xll.BDP("441182KR Muni","MUNI_MSRB_VOLUME")</f>
        <v>#N/A Requesting Data...</v>
      </c>
      <c r="S880" t="str">
        <f>_xll.BDP("441182KR Muni","BB_COMPOSITE")</f>
        <v>#N/A Requesting Data...</v>
      </c>
      <c r="T880" t="str">
        <f>_xll.BDP("441182KR Muni","LQA_LIQUIDITY_SCORE")</f>
        <v>#N/A Requesting Data...</v>
      </c>
    </row>
    <row r="881" spans="1:20" x14ac:dyDescent="0.25">
      <c r="A881" t="str">
        <f>_xll.BDP("441182KS Muni","ID_CUSIP")</f>
        <v>#N/A Requesting Data...</v>
      </c>
      <c r="B881" t="s">
        <v>243</v>
      </c>
      <c r="C881" t="str">
        <f>_xll.BDP("441182KS Muni","INSURANCE_STATUS")</f>
        <v>#N/A Requesting Data...</v>
      </c>
      <c r="D881" t="str">
        <f>_xll.BDP("441182KS Muni","STATE_CODE")</f>
        <v>#N/A Requesting Data...</v>
      </c>
      <c r="E881" t="str">
        <f>_xll.BDP("441182KS Muni","COUNTY_LOCATION_ISSUER")</f>
        <v>#N/A Requesting Data...</v>
      </c>
      <c r="F881" t="str">
        <f>_xll.BDP("441182KS Muni","DUR_ADJ_MID")</f>
        <v>#N/A Requesting Data...</v>
      </c>
      <c r="G881" t="str">
        <f>_xll.BDP("441182KS Muni","SPREAD_AT_ISSUANCE_TO_WORST")</f>
        <v>#N/A Requesting Data...</v>
      </c>
      <c r="H881" t="str">
        <f>_xll.BDP("441182KS Muni","ISSUE_DT")</f>
        <v>#N/A Requesting Data...</v>
      </c>
      <c r="I881" t="str">
        <f>_xll.BDS("441182KS Muni","MUNI_PURPOSE_SCHED", "aggregate=y")</f>
        <v>#N/A Requesting Data...</v>
      </c>
      <c r="J881" t="str">
        <f>_xll.BDP("441182KS Muni","CPN")</f>
        <v>#N/A Requesting Data...</v>
      </c>
      <c r="K881" t="str">
        <f>_xll.BDP("441182KS Muni","MATURITY")</f>
        <v>#N/A Requesting Data...</v>
      </c>
      <c r="L881">
        <v>600000</v>
      </c>
      <c r="M881" t="str">
        <f>_xll.BDP("441182KS Muni","YIELD_ON_ISSUE_DATE")</f>
        <v>#N/A Requesting Data...</v>
      </c>
      <c r="N881" t="str">
        <f>_xll.BDP("441182KS Muni","YTW_SPREAD_TO_MATURITY_AT_ISSU")</f>
        <v>#N/A Requesting Data...</v>
      </c>
      <c r="O881" t="str">
        <f>_xll.BDP("441182KS Muni","BVAL_MID_YTM")</f>
        <v>#N/A Requesting Data...</v>
      </c>
      <c r="P881" t="str">
        <f>_xll.BDP("441182KS Muni","MUNI_TAX_PROV")</f>
        <v>#N/A Requesting Data...</v>
      </c>
      <c r="Q881" t="str">
        <f>_xll.BDP("441182KS Muni","MUNI_FED_TAX")</f>
        <v>#N/A Requesting Data...</v>
      </c>
      <c r="R881" t="str">
        <f>_xll.BDP("441182KS Muni","MUNI_MSRB_VOLUME")</f>
        <v>#N/A Requesting Data...</v>
      </c>
      <c r="S881" t="str">
        <f>_xll.BDP("441182KS Muni","BB_COMPOSITE")</f>
        <v>#N/A Requesting Data...</v>
      </c>
      <c r="T881" t="str">
        <f>_xll.BDP("441182KS Muni","LQA_LIQUIDITY_SCORE")</f>
        <v>#N/A Requesting Data...</v>
      </c>
    </row>
    <row r="882" spans="1:20" x14ac:dyDescent="0.25">
      <c r="A882" t="str">
        <f>_xll.BDP("441182KU Muni","ID_CUSIP")</f>
        <v>#N/A Requesting Data...</v>
      </c>
      <c r="B882" t="s">
        <v>243</v>
      </c>
      <c r="C882" t="str">
        <f>_xll.BDP("441182KU Muni","INSURANCE_STATUS")</f>
        <v>#N/A Requesting Data...</v>
      </c>
      <c r="D882" t="str">
        <f>_xll.BDP("441182KU Muni","STATE_CODE")</f>
        <v>#N/A Requesting Data...</v>
      </c>
      <c r="E882" t="str">
        <f>_xll.BDP("441182KU Muni","COUNTY_LOCATION_ISSUER")</f>
        <v>#N/A Requesting Data...</v>
      </c>
      <c r="F882" t="str">
        <f>_xll.BDP("441182KU Muni","DUR_ADJ_MID")</f>
        <v>#N/A Requesting Data...</v>
      </c>
      <c r="G882" t="str">
        <f>_xll.BDP("441182KU Muni","SPREAD_AT_ISSUANCE_TO_WORST")</f>
        <v>#N/A Requesting Data...</v>
      </c>
      <c r="H882" t="str">
        <f>_xll.BDP("441182KU Muni","ISSUE_DT")</f>
        <v>#N/A Requesting Data...</v>
      </c>
      <c r="I882" t="str">
        <f>_xll.BDS("441182KU Muni","MUNI_PURPOSE_SCHED", "aggregate=y")</f>
        <v>#N/A Requesting Data...</v>
      </c>
      <c r="J882" t="str">
        <f>_xll.BDP("441182KU Muni","CPN")</f>
        <v>#N/A Requesting Data...</v>
      </c>
      <c r="K882" t="str">
        <f>_xll.BDP("441182KU Muni","MATURITY")</f>
        <v>#N/A Requesting Data...</v>
      </c>
      <c r="L882">
        <v>635000</v>
      </c>
      <c r="M882" t="str">
        <f>_xll.BDP("441182KU Muni","YIELD_ON_ISSUE_DATE")</f>
        <v>#N/A Requesting Data...</v>
      </c>
      <c r="N882" t="str">
        <f>_xll.BDP("441182KU Muni","YTW_SPREAD_TO_MATURITY_AT_ISSU")</f>
        <v>#N/A Requesting Data...</v>
      </c>
      <c r="O882" t="str">
        <f>_xll.BDP("441182KU Muni","BVAL_MID_YTM")</f>
        <v>#N/A Requesting Data...</v>
      </c>
      <c r="P882" t="str">
        <f>_xll.BDP("441182KU Muni","MUNI_TAX_PROV")</f>
        <v>#N/A Requesting Data...</v>
      </c>
      <c r="Q882" t="str">
        <f>_xll.BDP("441182KU Muni","MUNI_FED_TAX")</f>
        <v>#N/A Requesting Data...</v>
      </c>
      <c r="R882" t="str">
        <f>_xll.BDP("441182KU Muni","MUNI_MSRB_VOLUME")</f>
        <v>#N/A Requesting Data...</v>
      </c>
      <c r="S882" t="str">
        <f>_xll.BDP("441182KU Muni","BB_COMPOSITE")</f>
        <v>#N/A Requesting Data...</v>
      </c>
      <c r="T882" t="str">
        <f>_xll.BDP("441182KU Muni","LQA_LIQUIDITY_SCORE")</f>
        <v>#N/A Requesting Data...</v>
      </c>
    </row>
    <row r="883" spans="1:20" x14ac:dyDescent="0.25">
      <c r="A883" t="str">
        <f>_xll.BDP("429164CH Muni","ID_CUSIP")</f>
        <v>#N/A Requesting Data...</v>
      </c>
      <c r="B883" t="s">
        <v>191</v>
      </c>
      <c r="C883" t="str">
        <f>_xll.BDP("429164CH Muni","INSURANCE_STATUS")</f>
        <v>#N/A Requesting Data...</v>
      </c>
      <c r="D883" t="str">
        <f>_xll.BDP("429164CH Muni","STATE_CODE")</f>
        <v>#N/A Requesting Data...</v>
      </c>
      <c r="E883" t="str">
        <f>_xll.BDP("429164CH Muni","COUNTY_LOCATION_ISSUER")</f>
        <v>#N/A Requesting Data...</v>
      </c>
      <c r="F883" t="str">
        <f>_xll.BDP("429164CH Muni","DUR_ADJ_MID")</f>
        <v>#N/A Requesting Data...</v>
      </c>
      <c r="G883" t="str">
        <f>_xll.BDP("429164CH Muni","SPREAD_AT_ISSUANCE_TO_WORST")</f>
        <v>#N/A Requesting Data...</v>
      </c>
      <c r="H883" t="str">
        <f>_xll.BDP("429164CH Muni","ISSUE_DT")</f>
        <v>#N/A Requesting Data...</v>
      </c>
      <c r="I883" t="str">
        <f>_xll.BDS("429164CH Muni","MUNI_PURPOSE_SCHED", "aggregate=y")</f>
        <v>#N/A Requesting Data...</v>
      </c>
      <c r="J883" t="str">
        <f>_xll.BDP("429164CH Muni","CPN")</f>
        <v>#N/A Requesting Data...</v>
      </c>
      <c r="K883" t="str">
        <f>_xll.BDP("429164CH Muni","MATURITY")</f>
        <v>#N/A Requesting Data...</v>
      </c>
      <c r="L883">
        <v>580000</v>
      </c>
      <c r="M883" t="str">
        <f>_xll.BDP("429164CH Muni","YIELD_ON_ISSUE_DATE")</f>
        <v>#N/A Requesting Data...</v>
      </c>
      <c r="N883" t="str">
        <f>_xll.BDP("429164CH Muni","YTW_SPREAD_TO_MATURITY_AT_ISSU")</f>
        <v>#N/A Requesting Data...</v>
      </c>
      <c r="O883" t="str">
        <f>_xll.BDP("429164CH Muni","BVAL_MID_YTM")</f>
        <v>#N/A Requesting Data...</v>
      </c>
      <c r="P883" t="str">
        <f>_xll.BDP("429164CH Muni","MUNI_TAX_PROV")</f>
        <v>#N/A Requesting Data...</v>
      </c>
      <c r="Q883" t="str">
        <f>_xll.BDP("429164CH Muni","MUNI_FED_TAX")</f>
        <v>#N/A Requesting Data...</v>
      </c>
      <c r="R883" t="str">
        <f>_xll.BDP("429164CH Muni","MUNI_MSRB_VOLUME")</f>
        <v>#N/A Requesting Data...</v>
      </c>
      <c r="S883" t="str">
        <f>_xll.BDP("429164CH Muni","BB_COMPOSITE")</f>
        <v>#N/A Requesting Data...</v>
      </c>
      <c r="T883" t="str">
        <f>_xll.BDP("429164CH Muni","LQA_LIQUIDITY_SCORE")</f>
        <v>#N/A Requesting Data...</v>
      </c>
    </row>
    <row r="884" spans="1:20" x14ac:dyDescent="0.25">
      <c r="A884" t="str">
        <f>_xll.BDP("429164CJ Muni","ID_CUSIP")</f>
        <v>#N/A Requesting Data...</v>
      </c>
      <c r="B884" t="s">
        <v>191</v>
      </c>
      <c r="C884" t="str">
        <f>_xll.BDP("429164CJ Muni","INSURANCE_STATUS")</f>
        <v>#N/A Requesting Data...</v>
      </c>
      <c r="D884" t="str">
        <f>_xll.BDP("429164CJ Muni","STATE_CODE")</f>
        <v>#N/A Requesting Data...</v>
      </c>
      <c r="E884" t="str">
        <f>_xll.BDP("429164CJ Muni","COUNTY_LOCATION_ISSUER")</f>
        <v>#N/A Requesting Data...</v>
      </c>
      <c r="F884" t="str">
        <f>_xll.BDP("429164CJ Muni","DUR_ADJ_MID")</f>
        <v>#N/A Requesting Data...</v>
      </c>
      <c r="G884" t="str">
        <f>_xll.BDP("429164CJ Muni","SPREAD_AT_ISSUANCE_TO_WORST")</f>
        <v>#N/A Requesting Data...</v>
      </c>
      <c r="H884" t="str">
        <f>_xll.BDP("429164CJ Muni","ISSUE_DT")</f>
        <v>#N/A Requesting Data...</v>
      </c>
      <c r="I884" t="str">
        <f>_xll.BDS("429164CJ Muni","MUNI_PURPOSE_SCHED", "aggregate=y")</f>
        <v>#N/A Requesting Data...</v>
      </c>
      <c r="J884" t="str">
        <f>_xll.BDP("429164CJ Muni","CPN")</f>
        <v>#N/A Requesting Data...</v>
      </c>
      <c r="K884" t="str">
        <f>_xll.BDP("429164CJ Muni","MATURITY")</f>
        <v>#N/A Requesting Data...</v>
      </c>
      <c r="L884">
        <v>605000</v>
      </c>
      <c r="M884" t="str">
        <f>_xll.BDP("429164CJ Muni","YIELD_ON_ISSUE_DATE")</f>
        <v>#N/A Requesting Data...</v>
      </c>
      <c r="N884" t="str">
        <f>_xll.BDP("429164CJ Muni","YTW_SPREAD_TO_MATURITY_AT_ISSU")</f>
        <v>#N/A Requesting Data...</v>
      </c>
      <c r="O884" t="str">
        <f>_xll.BDP("429164CJ Muni","BVAL_MID_YTM")</f>
        <v>#N/A Requesting Data...</v>
      </c>
      <c r="P884" t="str">
        <f>_xll.BDP("429164CJ Muni","MUNI_TAX_PROV")</f>
        <v>#N/A Requesting Data...</v>
      </c>
      <c r="Q884" t="str">
        <f>_xll.BDP("429164CJ Muni","MUNI_FED_TAX")</f>
        <v>#N/A Requesting Data...</v>
      </c>
      <c r="R884" t="str">
        <f>_xll.BDP("429164CJ Muni","MUNI_MSRB_VOLUME")</f>
        <v>#N/A Requesting Data...</v>
      </c>
      <c r="S884" t="str">
        <f>_xll.BDP("429164CJ Muni","BB_COMPOSITE")</f>
        <v>#N/A Requesting Data...</v>
      </c>
      <c r="T884" t="str">
        <f>_xll.BDP("429164CJ Muni","LQA_LIQUIDITY_SCORE")</f>
        <v>#N/A Requesting Data...</v>
      </c>
    </row>
    <row r="885" spans="1:20" x14ac:dyDescent="0.25">
      <c r="A885" t="str">
        <f>_xll.BDP("429164CL Muni","ID_CUSIP")</f>
        <v>#N/A Requesting Data...</v>
      </c>
      <c r="B885" t="s">
        <v>191</v>
      </c>
      <c r="C885" t="str">
        <f>_xll.BDP("429164CL Muni","INSURANCE_STATUS")</f>
        <v>#N/A Requesting Data...</v>
      </c>
      <c r="D885" t="str">
        <f>_xll.BDP("429164CL Muni","STATE_CODE")</f>
        <v>#N/A Requesting Data...</v>
      </c>
      <c r="E885" t="str">
        <f>_xll.BDP("429164CL Muni","COUNTY_LOCATION_ISSUER")</f>
        <v>#N/A Requesting Data...</v>
      </c>
      <c r="F885" t="str">
        <f>_xll.BDP("429164CL Muni","DUR_ADJ_MID")</f>
        <v>#N/A Requesting Data...</v>
      </c>
      <c r="G885" t="str">
        <f>_xll.BDP("429164CL Muni","SPREAD_AT_ISSUANCE_TO_WORST")</f>
        <v>#N/A Requesting Data...</v>
      </c>
      <c r="H885" t="str">
        <f>_xll.BDP("429164CL Muni","ISSUE_DT")</f>
        <v>#N/A Requesting Data...</v>
      </c>
      <c r="I885" t="str">
        <f>_xll.BDS("429164CL Muni","MUNI_PURPOSE_SCHED", "aggregate=y")</f>
        <v>#N/A Requesting Data...</v>
      </c>
      <c r="J885" t="str">
        <f>_xll.BDP("429164CL Muni","CPN")</f>
        <v>#N/A Requesting Data...</v>
      </c>
      <c r="K885" t="str">
        <f>_xll.BDP("429164CL Muni","MATURITY")</f>
        <v>#N/A Requesting Data...</v>
      </c>
      <c r="L885">
        <v>655000</v>
      </c>
      <c r="M885" t="str">
        <f>_xll.BDP("429164CL Muni","YIELD_ON_ISSUE_DATE")</f>
        <v>#N/A Requesting Data...</v>
      </c>
      <c r="N885" t="str">
        <f>_xll.BDP("429164CL Muni","YTW_SPREAD_TO_MATURITY_AT_ISSU")</f>
        <v>#N/A Requesting Data...</v>
      </c>
      <c r="O885" t="str">
        <f>_xll.BDP("429164CL Muni","BVAL_MID_YTM")</f>
        <v>#N/A Requesting Data...</v>
      </c>
      <c r="P885" t="str">
        <f>_xll.BDP("429164CL Muni","MUNI_TAX_PROV")</f>
        <v>#N/A Requesting Data...</v>
      </c>
      <c r="Q885" t="str">
        <f>_xll.BDP("429164CL Muni","MUNI_FED_TAX")</f>
        <v>#N/A Requesting Data...</v>
      </c>
      <c r="R885" t="str">
        <f>_xll.BDP("429164CL Muni","MUNI_MSRB_VOLUME")</f>
        <v>#N/A Requesting Data...</v>
      </c>
      <c r="S885" t="str">
        <f>_xll.BDP("429164CL Muni","BB_COMPOSITE")</f>
        <v>#N/A Requesting Data...</v>
      </c>
      <c r="T885" t="str">
        <f>_xll.BDP("429164CL Muni","LQA_LIQUIDITY_SCORE")</f>
        <v>#N/A Requesting Data...</v>
      </c>
    </row>
    <row r="886" spans="1:20" x14ac:dyDescent="0.25">
      <c r="A886" t="str">
        <f>_xll.BDP("468394QL Muni","ID_CUSIP")</f>
        <v>#N/A Requesting Data...</v>
      </c>
      <c r="B886" t="s">
        <v>241</v>
      </c>
      <c r="C886" t="str">
        <f>_xll.BDP("468394QL Muni","INSURANCE_STATUS")</f>
        <v>#N/A Requesting Data...</v>
      </c>
      <c r="D886" t="str">
        <f>_xll.BDP("468394QL Muni","STATE_CODE")</f>
        <v>#N/A Requesting Data...</v>
      </c>
      <c r="E886" t="str">
        <f>_xll.BDP("468394QL Muni","COUNTY_LOCATION_ISSUER")</f>
        <v>#N/A Requesting Data...</v>
      </c>
      <c r="F886" t="str">
        <f>_xll.BDP("468394QL Muni","DUR_ADJ_MID")</f>
        <v>#N/A Requesting Data...</v>
      </c>
      <c r="G886" t="str">
        <f>_xll.BDP("468394QL Muni","SPREAD_AT_ISSUANCE_TO_WORST")</f>
        <v>#N/A Requesting Data...</v>
      </c>
      <c r="H886" t="str">
        <f>_xll.BDP("468394QL Muni","ISSUE_DT")</f>
        <v>#N/A Requesting Data...</v>
      </c>
      <c r="I886" t="str">
        <f>_xll.BDS("468394QL Muni","MUNI_PURPOSE_SCHED", "aggregate=y")</f>
        <v>#N/A Requesting Data...</v>
      </c>
      <c r="J886" t="str">
        <f>_xll.BDP("468394QL Muni","CPN")</f>
        <v>#N/A Requesting Data...</v>
      </c>
      <c r="K886" t="str">
        <f>_xll.BDP("468394QL Muni","MATURITY")</f>
        <v>#N/A Requesting Data...</v>
      </c>
      <c r="L886">
        <v>90000</v>
      </c>
      <c r="M886" t="str">
        <f>_xll.BDP("468394QL Muni","YIELD_ON_ISSUE_DATE")</f>
        <v>#N/A Requesting Data...</v>
      </c>
      <c r="N886" t="str">
        <f>_xll.BDP("468394QL Muni","YTW_SPREAD_TO_MATURITY_AT_ISSU")</f>
        <v>#N/A Requesting Data...</v>
      </c>
      <c r="O886" t="str">
        <f>_xll.BDP("468394QL Muni","BVAL_MID_YTM")</f>
        <v>#N/A Requesting Data...</v>
      </c>
      <c r="P886" t="str">
        <f>_xll.BDP("468394QL Muni","MUNI_TAX_PROV")</f>
        <v>#N/A Requesting Data...</v>
      </c>
      <c r="Q886" t="str">
        <f>_xll.BDP("468394QL Muni","MUNI_FED_TAX")</f>
        <v>#N/A Requesting Data...</v>
      </c>
      <c r="R886" t="str">
        <f>_xll.BDP("468394QL Muni","MUNI_MSRB_VOLUME")</f>
        <v>#N/A Requesting Data...</v>
      </c>
      <c r="S886" t="str">
        <f>_xll.BDP("468394QL Muni","BB_COMPOSITE")</f>
        <v>#N/A Requesting Data...</v>
      </c>
      <c r="T886" t="str">
        <f>_xll.BDP("468394QL Muni","LQA_LIQUIDITY_SCORE")</f>
        <v>#N/A Requesting Data...</v>
      </c>
    </row>
    <row r="887" spans="1:20" x14ac:dyDescent="0.25">
      <c r="A887" t="str">
        <f>_xll.BDP("468394QM Muni","ID_CUSIP")</f>
        <v>#N/A Requesting Data...</v>
      </c>
      <c r="B887" t="s">
        <v>241</v>
      </c>
      <c r="C887" t="str">
        <f>_xll.BDP("468394QM Muni","INSURANCE_STATUS")</f>
        <v>#N/A Requesting Data...</v>
      </c>
      <c r="D887" t="str">
        <f>_xll.BDP("468394QM Muni","STATE_CODE")</f>
        <v>#N/A Requesting Data...</v>
      </c>
      <c r="E887" t="str">
        <f>_xll.BDP("468394QM Muni","COUNTY_LOCATION_ISSUER")</f>
        <v>#N/A Requesting Data...</v>
      </c>
      <c r="F887" t="str">
        <f>_xll.BDP("468394QM Muni","DUR_ADJ_MID")</f>
        <v>#N/A Requesting Data...</v>
      </c>
      <c r="G887" t="str">
        <f>_xll.BDP("468394QM Muni","SPREAD_AT_ISSUANCE_TO_WORST")</f>
        <v>#N/A Requesting Data...</v>
      </c>
      <c r="H887" t="str">
        <f>_xll.BDP("468394QM Muni","ISSUE_DT")</f>
        <v>#N/A Requesting Data...</v>
      </c>
      <c r="I887" t="str">
        <f>_xll.BDS("468394QM Muni","MUNI_PURPOSE_SCHED", "aggregate=y")</f>
        <v>#N/A Requesting Data...</v>
      </c>
      <c r="J887" t="str">
        <f>_xll.BDP("468394QM Muni","CPN")</f>
        <v>#N/A Requesting Data...</v>
      </c>
      <c r="K887" t="str">
        <f>_xll.BDP("468394QM Muni","MATURITY")</f>
        <v>#N/A Requesting Data...</v>
      </c>
      <c r="L887">
        <v>90000</v>
      </c>
      <c r="M887" t="str">
        <f>_xll.BDP("468394QM Muni","YIELD_ON_ISSUE_DATE")</f>
        <v>#N/A Requesting Data...</v>
      </c>
      <c r="N887" t="str">
        <f>_xll.BDP("468394QM Muni","YTW_SPREAD_TO_MATURITY_AT_ISSU")</f>
        <v>#N/A Requesting Data...</v>
      </c>
      <c r="O887" t="str">
        <f>_xll.BDP("468394QM Muni","BVAL_MID_YTM")</f>
        <v>#N/A Requesting Data...</v>
      </c>
      <c r="P887" t="str">
        <f>_xll.BDP("468394QM Muni","MUNI_TAX_PROV")</f>
        <v>#N/A Requesting Data...</v>
      </c>
      <c r="Q887" t="str">
        <f>_xll.BDP("468394QM Muni","MUNI_FED_TAX")</f>
        <v>#N/A Requesting Data...</v>
      </c>
      <c r="R887" t="str">
        <f>_xll.BDP("468394QM Muni","MUNI_MSRB_VOLUME")</f>
        <v>#N/A Requesting Data...</v>
      </c>
      <c r="S887" t="str">
        <f>_xll.BDP("468394QM Muni","BB_COMPOSITE")</f>
        <v>#N/A Requesting Data...</v>
      </c>
      <c r="T887" t="str">
        <f>_xll.BDP("468394QM Muni","LQA_LIQUIDITY_SCORE")</f>
        <v>#N/A Requesting Data...</v>
      </c>
    </row>
    <row r="888" spans="1:20" x14ac:dyDescent="0.25">
      <c r="A888" t="str">
        <f>_xll.BDP("470327CM Muni","ID_CUSIP")</f>
        <v>#N/A Requesting Data...</v>
      </c>
      <c r="B888" t="s">
        <v>244</v>
      </c>
      <c r="C888" t="str">
        <f>_xll.BDP("470327CM Muni","INSURANCE_STATUS")</f>
        <v>#N/A Requesting Data...</v>
      </c>
      <c r="D888" t="str">
        <f>_xll.BDP("470327CM Muni","STATE_CODE")</f>
        <v>#N/A Requesting Data...</v>
      </c>
      <c r="E888" t="str">
        <f>_xll.BDP("470327CM Muni","COUNTY_LOCATION_ISSUER")</f>
        <v>#N/A Requesting Data...</v>
      </c>
      <c r="F888" t="str">
        <f>_xll.BDP("470327CM Muni","DUR_ADJ_MID")</f>
        <v>#N/A Requesting Data...</v>
      </c>
      <c r="G888" t="str">
        <f>_xll.BDP("470327CM Muni","SPREAD_AT_ISSUANCE_TO_WORST")</f>
        <v>#N/A Requesting Data...</v>
      </c>
      <c r="H888" t="str">
        <f>_xll.BDP("470327CM Muni","ISSUE_DT")</f>
        <v>#N/A Requesting Data...</v>
      </c>
      <c r="I888" t="str">
        <f>_xll.BDS("470327CM Muni","MUNI_PURPOSE_SCHED", "aggregate=y")</f>
        <v>#N/A Requesting Data...</v>
      </c>
      <c r="J888" t="str">
        <f>_xll.BDP("470327CM Muni","CPN")</f>
        <v>#N/A Requesting Data...</v>
      </c>
      <c r="K888" t="str">
        <f>_xll.BDP("470327CM Muni","MATURITY")</f>
        <v>#N/A Requesting Data...</v>
      </c>
      <c r="L888">
        <v>150000</v>
      </c>
      <c r="M888" t="str">
        <f>_xll.BDP("470327CM Muni","YIELD_ON_ISSUE_DATE")</f>
        <v>#N/A Requesting Data...</v>
      </c>
      <c r="N888" t="str">
        <f>_xll.BDP("470327CM Muni","YTW_SPREAD_TO_MATURITY_AT_ISSU")</f>
        <v>#N/A Requesting Data...</v>
      </c>
      <c r="O888" t="str">
        <f>_xll.BDP("470327CM Muni","BVAL_MID_YTM")</f>
        <v>#N/A Requesting Data...</v>
      </c>
      <c r="P888" t="str">
        <f>_xll.BDP("470327CM Muni","MUNI_TAX_PROV")</f>
        <v>#N/A Requesting Data...</v>
      </c>
      <c r="Q888" t="str">
        <f>_xll.BDP("470327CM Muni","MUNI_FED_TAX")</f>
        <v>#N/A Requesting Data...</v>
      </c>
      <c r="R888" t="str">
        <f>_xll.BDP("470327CM Muni","MUNI_MSRB_VOLUME")</f>
        <v>#N/A Requesting Data...</v>
      </c>
      <c r="S888" t="str">
        <f>_xll.BDP("470327CM Muni","BB_COMPOSITE")</f>
        <v>#N/A Requesting Data...</v>
      </c>
      <c r="T888" t="str">
        <f>_xll.BDP("470327CM Muni","LQA_LIQUIDITY_SCORE")</f>
        <v>#N/A Requesting Data...</v>
      </c>
    </row>
    <row r="889" spans="1:20" x14ac:dyDescent="0.25">
      <c r="A889" t="str">
        <f>_xll.BDP("471144DF Muni","ID_CUSIP")</f>
        <v>#N/A Requesting Data...</v>
      </c>
      <c r="B889" t="s">
        <v>237</v>
      </c>
      <c r="C889" t="str">
        <f>_xll.BDP("471144DF Muni","INSURANCE_STATUS")</f>
        <v>#N/A Requesting Data...</v>
      </c>
      <c r="D889" t="str">
        <f>_xll.BDP("471144DF Muni","STATE_CODE")</f>
        <v>#N/A Requesting Data...</v>
      </c>
      <c r="E889" t="str">
        <f>_xll.BDP("471144DF Muni","COUNTY_LOCATION_ISSUER")</f>
        <v>#N/A Requesting Data...</v>
      </c>
      <c r="F889" t="str">
        <f>_xll.BDP("471144DF Muni","DUR_ADJ_MID")</f>
        <v>#N/A Requesting Data...</v>
      </c>
      <c r="G889" t="str">
        <f>_xll.BDP("471144DF Muni","SPREAD_AT_ISSUANCE_TO_WORST")</f>
        <v>#N/A Requesting Data...</v>
      </c>
      <c r="H889" t="str">
        <f>_xll.BDP("471144DF Muni","ISSUE_DT")</f>
        <v>#N/A Requesting Data...</v>
      </c>
      <c r="I889" t="str">
        <f>_xll.BDS("471144DF Muni","MUNI_PURPOSE_SCHED", "aggregate=y")</f>
        <v>#N/A Requesting Data...</v>
      </c>
      <c r="J889" t="str">
        <f>_xll.BDP("471144DF Muni","CPN")</f>
        <v>#N/A Requesting Data...</v>
      </c>
      <c r="K889" t="str">
        <f>_xll.BDP("471144DF Muni","MATURITY")</f>
        <v>#N/A Requesting Data...</v>
      </c>
      <c r="L889">
        <v>50000</v>
      </c>
      <c r="M889" t="str">
        <f>_xll.BDP("471144DF Muni","YIELD_ON_ISSUE_DATE")</f>
        <v>#N/A Requesting Data...</v>
      </c>
      <c r="N889" t="str">
        <f>_xll.BDP("471144DF Muni","YTW_SPREAD_TO_MATURITY_AT_ISSU")</f>
        <v>#N/A Requesting Data...</v>
      </c>
      <c r="O889" t="str">
        <f>_xll.BDP("471144DF Muni","BVAL_MID_YTM")</f>
        <v>#N/A Requesting Data...</v>
      </c>
      <c r="P889" t="str">
        <f>_xll.BDP("471144DF Muni","MUNI_TAX_PROV")</f>
        <v>#N/A Requesting Data...</v>
      </c>
      <c r="Q889" t="str">
        <f>_xll.BDP("471144DF Muni","MUNI_FED_TAX")</f>
        <v>#N/A Requesting Data...</v>
      </c>
      <c r="R889" t="str">
        <f>_xll.BDP("471144DF Muni","MUNI_MSRB_VOLUME")</f>
        <v>#N/A Requesting Data...</v>
      </c>
      <c r="S889" t="str">
        <f>_xll.BDP("471144DF Muni","BB_COMPOSITE")</f>
        <v>#N/A Requesting Data...</v>
      </c>
      <c r="T889" t="str">
        <f>_xll.BDP("471144DF Muni","LQA_LIQUIDITY_SCORE")</f>
        <v>#N/A Requesting Data...</v>
      </c>
    </row>
    <row r="890" spans="1:20" x14ac:dyDescent="0.25">
      <c r="A890" t="str">
        <f>_xll.BDP("471144DH Muni","ID_CUSIP")</f>
        <v>#N/A Requesting Data...</v>
      </c>
      <c r="B890" t="s">
        <v>237</v>
      </c>
      <c r="C890" t="str">
        <f>_xll.BDP("471144DH Muni","INSURANCE_STATUS")</f>
        <v>#N/A Requesting Data...</v>
      </c>
      <c r="D890" t="str">
        <f>_xll.BDP("471144DH Muni","STATE_CODE")</f>
        <v>#N/A Requesting Data...</v>
      </c>
      <c r="E890" t="str">
        <f>_xll.BDP("471144DH Muni","COUNTY_LOCATION_ISSUER")</f>
        <v>#N/A Requesting Data...</v>
      </c>
      <c r="F890" t="str">
        <f>_xll.BDP("471144DH Muni","DUR_ADJ_MID")</f>
        <v>#N/A Requesting Data...</v>
      </c>
      <c r="G890" t="str">
        <f>_xll.BDP("471144DH Muni","SPREAD_AT_ISSUANCE_TO_WORST")</f>
        <v>#N/A Requesting Data...</v>
      </c>
      <c r="H890" t="str">
        <f>_xll.BDP("471144DH Muni","ISSUE_DT")</f>
        <v>#N/A Requesting Data...</v>
      </c>
      <c r="I890" t="str">
        <f>_xll.BDS("471144DH Muni","MUNI_PURPOSE_SCHED", "aggregate=y")</f>
        <v>#N/A Requesting Data...</v>
      </c>
      <c r="J890" t="str">
        <f>_xll.BDP("471144DH Muni","CPN")</f>
        <v>#N/A Requesting Data...</v>
      </c>
      <c r="K890" t="str">
        <f>_xll.BDP("471144DH Muni","MATURITY")</f>
        <v>#N/A Requesting Data...</v>
      </c>
      <c r="L890">
        <v>55000</v>
      </c>
      <c r="M890" t="str">
        <f>_xll.BDP("471144DH Muni","YIELD_ON_ISSUE_DATE")</f>
        <v>#N/A Requesting Data...</v>
      </c>
      <c r="N890" t="str">
        <f>_xll.BDP("471144DH Muni","YTW_SPREAD_TO_MATURITY_AT_ISSU")</f>
        <v>#N/A Requesting Data...</v>
      </c>
      <c r="O890" t="str">
        <f>_xll.BDP("471144DH Muni","BVAL_MID_YTM")</f>
        <v>#N/A Requesting Data...</v>
      </c>
      <c r="P890" t="str">
        <f>_xll.BDP("471144DH Muni","MUNI_TAX_PROV")</f>
        <v>#N/A Requesting Data...</v>
      </c>
      <c r="Q890" t="str">
        <f>_xll.BDP("471144DH Muni","MUNI_FED_TAX")</f>
        <v>#N/A Requesting Data...</v>
      </c>
      <c r="R890" t="str">
        <f>_xll.BDP("471144DH Muni","MUNI_MSRB_VOLUME")</f>
        <v>#N/A Requesting Data...</v>
      </c>
      <c r="S890" t="str">
        <f>_xll.BDP("471144DH Muni","BB_COMPOSITE")</f>
        <v>#N/A Requesting Data...</v>
      </c>
      <c r="T890" t="str">
        <f>_xll.BDP("471144DH Muni","LQA_LIQUIDITY_SCORE")</f>
        <v>#N/A Requesting Data...</v>
      </c>
    </row>
    <row r="891" spans="1:20" x14ac:dyDescent="0.25">
      <c r="A891" t="str">
        <f>_xll.BDP("471144DK Muni","ID_CUSIP")</f>
        <v>#N/A Requesting Data...</v>
      </c>
      <c r="B891" t="s">
        <v>237</v>
      </c>
      <c r="C891" t="str">
        <f>_xll.BDP("471144DK Muni","INSURANCE_STATUS")</f>
        <v>#N/A Requesting Data...</v>
      </c>
      <c r="D891" t="str">
        <f>_xll.BDP("471144DK Muni","STATE_CODE")</f>
        <v>#N/A Requesting Data...</v>
      </c>
      <c r="E891" t="str">
        <f>_xll.BDP("471144DK Muni","COUNTY_LOCATION_ISSUER")</f>
        <v>#N/A Requesting Data...</v>
      </c>
      <c r="F891" t="str">
        <f>_xll.BDP("471144DK Muni","DUR_ADJ_MID")</f>
        <v>#N/A Requesting Data...</v>
      </c>
      <c r="G891" t="str">
        <f>_xll.BDP("471144DK Muni","SPREAD_AT_ISSUANCE_TO_WORST")</f>
        <v>#N/A Requesting Data...</v>
      </c>
      <c r="H891" t="str">
        <f>_xll.BDP("471144DK Muni","ISSUE_DT")</f>
        <v>#N/A Requesting Data...</v>
      </c>
      <c r="I891" t="str">
        <f>_xll.BDS("471144DK Muni","MUNI_PURPOSE_SCHED", "aggregate=y")</f>
        <v>#N/A Requesting Data...</v>
      </c>
      <c r="J891" t="str">
        <f>_xll.BDP("471144DK Muni","CPN")</f>
        <v>#N/A Requesting Data...</v>
      </c>
      <c r="K891" t="str">
        <f>_xll.BDP("471144DK Muni","MATURITY")</f>
        <v>#N/A Requesting Data...</v>
      </c>
      <c r="L891">
        <v>65000</v>
      </c>
      <c r="M891" t="str">
        <f>_xll.BDP("471144DK Muni","YIELD_ON_ISSUE_DATE")</f>
        <v>#N/A Requesting Data...</v>
      </c>
      <c r="N891" t="str">
        <f>_xll.BDP("471144DK Muni","YTW_SPREAD_TO_MATURITY_AT_ISSU")</f>
        <v>#N/A Requesting Data...</v>
      </c>
      <c r="O891" t="str">
        <f>_xll.BDP("471144DK Muni","BVAL_MID_YTM")</f>
        <v>#N/A Requesting Data...</v>
      </c>
      <c r="P891" t="str">
        <f>_xll.BDP("471144DK Muni","MUNI_TAX_PROV")</f>
        <v>#N/A Requesting Data...</v>
      </c>
      <c r="Q891" t="str">
        <f>_xll.BDP("471144DK Muni","MUNI_FED_TAX")</f>
        <v>#N/A Requesting Data...</v>
      </c>
      <c r="R891" t="str">
        <f>_xll.BDP("471144DK Muni","MUNI_MSRB_VOLUME")</f>
        <v>#N/A Requesting Data...</v>
      </c>
      <c r="S891" t="str">
        <f>_xll.BDP("471144DK Muni","BB_COMPOSITE")</f>
        <v>#N/A Requesting Data...</v>
      </c>
      <c r="T891" t="str">
        <f>_xll.BDP("471144DK Muni","LQA_LIQUIDITY_SCORE")</f>
        <v>#N/A Requesting Data...</v>
      </c>
    </row>
    <row r="892" spans="1:20" x14ac:dyDescent="0.25">
      <c r="A892" t="str">
        <f>_xll.BDP("471144DL Muni","ID_CUSIP")</f>
        <v>#N/A Requesting Data...</v>
      </c>
      <c r="B892" t="s">
        <v>237</v>
      </c>
      <c r="C892" t="str">
        <f>_xll.BDP("471144DL Muni","INSURANCE_STATUS")</f>
        <v>#N/A Requesting Data...</v>
      </c>
      <c r="D892" t="str">
        <f>_xll.BDP("471144DL Muni","STATE_CODE")</f>
        <v>#N/A Requesting Data...</v>
      </c>
      <c r="E892" t="str">
        <f>_xll.BDP("471144DL Muni","COUNTY_LOCATION_ISSUER")</f>
        <v>#N/A Requesting Data...</v>
      </c>
      <c r="F892" t="str">
        <f>_xll.BDP("471144DL Muni","DUR_ADJ_MID")</f>
        <v>#N/A Requesting Data...</v>
      </c>
      <c r="G892" t="str">
        <f>_xll.BDP("471144DL Muni","SPREAD_AT_ISSUANCE_TO_WORST")</f>
        <v>#N/A Requesting Data...</v>
      </c>
      <c r="H892" t="str">
        <f>_xll.BDP("471144DL Muni","ISSUE_DT")</f>
        <v>#N/A Requesting Data...</v>
      </c>
      <c r="I892" t="str">
        <f>_xll.BDS("471144DL Muni","MUNI_PURPOSE_SCHED", "aggregate=y")</f>
        <v>#N/A Requesting Data...</v>
      </c>
      <c r="J892" t="str">
        <f>_xll.BDP("471144DL Muni","CPN")</f>
        <v>#N/A Requesting Data...</v>
      </c>
      <c r="K892" t="str">
        <f>_xll.BDP("471144DL Muni","MATURITY")</f>
        <v>#N/A Requesting Data...</v>
      </c>
      <c r="L892">
        <v>65000</v>
      </c>
      <c r="M892" t="str">
        <f>_xll.BDP("471144DL Muni","YIELD_ON_ISSUE_DATE")</f>
        <v>#N/A Requesting Data...</v>
      </c>
      <c r="N892" t="str">
        <f>_xll.BDP("471144DL Muni","YTW_SPREAD_TO_MATURITY_AT_ISSU")</f>
        <v>#N/A Requesting Data...</v>
      </c>
      <c r="O892" t="str">
        <f>_xll.BDP("471144DL Muni","BVAL_MID_YTM")</f>
        <v>#N/A Requesting Data...</v>
      </c>
      <c r="P892" t="str">
        <f>_xll.BDP("471144DL Muni","MUNI_TAX_PROV")</f>
        <v>#N/A Requesting Data...</v>
      </c>
      <c r="Q892" t="str">
        <f>_xll.BDP("471144DL Muni","MUNI_FED_TAX")</f>
        <v>#N/A Requesting Data...</v>
      </c>
      <c r="R892" t="str">
        <f>_xll.BDP("471144DL Muni","MUNI_MSRB_VOLUME")</f>
        <v>#N/A Requesting Data...</v>
      </c>
      <c r="S892" t="str">
        <f>_xll.BDP("471144DL Muni","BB_COMPOSITE")</f>
        <v>#N/A Requesting Data...</v>
      </c>
      <c r="T892" t="str">
        <f>_xll.BDP("471144DL Muni","LQA_LIQUIDITY_SCORE")</f>
        <v>#N/A Requesting Data...</v>
      </c>
    </row>
    <row r="893" spans="1:20" x14ac:dyDescent="0.25">
      <c r="A893" t="str">
        <f>_xll.BDP("471305CK Muni","ID_CUSIP")</f>
        <v>#N/A Requesting Data...</v>
      </c>
      <c r="B893" t="s">
        <v>238</v>
      </c>
      <c r="C893" t="str">
        <f>_xll.BDP("471305CK Muni","INSURANCE_STATUS")</f>
        <v>#N/A Requesting Data...</v>
      </c>
      <c r="D893" t="str">
        <f>_xll.BDP("471305CK Muni","STATE_CODE")</f>
        <v>#N/A Requesting Data...</v>
      </c>
      <c r="E893" t="str">
        <f>_xll.BDP("471305CK Muni","COUNTY_LOCATION_ISSUER")</f>
        <v>#N/A Requesting Data...</v>
      </c>
      <c r="F893" t="str">
        <f>_xll.BDP("471305CK Muni","DUR_ADJ_MID")</f>
        <v>#N/A Requesting Data...</v>
      </c>
      <c r="G893" t="str">
        <f>_xll.BDP("471305CK Muni","SPREAD_AT_ISSUANCE_TO_WORST")</f>
        <v>#N/A Requesting Data...</v>
      </c>
      <c r="H893" t="str">
        <f>_xll.BDP("471305CK Muni","ISSUE_DT")</f>
        <v>#N/A Requesting Data...</v>
      </c>
      <c r="I893" t="str">
        <f>_xll.BDS("471305CK Muni","MUNI_PURPOSE_SCHED", "aggregate=y")</f>
        <v>#N/A Requesting Data...</v>
      </c>
      <c r="J893" t="str">
        <f>_xll.BDP("471305CK Muni","CPN")</f>
        <v>#N/A Requesting Data...</v>
      </c>
      <c r="K893" t="str">
        <f>_xll.BDP("471305CK Muni","MATURITY")</f>
        <v>#N/A Requesting Data...</v>
      </c>
      <c r="L893">
        <v>450000</v>
      </c>
      <c r="M893" t="str">
        <f>_xll.BDP("471305CK Muni","YIELD_ON_ISSUE_DATE")</f>
        <v>#N/A Requesting Data...</v>
      </c>
      <c r="N893" t="str">
        <f>_xll.BDP("471305CK Muni","YTW_SPREAD_TO_MATURITY_AT_ISSU")</f>
        <v>#N/A Requesting Data...</v>
      </c>
      <c r="O893" t="str">
        <f>_xll.BDP("471305CK Muni","BVAL_MID_YTM")</f>
        <v>#N/A Requesting Data...</v>
      </c>
      <c r="P893" t="str">
        <f>_xll.BDP("471305CK Muni","MUNI_TAX_PROV")</f>
        <v>#N/A Requesting Data...</v>
      </c>
      <c r="Q893" t="str">
        <f>_xll.BDP("471305CK Muni","MUNI_FED_TAX")</f>
        <v>#N/A Requesting Data...</v>
      </c>
      <c r="R893" t="str">
        <f>_xll.BDP("471305CK Muni","MUNI_MSRB_VOLUME")</f>
        <v>#N/A Requesting Data...</v>
      </c>
      <c r="S893" t="str">
        <f>_xll.BDP("471305CK Muni","BB_COMPOSITE")</f>
        <v>#N/A Requesting Data...</v>
      </c>
      <c r="T893" t="str">
        <f>_xll.BDP("471305CK Muni","LQA_LIQUIDITY_SCORE")</f>
        <v>#N/A Requesting Data...</v>
      </c>
    </row>
    <row r="894" spans="1:20" x14ac:dyDescent="0.25">
      <c r="A894" t="str">
        <f>_xll.BDP("471305CM Muni","ID_CUSIP")</f>
        <v>#N/A Requesting Data...</v>
      </c>
      <c r="B894" t="s">
        <v>238</v>
      </c>
      <c r="C894" t="str">
        <f>_xll.BDP("471305CM Muni","INSURANCE_STATUS")</f>
        <v>#N/A Requesting Data...</v>
      </c>
      <c r="D894" t="str">
        <f>_xll.BDP("471305CM Muni","STATE_CODE")</f>
        <v>#N/A Requesting Data...</v>
      </c>
      <c r="E894" t="str">
        <f>_xll.BDP("471305CM Muni","COUNTY_LOCATION_ISSUER")</f>
        <v>#N/A Requesting Data...</v>
      </c>
      <c r="F894" t="str">
        <f>_xll.BDP("471305CM Muni","DUR_ADJ_MID")</f>
        <v>#N/A Requesting Data...</v>
      </c>
      <c r="G894" t="str">
        <f>_xll.BDP("471305CM Muni","SPREAD_AT_ISSUANCE_TO_WORST")</f>
        <v>#N/A Requesting Data...</v>
      </c>
      <c r="H894" t="str">
        <f>_xll.BDP("471305CM Muni","ISSUE_DT")</f>
        <v>#N/A Requesting Data...</v>
      </c>
      <c r="I894" t="str">
        <f>_xll.BDS("471305CM Muni","MUNI_PURPOSE_SCHED", "aggregate=y")</f>
        <v>#N/A Requesting Data...</v>
      </c>
      <c r="J894" t="str">
        <f>_xll.BDP("471305CM Muni","CPN")</f>
        <v>#N/A Requesting Data...</v>
      </c>
      <c r="K894" t="str">
        <f>_xll.BDP("471305CM Muni","MATURITY")</f>
        <v>#N/A Requesting Data...</v>
      </c>
      <c r="L894">
        <v>1170000</v>
      </c>
      <c r="M894" t="str">
        <f>_xll.BDP("471305CM Muni","YIELD_ON_ISSUE_DATE")</f>
        <v>#N/A Requesting Data...</v>
      </c>
      <c r="N894" t="str">
        <f>_xll.BDP("471305CM Muni","YTW_SPREAD_TO_MATURITY_AT_ISSU")</f>
        <v>#N/A Requesting Data...</v>
      </c>
      <c r="O894" t="str">
        <f>_xll.BDP("471305CM Muni","BVAL_MID_YTM")</f>
        <v>#N/A Requesting Data...</v>
      </c>
      <c r="P894" t="str">
        <f>_xll.BDP("471305CM Muni","MUNI_TAX_PROV")</f>
        <v>#N/A Requesting Data...</v>
      </c>
      <c r="Q894" t="str">
        <f>_xll.BDP("471305CM Muni","MUNI_FED_TAX")</f>
        <v>#N/A Requesting Data...</v>
      </c>
      <c r="R894" t="str">
        <f>_xll.BDP("471305CM Muni","MUNI_MSRB_VOLUME")</f>
        <v>#N/A Requesting Data...</v>
      </c>
      <c r="S894" t="str">
        <f>_xll.BDP("471305CM Muni","BB_COMPOSITE")</f>
        <v>#N/A Requesting Data...</v>
      </c>
      <c r="T894" t="str">
        <f>_xll.BDP("471305CM Muni","LQA_LIQUIDITY_SCORE")</f>
        <v>#N/A Requesting Data...</v>
      </c>
    </row>
    <row r="895" spans="1:20" x14ac:dyDescent="0.25">
      <c r="A895" t="str">
        <f>_xll.BDP("473615HY Muni","ID_CUSIP")</f>
        <v>#N/A Requesting Data...</v>
      </c>
      <c r="B895" t="s">
        <v>245</v>
      </c>
      <c r="C895" t="str">
        <f>_xll.BDP("473615HY Muni","INSURANCE_STATUS")</f>
        <v>#N/A Requesting Data...</v>
      </c>
      <c r="D895" t="str">
        <f>_xll.BDP("473615HY Muni","STATE_CODE")</f>
        <v>#N/A Requesting Data...</v>
      </c>
      <c r="E895" t="str">
        <f>_xll.BDP("473615HY Muni","COUNTY_LOCATION_ISSUER")</f>
        <v>#N/A Requesting Data...</v>
      </c>
      <c r="F895" t="str">
        <f>_xll.BDP("473615HY Muni","DUR_ADJ_MID")</f>
        <v>#N/A Requesting Data...</v>
      </c>
      <c r="G895" t="str">
        <f>_xll.BDP("473615HY Muni","SPREAD_AT_ISSUANCE_TO_WORST")</f>
        <v>#N/A Requesting Data...</v>
      </c>
      <c r="H895" t="str">
        <f>_xll.BDP("473615HY Muni","ISSUE_DT")</f>
        <v>#N/A Requesting Data...</v>
      </c>
      <c r="I895" t="str">
        <f>_xll.BDS("473615HY Muni","MUNI_PURPOSE_SCHED", "aggregate=y")</f>
        <v>#N/A Requesting Data...</v>
      </c>
      <c r="J895" t="str">
        <f>_xll.BDP("473615HY Muni","CPN")</f>
        <v>#N/A Requesting Data...</v>
      </c>
      <c r="K895" t="str">
        <f>_xll.BDP("473615HY Muni","MATURITY")</f>
        <v>#N/A Requesting Data...</v>
      </c>
      <c r="L895">
        <v>210000</v>
      </c>
      <c r="M895" t="str">
        <f>_xll.BDP("473615HY Muni","YIELD_ON_ISSUE_DATE")</f>
        <v>#N/A Requesting Data...</v>
      </c>
      <c r="N895" t="str">
        <f>_xll.BDP("473615HY Muni","YTW_SPREAD_TO_MATURITY_AT_ISSU")</f>
        <v>#N/A Requesting Data...</v>
      </c>
      <c r="O895" t="str">
        <f>_xll.BDP("473615HY Muni","BVAL_MID_YTM")</f>
        <v>#N/A Requesting Data...</v>
      </c>
      <c r="P895" t="str">
        <f>_xll.BDP("473615HY Muni","MUNI_TAX_PROV")</f>
        <v>#N/A Requesting Data...</v>
      </c>
      <c r="Q895" t="str">
        <f>_xll.BDP("473615HY Muni","MUNI_FED_TAX")</f>
        <v>#N/A Requesting Data...</v>
      </c>
      <c r="R895" t="str">
        <f>_xll.BDP("473615HY Muni","MUNI_MSRB_VOLUME")</f>
        <v>#N/A Requesting Data...</v>
      </c>
      <c r="S895" t="str">
        <f>_xll.BDP("473615HY Muni","BB_COMPOSITE")</f>
        <v>#N/A Requesting Data...</v>
      </c>
      <c r="T895" t="str">
        <f>_xll.BDP("473615HY Muni","LQA_LIQUIDITY_SCORE")</f>
        <v>#N/A Requesting Data...</v>
      </c>
    </row>
    <row r="896" spans="1:20" x14ac:dyDescent="0.25">
      <c r="A896" t="str">
        <f>_xll.BDP("473615HZ Muni","ID_CUSIP")</f>
        <v>#N/A Requesting Data...</v>
      </c>
      <c r="B896" t="s">
        <v>245</v>
      </c>
      <c r="C896" t="str">
        <f>_xll.BDP("473615HZ Muni","INSURANCE_STATUS")</f>
        <v>#N/A Requesting Data...</v>
      </c>
      <c r="D896" t="str">
        <f>_xll.BDP("473615HZ Muni","STATE_CODE")</f>
        <v>#N/A Requesting Data...</v>
      </c>
      <c r="E896" t="str">
        <f>_xll.BDP("473615HZ Muni","COUNTY_LOCATION_ISSUER")</f>
        <v>#N/A Requesting Data...</v>
      </c>
      <c r="F896" t="str">
        <f>_xll.BDP("473615HZ Muni","DUR_ADJ_MID")</f>
        <v>#N/A Requesting Data...</v>
      </c>
      <c r="G896" t="str">
        <f>_xll.BDP("473615HZ Muni","SPREAD_AT_ISSUANCE_TO_WORST")</f>
        <v>#N/A Requesting Data...</v>
      </c>
      <c r="H896" t="str">
        <f>_xll.BDP("473615HZ Muni","ISSUE_DT")</f>
        <v>#N/A Requesting Data...</v>
      </c>
      <c r="I896" t="str">
        <f>_xll.BDS("473615HZ Muni","MUNI_PURPOSE_SCHED", "aggregate=y")</f>
        <v>#N/A Requesting Data...</v>
      </c>
      <c r="J896" t="str">
        <f>_xll.BDP("473615HZ Muni","CPN")</f>
        <v>#N/A Requesting Data...</v>
      </c>
      <c r="K896" t="str">
        <f>_xll.BDP("473615HZ Muni","MATURITY")</f>
        <v>#N/A Requesting Data...</v>
      </c>
      <c r="L896">
        <v>215000</v>
      </c>
      <c r="M896" t="str">
        <f>_xll.BDP("473615HZ Muni","YIELD_ON_ISSUE_DATE")</f>
        <v>#N/A Requesting Data...</v>
      </c>
      <c r="N896" t="str">
        <f>_xll.BDP("473615HZ Muni","YTW_SPREAD_TO_MATURITY_AT_ISSU")</f>
        <v>#N/A Requesting Data...</v>
      </c>
      <c r="O896" t="str">
        <f>_xll.BDP("473615HZ Muni","BVAL_MID_YTM")</f>
        <v>#N/A Requesting Data...</v>
      </c>
      <c r="P896" t="str">
        <f>_xll.BDP("473615HZ Muni","MUNI_TAX_PROV")</f>
        <v>#N/A Requesting Data...</v>
      </c>
      <c r="Q896" t="str">
        <f>_xll.BDP("473615HZ Muni","MUNI_FED_TAX")</f>
        <v>#N/A Requesting Data...</v>
      </c>
      <c r="R896" t="str">
        <f>_xll.BDP("473615HZ Muni","MUNI_MSRB_VOLUME")</f>
        <v>#N/A Requesting Data...</v>
      </c>
      <c r="S896" t="str">
        <f>_xll.BDP("473615HZ Muni","BB_COMPOSITE")</f>
        <v>#N/A Requesting Data...</v>
      </c>
      <c r="T896" t="str">
        <f>_xll.BDP("473615HZ Muni","LQA_LIQUIDITY_SCORE")</f>
        <v>#N/A Requesting Data...</v>
      </c>
    </row>
    <row r="897" spans="1:20" x14ac:dyDescent="0.25">
      <c r="A897" t="str">
        <f>_xll.BDP("473615JA Muni","ID_CUSIP")</f>
        <v>#N/A Requesting Data...</v>
      </c>
      <c r="B897" t="s">
        <v>245</v>
      </c>
      <c r="C897" t="str">
        <f>_xll.BDP("473615JA Muni","INSURANCE_STATUS")</f>
        <v>#N/A Requesting Data...</v>
      </c>
      <c r="D897" t="str">
        <f>_xll.BDP("473615JA Muni","STATE_CODE")</f>
        <v>#N/A Requesting Data...</v>
      </c>
      <c r="E897" t="str">
        <f>_xll.BDP("473615JA Muni","COUNTY_LOCATION_ISSUER")</f>
        <v>#N/A Requesting Data...</v>
      </c>
      <c r="F897" t="str">
        <f>_xll.BDP("473615JA Muni","DUR_ADJ_MID")</f>
        <v>#N/A Requesting Data...</v>
      </c>
      <c r="G897" t="str">
        <f>_xll.BDP("473615JA Muni","SPREAD_AT_ISSUANCE_TO_WORST")</f>
        <v>#N/A Requesting Data...</v>
      </c>
      <c r="H897" t="str">
        <f>_xll.BDP("473615JA Muni","ISSUE_DT")</f>
        <v>#N/A Requesting Data...</v>
      </c>
      <c r="I897" t="str">
        <f>_xll.BDS("473615JA Muni","MUNI_PURPOSE_SCHED", "aggregate=y")</f>
        <v>#N/A Requesting Data...</v>
      </c>
      <c r="J897" t="str">
        <f>_xll.BDP("473615JA Muni","CPN")</f>
        <v>#N/A Requesting Data...</v>
      </c>
      <c r="K897" t="str">
        <f>_xll.BDP("473615JA Muni","MATURITY")</f>
        <v>#N/A Requesting Data...</v>
      </c>
      <c r="L897">
        <v>225000</v>
      </c>
      <c r="M897" t="str">
        <f>_xll.BDP("473615JA Muni","YIELD_ON_ISSUE_DATE")</f>
        <v>#N/A Requesting Data...</v>
      </c>
      <c r="N897" t="str">
        <f>_xll.BDP("473615JA Muni","YTW_SPREAD_TO_MATURITY_AT_ISSU")</f>
        <v>#N/A Requesting Data...</v>
      </c>
      <c r="O897" t="str">
        <f>_xll.BDP("473615JA Muni","BVAL_MID_YTM")</f>
        <v>#N/A Requesting Data...</v>
      </c>
      <c r="P897" t="str">
        <f>_xll.BDP("473615JA Muni","MUNI_TAX_PROV")</f>
        <v>#N/A Requesting Data...</v>
      </c>
      <c r="Q897" t="str">
        <f>_xll.BDP("473615JA Muni","MUNI_FED_TAX")</f>
        <v>#N/A Requesting Data...</v>
      </c>
      <c r="R897" t="str">
        <f>_xll.BDP("473615JA Muni","MUNI_MSRB_VOLUME")</f>
        <v>#N/A Requesting Data...</v>
      </c>
      <c r="S897" t="str">
        <f>_xll.BDP("473615JA Muni","BB_COMPOSITE")</f>
        <v>#N/A Requesting Data...</v>
      </c>
      <c r="T897" t="str">
        <f>_xll.BDP("473615JA Muni","LQA_LIQUIDITY_SCORE")</f>
        <v>#N/A Requesting Data...</v>
      </c>
    </row>
    <row r="898" spans="1:20" x14ac:dyDescent="0.25">
      <c r="A898" t="str">
        <f>_xll.BDP("473615JB Muni","ID_CUSIP")</f>
        <v>#N/A Requesting Data...</v>
      </c>
      <c r="B898" t="s">
        <v>245</v>
      </c>
      <c r="C898" t="str">
        <f>_xll.BDP("473615JB Muni","INSURANCE_STATUS")</f>
        <v>#N/A Requesting Data...</v>
      </c>
      <c r="D898" t="str">
        <f>_xll.BDP("473615JB Muni","STATE_CODE")</f>
        <v>#N/A Requesting Data...</v>
      </c>
      <c r="E898" t="str">
        <f>_xll.BDP("473615JB Muni","COUNTY_LOCATION_ISSUER")</f>
        <v>#N/A Requesting Data...</v>
      </c>
      <c r="F898" t="str">
        <f>_xll.BDP("473615JB Muni","DUR_ADJ_MID")</f>
        <v>#N/A Requesting Data...</v>
      </c>
      <c r="G898" t="str">
        <f>_xll.BDP("473615JB Muni","SPREAD_AT_ISSUANCE_TO_WORST")</f>
        <v>#N/A Requesting Data...</v>
      </c>
      <c r="H898" t="str">
        <f>_xll.BDP("473615JB Muni","ISSUE_DT")</f>
        <v>#N/A Requesting Data...</v>
      </c>
      <c r="I898" t="str">
        <f>_xll.BDS("473615JB Muni","MUNI_PURPOSE_SCHED", "aggregate=y")</f>
        <v>#N/A Requesting Data...</v>
      </c>
      <c r="J898" t="str">
        <f>_xll.BDP("473615JB Muni","CPN")</f>
        <v>#N/A Requesting Data...</v>
      </c>
      <c r="K898" t="str">
        <f>_xll.BDP("473615JB Muni","MATURITY")</f>
        <v>#N/A Requesting Data...</v>
      </c>
      <c r="L898">
        <v>230000</v>
      </c>
      <c r="M898" t="str">
        <f>_xll.BDP("473615JB Muni","YIELD_ON_ISSUE_DATE")</f>
        <v>#N/A Requesting Data...</v>
      </c>
      <c r="N898" t="str">
        <f>_xll.BDP("473615JB Muni","YTW_SPREAD_TO_MATURITY_AT_ISSU")</f>
        <v>#N/A Requesting Data...</v>
      </c>
      <c r="O898" t="str">
        <f>_xll.BDP("473615JB Muni","BVAL_MID_YTM")</f>
        <v>#N/A Requesting Data...</v>
      </c>
      <c r="P898" t="str">
        <f>_xll.BDP("473615JB Muni","MUNI_TAX_PROV")</f>
        <v>#N/A Requesting Data...</v>
      </c>
      <c r="Q898" t="str">
        <f>_xll.BDP("473615JB Muni","MUNI_FED_TAX")</f>
        <v>#N/A Requesting Data...</v>
      </c>
      <c r="R898" t="str">
        <f>_xll.BDP("473615JB Muni","MUNI_MSRB_VOLUME")</f>
        <v>#N/A Requesting Data...</v>
      </c>
      <c r="S898" t="str">
        <f>_xll.BDP("473615JB Muni","BB_COMPOSITE")</f>
        <v>#N/A Requesting Data...</v>
      </c>
      <c r="T898" t="str">
        <f>_xll.BDP("473615JB Muni","LQA_LIQUIDITY_SCORE")</f>
        <v>#N/A Requesting Data...</v>
      </c>
    </row>
    <row r="899" spans="1:20" x14ac:dyDescent="0.25">
      <c r="A899" t="str">
        <f>_xll.BDP("473615JC Muni","ID_CUSIP")</f>
        <v>#N/A Requesting Data...</v>
      </c>
      <c r="B899" t="s">
        <v>245</v>
      </c>
      <c r="C899" t="str">
        <f>_xll.BDP("473615JC Muni","INSURANCE_STATUS")</f>
        <v>#N/A Requesting Data...</v>
      </c>
      <c r="D899" t="str">
        <f>_xll.BDP("473615JC Muni","STATE_CODE")</f>
        <v>#N/A Requesting Data...</v>
      </c>
      <c r="E899" t="str">
        <f>_xll.BDP("473615JC Muni","COUNTY_LOCATION_ISSUER")</f>
        <v>#N/A Requesting Data...</v>
      </c>
      <c r="F899" t="str">
        <f>_xll.BDP("473615JC Muni","DUR_ADJ_MID")</f>
        <v>#N/A Requesting Data...</v>
      </c>
      <c r="G899" t="str">
        <f>_xll.BDP("473615JC Muni","SPREAD_AT_ISSUANCE_TO_WORST")</f>
        <v>#N/A Requesting Data...</v>
      </c>
      <c r="H899" t="str">
        <f>_xll.BDP("473615JC Muni","ISSUE_DT")</f>
        <v>#N/A Requesting Data...</v>
      </c>
      <c r="I899" t="str">
        <f>_xll.BDS("473615JC Muni","MUNI_PURPOSE_SCHED", "aggregate=y")</f>
        <v>#N/A Requesting Data...</v>
      </c>
      <c r="J899" t="str">
        <f>_xll.BDP("473615JC Muni","CPN")</f>
        <v>#N/A Requesting Data...</v>
      </c>
      <c r="K899" t="str">
        <f>_xll.BDP("473615JC Muni","MATURITY")</f>
        <v>#N/A Requesting Data...</v>
      </c>
      <c r="L899">
        <v>240000</v>
      </c>
      <c r="M899" t="str">
        <f>_xll.BDP("473615JC Muni","YIELD_ON_ISSUE_DATE")</f>
        <v>#N/A Requesting Data...</v>
      </c>
      <c r="N899" t="str">
        <f>_xll.BDP("473615JC Muni","YTW_SPREAD_TO_MATURITY_AT_ISSU")</f>
        <v>#N/A Requesting Data...</v>
      </c>
      <c r="O899" t="str">
        <f>_xll.BDP("473615JC Muni","BVAL_MID_YTM")</f>
        <v>#N/A Requesting Data...</v>
      </c>
      <c r="P899" t="str">
        <f>_xll.BDP("473615JC Muni","MUNI_TAX_PROV")</f>
        <v>#N/A Requesting Data...</v>
      </c>
      <c r="Q899" t="str">
        <f>_xll.BDP("473615JC Muni","MUNI_FED_TAX")</f>
        <v>#N/A Requesting Data...</v>
      </c>
      <c r="R899" t="str">
        <f>_xll.BDP("473615JC Muni","MUNI_MSRB_VOLUME")</f>
        <v>#N/A Requesting Data...</v>
      </c>
      <c r="S899" t="str">
        <f>_xll.BDP("473615JC Muni","BB_COMPOSITE")</f>
        <v>#N/A Requesting Data...</v>
      </c>
      <c r="T899" t="str">
        <f>_xll.BDP("473615JC Muni","LQA_LIQUIDITY_SCORE")</f>
        <v>#N/A Requesting Data...</v>
      </c>
    </row>
    <row r="900" spans="1:20" x14ac:dyDescent="0.25">
      <c r="A900" t="str">
        <f>_xll.BDP("473615JD Muni","ID_CUSIP")</f>
        <v>#N/A Requesting Data...</v>
      </c>
      <c r="B900" t="s">
        <v>245</v>
      </c>
      <c r="C900" t="str">
        <f>_xll.BDP("473615JD Muni","INSURANCE_STATUS")</f>
        <v>#N/A Requesting Data...</v>
      </c>
      <c r="D900" t="str">
        <f>_xll.BDP("473615JD Muni","STATE_CODE")</f>
        <v>#N/A Requesting Data...</v>
      </c>
      <c r="E900" t="str">
        <f>_xll.BDP("473615JD Muni","COUNTY_LOCATION_ISSUER")</f>
        <v>#N/A Requesting Data...</v>
      </c>
      <c r="F900" t="str">
        <f>_xll.BDP("473615JD Muni","DUR_ADJ_MID")</f>
        <v>#N/A Requesting Data...</v>
      </c>
      <c r="G900" t="str">
        <f>_xll.BDP("473615JD Muni","SPREAD_AT_ISSUANCE_TO_WORST")</f>
        <v>#N/A Requesting Data...</v>
      </c>
      <c r="H900" t="str">
        <f>_xll.BDP("473615JD Muni","ISSUE_DT")</f>
        <v>#N/A Requesting Data...</v>
      </c>
      <c r="I900" t="str">
        <f>_xll.BDS("473615JD Muni","MUNI_PURPOSE_SCHED", "aggregate=y")</f>
        <v>#N/A Requesting Data...</v>
      </c>
      <c r="J900" t="str">
        <f>_xll.BDP("473615JD Muni","CPN")</f>
        <v>#N/A Requesting Data...</v>
      </c>
      <c r="K900" t="str">
        <f>_xll.BDP("473615JD Muni","MATURITY")</f>
        <v>#N/A Requesting Data...</v>
      </c>
      <c r="L900">
        <v>250000</v>
      </c>
      <c r="M900" t="str">
        <f>_xll.BDP("473615JD Muni","YIELD_ON_ISSUE_DATE")</f>
        <v>#N/A Requesting Data...</v>
      </c>
      <c r="N900" t="str">
        <f>_xll.BDP("473615JD Muni","YTW_SPREAD_TO_MATURITY_AT_ISSU")</f>
        <v>#N/A Requesting Data...</v>
      </c>
      <c r="O900" t="str">
        <f>_xll.BDP("473615JD Muni","BVAL_MID_YTM")</f>
        <v>#N/A Requesting Data...</v>
      </c>
      <c r="P900" t="str">
        <f>_xll.BDP("473615JD Muni","MUNI_TAX_PROV")</f>
        <v>#N/A Requesting Data...</v>
      </c>
      <c r="Q900" t="str">
        <f>_xll.BDP("473615JD Muni","MUNI_FED_TAX")</f>
        <v>#N/A Requesting Data...</v>
      </c>
      <c r="R900" t="str">
        <f>_xll.BDP("473615JD Muni","MUNI_MSRB_VOLUME")</f>
        <v>#N/A Requesting Data...</v>
      </c>
      <c r="S900" t="str">
        <f>_xll.BDP("473615JD Muni","BB_COMPOSITE")</f>
        <v>#N/A Requesting Data...</v>
      </c>
      <c r="T900" t="str">
        <f>_xll.BDP("473615JD Muni","LQA_LIQUIDITY_SCORE")</f>
        <v>#N/A Requesting Data...</v>
      </c>
    </row>
    <row r="901" spans="1:20" x14ac:dyDescent="0.25">
      <c r="A901" t="str">
        <f>_xll.BDP("50963NLV Muni","ID_CUSIP")</f>
        <v>#N/A Requesting Data...</v>
      </c>
      <c r="B901" t="s">
        <v>246</v>
      </c>
      <c r="C901" t="str">
        <f>_xll.BDP("50963NLV Muni","INSURANCE_STATUS")</f>
        <v>#N/A Requesting Data...</v>
      </c>
      <c r="D901" t="str">
        <f>_xll.BDP("50963NLV Muni","STATE_CODE")</f>
        <v>#N/A Requesting Data...</v>
      </c>
      <c r="E901" t="str">
        <f>_xll.BDP("50963NLV Muni","COUNTY_LOCATION_ISSUER")</f>
        <v>#N/A Requesting Data...</v>
      </c>
      <c r="F901" t="str">
        <f>_xll.BDP("50963NLV Muni","DUR_ADJ_MID")</f>
        <v>#N/A Requesting Data...</v>
      </c>
      <c r="G901" t="str">
        <f>_xll.BDP("50963NLV Muni","SPREAD_AT_ISSUANCE_TO_WORST")</f>
        <v>#N/A Requesting Data...</v>
      </c>
      <c r="H901" t="str">
        <f>_xll.BDP("50963NLV Muni","ISSUE_DT")</f>
        <v>#N/A Requesting Data...</v>
      </c>
      <c r="I901" t="str">
        <f>_xll.BDS("50963NLV Muni","MUNI_PURPOSE_SCHED", "aggregate=y")</f>
        <v>#N/A Requesting Data...</v>
      </c>
      <c r="J901" t="str">
        <f>_xll.BDP("50963NLV Muni","CPN")</f>
        <v>#N/A Requesting Data...</v>
      </c>
      <c r="K901" t="str">
        <f>_xll.BDP("50963NLV Muni","MATURITY")</f>
        <v>#N/A Requesting Data...</v>
      </c>
      <c r="L901">
        <v>45000</v>
      </c>
      <c r="M901" t="str">
        <f>_xll.BDP("50963NLV Muni","YIELD_ON_ISSUE_DATE")</f>
        <v>#N/A Requesting Data...</v>
      </c>
      <c r="N901" t="str">
        <f>_xll.BDP("50963NLV Muni","YTW_SPREAD_TO_MATURITY_AT_ISSU")</f>
        <v>#N/A Requesting Data...</v>
      </c>
      <c r="O901" t="str">
        <f>_xll.BDP("50963NLV Muni","BVAL_MID_YTM")</f>
        <v>#N/A Requesting Data...</v>
      </c>
      <c r="P901" t="str">
        <f>_xll.BDP("50963NLV Muni","MUNI_TAX_PROV")</f>
        <v>#N/A Requesting Data...</v>
      </c>
      <c r="Q901" t="str">
        <f>_xll.BDP("50963NLV Muni","MUNI_FED_TAX")</f>
        <v>#N/A Requesting Data...</v>
      </c>
      <c r="R901" t="str">
        <f>_xll.BDP("50963NLV Muni","MUNI_MSRB_VOLUME")</f>
        <v>#N/A Requesting Data...</v>
      </c>
      <c r="S901" t="str">
        <f>_xll.BDP("50963NLV Muni","BB_COMPOSITE")</f>
        <v>#N/A Requesting Data...</v>
      </c>
      <c r="T901" t="str">
        <f>_xll.BDP("50963NLV Muni","LQA_LIQUIDITY_SCORE")</f>
        <v>#N/A Requesting Data...</v>
      </c>
    </row>
    <row r="902" spans="1:20" x14ac:dyDescent="0.25">
      <c r="A902" t="str">
        <f>_xll.BDP("50963NMU Muni","ID_CUSIP")</f>
        <v>#N/A Requesting Data...</v>
      </c>
      <c r="B902" t="s">
        <v>246</v>
      </c>
      <c r="C902" t="str">
        <f>_xll.BDP("50963NMU Muni","INSURANCE_STATUS")</f>
        <v>#N/A Requesting Data...</v>
      </c>
      <c r="D902" t="str">
        <f>_xll.BDP("50963NMU Muni","STATE_CODE")</f>
        <v>#N/A Requesting Data...</v>
      </c>
      <c r="E902" t="str">
        <f>_xll.BDP("50963NMU Muni","COUNTY_LOCATION_ISSUER")</f>
        <v>#N/A Requesting Data...</v>
      </c>
      <c r="F902" t="str">
        <f>_xll.BDP("50963NMU Muni","DUR_ADJ_MID")</f>
        <v>#N/A Requesting Data...</v>
      </c>
      <c r="G902" t="str">
        <f>_xll.BDP("50963NMU Muni","SPREAD_AT_ISSUANCE_TO_WORST")</f>
        <v>#N/A Requesting Data...</v>
      </c>
      <c r="H902" t="str">
        <f>_xll.BDP("50963NMU Muni","ISSUE_DT")</f>
        <v>#N/A Requesting Data...</v>
      </c>
      <c r="I902" t="str">
        <f>_xll.BDS("50963NMU Muni","MUNI_PURPOSE_SCHED", "aggregate=y")</f>
        <v>#N/A Requesting Data...</v>
      </c>
      <c r="J902" t="str">
        <f>_xll.BDP("50963NMU Muni","CPN")</f>
        <v>#N/A Requesting Data...</v>
      </c>
      <c r="K902" t="str">
        <f>_xll.BDP("50963NMU Muni","MATURITY")</f>
        <v>#N/A Requesting Data...</v>
      </c>
      <c r="L902">
        <v>40000</v>
      </c>
      <c r="M902" t="str">
        <f>_xll.BDP("50963NMU Muni","YIELD_ON_ISSUE_DATE")</f>
        <v>#N/A Requesting Data...</v>
      </c>
      <c r="N902" t="str">
        <f>_xll.BDP("50963NMU Muni","YTW_SPREAD_TO_MATURITY_AT_ISSU")</f>
        <v>#N/A Requesting Data...</v>
      </c>
      <c r="O902" t="str">
        <f>_xll.BDP("50963NMU Muni","BVAL_MID_YTM")</f>
        <v>#N/A Requesting Data...</v>
      </c>
      <c r="P902" t="str">
        <f>_xll.BDP("50963NMU Muni","MUNI_TAX_PROV")</f>
        <v>#N/A Requesting Data...</v>
      </c>
      <c r="Q902" t="str">
        <f>_xll.BDP("50963NMU Muni","MUNI_FED_TAX")</f>
        <v>#N/A Requesting Data...</v>
      </c>
      <c r="R902" t="str">
        <f>_xll.BDP("50963NMU Muni","MUNI_MSRB_VOLUME")</f>
        <v>#N/A Requesting Data...</v>
      </c>
      <c r="S902" t="str">
        <f>_xll.BDP("50963NMU Muni","BB_COMPOSITE")</f>
        <v>#N/A Requesting Data...</v>
      </c>
      <c r="T902" t="str">
        <f>_xll.BDP("50963NMU Muni","LQA_LIQUIDITY_SCORE")</f>
        <v>#N/A Requesting Data...</v>
      </c>
    </row>
    <row r="903" spans="1:20" x14ac:dyDescent="0.25">
      <c r="A903" t="str">
        <f>_xll.BDP("50963NMW Muni","ID_CUSIP")</f>
        <v>#N/A Requesting Data...</v>
      </c>
      <c r="B903" t="s">
        <v>246</v>
      </c>
      <c r="C903" t="str">
        <f>_xll.BDP("50963NMW Muni","INSURANCE_STATUS")</f>
        <v>#N/A Requesting Data...</v>
      </c>
      <c r="D903" t="str">
        <f>_xll.BDP("50963NMW Muni","STATE_CODE")</f>
        <v>#N/A Requesting Data...</v>
      </c>
      <c r="E903" t="str">
        <f>_xll.BDP("50963NMW Muni","COUNTY_LOCATION_ISSUER")</f>
        <v>#N/A Requesting Data...</v>
      </c>
      <c r="F903" t="str">
        <f>_xll.BDP("50963NMW Muni","DUR_ADJ_MID")</f>
        <v>#N/A Requesting Data...</v>
      </c>
      <c r="G903" t="str">
        <f>_xll.BDP("50963NMW Muni","SPREAD_AT_ISSUANCE_TO_WORST")</f>
        <v>#N/A Requesting Data...</v>
      </c>
      <c r="H903" t="str">
        <f>_xll.BDP("50963NMW Muni","ISSUE_DT")</f>
        <v>#N/A Requesting Data...</v>
      </c>
      <c r="I903" t="str">
        <f>_xll.BDS("50963NMW Muni","MUNI_PURPOSE_SCHED", "aggregate=y")</f>
        <v>#N/A Requesting Data...</v>
      </c>
      <c r="J903" t="str">
        <f>_xll.BDP("50963NMW Muni","CPN")</f>
        <v>#N/A Requesting Data...</v>
      </c>
      <c r="K903" t="str">
        <f>_xll.BDP("50963NMW Muni","MATURITY")</f>
        <v>#N/A Requesting Data...</v>
      </c>
      <c r="L903">
        <v>40000</v>
      </c>
      <c r="M903" t="str">
        <f>_xll.BDP("50963NMW Muni","YIELD_ON_ISSUE_DATE")</f>
        <v>#N/A Requesting Data...</v>
      </c>
      <c r="N903" t="str">
        <f>_xll.BDP("50963NMW Muni","YTW_SPREAD_TO_MATURITY_AT_ISSU")</f>
        <v>#N/A Requesting Data...</v>
      </c>
      <c r="O903" t="str">
        <f>_xll.BDP("50963NMW Muni","BVAL_MID_YTM")</f>
        <v>#N/A Requesting Data...</v>
      </c>
      <c r="P903" t="str">
        <f>_xll.BDP("50963NMW Muni","MUNI_TAX_PROV")</f>
        <v>#N/A Requesting Data...</v>
      </c>
      <c r="Q903" t="str">
        <f>_xll.BDP("50963NMW Muni","MUNI_FED_TAX")</f>
        <v>#N/A Requesting Data...</v>
      </c>
      <c r="R903" t="str">
        <f>_xll.BDP("50963NMW Muni","MUNI_MSRB_VOLUME")</f>
        <v>#N/A Requesting Data...</v>
      </c>
      <c r="S903" t="str">
        <f>_xll.BDP("50963NMW Muni","BB_COMPOSITE")</f>
        <v>#N/A Requesting Data...</v>
      </c>
      <c r="T903" t="str">
        <f>_xll.BDP("50963NMW Muni","LQA_LIQUIDITY_SCORE")</f>
        <v>#N/A Requesting Data...</v>
      </c>
    </row>
    <row r="904" spans="1:20" x14ac:dyDescent="0.25">
      <c r="A904" t="str">
        <f>_xll.BDP("50963NQM Muni","ID_CUSIP")</f>
        <v>#N/A Requesting Data...</v>
      </c>
      <c r="B904" t="s">
        <v>246</v>
      </c>
      <c r="C904" t="str">
        <f>_xll.BDP("50963NQM Muni","INSURANCE_STATUS")</f>
        <v>#N/A Requesting Data...</v>
      </c>
      <c r="D904" t="str">
        <f>_xll.BDP("50963NQM Muni","STATE_CODE")</f>
        <v>#N/A Requesting Data...</v>
      </c>
      <c r="E904" t="str">
        <f>_xll.BDP("50963NQM Muni","COUNTY_LOCATION_ISSUER")</f>
        <v>#N/A Requesting Data...</v>
      </c>
      <c r="F904" t="str">
        <f>_xll.BDP("50963NQM Muni","DUR_ADJ_MID")</f>
        <v>#N/A Requesting Data...</v>
      </c>
      <c r="G904" t="str">
        <f>_xll.BDP("50963NQM Muni","SPREAD_AT_ISSUANCE_TO_WORST")</f>
        <v>#N/A Requesting Data...</v>
      </c>
      <c r="H904" t="str">
        <f>_xll.BDP("50963NQM Muni","ISSUE_DT")</f>
        <v>#N/A Requesting Data...</v>
      </c>
      <c r="I904" t="str">
        <f>_xll.BDS("50963NQM Muni","MUNI_PURPOSE_SCHED", "aggregate=y")</f>
        <v>#N/A Requesting Data...</v>
      </c>
      <c r="J904" t="str">
        <f>_xll.BDP("50963NQM Muni","CPN")</f>
        <v>#N/A Requesting Data...</v>
      </c>
      <c r="K904" t="str">
        <f>_xll.BDP("50963NQM Muni","MATURITY")</f>
        <v>#N/A Requesting Data...</v>
      </c>
      <c r="L904">
        <v>50000</v>
      </c>
      <c r="M904" t="str">
        <f>_xll.BDP("50963NQM Muni","YIELD_ON_ISSUE_DATE")</f>
        <v>#N/A Requesting Data...</v>
      </c>
      <c r="N904" t="str">
        <f>_xll.BDP("50963NQM Muni","YTW_SPREAD_TO_MATURITY_AT_ISSU")</f>
        <v>#N/A Requesting Data...</v>
      </c>
      <c r="O904" t="str">
        <f>_xll.BDP("50963NQM Muni","BVAL_MID_YTM")</f>
        <v>#N/A Requesting Data...</v>
      </c>
      <c r="P904" t="str">
        <f>_xll.BDP("50963NQM Muni","MUNI_TAX_PROV")</f>
        <v>#N/A Requesting Data...</v>
      </c>
      <c r="Q904" t="str">
        <f>_xll.BDP("50963NQM Muni","MUNI_FED_TAX")</f>
        <v>#N/A Requesting Data...</v>
      </c>
      <c r="R904" t="str">
        <f>_xll.BDP("50963NQM Muni","MUNI_MSRB_VOLUME")</f>
        <v>#N/A Requesting Data...</v>
      </c>
      <c r="S904" t="str">
        <f>_xll.BDP("50963NQM Muni","BB_COMPOSITE")</f>
        <v>#N/A Requesting Data...</v>
      </c>
      <c r="T904" t="str">
        <f>_xll.BDP("50963NQM Muni","LQA_LIQUIDITY_SCORE")</f>
        <v>#N/A Requesting Data...</v>
      </c>
    </row>
    <row r="905" spans="1:20" x14ac:dyDescent="0.25">
      <c r="A905" t="str">
        <f>_xll.BDP("50963NQP Muni","ID_CUSIP")</f>
        <v>#N/A Requesting Data...</v>
      </c>
      <c r="B905" t="s">
        <v>246</v>
      </c>
      <c r="C905" t="str">
        <f>_xll.BDP("50963NQP Muni","INSURANCE_STATUS")</f>
        <v>#N/A Requesting Data...</v>
      </c>
      <c r="D905" t="str">
        <f>_xll.BDP("50963NQP Muni","STATE_CODE")</f>
        <v>#N/A Requesting Data...</v>
      </c>
      <c r="E905" t="str">
        <f>_xll.BDP("50963NQP Muni","COUNTY_LOCATION_ISSUER")</f>
        <v>#N/A Requesting Data...</v>
      </c>
      <c r="F905" t="str">
        <f>_xll.BDP("50963NQP Muni","DUR_ADJ_MID")</f>
        <v>#N/A Requesting Data...</v>
      </c>
      <c r="G905" t="str">
        <f>_xll.BDP("50963NQP Muni","SPREAD_AT_ISSUANCE_TO_WORST")</f>
        <v>#N/A Requesting Data...</v>
      </c>
      <c r="H905" t="str">
        <f>_xll.BDP("50963NQP Muni","ISSUE_DT")</f>
        <v>#N/A Requesting Data...</v>
      </c>
      <c r="I905" t="str">
        <f>_xll.BDS("50963NQP Muni","MUNI_PURPOSE_SCHED", "aggregate=y")</f>
        <v>#N/A Requesting Data...</v>
      </c>
      <c r="J905" t="str">
        <f>_xll.BDP("50963NQP Muni","CPN")</f>
        <v>#N/A Requesting Data...</v>
      </c>
      <c r="K905" t="str">
        <f>_xll.BDP("50963NQP Muni","MATURITY")</f>
        <v>#N/A Requesting Data...</v>
      </c>
      <c r="L905">
        <v>60000</v>
      </c>
      <c r="M905" t="str">
        <f>_xll.BDP("50963NQP Muni","YIELD_ON_ISSUE_DATE")</f>
        <v>#N/A Requesting Data...</v>
      </c>
      <c r="N905" t="str">
        <f>_xll.BDP("50963NQP Muni","YTW_SPREAD_TO_MATURITY_AT_ISSU")</f>
        <v>#N/A Requesting Data...</v>
      </c>
      <c r="O905" t="str">
        <f>_xll.BDP("50963NQP Muni","BVAL_MID_YTM")</f>
        <v>#N/A Requesting Data...</v>
      </c>
      <c r="P905" t="str">
        <f>_xll.BDP("50963NQP Muni","MUNI_TAX_PROV")</f>
        <v>#N/A Requesting Data...</v>
      </c>
      <c r="Q905" t="str">
        <f>_xll.BDP("50963NQP Muni","MUNI_FED_TAX")</f>
        <v>#N/A Requesting Data...</v>
      </c>
      <c r="R905" t="str">
        <f>_xll.BDP("50963NQP Muni","MUNI_MSRB_VOLUME")</f>
        <v>#N/A Requesting Data...</v>
      </c>
      <c r="S905" t="str">
        <f>_xll.BDP("50963NQP Muni","BB_COMPOSITE")</f>
        <v>#N/A Requesting Data...</v>
      </c>
      <c r="T905" t="str">
        <f>_xll.BDP("50963NQP Muni","LQA_LIQUIDITY_SCORE")</f>
        <v>#N/A Requesting Data...</v>
      </c>
    </row>
    <row r="906" spans="1:20" x14ac:dyDescent="0.25">
      <c r="A906" t="str">
        <f>_xll.BDP("512026AF Muni","ID_CUSIP")</f>
        <v>#N/A Requesting Data...</v>
      </c>
      <c r="B906" t="s">
        <v>247</v>
      </c>
      <c r="C906" t="str">
        <f>_xll.BDP("512026AF Muni","INSURANCE_STATUS")</f>
        <v>#N/A Requesting Data...</v>
      </c>
      <c r="D906" t="str">
        <f>_xll.BDP("512026AF Muni","STATE_CODE")</f>
        <v>#N/A Requesting Data...</v>
      </c>
      <c r="E906" t="str">
        <f>_xll.BDP("512026AF Muni","COUNTY_LOCATION_ISSUER")</f>
        <v>#N/A Requesting Data...</v>
      </c>
      <c r="F906" t="str">
        <f>_xll.BDP("512026AF Muni","DUR_ADJ_MID")</f>
        <v>#N/A Requesting Data...</v>
      </c>
      <c r="G906" t="str">
        <f>_xll.BDP("512026AF Muni","SPREAD_AT_ISSUANCE_TO_WORST")</f>
        <v>#N/A Requesting Data...</v>
      </c>
      <c r="H906" t="str">
        <f>_xll.BDP("512026AF Muni","ISSUE_DT")</f>
        <v>#N/A Requesting Data...</v>
      </c>
      <c r="I906" t="str">
        <f>_xll.BDS("512026AF Muni","MUNI_PURPOSE_SCHED", "aggregate=y")</f>
        <v>#N/A Requesting Data...</v>
      </c>
      <c r="J906" t="str">
        <f>_xll.BDP("512026AF Muni","CPN")</f>
        <v>#N/A Requesting Data...</v>
      </c>
      <c r="K906" t="str">
        <f>_xll.BDP("512026AF Muni","MATURITY")</f>
        <v>#N/A Requesting Data...</v>
      </c>
      <c r="L906">
        <v>145000</v>
      </c>
      <c r="M906" t="str">
        <f>_xll.BDP("512026AF Muni","YIELD_ON_ISSUE_DATE")</f>
        <v>#N/A Requesting Data...</v>
      </c>
      <c r="N906" t="str">
        <f>_xll.BDP("512026AF Muni","YTW_SPREAD_TO_MATURITY_AT_ISSU")</f>
        <v>#N/A Requesting Data...</v>
      </c>
      <c r="O906" t="str">
        <f>_xll.BDP("512026AF Muni","BVAL_MID_YTM")</f>
        <v>#N/A Requesting Data...</v>
      </c>
      <c r="P906" t="str">
        <f>_xll.BDP("512026AF Muni","MUNI_TAX_PROV")</f>
        <v>#N/A Requesting Data...</v>
      </c>
      <c r="Q906" t="str">
        <f>_xll.BDP("512026AF Muni","MUNI_FED_TAX")</f>
        <v>#N/A Requesting Data...</v>
      </c>
      <c r="R906" t="str">
        <f>_xll.BDP("512026AF Muni","MUNI_MSRB_VOLUME")</f>
        <v>#N/A Requesting Data...</v>
      </c>
      <c r="S906" t="str">
        <f>_xll.BDP("512026AF Muni","BB_COMPOSITE")</f>
        <v>#N/A Requesting Data...</v>
      </c>
      <c r="T906" t="str">
        <f>_xll.BDP("512026AF Muni","LQA_LIQUIDITY_SCORE")</f>
        <v>#N/A Requesting Data...</v>
      </c>
    </row>
    <row r="907" spans="1:20" x14ac:dyDescent="0.25">
      <c r="A907" t="str">
        <f>_xll.BDP("512026AG Muni","ID_CUSIP")</f>
        <v>#N/A Requesting Data...</v>
      </c>
      <c r="B907" t="s">
        <v>247</v>
      </c>
      <c r="C907" t="str">
        <f>_xll.BDP("512026AG Muni","INSURANCE_STATUS")</f>
        <v>#N/A Requesting Data...</v>
      </c>
      <c r="D907" t="str">
        <f>_xll.BDP("512026AG Muni","STATE_CODE")</f>
        <v>#N/A Requesting Data...</v>
      </c>
      <c r="E907" t="str">
        <f>_xll.BDP("512026AG Muni","COUNTY_LOCATION_ISSUER")</f>
        <v>#N/A Requesting Data...</v>
      </c>
      <c r="F907" t="str">
        <f>_xll.BDP("512026AG Muni","DUR_ADJ_MID")</f>
        <v>#N/A Requesting Data...</v>
      </c>
      <c r="G907" t="str">
        <f>_xll.BDP("512026AG Muni","SPREAD_AT_ISSUANCE_TO_WORST")</f>
        <v>#N/A Requesting Data...</v>
      </c>
      <c r="H907" t="str">
        <f>_xll.BDP("512026AG Muni","ISSUE_DT")</f>
        <v>#N/A Requesting Data...</v>
      </c>
      <c r="I907" t="str">
        <f>_xll.BDS("512026AG Muni","MUNI_PURPOSE_SCHED", "aggregate=y")</f>
        <v>#N/A Requesting Data...</v>
      </c>
      <c r="J907" t="str">
        <f>_xll.BDP("512026AG Muni","CPN")</f>
        <v>#N/A Requesting Data...</v>
      </c>
      <c r="K907" t="str">
        <f>_xll.BDP("512026AG Muni","MATURITY")</f>
        <v>#N/A Requesting Data...</v>
      </c>
      <c r="L907">
        <v>165000</v>
      </c>
      <c r="M907" t="str">
        <f>_xll.BDP("512026AG Muni","YIELD_ON_ISSUE_DATE")</f>
        <v>#N/A Requesting Data...</v>
      </c>
      <c r="N907" t="str">
        <f>_xll.BDP("512026AG Muni","YTW_SPREAD_TO_MATURITY_AT_ISSU")</f>
        <v>#N/A Requesting Data...</v>
      </c>
      <c r="O907" t="str">
        <f>_xll.BDP("512026AG Muni","BVAL_MID_YTM")</f>
        <v>#N/A Requesting Data...</v>
      </c>
      <c r="P907" t="str">
        <f>_xll.BDP("512026AG Muni","MUNI_TAX_PROV")</f>
        <v>#N/A Requesting Data...</v>
      </c>
      <c r="Q907" t="str">
        <f>_xll.BDP("512026AG Muni","MUNI_FED_TAX")</f>
        <v>#N/A Requesting Data...</v>
      </c>
      <c r="R907" t="str">
        <f>_xll.BDP("512026AG Muni","MUNI_MSRB_VOLUME")</f>
        <v>#N/A Requesting Data...</v>
      </c>
      <c r="S907" t="str">
        <f>_xll.BDP("512026AG Muni","BB_COMPOSITE")</f>
        <v>#N/A Requesting Data...</v>
      </c>
      <c r="T907" t="str">
        <f>_xll.BDP("512026AG Muni","LQA_LIQUIDITY_SCORE")</f>
        <v>#N/A Requesting Data...</v>
      </c>
    </row>
    <row r="908" spans="1:20" x14ac:dyDescent="0.25">
      <c r="A908" t="str">
        <f>_xll.BDP("512026AJ Muni","ID_CUSIP")</f>
        <v>#N/A Requesting Data...</v>
      </c>
      <c r="B908" t="s">
        <v>247</v>
      </c>
      <c r="C908" t="str">
        <f>_xll.BDP("512026AJ Muni","INSURANCE_STATUS")</f>
        <v>#N/A Requesting Data...</v>
      </c>
      <c r="D908" t="str">
        <f>_xll.BDP("512026AJ Muni","STATE_CODE")</f>
        <v>#N/A Requesting Data...</v>
      </c>
      <c r="E908" t="str">
        <f>_xll.BDP("512026AJ Muni","COUNTY_LOCATION_ISSUER")</f>
        <v>#N/A Requesting Data...</v>
      </c>
      <c r="F908" t="str">
        <f>_xll.BDP("512026AJ Muni","DUR_ADJ_MID")</f>
        <v>#N/A Requesting Data...</v>
      </c>
      <c r="G908" t="str">
        <f>_xll.BDP("512026AJ Muni","SPREAD_AT_ISSUANCE_TO_WORST")</f>
        <v>#N/A Requesting Data...</v>
      </c>
      <c r="H908" t="str">
        <f>_xll.BDP("512026AJ Muni","ISSUE_DT")</f>
        <v>#N/A Requesting Data...</v>
      </c>
      <c r="I908" t="str">
        <f>_xll.BDS("512026AJ Muni","MUNI_PURPOSE_SCHED", "aggregate=y")</f>
        <v>#N/A Requesting Data...</v>
      </c>
      <c r="J908" t="str">
        <f>_xll.BDP("512026AJ Muni","CPN")</f>
        <v>#N/A Requesting Data...</v>
      </c>
      <c r="K908" t="str">
        <f>_xll.BDP("512026AJ Muni","MATURITY")</f>
        <v>#N/A Requesting Data...</v>
      </c>
      <c r="L908">
        <v>175000</v>
      </c>
      <c r="M908" t="str">
        <f>_xll.BDP("512026AJ Muni","YIELD_ON_ISSUE_DATE")</f>
        <v>#N/A Requesting Data...</v>
      </c>
      <c r="N908" t="str">
        <f>_xll.BDP("512026AJ Muni","YTW_SPREAD_TO_MATURITY_AT_ISSU")</f>
        <v>#N/A Requesting Data...</v>
      </c>
      <c r="O908" t="str">
        <f>_xll.BDP("512026AJ Muni","BVAL_MID_YTM")</f>
        <v>#N/A Requesting Data...</v>
      </c>
      <c r="P908" t="str">
        <f>_xll.BDP("512026AJ Muni","MUNI_TAX_PROV")</f>
        <v>#N/A Requesting Data...</v>
      </c>
      <c r="Q908" t="str">
        <f>_xll.BDP("512026AJ Muni","MUNI_FED_TAX")</f>
        <v>#N/A Requesting Data...</v>
      </c>
      <c r="R908" t="str">
        <f>_xll.BDP("512026AJ Muni","MUNI_MSRB_VOLUME")</f>
        <v>#N/A Requesting Data...</v>
      </c>
      <c r="S908" t="str">
        <f>_xll.BDP("512026AJ Muni","BB_COMPOSITE")</f>
        <v>#N/A Requesting Data...</v>
      </c>
      <c r="T908" t="str">
        <f>_xll.BDP("512026AJ Muni","LQA_LIQUIDITY_SCORE")</f>
        <v>#N/A Requesting Data...</v>
      </c>
    </row>
    <row r="909" spans="1:20" x14ac:dyDescent="0.25">
      <c r="A909" t="str">
        <f>_xll.BDP("514192GP Muni","ID_CUSIP")</f>
        <v>#N/A Requesting Data...</v>
      </c>
      <c r="B909" t="s">
        <v>242</v>
      </c>
      <c r="C909" t="str">
        <f>_xll.BDP("514192GP Muni","INSURANCE_STATUS")</f>
        <v>#N/A Requesting Data...</v>
      </c>
      <c r="D909" t="str">
        <f>_xll.BDP("514192GP Muni","STATE_CODE")</f>
        <v>#N/A Requesting Data...</v>
      </c>
      <c r="E909" t="str">
        <f>_xll.BDP("514192GP Muni","COUNTY_LOCATION_ISSUER")</f>
        <v>#N/A Requesting Data...</v>
      </c>
      <c r="F909" t="str">
        <f>_xll.BDP("514192GP Muni","DUR_ADJ_MID")</f>
        <v>#N/A Requesting Data...</v>
      </c>
      <c r="G909" t="str">
        <f>_xll.BDP("514192GP Muni","SPREAD_AT_ISSUANCE_TO_WORST")</f>
        <v>#N/A Requesting Data...</v>
      </c>
      <c r="H909" t="str">
        <f>_xll.BDP("514192GP Muni","ISSUE_DT")</f>
        <v>#N/A Requesting Data...</v>
      </c>
      <c r="I909" t="str">
        <f>_xll.BDS("514192GP Muni","MUNI_PURPOSE_SCHED", "aggregate=y")</f>
        <v>#N/A Requesting Data...</v>
      </c>
      <c r="J909" t="str">
        <f>_xll.BDP("514192GP Muni","CPN")</f>
        <v>#N/A Requesting Data...</v>
      </c>
      <c r="K909" t="str">
        <f>_xll.BDP("514192GP Muni","MATURITY")</f>
        <v>#N/A Requesting Data...</v>
      </c>
      <c r="L909">
        <v>175000</v>
      </c>
      <c r="M909" t="str">
        <f>_xll.BDP("514192GP Muni","YIELD_ON_ISSUE_DATE")</f>
        <v>#N/A Requesting Data...</v>
      </c>
      <c r="N909" t="str">
        <f>_xll.BDP("514192GP Muni","YTW_SPREAD_TO_MATURITY_AT_ISSU")</f>
        <v>#N/A Requesting Data...</v>
      </c>
      <c r="O909" t="str">
        <f>_xll.BDP("514192GP Muni","BVAL_MID_YTM")</f>
        <v>#N/A Requesting Data...</v>
      </c>
      <c r="P909" t="str">
        <f>_xll.BDP("514192GP Muni","MUNI_TAX_PROV")</f>
        <v>#N/A Requesting Data...</v>
      </c>
      <c r="Q909" t="str">
        <f>_xll.BDP("514192GP Muni","MUNI_FED_TAX")</f>
        <v>#N/A Requesting Data...</v>
      </c>
      <c r="R909" t="str">
        <f>_xll.BDP("514192GP Muni","MUNI_MSRB_VOLUME")</f>
        <v>#N/A Requesting Data...</v>
      </c>
      <c r="S909" t="str">
        <f>_xll.BDP("514192GP Muni","BB_COMPOSITE")</f>
        <v>#N/A Requesting Data...</v>
      </c>
      <c r="T909" t="str">
        <f>_xll.BDP("514192GP Muni","LQA_LIQUIDITY_SCORE")</f>
        <v>#N/A Requesting Data...</v>
      </c>
    </row>
    <row r="910" spans="1:20" x14ac:dyDescent="0.25">
      <c r="A910" t="str">
        <f>_xll.BDP("441182KT Muni","ID_CUSIP")</f>
        <v>#N/A Requesting Data...</v>
      </c>
      <c r="B910" t="s">
        <v>243</v>
      </c>
      <c r="C910" t="str">
        <f>_xll.BDP("441182KT Muni","INSURANCE_STATUS")</f>
        <v>#N/A Requesting Data...</v>
      </c>
      <c r="D910" t="str">
        <f>_xll.BDP("441182KT Muni","STATE_CODE")</f>
        <v>#N/A Requesting Data...</v>
      </c>
      <c r="E910" t="str">
        <f>_xll.BDP("441182KT Muni","COUNTY_LOCATION_ISSUER")</f>
        <v>#N/A Requesting Data...</v>
      </c>
      <c r="F910" t="str">
        <f>_xll.BDP("441182KT Muni","DUR_ADJ_MID")</f>
        <v>#N/A Requesting Data...</v>
      </c>
      <c r="G910" t="str">
        <f>_xll.BDP("441182KT Muni","SPREAD_AT_ISSUANCE_TO_WORST")</f>
        <v>#N/A Requesting Data...</v>
      </c>
      <c r="H910" t="str">
        <f>_xll.BDP("441182KT Muni","ISSUE_DT")</f>
        <v>#N/A Requesting Data...</v>
      </c>
      <c r="I910" t="str">
        <f>_xll.BDS("441182KT Muni","MUNI_PURPOSE_SCHED", "aggregate=y")</f>
        <v>#N/A Requesting Data...</v>
      </c>
      <c r="J910" t="str">
        <f>_xll.BDP("441182KT Muni","CPN")</f>
        <v>#N/A Requesting Data...</v>
      </c>
      <c r="K910" t="str">
        <f>_xll.BDP("441182KT Muni","MATURITY")</f>
        <v>#N/A Requesting Data...</v>
      </c>
      <c r="L910">
        <v>615000</v>
      </c>
      <c r="M910" t="str">
        <f>_xll.BDP("441182KT Muni","YIELD_ON_ISSUE_DATE")</f>
        <v>#N/A Requesting Data...</v>
      </c>
      <c r="N910" t="str">
        <f>_xll.BDP("441182KT Muni","YTW_SPREAD_TO_MATURITY_AT_ISSU")</f>
        <v>#N/A Requesting Data...</v>
      </c>
      <c r="O910" t="str">
        <f>_xll.BDP("441182KT Muni","BVAL_MID_YTM")</f>
        <v>#N/A Requesting Data...</v>
      </c>
      <c r="P910" t="str">
        <f>_xll.BDP("441182KT Muni","MUNI_TAX_PROV")</f>
        <v>#N/A Requesting Data...</v>
      </c>
      <c r="Q910" t="str">
        <f>_xll.BDP("441182KT Muni","MUNI_FED_TAX")</f>
        <v>#N/A Requesting Data...</v>
      </c>
      <c r="R910" t="str">
        <f>_xll.BDP("441182KT Muni","MUNI_MSRB_VOLUME")</f>
        <v>#N/A Requesting Data...</v>
      </c>
      <c r="S910" t="str">
        <f>_xll.BDP("441182KT Muni","BB_COMPOSITE")</f>
        <v>#N/A Requesting Data...</v>
      </c>
      <c r="T910" t="str">
        <f>_xll.BDP("441182KT Muni","LQA_LIQUIDITY_SCORE")</f>
        <v>#N/A Requesting Data...</v>
      </c>
    </row>
    <row r="911" spans="1:20" x14ac:dyDescent="0.25">
      <c r="A911" t="str">
        <f>_xll.BDP("512026AD Muni","ID_CUSIP")</f>
        <v>#N/A Requesting Data...</v>
      </c>
      <c r="B911" t="s">
        <v>247</v>
      </c>
      <c r="C911" t="str">
        <f>_xll.BDP("512026AD Muni","INSURANCE_STATUS")</f>
        <v>#N/A Requesting Data...</v>
      </c>
      <c r="D911" t="str">
        <f>_xll.BDP("512026AD Muni","STATE_CODE")</f>
        <v>#N/A Requesting Data...</v>
      </c>
      <c r="E911" t="str">
        <f>_xll.BDP("512026AD Muni","COUNTY_LOCATION_ISSUER")</f>
        <v>#N/A Requesting Data...</v>
      </c>
      <c r="F911" t="str">
        <f>_xll.BDP("512026AD Muni","DUR_ADJ_MID")</f>
        <v>#N/A Requesting Data...</v>
      </c>
      <c r="G911" t="str">
        <f>_xll.BDP("512026AD Muni","SPREAD_AT_ISSUANCE_TO_WORST")</f>
        <v>#N/A Requesting Data...</v>
      </c>
      <c r="H911" t="str">
        <f>_xll.BDP("512026AD Muni","ISSUE_DT")</f>
        <v>#N/A Requesting Data...</v>
      </c>
      <c r="I911" t="str">
        <f>_xll.BDS("512026AD Muni","MUNI_PURPOSE_SCHED", "aggregate=y")</f>
        <v>#N/A Requesting Data...</v>
      </c>
      <c r="J911" t="str">
        <f>_xll.BDP("512026AD Muni","CPN")</f>
        <v>#N/A Requesting Data...</v>
      </c>
      <c r="K911" t="str">
        <f>_xll.BDP("512026AD Muni","MATURITY")</f>
        <v>#N/A Requesting Data...</v>
      </c>
      <c r="L911">
        <v>115000</v>
      </c>
      <c r="M911" t="str">
        <f>_xll.BDP("512026AD Muni","YIELD_ON_ISSUE_DATE")</f>
        <v>#N/A Requesting Data...</v>
      </c>
      <c r="N911" t="str">
        <f>_xll.BDP("512026AD Muni","YTW_SPREAD_TO_MATURITY_AT_ISSU")</f>
        <v>#N/A Requesting Data...</v>
      </c>
      <c r="O911" t="str">
        <f>_xll.BDP("512026AD Muni","BVAL_MID_YTM")</f>
        <v>#N/A Requesting Data...</v>
      </c>
      <c r="P911" t="str">
        <f>_xll.BDP("512026AD Muni","MUNI_TAX_PROV")</f>
        <v>#N/A Requesting Data...</v>
      </c>
      <c r="Q911" t="str">
        <f>_xll.BDP("512026AD Muni","MUNI_FED_TAX")</f>
        <v>#N/A Requesting Data...</v>
      </c>
      <c r="R911" t="str">
        <f>_xll.BDP("512026AD Muni","MUNI_MSRB_VOLUME")</f>
        <v>#N/A Requesting Data...</v>
      </c>
      <c r="S911" t="str">
        <f>_xll.BDP("512026AD Muni","BB_COMPOSITE")</f>
        <v>#N/A Requesting Data...</v>
      </c>
      <c r="T911" t="str">
        <f>_xll.BDP("512026AD Muni","LQA_LIQUIDITY_SCORE")</f>
        <v>#N/A Requesting Data...</v>
      </c>
    </row>
    <row r="912" spans="1:20" x14ac:dyDescent="0.25">
      <c r="A912" t="str">
        <f>_xll.BDP("512026AK Muni","ID_CUSIP")</f>
        <v>#N/A Requesting Data...</v>
      </c>
      <c r="B912" t="s">
        <v>247</v>
      </c>
      <c r="C912" t="str">
        <f>_xll.BDP("512026AK Muni","INSURANCE_STATUS")</f>
        <v>#N/A Requesting Data...</v>
      </c>
      <c r="D912" t="str">
        <f>_xll.BDP("512026AK Muni","STATE_CODE")</f>
        <v>#N/A Requesting Data...</v>
      </c>
      <c r="E912" t="str">
        <f>_xll.BDP("512026AK Muni","COUNTY_LOCATION_ISSUER")</f>
        <v>#N/A Requesting Data...</v>
      </c>
      <c r="F912" t="str">
        <f>_xll.BDP("512026AK Muni","DUR_ADJ_MID")</f>
        <v>#N/A Requesting Data...</v>
      </c>
      <c r="G912" t="str">
        <f>_xll.BDP("512026AK Muni","SPREAD_AT_ISSUANCE_TO_WORST")</f>
        <v>#N/A Requesting Data...</v>
      </c>
      <c r="H912" t="str">
        <f>_xll.BDP("512026AK Muni","ISSUE_DT")</f>
        <v>#N/A Requesting Data...</v>
      </c>
      <c r="I912" t="str">
        <f>_xll.BDS("512026AK Muni","MUNI_PURPOSE_SCHED", "aggregate=y")</f>
        <v>#N/A Requesting Data...</v>
      </c>
      <c r="J912" t="str">
        <f>_xll.BDP("512026AK Muni","CPN")</f>
        <v>#N/A Requesting Data...</v>
      </c>
      <c r="K912" t="str">
        <f>_xll.BDP("512026AK Muni","MATURITY")</f>
        <v>#N/A Requesting Data...</v>
      </c>
      <c r="L912">
        <v>195000</v>
      </c>
      <c r="M912" t="str">
        <f>_xll.BDP("512026AK Muni","YIELD_ON_ISSUE_DATE")</f>
        <v>#N/A Requesting Data...</v>
      </c>
      <c r="N912" t="str">
        <f>_xll.BDP("512026AK Muni","YTW_SPREAD_TO_MATURITY_AT_ISSU")</f>
        <v>#N/A Requesting Data...</v>
      </c>
      <c r="O912" t="str">
        <f>_xll.BDP("512026AK Muni","BVAL_MID_YTM")</f>
        <v>#N/A Requesting Data...</v>
      </c>
      <c r="P912" t="str">
        <f>_xll.BDP("512026AK Muni","MUNI_TAX_PROV")</f>
        <v>#N/A Requesting Data...</v>
      </c>
      <c r="Q912" t="str">
        <f>_xll.BDP("512026AK Muni","MUNI_FED_TAX")</f>
        <v>#N/A Requesting Data...</v>
      </c>
      <c r="R912" t="str">
        <f>_xll.BDP("512026AK Muni","MUNI_MSRB_VOLUME")</f>
        <v>#N/A Requesting Data...</v>
      </c>
      <c r="S912" t="str">
        <f>_xll.BDP("512026AK Muni","BB_COMPOSITE")</f>
        <v>#N/A Requesting Data...</v>
      </c>
      <c r="T912" t="str">
        <f>_xll.BDP("512026AK Muni","LQA_LIQUIDITY_SCORE")</f>
        <v>#N/A Requesting Data...</v>
      </c>
    </row>
    <row r="913" spans="1:20" x14ac:dyDescent="0.25">
      <c r="A913" t="str">
        <f>_xll.BDP("512185GE Muni","ID_CUSIP")</f>
        <v>#N/A Requesting Data...</v>
      </c>
      <c r="B913" t="s">
        <v>248</v>
      </c>
      <c r="C913" t="str">
        <f>_xll.BDP("512185GE Muni","INSURANCE_STATUS")</f>
        <v>#N/A Requesting Data...</v>
      </c>
      <c r="D913" t="str">
        <f>_xll.BDP("512185GE Muni","STATE_CODE")</f>
        <v>#N/A Requesting Data...</v>
      </c>
      <c r="E913" t="str">
        <f>_xll.BDP("512185GE Muni","COUNTY_LOCATION_ISSUER")</f>
        <v>#N/A Requesting Data...</v>
      </c>
      <c r="F913" t="str">
        <f>_xll.BDP("512185GE Muni","DUR_ADJ_MID")</f>
        <v>#N/A Requesting Data...</v>
      </c>
      <c r="G913" t="str">
        <f>_xll.BDP("512185GE Muni","SPREAD_AT_ISSUANCE_TO_WORST")</f>
        <v>#N/A Requesting Data...</v>
      </c>
      <c r="H913" t="str">
        <f>_xll.BDP("512185GE Muni","ISSUE_DT")</f>
        <v>#N/A Requesting Data...</v>
      </c>
      <c r="I913" t="str">
        <f>_xll.BDS("512185GE Muni","MUNI_PURPOSE_SCHED", "aggregate=y")</f>
        <v>#N/A Requesting Data...</v>
      </c>
      <c r="J913" t="str">
        <f>_xll.BDP("512185GE Muni","CPN")</f>
        <v>#N/A Requesting Data...</v>
      </c>
      <c r="K913" t="str">
        <f>_xll.BDP("512185GE Muni","MATURITY")</f>
        <v>#N/A Requesting Data...</v>
      </c>
      <c r="L913">
        <v>100000</v>
      </c>
      <c r="M913" t="str">
        <f>_xll.BDP("512185GE Muni","YIELD_ON_ISSUE_DATE")</f>
        <v>#N/A Requesting Data...</v>
      </c>
      <c r="N913" t="str">
        <f>_xll.BDP("512185GE Muni","YTW_SPREAD_TO_MATURITY_AT_ISSU")</f>
        <v>#N/A Requesting Data...</v>
      </c>
      <c r="O913" t="str">
        <f>_xll.BDP("512185GE Muni","BVAL_MID_YTM")</f>
        <v>#N/A Requesting Data...</v>
      </c>
      <c r="P913" t="str">
        <f>_xll.BDP("512185GE Muni","MUNI_TAX_PROV")</f>
        <v>#N/A Requesting Data...</v>
      </c>
      <c r="Q913" t="str">
        <f>_xll.BDP("512185GE Muni","MUNI_FED_TAX")</f>
        <v>#N/A Requesting Data...</v>
      </c>
      <c r="R913" t="str">
        <f>_xll.BDP("512185GE Muni","MUNI_MSRB_VOLUME")</f>
        <v>#N/A Requesting Data...</v>
      </c>
      <c r="S913" t="str">
        <f>_xll.BDP("512185GE Muni","BB_COMPOSITE")</f>
        <v>#N/A Requesting Data...</v>
      </c>
      <c r="T913" t="str">
        <f>_xll.BDP("512185GE Muni","LQA_LIQUIDITY_SCORE")</f>
        <v>#N/A Requesting Data...</v>
      </c>
    </row>
    <row r="914" spans="1:20" x14ac:dyDescent="0.25">
      <c r="A914" t="str">
        <f>_xll.BDP("51219HAE Muni","ID_CUSIP")</f>
        <v>#N/A Requesting Data...</v>
      </c>
      <c r="B914" t="s">
        <v>249</v>
      </c>
      <c r="C914" t="str">
        <f>_xll.BDP("51219HAE Muni","INSURANCE_STATUS")</f>
        <v>#N/A Requesting Data...</v>
      </c>
      <c r="D914" t="str">
        <f>_xll.BDP("51219HAE Muni","STATE_CODE")</f>
        <v>#N/A Requesting Data...</v>
      </c>
      <c r="E914" t="str">
        <f>_xll.BDP("51219HAE Muni","COUNTY_LOCATION_ISSUER")</f>
        <v>#N/A Requesting Data...</v>
      </c>
      <c r="F914" t="str">
        <f>_xll.BDP("51219HAE Muni","DUR_ADJ_MID")</f>
        <v>#N/A Requesting Data...</v>
      </c>
      <c r="G914" t="str">
        <f>_xll.BDP("51219HAE Muni","SPREAD_AT_ISSUANCE_TO_WORST")</f>
        <v>#N/A Requesting Data...</v>
      </c>
      <c r="H914" t="str">
        <f>_xll.BDP("51219HAE Muni","ISSUE_DT")</f>
        <v>#N/A Requesting Data...</v>
      </c>
      <c r="I914" t="str">
        <f>_xll.BDS("51219HAE Muni","MUNI_PURPOSE_SCHED", "aggregate=y")</f>
        <v>#N/A Requesting Data...</v>
      </c>
      <c r="J914" t="str">
        <f>_xll.BDP("51219HAE Muni","CPN")</f>
        <v>#N/A Requesting Data...</v>
      </c>
      <c r="K914" t="str">
        <f>_xll.BDP("51219HAE Muni","MATURITY")</f>
        <v>#N/A Requesting Data...</v>
      </c>
      <c r="L914">
        <v>90000</v>
      </c>
      <c r="M914" t="str">
        <f>_xll.BDP("51219HAE Muni","YIELD_ON_ISSUE_DATE")</f>
        <v>#N/A Requesting Data...</v>
      </c>
      <c r="N914" t="str">
        <f>_xll.BDP("51219HAE Muni","YTW_SPREAD_TO_MATURITY_AT_ISSU")</f>
        <v>#N/A Requesting Data...</v>
      </c>
      <c r="O914" t="str">
        <f>_xll.BDP("51219HAE Muni","BVAL_MID_YTM")</f>
        <v>#N/A Requesting Data...</v>
      </c>
      <c r="P914" t="str">
        <f>_xll.BDP("51219HAE Muni","MUNI_TAX_PROV")</f>
        <v>#N/A Requesting Data...</v>
      </c>
      <c r="Q914" t="str">
        <f>_xll.BDP("51219HAE Muni","MUNI_FED_TAX")</f>
        <v>#N/A Requesting Data...</v>
      </c>
      <c r="R914" t="str">
        <f>_xll.BDP("51219HAE Muni","MUNI_MSRB_VOLUME")</f>
        <v>#N/A Requesting Data...</v>
      </c>
      <c r="S914" t="str">
        <f>_xll.BDP("51219HAE Muni","BB_COMPOSITE")</f>
        <v>#N/A Requesting Data...</v>
      </c>
      <c r="T914" t="str">
        <f>_xll.BDP("51219HAE Muni","LQA_LIQUIDITY_SCORE")</f>
        <v>#N/A Requesting Data...</v>
      </c>
    </row>
    <row r="915" spans="1:20" x14ac:dyDescent="0.25">
      <c r="A915" t="str">
        <f>_xll.BDP("51219HAF Muni","ID_CUSIP")</f>
        <v>#N/A Requesting Data...</v>
      </c>
      <c r="B915" t="s">
        <v>249</v>
      </c>
      <c r="C915" t="str">
        <f>_xll.BDP("51219HAF Muni","INSURANCE_STATUS")</f>
        <v>#N/A Requesting Data...</v>
      </c>
      <c r="D915" t="str">
        <f>_xll.BDP("51219HAF Muni","STATE_CODE")</f>
        <v>#N/A Requesting Data...</v>
      </c>
      <c r="E915" t="str">
        <f>_xll.BDP("51219HAF Muni","COUNTY_LOCATION_ISSUER")</f>
        <v>#N/A Requesting Data...</v>
      </c>
      <c r="F915" t="str">
        <f>_xll.BDP("51219HAF Muni","DUR_ADJ_MID")</f>
        <v>#N/A Requesting Data...</v>
      </c>
      <c r="G915" t="str">
        <f>_xll.BDP("51219HAF Muni","SPREAD_AT_ISSUANCE_TO_WORST")</f>
        <v>#N/A Requesting Data...</v>
      </c>
      <c r="H915" t="str">
        <f>_xll.BDP("51219HAF Muni","ISSUE_DT")</f>
        <v>#N/A Requesting Data...</v>
      </c>
      <c r="I915" t="str">
        <f>_xll.BDS("51219HAF Muni","MUNI_PURPOSE_SCHED", "aggregate=y")</f>
        <v>#N/A Requesting Data...</v>
      </c>
      <c r="J915" t="str">
        <f>_xll.BDP("51219HAF Muni","CPN")</f>
        <v>#N/A Requesting Data...</v>
      </c>
      <c r="K915" t="str">
        <f>_xll.BDP("51219HAF Muni","MATURITY")</f>
        <v>#N/A Requesting Data...</v>
      </c>
      <c r="L915">
        <v>95000</v>
      </c>
      <c r="M915" t="str">
        <f>_xll.BDP("51219HAF Muni","YIELD_ON_ISSUE_DATE")</f>
        <v>#N/A Requesting Data...</v>
      </c>
      <c r="N915" t="str">
        <f>_xll.BDP("51219HAF Muni","YTW_SPREAD_TO_MATURITY_AT_ISSU")</f>
        <v>#N/A Requesting Data...</v>
      </c>
      <c r="O915" t="str">
        <f>_xll.BDP("51219HAF Muni","BVAL_MID_YTM")</f>
        <v>#N/A Requesting Data...</v>
      </c>
      <c r="P915" t="str">
        <f>_xll.BDP("51219HAF Muni","MUNI_TAX_PROV")</f>
        <v>#N/A Requesting Data...</v>
      </c>
      <c r="Q915" t="str">
        <f>_xll.BDP("51219HAF Muni","MUNI_FED_TAX")</f>
        <v>#N/A Requesting Data...</v>
      </c>
      <c r="R915" t="str">
        <f>_xll.BDP("51219HAF Muni","MUNI_MSRB_VOLUME")</f>
        <v>#N/A Requesting Data...</v>
      </c>
      <c r="S915" t="str">
        <f>_xll.BDP("51219HAF Muni","BB_COMPOSITE")</f>
        <v>#N/A Requesting Data...</v>
      </c>
      <c r="T915" t="str">
        <f>_xll.BDP("51219HAF Muni","LQA_LIQUIDITY_SCORE")</f>
        <v>#N/A Requesting Data...</v>
      </c>
    </row>
    <row r="916" spans="1:20" x14ac:dyDescent="0.25">
      <c r="A916" t="str">
        <f>_xll.BDP("51219HBC Muni","ID_CUSIP")</f>
        <v>#N/A Requesting Data...</v>
      </c>
      <c r="B916" t="s">
        <v>249</v>
      </c>
      <c r="C916" t="str">
        <f>_xll.BDP("51219HBC Muni","INSURANCE_STATUS")</f>
        <v>#N/A Requesting Data...</v>
      </c>
      <c r="D916" t="str">
        <f>_xll.BDP("51219HBC Muni","STATE_CODE")</f>
        <v>#N/A Requesting Data...</v>
      </c>
      <c r="E916" t="str">
        <f>_xll.BDP("51219HBC Muni","COUNTY_LOCATION_ISSUER")</f>
        <v>#N/A Requesting Data...</v>
      </c>
      <c r="F916" t="str">
        <f>_xll.BDP("51219HBC Muni","DUR_ADJ_MID")</f>
        <v>#N/A Requesting Data...</v>
      </c>
      <c r="G916" t="str">
        <f>_xll.BDP("51219HBC Muni","SPREAD_AT_ISSUANCE_TO_WORST")</f>
        <v>#N/A Requesting Data...</v>
      </c>
      <c r="H916" t="str">
        <f>_xll.BDP("51219HBC Muni","ISSUE_DT")</f>
        <v>#N/A Requesting Data...</v>
      </c>
      <c r="I916" t="str">
        <f>_xll.BDS("51219HBC Muni","MUNI_PURPOSE_SCHED", "aggregate=y")</f>
        <v>#N/A Requesting Data...</v>
      </c>
      <c r="J916" t="str">
        <f>_xll.BDP("51219HBC Muni","CPN")</f>
        <v>#N/A Requesting Data...</v>
      </c>
      <c r="K916" t="str">
        <f>_xll.BDP("51219HBC Muni","MATURITY")</f>
        <v>#N/A Requesting Data...</v>
      </c>
      <c r="L916">
        <v>60000</v>
      </c>
      <c r="M916" t="str">
        <f>_xll.BDP("51219HBC Muni","YIELD_ON_ISSUE_DATE")</f>
        <v>#N/A Requesting Data...</v>
      </c>
      <c r="N916" t="str">
        <f>_xll.BDP("51219HBC Muni","YTW_SPREAD_TO_MATURITY_AT_ISSU")</f>
        <v>#N/A Requesting Data...</v>
      </c>
      <c r="O916" t="str">
        <f>_xll.BDP("51219HBC Muni","BVAL_MID_YTM")</f>
        <v>#N/A Requesting Data...</v>
      </c>
      <c r="P916" t="str">
        <f>_xll.BDP("51219HBC Muni","MUNI_TAX_PROV")</f>
        <v>#N/A Requesting Data...</v>
      </c>
      <c r="Q916" t="str">
        <f>_xll.BDP("51219HBC Muni","MUNI_FED_TAX")</f>
        <v>#N/A Requesting Data...</v>
      </c>
      <c r="R916" t="str">
        <f>_xll.BDP("51219HBC Muni","MUNI_MSRB_VOLUME")</f>
        <v>#N/A Requesting Data...</v>
      </c>
      <c r="S916" t="str">
        <f>_xll.BDP("51219HBC Muni","BB_COMPOSITE")</f>
        <v>#N/A Requesting Data...</v>
      </c>
      <c r="T916" t="str">
        <f>_xll.BDP("51219HBC Muni","LQA_LIQUIDITY_SCORE")</f>
        <v>#N/A Requesting Data...</v>
      </c>
    </row>
    <row r="917" spans="1:20" x14ac:dyDescent="0.25">
      <c r="A917" t="str">
        <f>_xll.BDP("512445R7 Muni","ID_CUSIP")</f>
        <v>#N/A Requesting Data...</v>
      </c>
      <c r="B917" t="s">
        <v>250</v>
      </c>
      <c r="C917" t="str">
        <f>_xll.BDP("512445R7 Muni","INSURANCE_STATUS")</f>
        <v>#N/A Requesting Data...</v>
      </c>
      <c r="D917" t="str">
        <f>_xll.BDP("512445R7 Muni","STATE_CODE")</f>
        <v>#N/A Requesting Data...</v>
      </c>
      <c r="E917" t="str">
        <f>_xll.BDP("512445R7 Muni","COUNTY_LOCATION_ISSUER")</f>
        <v>#N/A Requesting Data...</v>
      </c>
      <c r="F917" t="str">
        <f>_xll.BDP("512445R7 Muni","DUR_ADJ_MID")</f>
        <v>#N/A Requesting Data...</v>
      </c>
      <c r="G917" t="str">
        <f>_xll.BDP("512445R7 Muni","SPREAD_AT_ISSUANCE_TO_WORST")</f>
        <v>#N/A Requesting Data...</v>
      </c>
      <c r="H917" t="str">
        <f>_xll.BDP("512445R7 Muni","ISSUE_DT")</f>
        <v>#N/A Requesting Data...</v>
      </c>
      <c r="I917" t="str">
        <f>_xll.BDS("512445R7 Muni","MUNI_PURPOSE_SCHED", "aggregate=y")</f>
        <v>#N/A Requesting Data...</v>
      </c>
      <c r="J917" t="str">
        <f>_xll.BDP("512445R7 Muni","CPN")</f>
        <v>#N/A Requesting Data...</v>
      </c>
      <c r="K917" t="str">
        <f>_xll.BDP("512445R7 Muni","MATURITY")</f>
        <v>#N/A Requesting Data...</v>
      </c>
      <c r="L917">
        <v>790000</v>
      </c>
      <c r="M917" t="str">
        <f>_xll.BDP("512445R7 Muni","YIELD_ON_ISSUE_DATE")</f>
        <v>#N/A Requesting Data...</v>
      </c>
      <c r="N917" t="str">
        <f>_xll.BDP("512445R7 Muni","YTW_SPREAD_TO_MATURITY_AT_ISSU")</f>
        <v>#N/A Requesting Data...</v>
      </c>
      <c r="O917" t="str">
        <f>_xll.BDP("512445R7 Muni","BVAL_MID_YTM")</f>
        <v>#N/A Requesting Data...</v>
      </c>
      <c r="P917" t="str">
        <f>_xll.BDP("512445R7 Muni","MUNI_TAX_PROV")</f>
        <v>#N/A Requesting Data...</v>
      </c>
      <c r="Q917" t="str">
        <f>_xll.BDP("512445R7 Muni","MUNI_FED_TAX")</f>
        <v>#N/A Requesting Data...</v>
      </c>
      <c r="R917" t="str">
        <f>_xll.BDP("512445R7 Muni","MUNI_MSRB_VOLUME")</f>
        <v>#N/A Requesting Data...</v>
      </c>
      <c r="S917" t="str">
        <f>_xll.BDP("512445R7 Muni","BB_COMPOSITE")</f>
        <v>#N/A Requesting Data...</v>
      </c>
      <c r="T917" t="str">
        <f>_xll.BDP("512445R7 Muni","LQA_LIQUIDITY_SCORE")</f>
        <v>#N/A Requesting Data...</v>
      </c>
    </row>
    <row r="918" spans="1:20" x14ac:dyDescent="0.25">
      <c r="A918" t="str">
        <f>_xll.BDP("512445R9 Muni","ID_CUSIP")</f>
        <v>#N/A Requesting Data...</v>
      </c>
      <c r="B918" t="s">
        <v>250</v>
      </c>
      <c r="C918" t="str">
        <f>_xll.BDP("512445R9 Muni","INSURANCE_STATUS")</f>
        <v>#N/A Requesting Data...</v>
      </c>
      <c r="D918" t="str">
        <f>_xll.BDP("512445R9 Muni","STATE_CODE")</f>
        <v>#N/A Requesting Data...</v>
      </c>
      <c r="E918" t="str">
        <f>_xll.BDP("512445R9 Muni","COUNTY_LOCATION_ISSUER")</f>
        <v>#N/A Requesting Data...</v>
      </c>
      <c r="F918" t="str">
        <f>_xll.BDP("512445R9 Muni","DUR_ADJ_MID")</f>
        <v>#N/A Requesting Data...</v>
      </c>
      <c r="G918" t="str">
        <f>_xll.BDP("512445R9 Muni","SPREAD_AT_ISSUANCE_TO_WORST")</f>
        <v>#N/A Requesting Data...</v>
      </c>
      <c r="H918" t="str">
        <f>_xll.BDP("512445R9 Muni","ISSUE_DT")</f>
        <v>#N/A Requesting Data...</v>
      </c>
      <c r="I918" t="str">
        <f>_xll.BDS("512445R9 Muni","MUNI_PURPOSE_SCHED", "aggregate=y")</f>
        <v>#N/A Requesting Data...</v>
      </c>
      <c r="J918" t="str">
        <f>_xll.BDP("512445R9 Muni","CPN")</f>
        <v>#N/A Requesting Data...</v>
      </c>
      <c r="K918" t="str">
        <f>_xll.BDP("512445R9 Muni","MATURITY")</f>
        <v>#N/A Requesting Data...</v>
      </c>
      <c r="L918">
        <v>840000</v>
      </c>
      <c r="M918" t="str">
        <f>_xll.BDP("512445R9 Muni","YIELD_ON_ISSUE_DATE")</f>
        <v>#N/A Requesting Data...</v>
      </c>
      <c r="N918" t="str">
        <f>_xll.BDP("512445R9 Muni","YTW_SPREAD_TO_MATURITY_AT_ISSU")</f>
        <v>#N/A Requesting Data...</v>
      </c>
      <c r="O918" t="str">
        <f>_xll.BDP("512445R9 Muni","BVAL_MID_YTM")</f>
        <v>#N/A Requesting Data...</v>
      </c>
      <c r="P918" t="str">
        <f>_xll.BDP("512445R9 Muni","MUNI_TAX_PROV")</f>
        <v>#N/A Requesting Data...</v>
      </c>
      <c r="Q918" t="str">
        <f>_xll.BDP("512445R9 Muni","MUNI_FED_TAX")</f>
        <v>#N/A Requesting Data...</v>
      </c>
      <c r="R918" t="str">
        <f>_xll.BDP("512445R9 Muni","MUNI_MSRB_VOLUME")</f>
        <v>#N/A Requesting Data...</v>
      </c>
      <c r="S918" t="str">
        <f>_xll.BDP("512445R9 Muni","BB_COMPOSITE")</f>
        <v>#N/A Requesting Data...</v>
      </c>
      <c r="T918" t="str">
        <f>_xll.BDP("512445R9 Muni","LQA_LIQUIDITY_SCORE")</f>
        <v>#N/A Requesting Data...</v>
      </c>
    </row>
    <row r="919" spans="1:20" x14ac:dyDescent="0.25">
      <c r="A919" t="str">
        <f>_xll.BDP("512445S2 Muni","ID_CUSIP")</f>
        <v>#N/A Requesting Data...</v>
      </c>
      <c r="B919" t="s">
        <v>250</v>
      </c>
      <c r="C919" t="str">
        <f>_xll.BDP("512445S2 Muni","INSURANCE_STATUS")</f>
        <v>#N/A Requesting Data...</v>
      </c>
      <c r="D919" t="str">
        <f>_xll.BDP("512445S2 Muni","STATE_CODE")</f>
        <v>#N/A Requesting Data...</v>
      </c>
      <c r="E919" t="str">
        <f>_xll.BDP("512445S2 Muni","COUNTY_LOCATION_ISSUER")</f>
        <v>#N/A Requesting Data...</v>
      </c>
      <c r="F919" t="str">
        <f>_xll.BDP("512445S2 Muni","DUR_ADJ_MID")</f>
        <v>#N/A Requesting Data...</v>
      </c>
      <c r="G919" t="str">
        <f>_xll.BDP("512445S2 Muni","SPREAD_AT_ISSUANCE_TO_WORST")</f>
        <v>#N/A Requesting Data...</v>
      </c>
      <c r="H919" t="str">
        <f>_xll.BDP("512445S2 Muni","ISSUE_DT")</f>
        <v>#N/A Requesting Data...</v>
      </c>
      <c r="I919" t="str">
        <f>_xll.BDS("512445S2 Muni","MUNI_PURPOSE_SCHED", "aggregate=y")</f>
        <v>#N/A Requesting Data...</v>
      </c>
      <c r="J919" t="str">
        <f>_xll.BDP("512445S2 Muni","CPN")</f>
        <v>#N/A Requesting Data...</v>
      </c>
      <c r="K919" t="str">
        <f>_xll.BDP("512445S2 Muni","MATURITY")</f>
        <v>#N/A Requesting Data...</v>
      </c>
      <c r="L919">
        <v>875000</v>
      </c>
      <c r="M919" t="str">
        <f>_xll.BDP("512445S2 Muni","YIELD_ON_ISSUE_DATE")</f>
        <v>#N/A Requesting Data...</v>
      </c>
      <c r="N919" t="str">
        <f>_xll.BDP("512445S2 Muni","YTW_SPREAD_TO_MATURITY_AT_ISSU")</f>
        <v>#N/A Requesting Data...</v>
      </c>
      <c r="O919" t="str">
        <f>_xll.BDP("512445S2 Muni","BVAL_MID_YTM")</f>
        <v>#N/A Requesting Data...</v>
      </c>
      <c r="P919" t="str">
        <f>_xll.BDP("512445S2 Muni","MUNI_TAX_PROV")</f>
        <v>#N/A Requesting Data...</v>
      </c>
      <c r="Q919" t="str">
        <f>_xll.BDP("512445S2 Muni","MUNI_FED_TAX")</f>
        <v>#N/A Requesting Data...</v>
      </c>
      <c r="R919" t="str">
        <f>_xll.BDP("512445S2 Muni","MUNI_MSRB_VOLUME")</f>
        <v>#N/A Requesting Data...</v>
      </c>
      <c r="S919" t="str">
        <f>_xll.BDP("512445S2 Muni","BB_COMPOSITE")</f>
        <v>#N/A Requesting Data...</v>
      </c>
      <c r="T919" t="str">
        <f>_xll.BDP("512445S2 Muni","LQA_LIQUIDITY_SCORE")</f>
        <v>#N/A Requesting Data...</v>
      </c>
    </row>
    <row r="920" spans="1:20" x14ac:dyDescent="0.25">
      <c r="A920" t="str">
        <f>_xll.BDP("513175AC Muni","ID_CUSIP")</f>
        <v>#N/A Requesting Data...</v>
      </c>
      <c r="B920" t="s">
        <v>251</v>
      </c>
      <c r="C920" t="str">
        <f>_xll.BDP("513175AC Muni","INSURANCE_STATUS")</f>
        <v>#N/A Requesting Data...</v>
      </c>
      <c r="D920" t="str">
        <f>_xll.BDP("513175AC Muni","STATE_CODE")</f>
        <v>#N/A Requesting Data...</v>
      </c>
      <c r="E920" t="str">
        <f>_xll.BDP("513175AC Muni","COUNTY_LOCATION_ISSUER")</f>
        <v>#N/A Requesting Data...</v>
      </c>
      <c r="F920" t="str">
        <f>_xll.BDP("513175AC Muni","DUR_ADJ_MID")</f>
        <v>#N/A Requesting Data...</v>
      </c>
      <c r="G920" t="str">
        <f>_xll.BDP("513175AC Muni","SPREAD_AT_ISSUANCE_TO_WORST")</f>
        <v>#N/A Requesting Data...</v>
      </c>
      <c r="H920" t="str">
        <f>_xll.BDP("513175AC Muni","ISSUE_DT")</f>
        <v>#N/A Requesting Data...</v>
      </c>
      <c r="I920" t="str">
        <f>_xll.BDS("513175AC Muni","MUNI_PURPOSE_SCHED", "aggregate=y")</f>
        <v>#N/A Requesting Data...</v>
      </c>
      <c r="J920" t="str">
        <f>_xll.BDP("513175AC Muni","CPN")</f>
        <v>#N/A Requesting Data...</v>
      </c>
      <c r="K920" t="str">
        <f>_xll.BDP("513175AC Muni","MATURITY")</f>
        <v>#N/A Requesting Data...</v>
      </c>
      <c r="L920">
        <v>100000</v>
      </c>
      <c r="M920" t="str">
        <f>_xll.BDP("513175AC Muni","YIELD_ON_ISSUE_DATE")</f>
        <v>#N/A Requesting Data...</v>
      </c>
      <c r="N920" t="str">
        <f>_xll.BDP("513175AC Muni","YTW_SPREAD_TO_MATURITY_AT_ISSU")</f>
        <v>#N/A Requesting Data...</v>
      </c>
      <c r="O920" t="str">
        <f>_xll.BDP("513175AC Muni","BVAL_MID_YTM")</f>
        <v>#N/A Requesting Data...</v>
      </c>
      <c r="P920" t="str">
        <f>_xll.BDP("513175AC Muni","MUNI_TAX_PROV")</f>
        <v>#N/A Requesting Data...</v>
      </c>
      <c r="Q920" t="str">
        <f>_xll.BDP("513175AC Muni","MUNI_FED_TAX")</f>
        <v>#N/A Requesting Data...</v>
      </c>
      <c r="R920" t="str">
        <f>_xll.BDP("513175AC Muni","MUNI_MSRB_VOLUME")</f>
        <v>#N/A Requesting Data...</v>
      </c>
      <c r="S920" t="str">
        <f>_xll.BDP("513175AC Muni","BB_COMPOSITE")</f>
        <v>#N/A Requesting Data...</v>
      </c>
      <c r="T920" t="str">
        <f>_xll.BDP("513175AC Muni","LQA_LIQUIDITY_SCORE")</f>
        <v>#N/A Requesting Data...</v>
      </c>
    </row>
    <row r="921" spans="1:20" x14ac:dyDescent="0.25">
      <c r="A921" t="str">
        <f>_xll.BDP("51219HAD Muni","ID_CUSIP")</f>
        <v>#N/A Requesting Data...</v>
      </c>
      <c r="B921" t="s">
        <v>249</v>
      </c>
      <c r="C921" t="str">
        <f>_xll.BDP("51219HAD Muni","INSURANCE_STATUS")</f>
        <v>#N/A Requesting Data...</v>
      </c>
      <c r="D921" t="str">
        <f>_xll.BDP("51219HAD Muni","STATE_CODE")</f>
        <v>#N/A Requesting Data...</v>
      </c>
      <c r="E921" t="str">
        <f>_xll.BDP("51219HAD Muni","COUNTY_LOCATION_ISSUER")</f>
        <v>#N/A Requesting Data...</v>
      </c>
      <c r="F921" t="str">
        <f>_xll.BDP("51219HAD Muni","DUR_ADJ_MID")</f>
        <v>#N/A Requesting Data...</v>
      </c>
      <c r="G921" t="str">
        <f>_xll.BDP("51219HAD Muni","SPREAD_AT_ISSUANCE_TO_WORST")</f>
        <v>#N/A Requesting Data...</v>
      </c>
      <c r="H921" t="str">
        <f>_xll.BDP("51219HAD Muni","ISSUE_DT")</f>
        <v>#N/A Requesting Data...</v>
      </c>
      <c r="I921" t="str">
        <f>_xll.BDS("51219HAD Muni","MUNI_PURPOSE_SCHED", "aggregate=y")</f>
        <v>#N/A Requesting Data...</v>
      </c>
      <c r="J921" t="str">
        <f>_xll.BDP("51219HAD Muni","CPN")</f>
        <v>#N/A Requesting Data...</v>
      </c>
      <c r="K921" t="str">
        <f>_xll.BDP("51219HAD Muni","MATURITY")</f>
        <v>#N/A Requesting Data...</v>
      </c>
      <c r="L921">
        <v>90000</v>
      </c>
      <c r="M921" t="str">
        <f>_xll.BDP("51219HAD Muni","YIELD_ON_ISSUE_DATE")</f>
        <v>#N/A Requesting Data...</v>
      </c>
      <c r="N921" t="str">
        <f>_xll.BDP("51219HAD Muni","YTW_SPREAD_TO_MATURITY_AT_ISSU")</f>
        <v>#N/A Requesting Data...</v>
      </c>
      <c r="O921" t="str">
        <f>_xll.BDP("51219HAD Muni","BVAL_MID_YTM")</f>
        <v>#N/A Requesting Data...</v>
      </c>
      <c r="P921" t="str">
        <f>_xll.BDP("51219HAD Muni","MUNI_TAX_PROV")</f>
        <v>#N/A Requesting Data...</v>
      </c>
      <c r="Q921" t="str">
        <f>_xll.BDP("51219HAD Muni","MUNI_FED_TAX")</f>
        <v>#N/A Requesting Data...</v>
      </c>
      <c r="R921" t="str">
        <f>_xll.BDP("51219HAD Muni","MUNI_MSRB_VOLUME")</f>
        <v>#N/A Requesting Data...</v>
      </c>
      <c r="S921" t="str">
        <f>_xll.BDP("51219HAD Muni","BB_COMPOSITE")</f>
        <v>#N/A Requesting Data...</v>
      </c>
      <c r="T921" t="str">
        <f>_xll.BDP("51219HAD Muni","LQA_LIQUIDITY_SCORE")</f>
        <v>#N/A Requesting Data...</v>
      </c>
    </row>
    <row r="922" spans="1:20" x14ac:dyDescent="0.25">
      <c r="A922" t="str">
        <f>_xll.BDP("513175AD Muni","ID_CUSIP")</f>
        <v>#N/A Requesting Data...</v>
      </c>
      <c r="B922" t="s">
        <v>251</v>
      </c>
      <c r="C922" t="str">
        <f>_xll.BDP("513175AD Muni","INSURANCE_STATUS")</f>
        <v>#N/A Requesting Data...</v>
      </c>
      <c r="D922" t="str">
        <f>_xll.BDP("513175AD Muni","STATE_CODE")</f>
        <v>#N/A Requesting Data...</v>
      </c>
      <c r="E922" t="str">
        <f>_xll.BDP("513175AD Muni","COUNTY_LOCATION_ISSUER")</f>
        <v>#N/A Requesting Data...</v>
      </c>
      <c r="F922" t="str">
        <f>_xll.BDP("513175AD Muni","DUR_ADJ_MID")</f>
        <v>#N/A Requesting Data...</v>
      </c>
      <c r="G922" t="str">
        <f>_xll.BDP("513175AD Muni","SPREAD_AT_ISSUANCE_TO_WORST")</f>
        <v>#N/A Requesting Data...</v>
      </c>
      <c r="H922" t="str">
        <f>_xll.BDP("513175AD Muni","ISSUE_DT")</f>
        <v>#N/A Requesting Data...</v>
      </c>
      <c r="I922" t="str">
        <f>_xll.BDS("513175AD Muni","MUNI_PURPOSE_SCHED", "aggregate=y")</f>
        <v>#N/A Requesting Data...</v>
      </c>
      <c r="J922" t="str">
        <f>_xll.BDP("513175AD Muni","CPN")</f>
        <v>#N/A Requesting Data...</v>
      </c>
      <c r="K922" t="str">
        <f>_xll.BDP("513175AD Muni","MATURITY")</f>
        <v>#N/A Requesting Data...</v>
      </c>
      <c r="L922">
        <v>105000</v>
      </c>
      <c r="M922" t="str">
        <f>_xll.BDP("513175AD Muni","YIELD_ON_ISSUE_DATE")</f>
        <v>#N/A Requesting Data...</v>
      </c>
      <c r="N922" t="str">
        <f>_xll.BDP("513175AD Muni","YTW_SPREAD_TO_MATURITY_AT_ISSU")</f>
        <v>#N/A Requesting Data...</v>
      </c>
      <c r="O922" t="str">
        <f>_xll.BDP("513175AD Muni","BVAL_MID_YTM")</f>
        <v>#N/A Requesting Data...</v>
      </c>
      <c r="P922" t="str">
        <f>_xll.BDP("513175AD Muni","MUNI_TAX_PROV")</f>
        <v>#N/A Requesting Data...</v>
      </c>
      <c r="Q922" t="str">
        <f>_xll.BDP("513175AD Muni","MUNI_FED_TAX")</f>
        <v>#N/A Requesting Data...</v>
      </c>
      <c r="R922" t="str">
        <f>_xll.BDP("513175AD Muni","MUNI_MSRB_VOLUME")</f>
        <v>#N/A Requesting Data...</v>
      </c>
      <c r="S922" t="str">
        <f>_xll.BDP("513175AD Muni","BB_COMPOSITE")</f>
        <v>#N/A Requesting Data...</v>
      </c>
      <c r="T922" t="str">
        <f>_xll.BDP("513175AD Muni","LQA_LIQUIDITY_SCORE")</f>
        <v>#N/A Requesting Data...</v>
      </c>
    </row>
    <row r="923" spans="1:20" x14ac:dyDescent="0.25">
      <c r="A923" t="str">
        <f>_xll.BDP("41428EBE Muni","ID_CUSIP")</f>
        <v>#N/A Requesting Data...</v>
      </c>
      <c r="B923" t="s">
        <v>252</v>
      </c>
      <c r="C923" t="str">
        <f>_xll.BDP("41428EBE Muni","INSURANCE_STATUS")</f>
        <v>#N/A Requesting Data...</v>
      </c>
      <c r="D923" t="str">
        <f>_xll.BDP("41428EBE Muni","STATE_CODE")</f>
        <v>#N/A Requesting Data...</v>
      </c>
      <c r="E923" t="str">
        <f>_xll.BDP("41428EBE Muni","COUNTY_LOCATION_ISSUER")</f>
        <v>#N/A Requesting Data...</v>
      </c>
      <c r="F923" t="str">
        <f>_xll.BDP("41428EBE Muni","DUR_ADJ_MID")</f>
        <v>#N/A Requesting Data...</v>
      </c>
      <c r="G923" t="str">
        <f>_xll.BDP("41428EBE Muni","SPREAD_AT_ISSUANCE_TO_WORST")</f>
        <v>#N/A Requesting Data...</v>
      </c>
      <c r="H923" t="str">
        <f>_xll.BDP("41428EBE Muni","ISSUE_DT")</f>
        <v>#N/A Requesting Data...</v>
      </c>
      <c r="I923" t="str">
        <f>_xll.BDS("41428EBE Muni","MUNI_PURPOSE_SCHED", "aggregate=y")</f>
        <v>#N/A Requesting Data...</v>
      </c>
      <c r="J923" t="str">
        <f>_xll.BDP("41428EBE Muni","CPN")</f>
        <v>#N/A Requesting Data...</v>
      </c>
      <c r="K923" t="str">
        <f>_xll.BDP("41428EBE Muni","MATURITY")</f>
        <v>#N/A Requesting Data...</v>
      </c>
      <c r="L923">
        <v>135000</v>
      </c>
      <c r="M923" t="str">
        <f>_xll.BDP("41428EBE Muni","YIELD_ON_ISSUE_DATE")</f>
        <v>#N/A Requesting Data...</v>
      </c>
      <c r="N923" t="str">
        <f>_xll.BDP("41428EBE Muni","YTW_SPREAD_TO_MATURITY_AT_ISSU")</f>
        <v>#N/A Requesting Data...</v>
      </c>
      <c r="O923" t="str">
        <f>_xll.BDP("41428EBE Muni","BVAL_MID_YTM")</f>
        <v>#N/A Requesting Data...</v>
      </c>
      <c r="P923" t="str">
        <f>_xll.BDP("41428EBE Muni","MUNI_TAX_PROV")</f>
        <v>#N/A Requesting Data...</v>
      </c>
      <c r="Q923" t="str">
        <f>_xll.BDP("41428EBE Muni","MUNI_FED_TAX")</f>
        <v>#N/A Requesting Data...</v>
      </c>
      <c r="R923" t="str">
        <f>_xll.BDP("41428EBE Muni","MUNI_MSRB_VOLUME")</f>
        <v>#N/A Requesting Data...</v>
      </c>
      <c r="S923" t="str">
        <f>_xll.BDP("41428EBE Muni","BB_COMPOSITE")</f>
        <v>#N/A Requesting Data...</v>
      </c>
      <c r="T923" t="str">
        <f>_xll.BDP("41428EBE Muni","LQA_LIQUIDITY_SCORE")</f>
        <v>#N/A Requesting Data...</v>
      </c>
    </row>
    <row r="924" spans="1:20" x14ac:dyDescent="0.25">
      <c r="A924" t="str">
        <f>_xll.BDP("41428EBF Muni","ID_CUSIP")</f>
        <v>#N/A Requesting Data...</v>
      </c>
      <c r="B924" t="s">
        <v>252</v>
      </c>
      <c r="C924" t="str">
        <f>_xll.BDP("41428EBF Muni","INSURANCE_STATUS")</f>
        <v>#N/A Requesting Data...</v>
      </c>
      <c r="D924" t="str">
        <f>_xll.BDP("41428EBF Muni","STATE_CODE")</f>
        <v>#N/A Requesting Data...</v>
      </c>
      <c r="E924" t="str">
        <f>_xll.BDP("41428EBF Muni","COUNTY_LOCATION_ISSUER")</f>
        <v>#N/A Requesting Data...</v>
      </c>
      <c r="F924" t="str">
        <f>_xll.BDP("41428EBF Muni","DUR_ADJ_MID")</f>
        <v>#N/A Requesting Data...</v>
      </c>
      <c r="G924" t="str">
        <f>_xll.BDP("41428EBF Muni","SPREAD_AT_ISSUANCE_TO_WORST")</f>
        <v>#N/A Requesting Data...</v>
      </c>
      <c r="H924" t="str">
        <f>_xll.BDP("41428EBF Muni","ISSUE_DT")</f>
        <v>#N/A Requesting Data...</v>
      </c>
      <c r="I924" t="str">
        <f>_xll.BDS("41428EBF Muni","MUNI_PURPOSE_SCHED", "aggregate=y")</f>
        <v>#N/A Requesting Data...</v>
      </c>
      <c r="J924" t="str">
        <f>_xll.BDP("41428EBF Muni","CPN")</f>
        <v>#N/A Requesting Data...</v>
      </c>
      <c r="K924" t="str">
        <f>_xll.BDP("41428EBF Muni","MATURITY")</f>
        <v>#N/A Requesting Data...</v>
      </c>
      <c r="L924">
        <v>145000</v>
      </c>
      <c r="M924" t="str">
        <f>_xll.BDP("41428EBF Muni","YIELD_ON_ISSUE_DATE")</f>
        <v>#N/A Requesting Data...</v>
      </c>
      <c r="N924" t="str">
        <f>_xll.BDP("41428EBF Muni","YTW_SPREAD_TO_MATURITY_AT_ISSU")</f>
        <v>#N/A Requesting Data...</v>
      </c>
      <c r="O924" t="str">
        <f>_xll.BDP("41428EBF Muni","BVAL_MID_YTM")</f>
        <v>#N/A Requesting Data...</v>
      </c>
      <c r="P924" t="str">
        <f>_xll.BDP("41428EBF Muni","MUNI_TAX_PROV")</f>
        <v>#N/A Requesting Data...</v>
      </c>
      <c r="Q924" t="str">
        <f>_xll.BDP("41428EBF Muni","MUNI_FED_TAX")</f>
        <v>#N/A Requesting Data...</v>
      </c>
      <c r="R924" t="str">
        <f>_xll.BDP("41428EBF Muni","MUNI_MSRB_VOLUME")</f>
        <v>#N/A Requesting Data...</v>
      </c>
      <c r="S924" t="str">
        <f>_xll.BDP("41428EBF Muni","BB_COMPOSITE")</f>
        <v>#N/A Requesting Data...</v>
      </c>
      <c r="T924" t="str">
        <f>_xll.BDP("41428EBF Muni","LQA_LIQUIDITY_SCORE")</f>
        <v>#N/A Requesting Data...</v>
      </c>
    </row>
    <row r="925" spans="1:20" x14ac:dyDescent="0.25">
      <c r="A925" t="str">
        <f>_xll.BDP("41428TAD Muni","ID_CUSIP")</f>
        <v>#N/A Requesting Data...</v>
      </c>
      <c r="B925" t="s">
        <v>253</v>
      </c>
      <c r="C925" t="str">
        <f>_xll.BDP("41428TAD Muni","INSURANCE_STATUS")</f>
        <v>#N/A Requesting Data...</v>
      </c>
      <c r="D925" t="str">
        <f>_xll.BDP("41428TAD Muni","STATE_CODE")</f>
        <v>#N/A Requesting Data...</v>
      </c>
      <c r="E925" t="str">
        <f>_xll.BDP("41428TAD Muni","COUNTY_LOCATION_ISSUER")</f>
        <v>#N/A Requesting Data...</v>
      </c>
      <c r="F925" t="str">
        <f>_xll.BDP("41428TAD Muni","DUR_ADJ_MID")</f>
        <v>#N/A Requesting Data...</v>
      </c>
      <c r="G925" t="str">
        <f>_xll.BDP("41428TAD Muni","SPREAD_AT_ISSUANCE_TO_WORST")</f>
        <v>#N/A Requesting Data...</v>
      </c>
      <c r="H925" t="str">
        <f>_xll.BDP("41428TAD Muni","ISSUE_DT")</f>
        <v>#N/A Requesting Data...</v>
      </c>
      <c r="I925" t="str">
        <f>_xll.BDS("41428TAD Muni","MUNI_PURPOSE_SCHED", "aggregate=y")</f>
        <v>#N/A Requesting Data...</v>
      </c>
      <c r="J925" t="str">
        <f>_xll.BDP("41428TAD Muni","CPN")</f>
        <v>#N/A Requesting Data...</v>
      </c>
      <c r="K925" t="str">
        <f>_xll.BDP("41428TAD Muni","MATURITY")</f>
        <v>#N/A Requesting Data...</v>
      </c>
      <c r="L925">
        <v>220000</v>
      </c>
      <c r="M925" t="str">
        <f>_xll.BDP("41428TAD Muni","YIELD_ON_ISSUE_DATE")</f>
        <v>#N/A Requesting Data...</v>
      </c>
      <c r="N925" t="str">
        <f>_xll.BDP("41428TAD Muni","YTW_SPREAD_TO_MATURITY_AT_ISSU")</f>
        <v>#N/A Requesting Data...</v>
      </c>
      <c r="O925" t="str">
        <f>_xll.BDP("41428TAD Muni","BVAL_MID_YTM")</f>
        <v>#N/A Requesting Data...</v>
      </c>
      <c r="P925" t="str">
        <f>_xll.BDP("41428TAD Muni","MUNI_TAX_PROV")</f>
        <v>#N/A Requesting Data...</v>
      </c>
      <c r="Q925" t="str">
        <f>_xll.BDP("41428TAD Muni","MUNI_FED_TAX")</f>
        <v>#N/A Requesting Data...</v>
      </c>
      <c r="R925" t="str">
        <f>_xll.BDP("41428TAD Muni","MUNI_MSRB_VOLUME")</f>
        <v>#N/A Requesting Data...</v>
      </c>
      <c r="S925" t="str">
        <f>_xll.BDP("41428TAD Muni","BB_COMPOSITE")</f>
        <v>#N/A Requesting Data...</v>
      </c>
      <c r="T925" t="str">
        <f>_xll.BDP("41428TAD Muni","LQA_LIQUIDITY_SCORE")</f>
        <v>#N/A Requesting Data...</v>
      </c>
    </row>
    <row r="926" spans="1:20" x14ac:dyDescent="0.25">
      <c r="A926" t="str">
        <f>_xll.BDP("41428TAF Muni","ID_CUSIP")</f>
        <v>#N/A Requesting Data...</v>
      </c>
      <c r="B926" t="s">
        <v>253</v>
      </c>
      <c r="C926" t="str">
        <f>_xll.BDP("41428TAF Muni","INSURANCE_STATUS")</f>
        <v>#N/A Requesting Data...</v>
      </c>
      <c r="D926" t="str">
        <f>_xll.BDP("41428TAF Muni","STATE_CODE")</f>
        <v>#N/A Requesting Data...</v>
      </c>
      <c r="E926" t="str">
        <f>_xll.BDP("41428TAF Muni","COUNTY_LOCATION_ISSUER")</f>
        <v>#N/A Requesting Data...</v>
      </c>
      <c r="F926" t="str">
        <f>_xll.BDP("41428TAF Muni","DUR_ADJ_MID")</f>
        <v>#N/A Requesting Data...</v>
      </c>
      <c r="G926" t="str">
        <f>_xll.BDP("41428TAF Muni","SPREAD_AT_ISSUANCE_TO_WORST")</f>
        <v>#N/A Requesting Data...</v>
      </c>
      <c r="H926" t="str">
        <f>_xll.BDP("41428TAF Muni","ISSUE_DT")</f>
        <v>#N/A Requesting Data...</v>
      </c>
      <c r="I926" t="str">
        <f>_xll.BDS("41428TAF Muni","MUNI_PURPOSE_SCHED", "aggregate=y")</f>
        <v>#N/A Requesting Data...</v>
      </c>
      <c r="J926" t="str">
        <f>_xll.BDP("41428TAF Muni","CPN")</f>
        <v>#N/A Requesting Data...</v>
      </c>
      <c r="K926" t="str">
        <f>_xll.BDP("41428TAF Muni","MATURITY")</f>
        <v>#N/A Requesting Data...</v>
      </c>
      <c r="L926">
        <v>240000</v>
      </c>
      <c r="M926" t="str">
        <f>_xll.BDP("41428TAF Muni","YIELD_ON_ISSUE_DATE")</f>
        <v>#N/A Requesting Data...</v>
      </c>
      <c r="N926" t="str">
        <f>_xll.BDP("41428TAF Muni","YTW_SPREAD_TO_MATURITY_AT_ISSU")</f>
        <v>#N/A Requesting Data...</v>
      </c>
      <c r="O926" t="str">
        <f>_xll.BDP("41428TAF Muni","BVAL_MID_YTM")</f>
        <v>#N/A Requesting Data...</v>
      </c>
      <c r="P926" t="str">
        <f>_xll.BDP("41428TAF Muni","MUNI_TAX_PROV")</f>
        <v>#N/A Requesting Data...</v>
      </c>
      <c r="Q926" t="str">
        <f>_xll.BDP("41428TAF Muni","MUNI_FED_TAX")</f>
        <v>#N/A Requesting Data...</v>
      </c>
      <c r="R926" t="str">
        <f>_xll.BDP("41428TAF Muni","MUNI_MSRB_VOLUME")</f>
        <v>#N/A Requesting Data...</v>
      </c>
      <c r="S926" t="str">
        <f>_xll.BDP("41428TAF Muni","BB_COMPOSITE")</f>
        <v>#N/A Requesting Data...</v>
      </c>
      <c r="T926" t="str">
        <f>_xll.BDP("41428TAF Muni","LQA_LIQUIDITY_SCORE")</f>
        <v>#N/A Requesting Data...</v>
      </c>
    </row>
    <row r="927" spans="1:20" x14ac:dyDescent="0.25">
      <c r="A927" t="str">
        <f>_xll.BDP("41453APK Muni","ID_CUSIP")</f>
        <v>#N/A Requesting Data...</v>
      </c>
      <c r="B927" t="s">
        <v>254</v>
      </c>
      <c r="C927" t="str">
        <f>_xll.BDP("41453APK Muni","INSURANCE_STATUS")</f>
        <v>#N/A Requesting Data...</v>
      </c>
      <c r="D927" t="str">
        <f>_xll.BDP("41453APK Muni","STATE_CODE")</f>
        <v>#N/A Requesting Data...</v>
      </c>
      <c r="E927" t="str">
        <f>_xll.BDP("41453APK Muni","COUNTY_LOCATION_ISSUER")</f>
        <v>#N/A Requesting Data...</v>
      </c>
      <c r="F927" t="str">
        <f>_xll.BDP("41453APK Muni","DUR_ADJ_MID")</f>
        <v>#N/A Requesting Data...</v>
      </c>
      <c r="G927" t="str">
        <f>_xll.BDP("41453APK Muni","SPREAD_AT_ISSUANCE_TO_WORST")</f>
        <v>#N/A Requesting Data...</v>
      </c>
      <c r="H927" t="str">
        <f>_xll.BDP("41453APK Muni","ISSUE_DT")</f>
        <v>#N/A Requesting Data...</v>
      </c>
      <c r="I927" t="str">
        <f>_xll.BDS("41453APK Muni","MUNI_PURPOSE_SCHED", "aggregate=y")</f>
        <v>#N/A Requesting Data...</v>
      </c>
      <c r="J927" t="str">
        <f>_xll.BDP("41453APK Muni","CPN")</f>
        <v>#N/A Requesting Data...</v>
      </c>
      <c r="K927" t="str">
        <f>_xll.BDP("41453APK Muni","MATURITY")</f>
        <v>#N/A Requesting Data...</v>
      </c>
      <c r="L927">
        <v>250000</v>
      </c>
      <c r="M927" t="str">
        <f>_xll.BDP("41453APK Muni","YIELD_ON_ISSUE_DATE")</f>
        <v>#N/A Requesting Data...</v>
      </c>
      <c r="N927" t="str">
        <f>_xll.BDP("41453APK Muni","YTW_SPREAD_TO_MATURITY_AT_ISSU")</f>
        <v>#N/A Requesting Data...</v>
      </c>
      <c r="O927" t="str">
        <f>_xll.BDP("41453APK Muni","BVAL_MID_YTM")</f>
        <v>#N/A Requesting Data...</v>
      </c>
      <c r="P927" t="str">
        <f>_xll.BDP("41453APK Muni","MUNI_TAX_PROV")</f>
        <v>#N/A Requesting Data...</v>
      </c>
      <c r="Q927" t="str">
        <f>_xll.BDP("41453APK Muni","MUNI_FED_TAX")</f>
        <v>#N/A Requesting Data...</v>
      </c>
      <c r="R927" t="str">
        <f>_xll.BDP("41453APK Muni","MUNI_MSRB_VOLUME")</f>
        <v>#N/A Requesting Data...</v>
      </c>
      <c r="S927" t="str">
        <f>_xll.BDP("41453APK Muni","BB_COMPOSITE")</f>
        <v>#N/A Requesting Data...</v>
      </c>
      <c r="T927" t="str">
        <f>_xll.BDP("41453APK Muni","LQA_LIQUIDITY_SCORE")</f>
        <v>#N/A Requesting Data...</v>
      </c>
    </row>
    <row r="928" spans="1:20" x14ac:dyDescent="0.25">
      <c r="A928" t="str">
        <f>_xll.BDP("41453TCE Muni","ID_CUSIP")</f>
        <v>#N/A Requesting Data...</v>
      </c>
      <c r="B928" t="s">
        <v>255</v>
      </c>
      <c r="C928" t="str">
        <f>_xll.BDP("41453TCE Muni","INSURANCE_STATUS")</f>
        <v>#N/A Requesting Data...</v>
      </c>
      <c r="D928" t="str">
        <f>_xll.BDP("41453TCE Muni","STATE_CODE")</f>
        <v>#N/A Requesting Data...</v>
      </c>
      <c r="E928" t="str">
        <f>_xll.BDP("41453TCE Muni","COUNTY_LOCATION_ISSUER")</f>
        <v>#N/A Requesting Data...</v>
      </c>
      <c r="F928" t="str">
        <f>_xll.BDP("41453TCE Muni","DUR_ADJ_MID")</f>
        <v>#N/A Requesting Data...</v>
      </c>
      <c r="G928" t="str">
        <f>_xll.BDP("41453TCE Muni","SPREAD_AT_ISSUANCE_TO_WORST")</f>
        <v>#N/A Requesting Data...</v>
      </c>
      <c r="H928" t="str">
        <f>_xll.BDP("41453TCE Muni","ISSUE_DT")</f>
        <v>#N/A Requesting Data...</v>
      </c>
      <c r="I928" t="str">
        <f>_xll.BDS("41453TCE Muni","MUNI_PURPOSE_SCHED", "aggregate=y")</f>
        <v>#N/A Requesting Data...</v>
      </c>
      <c r="J928" t="str">
        <f>_xll.BDP("41453TCE Muni","CPN")</f>
        <v>#N/A Requesting Data...</v>
      </c>
      <c r="K928" t="str">
        <f>_xll.BDP("41453TCE Muni","MATURITY")</f>
        <v>#N/A Requesting Data...</v>
      </c>
      <c r="L928">
        <v>100000</v>
      </c>
      <c r="M928" t="str">
        <f>_xll.BDP("41453TCE Muni","YIELD_ON_ISSUE_DATE")</f>
        <v>#N/A Requesting Data...</v>
      </c>
      <c r="N928" t="str">
        <f>_xll.BDP("41453TCE Muni","YTW_SPREAD_TO_MATURITY_AT_ISSU")</f>
        <v>#N/A Requesting Data...</v>
      </c>
      <c r="O928" t="str">
        <f>_xll.BDP("41453TCE Muni","BVAL_MID_YTM")</f>
        <v>#N/A Requesting Data...</v>
      </c>
      <c r="P928" t="str">
        <f>_xll.BDP("41453TCE Muni","MUNI_TAX_PROV")</f>
        <v>#N/A Requesting Data...</v>
      </c>
      <c r="Q928" t="str">
        <f>_xll.BDP("41453TCE Muni","MUNI_FED_TAX")</f>
        <v>#N/A Requesting Data...</v>
      </c>
      <c r="R928" t="str">
        <f>_xll.BDP("41453TCE Muni","MUNI_MSRB_VOLUME")</f>
        <v>#N/A Requesting Data...</v>
      </c>
      <c r="S928" t="str">
        <f>_xll.BDP("41453TCE Muni","BB_COMPOSITE")</f>
        <v>#N/A Requesting Data...</v>
      </c>
      <c r="T928" t="str">
        <f>_xll.BDP("41453TCE Muni","LQA_LIQUIDITY_SCORE")</f>
        <v>#N/A Requesting Data...</v>
      </c>
    </row>
    <row r="929" spans="1:20" x14ac:dyDescent="0.25">
      <c r="A929" t="str">
        <f>_xll.BDP("41453TDJ Muni","ID_CUSIP")</f>
        <v>#N/A Requesting Data...</v>
      </c>
      <c r="B929" t="s">
        <v>255</v>
      </c>
      <c r="C929" t="str">
        <f>_xll.BDP("41453TDJ Muni","INSURANCE_STATUS")</f>
        <v>#N/A Requesting Data...</v>
      </c>
      <c r="D929" t="str">
        <f>_xll.BDP("41453TDJ Muni","STATE_CODE")</f>
        <v>#N/A Requesting Data...</v>
      </c>
      <c r="E929" t="str">
        <f>_xll.BDP("41453TDJ Muni","COUNTY_LOCATION_ISSUER")</f>
        <v>#N/A Requesting Data...</v>
      </c>
      <c r="F929" t="str">
        <f>_xll.BDP("41453TDJ Muni","DUR_ADJ_MID")</f>
        <v>#N/A Requesting Data...</v>
      </c>
      <c r="G929" t="str">
        <f>_xll.BDP("41453TDJ Muni","SPREAD_AT_ISSUANCE_TO_WORST")</f>
        <v>#N/A Requesting Data...</v>
      </c>
      <c r="H929" t="str">
        <f>_xll.BDP("41453TDJ Muni","ISSUE_DT")</f>
        <v>#N/A Requesting Data...</v>
      </c>
      <c r="I929" t="str">
        <f>_xll.BDS("41453TDJ Muni","MUNI_PURPOSE_SCHED", "aggregate=y")</f>
        <v>#N/A Requesting Data...</v>
      </c>
      <c r="J929" t="str">
        <f>_xll.BDP("41453TDJ Muni","CPN")</f>
        <v>#N/A Requesting Data...</v>
      </c>
      <c r="K929" t="str">
        <f>_xll.BDP("41453TDJ Muni","MATURITY")</f>
        <v>#N/A Requesting Data...</v>
      </c>
      <c r="L929">
        <v>130000</v>
      </c>
      <c r="M929" t="str">
        <f>_xll.BDP("41453TDJ Muni","YIELD_ON_ISSUE_DATE")</f>
        <v>#N/A Requesting Data...</v>
      </c>
      <c r="N929" t="str">
        <f>_xll.BDP("41453TDJ Muni","YTW_SPREAD_TO_MATURITY_AT_ISSU")</f>
        <v>#N/A Requesting Data...</v>
      </c>
      <c r="O929" t="str">
        <f>_xll.BDP("41453TDJ Muni","BVAL_MID_YTM")</f>
        <v>#N/A Requesting Data...</v>
      </c>
      <c r="P929" t="str">
        <f>_xll.BDP("41453TDJ Muni","MUNI_TAX_PROV")</f>
        <v>#N/A Requesting Data...</v>
      </c>
      <c r="Q929" t="str">
        <f>_xll.BDP("41453TDJ Muni","MUNI_FED_TAX")</f>
        <v>#N/A Requesting Data...</v>
      </c>
      <c r="R929" t="str">
        <f>_xll.BDP("41453TDJ Muni","MUNI_MSRB_VOLUME")</f>
        <v>#N/A Requesting Data...</v>
      </c>
      <c r="S929" t="str">
        <f>_xll.BDP("41453TDJ Muni","BB_COMPOSITE")</f>
        <v>#N/A Requesting Data...</v>
      </c>
      <c r="T929" t="str">
        <f>_xll.BDP("41453TDJ Muni","LQA_LIQUIDITY_SCORE")</f>
        <v>#N/A Requesting Data...</v>
      </c>
    </row>
    <row r="930" spans="1:20" x14ac:dyDescent="0.25">
      <c r="A930" t="str">
        <f>_xll.BDP("41456PKJ Muni","ID_CUSIP")</f>
        <v>#N/A Requesting Data...</v>
      </c>
      <c r="B930" t="s">
        <v>256</v>
      </c>
      <c r="C930" t="str">
        <f>_xll.BDP("41456PKJ Muni","INSURANCE_STATUS")</f>
        <v>#N/A Requesting Data...</v>
      </c>
      <c r="D930" t="str">
        <f>_xll.BDP("41456PKJ Muni","STATE_CODE")</f>
        <v>#N/A Requesting Data...</v>
      </c>
      <c r="E930" t="str">
        <f>_xll.BDP("41456PKJ Muni","COUNTY_LOCATION_ISSUER")</f>
        <v>#N/A Requesting Data...</v>
      </c>
      <c r="F930" t="str">
        <f>_xll.BDP("41456PKJ Muni","DUR_ADJ_MID")</f>
        <v>#N/A Requesting Data...</v>
      </c>
      <c r="G930" t="str">
        <f>_xll.BDP("41456PKJ Muni","SPREAD_AT_ISSUANCE_TO_WORST")</f>
        <v>#N/A Requesting Data...</v>
      </c>
      <c r="H930" t="str">
        <f>_xll.BDP("41456PKJ Muni","ISSUE_DT")</f>
        <v>#N/A Requesting Data...</v>
      </c>
      <c r="I930" t="str">
        <f>_xll.BDS("41456PKJ Muni","MUNI_PURPOSE_SCHED", "aggregate=y")</f>
        <v>#N/A Requesting Data...</v>
      </c>
      <c r="J930" t="str">
        <f>_xll.BDP("41456PKJ Muni","CPN")</f>
        <v>#N/A Requesting Data...</v>
      </c>
      <c r="K930" t="str">
        <f>_xll.BDP("41456PKJ Muni","MATURITY")</f>
        <v>#N/A Requesting Data...</v>
      </c>
      <c r="L930">
        <v>470000</v>
      </c>
      <c r="M930" t="str">
        <f>_xll.BDP("41456PKJ Muni","YIELD_ON_ISSUE_DATE")</f>
        <v>#N/A Requesting Data...</v>
      </c>
      <c r="N930" t="str">
        <f>_xll.BDP("41456PKJ Muni","YTW_SPREAD_TO_MATURITY_AT_ISSU")</f>
        <v>#N/A Requesting Data...</v>
      </c>
      <c r="O930" t="str">
        <f>_xll.BDP("41456PKJ Muni","BVAL_MID_YTM")</f>
        <v>#N/A Requesting Data...</v>
      </c>
      <c r="P930" t="str">
        <f>_xll.BDP("41456PKJ Muni","MUNI_TAX_PROV")</f>
        <v>#N/A Requesting Data...</v>
      </c>
      <c r="Q930" t="str">
        <f>_xll.BDP("41456PKJ Muni","MUNI_FED_TAX")</f>
        <v>#N/A Requesting Data...</v>
      </c>
      <c r="R930" t="str">
        <f>_xll.BDP("41456PKJ Muni","MUNI_MSRB_VOLUME")</f>
        <v>#N/A Requesting Data...</v>
      </c>
      <c r="S930" t="str">
        <f>_xll.BDP("41456PKJ Muni","BB_COMPOSITE")</f>
        <v>#N/A Requesting Data...</v>
      </c>
      <c r="T930" t="str">
        <f>_xll.BDP("41456PKJ Muni","LQA_LIQUIDITY_SCORE")</f>
        <v>#N/A Requesting Data...</v>
      </c>
    </row>
    <row r="931" spans="1:20" x14ac:dyDescent="0.25">
      <c r="A931" t="str">
        <f>_xll.BDP("41456PKK Muni","ID_CUSIP")</f>
        <v>#N/A Requesting Data...</v>
      </c>
      <c r="B931" t="s">
        <v>256</v>
      </c>
      <c r="C931" t="str">
        <f>_xll.BDP("41456PKK Muni","INSURANCE_STATUS")</f>
        <v>#N/A Requesting Data...</v>
      </c>
      <c r="D931" t="str">
        <f>_xll.BDP("41456PKK Muni","STATE_CODE")</f>
        <v>#N/A Requesting Data...</v>
      </c>
      <c r="E931" t="str">
        <f>_xll.BDP("41456PKK Muni","COUNTY_LOCATION_ISSUER")</f>
        <v>#N/A Requesting Data...</v>
      </c>
      <c r="F931" t="str">
        <f>_xll.BDP("41456PKK Muni","DUR_ADJ_MID")</f>
        <v>#N/A Requesting Data...</v>
      </c>
      <c r="G931" t="str">
        <f>_xll.BDP("41456PKK Muni","SPREAD_AT_ISSUANCE_TO_WORST")</f>
        <v>#N/A Requesting Data...</v>
      </c>
      <c r="H931" t="str">
        <f>_xll.BDP("41456PKK Muni","ISSUE_DT")</f>
        <v>#N/A Requesting Data...</v>
      </c>
      <c r="I931" t="str">
        <f>_xll.BDS("41456PKK Muni","MUNI_PURPOSE_SCHED", "aggregate=y")</f>
        <v>#N/A Requesting Data...</v>
      </c>
      <c r="J931" t="str">
        <f>_xll.BDP("41456PKK Muni","CPN")</f>
        <v>#N/A Requesting Data...</v>
      </c>
      <c r="K931" t="str">
        <f>_xll.BDP("41456PKK Muni","MATURITY")</f>
        <v>#N/A Requesting Data...</v>
      </c>
      <c r="L931">
        <v>470000</v>
      </c>
      <c r="M931" t="str">
        <f>_xll.BDP("41456PKK Muni","YIELD_ON_ISSUE_DATE")</f>
        <v>#N/A Requesting Data...</v>
      </c>
      <c r="N931" t="str">
        <f>_xll.BDP("41456PKK Muni","YTW_SPREAD_TO_MATURITY_AT_ISSU")</f>
        <v>#N/A Requesting Data...</v>
      </c>
      <c r="O931" t="str">
        <f>_xll.BDP("41456PKK Muni","BVAL_MID_YTM")</f>
        <v>#N/A Requesting Data...</v>
      </c>
      <c r="P931" t="str">
        <f>_xll.BDP("41456PKK Muni","MUNI_TAX_PROV")</f>
        <v>#N/A Requesting Data...</v>
      </c>
      <c r="Q931" t="str">
        <f>_xll.BDP("41456PKK Muni","MUNI_FED_TAX")</f>
        <v>#N/A Requesting Data...</v>
      </c>
      <c r="R931" t="str">
        <f>_xll.BDP("41456PKK Muni","MUNI_MSRB_VOLUME")</f>
        <v>#N/A Requesting Data...</v>
      </c>
      <c r="S931" t="str">
        <f>_xll.BDP("41456PKK Muni","BB_COMPOSITE")</f>
        <v>#N/A Requesting Data...</v>
      </c>
      <c r="T931" t="str">
        <f>_xll.BDP("41456PKK Muni","LQA_LIQUIDITY_SCORE")</f>
        <v>#N/A Requesting Data...</v>
      </c>
    </row>
    <row r="932" spans="1:20" x14ac:dyDescent="0.25">
      <c r="A932" t="str">
        <f>_xll.BDP("41456PKL Muni","ID_CUSIP")</f>
        <v>#N/A Requesting Data...</v>
      </c>
      <c r="B932" t="s">
        <v>256</v>
      </c>
      <c r="C932" t="str">
        <f>_xll.BDP("41456PKL Muni","INSURANCE_STATUS")</f>
        <v>#N/A Requesting Data...</v>
      </c>
      <c r="D932" t="str">
        <f>_xll.BDP("41456PKL Muni","STATE_CODE")</f>
        <v>#N/A Requesting Data...</v>
      </c>
      <c r="E932" t="str">
        <f>_xll.BDP("41456PKL Muni","COUNTY_LOCATION_ISSUER")</f>
        <v>#N/A Requesting Data...</v>
      </c>
      <c r="F932" t="str">
        <f>_xll.BDP("41456PKL Muni","DUR_ADJ_MID")</f>
        <v>#N/A Requesting Data...</v>
      </c>
      <c r="G932" t="str">
        <f>_xll.BDP("41456PKL Muni","SPREAD_AT_ISSUANCE_TO_WORST")</f>
        <v>#N/A Requesting Data...</v>
      </c>
      <c r="H932" t="str">
        <f>_xll.BDP("41456PKL Muni","ISSUE_DT")</f>
        <v>#N/A Requesting Data...</v>
      </c>
      <c r="I932" t="str">
        <f>_xll.BDS("41456PKL Muni","MUNI_PURPOSE_SCHED", "aggregate=y")</f>
        <v>#N/A Requesting Data...</v>
      </c>
      <c r="J932" t="str">
        <f>_xll.BDP("41456PKL Muni","CPN")</f>
        <v>#N/A Requesting Data...</v>
      </c>
      <c r="K932" t="str">
        <f>_xll.BDP("41456PKL Muni","MATURITY")</f>
        <v>#N/A Requesting Data...</v>
      </c>
      <c r="L932">
        <v>470000</v>
      </c>
      <c r="M932" t="str">
        <f>_xll.BDP("41456PKL Muni","YIELD_ON_ISSUE_DATE")</f>
        <v>#N/A Requesting Data...</v>
      </c>
      <c r="N932" t="str">
        <f>_xll.BDP("41456PKL Muni","YTW_SPREAD_TO_MATURITY_AT_ISSU")</f>
        <v>#N/A Requesting Data...</v>
      </c>
      <c r="O932" t="str">
        <f>_xll.BDP("41456PKL Muni","BVAL_MID_YTM")</f>
        <v>#N/A Requesting Data...</v>
      </c>
      <c r="P932" t="str">
        <f>_xll.BDP("41456PKL Muni","MUNI_TAX_PROV")</f>
        <v>#N/A Requesting Data...</v>
      </c>
      <c r="Q932" t="str">
        <f>_xll.BDP("41456PKL Muni","MUNI_FED_TAX")</f>
        <v>#N/A Requesting Data...</v>
      </c>
      <c r="R932" t="str">
        <f>_xll.BDP("41456PKL Muni","MUNI_MSRB_VOLUME")</f>
        <v>#N/A Requesting Data...</v>
      </c>
      <c r="S932" t="str">
        <f>_xll.BDP("41456PKL Muni","BB_COMPOSITE")</f>
        <v>#N/A Requesting Data...</v>
      </c>
      <c r="T932" t="str">
        <f>_xll.BDP("41456PKL Muni","LQA_LIQUIDITY_SCORE")</f>
        <v>#N/A Requesting Data...</v>
      </c>
    </row>
    <row r="933" spans="1:20" x14ac:dyDescent="0.25">
      <c r="A933" t="str">
        <f>_xll.BDP("414929KP Muni","ID_CUSIP")</f>
        <v>#N/A Requesting Data...</v>
      </c>
      <c r="B933" t="s">
        <v>257</v>
      </c>
      <c r="C933" t="str">
        <f>_xll.BDP("414929KP Muni","INSURANCE_STATUS")</f>
        <v>#N/A Requesting Data...</v>
      </c>
      <c r="D933" t="str">
        <f>_xll.BDP("414929KP Muni","STATE_CODE")</f>
        <v>#N/A Requesting Data...</v>
      </c>
      <c r="E933" t="str">
        <f>_xll.BDP("414929KP Muni","COUNTY_LOCATION_ISSUER")</f>
        <v>#N/A Requesting Data...</v>
      </c>
      <c r="F933" t="str">
        <f>_xll.BDP("414929KP Muni","DUR_ADJ_MID")</f>
        <v>#N/A Requesting Data...</v>
      </c>
      <c r="G933" t="str">
        <f>_xll.BDP("414929KP Muni","SPREAD_AT_ISSUANCE_TO_WORST")</f>
        <v>#N/A Requesting Data...</v>
      </c>
      <c r="H933" t="str">
        <f>_xll.BDP("414929KP Muni","ISSUE_DT")</f>
        <v>#N/A Requesting Data...</v>
      </c>
      <c r="I933" t="str">
        <f>_xll.BDS("414929KP Muni","MUNI_PURPOSE_SCHED", "aggregate=y")</f>
        <v>#N/A Requesting Data...</v>
      </c>
      <c r="J933" t="str">
        <f>_xll.BDP("414929KP Muni","CPN")</f>
        <v>#N/A Requesting Data...</v>
      </c>
      <c r="K933" t="str">
        <f>_xll.BDP("414929KP Muni","MATURITY")</f>
        <v>#N/A Requesting Data...</v>
      </c>
      <c r="L933">
        <v>480000</v>
      </c>
      <c r="M933" t="str">
        <f>_xll.BDP("414929KP Muni","YIELD_ON_ISSUE_DATE")</f>
        <v>#N/A Requesting Data...</v>
      </c>
      <c r="N933" t="str">
        <f>_xll.BDP("414929KP Muni","YTW_SPREAD_TO_MATURITY_AT_ISSU")</f>
        <v>#N/A Requesting Data...</v>
      </c>
      <c r="O933" t="str">
        <f>_xll.BDP("414929KP Muni","BVAL_MID_YTM")</f>
        <v>#N/A Requesting Data...</v>
      </c>
      <c r="P933" t="str">
        <f>_xll.BDP("414929KP Muni","MUNI_TAX_PROV")</f>
        <v>#N/A Requesting Data...</v>
      </c>
      <c r="Q933" t="str">
        <f>_xll.BDP("414929KP Muni","MUNI_FED_TAX")</f>
        <v>#N/A Requesting Data...</v>
      </c>
      <c r="R933" t="str">
        <f>_xll.BDP("414929KP Muni","MUNI_MSRB_VOLUME")</f>
        <v>#N/A Requesting Data...</v>
      </c>
      <c r="S933" t="str">
        <f>_xll.BDP("414929KP Muni","BB_COMPOSITE")</f>
        <v>#N/A Requesting Data...</v>
      </c>
      <c r="T933" t="str">
        <f>_xll.BDP("414929KP Muni","LQA_LIQUIDITY_SCORE")</f>
        <v>#N/A Requesting Data...</v>
      </c>
    </row>
    <row r="934" spans="1:20" x14ac:dyDescent="0.25">
      <c r="A934" t="str">
        <f>_xll.BDP("414939JK Muni","ID_CUSIP")</f>
        <v>#N/A Requesting Data...</v>
      </c>
      <c r="B934" t="s">
        <v>258</v>
      </c>
      <c r="C934" t="str">
        <f>_xll.BDP("414939JK Muni","INSURANCE_STATUS")</f>
        <v>#N/A Requesting Data...</v>
      </c>
      <c r="D934" t="str">
        <f>_xll.BDP("414939JK Muni","STATE_CODE")</f>
        <v>#N/A Requesting Data...</v>
      </c>
      <c r="E934" t="str">
        <f>_xll.BDP("414939JK Muni","COUNTY_LOCATION_ISSUER")</f>
        <v>#N/A Requesting Data...</v>
      </c>
      <c r="F934" t="str">
        <f>_xll.BDP("414939JK Muni","DUR_ADJ_MID")</f>
        <v>#N/A Requesting Data...</v>
      </c>
      <c r="G934" t="str">
        <f>_xll.BDP("414939JK Muni","SPREAD_AT_ISSUANCE_TO_WORST")</f>
        <v>#N/A Requesting Data...</v>
      </c>
      <c r="H934" t="str">
        <f>_xll.BDP("414939JK Muni","ISSUE_DT")</f>
        <v>#N/A Requesting Data...</v>
      </c>
      <c r="I934" t="str">
        <f>_xll.BDS("414939JK Muni","MUNI_PURPOSE_SCHED", "aggregate=y")</f>
        <v>#N/A Requesting Data...</v>
      </c>
      <c r="J934" t="str">
        <f>_xll.BDP("414939JK Muni","CPN")</f>
        <v>#N/A Requesting Data...</v>
      </c>
      <c r="K934" t="str">
        <f>_xll.BDP("414939JK Muni","MATURITY")</f>
        <v>#N/A Requesting Data...</v>
      </c>
      <c r="L934">
        <v>125000</v>
      </c>
      <c r="M934" t="str">
        <f>_xll.BDP("414939JK Muni","YIELD_ON_ISSUE_DATE")</f>
        <v>#N/A Requesting Data...</v>
      </c>
      <c r="N934" t="str">
        <f>_xll.BDP("414939JK Muni","YTW_SPREAD_TO_MATURITY_AT_ISSU")</f>
        <v>#N/A Requesting Data...</v>
      </c>
      <c r="O934" t="str">
        <f>_xll.BDP("414939JK Muni","BVAL_MID_YTM")</f>
        <v>#N/A Requesting Data...</v>
      </c>
      <c r="P934" t="str">
        <f>_xll.BDP("414939JK Muni","MUNI_TAX_PROV")</f>
        <v>#N/A Requesting Data...</v>
      </c>
      <c r="Q934" t="str">
        <f>_xll.BDP("414939JK Muni","MUNI_FED_TAX")</f>
        <v>#N/A Requesting Data...</v>
      </c>
      <c r="R934" t="str">
        <f>_xll.BDP("414939JK Muni","MUNI_MSRB_VOLUME")</f>
        <v>#N/A Requesting Data...</v>
      </c>
      <c r="S934" t="str">
        <f>_xll.BDP("414939JK Muni","BB_COMPOSITE")</f>
        <v>#N/A Requesting Data...</v>
      </c>
      <c r="T934" t="str">
        <f>_xll.BDP("414939JK Muni","LQA_LIQUIDITY_SCORE")</f>
        <v>#N/A Requesting Data...</v>
      </c>
    </row>
    <row r="935" spans="1:20" x14ac:dyDescent="0.25">
      <c r="A935" t="str">
        <f>_xll.BDP("414939JL Muni","ID_CUSIP")</f>
        <v>#N/A Requesting Data...</v>
      </c>
      <c r="B935" t="s">
        <v>258</v>
      </c>
      <c r="C935" t="str">
        <f>_xll.BDP("414939JL Muni","INSURANCE_STATUS")</f>
        <v>#N/A Requesting Data...</v>
      </c>
      <c r="D935" t="str">
        <f>_xll.BDP("414939JL Muni","STATE_CODE")</f>
        <v>#N/A Requesting Data...</v>
      </c>
      <c r="E935" t="str">
        <f>_xll.BDP("414939JL Muni","COUNTY_LOCATION_ISSUER")</f>
        <v>#N/A Requesting Data...</v>
      </c>
      <c r="F935" t="str">
        <f>_xll.BDP("414939JL Muni","DUR_ADJ_MID")</f>
        <v>#N/A Requesting Data...</v>
      </c>
      <c r="G935" t="str">
        <f>_xll.BDP("414939JL Muni","SPREAD_AT_ISSUANCE_TO_WORST")</f>
        <v>#N/A Requesting Data...</v>
      </c>
      <c r="H935" t="str">
        <f>_xll.BDP("414939JL Muni","ISSUE_DT")</f>
        <v>#N/A Requesting Data...</v>
      </c>
      <c r="I935" t="str">
        <f>_xll.BDS("414939JL Muni","MUNI_PURPOSE_SCHED", "aggregate=y")</f>
        <v>#N/A Requesting Data...</v>
      </c>
      <c r="J935" t="str">
        <f>_xll.BDP("414939JL Muni","CPN")</f>
        <v>#N/A Requesting Data...</v>
      </c>
      <c r="K935" t="str">
        <f>_xll.BDP("414939JL Muni","MATURITY")</f>
        <v>#N/A Requesting Data...</v>
      </c>
      <c r="L935">
        <v>125000</v>
      </c>
      <c r="M935" t="str">
        <f>_xll.BDP("414939JL Muni","YIELD_ON_ISSUE_DATE")</f>
        <v>#N/A Requesting Data...</v>
      </c>
      <c r="N935" t="str">
        <f>_xll.BDP("414939JL Muni","YTW_SPREAD_TO_MATURITY_AT_ISSU")</f>
        <v>#N/A Requesting Data...</v>
      </c>
      <c r="O935" t="str">
        <f>_xll.BDP("414939JL Muni","BVAL_MID_YTM")</f>
        <v>#N/A Requesting Data...</v>
      </c>
      <c r="P935" t="str">
        <f>_xll.BDP("414939JL Muni","MUNI_TAX_PROV")</f>
        <v>#N/A Requesting Data...</v>
      </c>
      <c r="Q935" t="str">
        <f>_xll.BDP("414939JL Muni","MUNI_FED_TAX")</f>
        <v>#N/A Requesting Data...</v>
      </c>
      <c r="R935" t="str">
        <f>_xll.BDP("414939JL Muni","MUNI_MSRB_VOLUME")</f>
        <v>#N/A Requesting Data...</v>
      </c>
      <c r="S935" t="str">
        <f>_xll.BDP("414939JL Muni","BB_COMPOSITE")</f>
        <v>#N/A Requesting Data...</v>
      </c>
      <c r="T935" t="str">
        <f>_xll.BDP("414939JL Muni","LQA_LIQUIDITY_SCORE")</f>
        <v>#N/A Requesting Data...</v>
      </c>
    </row>
    <row r="936" spans="1:20" x14ac:dyDescent="0.25">
      <c r="A936" t="str">
        <f>_xll.BDP("266425AZ Muni","ID_CUSIP")</f>
        <v>#N/A Requesting Data...</v>
      </c>
      <c r="B936" t="s">
        <v>259</v>
      </c>
      <c r="C936" t="str">
        <f>_xll.BDP("266425AZ Muni","INSURANCE_STATUS")</f>
        <v>#N/A Requesting Data...</v>
      </c>
      <c r="D936" t="str">
        <f>_xll.BDP("266425AZ Muni","STATE_CODE")</f>
        <v>#N/A Requesting Data...</v>
      </c>
      <c r="E936" t="str">
        <f>_xll.BDP("266425AZ Muni","COUNTY_LOCATION_ISSUER")</f>
        <v>#N/A Requesting Data...</v>
      </c>
      <c r="F936" t="str">
        <f>_xll.BDP("266425AZ Muni","DUR_ADJ_MID")</f>
        <v>#N/A Requesting Data...</v>
      </c>
      <c r="G936" t="str">
        <f>_xll.BDP("266425AZ Muni","SPREAD_AT_ISSUANCE_TO_WORST")</f>
        <v>#N/A Requesting Data...</v>
      </c>
      <c r="H936" t="str">
        <f>_xll.BDP("266425AZ Muni","ISSUE_DT")</f>
        <v>#N/A Requesting Data...</v>
      </c>
      <c r="I936" t="str">
        <f>_xll.BDS("266425AZ Muni","MUNI_PURPOSE_SCHED", "aggregate=y")</f>
        <v>#N/A Requesting Data...</v>
      </c>
      <c r="J936" t="str">
        <f>_xll.BDP("266425AZ Muni","CPN")</f>
        <v>#N/A Requesting Data...</v>
      </c>
      <c r="K936" t="str">
        <f>_xll.BDP("266425AZ Muni","MATURITY")</f>
        <v>#N/A Requesting Data...</v>
      </c>
      <c r="L936">
        <v>30000</v>
      </c>
      <c r="M936" t="str">
        <f>_xll.BDP("266425AZ Muni","YIELD_ON_ISSUE_DATE")</f>
        <v>#N/A Requesting Data...</v>
      </c>
      <c r="N936" t="str">
        <f>_xll.BDP("266425AZ Muni","YTW_SPREAD_TO_MATURITY_AT_ISSU")</f>
        <v>#N/A Requesting Data...</v>
      </c>
      <c r="O936" t="str">
        <f>_xll.BDP("266425AZ Muni","BVAL_MID_YTM")</f>
        <v>#N/A Requesting Data...</v>
      </c>
      <c r="P936" t="str">
        <f>_xll.BDP("266425AZ Muni","MUNI_TAX_PROV")</f>
        <v>#N/A Requesting Data...</v>
      </c>
      <c r="Q936" t="str">
        <f>_xll.BDP("266425AZ Muni","MUNI_FED_TAX")</f>
        <v>#N/A Requesting Data...</v>
      </c>
      <c r="R936" t="str">
        <f>_xll.BDP("266425AZ Muni","MUNI_MSRB_VOLUME")</f>
        <v>#N/A Requesting Data...</v>
      </c>
      <c r="S936" t="str">
        <f>_xll.BDP("266425AZ Muni","BB_COMPOSITE")</f>
        <v>#N/A Requesting Data...</v>
      </c>
      <c r="T936" t="str">
        <f>_xll.BDP("266425AZ Muni","LQA_LIQUIDITY_SCORE")</f>
        <v>#N/A Requesting Data...</v>
      </c>
    </row>
    <row r="937" spans="1:20" x14ac:dyDescent="0.25">
      <c r="A937" t="str">
        <f>_xll.BDP("266425BA Muni","ID_CUSIP")</f>
        <v>#N/A Requesting Data...</v>
      </c>
      <c r="B937" t="s">
        <v>259</v>
      </c>
      <c r="C937" t="str">
        <f>_xll.BDP("266425BA Muni","INSURANCE_STATUS")</f>
        <v>#N/A Requesting Data...</v>
      </c>
      <c r="D937" t="str">
        <f>_xll.BDP("266425BA Muni","STATE_CODE")</f>
        <v>#N/A Requesting Data...</v>
      </c>
      <c r="E937" t="str">
        <f>_xll.BDP("266425BA Muni","COUNTY_LOCATION_ISSUER")</f>
        <v>#N/A Requesting Data...</v>
      </c>
      <c r="F937" t="str">
        <f>_xll.BDP("266425BA Muni","DUR_ADJ_MID")</f>
        <v>#N/A Requesting Data...</v>
      </c>
      <c r="G937" t="str">
        <f>_xll.BDP("266425BA Muni","SPREAD_AT_ISSUANCE_TO_WORST")</f>
        <v>#N/A Requesting Data...</v>
      </c>
      <c r="H937" t="str">
        <f>_xll.BDP("266425BA Muni","ISSUE_DT")</f>
        <v>#N/A Requesting Data...</v>
      </c>
      <c r="I937" t="str">
        <f>_xll.BDS("266425BA Muni","MUNI_PURPOSE_SCHED", "aggregate=y")</f>
        <v>#N/A Requesting Data...</v>
      </c>
      <c r="J937" t="str">
        <f>_xll.BDP("266425BA Muni","CPN")</f>
        <v>#N/A Requesting Data...</v>
      </c>
      <c r="K937" t="str">
        <f>_xll.BDP("266425BA Muni","MATURITY")</f>
        <v>#N/A Requesting Data...</v>
      </c>
      <c r="L937">
        <v>30000</v>
      </c>
      <c r="M937" t="str">
        <f>_xll.BDP("266425BA Muni","YIELD_ON_ISSUE_DATE")</f>
        <v>#N/A Requesting Data...</v>
      </c>
      <c r="N937" t="str">
        <f>_xll.BDP("266425BA Muni","YTW_SPREAD_TO_MATURITY_AT_ISSU")</f>
        <v>#N/A Requesting Data...</v>
      </c>
      <c r="O937" t="str">
        <f>_xll.BDP("266425BA Muni","BVAL_MID_YTM")</f>
        <v>#N/A Requesting Data...</v>
      </c>
      <c r="P937" t="str">
        <f>_xll.BDP("266425BA Muni","MUNI_TAX_PROV")</f>
        <v>#N/A Requesting Data...</v>
      </c>
      <c r="Q937" t="str">
        <f>_xll.BDP("266425BA Muni","MUNI_FED_TAX")</f>
        <v>#N/A Requesting Data...</v>
      </c>
      <c r="R937" t="str">
        <f>_xll.BDP("266425BA Muni","MUNI_MSRB_VOLUME")</f>
        <v>#N/A Requesting Data...</v>
      </c>
      <c r="S937" t="str">
        <f>_xll.BDP("266425BA Muni","BB_COMPOSITE")</f>
        <v>#N/A Requesting Data...</v>
      </c>
      <c r="T937" t="str">
        <f>_xll.BDP("266425BA Muni","LQA_LIQUIDITY_SCORE")</f>
        <v>#N/A Requesting Data...</v>
      </c>
    </row>
    <row r="938" spans="1:20" x14ac:dyDescent="0.25">
      <c r="A938" t="str">
        <f>_xll.BDP("266425BB Muni","ID_CUSIP")</f>
        <v>#N/A Requesting Data...</v>
      </c>
      <c r="B938" t="s">
        <v>259</v>
      </c>
      <c r="C938" t="str">
        <f>_xll.BDP("266425BB Muni","INSURANCE_STATUS")</f>
        <v>#N/A Requesting Data...</v>
      </c>
      <c r="D938" t="str">
        <f>_xll.BDP("266425BB Muni","STATE_CODE")</f>
        <v>#N/A Requesting Data...</v>
      </c>
      <c r="E938" t="str">
        <f>_xll.BDP("266425BB Muni","COUNTY_LOCATION_ISSUER")</f>
        <v>#N/A Requesting Data...</v>
      </c>
      <c r="F938" t="str">
        <f>_xll.BDP("266425BB Muni","DUR_ADJ_MID")</f>
        <v>#N/A Requesting Data...</v>
      </c>
      <c r="G938" t="str">
        <f>_xll.BDP("266425BB Muni","SPREAD_AT_ISSUANCE_TO_WORST")</f>
        <v>#N/A Requesting Data...</v>
      </c>
      <c r="H938" t="str">
        <f>_xll.BDP("266425BB Muni","ISSUE_DT")</f>
        <v>#N/A Requesting Data...</v>
      </c>
      <c r="I938" t="str">
        <f>_xll.BDS("266425BB Muni","MUNI_PURPOSE_SCHED", "aggregate=y")</f>
        <v>#N/A Requesting Data...</v>
      </c>
      <c r="J938" t="str">
        <f>_xll.BDP("266425BB Muni","CPN")</f>
        <v>#N/A Requesting Data...</v>
      </c>
      <c r="K938" t="str">
        <f>_xll.BDP("266425BB Muni","MATURITY")</f>
        <v>#N/A Requesting Data...</v>
      </c>
      <c r="L938">
        <v>30000</v>
      </c>
      <c r="M938" t="str">
        <f>_xll.BDP("266425BB Muni","YIELD_ON_ISSUE_DATE")</f>
        <v>#N/A Requesting Data...</v>
      </c>
      <c r="N938" t="str">
        <f>_xll.BDP("266425BB Muni","YTW_SPREAD_TO_MATURITY_AT_ISSU")</f>
        <v>#N/A Requesting Data...</v>
      </c>
      <c r="O938" t="str">
        <f>_xll.BDP("266425BB Muni","BVAL_MID_YTM")</f>
        <v>#N/A Requesting Data...</v>
      </c>
      <c r="P938" t="str">
        <f>_xll.BDP("266425BB Muni","MUNI_TAX_PROV")</f>
        <v>#N/A Requesting Data...</v>
      </c>
      <c r="Q938" t="str">
        <f>_xll.BDP("266425BB Muni","MUNI_FED_TAX")</f>
        <v>#N/A Requesting Data...</v>
      </c>
      <c r="R938" t="str">
        <f>_xll.BDP("266425BB Muni","MUNI_MSRB_VOLUME")</f>
        <v>#N/A Requesting Data...</v>
      </c>
      <c r="S938" t="str">
        <f>_xll.BDP("266425BB Muni","BB_COMPOSITE")</f>
        <v>#N/A Requesting Data...</v>
      </c>
      <c r="T938" t="str">
        <f>_xll.BDP("266425BB Muni","LQA_LIQUIDITY_SCORE")</f>
        <v>#N/A Requesting Data...</v>
      </c>
    </row>
    <row r="939" spans="1:20" x14ac:dyDescent="0.25">
      <c r="A939" t="str">
        <f>_xll.BDP("266425BC Muni","ID_CUSIP")</f>
        <v>#N/A Requesting Data...</v>
      </c>
      <c r="B939" t="s">
        <v>259</v>
      </c>
      <c r="C939" t="str">
        <f>_xll.BDP("266425BC Muni","INSURANCE_STATUS")</f>
        <v>#N/A Requesting Data...</v>
      </c>
      <c r="D939" t="str">
        <f>_xll.BDP("266425BC Muni","STATE_CODE")</f>
        <v>#N/A Requesting Data...</v>
      </c>
      <c r="E939" t="str">
        <f>_xll.BDP("266425BC Muni","COUNTY_LOCATION_ISSUER")</f>
        <v>#N/A Requesting Data...</v>
      </c>
      <c r="F939" t="str">
        <f>_xll.BDP("266425BC Muni","DUR_ADJ_MID")</f>
        <v>#N/A Requesting Data...</v>
      </c>
      <c r="G939" t="str">
        <f>_xll.BDP("266425BC Muni","SPREAD_AT_ISSUANCE_TO_WORST")</f>
        <v>#N/A Requesting Data...</v>
      </c>
      <c r="H939" t="str">
        <f>_xll.BDP("266425BC Muni","ISSUE_DT")</f>
        <v>#N/A Requesting Data...</v>
      </c>
      <c r="I939" t="str">
        <f>_xll.BDS("266425BC Muni","MUNI_PURPOSE_SCHED", "aggregate=y")</f>
        <v>#N/A Requesting Data...</v>
      </c>
      <c r="J939" t="str">
        <f>_xll.BDP("266425BC Muni","CPN")</f>
        <v>#N/A Requesting Data...</v>
      </c>
      <c r="K939" t="str">
        <f>_xll.BDP("266425BC Muni","MATURITY")</f>
        <v>#N/A Requesting Data...</v>
      </c>
      <c r="L939">
        <v>40000</v>
      </c>
      <c r="M939" t="str">
        <f>_xll.BDP("266425BC Muni","YIELD_ON_ISSUE_DATE")</f>
        <v>#N/A Requesting Data...</v>
      </c>
      <c r="N939" t="str">
        <f>_xll.BDP("266425BC Muni","YTW_SPREAD_TO_MATURITY_AT_ISSU")</f>
        <v>#N/A Requesting Data...</v>
      </c>
      <c r="O939" t="str">
        <f>_xll.BDP("266425BC Muni","BVAL_MID_YTM")</f>
        <v>#N/A Requesting Data...</v>
      </c>
      <c r="P939" t="str">
        <f>_xll.BDP("266425BC Muni","MUNI_TAX_PROV")</f>
        <v>#N/A Requesting Data...</v>
      </c>
      <c r="Q939" t="str">
        <f>_xll.BDP("266425BC Muni","MUNI_FED_TAX")</f>
        <v>#N/A Requesting Data...</v>
      </c>
      <c r="R939" t="str">
        <f>_xll.BDP("266425BC Muni","MUNI_MSRB_VOLUME")</f>
        <v>#N/A Requesting Data...</v>
      </c>
      <c r="S939" t="str">
        <f>_xll.BDP("266425BC Muni","BB_COMPOSITE")</f>
        <v>#N/A Requesting Data...</v>
      </c>
      <c r="T939" t="str">
        <f>_xll.BDP("266425BC Muni","LQA_LIQUIDITY_SCORE")</f>
        <v>#N/A Requesting Data...</v>
      </c>
    </row>
    <row r="940" spans="1:20" x14ac:dyDescent="0.25">
      <c r="A940" t="str">
        <f>_xll.BDP("266425BD Muni","ID_CUSIP")</f>
        <v>#N/A Requesting Data...</v>
      </c>
      <c r="B940" t="s">
        <v>259</v>
      </c>
      <c r="C940" t="str">
        <f>_xll.BDP("266425BD Muni","INSURANCE_STATUS")</f>
        <v>#N/A Requesting Data...</v>
      </c>
      <c r="D940" t="str">
        <f>_xll.BDP("266425BD Muni","STATE_CODE")</f>
        <v>#N/A Requesting Data...</v>
      </c>
      <c r="E940" t="str">
        <f>_xll.BDP("266425BD Muni","COUNTY_LOCATION_ISSUER")</f>
        <v>#N/A Requesting Data...</v>
      </c>
      <c r="F940" t="str">
        <f>_xll.BDP("266425BD Muni","DUR_ADJ_MID")</f>
        <v>#N/A Requesting Data...</v>
      </c>
      <c r="G940" t="str">
        <f>_xll.BDP("266425BD Muni","SPREAD_AT_ISSUANCE_TO_WORST")</f>
        <v>#N/A Requesting Data...</v>
      </c>
      <c r="H940" t="str">
        <f>_xll.BDP("266425BD Muni","ISSUE_DT")</f>
        <v>#N/A Requesting Data...</v>
      </c>
      <c r="I940" t="str">
        <f>_xll.BDS("266425BD Muni","MUNI_PURPOSE_SCHED", "aggregate=y")</f>
        <v>#N/A Requesting Data...</v>
      </c>
      <c r="J940" t="str">
        <f>_xll.BDP("266425BD Muni","CPN")</f>
        <v>#N/A Requesting Data...</v>
      </c>
      <c r="K940" t="str">
        <f>_xll.BDP("266425BD Muni","MATURITY")</f>
        <v>#N/A Requesting Data...</v>
      </c>
      <c r="L940">
        <v>40000</v>
      </c>
      <c r="M940" t="str">
        <f>_xll.BDP("266425BD Muni","YIELD_ON_ISSUE_DATE")</f>
        <v>#N/A Requesting Data...</v>
      </c>
      <c r="N940" t="str">
        <f>_xll.BDP("266425BD Muni","YTW_SPREAD_TO_MATURITY_AT_ISSU")</f>
        <v>#N/A Requesting Data...</v>
      </c>
      <c r="O940" t="str">
        <f>_xll.BDP("266425BD Muni","BVAL_MID_YTM")</f>
        <v>#N/A Requesting Data...</v>
      </c>
      <c r="P940" t="str">
        <f>_xll.BDP("266425BD Muni","MUNI_TAX_PROV")</f>
        <v>#N/A Requesting Data...</v>
      </c>
      <c r="Q940" t="str">
        <f>_xll.BDP("266425BD Muni","MUNI_FED_TAX")</f>
        <v>#N/A Requesting Data...</v>
      </c>
      <c r="R940" t="str">
        <f>_xll.BDP("266425BD Muni","MUNI_MSRB_VOLUME")</f>
        <v>#N/A Requesting Data...</v>
      </c>
      <c r="S940" t="str">
        <f>_xll.BDP("266425BD Muni","BB_COMPOSITE")</f>
        <v>#N/A Requesting Data...</v>
      </c>
      <c r="T940" t="str">
        <f>_xll.BDP("266425BD Muni","LQA_LIQUIDITY_SCORE")</f>
        <v>#N/A Requesting Data...</v>
      </c>
    </row>
    <row r="941" spans="1:20" x14ac:dyDescent="0.25">
      <c r="A941" t="str">
        <f>_xll.BDP("266425BE Muni","ID_CUSIP")</f>
        <v>#N/A Requesting Data...</v>
      </c>
      <c r="B941" t="s">
        <v>259</v>
      </c>
      <c r="C941" t="str">
        <f>_xll.BDP("266425BE Muni","INSURANCE_STATUS")</f>
        <v>#N/A Requesting Data...</v>
      </c>
      <c r="D941" t="str">
        <f>_xll.BDP("266425BE Muni","STATE_CODE")</f>
        <v>#N/A Requesting Data...</v>
      </c>
      <c r="E941" t="str">
        <f>_xll.BDP("266425BE Muni","COUNTY_LOCATION_ISSUER")</f>
        <v>#N/A Requesting Data...</v>
      </c>
      <c r="F941" t="str">
        <f>_xll.BDP("266425BE Muni","DUR_ADJ_MID")</f>
        <v>#N/A Requesting Data...</v>
      </c>
      <c r="G941" t="str">
        <f>_xll.BDP("266425BE Muni","SPREAD_AT_ISSUANCE_TO_WORST")</f>
        <v>#N/A Requesting Data...</v>
      </c>
      <c r="H941" t="str">
        <f>_xll.BDP("266425BE Muni","ISSUE_DT")</f>
        <v>#N/A Requesting Data...</v>
      </c>
      <c r="I941" t="str">
        <f>_xll.BDS("266425BE Muni","MUNI_PURPOSE_SCHED", "aggregate=y")</f>
        <v>#N/A Requesting Data...</v>
      </c>
      <c r="J941" t="str">
        <f>_xll.BDP("266425BE Muni","CPN")</f>
        <v>#N/A Requesting Data...</v>
      </c>
      <c r="K941" t="str">
        <f>_xll.BDP("266425BE Muni","MATURITY")</f>
        <v>#N/A Requesting Data...</v>
      </c>
      <c r="L941">
        <v>40000</v>
      </c>
      <c r="M941" t="str">
        <f>_xll.BDP("266425BE Muni","YIELD_ON_ISSUE_DATE")</f>
        <v>#N/A Requesting Data...</v>
      </c>
      <c r="N941" t="str">
        <f>_xll.BDP("266425BE Muni","YTW_SPREAD_TO_MATURITY_AT_ISSU")</f>
        <v>#N/A Requesting Data...</v>
      </c>
      <c r="O941" t="str">
        <f>_xll.BDP("266425BE Muni","BVAL_MID_YTM")</f>
        <v>#N/A Requesting Data...</v>
      </c>
      <c r="P941" t="str">
        <f>_xll.BDP("266425BE Muni","MUNI_TAX_PROV")</f>
        <v>#N/A Requesting Data...</v>
      </c>
      <c r="Q941" t="str">
        <f>_xll.BDP("266425BE Muni","MUNI_FED_TAX")</f>
        <v>#N/A Requesting Data...</v>
      </c>
      <c r="R941" t="str">
        <f>_xll.BDP("266425BE Muni","MUNI_MSRB_VOLUME")</f>
        <v>#N/A Requesting Data...</v>
      </c>
      <c r="S941" t="str">
        <f>_xll.BDP("266425BE Muni","BB_COMPOSITE")</f>
        <v>#N/A Requesting Data...</v>
      </c>
      <c r="T941" t="str">
        <f>_xll.BDP("266425BE Muni","LQA_LIQUIDITY_SCORE")</f>
        <v>#N/A Requesting Data...</v>
      </c>
    </row>
    <row r="942" spans="1:20" x14ac:dyDescent="0.25">
      <c r="A942" t="str">
        <f>_xll.BDP("413844CH Muni","ID_CUSIP")</f>
        <v>#N/A Requesting Data...</v>
      </c>
      <c r="B942" t="s">
        <v>260</v>
      </c>
      <c r="C942" t="str">
        <f>_xll.BDP("413844CH Muni","INSURANCE_STATUS")</f>
        <v>#N/A Requesting Data...</v>
      </c>
      <c r="D942" t="str">
        <f>_xll.BDP("413844CH Muni","STATE_CODE")</f>
        <v>#N/A Requesting Data...</v>
      </c>
      <c r="E942" t="str">
        <f>_xll.BDP("413844CH Muni","COUNTY_LOCATION_ISSUER")</f>
        <v>#N/A Requesting Data...</v>
      </c>
      <c r="F942" t="str">
        <f>_xll.BDP("413844CH Muni","DUR_ADJ_MID")</f>
        <v>#N/A Requesting Data...</v>
      </c>
      <c r="G942" t="str">
        <f>_xll.BDP("413844CH Muni","SPREAD_AT_ISSUANCE_TO_WORST")</f>
        <v>#N/A Requesting Data...</v>
      </c>
      <c r="H942" t="str">
        <f>_xll.BDP("413844CH Muni","ISSUE_DT")</f>
        <v>#N/A Requesting Data...</v>
      </c>
      <c r="I942" t="str">
        <f>_xll.BDS("413844CH Muni","MUNI_PURPOSE_SCHED", "aggregate=y")</f>
        <v>#N/A Requesting Data...</v>
      </c>
      <c r="J942" t="str">
        <f>_xll.BDP("413844CH Muni","CPN")</f>
        <v>#N/A Requesting Data...</v>
      </c>
      <c r="K942" t="str">
        <f>_xll.BDP("413844CH Muni","MATURITY")</f>
        <v>#N/A Requesting Data...</v>
      </c>
      <c r="L942">
        <v>345000</v>
      </c>
      <c r="M942" t="str">
        <f>_xll.BDP("413844CH Muni","YIELD_ON_ISSUE_DATE")</f>
        <v>#N/A Requesting Data...</v>
      </c>
      <c r="N942" t="str">
        <f>_xll.BDP("413844CH Muni","YTW_SPREAD_TO_MATURITY_AT_ISSU")</f>
        <v>#N/A Requesting Data...</v>
      </c>
      <c r="O942" t="str">
        <f>_xll.BDP("413844CH Muni","BVAL_MID_YTM")</f>
        <v>#N/A Requesting Data...</v>
      </c>
      <c r="P942" t="str">
        <f>_xll.BDP("413844CH Muni","MUNI_TAX_PROV")</f>
        <v>#N/A Requesting Data...</v>
      </c>
      <c r="Q942" t="str">
        <f>_xll.BDP("413844CH Muni","MUNI_FED_TAX")</f>
        <v>#N/A Requesting Data...</v>
      </c>
      <c r="R942" t="str">
        <f>_xll.BDP("413844CH Muni","MUNI_MSRB_VOLUME")</f>
        <v>#N/A Requesting Data...</v>
      </c>
      <c r="S942" t="str">
        <f>_xll.BDP("413844CH Muni","BB_COMPOSITE")</f>
        <v>#N/A Requesting Data...</v>
      </c>
      <c r="T942" t="str">
        <f>_xll.BDP("413844CH Muni","LQA_LIQUIDITY_SCORE")</f>
        <v>#N/A Requesting Data...</v>
      </c>
    </row>
    <row r="943" spans="1:20" x14ac:dyDescent="0.25">
      <c r="A943" t="str">
        <f>_xll.BDP("413844CJ Muni","ID_CUSIP")</f>
        <v>#N/A Requesting Data...</v>
      </c>
      <c r="B943" t="s">
        <v>260</v>
      </c>
      <c r="C943" t="str">
        <f>_xll.BDP("413844CJ Muni","INSURANCE_STATUS")</f>
        <v>#N/A Requesting Data...</v>
      </c>
      <c r="D943" t="str">
        <f>_xll.BDP("413844CJ Muni","STATE_CODE")</f>
        <v>#N/A Requesting Data...</v>
      </c>
      <c r="E943" t="str">
        <f>_xll.BDP("413844CJ Muni","COUNTY_LOCATION_ISSUER")</f>
        <v>#N/A Requesting Data...</v>
      </c>
      <c r="F943" t="str">
        <f>_xll.BDP("413844CJ Muni","DUR_ADJ_MID")</f>
        <v>#N/A Requesting Data...</v>
      </c>
      <c r="G943" t="str">
        <f>_xll.BDP("413844CJ Muni","SPREAD_AT_ISSUANCE_TO_WORST")</f>
        <v>#N/A Requesting Data...</v>
      </c>
      <c r="H943" t="str">
        <f>_xll.BDP("413844CJ Muni","ISSUE_DT")</f>
        <v>#N/A Requesting Data...</v>
      </c>
      <c r="I943" t="str">
        <f>_xll.BDS("413844CJ Muni","MUNI_PURPOSE_SCHED", "aggregate=y")</f>
        <v>#N/A Requesting Data...</v>
      </c>
      <c r="J943" t="str">
        <f>_xll.BDP("413844CJ Muni","CPN")</f>
        <v>#N/A Requesting Data...</v>
      </c>
      <c r="K943" t="str">
        <f>_xll.BDP("413844CJ Muni","MATURITY")</f>
        <v>#N/A Requesting Data...</v>
      </c>
      <c r="L943">
        <v>360000</v>
      </c>
      <c r="M943" t="str">
        <f>_xll.BDP("413844CJ Muni","YIELD_ON_ISSUE_DATE")</f>
        <v>#N/A Requesting Data...</v>
      </c>
      <c r="N943" t="str">
        <f>_xll.BDP("413844CJ Muni","YTW_SPREAD_TO_MATURITY_AT_ISSU")</f>
        <v>#N/A Requesting Data...</v>
      </c>
      <c r="O943" t="str">
        <f>_xll.BDP("413844CJ Muni","BVAL_MID_YTM")</f>
        <v>#N/A Requesting Data...</v>
      </c>
      <c r="P943" t="str">
        <f>_xll.BDP("413844CJ Muni","MUNI_TAX_PROV")</f>
        <v>#N/A Requesting Data...</v>
      </c>
      <c r="Q943" t="str">
        <f>_xll.BDP("413844CJ Muni","MUNI_FED_TAX")</f>
        <v>#N/A Requesting Data...</v>
      </c>
      <c r="R943" t="str">
        <f>_xll.BDP("413844CJ Muni","MUNI_MSRB_VOLUME")</f>
        <v>#N/A Requesting Data...</v>
      </c>
      <c r="S943" t="str">
        <f>_xll.BDP("413844CJ Muni","BB_COMPOSITE")</f>
        <v>#N/A Requesting Data...</v>
      </c>
      <c r="T943" t="str">
        <f>_xll.BDP("413844CJ Muni","LQA_LIQUIDITY_SCORE")</f>
        <v>#N/A Requesting Data...</v>
      </c>
    </row>
    <row r="944" spans="1:20" x14ac:dyDescent="0.25">
      <c r="A944" t="str">
        <f>_xll.BDP("413897NK Muni","ID_CUSIP")</f>
        <v>#N/A Requesting Data...</v>
      </c>
      <c r="B944" t="s">
        <v>261</v>
      </c>
      <c r="C944" t="str">
        <f>_xll.BDP("413897NK Muni","INSURANCE_STATUS")</f>
        <v>#N/A Requesting Data...</v>
      </c>
      <c r="D944" t="str">
        <f>_xll.BDP("413897NK Muni","STATE_CODE")</f>
        <v>#N/A Requesting Data...</v>
      </c>
      <c r="E944" t="str">
        <f>_xll.BDP("413897NK Muni","COUNTY_LOCATION_ISSUER")</f>
        <v>#N/A Requesting Data...</v>
      </c>
      <c r="F944" t="str">
        <f>_xll.BDP("413897NK Muni","DUR_ADJ_MID")</f>
        <v>#N/A Requesting Data...</v>
      </c>
      <c r="G944" t="str">
        <f>_xll.BDP("413897NK Muni","SPREAD_AT_ISSUANCE_TO_WORST")</f>
        <v>#N/A Requesting Data...</v>
      </c>
      <c r="H944" t="str">
        <f>_xll.BDP("413897NK Muni","ISSUE_DT")</f>
        <v>#N/A Requesting Data...</v>
      </c>
      <c r="I944" t="str">
        <f>_xll.BDS("413897NK Muni","MUNI_PURPOSE_SCHED", "aggregate=y")</f>
        <v>#N/A Requesting Data...</v>
      </c>
      <c r="J944" t="str">
        <f>_xll.BDP("413897NK Muni","CPN")</f>
        <v>#N/A Requesting Data...</v>
      </c>
      <c r="K944" t="str">
        <f>_xll.BDP("413897NK Muni","MATURITY")</f>
        <v>#N/A Requesting Data...</v>
      </c>
      <c r="L944">
        <v>90000</v>
      </c>
      <c r="M944" t="str">
        <f>_xll.BDP("413897NK Muni","YIELD_ON_ISSUE_DATE")</f>
        <v>#N/A Requesting Data...</v>
      </c>
      <c r="N944" t="str">
        <f>_xll.BDP("413897NK Muni","YTW_SPREAD_TO_MATURITY_AT_ISSU")</f>
        <v>#N/A Requesting Data...</v>
      </c>
      <c r="O944" t="str">
        <f>_xll.BDP("413897NK Muni","BVAL_MID_YTM")</f>
        <v>#N/A Requesting Data...</v>
      </c>
      <c r="P944" t="str">
        <f>_xll.BDP("413897NK Muni","MUNI_TAX_PROV")</f>
        <v>#N/A Requesting Data...</v>
      </c>
      <c r="Q944" t="str">
        <f>_xll.BDP("413897NK Muni","MUNI_FED_TAX")</f>
        <v>#N/A Requesting Data...</v>
      </c>
      <c r="R944" t="str">
        <f>_xll.BDP("413897NK Muni","MUNI_MSRB_VOLUME")</f>
        <v>#N/A Requesting Data...</v>
      </c>
      <c r="S944" t="str">
        <f>_xll.BDP("413897NK Muni","BB_COMPOSITE")</f>
        <v>#N/A Requesting Data...</v>
      </c>
      <c r="T944" t="str">
        <f>_xll.BDP("413897NK Muni","LQA_LIQUIDITY_SCORE")</f>
        <v>#N/A Requesting Data...</v>
      </c>
    </row>
    <row r="945" spans="1:20" x14ac:dyDescent="0.25">
      <c r="A945" t="str">
        <f>_xll.BDP("413897NL Muni","ID_CUSIP")</f>
        <v>#N/A Requesting Data...</v>
      </c>
      <c r="B945" t="s">
        <v>261</v>
      </c>
      <c r="C945" t="str">
        <f>_xll.BDP("413897NL Muni","INSURANCE_STATUS")</f>
        <v>#N/A Requesting Data...</v>
      </c>
      <c r="D945" t="str">
        <f>_xll.BDP("413897NL Muni","STATE_CODE")</f>
        <v>#N/A Requesting Data...</v>
      </c>
      <c r="E945" t="str">
        <f>_xll.BDP("413897NL Muni","COUNTY_LOCATION_ISSUER")</f>
        <v>#N/A Requesting Data...</v>
      </c>
      <c r="F945" t="str">
        <f>_xll.BDP("413897NL Muni","DUR_ADJ_MID")</f>
        <v>#N/A Requesting Data...</v>
      </c>
      <c r="G945" t="str">
        <f>_xll.BDP("413897NL Muni","SPREAD_AT_ISSUANCE_TO_WORST")</f>
        <v>#N/A Requesting Data...</v>
      </c>
      <c r="H945" t="str">
        <f>_xll.BDP("413897NL Muni","ISSUE_DT")</f>
        <v>#N/A Requesting Data...</v>
      </c>
      <c r="I945" t="str">
        <f>_xll.BDS("413897NL Muni","MUNI_PURPOSE_SCHED", "aggregate=y")</f>
        <v>#N/A Requesting Data...</v>
      </c>
      <c r="J945" t="str">
        <f>_xll.BDP("413897NL Muni","CPN")</f>
        <v>#N/A Requesting Data...</v>
      </c>
      <c r="K945" t="str">
        <f>_xll.BDP("413897NL Muni","MATURITY")</f>
        <v>#N/A Requesting Data...</v>
      </c>
      <c r="L945">
        <v>90000</v>
      </c>
      <c r="M945" t="str">
        <f>_xll.BDP("413897NL Muni","YIELD_ON_ISSUE_DATE")</f>
        <v>#N/A Requesting Data...</v>
      </c>
      <c r="N945" t="str">
        <f>_xll.BDP("413897NL Muni","YTW_SPREAD_TO_MATURITY_AT_ISSU")</f>
        <v>#N/A Requesting Data...</v>
      </c>
      <c r="O945" t="str">
        <f>_xll.BDP("413897NL Muni","BVAL_MID_YTM")</f>
        <v>#N/A Requesting Data...</v>
      </c>
      <c r="P945" t="str">
        <f>_xll.BDP("413897NL Muni","MUNI_TAX_PROV")</f>
        <v>#N/A Requesting Data...</v>
      </c>
      <c r="Q945" t="str">
        <f>_xll.BDP("413897NL Muni","MUNI_FED_TAX")</f>
        <v>#N/A Requesting Data...</v>
      </c>
      <c r="R945" t="str">
        <f>_xll.BDP("413897NL Muni","MUNI_MSRB_VOLUME")</f>
        <v>#N/A Requesting Data...</v>
      </c>
      <c r="S945" t="str">
        <f>_xll.BDP("413897NL Muni","BB_COMPOSITE")</f>
        <v>#N/A Requesting Data...</v>
      </c>
      <c r="T945" t="str">
        <f>_xll.BDP("413897NL Muni","LQA_LIQUIDITY_SCORE")</f>
        <v>#N/A Requesting Data...</v>
      </c>
    </row>
    <row r="946" spans="1:20" x14ac:dyDescent="0.25">
      <c r="A946" t="str">
        <f>_xll.BDP("413897NM Muni","ID_CUSIP")</f>
        <v>#N/A Requesting Data...</v>
      </c>
      <c r="B946" t="s">
        <v>261</v>
      </c>
      <c r="C946" t="str">
        <f>_xll.BDP("413897NM Muni","INSURANCE_STATUS")</f>
        <v>#N/A Requesting Data...</v>
      </c>
      <c r="D946" t="str">
        <f>_xll.BDP("413897NM Muni","STATE_CODE")</f>
        <v>#N/A Requesting Data...</v>
      </c>
      <c r="E946" t="str">
        <f>_xll.BDP("413897NM Muni","COUNTY_LOCATION_ISSUER")</f>
        <v>#N/A Requesting Data...</v>
      </c>
      <c r="F946" t="str">
        <f>_xll.BDP("413897NM Muni","DUR_ADJ_MID")</f>
        <v>#N/A Requesting Data...</v>
      </c>
      <c r="G946" t="str">
        <f>_xll.BDP("413897NM Muni","SPREAD_AT_ISSUANCE_TO_WORST")</f>
        <v>#N/A Requesting Data...</v>
      </c>
      <c r="H946" t="str">
        <f>_xll.BDP("413897NM Muni","ISSUE_DT")</f>
        <v>#N/A Requesting Data...</v>
      </c>
      <c r="I946" t="str">
        <f>_xll.BDS("413897NM Muni","MUNI_PURPOSE_SCHED", "aggregate=y")</f>
        <v>#N/A Requesting Data...</v>
      </c>
      <c r="J946" t="str">
        <f>_xll.BDP("413897NM Muni","CPN")</f>
        <v>#N/A Requesting Data...</v>
      </c>
      <c r="K946" t="str">
        <f>_xll.BDP("413897NM Muni","MATURITY")</f>
        <v>#N/A Requesting Data...</v>
      </c>
      <c r="L946">
        <v>95000</v>
      </c>
      <c r="M946" t="str">
        <f>_xll.BDP("413897NM Muni","YIELD_ON_ISSUE_DATE")</f>
        <v>#N/A Requesting Data...</v>
      </c>
      <c r="N946" t="str">
        <f>_xll.BDP("413897NM Muni","YTW_SPREAD_TO_MATURITY_AT_ISSU")</f>
        <v>#N/A Requesting Data...</v>
      </c>
      <c r="O946" t="str">
        <f>_xll.BDP("413897NM Muni","BVAL_MID_YTM")</f>
        <v>#N/A Requesting Data...</v>
      </c>
      <c r="P946" t="str">
        <f>_xll.BDP("413897NM Muni","MUNI_TAX_PROV")</f>
        <v>#N/A Requesting Data...</v>
      </c>
      <c r="Q946" t="str">
        <f>_xll.BDP("413897NM Muni","MUNI_FED_TAX")</f>
        <v>#N/A Requesting Data...</v>
      </c>
      <c r="R946" t="str">
        <f>_xll.BDP("413897NM Muni","MUNI_MSRB_VOLUME")</f>
        <v>#N/A Requesting Data...</v>
      </c>
      <c r="S946" t="str">
        <f>_xll.BDP("413897NM Muni","BB_COMPOSITE")</f>
        <v>#N/A Requesting Data...</v>
      </c>
      <c r="T946" t="str">
        <f>_xll.BDP("413897NM Muni","LQA_LIQUIDITY_SCORE")</f>
        <v>#N/A Requesting Data...</v>
      </c>
    </row>
    <row r="947" spans="1:20" x14ac:dyDescent="0.25">
      <c r="A947" t="str">
        <f>_xll.BDP("413897NN Muni","ID_CUSIP")</f>
        <v>#N/A Requesting Data...</v>
      </c>
      <c r="B947" t="s">
        <v>261</v>
      </c>
      <c r="C947" t="str">
        <f>_xll.BDP("413897NN Muni","INSURANCE_STATUS")</f>
        <v>#N/A Requesting Data...</v>
      </c>
      <c r="D947" t="str">
        <f>_xll.BDP("413897NN Muni","STATE_CODE")</f>
        <v>#N/A Requesting Data...</v>
      </c>
      <c r="E947" t="str">
        <f>_xll.BDP("413897NN Muni","COUNTY_LOCATION_ISSUER")</f>
        <v>#N/A Requesting Data...</v>
      </c>
      <c r="F947" t="str">
        <f>_xll.BDP("413897NN Muni","DUR_ADJ_MID")</f>
        <v>#N/A Requesting Data...</v>
      </c>
      <c r="G947" t="str">
        <f>_xll.BDP("413897NN Muni","SPREAD_AT_ISSUANCE_TO_WORST")</f>
        <v>#N/A Requesting Data...</v>
      </c>
      <c r="H947" t="str">
        <f>_xll.BDP("413897NN Muni","ISSUE_DT")</f>
        <v>#N/A Requesting Data...</v>
      </c>
      <c r="I947" t="str">
        <f>_xll.BDS("413897NN Muni","MUNI_PURPOSE_SCHED", "aggregate=y")</f>
        <v>#N/A Requesting Data...</v>
      </c>
      <c r="J947" t="str">
        <f>_xll.BDP("413897NN Muni","CPN")</f>
        <v>#N/A Requesting Data...</v>
      </c>
      <c r="K947" t="str">
        <f>_xll.BDP("413897NN Muni","MATURITY")</f>
        <v>#N/A Requesting Data...</v>
      </c>
      <c r="L947">
        <v>95000</v>
      </c>
      <c r="M947" t="str">
        <f>_xll.BDP("413897NN Muni","YIELD_ON_ISSUE_DATE")</f>
        <v>#N/A Requesting Data...</v>
      </c>
      <c r="N947" t="str">
        <f>_xll.BDP("413897NN Muni","YTW_SPREAD_TO_MATURITY_AT_ISSU")</f>
        <v>#N/A Requesting Data...</v>
      </c>
      <c r="O947" t="str">
        <f>_xll.BDP("413897NN Muni","BVAL_MID_YTM")</f>
        <v>#N/A Requesting Data...</v>
      </c>
      <c r="P947" t="str">
        <f>_xll.BDP("413897NN Muni","MUNI_TAX_PROV")</f>
        <v>#N/A Requesting Data...</v>
      </c>
      <c r="Q947" t="str">
        <f>_xll.BDP("413897NN Muni","MUNI_FED_TAX")</f>
        <v>#N/A Requesting Data...</v>
      </c>
      <c r="R947" t="str">
        <f>_xll.BDP("413897NN Muni","MUNI_MSRB_VOLUME")</f>
        <v>#N/A Requesting Data...</v>
      </c>
      <c r="S947" t="str">
        <f>_xll.BDP("413897NN Muni","BB_COMPOSITE")</f>
        <v>#N/A Requesting Data...</v>
      </c>
      <c r="T947" t="str">
        <f>_xll.BDP("413897NN Muni","LQA_LIQUIDITY_SCORE")</f>
        <v>#N/A Requesting Data...</v>
      </c>
    </row>
    <row r="948" spans="1:20" x14ac:dyDescent="0.25">
      <c r="A948" t="str">
        <f>_xll.BDP("413948UK Muni","ID_CUSIP")</f>
        <v>#N/A Requesting Data...</v>
      </c>
      <c r="B948" t="s">
        <v>262</v>
      </c>
      <c r="C948" t="str">
        <f>_xll.BDP("413948UK Muni","INSURANCE_STATUS")</f>
        <v>#N/A Requesting Data...</v>
      </c>
      <c r="D948" t="str">
        <f>_xll.BDP("413948UK Muni","STATE_CODE")</f>
        <v>#N/A Requesting Data...</v>
      </c>
      <c r="E948" t="str">
        <f>_xll.BDP("413948UK Muni","COUNTY_LOCATION_ISSUER")</f>
        <v>#N/A Requesting Data...</v>
      </c>
      <c r="F948" t="str">
        <f>_xll.BDP("413948UK Muni","DUR_ADJ_MID")</f>
        <v>#N/A Requesting Data...</v>
      </c>
      <c r="G948" t="str">
        <f>_xll.BDP("413948UK Muni","SPREAD_AT_ISSUANCE_TO_WORST")</f>
        <v>#N/A Requesting Data...</v>
      </c>
      <c r="H948" t="str">
        <f>_xll.BDP("413948UK Muni","ISSUE_DT")</f>
        <v>#N/A Requesting Data...</v>
      </c>
      <c r="I948" t="str">
        <f>_xll.BDS("413948UK Muni","MUNI_PURPOSE_SCHED", "aggregate=y")</f>
        <v>#N/A Requesting Data...</v>
      </c>
      <c r="J948" t="str">
        <f>_xll.BDP("413948UK Muni","CPN")</f>
        <v>#N/A Requesting Data...</v>
      </c>
      <c r="K948" t="str">
        <f>_xll.BDP("413948UK Muni","MATURITY")</f>
        <v>#N/A Requesting Data...</v>
      </c>
      <c r="L948">
        <v>25000</v>
      </c>
      <c r="M948" t="str">
        <f>_xll.BDP("413948UK Muni","YIELD_ON_ISSUE_DATE")</f>
        <v>#N/A Requesting Data...</v>
      </c>
      <c r="N948" t="str">
        <f>_xll.BDP("413948UK Muni","YTW_SPREAD_TO_MATURITY_AT_ISSU")</f>
        <v>#N/A Requesting Data...</v>
      </c>
      <c r="O948" t="str">
        <f>_xll.BDP("413948UK Muni","BVAL_MID_YTM")</f>
        <v>#N/A Requesting Data...</v>
      </c>
      <c r="P948" t="str">
        <f>_xll.BDP("413948UK Muni","MUNI_TAX_PROV")</f>
        <v>#N/A Requesting Data...</v>
      </c>
      <c r="Q948" t="str">
        <f>_xll.BDP("413948UK Muni","MUNI_FED_TAX")</f>
        <v>#N/A Requesting Data...</v>
      </c>
      <c r="R948" t="str">
        <f>_xll.BDP("413948UK Muni","MUNI_MSRB_VOLUME")</f>
        <v>#N/A Requesting Data...</v>
      </c>
      <c r="S948" t="str">
        <f>_xll.BDP("413948UK Muni","BB_COMPOSITE")</f>
        <v>#N/A Requesting Data...</v>
      </c>
      <c r="T948" t="str">
        <f>_xll.BDP("413948UK Muni","LQA_LIQUIDITY_SCORE")</f>
        <v>#N/A Requesting Data...</v>
      </c>
    </row>
    <row r="949" spans="1:20" x14ac:dyDescent="0.25">
      <c r="A949" t="str">
        <f>_xll.BDP("413948UL Muni","ID_CUSIP")</f>
        <v>#N/A Requesting Data...</v>
      </c>
      <c r="B949" t="s">
        <v>262</v>
      </c>
      <c r="C949" t="str">
        <f>_xll.BDP("413948UL Muni","INSURANCE_STATUS")</f>
        <v>#N/A Requesting Data...</v>
      </c>
      <c r="D949" t="str">
        <f>_xll.BDP("413948UL Muni","STATE_CODE")</f>
        <v>#N/A Requesting Data...</v>
      </c>
      <c r="E949" t="str">
        <f>_xll.BDP("413948UL Muni","COUNTY_LOCATION_ISSUER")</f>
        <v>#N/A Requesting Data...</v>
      </c>
      <c r="F949" t="str">
        <f>_xll.BDP("413948UL Muni","DUR_ADJ_MID")</f>
        <v>#N/A Requesting Data...</v>
      </c>
      <c r="G949" t="str">
        <f>_xll.BDP("413948UL Muni","SPREAD_AT_ISSUANCE_TO_WORST")</f>
        <v>#N/A Requesting Data...</v>
      </c>
      <c r="H949" t="str">
        <f>_xll.BDP("413948UL Muni","ISSUE_DT")</f>
        <v>#N/A Requesting Data...</v>
      </c>
      <c r="I949" t="str">
        <f>_xll.BDS("413948UL Muni","MUNI_PURPOSE_SCHED", "aggregate=y")</f>
        <v>#N/A Requesting Data...</v>
      </c>
      <c r="J949" t="str">
        <f>_xll.BDP("413948UL Muni","CPN")</f>
        <v>#N/A Requesting Data...</v>
      </c>
      <c r="K949" t="str">
        <f>_xll.BDP("413948UL Muni","MATURITY")</f>
        <v>#N/A Requesting Data...</v>
      </c>
      <c r="L949">
        <v>25000</v>
      </c>
      <c r="M949" t="str">
        <f>_xll.BDP("413948UL Muni","YIELD_ON_ISSUE_DATE")</f>
        <v>#N/A Requesting Data...</v>
      </c>
      <c r="N949" t="str">
        <f>_xll.BDP("413948UL Muni","YTW_SPREAD_TO_MATURITY_AT_ISSU")</f>
        <v>#N/A Requesting Data...</v>
      </c>
      <c r="O949" t="str">
        <f>_xll.BDP("413948UL Muni","BVAL_MID_YTM")</f>
        <v>#N/A Requesting Data...</v>
      </c>
      <c r="P949" t="str">
        <f>_xll.BDP("413948UL Muni","MUNI_TAX_PROV")</f>
        <v>#N/A Requesting Data...</v>
      </c>
      <c r="Q949" t="str">
        <f>_xll.BDP("413948UL Muni","MUNI_FED_TAX")</f>
        <v>#N/A Requesting Data...</v>
      </c>
      <c r="R949" t="str">
        <f>_xll.BDP("413948UL Muni","MUNI_MSRB_VOLUME")</f>
        <v>#N/A Requesting Data...</v>
      </c>
      <c r="S949" t="str">
        <f>_xll.BDP("413948UL Muni","BB_COMPOSITE")</f>
        <v>#N/A Requesting Data...</v>
      </c>
      <c r="T949" t="str">
        <f>_xll.BDP("413948UL Muni","LQA_LIQUIDITY_SCORE")</f>
        <v>#N/A Requesting Data...</v>
      </c>
    </row>
    <row r="950" spans="1:20" x14ac:dyDescent="0.25">
      <c r="A950" t="str">
        <f>_xll.BDP("413957PZ Muni","ID_CUSIP")</f>
        <v>#N/A Requesting Data...</v>
      </c>
      <c r="B950" t="s">
        <v>263</v>
      </c>
      <c r="C950" t="str">
        <f>_xll.BDP("413957PZ Muni","INSURANCE_STATUS")</f>
        <v>#N/A Requesting Data...</v>
      </c>
      <c r="D950" t="str">
        <f>_xll.BDP("413957PZ Muni","STATE_CODE")</f>
        <v>#N/A Requesting Data...</v>
      </c>
      <c r="E950" t="str">
        <f>_xll.BDP("413957PZ Muni","COUNTY_LOCATION_ISSUER")</f>
        <v>#N/A Requesting Data...</v>
      </c>
      <c r="F950" t="str">
        <f>_xll.BDP("413957PZ Muni","DUR_ADJ_MID")</f>
        <v>#N/A Requesting Data...</v>
      </c>
      <c r="G950" t="str">
        <f>_xll.BDP("413957PZ Muni","SPREAD_AT_ISSUANCE_TO_WORST")</f>
        <v>#N/A Requesting Data...</v>
      </c>
      <c r="H950" t="str">
        <f>_xll.BDP("413957PZ Muni","ISSUE_DT")</f>
        <v>#N/A Requesting Data...</v>
      </c>
      <c r="I950" t="str">
        <f>_xll.BDS("413957PZ Muni","MUNI_PURPOSE_SCHED", "aggregate=y")</f>
        <v>#N/A Requesting Data...</v>
      </c>
      <c r="J950" t="str">
        <f>_xll.BDP("413957PZ Muni","CPN")</f>
        <v>#N/A Requesting Data...</v>
      </c>
      <c r="K950" t="str">
        <f>_xll.BDP("413957PZ Muni","MATURITY")</f>
        <v>#N/A Requesting Data...</v>
      </c>
      <c r="L950">
        <v>180000</v>
      </c>
      <c r="M950" t="str">
        <f>_xll.BDP("413957PZ Muni","YIELD_ON_ISSUE_DATE")</f>
        <v>#N/A Requesting Data...</v>
      </c>
      <c r="N950" t="str">
        <f>_xll.BDP("413957PZ Muni","YTW_SPREAD_TO_MATURITY_AT_ISSU")</f>
        <v>#N/A Requesting Data...</v>
      </c>
      <c r="O950" t="str">
        <f>_xll.BDP("413957PZ Muni","BVAL_MID_YTM")</f>
        <v>#N/A Requesting Data...</v>
      </c>
      <c r="P950" t="str">
        <f>_xll.BDP("413957PZ Muni","MUNI_TAX_PROV")</f>
        <v>#N/A Requesting Data...</v>
      </c>
      <c r="Q950" t="str">
        <f>_xll.BDP("413957PZ Muni","MUNI_FED_TAX")</f>
        <v>#N/A Requesting Data...</v>
      </c>
      <c r="R950" t="str">
        <f>_xll.BDP("413957PZ Muni","MUNI_MSRB_VOLUME")</f>
        <v>#N/A Requesting Data...</v>
      </c>
      <c r="S950" t="str">
        <f>_xll.BDP("413957PZ Muni","BB_COMPOSITE")</f>
        <v>#N/A Requesting Data...</v>
      </c>
      <c r="T950" t="str">
        <f>_xll.BDP("413957PZ Muni","LQA_LIQUIDITY_SCORE")</f>
        <v>#N/A Requesting Data...</v>
      </c>
    </row>
    <row r="951" spans="1:20" x14ac:dyDescent="0.25">
      <c r="A951" t="str">
        <f>_xll.BDP("413957QA Muni","ID_CUSIP")</f>
        <v>#N/A Requesting Data...</v>
      </c>
      <c r="B951" t="s">
        <v>263</v>
      </c>
      <c r="C951" t="str">
        <f>_xll.BDP("413957QA Muni","INSURANCE_STATUS")</f>
        <v>#N/A Requesting Data...</v>
      </c>
      <c r="D951" t="str">
        <f>_xll.BDP("413957QA Muni","STATE_CODE")</f>
        <v>#N/A Requesting Data...</v>
      </c>
      <c r="E951" t="str">
        <f>_xll.BDP("413957QA Muni","COUNTY_LOCATION_ISSUER")</f>
        <v>#N/A Requesting Data...</v>
      </c>
      <c r="F951" t="str">
        <f>_xll.BDP("413957QA Muni","DUR_ADJ_MID")</f>
        <v>#N/A Requesting Data...</v>
      </c>
      <c r="G951" t="str">
        <f>_xll.BDP("413957QA Muni","SPREAD_AT_ISSUANCE_TO_WORST")</f>
        <v>#N/A Requesting Data...</v>
      </c>
      <c r="H951" t="str">
        <f>_xll.BDP("413957QA Muni","ISSUE_DT")</f>
        <v>#N/A Requesting Data...</v>
      </c>
      <c r="I951" t="str">
        <f>_xll.BDS("413957QA Muni","MUNI_PURPOSE_SCHED", "aggregate=y")</f>
        <v>#N/A Requesting Data...</v>
      </c>
      <c r="J951" t="str">
        <f>_xll.BDP("413957QA Muni","CPN")</f>
        <v>#N/A Requesting Data...</v>
      </c>
      <c r="K951" t="str">
        <f>_xll.BDP("413957QA Muni","MATURITY")</f>
        <v>#N/A Requesting Data...</v>
      </c>
      <c r="L951">
        <v>180000</v>
      </c>
      <c r="M951" t="str">
        <f>_xll.BDP("413957QA Muni","YIELD_ON_ISSUE_DATE")</f>
        <v>#N/A Requesting Data...</v>
      </c>
      <c r="N951" t="str">
        <f>_xll.BDP("413957QA Muni","YTW_SPREAD_TO_MATURITY_AT_ISSU")</f>
        <v>#N/A Requesting Data...</v>
      </c>
      <c r="O951" t="str">
        <f>_xll.BDP("413957QA Muni","BVAL_MID_YTM")</f>
        <v>#N/A Requesting Data...</v>
      </c>
      <c r="P951" t="str">
        <f>_xll.BDP("413957QA Muni","MUNI_TAX_PROV")</f>
        <v>#N/A Requesting Data...</v>
      </c>
      <c r="Q951" t="str">
        <f>_xll.BDP("413957QA Muni","MUNI_FED_TAX")</f>
        <v>#N/A Requesting Data...</v>
      </c>
      <c r="R951" t="str">
        <f>_xll.BDP("413957QA Muni","MUNI_MSRB_VOLUME")</f>
        <v>#N/A Requesting Data...</v>
      </c>
      <c r="S951" t="str">
        <f>_xll.BDP("413957QA Muni","BB_COMPOSITE")</f>
        <v>#N/A Requesting Data...</v>
      </c>
      <c r="T951" t="str">
        <f>_xll.BDP("413957QA Muni","LQA_LIQUIDITY_SCORE")</f>
        <v>#N/A Requesting Data...</v>
      </c>
    </row>
    <row r="952" spans="1:20" x14ac:dyDescent="0.25">
      <c r="A952" t="str">
        <f>_xll.BDP("414182BF Muni","ID_CUSIP")</f>
        <v>#N/A Requesting Data...</v>
      </c>
      <c r="B952" t="s">
        <v>264</v>
      </c>
      <c r="C952" t="str">
        <f>_xll.BDP("414182BF Muni","INSURANCE_STATUS")</f>
        <v>#N/A Requesting Data...</v>
      </c>
      <c r="D952" t="str">
        <f>_xll.BDP("414182BF Muni","STATE_CODE")</f>
        <v>#N/A Requesting Data...</v>
      </c>
      <c r="E952" t="str">
        <f>_xll.BDP("414182BF Muni","COUNTY_LOCATION_ISSUER")</f>
        <v>#N/A Requesting Data...</v>
      </c>
      <c r="F952" t="str">
        <f>_xll.BDP("414182BF Muni","DUR_ADJ_MID")</f>
        <v>#N/A Requesting Data...</v>
      </c>
      <c r="G952" t="str">
        <f>_xll.BDP("414182BF Muni","SPREAD_AT_ISSUANCE_TO_WORST")</f>
        <v>#N/A Requesting Data...</v>
      </c>
      <c r="H952" t="str">
        <f>_xll.BDP("414182BF Muni","ISSUE_DT")</f>
        <v>#N/A Requesting Data...</v>
      </c>
      <c r="I952" t="str">
        <f>_xll.BDS("414182BF Muni","MUNI_PURPOSE_SCHED", "aggregate=y")</f>
        <v>#N/A Requesting Data...</v>
      </c>
      <c r="J952" t="str">
        <f>_xll.BDP("414182BF Muni","CPN")</f>
        <v>#N/A Requesting Data...</v>
      </c>
      <c r="K952" t="str">
        <f>_xll.BDP("414182BF Muni","MATURITY")</f>
        <v>#N/A Requesting Data...</v>
      </c>
      <c r="L952">
        <v>45000</v>
      </c>
      <c r="M952" t="str">
        <f>_xll.BDP("414182BF Muni","YIELD_ON_ISSUE_DATE")</f>
        <v>#N/A Requesting Data...</v>
      </c>
      <c r="N952" t="str">
        <f>_xll.BDP("414182BF Muni","YTW_SPREAD_TO_MATURITY_AT_ISSU")</f>
        <v>#N/A Requesting Data...</v>
      </c>
      <c r="O952" t="str">
        <f>_xll.BDP("414182BF Muni","BVAL_MID_YTM")</f>
        <v>#N/A Requesting Data...</v>
      </c>
      <c r="P952" t="str">
        <f>_xll.BDP("414182BF Muni","MUNI_TAX_PROV")</f>
        <v>#N/A Requesting Data...</v>
      </c>
      <c r="Q952" t="str">
        <f>_xll.BDP("414182BF Muni","MUNI_FED_TAX")</f>
        <v>#N/A Requesting Data...</v>
      </c>
      <c r="R952" t="str">
        <f>_xll.BDP("414182BF Muni","MUNI_MSRB_VOLUME")</f>
        <v>#N/A Requesting Data...</v>
      </c>
      <c r="S952" t="str">
        <f>_xll.BDP("414182BF Muni","BB_COMPOSITE")</f>
        <v>#N/A Requesting Data...</v>
      </c>
      <c r="T952" t="str">
        <f>_xll.BDP("414182BF Muni","LQA_LIQUIDITY_SCORE")</f>
        <v>#N/A Requesting Data...</v>
      </c>
    </row>
    <row r="953" spans="1:20" x14ac:dyDescent="0.25">
      <c r="A953" t="str">
        <f>_xll.BDP("41420LNP Muni","ID_CUSIP")</f>
        <v>#N/A Requesting Data...</v>
      </c>
      <c r="B953" t="s">
        <v>265</v>
      </c>
      <c r="C953" t="str">
        <f>_xll.BDP("41420LNP Muni","INSURANCE_STATUS")</f>
        <v>#N/A Requesting Data...</v>
      </c>
      <c r="D953" t="str">
        <f>_xll.BDP("41420LNP Muni","STATE_CODE")</f>
        <v>#N/A Requesting Data...</v>
      </c>
      <c r="E953" t="str">
        <f>_xll.BDP("41420LNP Muni","COUNTY_LOCATION_ISSUER")</f>
        <v>#N/A Requesting Data...</v>
      </c>
      <c r="F953" t="str">
        <f>_xll.BDP("41420LNP Muni","DUR_ADJ_MID")</f>
        <v>#N/A Requesting Data...</v>
      </c>
      <c r="G953" t="str">
        <f>_xll.BDP("41420LNP Muni","SPREAD_AT_ISSUANCE_TO_WORST")</f>
        <v>#N/A Requesting Data...</v>
      </c>
      <c r="H953" t="str">
        <f>_xll.BDP("41420LNP Muni","ISSUE_DT")</f>
        <v>#N/A Requesting Data...</v>
      </c>
      <c r="I953" t="str">
        <f>_xll.BDS("41420LNP Muni","MUNI_PURPOSE_SCHED", "aggregate=y")</f>
        <v>#N/A Requesting Data...</v>
      </c>
      <c r="J953" t="str">
        <f>_xll.BDP("41420LNP Muni","CPN")</f>
        <v>#N/A Requesting Data...</v>
      </c>
      <c r="K953" t="str">
        <f>_xll.BDP("41420LNP Muni","MATURITY")</f>
        <v>#N/A Requesting Data...</v>
      </c>
      <c r="L953">
        <v>100000</v>
      </c>
      <c r="M953" t="str">
        <f>_xll.BDP("41420LNP Muni","YIELD_ON_ISSUE_DATE")</f>
        <v>#N/A Requesting Data...</v>
      </c>
      <c r="N953" t="str">
        <f>_xll.BDP("41420LNP Muni","YTW_SPREAD_TO_MATURITY_AT_ISSU")</f>
        <v>#N/A Requesting Data...</v>
      </c>
      <c r="O953" t="str">
        <f>_xll.BDP("41420LNP Muni","BVAL_MID_YTM")</f>
        <v>#N/A Requesting Data...</v>
      </c>
      <c r="P953" t="str">
        <f>_xll.BDP("41420LNP Muni","MUNI_TAX_PROV")</f>
        <v>#N/A Requesting Data...</v>
      </c>
      <c r="Q953" t="str">
        <f>_xll.BDP("41420LNP Muni","MUNI_FED_TAX")</f>
        <v>#N/A Requesting Data...</v>
      </c>
      <c r="R953" t="str">
        <f>_xll.BDP("41420LNP Muni","MUNI_MSRB_VOLUME")</f>
        <v>#N/A Requesting Data...</v>
      </c>
      <c r="S953" t="str">
        <f>_xll.BDP("41420LNP Muni","BB_COMPOSITE")</f>
        <v>#N/A Requesting Data...</v>
      </c>
      <c r="T953" t="str">
        <f>_xll.BDP("41420LNP Muni","LQA_LIQUIDITY_SCORE")</f>
        <v>#N/A Requesting Data...</v>
      </c>
    </row>
    <row r="954" spans="1:20" x14ac:dyDescent="0.25">
      <c r="A954" t="str">
        <f>_xll.BDP("414214TL Muni","ID_CUSIP")</f>
        <v>#N/A Requesting Data...</v>
      </c>
      <c r="B954" t="s">
        <v>266</v>
      </c>
      <c r="C954" t="str">
        <f>_xll.BDP("414214TL Muni","INSURANCE_STATUS")</f>
        <v>#N/A Requesting Data...</v>
      </c>
      <c r="D954" t="str">
        <f>_xll.BDP("414214TL Muni","STATE_CODE")</f>
        <v>#N/A Requesting Data...</v>
      </c>
      <c r="E954" t="str">
        <f>_xll.BDP("414214TL Muni","COUNTY_LOCATION_ISSUER")</f>
        <v>#N/A Requesting Data...</v>
      </c>
      <c r="F954" t="str">
        <f>_xll.BDP("414214TL Muni","DUR_ADJ_MID")</f>
        <v>#N/A Requesting Data...</v>
      </c>
      <c r="G954" t="str">
        <f>_xll.BDP("414214TL Muni","SPREAD_AT_ISSUANCE_TO_WORST")</f>
        <v>#N/A Requesting Data...</v>
      </c>
      <c r="H954" t="str">
        <f>_xll.BDP("414214TL Muni","ISSUE_DT")</f>
        <v>#N/A Requesting Data...</v>
      </c>
      <c r="I954" t="str">
        <f>_xll.BDS("414214TL Muni","MUNI_PURPOSE_SCHED", "aggregate=y")</f>
        <v>#N/A Requesting Data...</v>
      </c>
      <c r="J954" t="str">
        <f>_xll.BDP("414214TL Muni","CPN")</f>
        <v>#N/A Requesting Data...</v>
      </c>
      <c r="K954" t="str">
        <f>_xll.BDP("414214TL Muni","MATURITY")</f>
        <v>#N/A Requesting Data...</v>
      </c>
      <c r="L954">
        <v>200000</v>
      </c>
      <c r="M954" t="str">
        <f>_xll.BDP("414214TL Muni","YIELD_ON_ISSUE_DATE")</f>
        <v>#N/A Requesting Data...</v>
      </c>
      <c r="N954" t="str">
        <f>_xll.BDP("414214TL Muni","YTW_SPREAD_TO_MATURITY_AT_ISSU")</f>
        <v>#N/A Requesting Data...</v>
      </c>
      <c r="O954" t="str">
        <f>_xll.BDP("414214TL Muni","BVAL_MID_YTM")</f>
        <v>#N/A Requesting Data...</v>
      </c>
      <c r="P954" t="str">
        <f>_xll.BDP("414214TL Muni","MUNI_TAX_PROV")</f>
        <v>#N/A Requesting Data...</v>
      </c>
      <c r="Q954" t="str">
        <f>_xll.BDP("414214TL Muni","MUNI_FED_TAX")</f>
        <v>#N/A Requesting Data...</v>
      </c>
      <c r="R954" t="str">
        <f>_xll.BDP("414214TL Muni","MUNI_MSRB_VOLUME")</f>
        <v>#N/A Requesting Data...</v>
      </c>
      <c r="S954" t="str">
        <f>_xll.BDP("414214TL Muni","BB_COMPOSITE")</f>
        <v>#N/A Requesting Data...</v>
      </c>
      <c r="T954" t="str">
        <f>_xll.BDP("414214TL Muni","LQA_LIQUIDITY_SCORE")</f>
        <v>#N/A Requesting Data...</v>
      </c>
    </row>
    <row r="955" spans="1:20" x14ac:dyDescent="0.25">
      <c r="A955" t="str">
        <f>_xll.BDP("414182BE Muni","ID_CUSIP")</f>
        <v>#N/A Requesting Data...</v>
      </c>
      <c r="B955" t="s">
        <v>264</v>
      </c>
      <c r="C955" t="str">
        <f>_xll.BDP("414182BE Muni","INSURANCE_STATUS")</f>
        <v>#N/A Requesting Data...</v>
      </c>
      <c r="D955" t="str">
        <f>_xll.BDP("414182BE Muni","STATE_CODE")</f>
        <v>#N/A Requesting Data...</v>
      </c>
      <c r="E955" t="str">
        <f>_xll.BDP("414182BE Muni","COUNTY_LOCATION_ISSUER")</f>
        <v>#N/A Requesting Data...</v>
      </c>
      <c r="F955" t="str">
        <f>_xll.BDP("414182BE Muni","DUR_ADJ_MID")</f>
        <v>#N/A Requesting Data...</v>
      </c>
      <c r="G955" t="str">
        <f>_xll.BDP("414182BE Muni","SPREAD_AT_ISSUANCE_TO_WORST")</f>
        <v>#N/A Requesting Data...</v>
      </c>
      <c r="H955" t="str">
        <f>_xll.BDP("414182BE Muni","ISSUE_DT")</f>
        <v>#N/A Requesting Data...</v>
      </c>
      <c r="I955" t="str">
        <f>_xll.BDS("414182BE Muni","MUNI_PURPOSE_SCHED", "aggregate=y")</f>
        <v>#N/A Requesting Data...</v>
      </c>
      <c r="J955" t="str">
        <f>_xll.BDP("414182BE Muni","CPN")</f>
        <v>#N/A Requesting Data...</v>
      </c>
      <c r="K955" t="str">
        <f>_xll.BDP("414182BE Muni","MATURITY")</f>
        <v>#N/A Requesting Data...</v>
      </c>
      <c r="L955">
        <v>45000</v>
      </c>
      <c r="M955" t="str">
        <f>_xll.BDP("414182BE Muni","YIELD_ON_ISSUE_DATE")</f>
        <v>#N/A Requesting Data...</v>
      </c>
      <c r="N955" t="str">
        <f>_xll.BDP("414182BE Muni","YTW_SPREAD_TO_MATURITY_AT_ISSU")</f>
        <v>#N/A Requesting Data...</v>
      </c>
      <c r="O955" t="str">
        <f>_xll.BDP("414182BE Muni","BVAL_MID_YTM")</f>
        <v>#N/A Requesting Data...</v>
      </c>
      <c r="P955" t="str">
        <f>_xll.BDP("414182BE Muni","MUNI_TAX_PROV")</f>
        <v>#N/A Requesting Data...</v>
      </c>
      <c r="Q955" t="str">
        <f>_xll.BDP("414182BE Muni","MUNI_FED_TAX")</f>
        <v>#N/A Requesting Data...</v>
      </c>
      <c r="R955" t="str">
        <f>_xll.BDP("414182BE Muni","MUNI_MSRB_VOLUME")</f>
        <v>#N/A Requesting Data...</v>
      </c>
      <c r="S955" t="str">
        <f>_xll.BDP("414182BE Muni","BB_COMPOSITE")</f>
        <v>#N/A Requesting Data...</v>
      </c>
      <c r="T955" t="str">
        <f>_xll.BDP("414182BE Muni","LQA_LIQUIDITY_SCORE")</f>
        <v>#N/A Requesting Data...</v>
      </c>
    </row>
    <row r="956" spans="1:20" x14ac:dyDescent="0.25">
      <c r="A956" t="str">
        <f>_xll.BDP("41420GJE Muni","ID_CUSIP")</f>
        <v>#N/A Requesting Data...</v>
      </c>
      <c r="B956" t="s">
        <v>267</v>
      </c>
      <c r="C956" t="str">
        <f>_xll.BDP("41420GJE Muni","INSURANCE_STATUS")</f>
        <v>#N/A Requesting Data...</v>
      </c>
      <c r="D956" t="str">
        <f>_xll.BDP("41420GJE Muni","STATE_CODE")</f>
        <v>#N/A Requesting Data...</v>
      </c>
      <c r="E956" t="str">
        <f>_xll.BDP("41420GJE Muni","COUNTY_LOCATION_ISSUER")</f>
        <v>#N/A Requesting Data...</v>
      </c>
      <c r="F956" t="str">
        <f>_xll.BDP("41420GJE Muni","DUR_ADJ_MID")</f>
        <v>#N/A Requesting Data...</v>
      </c>
      <c r="G956" t="str">
        <f>_xll.BDP("41420GJE Muni","SPREAD_AT_ISSUANCE_TO_WORST")</f>
        <v>#N/A Requesting Data...</v>
      </c>
      <c r="H956" t="str">
        <f>_xll.BDP("41420GJE Muni","ISSUE_DT")</f>
        <v>#N/A Requesting Data...</v>
      </c>
      <c r="I956" t="str">
        <f>_xll.BDS("41420GJE Muni","MUNI_PURPOSE_SCHED", "aggregate=y")</f>
        <v>#N/A Requesting Data...</v>
      </c>
      <c r="J956" t="str">
        <f>_xll.BDP("41420GJE Muni","CPN")</f>
        <v>#N/A Requesting Data...</v>
      </c>
      <c r="K956" t="str">
        <f>_xll.BDP("41420GJE Muni","MATURITY")</f>
        <v>#N/A Requesting Data...</v>
      </c>
      <c r="L956">
        <v>850000</v>
      </c>
      <c r="M956" t="str">
        <f>_xll.BDP("41420GJE Muni","YIELD_ON_ISSUE_DATE")</f>
        <v>#N/A Requesting Data...</v>
      </c>
      <c r="N956" t="str">
        <f>_xll.BDP("41420GJE Muni","YTW_SPREAD_TO_MATURITY_AT_ISSU")</f>
        <v>#N/A Requesting Data...</v>
      </c>
      <c r="O956" t="str">
        <f>_xll.BDP("41420GJE Muni","BVAL_MID_YTM")</f>
        <v>#N/A Requesting Data...</v>
      </c>
      <c r="P956" t="str">
        <f>_xll.BDP("41420GJE Muni","MUNI_TAX_PROV")</f>
        <v>#N/A Requesting Data...</v>
      </c>
      <c r="Q956" t="str">
        <f>_xll.BDP("41420GJE Muni","MUNI_FED_TAX")</f>
        <v>#N/A Requesting Data...</v>
      </c>
      <c r="R956" t="str">
        <f>_xll.BDP("41420GJE Muni","MUNI_MSRB_VOLUME")</f>
        <v>#N/A Requesting Data...</v>
      </c>
      <c r="S956" t="str">
        <f>_xll.BDP("41420GJE Muni","BB_COMPOSITE")</f>
        <v>#N/A Requesting Data...</v>
      </c>
      <c r="T956" t="str">
        <f>_xll.BDP("41420GJE Muni","LQA_LIQUIDITY_SCORE")</f>
        <v>#N/A Requesting Data...</v>
      </c>
    </row>
    <row r="957" spans="1:20" x14ac:dyDescent="0.25">
      <c r="A957" t="str">
        <f>_xll.BDP("41420LNQ Muni","ID_CUSIP")</f>
        <v>#N/A Requesting Data...</v>
      </c>
      <c r="B957" t="s">
        <v>265</v>
      </c>
      <c r="C957" t="str">
        <f>_xll.BDP("41420LNQ Muni","INSURANCE_STATUS")</f>
        <v>#N/A Requesting Data...</v>
      </c>
      <c r="D957" t="str">
        <f>_xll.BDP("41420LNQ Muni","STATE_CODE")</f>
        <v>#N/A Requesting Data...</v>
      </c>
      <c r="E957" t="str">
        <f>_xll.BDP("41420LNQ Muni","COUNTY_LOCATION_ISSUER")</f>
        <v>#N/A Requesting Data...</v>
      </c>
      <c r="F957" t="str">
        <f>_xll.BDP("41420LNQ Muni","DUR_ADJ_MID")</f>
        <v>#N/A Requesting Data...</v>
      </c>
      <c r="G957" t="str">
        <f>_xll.BDP("41420LNQ Muni","SPREAD_AT_ISSUANCE_TO_WORST")</f>
        <v>#N/A Requesting Data...</v>
      </c>
      <c r="H957" t="str">
        <f>_xll.BDP("41420LNQ Muni","ISSUE_DT")</f>
        <v>#N/A Requesting Data...</v>
      </c>
      <c r="I957" t="str">
        <f>_xll.BDS("41420LNQ Muni","MUNI_PURPOSE_SCHED", "aggregate=y")</f>
        <v>#N/A Requesting Data...</v>
      </c>
      <c r="J957" t="str">
        <f>_xll.BDP("41420LNQ Muni","CPN")</f>
        <v>#N/A Requesting Data...</v>
      </c>
      <c r="K957" t="str">
        <f>_xll.BDP("41420LNQ Muni","MATURITY")</f>
        <v>#N/A Requesting Data...</v>
      </c>
      <c r="L957">
        <v>100000</v>
      </c>
      <c r="M957" t="str">
        <f>_xll.BDP("41420LNQ Muni","YIELD_ON_ISSUE_DATE")</f>
        <v>#N/A Requesting Data...</v>
      </c>
      <c r="N957" t="str">
        <f>_xll.BDP("41420LNQ Muni","YTW_SPREAD_TO_MATURITY_AT_ISSU")</f>
        <v>#N/A Requesting Data...</v>
      </c>
      <c r="O957" t="str">
        <f>_xll.BDP("41420LNQ Muni","BVAL_MID_YTM")</f>
        <v>#N/A Requesting Data...</v>
      </c>
      <c r="P957" t="str">
        <f>_xll.BDP("41420LNQ Muni","MUNI_TAX_PROV")</f>
        <v>#N/A Requesting Data...</v>
      </c>
      <c r="Q957" t="str">
        <f>_xll.BDP("41420LNQ Muni","MUNI_FED_TAX")</f>
        <v>#N/A Requesting Data...</v>
      </c>
      <c r="R957" t="str">
        <f>_xll.BDP("41420LNQ Muni","MUNI_MSRB_VOLUME")</f>
        <v>#N/A Requesting Data...</v>
      </c>
      <c r="S957" t="str">
        <f>_xll.BDP("41420LNQ Muni","BB_COMPOSITE")</f>
        <v>#N/A Requesting Data...</v>
      </c>
      <c r="T957" t="str">
        <f>_xll.BDP("41420LNQ Muni","LQA_LIQUIDITY_SCORE")</f>
        <v>#N/A Requesting Data...</v>
      </c>
    </row>
    <row r="958" spans="1:20" x14ac:dyDescent="0.25">
      <c r="A958" t="str">
        <f>_xll.BDP("414214TM Muni","ID_CUSIP")</f>
        <v>#N/A Requesting Data...</v>
      </c>
      <c r="B958" t="s">
        <v>266</v>
      </c>
      <c r="C958" t="str">
        <f>_xll.BDP("414214TM Muni","INSURANCE_STATUS")</f>
        <v>#N/A Requesting Data...</v>
      </c>
      <c r="D958" t="str">
        <f>_xll.BDP("414214TM Muni","STATE_CODE")</f>
        <v>#N/A Requesting Data...</v>
      </c>
      <c r="E958" t="str">
        <f>_xll.BDP("414214TM Muni","COUNTY_LOCATION_ISSUER")</f>
        <v>#N/A Requesting Data...</v>
      </c>
      <c r="F958" t="str">
        <f>_xll.BDP("414214TM Muni","DUR_ADJ_MID")</f>
        <v>#N/A Requesting Data...</v>
      </c>
      <c r="G958" t="str">
        <f>_xll.BDP("414214TM Muni","SPREAD_AT_ISSUANCE_TO_WORST")</f>
        <v>#N/A Requesting Data...</v>
      </c>
      <c r="H958" t="str">
        <f>_xll.BDP("414214TM Muni","ISSUE_DT")</f>
        <v>#N/A Requesting Data...</v>
      </c>
      <c r="I958" t="str">
        <f>_xll.BDS("414214TM Muni","MUNI_PURPOSE_SCHED", "aggregate=y")</f>
        <v>#N/A Requesting Data...</v>
      </c>
      <c r="J958" t="str">
        <f>_xll.BDP("414214TM Muni","CPN")</f>
        <v>#N/A Requesting Data...</v>
      </c>
      <c r="K958" t="str">
        <f>_xll.BDP("414214TM Muni","MATURITY")</f>
        <v>#N/A Requesting Data...</v>
      </c>
      <c r="L958">
        <v>200000</v>
      </c>
      <c r="M958" t="str">
        <f>_xll.BDP("414214TM Muni","YIELD_ON_ISSUE_DATE")</f>
        <v>#N/A Requesting Data...</v>
      </c>
      <c r="N958" t="str">
        <f>_xll.BDP("414214TM Muni","YTW_SPREAD_TO_MATURITY_AT_ISSU")</f>
        <v>#N/A Requesting Data...</v>
      </c>
      <c r="O958" t="str">
        <f>_xll.BDP("414214TM Muni","BVAL_MID_YTM")</f>
        <v>#N/A Requesting Data...</v>
      </c>
      <c r="P958" t="str">
        <f>_xll.BDP("414214TM Muni","MUNI_TAX_PROV")</f>
        <v>#N/A Requesting Data...</v>
      </c>
      <c r="Q958" t="str">
        <f>_xll.BDP("414214TM Muni","MUNI_FED_TAX")</f>
        <v>#N/A Requesting Data...</v>
      </c>
      <c r="R958" t="str">
        <f>_xll.BDP("414214TM Muni","MUNI_MSRB_VOLUME")</f>
        <v>#N/A Requesting Data...</v>
      </c>
      <c r="S958" t="str">
        <f>_xll.BDP("414214TM Muni","BB_COMPOSITE")</f>
        <v>#N/A Requesting Data...</v>
      </c>
      <c r="T958" t="str">
        <f>_xll.BDP("414214TM Muni","LQA_LIQUIDITY_SCORE")</f>
        <v>#N/A Requesting Data...</v>
      </c>
    </row>
    <row r="959" spans="1:20" x14ac:dyDescent="0.25">
      <c r="A959" t="str">
        <f>_xll.BDP("41421DYK Muni","ID_CUSIP")</f>
        <v>#N/A Requesting Data...</v>
      </c>
      <c r="B959" t="s">
        <v>198</v>
      </c>
      <c r="C959" t="str">
        <f>_xll.BDP("41421DYK Muni","INSURANCE_STATUS")</f>
        <v>#N/A Requesting Data...</v>
      </c>
      <c r="D959" t="str">
        <f>_xll.BDP("41421DYK Muni","STATE_CODE")</f>
        <v>#N/A Requesting Data...</v>
      </c>
      <c r="E959" t="str">
        <f>_xll.BDP("41421DYK Muni","COUNTY_LOCATION_ISSUER")</f>
        <v>#N/A Requesting Data...</v>
      </c>
      <c r="F959" t="str">
        <f>_xll.BDP("41421DYK Muni","DUR_ADJ_MID")</f>
        <v>#N/A Requesting Data...</v>
      </c>
      <c r="G959" t="str">
        <f>_xll.BDP("41421DYK Muni","SPREAD_AT_ISSUANCE_TO_WORST")</f>
        <v>#N/A Requesting Data...</v>
      </c>
      <c r="H959" t="str">
        <f>_xll.BDP("41421DYK Muni","ISSUE_DT")</f>
        <v>#N/A Requesting Data...</v>
      </c>
      <c r="I959" t="str">
        <f>_xll.BDS("41421DYK Muni","MUNI_PURPOSE_SCHED", "aggregate=y")</f>
        <v>#N/A Requesting Data...</v>
      </c>
      <c r="J959" t="str">
        <f>_xll.BDP("41421DYK Muni","CPN")</f>
        <v>#N/A Requesting Data...</v>
      </c>
      <c r="K959" t="str">
        <f>_xll.BDP("41421DYK Muni","MATURITY")</f>
        <v>#N/A Requesting Data...</v>
      </c>
      <c r="L959">
        <v>170000</v>
      </c>
      <c r="M959" t="str">
        <f>_xll.BDP("41421DYK Muni","YIELD_ON_ISSUE_DATE")</f>
        <v>#N/A Requesting Data...</v>
      </c>
      <c r="N959" t="str">
        <f>_xll.BDP("41421DYK Muni","YTW_SPREAD_TO_MATURITY_AT_ISSU")</f>
        <v>#N/A Requesting Data...</v>
      </c>
      <c r="O959" t="str">
        <f>_xll.BDP("41421DYK Muni","BVAL_MID_YTM")</f>
        <v>#N/A Requesting Data...</v>
      </c>
      <c r="P959" t="str">
        <f>_xll.BDP("41421DYK Muni","MUNI_TAX_PROV")</f>
        <v>#N/A Requesting Data...</v>
      </c>
      <c r="Q959" t="str">
        <f>_xll.BDP("41421DYK Muni","MUNI_FED_TAX")</f>
        <v>#N/A Requesting Data...</v>
      </c>
      <c r="R959" t="str">
        <f>_xll.BDP("41421DYK Muni","MUNI_MSRB_VOLUME")</f>
        <v>#N/A Requesting Data...</v>
      </c>
      <c r="S959" t="str">
        <f>_xll.BDP("41421DYK Muni","BB_COMPOSITE")</f>
        <v>#N/A Requesting Data...</v>
      </c>
      <c r="T959" t="str">
        <f>_xll.BDP("41421DYK Muni","LQA_LIQUIDITY_SCORE")</f>
        <v>#N/A Requesting Data...</v>
      </c>
    </row>
    <row r="960" spans="1:20" x14ac:dyDescent="0.25">
      <c r="A960" t="str">
        <f>_xll.BDP("41421DYM Muni","ID_CUSIP")</f>
        <v>#N/A Requesting Data...</v>
      </c>
      <c r="B960" t="s">
        <v>198</v>
      </c>
      <c r="C960" t="str">
        <f>_xll.BDP("41421DYM Muni","INSURANCE_STATUS")</f>
        <v>#N/A Requesting Data...</v>
      </c>
      <c r="D960" t="str">
        <f>_xll.BDP("41421DYM Muni","STATE_CODE")</f>
        <v>#N/A Requesting Data...</v>
      </c>
      <c r="E960" t="str">
        <f>_xll.BDP("41421DYM Muni","COUNTY_LOCATION_ISSUER")</f>
        <v>#N/A Requesting Data...</v>
      </c>
      <c r="F960" t="str">
        <f>_xll.BDP("41421DYM Muni","DUR_ADJ_MID")</f>
        <v>#N/A Requesting Data...</v>
      </c>
      <c r="G960" t="str">
        <f>_xll.BDP("41421DYM Muni","SPREAD_AT_ISSUANCE_TO_WORST")</f>
        <v>#N/A Requesting Data...</v>
      </c>
      <c r="H960" t="str">
        <f>_xll.BDP("41421DYM Muni","ISSUE_DT")</f>
        <v>#N/A Requesting Data...</v>
      </c>
      <c r="I960" t="str">
        <f>_xll.BDS("41421DYM Muni","MUNI_PURPOSE_SCHED", "aggregate=y")</f>
        <v>#N/A Requesting Data...</v>
      </c>
      <c r="J960" t="str">
        <f>_xll.BDP("41421DYM Muni","CPN")</f>
        <v>#N/A Requesting Data...</v>
      </c>
      <c r="K960" t="str">
        <f>_xll.BDP("41421DYM Muni","MATURITY")</f>
        <v>#N/A Requesting Data...</v>
      </c>
      <c r="L960">
        <v>175000</v>
      </c>
      <c r="M960" t="str">
        <f>_xll.BDP("41421DYM Muni","YIELD_ON_ISSUE_DATE")</f>
        <v>#N/A Requesting Data...</v>
      </c>
      <c r="N960" t="str">
        <f>_xll.BDP("41421DYM Muni","YTW_SPREAD_TO_MATURITY_AT_ISSU")</f>
        <v>#N/A Requesting Data...</v>
      </c>
      <c r="O960" t="str">
        <f>_xll.BDP("41421DYM Muni","BVAL_MID_YTM")</f>
        <v>#N/A Requesting Data...</v>
      </c>
      <c r="P960" t="str">
        <f>_xll.BDP("41421DYM Muni","MUNI_TAX_PROV")</f>
        <v>#N/A Requesting Data...</v>
      </c>
      <c r="Q960" t="str">
        <f>_xll.BDP("41421DYM Muni","MUNI_FED_TAX")</f>
        <v>#N/A Requesting Data...</v>
      </c>
      <c r="R960" t="str">
        <f>_xll.BDP("41421DYM Muni","MUNI_MSRB_VOLUME")</f>
        <v>#N/A Requesting Data...</v>
      </c>
      <c r="S960" t="str">
        <f>_xll.BDP("41421DYM Muni","BB_COMPOSITE")</f>
        <v>#N/A Requesting Data...</v>
      </c>
      <c r="T960" t="str">
        <f>_xll.BDP("41421DYM Muni","LQA_LIQUIDITY_SCORE")</f>
        <v>#N/A Requesting Data...</v>
      </c>
    </row>
    <row r="961" spans="1:20" x14ac:dyDescent="0.25">
      <c r="A961" t="str">
        <f>_xll.BDP("315598EM Muni","ID_CUSIP")</f>
        <v>#N/A Requesting Data...</v>
      </c>
      <c r="B961" t="s">
        <v>199</v>
      </c>
      <c r="C961" t="str">
        <f>_xll.BDP("315598EM Muni","INSURANCE_STATUS")</f>
        <v>#N/A Requesting Data...</v>
      </c>
      <c r="D961" t="str">
        <f>_xll.BDP("315598EM Muni","STATE_CODE")</f>
        <v>#N/A Requesting Data...</v>
      </c>
      <c r="E961" t="str">
        <f>_xll.BDP("315598EM Muni","COUNTY_LOCATION_ISSUER")</f>
        <v>#N/A Requesting Data...</v>
      </c>
      <c r="F961" t="str">
        <f>_xll.BDP("315598EM Muni","DUR_ADJ_MID")</f>
        <v>#N/A Requesting Data...</v>
      </c>
      <c r="G961" t="str">
        <f>_xll.BDP("315598EM Muni","SPREAD_AT_ISSUANCE_TO_WORST")</f>
        <v>#N/A Requesting Data...</v>
      </c>
      <c r="H961" t="str">
        <f>_xll.BDP("315598EM Muni","ISSUE_DT")</f>
        <v>#N/A Requesting Data...</v>
      </c>
      <c r="I961" t="str">
        <f>_xll.BDS("315598EM Muni","MUNI_PURPOSE_SCHED", "aggregate=y")</f>
        <v>#N/A Requesting Data...</v>
      </c>
      <c r="J961" t="str">
        <f>_xll.BDP("315598EM Muni","CPN")</f>
        <v>#N/A Requesting Data...</v>
      </c>
      <c r="K961" t="str">
        <f>_xll.BDP("315598EM Muni","MATURITY")</f>
        <v>#N/A Requesting Data...</v>
      </c>
      <c r="L961">
        <v>75000</v>
      </c>
      <c r="M961" t="str">
        <f>_xll.BDP("315598EM Muni","YIELD_ON_ISSUE_DATE")</f>
        <v>#N/A Requesting Data...</v>
      </c>
      <c r="N961" t="str">
        <f>_xll.BDP("315598EM Muni","YTW_SPREAD_TO_MATURITY_AT_ISSU")</f>
        <v>#N/A Requesting Data...</v>
      </c>
      <c r="O961" t="str">
        <f>_xll.BDP("315598EM Muni","BVAL_MID_YTM")</f>
        <v>#N/A Requesting Data...</v>
      </c>
      <c r="P961" t="str">
        <f>_xll.BDP("315598EM Muni","MUNI_TAX_PROV")</f>
        <v>#N/A Requesting Data...</v>
      </c>
      <c r="Q961" t="str">
        <f>_xll.BDP("315598EM Muni","MUNI_FED_TAX")</f>
        <v>#N/A Requesting Data...</v>
      </c>
      <c r="R961" t="str">
        <f>_xll.BDP("315598EM Muni","MUNI_MSRB_VOLUME")</f>
        <v>#N/A Requesting Data...</v>
      </c>
      <c r="S961" t="str">
        <f>_xll.BDP("315598EM Muni","BB_COMPOSITE")</f>
        <v>#N/A Requesting Data...</v>
      </c>
      <c r="T961" t="str">
        <f>_xll.BDP("315598EM Muni","LQA_LIQUIDITY_SCORE")</f>
        <v>#N/A Requesting Data...</v>
      </c>
    </row>
    <row r="962" spans="1:20" x14ac:dyDescent="0.25">
      <c r="A962" t="str">
        <f>_xll.BDP("41421DZL Muni","ID_CUSIP")</f>
        <v>#N/A Requesting Data...</v>
      </c>
      <c r="B962" t="s">
        <v>198</v>
      </c>
      <c r="C962" t="str">
        <f>_xll.BDP("41421DZL Muni","INSURANCE_STATUS")</f>
        <v>#N/A Requesting Data...</v>
      </c>
      <c r="D962" t="str">
        <f>_xll.BDP("41421DZL Muni","STATE_CODE")</f>
        <v>#N/A Requesting Data...</v>
      </c>
      <c r="E962" t="str">
        <f>_xll.BDP("41421DZL Muni","COUNTY_LOCATION_ISSUER")</f>
        <v>#N/A Requesting Data...</v>
      </c>
      <c r="F962" t="str">
        <f>_xll.BDP("41421DZL Muni","DUR_ADJ_MID")</f>
        <v>#N/A Requesting Data...</v>
      </c>
      <c r="G962" t="str">
        <f>_xll.BDP("41421DZL Muni","SPREAD_AT_ISSUANCE_TO_WORST")</f>
        <v>#N/A Requesting Data...</v>
      </c>
      <c r="H962" t="str">
        <f>_xll.BDP("41421DZL Muni","ISSUE_DT")</f>
        <v>#N/A Requesting Data...</v>
      </c>
      <c r="I962" t="str">
        <f>_xll.BDS("41421DZL Muni","MUNI_PURPOSE_SCHED", "aggregate=y")</f>
        <v>#N/A Requesting Data...</v>
      </c>
      <c r="J962" t="str">
        <f>_xll.BDP("41421DZL Muni","CPN")</f>
        <v>#N/A Requesting Data...</v>
      </c>
      <c r="K962" t="str">
        <f>_xll.BDP("41421DZL Muni","MATURITY")</f>
        <v>#N/A Requesting Data...</v>
      </c>
      <c r="L962">
        <v>50000</v>
      </c>
      <c r="M962" t="str">
        <f>_xll.BDP("41421DZL Muni","YIELD_ON_ISSUE_DATE")</f>
        <v>#N/A Requesting Data...</v>
      </c>
      <c r="N962" t="str">
        <f>_xll.BDP("41421DZL Muni","YTW_SPREAD_TO_MATURITY_AT_ISSU")</f>
        <v>#N/A Requesting Data...</v>
      </c>
      <c r="O962" t="str">
        <f>_xll.BDP("41421DZL Muni","BVAL_MID_YTM")</f>
        <v>#N/A Requesting Data...</v>
      </c>
      <c r="P962" t="str">
        <f>_xll.BDP("41421DZL Muni","MUNI_TAX_PROV")</f>
        <v>#N/A Requesting Data...</v>
      </c>
      <c r="Q962" t="str">
        <f>_xll.BDP("41421DZL Muni","MUNI_FED_TAX")</f>
        <v>#N/A Requesting Data...</v>
      </c>
      <c r="R962" t="str">
        <f>_xll.BDP("41421DZL Muni","MUNI_MSRB_VOLUME")</f>
        <v>#N/A Requesting Data...</v>
      </c>
      <c r="S962" t="str">
        <f>_xll.BDP("41421DZL Muni","BB_COMPOSITE")</f>
        <v>#N/A Requesting Data...</v>
      </c>
      <c r="T962" t="str">
        <f>_xll.BDP("41421DZL Muni","LQA_LIQUIDITY_SCORE")</f>
        <v>#N/A Requesting Data...</v>
      </c>
    </row>
    <row r="963" spans="1:20" x14ac:dyDescent="0.25">
      <c r="A963" t="str">
        <f>_xll.BDP("316608CT Muni","ID_CUSIP")</f>
        <v>#N/A Requesting Data...</v>
      </c>
      <c r="B963" t="s">
        <v>200</v>
      </c>
      <c r="C963" t="str">
        <f>_xll.BDP("316608CT Muni","INSURANCE_STATUS")</f>
        <v>#N/A Requesting Data...</v>
      </c>
      <c r="D963" t="str">
        <f>_xll.BDP("316608CT Muni","STATE_CODE")</f>
        <v>#N/A Requesting Data...</v>
      </c>
      <c r="E963" t="str">
        <f>_xll.BDP("316608CT Muni","COUNTY_LOCATION_ISSUER")</f>
        <v>#N/A Requesting Data...</v>
      </c>
      <c r="F963" t="str">
        <f>_xll.BDP("316608CT Muni","DUR_ADJ_MID")</f>
        <v>#N/A Requesting Data...</v>
      </c>
      <c r="G963" t="str">
        <f>_xll.BDP("316608CT Muni","SPREAD_AT_ISSUANCE_TO_WORST")</f>
        <v>#N/A Requesting Data...</v>
      </c>
      <c r="H963" t="str">
        <f>_xll.BDP("316608CT Muni","ISSUE_DT")</f>
        <v>#N/A Requesting Data...</v>
      </c>
      <c r="I963" t="str">
        <f>_xll.BDS("316608CT Muni","MUNI_PURPOSE_SCHED", "aggregate=y")</f>
        <v>#N/A Requesting Data...</v>
      </c>
      <c r="J963" t="str">
        <f>_xll.BDP("316608CT Muni","CPN")</f>
        <v>#N/A Requesting Data...</v>
      </c>
      <c r="K963" t="str">
        <f>_xll.BDP("316608CT Muni","MATURITY")</f>
        <v>#N/A Requesting Data...</v>
      </c>
      <c r="L963">
        <v>600000</v>
      </c>
      <c r="M963" t="str">
        <f>_xll.BDP("316608CT Muni","YIELD_ON_ISSUE_DATE")</f>
        <v>#N/A Requesting Data...</v>
      </c>
      <c r="N963" t="str">
        <f>_xll.BDP("316608CT Muni","YTW_SPREAD_TO_MATURITY_AT_ISSU")</f>
        <v>#N/A Requesting Data...</v>
      </c>
      <c r="O963" t="str">
        <f>_xll.BDP("316608CT Muni","BVAL_MID_YTM")</f>
        <v>#N/A Requesting Data...</v>
      </c>
      <c r="P963" t="str">
        <f>_xll.BDP("316608CT Muni","MUNI_TAX_PROV")</f>
        <v>#N/A Requesting Data...</v>
      </c>
      <c r="Q963" t="str">
        <f>_xll.BDP("316608CT Muni","MUNI_FED_TAX")</f>
        <v>#N/A Requesting Data...</v>
      </c>
      <c r="R963" t="str">
        <f>_xll.BDP("316608CT Muni","MUNI_MSRB_VOLUME")</f>
        <v>#N/A Requesting Data...</v>
      </c>
      <c r="S963" t="str">
        <f>_xll.BDP("316608CT Muni","BB_COMPOSITE")</f>
        <v>#N/A Requesting Data...</v>
      </c>
      <c r="T963" t="str">
        <f>_xll.BDP("316608CT Muni","LQA_LIQUIDITY_SCORE")</f>
        <v>#N/A Requesting Data...</v>
      </c>
    </row>
    <row r="964" spans="1:20" x14ac:dyDescent="0.25">
      <c r="A964" t="str">
        <f>_xll.BDP("316608CV Muni","ID_CUSIP")</f>
        <v>#N/A Requesting Data...</v>
      </c>
      <c r="B964" t="s">
        <v>200</v>
      </c>
      <c r="C964" t="str">
        <f>_xll.BDP("316608CV Muni","INSURANCE_STATUS")</f>
        <v>#N/A Requesting Data...</v>
      </c>
      <c r="D964" t="str">
        <f>_xll.BDP("316608CV Muni","STATE_CODE")</f>
        <v>#N/A Requesting Data...</v>
      </c>
      <c r="E964" t="str">
        <f>_xll.BDP("316608CV Muni","COUNTY_LOCATION_ISSUER")</f>
        <v>#N/A Requesting Data...</v>
      </c>
      <c r="F964" t="str">
        <f>_xll.BDP("316608CV Muni","DUR_ADJ_MID")</f>
        <v>#N/A Requesting Data...</v>
      </c>
      <c r="G964" t="str">
        <f>_xll.BDP("316608CV Muni","SPREAD_AT_ISSUANCE_TO_WORST")</f>
        <v>#N/A Requesting Data...</v>
      </c>
      <c r="H964" t="str">
        <f>_xll.BDP("316608CV Muni","ISSUE_DT")</f>
        <v>#N/A Requesting Data...</v>
      </c>
      <c r="I964" t="str">
        <f>_xll.BDS("316608CV Muni","MUNI_PURPOSE_SCHED", "aggregate=y")</f>
        <v>#N/A Requesting Data...</v>
      </c>
      <c r="J964" t="str">
        <f>_xll.BDP("316608CV Muni","CPN")</f>
        <v>#N/A Requesting Data...</v>
      </c>
      <c r="K964" t="str">
        <f>_xll.BDP("316608CV Muni","MATURITY")</f>
        <v>#N/A Requesting Data...</v>
      </c>
      <c r="L964">
        <v>445000</v>
      </c>
      <c r="M964" t="str">
        <f>_xll.BDP("316608CV Muni","YIELD_ON_ISSUE_DATE")</f>
        <v>#N/A Requesting Data...</v>
      </c>
      <c r="N964" t="str">
        <f>_xll.BDP("316608CV Muni","YTW_SPREAD_TO_MATURITY_AT_ISSU")</f>
        <v>#N/A Requesting Data...</v>
      </c>
      <c r="O964" t="str">
        <f>_xll.BDP("316608CV Muni","BVAL_MID_YTM")</f>
        <v>#N/A Requesting Data...</v>
      </c>
      <c r="P964" t="str">
        <f>_xll.BDP("316608CV Muni","MUNI_TAX_PROV")</f>
        <v>#N/A Requesting Data...</v>
      </c>
      <c r="Q964" t="str">
        <f>_xll.BDP("316608CV Muni","MUNI_FED_TAX")</f>
        <v>#N/A Requesting Data...</v>
      </c>
      <c r="R964" t="str">
        <f>_xll.BDP("316608CV Muni","MUNI_MSRB_VOLUME")</f>
        <v>#N/A Requesting Data...</v>
      </c>
      <c r="S964" t="str">
        <f>_xll.BDP("316608CV Muni","BB_COMPOSITE")</f>
        <v>#N/A Requesting Data...</v>
      </c>
      <c r="T964" t="str">
        <f>_xll.BDP("316608CV Muni","LQA_LIQUIDITY_SCORE")</f>
        <v>#N/A Requesting Data...</v>
      </c>
    </row>
    <row r="965" spans="1:20" x14ac:dyDescent="0.25">
      <c r="A965" t="str">
        <f>_xll.BDP("316608CX Muni","ID_CUSIP")</f>
        <v>#N/A Requesting Data...</v>
      </c>
      <c r="B965" t="s">
        <v>200</v>
      </c>
      <c r="C965" t="str">
        <f>_xll.BDP("316608CX Muni","INSURANCE_STATUS")</f>
        <v>#N/A Requesting Data...</v>
      </c>
      <c r="D965" t="str">
        <f>_xll.BDP("316608CX Muni","STATE_CODE")</f>
        <v>#N/A Requesting Data...</v>
      </c>
      <c r="E965" t="str">
        <f>_xll.BDP("316608CX Muni","COUNTY_LOCATION_ISSUER")</f>
        <v>#N/A Requesting Data...</v>
      </c>
      <c r="F965" t="str">
        <f>_xll.BDP("316608CX Muni","DUR_ADJ_MID")</f>
        <v>#N/A Requesting Data...</v>
      </c>
      <c r="G965" t="str">
        <f>_xll.BDP("316608CX Muni","SPREAD_AT_ISSUANCE_TO_WORST")</f>
        <v>#N/A Requesting Data...</v>
      </c>
      <c r="H965" t="str">
        <f>_xll.BDP("316608CX Muni","ISSUE_DT")</f>
        <v>#N/A Requesting Data...</v>
      </c>
      <c r="I965" t="str">
        <f>_xll.BDS("316608CX Muni","MUNI_PURPOSE_SCHED", "aggregate=y")</f>
        <v>#N/A Requesting Data...</v>
      </c>
      <c r="J965" t="str">
        <f>_xll.BDP("316608CX Muni","CPN")</f>
        <v>#N/A Requesting Data...</v>
      </c>
      <c r="K965" t="str">
        <f>_xll.BDP("316608CX Muni","MATURITY")</f>
        <v>#N/A Requesting Data...</v>
      </c>
      <c r="L965">
        <v>490000</v>
      </c>
      <c r="M965" t="str">
        <f>_xll.BDP("316608CX Muni","YIELD_ON_ISSUE_DATE")</f>
        <v>#N/A Requesting Data...</v>
      </c>
      <c r="N965" t="str">
        <f>_xll.BDP("316608CX Muni","YTW_SPREAD_TO_MATURITY_AT_ISSU")</f>
        <v>#N/A Requesting Data...</v>
      </c>
      <c r="O965" t="str">
        <f>_xll.BDP("316608CX Muni","BVAL_MID_YTM")</f>
        <v>#N/A Requesting Data...</v>
      </c>
      <c r="P965" t="str">
        <f>_xll.BDP("316608CX Muni","MUNI_TAX_PROV")</f>
        <v>#N/A Requesting Data...</v>
      </c>
      <c r="Q965" t="str">
        <f>_xll.BDP("316608CX Muni","MUNI_FED_TAX")</f>
        <v>#N/A Requesting Data...</v>
      </c>
      <c r="R965" t="str">
        <f>_xll.BDP("316608CX Muni","MUNI_MSRB_VOLUME")</f>
        <v>#N/A Requesting Data...</v>
      </c>
      <c r="S965" t="str">
        <f>_xll.BDP("316608CX Muni","BB_COMPOSITE")</f>
        <v>#N/A Requesting Data...</v>
      </c>
      <c r="T965" t="str">
        <f>_xll.BDP("316608CX Muni","LQA_LIQUIDITY_SCORE")</f>
        <v>#N/A Requesting Data...</v>
      </c>
    </row>
    <row r="966" spans="1:20" x14ac:dyDescent="0.25">
      <c r="A966" t="str">
        <f>_xll.BDP("41421HEE Muni","ID_CUSIP")</f>
        <v>#N/A Requesting Data...</v>
      </c>
      <c r="B966" t="s">
        <v>201</v>
      </c>
      <c r="C966" t="str">
        <f>_xll.BDP("41421HEE Muni","INSURANCE_STATUS")</f>
        <v>#N/A Requesting Data...</v>
      </c>
      <c r="D966" t="str">
        <f>_xll.BDP("41421HEE Muni","STATE_CODE")</f>
        <v>#N/A Requesting Data...</v>
      </c>
      <c r="E966" t="str">
        <f>_xll.BDP("41421HEE Muni","COUNTY_LOCATION_ISSUER")</f>
        <v>#N/A Requesting Data...</v>
      </c>
      <c r="F966" t="str">
        <f>_xll.BDP("41421HEE Muni","DUR_ADJ_MID")</f>
        <v>#N/A Requesting Data...</v>
      </c>
      <c r="G966" t="str">
        <f>_xll.BDP("41421HEE Muni","SPREAD_AT_ISSUANCE_TO_WORST")</f>
        <v>#N/A Requesting Data...</v>
      </c>
      <c r="H966" t="str">
        <f>_xll.BDP("41421HEE Muni","ISSUE_DT")</f>
        <v>#N/A Requesting Data...</v>
      </c>
      <c r="I966" t="str">
        <f>_xll.BDS("41421HEE Muni","MUNI_PURPOSE_SCHED", "aggregate=y")</f>
        <v>#N/A Requesting Data...</v>
      </c>
      <c r="J966" t="str">
        <f>_xll.BDP("41421HEE Muni","CPN")</f>
        <v>#N/A Requesting Data...</v>
      </c>
      <c r="K966" t="str">
        <f>_xll.BDP("41421HEE Muni","MATURITY")</f>
        <v>#N/A Requesting Data...</v>
      </c>
      <c r="L966">
        <v>25000</v>
      </c>
      <c r="M966" t="str">
        <f>_xll.BDP("41421HEE Muni","YIELD_ON_ISSUE_DATE")</f>
        <v>#N/A Requesting Data...</v>
      </c>
      <c r="N966" t="str">
        <f>_xll.BDP("41421HEE Muni","YTW_SPREAD_TO_MATURITY_AT_ISSU")</f>
        <v>#N/A Requesting Data...</v>
      </c>
      <c r="O966" t="str">
        <f>_xll.BDP("41421HEE Muni","BVAL_MID_YTM")</f>
        <v>#N/A Requesting Data...</v>
      </c>
      <c r="P966" t="str">
        <f>_xll.BDP("41421HEE Muni","MUNI_TAX_PROV")</f>
        <v>#N/A Requesting Data...</v>
      </c>
      <c r="Q966" t="str">
        <f>_xll.BDP("41421HEE Muni","MUNI_FED_TAX")</f>
        <v>#N/A Requesting Data...</v>
      </c>
      <c r="R966" t="str">
        <f>_xll.BDP("41421HEE Muni","MUNI_MSRB_VOLUME")</f>
        <v>#N/A Requesting Data...</v>
      </c>
      <c r="S966" t="str">
        <f>_xll.BDP("41421HEE Muni","BB_COMPOSITE")</f>
        <v>#N/A Requesting Data...</v>
      </c>
      <c r="T966" t="str">
        <f>_xll.BDP("41421HEE Muni","LQA_LIQUIDITY_SCORE")</f>
        <v>#N/A Requesting Data...</v>
      </c>
    </row>
    <row r="967" spans="1:20" x14ac:dyDescent="0.25">
      <c r="A967" t="str">
        <f>_xll.BDP("338073ED Muni","ID_CUSIP")</f>
        <v>#N/A Requesting Data...</v>
      </c>
      <c r="B967" t="s">
        <v>204</v>
      </c>
      <c r="C967" t="str">
        <f>_xll.BDP("338073ED Muni","INSURANCE_STATUS")</f>
        <v>#N/A Requesting Data...</v>
      </c>
      <c r="D967" t="str">
        <f>_xll.BDP("338073ED Muni","STATE_CODE")</f>
        <v>#N/A Requesting Data...</v>
      </c>
      <c r="E967" t="str">
        <f>_xll.BDP("338073ED Muni","COUNTY_LOCATION_ISSUER")</f>
        <v>#N/A Requesting Data...</v>
      </c>
      <c r="F967" t="str">
        <f>_xll.BDP("338073ED Muni","DUR_ADJ_MID")</f>
        <v>#N/A Requesting Data...</v>
      </c>
      <c r="G967" t="str">
        <f>_xll.BDP("338073ED Muni","SPREAD_AT_ISSUANCE_TO_WORST")</f>
        <v>#N/A Requesting Data...</v>
      </c>
      <c r="H967" t="str">
        <f>_xll.BDP("338073ED Muni","ISSUE_DT")</f>
        <v>#N/A Requesting Data...</v>
      </c>
      <c r="I967" t="str">
        <f>_xll.BDS("338073ED Muni","MUNI_PURPOSE_SCHED", "aggregate=y")</f>
        <v>#N/A Requesting Data...</v>
      </c>
      <c r="J967" t="str">
        <f>_xll.BDP("338073ED Muni","CPN")</f>
        <v>#N/A Requesting Data...</v>
      </c>
      <c r="K967" t="str">
        <f>_xll.BDP("338073ED Muni","MATURITY")</f>
        <v>#N/A Requesting Data...</v>
      </c>
      <c r="L967">
        <v>220000</v>
      </c>
      <c r="M967" t="str">
        <f>_xll.BDP("338073ED Muni","YIELD_ON_ISSUE_DATE")</f>
        <v>#N/A Requesting Data...</v>
      </c>
      <c r="N967" t="str">
        <f>_xll.BDP("338073ED Muni","YTW_SPREAD_TO_MATURITY_AT_ISSU")</f>
        <v>#N/A Requesting Data...</v>
      </c>
      <c r="O967" t="str">
        <f>_xll.BDP("338073ED Muni","BVAL_MID_YTM")</f>
        <v>#N/A Requesting Data...</v>
      </c>
      <c r="P967" t="str">
        <f>_xll.BDP("338073ED Muni","MUNI_TAX_PROV")</f>
        <v>#N/A Requesting Data...</v>
      </c>
      <c r="Q967" t="str">
        <f>_xll.BDP("338073ED Muni","MUNI_FED_TAX")</f>
        <v>#N/A Requesting Data...</v>
      </c>
      <c r="R967" t="str">
        <f>_xll.BDP("338073ED Muni","MUNI_MSRB_VOLUME")</f>
        <v>#N/A Requesting Data...</v>
      </c>
      <c r="S967" t="str">
        <f>_xll.BDP("338073ED Muni","BB_COMPOSITE")</f>
        <v>#N/A Requesting Data...</v>
      </c>
      <c r="T967" t="str">
        <f>_xll.BDP("338073ED Muni","LQA_LIQUIDITY_SCORE")</f>
        <v>#N/A Requesting Data...</v>
      </c>
    </row>
    <row r="968" spans="1:20" x14ac:dyDescent="0.25">
      <c r="A968" t="str">
        <f>_xll.BDP("338073EE Muni","ID_CUSIP")</f>
        <v>#N/A Requesting Data...</v>
      </c>
      <c r="B968" t="s">
        <v>204</v>
      </c>
      <c r="C968" t="str">
        <f>_xll.BDP("338073EE Muni","INSURANCE_STATUS")</f>
        <v>#N/A Requesting Data...</v>
      </c>
      <c r="D968" t="str">
        <f>_xll.BDP("338073EE Muni","STATE_CODE")</f>
        <v>#N/A Requesting Data...</v>
      </c>
      <c r="E968" t="str">
        <f>_xll.BDP("338073EE Muni","COUNTY_LOCATION_ISSUER")</f>
        <v>#N/A Requesting Data...</v>
      </c>
      <c r="F968" t="str">
        <f>_xll.BDP("338073EE Muni","DUR_ADJ_MID")</f>
        <v>#N/A Requesting Data...</v>
      </c>
      <c r="G968" t="str">
        <f>_xll.BDP("338073EE Muni","SPREAD_AT_ISSUANCE_TO_WORST")</f>
        <v>#N/A Requesting Data...</v>
      </c>
      <c r="H968" t="str">
        <f>_xll.BDP("338073EE Muni","ISSUE_DT")</f>
        <v>#N/A Requesting Data...</v>
      </c>
      <c r="I968" t="str">
        <f>_xll.BDS("338073EE Muni","MUNI_PURPOSE_SCHED", "aggregate=y")</f>
        <v>#N/A Requesting Data...</v>
      </c>
      <c r="J968" t="str">
        <f>_xll.BDP("338073EE Muni","CPN")</f>
        <v>#N/A Requesting Data...</v>
      </c>
      <c r="K968" t="str">
        <f>_xll.BDP("338073EE Muni","MATURITY")</f>
        <v>#N/A Requesting Data...</v>
      </c>
      <c r="L968">
        <v>115000</v>
      </c>
      <c r="M968" t="str">
        <f>_xll.BDP("338073EE Muni","YIELD_ON_ISSUE_DATE")</f>
        <v>#N/A Requesting Data...</v>
      </c>
      <c r="N968" t="str">
        <f>_xll.BDP("338073EE Muni","YTW_SPREAD_TO_MATURITY_AT_ISSU")</f>
        <v>#N/A Requesting Data...</v>
      </c>
      <c r="O968" t="str">
        <f>_xll.BDP("338073EE Muni","BVAL_MID_YTM")</f>
        <v>#N/A Requesting Data...</v>
      </c>
      <c r="P968" t="str">
        <f>_xll.BDP("338073EE Muni","MUNI_TAX_PROV")</f>
        <v>#N/A Requesting Data...</v>
      </c>
      <c r="Q968" t="str">
        <f>_xll.BDP("338073EE Muni","MUNI_FED_TAX")</f>
        <v>#N/A Requesting Data...</v>
      </c>
      <c r="R968" t="str">
        <f>_xll.BDP("338073EE Muni","MUNI_MSRB_VOLUME")</f>
        <v>#N/A Requesting Data...</v>
      </c>
      <c r="S968" t="str">
        <f>_xll.BDP("338073EE Muni","BB_COMPOSITE")</f>
        <v>#N/A Requesting Data...</v>
      </c>
      <c r="T968" t="str">
        <f>_xll.BDP("338073EE Muni","LQA_LIQUIDITY_SCORE")</f>
        <v>#N/A Requesting Data...</v>
      </c>
    </row>
    <row r="969" spans="1:20" x14ac:dyDescent="0.25">
      <c r="A969" t="str">
        <f>_xll.BDP("338073EG Muni","ID_CUSIP")</f>
        <v>#N/A Requesting Data...</v>
      </c>
      <c r="B969" t="s">
        <v>204</v>
      </c>
      <c r="C969" t="str">
        <f>_xll.BDP("338073EG Muni","INSURANCE_STATUS")</f>
        <v>#N/A Requesting Data...</v>
      </c>
      <c r="D969" t="str">
        <f>_xll.BDP("338073EG Muni","STATE_CODE")</f>
        <v>#N/A Requesting Data...</v>
      </c>
      <c r="E969" t="str">
        <f>_xll.BDP("338073EG Muni","COUNTY_LOCATION_ISSUER")</f>
        <v>#N/A Requesting Data...</v>
      </c>
      <c r="F969" t="str">
        <f>_xll.BDP("338073EG Muni","DUR_ADJ_MID")</f>
        <v>#N/A Requesting Data...</v>
      </c>
      <c r="G969" t="str">
        <f>_xll.BDP("338073EG Muni","SPREAD_AT_ISSUANCE_TO_WORST")</f>
        <v>#N/A Requesting Data...</v>
      </c>
      <c r="H969" t="str">
        <f>_xll.BDP("338073EG Muni","ISSUE_DT")</f>
        <v>#N/A Requesting Data...</v>
      </c>
      <c r="I969" t="str">
        <f>_xll.BDS("338073EG Muni","MUNI_PURPOSE_SCHED", "aggregate=y")</f>
        <v>#N/A Requesting Data...</v>
      </c>
      <c r="J969" t="str">
        <f>_xll.BDP("338073EG Muni","CPN")</f>
        <v>#N/A Requesting Data...</v>
      </c>
      <c r="K969" t="str">
        <f>_xll.BDP("338073EG Muni","MATURITY")</f>
        <v>#N/A Requesting Data...</v>
      </c>
      <c r="L969">
        <v>115000</v>
      </c>
      <c r="M969" t="str">
        <f>_xll.BDP("338073EG Muni","YIELD_ON_ISSUE_DATE")</f>
        <v>#N/A Requesting Data...</v>
      </c>
      <c r="N969" t="str">
        <f>_xll.BDP("338073EG Muni","YTW_SPREAD_TO_MATURITY_AT_ISSU")</f>
        <v>#N/A Requesting Data...</v>
      </c>
      <c r="O969" t="str">
        <f>_xll.BDP("338073EG Muni","BVAL_MID_YTM")</f>
        <v>#N/A Requesting Data...</v>
      </c>
      <c r="P969" t="str">
        <f>_xll.BDP("338073EG Muni","MUNI_TAX_PROV")</f>
        <v>#N/A Requesting Data...</v>
      </c>
      <c r="Q969" t="str">
        <f>_xll.BDP("338073EG Muni","MUNI_FED_TAX")</f>
        <v>#N/A Requesting Data...</v>
      </c>
      <c r="R969" t="str">
        <f>_xll.BDP("338073EG Muni","MUNI_MSRB_VOLUME")</f>
        <v>#N/A Requesting Data...</v>
      </c>
      <c r="S969" t="str">
        <f>_xll.BDP("338073EG Muni","BB_COMPOSITE")</f>
        <v>#N/A Requesting Data...</v>
      </c>
      <c r="T969" t="str">
        <f>_xll.BDP("338073EG Muni","LQA_LIQUIDITY_SCORE")</f>
        <v>#N/A Requesting Data...</v>
      </c>
    </row>
    <row r="970" spans="1:20" x14ac:dyDescent="0.25">
      <c r="A970" t="str">
        <f>_xll.BDP("41422PLF Muni","ID_CUSIP")</f>
        <v>#N/A Requesting Data...</v>
      </c>
      <c r="B970" t="s">
        <v>205</v>
      </c>
      <c r="C970" t="str">
        <f>_xll.BDP("41422PLF Muni","INSURANCE_STATUS")</f>
        <v>#N/A Requesting Data...</v>
      </c>
      <c r="D970" t="str">
        <f>_xll.BDP("41422PLF Muni","STATE_CODE")</f>
        <v>#N/A Requesting Data...</v>
      </c>
      <c r="E970" t="str">
        <f>_xll.BDP("41422PLF Muni","COUNTY_LOCATION_ISSUER")</f>
        <v>#N/A Requesting Data...</v>
      </c>
      <c r="F970" t="str">
        <f>_xll.BDP("41422PLF Muni","DUR_ADJ_MID")</f>
        <v>#N/A Requesting Data...</v>
      </c>
      <c r="G970" t="str">
        <f>_xll.BDP("41422PLF Muni","SPREAD_AT_ISSUANCE_TO_WORST")</f>
        <v>#N/A Requesting Data...</v>
      </c>
      <c r="H970" t="str">
        <f>_xll.BDP("41422PLF Muni","ISSUE_DT")</f>
        <v>#N/A Requesting Data...</v>
      </c>
      <c r="I970" t="str">
        <f>_xll.BDS("41422PLF Muni","MUNI_PURPOSE_SCHED", "aggregate=y")</f>
        <v>#N/A Requesting Data...</v>
      </c>
      <c r="J970" t="str">
        <f>_xll.BDP("41422PLF Muni","CPN")</f>
        <v>#N/A Requesting Data...</v>
      </c>
      <c r="K970" t="str">
        <f>_xll.BDP("41422PLF Muni","MATURITY")</f>
        <v>#N/A Requesting Data...</v>
      </c>
      <c r="L970">
        <v>330000</v>
      </c>
      <c r="M970" t="str">
        <f>_xll.BDP("41422PLF Muni","YIELD_ON_ISSUE_DATE")</f>
        <v>#N/A Requesting Data...</v>
      </c>
      <c r="N970" t="str">
        <f>_xll.BDP("41422PLF Muni","YTW_SPREAD_TO_MATURITY_AT_ISSU")</f>
        <v>#N/A Requesting Data...</v>
      </c>
      <c r="O970" t="str">
        <f>_xll.BDP("41422PLF Muni","BVAL_MID_YTM")</f>
        <v>#N/A Requesting Data...</v>
      </c>
      <c r="P970" t="str">
        <f>_xll.BDP("41422PLF Muni","MUNI_TAX_PROV")</f>
        <v>#N/A Requesting Data...</v>
      </c>
      <c r="Q970" t="str">
        <f>_xll.BDP("41422PLF Muni","MUNI_FED_TAX")</f>
        <v>#N/A Requesting Data...</v>
      </c>
      <c r="R970" t="str">
        <f>_xll.BDP("41422PLF Muni","MUNI_MSRB_VOLUME")</f>
        <v>#N/A Requesting Data...</v>
      </c>
      <c r="S970" t="str">
        <f>_xll.BDP("41422PLF Muni","BB_COMPOSITE")</f>
        <v>#N/A Requesting Data...</v>
      </c>
      <c r="T970" t="str">
        <f>_xll.BDP("41422PLF Muni","LQA_LIQUIDITY_SCORE")</f>
        <v>#N/A Requesting Data...</v>
      </c>
    </row>
    <row r="971" spans="1:20" x14ac:dyDescent="0.25">
      <c r="A971" t="str">
        <f>_xll.BDP("41422PLH Muni","ID_CUSIP")</f>
        <v>#N/A Requesting Data...</v>
      </c>
      <c r="B971" t="s">
        <v>205</v>
      </c>
      <c r="C971" t="str">
        <f>_xll.BDP("41422PLH Muni","INSURANCE_STATUS")</f>
        <v>#N/A Requesting Data...</v>
      </c>
      <c r="D971" t="str">
        <f>_xll.BDP("41422PLH Muni","STATE_CODE")</f>
        <v>#N/A Requesting Data...</v>
      </c>
      <c r="E971" t="str">
        <f>_xll.BDP("41422PLH Muni","COUNTY_LOCATION_ISSUER")</f>
        <v>#N/A Requesting Data...</v>
      </c>
      <c r="F971" t="str">
        <f>_xll.BDP("41422PLH Muni","DUR_ADJ_MID")</f>
        <v>#N/A Requesting Data...</v>
      </c>
      <c r="G971" t="str">
        <f>_xll.BDP("41422PLH Muni","SPREAD_AT_ISSUANCE_TO_WORST")</f>
        <v>#N/A Requesting Data...</v>
      </c>
      <c r="H971" t="str">
        <f>_xll.BDP("41422PLH Muni","ISSUE_DT")</f>
        <v>#N/A Requesting Data...</v>
      </c>
      <c r="I971" t="str">
        <f>_xll.BDS("41422PLH Muni","MUNI_PURPOSE_SCHED", "aggregate=y")</f>
        <v>#N/A Requesting Data...</v>
      </c>
      <c r="J971" t="str">
        <f>_xll.BDP("41422PLH Muni","CPN")</f>
        <v>#N/A Requesting Data...</v>
      </c>
      <c r="K971" t="str">
        <f>_xll.BDP("41422PLH Muni","MATURITY")</f>
        <v>#N/A Requesting Data...</v>
      </c>
      <c r="L971">
        <v>355000</v>
      </c>
      <c r="M971" t="str">
        <f>_xll.BDP("41422PLH Muni","YIELD_ON_ISSUE_DATE")</f>
        <v>#N/A Requesting Data...</v>
      </c>
      <c r="N971" t="str">
        <f>_xll.BDP("41422PLH Muni","YTW_SPREAD_TO_MATURITY_AT_ISSU")</f>
        <v>#N/A Requesting Data...</v>
      </c>
      <c r="O971" t="str">
        <f>_xll.BDP("41422PLH Muni","BVAL_MID_YTM")</f>
        <v>#N/A Requesting Data...</v>
      </c>
      <c r="P971" t="str">
        <f>_xll.BDP("41422PLH Muni","MUNI_TAX_PROV")</f>
        <v>#N/A Requesting Data...</v>
      </c>
      <c r="Q971" t="str">
        <f>_xll.BDP("41422PLH Muni","MUNI_FED_TAX")</f>
        <v>#N/A Requesting Data...</v>
      </c>
      <c r="R971" t="str">
        <f>_xll.BDP("41422PLH Muni","MUNI_MSRB_VOLUME")</f>
        <v>#N/A Requesting Data...</v>
      </c>
      <c r="S971" t="str">
        <f>_xll.BDP("41422PLH Muni","BB_COMPOSITE")</f>
        <v>#N/A Requesting Data...</v>
      </c>
      <c r="T971" t="str">
        <f>_xll.BDP("41422PLH Muni","LQA_LIQUIDITY_SCORE")</f>
        <v>#N/A Requesting Data...</v>
      </c>
    </row>
    <row r="972" spans="1:20" x14ac:dyDescent="0.25">
      <c r="A972" t="str">
        <f>_xll.BDP("41422SGK Muni","ID_CUSIP")</f>
        <v>#N/A Requesting Data...</v>
      </c>
      <c r="B972" t="s">
        <v>207</v>
      </c>
      <c r="C972" t="str">
        <f>_xll.BDP("41422SGK Muni","INSURANCE_STATUS")</f>
        <v>#N/A Requesting Data...</v>
      </c>
      <c r="D972" t="str">
        <f>_xll.BDP("41422SGK Muni","STATE_CODE")</f>
        <v>#N/A Requesting Data...</v>
      </c>
      <c r="E972" t="str">
        <f>_xll.BDP("41422SGK Muni","COUNTY_LOCATION_ISSUER")</f>
        <v>#N/A Requesting Data...</v>
      </c>
      <c r="F972" t="str">
        <f>_xll.BDP("41422SGK Muni","DUR_ADJ_MID")</f>
        <v>#N/A Requesting Data...</v>
      </c>
      <c r="G972" t="str">
        <f>_xll.BDP("41422SGK Muni","SPREAD_AT_ISSUANCE_TO_WORST")</f>
        <v>#N/A Requesting Data...</v>
      </c>
      <c r="H972" t="str">
        <f>_xll.BDP("41422SGK Muni","ISSUE_DT")</f>
        <v>#N/A Requesting Data...</v>
      </c>
      <c r="I972" t="str">
        <f>_xll.BDS("41422SGK Muni","MUNI_PURPOSE_SCHED", "aggregate=y")</f>
        <v>#N/A Requesting Data...</v>
      </c>
      <c r="J972" t="str">
        <f>_xll.BDP("41422SGK Muni","CPN")</f>
        <v>#N/A Requesting Data...</v>
      </c>
      <c r="K972" t="str">
        <f>_xll.BDP("41422SGK Muni","MATURITY")</f>
        <v>#N/A Requesting Data...</v>
      </c>
      <c r="L972">
        <v>75000</v>
      </c>
      <c r="M972" t="str">
        <f>_xll.BDP("41422SGK Muni","YIELD_ON_ISSUE_DATE")</f>
        <v>#N/A Requesting Data...</v>
      </c>
      <c r="N972" t="str">
        <f>_xll.BDP("41422SGK Muni","YTW_SPREAD_TO_MATURITY_AT_ISSU")</f>
        <v>#N/A Requesting Data...</v>
      </c>
      <c r="O972" t="str">
        <f>_xll.BDP("41422SGK Muni","BVAL_MID_YTM")</f>
        <v>#N/A Requesting Data...</v>
      </c>
      <c r="P972" t="str">
        <f>_xll.BDP("41422SGK Muni","MUNI_TAX_PROV")</f>
        <v>#N/A Requesting Data...</v>
      </c>
      <c r="Q972" t="str">
        <f>_xll.BDP("41422SGK Muni","MUNI_FED_TAX")</f>
        <v>#N/A Requesting Data...</v>
      </c>
      <c r="R972" t="str">
        <f>_xll.BDP("41422SGK Muni","MUNI_MSRB_VOLUME")</f>
        <v>#N/A Requesting Data...</v>
      </c>
      <c r="S972" t="str">
        <f>_xll.BDP("41422SGK Muni","BB_COMPOSITE")</f>
        <v>#N/A Requesting Data...</v>
      </c>
      <c r="T972" t="str">
        <f>_xll.BDP("41422SGK Muni","LQA_LIQUIDITY_SCORE")</f>
        <v>#N/A Requesting Data...</v>
      </c>
    </row>
    <row r="973" spans="1:20" x14ac:dyDescent="0.25">
      <c r="A973" t="str">
        <f>_xll.BDP("41422SGM Muni","ID_CUSIP")</f>
        <v>#N/A Requesting Data...</v>
      </c>
      <c r="B973" t="s">
        <v>207</v>
      </c>
      <c r="C973" t="str">
        <f>_xll.BDP("41422SGM Muni","INSURANCE_STATUS")</f>
        <v>#N/A Requesting Data...</v>
      </c>
      <c r="D973" t="str">
        <f>_xll.BDP("41422SGM Muni","STATE_CODE")</f>
        <v>#N/A Requesting Data...</v>
      </c>
      <c r="E973" t="str">
        <f>_xll.BDP("41422SGM Muni","COUNTY_LOCATION_ISSUER")</f>
        <v>#N/A Requesting Data...</v>
      </c>
      <c r="F973" t="str">
        <f>_xll.BDP("41422SGM Muni","DUR_ADJ_MID")</f>
        <v>#N/A Requesting Data...</v>
      </c>
      <c r="G973" t="str">
        <f>_xll.BDP("41422SGM Muni","SPREAD_AT_ISSUANCE_TO_WORST")</f>
        <v>#N/A Requesting Data...</v>
      </c>
      <c r="H973" t="str">
        <f>_xll.BDP("41422SGM Muni","ISSUE_DT")</f>
        <v>#N/A Requesting Data...</v>
      </c>
      <c r="I973" t="str">
        <f>_xll.BDS("41422SGM Muni","MUNI_PURPOSE_SCHED", "aggregate=y")</f>
        <v>#N/A Requesting Data...</v>
      </c>
      <c r="J973" t="str">
        <f>_xll.BDP("41422SGM Muni","CPN")</f>
        <v>#N/A Requesting Data...</v>
      </c>
      <c r="K973" t="str">
        <f>_xll.BDP("41422SGM Muni","MATURITY")</f>
        <v>#N/A Requesting Data...</v>
      </c>
      <c r="L973">
        <v>75000</v>
      </c>
      <c r="M973" t="str">
        <f>_xll.BDP("41422SGM Muni","YIELD_ON_ISSUE_DATE")</f>
        <v>#N/A Requesting Data...</v>
      </c>
      <c r="N973" t="str">
        <f>_xll.BDP("41422SGM Muni","YTW_SPREAD_TO_MATURITY_AT_ISSU")</f>
        <v>#N/A Requesting Data...</v>
      </c>
      <c r="O973" t="str">
        <f>_xll.BDP("41422SGM Muni","BVAL_MID_YTM")</f>
        <v>#N/A Requesting Data...</v>
      </c>
      <c r="P973" t="str">
        <f>_xll.BDP("41422SGM Muni","MUNI_TAX_PROV")</f>
        <v>#N/A Requesting Data...</v>
      </c>
      <c r="Q973" t="str">
        <f>_xll.BDP("41422SGM Muni","MUNI_FED_TAX")</f>
        <v>#N/A Requesting Data...</v>
      </c>
      <c r="R973" t="str">
        <f>_xll.BDP("41422SGM Muni","MUNI_MSRB_VOLUME")</f>
        <v>#N/A Requesting Data...</v>
      </c>
      <c r="S973" t="str">
        <f>_xll.BDP("41422SGM Muni","BB_COMPOSITE")</f>
        <v>#N/A Requesting Data...</v>
      </c>
      <c r="T973" t="str">
        <f>_xll.BDP("41422SGM Muni","LQA_LIQUIDITY_SCORE")</f>
        <v>#N/A Requesting Data...</v>
      </c>
    </row>
    <row r="974" spans="1:20" x14ac:dyDescent="0.25">
      <c r="A974" t="str">
        <f>_xll.BDP("338444BJ Muni","ID_CUSIP")</f>
        <v>#N/A Requesting Data...</v>
      </c>
      <c r="B974" t="s">
        <v>208</v>
      </c>
      <c r="C974" t="str">
        <f>_xll.BDP("338444BJ Muni","INSURANCE_STATUS")</f>
        <v>#N/A Requesting Data...</v>
      </c>
      <c r="D974" t="str">
        <f>_xll.BDP("338444BJ Muni","STATE_CODE")</f>
        <v>#N/A Requesting Data...</v>
      </c>
      <c r="E974" t="str">
        <f>_xll.BDP("338444BJ Muni","COUNTY_LOCATION_ISSUER")</f>
        <v>#N/A Requesting Data...</v>
      </c>
      <c r="F974" t="str">
        <f>_xll.BDP("338444BJ Muni","DUR_ADJ_MID")</f>
        <v>#N/A Requesting Data...</v>
      </c>
      <c r="G974" t="str">
        <f>_xll.BDP("338444BJ Muni","SPREAD_AT_ISSUANCE_TO_WORST")</f>
        <v>#N/A Requesting Data...</v>
      </c>
      <c r="H974" t="str">
        <f>_xll.BDP("338444BJ Muni","ISSUE_DT")</f>
        <v>#N/A Requesting Data...</v>
      </c>
      <c r="I974" t="str">
        <f>_xll.BDS("338444BJ Muni","MUNI_PURPOSE_SCHED", "aggregate=y")</f>
        <v>#N/A Requesting Data...</v>
      </c>
      <c r="J974" t="str">
        <f>_xll.BDP("338444BJ Muni","CPN")</f>
        <v>#N/A Requesting Data...</v>
      </c>
      <c r="K974" t="str">
        <f>_xll.BDP("338444BJ Muni","MATURITY")</f>
        <v>#N/A Requesting Data...</v>
      </c>
      <c r="L974">
        <v>410000</v>
      </c>
      <c r="M974" t="str">
        <f>_xll.BDP("338444BJ Muni","YIELD_ON_ISSUE_DATE")</f>
        <v>#N/A Requesting Data...</v>
      </c>
      <c r="N974" t="str">
        <f>_xll.BDP("338444BJ Muni","YTW_SPREAD_TO_MATURITY_AT_ISSU")</f>
        <v>#N/A Requesting Data...</v>
      </c>
      <c r="O974" t="str">
        <f>_xll.BDP("338444BJ Muni","BVAL_MID_YTM")</f>
        <v>#N/A Requesting Data...</v>
      </c>
      <c r="P974" t="str">
        <f>_xll.BDP("338444BJ Muni","MUNI_TAX_PROV")</f>
        <v>#N/A Requesting Data...</v>
      </c>
      <c r="Q974" t="str">
        <f>_xll.BDP("338444BJ Muni","MUNI_FED_TAX")</f>
        <v>#N/A Requesting Data...</v>
      </c>
      <c r="R974" t="str">
        <f>_xll.BDP("338444BJ Muni","MUNI_MSRB_VOLUME")</f>
        <v>#N/A Requesting Data...</v>
      </c>
      <c r="S974" t="str">
        <f>_xll.BDP("338444BJ Muni","BB_COMPOSITE")</f>
        <v>#N/A Requesting Data...</v>
      </c>
      <c r="T974" t="str">
        <f>_xll.BDP("338444BJ Muni","LQA_LIQUIDITY_SCORE")</f>
        <v>#N/A Requesting Data...</v>
      </c>
    </row>
    <row r="975" spans="1:20" x14ac:dyDescent="0.25">
      <c r="A975" t="str">
        <f>_xll.BDP("338444BM Muni","ID_CUSIP")</f>
        <v>#N/A Requesting Data...</v>
      </c>
      <c r="B975" t="s">
        <v>208</v>
      </c>
      <c r="C975" t="str">
        <f>_xll.BDP("338444BM Muni","INSURANCE_STATUS")</f>
        <v>#N/A Requesting Data...</v>
      </c>
      <c r="D975" t="str">
        <f>_xll.BDP("338444BM Muni","STATE_CODE")</f>
        <v>#N/A Requesting Data...</v>
      </c>
      <c r="E975" t="str">
        <f>_xll.BDP("338444BM Muni","COUNTY_LOCATION_ISSUER")</f>
        <v>#N/A Requesting Data...</v>
      </c>
      <c r="F975" t="str">
        <f>_xll.BDP("338444BM Muni","DUR_ADJ_MID")</f>
        <v>#N/A Requesting Data...</v>
      </c>
      <c r="G975" t="str">
        <f>_xll.BDP("338444BM Muni","SPREAD_AT_ISSUANCE_TO_WORST")</f>
        <v>#N/A Requesting Data...</v>
      </c>
      <c r="H975" t="str">
        <f>_xll.BDP("338444BM Muni","ISSUE_DT")</f>
        <v>#N/A Requesting Data...</v>
      </c>
      <c r="I975" t="str">
        <f>_xll.BDS("338444BM Muni","MUNI_PURPOSE_SCHED", "aggregate=y")</f>
        <v>#N/A Requesting Data...</v>
      </c>
      <c r="J975" t="str">
        <f>_xll.BDP("338444BM Muni","CPN")</f>
        <v>#N/A Requesting Data...</v>
      </c>
      <c r="K975" t="str">
        <f>_xll.BDP("338444BM Muni","MATURITY")</f>
        <v>#N/A Requesting Data...</v>
      </c>
      <c r="L975">
        <v>465000</v>
      </c>
      <c r="M975" t="str">
        <f>_xll.BDP("338444BM Muni","YIELD_ON_ISSUE_DATE")</f>
        <v>#N/A Requesting Data...</v>
      </c>
      <c r="N975" t="str">
        <f>_xll.BDP("338444BM Muni","YTW_SPREAD_TO_MATURITY_AT_ISSU")</f>
        <v>#N/A Requesting Data...</v>
      </c>
      <c r="O975" t="str">
        <f>_xll.BDP("338444BM Muni","BVAL_MID_YTM")</f>
        <v>#N/A Requesting Data...</v>
      </c>
      <c r="P975" t="str">
        <f>_xll.BDP("338444BM Muni","MUNI_TAX_PROV")</f>
        <v>#N/A Requesting Data...</v>
      </c>
      <c r="Q975" t="str">
        <f>_xll.BDP("338444BM Muni","MUNI_FED_TAX")</f>
        <v>#N/A Requesting Data...</v>
      </c>
      <c r="R975" t="str">
        <f>_xll.BDP("338444BM Muni","MUNI_MSRB_VOLUME")</f>
        <v>#N/A Requesting Data...</v>
      </c>
      <c r="S975" t="str">
        <f>_xll.BDP("338444BM Muni","BB_COMPOSITE")</f>
        <v>#N/A Requesting Data...</v>
      </c>
      <c r="T975" t="str">
        <f>_xll.BDP("338444BM Muni","LQA_LIQUIDITY_SCORE")</f>
        <v>#N/A Requesting Data...</v>
      </c>
    </row>
    <row r="976" spans="1:20" x14ac:dyDescent="0.25">
      <c r="A976" t="str">
        <f>_xll.BDP("41422WDF Muni","ID_CUSIP")</f>
        <v>#N/A Requesting Data...</v>
      </c>
      <c r="B976" t="s">
        <v>209</v>
      </c>
      <c r="C976" t="str">
        <f>_xll.BDP("41422WDF Muni","INSURANCE_STATUS")</f>
        <v>#N/A Requesting Data...</v>
      </c>
      <c r="D976" t="str">
        <f>_xll.BDP("41422WDF Muni","STATE_CODE")</f>
        <v>#N/A Requesting Data...</v>
      </c>
      <c r="E976" t="str">
        <f>_xll.BDP("41422WDF Muni","COUNTY_LOCATION_ISSUER")</f>
        <v>#N/A Requesting Data...</v>
      </c>
      <c r="F976" t="str">
        <f>_xll.BDP("41422WDF Muni","DUR_ADJ_MID")</f>
        <v>#N/A Requesting Data...</v>
      </c>
      <c r="G976" t="str">
        <f>_xll.BDP("41422WDF Muni","SPREAD_AT_ISSUANCE_TO_WORST")</f>
        <v>#N/A Requesting Data...</v>
      </c>
      <c r="H976" t="str">
        <f>_xll.BDP("41422WDF Muni","ISSUE_DT")</f>
        <v>#N/A Requesting Data...</v>
      </c>
      <c r="I976" t="str">
        <f>_xll.BDS("41422WDF Muni","MUNI_PURPOSE_SCHED", "aggregate=y")</f>
        <v>#N/A Requesting Data...</v>
      </c>
      <c r="J976" t="str">
        <f>_xll.BDP("41422WDF Muni","CPN")</f>
        <v>#N/A Requesting Data...</v>
      </c>
      <c r="K976" t="str">
        <f>_xll.BDP("41422WDF Muni","MATURITY")</f>
        <v>#N/A Requesting Data...</v>
      </c>
      <c r="L976">
        <v>115000</v>
      </c>
      <c r="M976" t="str">
        <f>_xll.BDP("41422WDF Muni","YIELD_ON_ISSUE_DATE")</f>
        <v>#N/A Requesting Data...</v>
      </c>
      <c r="N976" t="str">
        <f>_xll.BDP("41422WDF Muni","YTW_SPREAD_TO_MATURITY_AT_ISSU")</f>
        <v>#N/A Requesting Data...</v>
      </c>
      <c r="O976" t="str">
        <f>_xll.BDP("41422WDF Muni","BVAL_MID_YTM")</f>
        <v>#N/A Requesting Data...</v>
      </c>
      <c r="P976" t="str">
        <f>_xll.BDP("41422WDF Muni","MUNI_TAX_PROV")</f>
        <v>#N/A Requesting Data...</v>
      </c>
      <c r="Q976" t="str">
        <f>_xll.BDP("41422WDF Muni","MUNI_FED_TAX")</f>
        <v>#N/A Requesting Data...</v>
      </c>
      <c r="R976" t="str">
        <f>_xll.BDP("41422WDF Muni","MUNI_MSRB_VOLUME")</f>
        <v>#N/A Requesting Data...</v>
      </c>
      <c r="S976" t="str">
        <f>_xll.BDP("41422WDF Muni","BB_COMPOSITE")</f>
        <v>#N/A Requesting Data...</v>
      </c>
      <c r="T976" t="str">
        <f>_xll.BDP("41422WDF Muni","LQA_LIQUIDITY_SCORE")</f>
        <v>#N/A Requesting Data...</v>
      </c>
    </row>
    <row r="977" spans="1:20" x14ac:dyDescent="0.25">
      <c r="A977" t="str">
        <f>_xll.BDP("41422WDH Muni","ID_CUSIP")</f>
        <v>#N/A Requesting Data...</v>
      </c>
      <c r="B977" t="s">
        <v>209</v>
      </c>
      <c r="C977" t="str">
        <f>_xll.BDP("41422WDH Muni","INSURANCE_STATUS")</f>
        <v>#N/A Requesting Data...</v>
      </c>
      <c r="D977" t="str">
        <f>_xll.BDP("41422WDH Muni","STATE_CODE")</f>
        <v>#N/A Requesting Data...</v>
      </c>
      <c r="E977" t="str">
        <f>_xll.BDP("41422WDH Muni","COUNTY_LOCATION_ISSUER")</f>
        <v>#N/A Requesting Data...</v>
      </c>
      <c r="F977" t="str">
        <f>_xll.BDP("41422WDH Muni","DUR_ADJ_MID")</f>
        <v>#N/A Requesting Data...</v>
      </c>
      <c r="G977" t="str">
        <f>_xll.BDP("41422WDH Muni","SPREAD_AT_ISSUANCE_TO_WORST")</f>
        <v>#N/A Requesting Data...</v>
      </c>
      <c r="H977" t="str">
        <f>_xll.BDP("41422WDH Muni","ISSUE_DT")</f>
        <v>#N/A Requesting Data...</v>
      </c>
      <c r="I977" t="str">
        <f>_xll.BDS("41422WDH Muni","MUNI_PURPOSE_SCHED", "aggregate=y")</f>
        <v>#N/A Requesting Data...</v>
      </c>
      <c r="J977" t="str">
        <f>_xll.BDP("41422WDH Muni","CPN")</f>
        <v>#N/A Requesting Data...</v>
      </c>
      <c r="K977" t="str">
        <f>_xll.BDP("41422WDH Muni","MATURITY")</f>
        <v>#N/A Requesting Data...</v>
      </c>
      <c r="L977">
        <v>115000</v>
      </c>
      <c r="M977" t="str">
        <f>_xll.BDP("41422WDH Muni","YIELD_ON_ISSUE_DATE")</f>
        <v>#N/A Requesting Data...</v>
      </c>
      <c r="N977" t="str">
        <f>_xll.BDP("41422WDH Muni","YTW_SPREAD_TO_MATURITY_AT_ISSU")</f>
        <v>#N/A Requesting Data...</v>
      </c>
      <c r="O977" t="str">
        <f>_xll.BDP("41422WDH Muni","BVAL_MID_YTM")</f>
        <v>#N/A Requesting Data...</v>
      </c>
      <c r="P977" t="str">
        <f>_xll.BDP("41422WDH Muni","MUNI_TAX_PROV")</f>
        <v>#N/A Requesting Data...</v>
      </c>
      <c r="Q977" t="str">
        <f>_xll.BDP("41422WDH Muni","MUNI_FED_TAX")</f>
        <v>#N/A Requesting Data...</v>
      </c>
      <c r="R977" t="str">
        <f>_xll.BDP("41422WDH Muni","MUNI_MSRB_VOLUME")</f>
        <v>#N/A Requesting Data...</v>
      </c>
      <c r="S977" t="str">
        <f>_xll.BDP("41422WDH Muni","BB_COMPOSITE")</f>
        <v>#N/A Requesting Data...</v>
      </c>
      <c r="T977" t="str">
        <f>_xll.BDP("41422WDH Muni","LQA_LIQUIDITY_SCORE")</f>
        <v>#N/A Requesting Data...</v>
      </c>
    </row>
    <row r="978" spans="1:20" x14ac:dyDescent="0.25">
      <c r="A978" t="str">
        <f>_xll.BDP("41423EDF Muni","ID_CUSIP")</f>
        <v>#N/A Requesting Data...</v>
      </c>
      <c r="B978" t="s">
        <v>210</v>
      </c>
      <c r="C978" t="str">
        <f>_xll.BDP("41423EDF Muni","INSURANCE_STATUS")</f>
        <v>#N/A Requesting Data...</v>
      </c>
      <c r="D978" t="str">
        <f>_xll.BDP("41423EDF Muni","STATE_CODE")</f>
        <v>#N/A Requesting Data...</v>
      </c>
      <c r="E978" t="str">
        <f>_xll.BDP("41423EDF Muni","COUNTY_LOCATION_ISSUER")</f>
        <v>#N/A Requesting Data...</v>
      </c>
      <c r="F978" t="str">
        <f>_xll.BDP("41423EDF Muni","DUR_ADJ_MID")</f>
        <v>#N/A Requesting Data...</v>
      </c>
      <c r="G978" t="str">
        <f>_xll.BDP("41423EDF Muni","SPREAD_AT_ISSUANCE_TO_WORST")</f>
        <v>#N/A Requesting Data...</v>
      </c>
      <c r="H978" t="str">
        <f>_xll.BDP("41423EDF Muni","ISSUE_DT")</f>
        <v>#N/A Requesting Data...</v>
      </c>
      <c r="I978" t="str">
        <f>_xll.BDS("41423EDF Muni","MUNI_PURPOSE_SCHED", "aggregate=y")</f>
        <v>#N/A Requesting Data...</v>
      </c>
      <c r="J978" t="str">
        <f>_xll.BDP("41423EDF Muni","CPN")</f>
        <v>#N/A Requesting Data...</v>
      </c>
      <c r="K978" t="str">
        <f>_xll.BDP("41423EDF Muni","MATURITY")</f>
        <v>#N/A Requesting Data...</v>
      </c>
      <c r="L978">
        <v>175000</v>
      </c>
      <c r="M978" t="str">
        <f>_xll.BDP("41423EDF Muni","YIELD_ON_ISSUE_DATE")</f>
        <v>#N/A Requesting Data...</v>
      </c>
      <c r="N978" t="str">
        <f>_xll.BDP("41423EDF Muni","YTW_SPREAD_TO_MATURITY_AT_ISSU")</f>
        <v>#N/A Requesting Data...</v>
      </c>
      <c r="O978" t="str">
        <f>_xll.BDP("41423EDF Muni","BVAL_MID_YTM")</f>
        <v>#N/A Requesting Data...</v>
      </c>
      <c r="P978" t="str">
        <f>_xll.BDP("41423EDF Muni","MUNI_TAX_PROV")</f>
        <v>#N/A Requesting Data...</v>
      </c>
      <c r="Q978" t="str">
        <f>_xll.BDP("41423EDF Muni","MUNI_FED_TAX")</f>
        <v>#N/A Requesting Data...</v>
      </c>
      <c r="R978" t="str">
        <f>_xll.BDP("41423EDF Muni","MUNI_MSRB_VOLUME")</f>
        <v>#N/A Requesting Data...</v>
      </c>
      <c r="S978" t="str">
        <f>_xll.BDP("41423EDF Muni","BB_COMPOSITE")</f>
        <v>#N/A Requesting Data...</v>
      </c>
      <c r="T978" t="str">
        <f>_xll.BDP("41423EDF Muni","LQA_LIQUIDITY_SCORE")</f>
        <v>#N/A Requesting Data...</v>
      </c>
    </row>
    <row r="979" spans="1:20" x14ac:dyDescent="0.25">
      <c r="A979" t="str">
        <f>_xll.BDP("41426XBE Muni","ID_CUSIP")</f>
        <v>#N/A Requesting Data...</v>
      </c>
      <c r="B979" t="s">
        <v>268</v>
      </c>
      <c r="C979" t="str">
        <f>_xll.BDP("41426XBE Muni","INSURANCE_STATUS")</f>
        <v>#N/A Requesting Data...</v>
      </c>
      <c r="D979" t="str">
        <f>_xll.BDP("41426XBE Muni","STATE_CODE")</f>
        <v>#N/A Requesting Data...</v>
      </c>
      <c r="E979" t="str">
        <f>_xll.BDP("41426XBE Muni","COUNTY_LOCATION_ISSUER")</f>
        <v>#N/A Requesting Data...</v>
      </c>
      <c r="F979" t="str">
        <f>_xll.BDP("41426XBE Muni","DUR_ADJ_MID")</f>
        <v>#N/A Requesting Data...</v>
      </c>
      <c r="G979" t="str">
        <f>_xll.BDP("41426XBE Muni","SPREAD_AT_ISSUANCE_TO_WORST")</f>
        <v>#N/A Requesting Data...</v>
      </c>
      <c r="H979" t="str">
        <f>_xll.BDP("41426XBE Muni","ISSUE_DT")</f>
        <v>#N/A Requesting Data...</v>
      </c>
      <c r="I979" t="str">
        <f>_xll.BDS("41426XBE Muni","MUNI_PURPOSE_SCHED", "aggregate=y")</f>
        <v>#N/A Requesting Data...</v>
      </c>
      <c r="J979" t="str">
        <f>_xll.BDP("41426XBE Muni","CPN")</f>
        <v>#N/A Requesting Data...</v>
      </c>
      <c r="K979" t="str">
        <f>_xll.BDP("41426XBE Muni","MATURITY")</f>
        <v>#N/A Requesting Data...</v>
      </c>
      <c r="L979">
        <v>130000</v>
      </c>
      <c r="M979" t="str">
        <f>_xll.BDP("41426XBE Muni","YIELD_ON_ISSUE_DATE")</f>
        <v>#N/A Requesting Data...</v>
      </c>
      <c r="N979" t="str">
        <f>_xll.BDP("41426XBE Muni","YTW_SPREAD_TO_MATURITY_AT_ISSU")</f>
        <v>#N/A Requesting Data...</v>
      </c>
      <c r="O979" t="str">
        <f>_xll.BDP("41426XBE Muni","BVAL_MID_YTM")</f>
        <v>#N/A Requesting Data...</v>
      </c>
      <c r="P979" t="str">
        <f>_xll.BDP("41426XBE Muni","MUNI_TAX_PROV")</f>
        <v>#N/A Requesting Data...</v>
      </c>
      <c r="Q979" t="str">
        <f>_xll.BDP("41426XBE Muni","MUNI_FED_TAX")</f>
        <v>#N/A Requesting Data...</v>
      </c>
      <c r="R979" t="str">
        <f>_xll.BDP("41426XBE Muni","MUNI_MSRB_VOLUME")</f>
        <v>#N/A Requesting Data...</v>
      </c>
      <c r="S979" t="str">
        <f>_xll.BDP("41426XBE Muni","BB_COMPOSITE")</f>
        <v>#N/A Requesting Data...</v>
      </c>
      <c r="T979" t="str">
        <f>_xll.BDP("41426XBE Muni","LQA_LIQUIDITY_SCORE")</f>
        <v>#N/A Requesting Data...</v>
      </c>
    </row>
    <row r="980" spans="1:20" x14ac:dyDescent="0.25">
      <c r="A980" t="str">
        <f>_xll.BDP("41426XBF Muni","ID_CUSIP")</f>
        <v>#N/A Requesting Data...</v>
      </c>
      <c r="B980" t="s">
        <v>268</v>
      </c>
      <c r="C980" t="str">
        <f>_xll.BDP("41426XBF Muni","INSURANCE_STATUS")</f>
        <v>#N/A Requesting Data...</v>
      </c>
      <c r="D980" t="str">
        <f>_xll.BDP("41426XBF Muni","STATE_CODE")</f>
        <v>#N/A Requesting Data...</v>
      </c>
      <c r="E980" t="str">
        <f>_xll.BDP("41426XBF Muni","COUNTY_LOCATION_ISSUER")</f>
        <v>#N/A Requesting Data...</v>
      </c>
      <c r="F980" t="str">
        <f>_xll.BDP("41426XBF Muni","DUR_ADJ_MID")</f>
        <v>#N/A Requesting Data...</v>
      </c>
      <c r="G980" t="str">
        <f>_xll.BDP("41426XBF Muni","SPREAD_AT_ISSUANCE_TO_WORST")</f>
        <v>#N/A Requesting Data...</v>
      </c>
      <c r="H980" t="str">
        <f>_xll.BDP("41426XBF Muni","ISSUE_DT")</f>
        <v>#N/A Requesting Data...</v>
      </c>
      <c r="I980" t="str">
        <f>_xll.BDS("41426XBF Muni","MUNI_PURPOSE_SCHED", "aggregate=y")</f>
        <v>#N/A Requesting Data...</v>
      </c>
      <c r="J980" t="str">
        <f>_xll.BDP("41426XBF Muni","CPN")</f>
        <v>#N/A Requesting Data...</v>
      </c>
      <c r="K980" t="str">
        <f>_xll.BDP("41426XBF Muni","MATURITY")</f>
        <v>#N/A Requesting Data...</v>
      </c>
      <c r="L980">
        <v>135000</v>
      </c>
      <c r="M980" t="str">
        <f>_xll.BDP("41426XBF Muni","YIELD_ON_ISSUE_DATE")</f>
        <v>#N/A Requesting Data...</v>
      </c>
      <c r="N980" t="str">
        <f>_xll.BDP("41426XBF Muni","YTW_SPREAD_TO_MATURITY_AT_ISSU")</f>
        <v>#N/A Requesting Data...</v>
      </c>
      <c r="O980" t="str">
        <f>_xll.BDP("41426XBF Muni","BVAL_MID_YTM")</f>
        <v>#N/A Requesting Data...</v>
      </c>
      <c r="P980" t="str">
        <f>_xll.BDP("41426XBF Muni","MUNI_TAX_PROV")</f>
        <v>#N/A Requesting Data...</v>
      </c>
      <c r="Q980" t="str">
        <f>_xll.BDP("41426XBF Muni","MUNI_FED_TAX")</f>
        <v>#N/A Requesting Data...</v>
      </c>
      <c r="R980" t="str">
        <f>_xll.BDP("41426XBF Muni","MUNI_MSRB_VOLUME")</f>
        <v>#N/A Requesting Data...</v>
      </c>
      <c r="S980" t="str">
        <f>_xll.BDP("41426XBF Muni","BB_COMPOSITE")</f>
        <v>#N/A Requesting Data...</v>
      </c>
      <c r="T980" t="str">
        <f>_xll.BDP("41426XBF Muni","LQA_LIQUIDITY_SCORE")</f>
        <v>#N/A Requesting Data...</v>
      </c>
    </row>
    <row r="981" spans="1:20" x14ac:dyDescent="0.25">
      <c r="A981" t="str">
        <f>_xll.BDP("41428TAE Muni","ID_CUSIP")</f>
        <v>#N/A Requesting Data...</v>
      </c>
      <c r="B981" t="s">
        <v>253</v>
      </c>
      <c r="C981" t="str">
        <f>_xll.BDP("41428TAE Muni","INSURANCE_STATUS")</f>
        <v>#N/A Requesting Data...</v>
      </c>
      <c r="D981" t="str">
        <f>_xll.BDP("41428TAE Muni","STATE_CODE")</f>
        <v>#N/A Requesting Data...</v>
      </c>
      <c r="E981" t="str">
        <f>_xll.BDP("41428TAE Muni","COUNTY_LOCATION_ISSUER")</f>
        <v>#N/A Requesting Data...</v>
      </c>
      <c r="F981" t="str">
        <f>_xll.BDP("41428TAE Muni","DUR_ADJ_MID")</f>
        <v>#N/A Requesting Data...</v>
      </c>
      <c r="G981" t="str">
        <f>_xll.BDP("41428TAE Muni","SPREAD_AT_ISSUANCE_TO_WORST")</f>
        <v>#N/A Requesting Data...</v>
      </c>
      <c r="H981" t="str">
        <f>_xll.BDP("41428TAE Muni","ISSUE_DT")</f>
        <v>#N/A Requesting Data...</v>
      </c>
      <c r="I981" t="str">
        <f>_xll.BDS("41428TAE Muni","MUNI_PURPOSE_SCHED", "aggregate=y")</f>
        <v>#N/A Requesting Data...</v>
      </c>
      <c r="J981" t="str">
        <f>_xll.BDP("41428TAE Muni","CPN")</f>
        <v>#N/A Requesting Data...</v>
      </c>
      <c r="K981" t="str">
        <f>_xll.BDP("41428TAE Muni","MATURITY")</f>
        <v>#N/A Requesting Data...</v>
      </c>
      <c r="L981">
        <v>230000</v>
      </c>
      <c r="M981" t="str">
        <f>_xll.BDP("41428TAE Muni","YIELD_ON_ISSUE_DATE")</f>
        <v>#N/A Requesting Data...</v>
      </c>
      <c r="N981" t="str">
        <f>_xll.BDP("41428TAE Muni","YTW_SPREAD_TO_MATURITY_AT_ISSU")</f>
        <v>#N/A Requesting Data...</v>
      </c>
      <c r="O981" t="str">
        <f>_xll.BDP("41428TAE Muni","BVAL_MID_YTM")</f>
        <v>#N/A Requesting Data...</v>
      </c>
      <c r="P981" t="str">
        <f>_xll.BDP("41428TAE Muni","MUNI_TAX_PROV")</f>
        <v>#N/A Requesting Data...</v>
      </c>
      <c r="Q981" t="str">
        <f>_xll.BDP("41428TAE Muni","MUNI_FED_TAX")</f>
        <v>#N/A Requesting Data...</v>
      </c>
      <c r="R981" t="str">
        <f>_xll.BDP("41428TAE Muni","MUNI_MSRB_VOLUME")</f>
        <v>#N/A Requesting Data...</v>
      </c>
      <c r="S981" t="str">
        <f>_xll.BDP("41428TAE Muni","BB_COMPOSITE")</f>
        <v>#N/A Requesting Data...</v>
      </c>
      <c r="T981" t="str">
        <f>_xll.BDP("41428TAE Muni","LQA_LIQUIDITY_SCORE")</f>
        <v>#N/A Requesting Data...</v>
      </c>
    </row>
    <row r="982" spans="1:20" x14ac:dyDescent="0.25">
      <c r="A982" t="str">
        <f>_xll.BDP("41428UAC Muni","ID_CUSIP")</f>
        <v>#N/A Requesting Data...</v>
      </c>
      <c r="B982" t="s">
        <v>269</v>
      </c>
      <c r="C982" t="str">
        <f>_xll.BDP("41428UAC Muni","INSURANCE_STATUS")</f>
        <v>#N/A Requesting Data...</v>
      </c>
      <c r="D982" t="str">
        <f>_xll.BDP("41428UAC Muni","STATE_CODE")</f>
        <v>#N/A Requesting Data...</v>
      </c>
      <c r="E982" t="str">
        <f>_xll.BDP("41428UAC Muni","COUNTY_LOCATION_ISSUER")</f>
        <v>#N/A Requesting Data...</v>
      </c>
      <c r="F982" t="str">
        <f>_xll.BDP("41428UAC Muni","DUR_ADJ_MID")</f>
        <v>#N/A Requesting Data...</v>
      </c>
      <c r="G982" t="str">
        <f>_xll.BDP("41428UAC Muni","SPREAD_AT_ISSUANCE_TO_WORST")</f>
        <v>#N/A Requesting Data...</v>
      </c>
      <c r="H982" t="str">
        <f>_xll.BDP("41428UAC Muni","ISSUE_DT")</f>
        <v>#N/A Requesting Data...</v>
      </c>
      <c r="I982" t="str">
        <f>_xll.BDS("41428UAC Muni","MUNI_PURPOSE_SCHED", "aggregate=y")</f>
        <v>#N/A Requesting Data...</v>
      </c>
      <c r="J982" t="str">
        <f>_xll.BDP("41428UAC Muni","CPN")</f>
        <v>#N/A Requesting Data...</v>
      </c>
      <c r="K982" t="str">
        <f>_xll.BDP("41428UAC Muni","MATURITY")</f>
        <v>#N/A Requesting Data...</v>
      </c>
      <c r="L982">
        <v>175000</v>
      </c>
      <c r="M982" t="str">
        <f>_xll.BDP("41428UAC Muni","YIELD_ON_ISSUE_DATE")</f>
        <v>#N/A Requesting Data...</v>
      </c>
      <c r="N982" t="str">
        <f>_xll.BDP("41428UAC Muni","YTW_SPREAD_TO_MATURITY_AT_ISSU")</f>
        <v>#N/A Requesting Data...</v>
      </c>
      <c r="O982" t="str">
        <f>_xll.BDP("41428UAC Muni","BVAL_MID_YTM")</f>
        <v>#N/A Requesting Data...</v>
      </c>
      <c r="P982" t="str">
        <f>_xll.BDP("41428UAC Muni","MUNI_TAX_PROV")</f>
        <v>#N/A Requesting Data...</v>
      </c>
      <c r="Q982" t="str">
        <f>_xll.BDP("41428UAC Muni","MUNI_FED_TAX")</f>
        <v>#N/A Requesting Data...</v>
      </c>
      <c r="R982" t="str">
        <f>_xll.BDP("41428UAC Muni","MUNI_MSRB_VOLUME")</f>
        <v>#N/A Requesting Data...</v>
      </c>
      <c r="S982" t="str">
        <f>_xll.BDP("41428UAC Muni","BB_COMPOSITE")</f>
        <v>#N/A Requesting Data...</v>
      </c>
      <c r="T982" t="str">
        <f>_xll.BDP("41428UAC Muni","LQA_LIQUIDITY_SCORE")</f>
        <v>#N/A Requesting Data...</v>
      </c>
    </row>
    <row r="983" spans="1:20" x14ac:dyDescent="0.25">
      <c r="A983" t="str">
        <f>_xll.BDP("41428UAD Muni","ID_CUSIP")</f>
        <v>#N/A Requesting Data...</v>
      </c>
      <c r="B983" t="s">
        <v>269</v>
      </c>
      <c r="C983" t="str">
        <f>_xll.BDP("41428UAD Muni","INSURANCE_STATUS")</f>
        <v>#N/A Requesting Data...</v>
      </c>
      <c r="D983" t="str">
        <f>_xll.BDP("41428UAD Muni","STATE_CODE")</f>
        <v>#N/A Requesting Data...</v>
      </c>
      <c r="E983" t="str">
        <f>_xll.BDP("41428UAD Muni","COUNTY_LOCATION_ISSUER")</f>
        <v>#N/A Requesting Data...</v>
      </c>
      <c r="F983" t="str">
        <f>_xll.BDP("41428UAD Muni","DUR_ADJ_MID")</f>
        <v>#N/A Requesting Data...</v>
      </c>
      <c r="G983" t="str">
        <f>_xll.BDP("41428UAD Muni","SPREAD_AT_ISSUANCE_TO_WORST")</f>
        <v>#N/A Requesting Data...</v>
      </c>
      <c r="H983" t="str">
        <f>_xll.BDP("41428UAD Muni","ISSUE_DT")</f>
        <v>#N/A Requesting Data...</v>
      </c>
      <c r="I983" t="str">
        <f>_xll.BDS("41428UAD Muni","MUNI_PURPOSE_SCHED", "aggregate=y")</f>
        <v>#N/A Requesting Data...</v>
      </c>
      <c r="J983" t="str">
        <f>_xll.BDP("41428UAD Muni","CPN")</f>
        <v>#N/A Requesting Data...</v>
      </c>
      <c r="K983" t="str">
        <f>_xll.BDP("41428UAD Muni","MATURITY")</f>
        <v>#N/A Requesting Data...</v>
      </c>
      <c r="L983">
        <v>185000</v>
      </c>
      <c r="M983" t="str">
        <f>_xll.BDP("41428UAD Muni","YIELD_ON_ISSUE_DATE")</f>
        <v>#N/A Requesting Data...</v>
      </c>
      <c r="N983" t="str">
        <f>_xll.BDP("41428UAD Muni","YTW_SPREAD_TO_MATURITY_AT_ISSU")</f>
        <v>#N/A Requesting Data...</v>
      </c>
      <c r="O983" t="str">
        <f>_xll.BDP("41428UAD Muni","BVAL_MID_YTM")</f>
        <v>#N/A Requesting Data...</v>
      </c>
      <c r="P983" t="str">
        <f>_xll.BDP("41428UAD Muni","MUNI_TAX_PROV")</f>
        <v>#N/A Requesting Data...</v>
      </c>
      <c r="Q983" t="str">
        <f>_xll.BDP("41428UAD Muni","MUNI_FED_TAX")</f>
        <v>#N/A Requesting Data...</v>
      </c>
      <c r="R983" t="str">
        <f>_xll.BDP("41428UAD Muni","MUNI_MSRB_VOLUME")</f>
        <v>#N/A Requesting Data...</v>
      </c>
      <c r="S983" t="str">
        <f>_xll.BDP("41428UAD Muni","BB_COMPOSITE")</f>
        <v>#N/A Requesting Data...</v>
      </c>
      <c r="T983" t="str">
        <f>_xll.BDP("41428UAD Muni","LQA_LIQUIDITY_SCORE")</f>
        <v>#N/A Requesting Data...</v>
      </c>
    </row>
    <row r="984" spans="1:20" x14ac:dyDescent="0.25">
      <c r="A984" t="str">
        <f>_xll.BDP("41453APL Muni","ID_CUSIP")</f>
        <v>#N/A Requesting Data...</v>
      </c>
      <c r="B984" t="s">
        <v>254</v>
      </c>
      <c r="C984" t="str">
        <f>_xll.BDP("41453APL Muni","INSURANCE_STATUS")</f>
        <v>#N/A Requesting Data...</v>
      </c>
      <c r="D984" t="str">
        <f>_xll.BDP("41453APL Muni","STATE_CODE")</f>
        <v>#N/A Requesting Data...</v>
      </c>
      <c r="E984" t="str">
        <f>_xll.BDP("41453APL Muni","COUNTY_LOCATION_ISSUER")</f>
        <v>#N/A Requesting Data...</v>
      </c>
      <c r="F984" t="str">
        <f>_xll.BDP("41453APL Muni","DUR_ADJ_MID")</f>
        <v>#N/A Requesting Data...</v>
      </c>
      <c r="G984" t="str">
        <f>_xll.BDP("41453APL Muni","SPREAD_AT_ISSUANCE_TO_WORST")</f>
        <v>#N/A Requesting Data...</v>
      </c>
      <c r="H984" t="str">
        <f>_xll.BDP("41453APL Muni","ISSUE_DT")</f>
        <v>#N/A Requesting Data...</v>
      </c>
      <c r="I984" t="str">
        <f>_xll.BDS("41453APL Muni","MUNI_PURPOSE_SCHED", "aggregate=y")</f>
        <v>#N/A Requesting Data...</v>
      </c>
      <c r="J984" t="str">
        <f>_xll.BDP("41453APL Muni","CPN")</f>
        <v>#N/A Requesting Data...</v>
      </c>
      <c r="K984" t="str">
        <f>_xll.BDP("41453APL Muni","MATURITY")</f>
        <v>#N/A Requesting Data...</v>
      </c>
      <c r="L984">
        <v>250000</v>
      </c>
      <c r="M984" t="str">
        <f>_xll.BDP("41453APL Muni","YIELD_ON_ISSUE_DATE")</f>
        <v>#N/A Requesting Data...</v>
      </c>
      <c r="N984" t="str">
        <f>_xll.BDP("41453APL Muni","YTW_SPREAD_TO_MATURITY_AT_ISSU")</f>
        <v>#N/A Requesting Data...</v>
      </c>
      <c r="O984" t="str">
        <f>_xll.BDP("41453APL Muni","BVAL_MID_YTM")</f>
        <v>#N/A Requesting Data...</v>
      </c>
      <c r="P984" t="str">
        <f>_xll.BDP("41453APL Muni","MUNI_TAX_PROV")</f>
        <v>#N/A Requesting Data...</v>
      </c>
      <c r="Q984" t="str">
        <f>_xll.BDP("41453APL Muni","MUNI_FED_TAX")</f>
        <v>#N/A Requesting Data...</v>
      </c>
      <c r="R984" t="str">
        <f>_xll.BDP("41453APL Muni","MUNI_MSRB_VOLUME")</f>
        <v>#N/A Requesting Data...</v>
      </c>
      <c r="S984" t="str">
        <f>_xll.BDP("41453APL Muni","BB_COMPOSITE")</f>
        <v>#N/A Requesting Data...</v>
      </c>
      <c r="T984" t="str">
        <f>_xll.BDP("41453APL Muni","LQA_LIQUIDITY_SCORE")</f>
        <v>#N/A Requesting Data...</v>
      </c>
    </row>
    <row r="985" spans="1:20" x14ac:dyDescent="0.25">
      <c r="A985" t="str">
        <f>_xll.BDP("41453TCD Muni","ID_CUSIP")</f>
        <v>#N/A Requesting Data...</v>
      </c>
      <c r="B985" t="s">
        <v>255</v>
      </c>
      <c r="C985" t="str">
        <f>_xll.BDP("41453TCD Muni","INSURANCE_STATUS")</f>
        <v>#N/A Requesting Data...</v>
      </c>
      <c r="D985" t="str">
        <f>_xll.BDP("41453TCD Muni","STATE_CODE")</f>
        <v>#N/A Requesting Data...</v>
      </c>
      <c r="E985" t="str">
        <f>_xll.BDP("41453TCD Muni","COUNTY_LOCATION_ISSUER")</f>
        <v>#N/A Requesting Data...</v>
      </c>
      <c r="F985" t="str">
        <f>_xll.BDP("41453TCD Muni","DUR_ADJ_MID")</f>
        <v>#N/A Requesting Data...</v>
      </c>
      <c r="G985" t="str">
        <f>_xll.BDP("41453TCD Muni","SPREAD_AT_ISSUANCE_TO_WORST")</f>
        <v>#N/A Requesting Data...</v>
      </c>
      <c r="H985" t="str">
        <f>_xll.BDP("41453TCD Muni","ISSUE_DT")</f>
        <v>#N/A Requesting Data...</v>
      </c>
      <c r="I985" t="str">
        <f>_xll.BDS("41453TCD Muni","MUNI_PURPOSE_SCHED", "aggregate=y")</f>
        <v>#N/A Requesting Data...</v>
      </c>
      <c r="J985" t="str">
        <f>_xll.BDP("41453TCD Muni","CPN")</f>
        <v>#N/A Requesting Data...</v>
      </c>
      <c r="K985" t="str">
        <f>_xll.BDP("41453TCD Muni","MATURITY")</f>
        <v>#N/A Requesting Data...</v>
      </c>
      <c r="L985">
        <v>100000</v>
      </c>
      <c r="M985" t="str">
        <f>_xll.BDP("41453TCD Muni","YIELD_ON_ISSUE_DATE")</f>
        <v>#N/A Requesting Data...</v>
      </c>
      <c r="N985" t="str">
        <f>_xll.BDP("41453TCD Muni","YTW_SPREAD_TO_MATURITY_AT_ISSU")</f>
        <v>#N/A Requesting Data...</v>
      </c>
      <c r="O985" t="str">
        <f>_xll.BDP("41453TCD Muni","BVAL_MID_YTM")</f>
        <v>#N/A Requesting Data...</v>
      </c>
      <c r="P985" t="str">
        <f>_xll.BDP("41453TCD Muni","MUNI_TAX_PROV")</f>
        <v>#N/A Requesting Data...</v>
      </c>
      <c r="Q985" t="str">
        <f>_xll.BDP("41453TCD Muni","MUNI_FED_TAX")</f>
        <v>#N/A Requesting Data...</v>
      </c>
      <c r="R985" t="str">
        <f>_xll.BDP("41453TCD Muni","MUNI_MSRB_VOLUME")</f>
        <v>#N/A Requesting Data...</v>
      </c>
      <c r="S985" t="str">
        <f>_xll.BDP("41453TCD Muni","BB_COMPOSITE")</f>
        <v>#N/A Requesting Data...</v>
      </c>
      <c r="T985" t="str">
        <f>_xll.BDP("41453TCD Muni","LQA_LIQUIDITY_SCORE")</f>
        <v>#N/A Requesting Data...</v>
      </c>
    </row>
    <row r="986" spans="1:20" x14ac:dyDescent="0.25">
      <c r="A986" t="str">
        <f>_xll.BDP("41453TCF Muni","ID_CUSIP")</f>
        <v>#N/A Requesting Data...</v>
      </c>
      <c r="B986" t="s">
        <v>255</v>
      </c>
      <c r="C986" t="str">
        <f>_xll.BDP("41453TCF Muni","INSURANCE_STATUS")</f>
        <v>#N/A Requesting Data...</v>
      </c>
      <c r="D986" t="str">
        <f>_xll.BDP("41453TCF Muni","STATE_CODE")</f>
        <v>#N/A Requesting Data...</v>
      </c>
      <c r="E986" t="str">
        <f>_xll.BDP("41453TCF Muni","COUNTY_LOCATION_ISSUER")</f>
        <v>#N/A Requesting Data...</v>
      </c>
      <c r="F986" t="str">
        <f>_xll.BDP("41453TCF Muni","DUR_ADJ_MID")</f>
        <v>#N/A Requesting Data...</v>
      </c>
      <c r="G986" t="str">
        <f>_xll.BDP("41453TCF Muni","SPREAD_AT_ISSUANCE_TO_WORST")</f>
        <v>#N/A Requesting Data...</v>
      </c>
      <c r="H986" t="str">
        <f>_xll.BDP("41453TCF Muni","ISSUE_DT")</f>
        <v>#N/A Requesting Data...</v>
      </c>
      <c r="I986" t="str">
        <f>_xll.BDS("41453TCF Muni","MUNI_PURPOSE_SCHED", "aggregate=y")</f>
        <v>#N/A Requesting Data...</v>
      </c>
      <c r="J986" t="str">
        <f>_xll.BDP("41453TCF Muni","CPN")</f>
        <v>#N/A Requesting Data...</v>
      </c>
      <c r="K986" t="str">
        <f>_xll.BDP("41453TCF Muni","MATURITY")</f>
        <v>#N/A Requesting Data...</v>
      </c>
      <c r="L986">
        <v>100000</v>
      </c>
      <c r="M986" t="str">
        <f>_xll.BDP("41453TCF Muni","YIELD_ON_ISSUE_DATE")</f>
        <v>#N/A Requesting Data...</v>
      </c>
      <c r="N986" t="str">
        <f>_xll.BDP("41453TCF Muni","YTW_SPREAD_TO_MATURITY_AT_ISSU")</f>
        <v>#N/A Requesting Data...</v>
      </c>
      <c r="O986" t="str">
        <f>_xll.BDP("41453TCF Muni","BVAL_MID_YTM")</f>
        <v>#N/A Requesting Data...</v>
      </c>
      <c r="P986" t="str">
        <f>_xll.BDP("41453TCF Muni","MUNI_TAX_PROV")</f>
        <v>#N/A Requesting Data...</v>
      </c>
      <c r="Q986" t="str">
        <f>_xll.BDP("41453TCF Muni","MUNI_FED_TAX")</f>
        <v>#N/A Requesting Data...</v>
      </c>
      <c r="R986" t="str">
        <f>_xll.BDP("41453TCF Muni","MUNI_MSRB_VOLUME")</f>
        <v>#N/A Requesting Data...</v>
      </c>
      <c r="S986" t="str">
        <f>_xll.BDP("41453TCF Muni","BB_COMPOSITE")</f>
        <v>#N/A Requesting Data...</v>
      </c>
      <c r="T986" t="str">
        <f>_xll.BDP("41453TCF Muni","LQA_LIQUIDITY_SCORE")</f>
        <v>#N/A Requesting Data...</v>
      </c>
    </row>
    <row r="987" spans="1:20" x14ac:dyDescent="0.25">
      <c r="A987" t="str">
        <f>_xll.BDP("41453TCG Muni","ID_CUSIP")</f>
        <v>#N/A Requesting Data...</v>
      </c>
      <c r="B987" t="s">
        <v>255</v>
      </c>
      <c r="C987" t="str">
        <f>_xll.BDP("41453TCG Muni","INSURANCE_STATUS")</f>
        <v>#N/A Requesting Data...</v>
      </c>
      <c r="D987" t="str">
        <f>_xll.BDP("41453TCG Muni","STATE_CODE")</f>
        <v>#N/A Requesting Data...</v>
      </c>
      <c r="E987" t="str">
        <f>_xll.BDP("41453TCG Muni","COUNTY_LOCATION_ISSUER")</f>
        <v>#N/A Requesting Data...</v>
      </c>
      <c r="F987" t="str">
        <f>_xll.BDP("41453TCG Muni","DUR_ADJ_MID")</f>
        <v>#N/A Requesting Data...</v>
      </c>
      <c r="G987" t="str">
        <f>_xll.BDP("41453TCG Muni","SPREAD_AT_ISSUANCE_TO_WORST")</f>
        <v>#N/A Requesting Data...</v>
      </c>
      <c r="H987" t="str">
        <f>_xll.BDP("41453TCG Muni","ISSUE_DT")</f>
        <v>#N/A Requesting Data...</v>
      </c>
      <c r="I987" t="str">
        <f>_xll.BDS("41453TCG Muni","MUNI_PURPOSE_SCHED", "aggregate=y")</f>
        <v>#N/A Requesting Data...</v>
      </c>
      <c r="J987" t="str">
        <f>_xll.BDP("41453TCG Muni","CPN")</f>
        <v>#N/A Requesting Data...</v>
      </c>
      <c r="K987" t="str">
        <f>_xll.BDP("41453TCG Muni","MATURITY")</f>
        <v>#N/A Requesting Data...</v>
      </c>
      <c r="L987">
        <v>100000</v>
      </c>
      <c r="M987" t="str">
        <f>_xll.BDP("41453TCG Muni","YIELD_ON_ISSUE_DATE")</f>
        <v>#N/A Requesting Data...</v>
      </c>
      <c r="N987" t="str">
        <f>_xll.BDP("41453TCG Muni","YTW_SPREAD_TO_MATURITY_AT_ISSU")</f>
        <v>#N/A Requesting Data...</v>
      </c>
      <c r="O987" t="str">
        <f>_xll.BDP("41453TCG Muni","BVAL_MID_YTM")</f>
        <v>#N/A Requesting Data...</v>
      </c>
      <c r="P987" t="str">
        <f>_xll.BDP("41453TCG Muni","MUNI_TAX_PROV")</f>
        <v>#N/A Requesting Data...</v>
      </c>
      <c r="Q987" t="str">
        <f>_xll.BDP("41453TCG Muni","MUNI_FED_TAX")</f>
        <v>#N/A Requesting Data...</v>
      </c>
      <c r="R987" t="str">
        <f>_xll.BDP("41453TCG Muni","MUNI_MSRB_VOLUME")</f>
        <v>#N/A Requesting Data...</v>
      </c>
      <c r="S987" t="str">
        <f>_xll.BDP("41453TCG Muni","BB_COMPOSITE")</f>
        <v>#N/A Requesting Data...</v>
      </c>
      <c r="T987" t="str">
        <f>_xll.BDP("41453TCG Muni","LQA_LIQUIDITY_SCORE")</f>
        <v>#N/A Requesting Data...</v>
      </c>
    </row>
    <row r="988" spans="1:20" x14ac:dyDescent="0.25">
      <c r="A988" t="str">
        <f>_xll.BDP("41453TDF Muni","ID_CUSIP")</f>
        <v>#N/A Requesting Data...</v>
      </c>
      <c r="B988" t="s">
        <v>255</v>
      </c>
      <c r="C988" t="str">
        <f>_xll.BDP("41453TDF Muni","INSURANCE_STATUS")</f>
        <v>#N/A Requesting Data...</v>
      </c>
      <c r="D988" t="str">
        <f>_xll.BDP("41453TDF Muni","STATE_CODE")</f>
        <v>#N/A Requesting Data...</v>
      </c>
      <c r="E988" t="str">
        <f>_xll.BDP("41453TDF Muni","COUNTY_LOCATION_ISSUER")</f>
        <v>#N/A Requesting Data...</v>
      </c>
      <c r="F988" t="str">
        <f>_xll.BDP("41453TDF Muni","DUR_ADJ_MID")</f>
        <v>#N/A Requesting Data...</v>
      </c>
      <c r="G988" t="str">
        <f>_xll.BDP("41453TDF Muni","SPREAD_AT_ISSUANCE_TO_WORST")</f>
        <v>#N/A Requesting Data...</v>
      </c>
      <c r="H988" t="str">
        <f>_xll.BDP("41453TDF Muni","ISSUE_DT")</f>
        <v>#N/A Requesting Data...</v>
      </c>
      <c r="I988" t="str">
        <f>_xll.BDS("41453TDF Muni","MUNI_PURPOSE_SCHED", "aggregate=y")</f>
        <v>#N/A Requesting Data...</v>
      </c>
      <c r="J988" t="str">
        <f>_xll.BDP("41453TDF Muni","CPN")</f>
        <v>#N/A Requesting Data...</v>
      </c>
      <c r="K988" t="str">
        <f>_xll.BDP("41453TDF Muni","MATURITY")</f>
        <v>#N/A Requesting Data...</v>
      </c>
      <c r="L988">
        <v>130000</v>
      </c>
      <c r="M988" t="str">
        <f>_xll.BDP("41453TDF Muni","YIELD_ON_ISSUE_DATE")</f>
        <v>#N/A Requesting Data...</v>
      </c>
      <c r="N988" t="str">
        <f>_xll.BDP("41453TDF Muni","YTW_SPREAD_TO_MATURITY_AT_ISSU")</f>
        <v>#N/A Requesting Data...</v>
      </c>
      <c r="O988" t="str">
        <f>_xll.BDP("41453TDF Muni","BVAL_MID_YTM")</f>
        <v>#N/A Requesting Data...</v>
      </c>
      <c r="P988" t="str">
        <f>_xll.BDP("41453TDF Muni","MUNI_TAX_PROV")</f>
        <v>#N/A Requesting Data...</v>
      </c>
      <c r="Q988" t="str">
        <f>_xll.BDP("41453TDF Muni","MUNI_FED_TAX")</f>
        <v>#N/A Requesting Data...</v>
      </c>
      <c r="R988" t="str">
        <f>_xll.BDP("41453TDF Muni","MUNI_MSRB_VOLUME")</f>
        <v>#N/A Requesting Data...</v>
      </c>
      <c r="S988" t="str">
        <f>_xll.BDP("41453TDF Muni","BB_COMPOSITE")</f>
        <v>#N/A Requesting Data...</v>
      </c>
      <c r="T988" t="str">
        <f>_xll.BDP("41453TDF Muni","LQA_LIQUIDITY_SCORE")</f>
        <v>#N/A Requesting Data...</v>
      </c>
    </row>
    <row r="989" spans="1:20" x14ac:dyDescent="0.25">
      <c r="A989" t="str">
        <f>_xll.BDP("41453TDG Muni","ID_CUSIP")</f>
        <v>#N/A Requesting Data...</v>
      </c>
      <c r="B989" t="s">
        <v>255</v>
      </c>
      <c r="C989" t="str">
        <f>_xll.BDP("41453TDG Muni","INSURANCE_STATUS")</f>
        <v>#N/A Requesting Data...</v>
      </c>
      <c r="D989" t="str">
        <f>_xll.BDP("41453TDG Muni","STATE_CODE")</f>
        <v>#N/A Requesting Data...</v>
      </c>
      <c r="E989" t="str">
        <f>_xll.BDP("41453TDG Muni","COUNTY_LOCATION_ISSUER")</f>
        <v>#N/A Requesting Data...</v>
      </c>
      <c r="F989" t="str">
        <f>_xll.BDP("41453TDG Muni","DUR_ADJ_MID")</f>
        <v>#N/A Requesting Data...</v>
      </c>
      <c r="G989" t="str">
        <f>_xll.BDP("41453TDG Muni","SPREAD_AT_ISSUANCE_TO_WORST")</f>
        <v>#N/A Requesting Data...</v>
      </c>
      <c r="H989" t="str">
        <f>_xll.BDP("41453TDG Muni","ISSUE_DT")</f>
        <v>#N/A Requesting Data...</v>
      </c>
      <c r="I989" t="str">
        <f>_xll.BDS("41453TDG Muni","MUNI_PURPOSE_SCHED", "aggregate=y")</f>
        <v>#N/A Requesting Data...</v>
      </c>
      <c r="J989" t="str">
        <f>_xll.BDP("41453TDG Muni","CPN")</f>
        <v>#N/A Requesting Data...</v>
      </c>
      <c r="K989" t="str">
        <f>_xll.BDP("41453TDG Muni","MATURITY")</f>
        <v>#N/A Requesting Data...</v>
      </c>
      <c r="L989">
        <v>130000</v>
      </c>
      <c r="M989" t="str">
        <f>_xll.BDP("41453TDG Muni","YIELD_ON_ISSUE_DATE")</f>
        <v>#N/A Requesting Data...</v>
      </c>
      <c r="N989" t="str">
        <f>_xll.BDP("41453TDG Muni","YTW_SPREAD_TO_MATURITY_AT_ISSU")</f>
        <v>#N/A Requesting Data...</v>
      </c>
      <c r="O989" t="str">
        <f>_xll.BDP("41453TDG Muni","BVAL_MID_YTM")</f>
        <v>#N/A Requesting Data...</v>
      </c>
      <c r="P989" t="str">
        <f>_xll.BDP("41453TDG Muni","MUNI_TAX_PROV")</f>
        <v>#N/A Requesting Data...</v>
      </c>
      <c r="Q989" t="str">
        <f>_xll.BDP("41453TDG Muni","MUNI_FED_TAX")</f>
        <v>#N/A Requesting Data...</v>
      </c>
      <c r="R989" t="str">
        <f>_xll.BDP("41453TDG Muni","MUNI_MSRB_VOLUME")</f>
        <v>#N/A Requesting Data...</v>
      </c>
      <c r="S989" t="str">
        <f>_xll.BDP("41453TDG Muni","BB_COMPOSITE")</f>
        <v>#N/A Requesting Data...</v>
      </c>
      <c r="T989" t="str">
        <f>_xll.BDP("41453TDG Muni","LQA_LIQUIDITY_SCORE")</f>
        <v>#N/A Requesting Data...</v>
      </c>
    </row>
    <row r="990" spans="1:20" x14ac:dyDescent="0.25">
      <c r="A990" t="str">
        <f>_xll.BDP("41453TDH Muni","ID_CUSIP")</f>
        <v>#N/A Requesting Data...</v>
      </c>
      <c r="B990" t="s">
        <v>255</v>
      </c>
      <c r="C990" t="str">
        <f>_xll.BDP("41453TDH Muni","INSURANCE_STATUS")</f>
        <v>#N/A Requesting Data...</v>
      </c>
      <c r="D990" t="str">
        <f>_xll.BDP("41453TDH Muni","STATE_CODE")</f>
        <v>#N/A Requesting Data...</v>
      </c>
      <c r="E990" t="str">
        <f>_xll.BDP("41453TDH Muni","COUNTY_LOCATION_ISSUER")</f>
        <v>#N/A Requesting Data...</v>
      </c>
      <c r="F990" t="str">
        <f>_xll.BDP("41453TDH Muni","DUR_ADJ_MID")</f>
        <v>#N/A Requesting Data...</v>
      </c>
      <c r="G990" t="str">
        <f>_xll.BDP("41453TDH Muni","SPREAD_AT_ISSUANCE_TO_WORST")</f>
        <v>#N/A Requesting Data...</v>
      </c>
      <c r="H990" t="str">
        <f>_xll.BDP("41453TDH Muni","ISSUE_DT")</f>
        <v>#N/A Requesting Data...</v>
      </c>
      <c r="I990" t="str">
        <f>_xll.BDS("41453TDH Muni","MUNI_PURPOSE_SCHED", "aggregate=y")</f>
        <v>#N/A Requesting Data...</v>
      </c>
      <c r="J990" t="str">
        <f>_xll.BDP("41453TDH Muni","CPN")</f>
        <v>#N/A Requesting Data...</v>
      </c>
      <c r="K990" t="str">
        <f>_xll.BDP("41453TDH Muni","MATURITY")</f>
        <v>#N/A Requesting Data...</v>
      </c>
      <c r="L990">
        <v>130000</v>
      </c>
      <c r="M990" t="str">
        <f>_xll.BDP("41453TDH Muni","YIELD_ON_ISSUE_DATE")</f>
        <v>#N/A Requesting Data...</v>
      </c>
      <c r="N990" t="str">
        <f>_xll.BDP("41453TDH Muni","YTW_SPREAD_TO_MATURITY_AT_ISSU")</f>
        <v>#N/A Requesting Data...</v>
      </c>
      <c r="O990" t="str">
        <f>_xll.BDP("41453TDH Muni","BVAL_MID_YTM")</f>
        <v>#N/A Requesting Data...</v>
      </c>
      <c r="P990" t="str">
        <f>_xll.BDP("41453TDH Muni","MUNI_TAX_PROV")</f>
        <v>#N/A Requesting Data...</v>
      </c>
      <c r="Q990" t="str">
        <f>_xll.BDP("41453TDH Muni","MUNI_FED_TAX")</f>
        <v>#N/A Requesting Data...</v>
      </c>
      <c r="R990" t="str">
        <f>_xll.BDP("41453TDH Muni","MUNI_MSRB_VOLUME")</f>
        <v>#N/A Requesting Data...</v>
      </c>
      <c r="S990" t="str">
        <f>_xll.BDP("41453TDH Muni","BB_COMPOSITE")</f>
        <v>#N/A Requesting Data...</v>
      </c>
      <c r="T990" t="str">
        <f>_xll.BDP("41453TDH Muni","LQA_LIQUIDITY_SCORE")</f>
        <v>#N/A Requesting Data...</v>
      </c>
    </row>
    <row r="991" spans="1:20" x14ac:dyDescent="0.25">
      <c r="A991" t="str">
        <f>_xll.BDP("414888HV Muni","ID_CUSIP")</f>
        <v>#N/A Requesting Data...</v>
      </c>
      <c r="B991" t="s">
        <v>270</v>
      </c>
      <c r="C991" t="str">
        <f>_xll.BDP("414888HV Muni","INSURANCE_STATUS")</f>
        <v>#N/A Requesting Data...</v>
      </c>
      <c r="D991" t="str">
        <f>_xll.BDP("414888HV Muni","STATE_CODE")</f>
        <v>#N/A Requesting Data...</v>
      </c>
      <c r="E991" t="str">
        <f>_xll.BDP("414888HV Muni","COUNTY_LOCATION_ISSUER")</f>
        <v>#N/A Requesting Data...</v>
      </c>
      <c r="F991" t="str">
        <f>_xll.BDP("414888HV Muni","DUR_ADJ_MID")</f>
        <v>#N/A Requesting Data...</v>
      </c>
      <c r="G991" t="str">
        <f>_xll.BDP("414888HV Muni","SPREAD_AT_ISSUANCE_TO_WORST")</f>
        <v>#N/A Requesting Data...</v>
      </c>
      <c r="H991" t="str">
        <f>_xll.BDP("414888HV Muni","ISSUE_DT")</f>
        <v>#N/A Requesting Data...</v>
      </c>
      <c r="I991" t="str">
        <f>_xll.BDS("414888HV Muni","MUNI_PURPOSE_SCHED", "aggregate=y")</f>
        <v>#N/A Requesting Data...</v>
      </c>
      <c r="J991" t="str">
        <f>_xll.BDP("414888HV Muni","CPN")</f>
        <v>#N/A Requesting Data...</v>
      </c>
      <c r="K991" t="str">
        <f>_xll.BDP("414888HV Muni","MATURITY")</f>
        <v>#N/A Requesting Data...</v>
      </c>
      <c r="L991">
        <v>50000</v>
      </c>
      <c r="M991" t="str">
        <f>_xll.BDP("414888HV Muni","YIELD_ON_ISSUE_DATE")</f>
        <v>#N/A Requesting Data...</v>
      </c>
      <c r="N991" t="str">
        <f>_xll.BDP("414888HV Muni","YTW_SPREAD_TO_MATURITY_AT_ISSU")</f>
        <v>#N/A Requesting Data...</v>
      </c>
      <c r="O991" t="str">
        <f>_xll.BDP("414888HV Muni","BVAL_MID_YTM")</f>
        <v>#N/A Requesting Data...</v>
      </c>
      <c r="P991" t="str">
        <f>_xll.BDP("414888HV Muni","MUNI_TAX_PROV")</f>
        <v>#N/A Requesting Data...</v>
      </c>
      <c r="Q991" t="str">
        <f>_xll.BDP("414888HV Muni","MUNI_FED_TAX")</f>
        <v>#N/A Requesting Data...</v>
      </c>
      <c r="R991" t="str">
        <f>_xll.BDP("414888HV Muni","MUNI_MSRB_VOLUME")</f>
        <v>#N/A Requesting Data...</v>
      </c>
      <c r="S991" t="str">
        <f>_xll.BDP("414888HV Muni","BB_COMPOSITE")</f>
        <v>#N/A Requesting Data...</v>
      </c>
      <c r="T991" t="str">
        <f>_xll.BDP("414888HV Muni","LQA_LIQUIDITY_SCORE")</f>
        <v>#N/A Requesting Data...</v>
      </c>
    </row>
    <row r="992" spans="1:20" x14ac:dyDescent="0.25">
      <c r="A992" t="str">
        <f>_xll.BDP("414888HW Muni","ID_CUSIP")</f>
        <v>#N/A Requesting Data...</v>
      </c>
      <c r="B992" t="s">
        <v>270</v>
      </c>
      <c r="C992" t="str">
        <f>_xll.BDP("414888HW Muni","INSURANCE_STATUS")</f>
        <v>#N/A Requesting Data...</v>
      </c>
      <c r="D992" t="str">
        <f>_xll.BDP("414888HW Muni","STATE_CODE")</f>
        <v>#N/A Requesting Data...</v>
      </c>
      <c r="E992" t="str">
        <f>_xll.BDP("414888HW Muni","COUNTY_LOCATION_ISSUER")</f>
        <v>#N/A Requesting Data...</v>
      </c>
      <c r="F992" t="str">
        <f>_xll.BDP("414888HW Muni","DUR_ADJ_MID")</f>
        <v>#N/A Requesting Data...</v>
      </c>
      <c r="G992" t="str">
        <f>_xll.BDP("414888HW Muni","SPREAD_AT_ISSUANCE_TO_WORST")</f>
        <v>#N/A Requesting Data...</v>
      </c>
      <c r="H992" t="str">
        <f>_xll.BDP("414888HW Muni","ISSUE_DT")</f>
        <v>#N/A Requesting Data...</v>
      </c>
      <c r="I992" t="str">
        <f>_xll.BDS("414888HW Muni","MUNI_PURPOSE_SCHED", "aggregate=y")</f>
        <v>#N/A Requesting Data...</v>
      </c>
      <c r="J992" t="str">
        <f>_xll.BDP("414888HW Muni","CPN")</f>
        <v>#N/A Requesting Data...</v>
      </c>
      <c r="K992" t="str">
        <f>_xll.BDP("414888HW Muni","MATURITY")</f>
        <v>#N/A Requesting Data...</v>
      </c>
      <c r="L992">
        <v>50000</v>
      </c>
      <c r="M992" t="str">
        <f>_xll.BDP("414888HW Muni","YIELD_ON_ISSUE_DATE")</f>
        <v>#N/A Requesting Data...</v>
      </c>
      <c r="N992" t="str">
        <f>_xll.BDP("414888HW Muni","YTW_SPREAD_TO_MATURITY_AT_ISSU")</f>
        <v>#N/A Requesting Data...</v>
      </c>
      <c r="O992" t="str">
        <f>_xll.BDP("414888HW Muni","BVAL_MID_YTM")</f>
        <v>#N/A Requesting Data...</v>
      </c>
      <c r="P992" t="str">
        <f>_xll.BDP("414888HW Muni","MUNI_TAX_PROV")</f>
        <v>#N/A Requesting Data...</v>
      </c>
      <c r="Q992" t="str">
        <f>_xll.BDP("414888HW Muni","MUNI_FED_TAX")</f>
        <v>#N/A Requesting Data...</v>
      </c>
      <c r="R992" t="str">
        <f>_xll.BDP("414888HW Muni","MUNI_MSRB_VOLUME")</f>
        <v>#N/A Requesting Data...</v>
      </c>
      <c r="S992" t="str">
        <f>_xll.BDP("414888HW Muni","BB_COMPOSITE")</f>
        <v>#N/A Requesting Data...</v>
      </c>
      <c r="T992" t="str">
        <f>_xll.BDP("414888HW Muni","LQA_LIQUIDITY_SCORE")</f>
        <v>#N/A Requesting Data...</v>
      </c>
    </row>
    <row r="993" spans="1:20" x14ac:dyDescent="0.25">
      <c r="A993" t="str">
        <f>_xll.BDP("414942QD Muni","ID_CUSIP")</f>
        <v>#N/A Requesting Data...</v>
      </c>
      <c r="B993" t="s">
        <v>271</v>
      </c>
      <c r="C993" t="str">
        <f>_xll.BDP("414942QD Muni","INSURANCE_STATUS")</f>
        <v>#N/A Requesting Data...</v>
      </c>
      <c r="D993" t="str">
        <f>_xll.BDP("414942QD Muni","STATE_CODE")</f>
        <v>#N/A Requesting Data...</v>
      </c>
      <c r="E993" t="str">
        <f>_xll.BDP("414942QD Muni","COUNTY_LOCATION_ISSUER")</f>
        <v>#N/A Requesting Data...</v>
      </c>
      <c r="F993" t="str">
        <f>_xll.BDP("414942QD Muni","DUR_ADJ_MID")</f>
        <v>#N/A Requesting Data...</v>
      </c>
      <c r="G993" t="str">
        <f>_xll.BDP("414942QD Muni","SPREAD_AT_ISSUANCE_TO_WORST")</f>
        <v>#N/A Requesting Data...</v>
      </c>
      <c r="H993" t="str">
        <f>_xll.BDP("414942QD Muni","ISSUE_DT")</f>
        <v>#N/A Requesting Data...</v>
      </c>
      <c r="I993" t="str">
        <f>_xll.BDS("414942QD Muni","MUNI_PURPOSE_SCHED", "aggregate=y")</f>
        <v>#N/A Requesting Data...</v>
      </c>
      <c r="J993" t="str">
        <f>_xll.BDP("414942QD Muni","CPN")</f>
        <v>#N/A Requesting Data...</v>
      </c>
      <c r="K993" t="str">
        <f>_xll.BDP("414942QD Muni","MATURITY")</f>
        <v>#N/A Requesting Data...</v>
      </c>
      <c r="L993">
        <v>150000</v>
      </c>
      <c r="M993" t="str">
        <f>_xll.BDP("414942QD Muni","YIELD_ON_ISSUE_DATE")</f>
        <v>#N/A Requesting Data...</v>
      </c>
      <c r="N993" t="str">
        <f>_xll.BDP("414942QD Muni","YTW_SPREAD_TO_MATURITY_AT_ISSU")</f>
        <v>#N/A Requesting Data...</v>
      </c>
      <c r="O993" t="str">
        <f>_xll.BDP("414942QD Muni","BVAL_MID_YTM")</f>
        <v>#N/A Requesting Data...</v>
      </c>
      <c r="P993" t="str">
        <f>_xll.BDP("414942QD Muni","MUNI_TAX_PROV")</f>
        <v>#N/A Requesting Data...</v>
      </c>
      <c r="Q993" t="str">
        <f>_xll.BDP("414942QD Muni","MUNI_FED_TAX")</f>
        <v>#N/A Requesting Data...</v>
      </c>
      <c r="R993" t="str">
        <f>_xll.BDP("414942QD Muni","MUNI_MSRB_VOLUME")</f>
        <v>#N/A Requesting Data...</v>
      </c>
      <c r="S993" t="str">
        <f>_xll.BDP("414942QD Muni","BB_COMPOSITE")</f>
        <v>#N/A Requesting Data...</v>
      </c>
      <c r="T993" t="str">
        <f>_xll.BDP("414942QD Muni","LQA_LIQUIDITY_SCORE")</f>
        <v>#N/A Requesting Data...</v>
      </c>
    </row>
    <row r="994" spans="1:20" x14ac:dyDescent="0.25">
      <c r="A994" t="str">
        <f>_xll.BDP("414945KB Muni","ID_CUSIP")</f>
        <v>#N/A Requesting Data...</v>
      </c>
      <c r="B994" t="s">
        <v>272</v>
      </c>
      <c r="C994" t="str">
        <f>_xll.BDP("414945KB Muni","INSURANCE_STATUS")</f>
        <v>#N/A Requesting Data...</v>
      </c>
      <c r="D994" t="str">
        <f>_xll.BDP("414945KB Muni","STATE_CODE")</f>
        <v>#N/A Requesting Data...</v>
      </c>
      <c r="E994" t="str">
        <f>_xll.BDP("414945KB Muni","COUNTY_LOCATION_ISSUER")</f>
        <v>#N/A Requesting Data...</v>
      </c>
      <c r="F994" t="str">
        <f>_xll.BDP("414945KB Muni","DUR_ADJ_MID")</f>
        <v>#N/A Requesting Data...</v>
      </c>
      <c r="G994" t="str">
        <f>_xll.BDP("414945KB Muni","SPREAD_AT_ISSUANCE_TO_WORST")</f>
        <v>#N/A Requesting Data...</v>
      </c>
      <c r="H994" t="str">
        <f>_xll.BDP("414945KB Muni","ISSUE_DT")</f>
        <v>#N/A Requesting Data...</v>
      </c>
      <c r="I994" t="str">
        <f>_xll.BDS("414945KB Muni","MUNI_PURPOSE_SCHED", "aggregate=y")</f>
        <v>#N/A Requesting Data...</v>
      </c>
      <c r="J994" t="str">
        <f>_xll.BDP("414945KB Muni","CPN")</f>
        <v>#N/A Requesting Data...</v>
      </c>
      <c r="K994" t="str">
        <f>_xll.BDP("414945KB Muni","MATURITY")</f>
        <v>#N/A Requesting Data...</v>
      </c>
      <c r="L994">
        <v>375000</v>
      </c>
      <c r="M994" t="str">
        <f>_xll.BDP("414945KB Muni","YIELD_ON_ISSUE_DATE")</f>
        <v>#N/A Requesting Data...</v>
      </c>
      <c r="N994" t="str">
        <f>_xll.BDP("414945KB Muni","YTW_SPREAD_TO_MATURITY_AT_ISSU")</f>
        <v>#N/A Requesting Data...</v>
      </c>
      <c r="O994" t="str">
        <f>_xll.BDP("414945KB Muni","BVAL_MID_YTM")</f>
        <v>#N/A Requesting Data...</v>
      </c>
      <c r="P994" t="str">
        <f>_xll.BDP("414945KB Muni","MUNI_TAX_PROV")</f>
        <v>#N/A Requesting Data...</v>
      </c>
      <c r="Q994" t="str">
        <f>_xll.BDP("414945KB Muni","MUNI_FED_TAX")</f>
        <v>#N/A Requesting Data...</v>
      </c>
      <c r="R994" t="str">
        <f>_xll.BDP("414945KB Muni","MUNI_MSRB_VOLUME")</f>
        <v>#N/A Requesting Data...</v>
      </c>
      <c r="S994" t="str">
        <f>_xll.BDP("414945KB Muni","BB_COMPOSITE")</f>
        <v>#N/A Requesting Data...</v>
      </c>
      <c r="T994" t="str">
        <f>_xll.BDP("414945KB Muni","LQA_LIQUIDITY_SCORE")</f>
        <v>#N/A Requesting Data...</v>
      </c>
    </row>
    <row r="995" spans="1:20" x14ac:dyDescent="0.25">
      <c r="A995" t="str">
        <f>_xll.BDP("414971DA Muni","ID_CUSIP")</f>
        <v>#N/A Requesting Data...</v>
      </c>
      <c r="B995" t="s">
        <v>273</v>
      </c>
      <c r="C995" t="str">
        <f>_xll.BDP("414971DA Muni","INSURANCE_STATUS")</f>
        <v>#N/A Requesting Data...</v>
      </c>
      <c r="D995" t="str">
        <f>_xll.BDP("414971DA Muni","STATE_CODE")</f>
        <v>#N/A Requesting Data...</v>
      </c>
      <c r="E995" t="str">
        <f>_xll.BDP("414971DA Muni","COUNTY_LOCATION_ISSUER")</f>
        <v>#N/A Requesting Data...</v>
      </c>
      <c r="F995" t="str">
        <f>_xll.BDP("414971DA Muni","DUR_ADJ_MID")</f>
        <v>#N/A Requesting Data...</v>
      </c>
      <c r="G995" t="str">
        <f>_xll.BDP("414971DA Muni","SPREAD_AT_ISSUANCE_TO_WORST")</f>
        <v>#N/A Requesting Data...</v>
      </c>
      <c r="H995" t="str">
        <f>_xll.BDP("414971DA Muni","ISSUE_DT")</f>
        <v>#N/A Requesting Data...</v>
      </c>
      <c r="I995" t="str">
        <f>_xll.BDS("414971DA Muni","MUNI_PURPOSE_SCHED", "aggregate=y")</f>
        <v>#N/A Requesting Data...</v>
      </c>
      <c r="J995" t="str">
        <f>_xll.BDP("414971DA Muni","CPN")</f>
        <v>#N/A Requesting Data...</v>
      </c>
      <c r="K995" t="str">
        <f>_xll.BDP("414971DA Muni","MATURITY")</f>
        <v>#N/A Requesting Data...</v>
      </c>
      <c r="L995">
        <v>125000</v>
      </c>
      <c r="M995" t="str">
        <f>_xll.BDP("414971DA Muni","YIELD_ON_ISSUE_DATE")</f>
        <v>#N/A Requesting Data...</v>
      </c>
      <c r="N995" t="str">
        <f>_xll.BDP("414971DA Muni","YTW_SPREAD_TO_MATURITY_AT_ISSU")</f>
        <v>#N/A Requesting Data...</v>
      </c>
      <c r="O995" t="str">
        <f>_xll.BDP("414971DA Muni","BVAL_MID_YTM")</f>
        <v>#N/A Requesting Data...</v>
      </c>
      <c r="P995" t="str">
        <f>_xll.BDP("414971DA Muni","MUNI_TAX_PROV")</f>
        <v>#N/A Requesting Data...</v>
      </c>
      <c r="Q995" t="str">
        <f>_xll.BDP("414971DA Muni","MUNI_FED_TAX")</f>
        <v>#N/A Requesting Data...</v>
      </c>
      <c r="R995" t="str">
        <f>_xll.BDP("414971DA Muni","MUNI_MSRB_VOLUME")</f>
        <v>#N/A Requesting Data...</v>
      </c>
      <c r="S995" t="str">
        <f>_xll.BDP("414971DA Muni","BB_COMPOSITE")</f>
        <v>#N/A Requesting Data...</v>
      </c>
      <c r="T995" t="str">
        <f>_xll.BDP("414971DA Muni","LQA_LIQUIDITY_SCORE")</f>
        <v>#N/A Requesting Data...</v>
      </c>
    </row>
    <row r="996" spans="1:20" x14ac:dyDescent="0.25">
      <c r="A996" t="str">
        <f>_xll.BDP("414975EG Muni","ID_CUSIP")</f>
        <v>#N/A Requesting Data...</v>
      </c>
      <c r="B996" t="s">
        <v>274</v>
      </c>
      <c r="C996" t="str">
        <f>_xll.BDP("414975EG Muni","INSURANCE_STATUS")</f>
        <v>#N/A Requesting Data...</v>
      </c>
      <c r="D996" t="str">
        <f>_xll.BDP("414975EG Muni","STATE_CODE")</f>
        <v>#N/A Requesting Data...</v>
      </c>
      <c r="E996" t="str">
        <f>_xll.BDP("414975EG Muni","COUNTY_LOCATION_ISSUER")</f>
        <v>#N/A Requesting Data...</v>
      </c>
      <c r="F996" t="str">
        <f>_xll.BDP("414975EG Muni","DUR_ADJ_MID")</f>
        <v>#N/A Requesting Data...</v>
      </c>
      <c r="G996" t="str">
        <f>_xll.BDP("414975EG Muni","SPREAD_AT_ISSUANCE_TO_WORST")</f>
        <v>#N/A Requesting Data...</v>
      </c>
      <c r="H996" t="str">
        <f>_xll.BDP("414975EG Muni","ISSUE_DT")</f>
        <v>#N/A Requesting Data...</v>
      </c>
      <c r="I996" t="str">
        <f>_xll.BDS("414975EG Muni","MUNI_PURPOSE_SCHED", "aggregate=y")</f>
        <v>#N/A Requesting Data...</v>
      </c>
      <c r="J996" t="str">
        <f>_xll.BDP("414975EG Muni","CPN")</f>
        <v>#N/A Requesting Data...</v>
      </c>
      <c r="K996" t="str">
        <f>_xll.BDP("414975EG Muni","MATURITY")</f>
        <v>#N/A Requesting Data...</v>
      </c>
      <c r="L996">
        <v>275000</v>
      </c>
      <c r="M996" t="str">
        <f>_xll.BDP("414975EG Muni","YIELD_ON_ISSUE_DATE")</f>
        <v>#N/A Requesting Data...</v>
      </c>
      <c r="N996" t="str">
        <f>_xll.BDP("414975EG Muni","YTW_SPREAD_TO_MATURITY_AT_ISSU")</f>
        <v>#N/A Requesting Data...</v>
      </c>
      <c r="O996" t="str">
        <f>_xll.BDP("414975EG Muni","BVAL_MID_YTM")</f>
        <v>#N/A Requesting Data...</v>
      </c>
      <c r="P996" t="str">
        <f>_xll.BDP("414975EG Muni","MUNI_TAX_PROV")</f>
        <v>#N/A Requesting Data...</v>
      </c>
      <c r="Q996" t="str">
        <f>_xll.BDP("414975EG Muni","MUNI_FED_TAX")</f>
        <v>#N/A Requesting Data...</v>
      </c>
      <c r="R996" t="str">
        <f>_xll.BDP("414975EG Muni","MUNI_MSRB_VOLUME")</f>
        <v>#N/A Requesting Data...</v>
      </c>
      <c r="S996" t="str">
        <f>_xll.BDP("414975EG Muni","BB_COMPOSITE")</f>
        <v>#N/A Requesting Data...</v>
      </c>
      <c r="T996" t="str">
        <f>_xll.BDP("414975EG Muni","LQA_LIQUIDITY_SCORE")</f>
        <v>#N/A Requesting Data...</v>
      </c>
    </row>
    <row r="997" spans="1:20" x14ac:dyDescent="0.25">
      <c r="A997" t="str">
        <f>_xll.BDP("414962TL Muni","ID_CUSIP")</f>
        <v>#N/A Requesting Data...</v>
      </c>
      <c r="B997" t="s">
        <v>275</v>
      </c>
      <c r="C997" t="str">
        <f>_xll.BDP("414962TL Muni","INSURANCE_STATUS")</f>
        <v>#N/A Requesting Data...</v>
      </c>
      <c r="D997" t="str">
        <f>_xll.BDP("414962TL Muni","STATE_CODE")</f>
        <v>#N/A Requesting Data...</v>
      </c>
      <c r="E997" t="str">
        <f>_xll.BDP("414962TL Muni","COUNTY_LOCATION_ISSUER")</f>
        <v>#N/A Requesting Data...</v>
      </c>
      <c r="F997" t="str">
        <f>_xll.BDP("414962TL Muni","DUR_ADJ_MID")</f>
        <v>#N/A Requesting Data...</v>
      </c>
      <c r="G997" t="str">
        <f>_xll.BDP("414962TL Muni","SPREAD_AT_ISSUANCE_TO_WORST")</f>
        <v>#N/A Requesting Data...</v>
      </c>
      <c r="H997" t="str">
        <f>_xll.BDP("414962TL Muni","ISSUE_DT")</f>
        <v>#N/A Requesting Data...</v>
      </c>
      <c r="I997" t="str">
        <f>_xll.BDS("414962TL Muni","MUNI_PURPOSE_SCHED", "aggregate=y")</f>
        <v>#N/A Requesting Data...</v>
      </c>
      <c r="J997" t="str">
        <f>_xll.BDP("414962TL Muni","CPN")</f>
        <v>#N/A Requesting Data...</v>
      </c>
      <c r="K997" t="str">
        <f>_xll.BDP("414962TL Muni","MATURITY")</f>
        <v>#N/A Requesting Data...</v>
      </c>
      <c r="L997">
        <v>100000</v>
      </c>
      <c r="M997" t="str">
        <f>_xll.BDP("414962TL Muni","YIELD_ON_ISSUE_DATE")</f>
        <v>#N/A Requesting Data...</v>
      </c>
      <c r="N997" t="str">
        <f>_xll.BDP("414962TL Muni","YTW_SPREAD_TO_MATURITY_AT_ISSU")</f>
        <v>#N/A Requesting Data...</v>
      </c>
      <c r="O997" t="str">
        <f>_xll.BDP("414962TL Muni","BVAL_MID_YTM")</f>
        <v>#N/A Requesting Data...</v>
      </c>
      <c r="P997" t="str">
        <f>_xll.BDP("414962TL Muni","MUNI_TAX_PROV")</f>
        <v>#N/A Requesting Data...</v>
      </c>
      <c r="Q997" t="str">
        <f>_xll.BDP("414962TL Muni","MUNI_FED_TAX")</f>
        <v>#N/A Requesting Data...</v>
      </c>
      <c r="R997" t="str">
        <f>_xll.BDP("414962TL Muni","MUNI_MSRB_VOLUME")</f>
        <v>#N/A Requesting Data...</v>
      </c>
      <c r="S997" t="str">
        <f>_xll.BDP("414962TL Muni","BB_COMPOSITE")</f>
        <v>#N/A Requesting Data...</v>
      </c>
      <c r="T997" t="str">
        <f>_xll.BDP("414962TL Muni","LQA_LIQUIDITY_SCORE")</f>
        <v>#N/A Requesting Data...</v>
      </c>
    </row>
    <row r="998" spans="1:20" x14ac:dyDescent="0.25">
      <c r="A998" t="str">
        <f>_xll.BDP("414975EF Muni","ID_CUSIP")</f>
        <v>#N/A Requesting Data...</v>
      </c>
      <c r="B998" t="s">
        <v>274</v>
      </c>
      <c r="C998" t="str">
        <f>_xll.BDP("414975EF Muni","INSURANCE_STATUS")</f>
        <v>#N/A Requesting Data...</v>
      </c>
      <c r="D998" t="str">
        <f>_xll.BDP("414975EF Muni","STATE_CODE")</f>
        <v>#N/A Requesting Data...</v>
      </c>
      <c r="E998" t="str">
        <f>_xll.BDP("414975EF Muni","COUNTY_LOCATION_ISSUER")</f>
        <v>#N/A Requesting Data...</v>
      </c>
      <c r="F998" t="str">
        <f>_xll.BDP("414975EF Muni","DUR_ADJ_MID")</f>
        <v>#N/A Requesting Data...</v>
      </c>
      <c r="G998" t="str">
        <f>_xll.BDP("414975EF Muni","SPREAD_AT_ISSUANCE_TO_WORST")</f>
        <v>#N/A Requesting Data...</v>
      </c>
      <c r="H998" t="str">
        <f>_xll.BDP("414975EF Muni","ISSUE_DT")</f>
        <v>#N/A Requesting Data...</v>
      </c>
      <c r="I998" t="str">
        <f>_xll.BDS("414975EF Muni","MUNI_PURPOSE_SCHED", "aggregate=y")</f>
        <v>#N/A Requesting Data...</v>
      </c>
      <c r="J998" t="str">
        <f>_xll.BDP("414975EF Muni","CPN")</f>
        <v>#N/A Requesting Data...</v>
      </c>
      <c r="K998" t="str">
        <f>_xll.BDP("414975EF Muni","MATURITY")</f>
        <v>#N/A Requesting Data...</v>
      </c>
      <c r="L998">
        <v>275000</v>
      </c>
      <c r="M998" t="str">
        <f>_xll.BDP("414975EF Muni","YIELD_ON_ISSUE_DATE")</f>
        <v>#N/A Requesting Data...</v>
      </c>
      <c r="N998" t="str">
        <f>_xll.BDP("414975EF Muni","YTW_SPREAD_TO_MATURITY_AT_ISSU")</f>
        <v>#N/A Requesting Data...</v>
      </c>
      <c r="O998" t="str">
        <f>_xll.BDP("414975EF Muni","BVAL_MID_YTM")</f>
        <v>#N/A Requesting Data...</v>
      </c>
      <c r="P998" t="str">
        <f>_xll.BDP("414975EF Muni","MUNI_TAX_PROV")</f>
        <v>#N/A Requesting Data...</v>
      </c>
      <c r="Q998" t="str">
        <f>_xll.BDP("414975EF Muni","MUNI_FED_TAX")</f>
        <v>#N/A Requesting Data...</v>
      </c>
      <c r="R998" t="str">
        <f>_xll.BDP("414975EF Muni","MUNI_MSRB_VOLUME")</f>
        <v>#N/A Requesting Data...</v>
      </c>
      <c r="S998" t="str">
        <f>_xll.BDP("414975EF Muni","BB_COMPOSITE")</f>
        <v>#N/A Requesting Data...</v>
      </c>
      <c r="T998" t="str">
        <f>_xll.BDP("414975EF Muni","LQA_LIQUIDITY_SCORE")</f>
        <v>#N/A Requesting Data...</v>
      </c>
    </row>
    <row r="999" spans="1:20" x14ac:dyDescent="0.25">
      <c r="A999" t="str">
        <f>_xll.BDP("348815NZ Muni","ID_CUSIP")</f>
        <v>#N/A Requesting Data...</v>
      </c>
      <c r="B999" t="s">
        <v>276</v>
      </c>
      <c r="C999" t="str">
        <f>_xll.BDP("348815NZ Muni","INSURANCE_STATUS")</f>
        <v>#N/A Requesting Data...</v>
      </c>
      <c r="D999" t="str">
        <f>_xll.BDP("348815NZ Muni","STATE_CODE")</f>
        <v>#N/A Requesting Data...</v>
      </c>
      <c r="E999" t="str">
        <f>_xll.BDP("348815NZ Muni","COUNTY_LOCATION_ISSUER")</f>
        <v>#N/A Requesting Data...</v>
      </c>
      <c r="F999" t="str">
        <f>_xll.BDP("348815NZ Muni","DUR_ADJ_MID")</f>
        <v>#N/A Requesting Data...</v>
      </c>
      <c r="G999" t="str">
        <f>_xll.BDP("348815NZ Muni","SPREAD_AT_ISSUANCE_TO_WORST")</f>
        <v>#N/A Requesting Data...</v>
      </c>
      <c r="H999" t="str">
        <f>_xll.BDP("348815NZ Muni","ISSUE_DT")</f>
        <v>#N/A Requesting Data...</v>
      </c>
      <c r="I999" t="str">
        <f>_xll.BDS("348815NZ Muni","MUNI_PURPOSE_SCHED", "aggregate=y")</f>
        <v>#N/A Requesting Data...</v>
      </c>
      <c r="J999" t="str">
        <f>_xll.BDP("348815NZ Muni","CPN")</f>
        <v>#N/A Requesting Data...</v>
      </c>
      <c r="K999" t="str">
        <f>_xll.BDP("348815NZ Muni","MATURITY")</f>
        <v>#N/A Requesting Data...</v>
      </c>
      <c r="L999">
        <v>5860000</v>
      </c>
      <c r="M999" t="str">
        <f>_xll.BDP("348815NZ Muni","YIELD_ON_ISSUE_DATE")</f>
        <v>#N/A Requesting Data...</v>
      </c>
      <c r="N999" t="str">
        <f>_xll.BDP("348815NZ Muni","YTW_SPREAD_TO_MATURITY_AT_ISSU")</f>
        <v>#N/A Requesting Data...</v>
      </c>
      <c r="O999" t="str">
        <f>_xll.BDP("348815NZ Muni","BVAL_MID_YTM")</f>
        <v>#N/A Requesting Data...</v>
      </c>
      <c r="P999" t="str">
        <f>_xll.BDP("348815NZ Muni","MUNI_TAX_PROV")</f>
        <v>#N/A Requesting Data...</v>
      </c>
      <c r="Q999" t="str">
        <f>_xll.BDP("348815NZ Muni","MUNI_FED_TAX")</f>
        <v>#N/A Requesting Data...</v>
      </c>
      <c r="R999" t="str">
        <f>_xll.BDP("348815NZ Muni","MUNI_MSRB_VOLUME")</f>
        <v>#N/A Requesting Data...</v>
      </c>
      <c r="S999" t="str">
        <f>_xll.BDP("348815NZ Muni","BB_COMPOSITE")</f>
        <v>#N/A Requesting Data...</v>
      </c>
      <c r="T999" t="str">
        <f>_xll.BDP("348815NZ Muni","LQA_LIQUIDITY_SCORE")</f>
        <v>#N/A Requesting Data...</v>
      </c>
    </row>
    <row r="1000" spans="1:20" x14ac:dyDescent="0.25">
      <c r="A1000" t="str">
        <f>_xll.BDP("348815PD Muni","ID_CUSIP")</f>
        <v>#N/A Requesting Data...</v>
      </c>
      <c r="B1000" t="s">
        <v>276</v>
      </c>
      <c r="C1000" t="str">
        <f>_xll.BDP("348815PD Muni","INSURANCE_STATUS")</f>
        <v>#N/A Requesting Data...</v>
      </c>
      <c r="D1000" t="str">
        <f>_xll.BDP("348815PD Muni","STATE_CODE")</f>
        <v>#N/A Requesting Data...</v>
      </c>
      <c r="E1000" t="str">
        <f>_xll.BDP("348815PD Muni","COUNTY_LOCATION_ISSUER")</f>
        <v>#N/A Requesting Data...</v>
      </c>
      <c r="F1000" t="str">
        <f>_xll.BDP("348815PD Muni","DUR_ADJ_MID")</f>
        <v>#N/A Requesting Data...</v>
      </c>
      <c r="G1000" t="str">
        <f>_xll.BDP("348815PD Muni","SPREAD_AT_ISSUANCE_TO_WORST")</f>
        <v>#N/A Requesting Data...</v>
      </c>
      <c r="H1000" t="str">
        <f>_xll.BDP("348815PD Muni","ISSUE_DT")</f>
        <v>#N/A Requesting Data...</v>
      </c>
      <c r="I1000" t="str">
        <f>_xll.BDS("348815PD Muni","MUNI_PURPOSE_SCHED", "aggregate=y")</f>
        <v>#N/A Requesting Data...</v>
      </c>
      <c r="J1000" t="str">
        <f>_xll.BDP("348815PD Muni","CPN")</f>
        <v>#N/A Requesting Data...</v>
      </c>
      <c r="K1000" t="str">
        <f>_xll.BDP("348815PD Muni","MATURITY")</f>
        <v>#N/A Requesting Data...</v>
      </c>
      <c r="L1000">
        <v>6585000</v>
      </c>
      <c r="M1000" t="str">
        <f>_xll.BDP("348815PD Muni","YIELD_ON_ISSUE_DATE")</f>
        <v>#N/A Requesting Data...</v>
      </c>
      <c r="N1000" t="str">
        <f>_xll.BDP("348815PD Muni","YTW_SPREAD_TO_MATURITY_AT_ISSU")</f>
        <v>#N/A Requesting Data...</v>
      </c>
      <c r="O1000" t="str">
        <f>_xll.BDP("348815PD Muni","BVAL_MID_YTM")</f>
        <v>#N/A Requesting Data...</v>
      </c>
      <c r="P1000" t="str">
        <f>_xll.BDP("348815PD Muni","MUNI_TAX_PROV")</f>
        <v>#N/A Requesting Data...</v>
      </c>
      <c r="Q1000" t="str">
        <f>_xll.BDP("348815PD Muni","MUNI_FED_TAX")</f>
        <v>#N/A Requesting Data...</v>
      </c>
      <c r="R1000" t="str">
        <f>_xll.BDP("348815PD Muni","MUNI_MSRB_VOLUME")</f>
        <v>#N/A Requesting Data...</v>
      </c>
      <c r="S1000" t="str">
        <f>_xll.BDP("348815PD Muni","BB_COMPOSITE")</f>
        <v>#N/A Requesting Data...</v>
      </c>
      <c r="T1000" t="str">
        <f>_xll.BDP("348815PD Muni","LQA_LIQUIDITY_SCORE")</f>
        <v>#N/A Requesting Data...</v>
      </c>
    </row>
    <row r="1001" spans="1:20" x14ac:dyDescent="0.25">
      <c r="A1001" t="str">
        <f>_xll.BDP("348815PE Muni","ID_CUSIP")</f>
        <v>#N/A Requesting Data...</v>
      </c>
      <c r="B1001" t="s">
        <v>276</v>
      </c>
      <c r="C1001" t="str">
        <f>_xll.BDP("348815PE Muni","INSURANCE_STATUS")</f>
        <v>#N/A Requesting Data...</v>
      </c>
      <c r="D1001" t="str">
        <f>_xll.BDP("348815PE Muni","STATE_CODE")</f>
        <v>#N/A Requesting Data...</v>
      </c>
      <c r="E1001" t="str">
        <f>_xll.BDP("348815PE Muni","COUNTY_LOCATION_ISSUER")</f>
        <v>#N/A Requesting Data...</v>
      </c>
      <c r="F1001" t="str">
        <f>_xll.BDP("348815PE Muni","DUR_ADJ_MID")</f>
        <v>#N/A Requesting Data...</v>
      </c>
      <c r="G1001" t="str">
        <f>_xll.BDP("348815PE Muni","SPREAD_AT_ISSUANCE_TO_WORST")</f>
        <v>#N/A Requesting Data...</v>
      </c>
      <c r="H1001" t="str">
        <f>_xll.BDP("348815PE Muni","ISSUE_DT")</f>
        <v>#N/A Requesting Data...</v>
      </c>
      <c r="I1001" t="str">
        <f>_xll.BDS("348815PE Muni","MUNI_PURPOSE_SCHED", "aggregate=y")</f>
        <v>#N/A Requesting Data...</v>
      </c>
      <c r="J1001" t="str">
        <f>_xll.BDP("348815PE Muni","CPN")</f>
        <v>#N/A Requesting Data...</v>
      </c>
      <c r="K1001" t="str">
        <f>_xll.BDP("348815PE Muni","MATURITY")</f>
        <v>#N/A Requesting Data...</v>
      </c>
      <c r="L1001">
        <v>7950000</v>
      </c>
      <c r="M1001" t="str">
        <f>_xll.BDP("348815PE Muni","YIELD_ON_ISSUE_DATE")</f>
        <v>#N/A Requesting Data...</v>
      </c>
      <c r="N1001" t="str">
        <f>_xll.BDP("348815PE Muni","YTW_SPREAD_TO_MATURITY_AT_ISSU")</f>
        <v>#N/A Requesting Data...</v>
      </c>
      <c r="O1001" t="str">
        <f>_xll.BDP("348815PE Muni","BVAL_MID_YTM")</f>
        <v>#N/A Requesting Data...</v>
      </c>
      <c r="P1001" t="str">
        <f>_xll.BDP("348815PE Muni","MUNI_TAX_PROV")</f>
        <v>#N/A Requesting Data...</v>
      </c>
      <c r="Q1001" t="str">
        <f>_xll.BDP("348815PE Muni","MUNI_FED_TAX")</f>
        <v>#N/A Requesting Data...</v>
      </c>
      <c r="R1001" t="str">
        <f>_xll.BDP("348815PE Muni","MUNI_MSRB_VOLUME")</f>
        <v>#N/A Requesting Data...</v>
      </c>
      <c r="S1001" t="str">
        <f>_xll.BDP("348815PE Muni","BB_COMPOSITE")</f>
        <v>#N/A Requesting Data...</v>
      </c>
      <c r="T1001" t="str">
        <f>_xll.BDP("348815PE Muni","LQA_LIQUIDITY_SCORE")</f>
        <v>#N/A Requesting Data...</v>
      </c>
    </row>
    <row r="1002" spans="1:20" x14ac:dyDescent="0.25">
      <c r="A1002" t="str">
        <f>_xll.BDP("269425EX Muni","ID_CUSIP")</f>
        <v>#N/A Requesting Data...</v>
      </c>
      <c r="B1002" t="s">
        <v>277</v>
      </c>
      <c r="C1002" t="str">
        <f>_xll.BDP("269425EX Muni","INSURANCE_STATUS")</f>
        <v>#N/A Requesting Data...</v>
      </c>
      <c r="D1002" t="str">
        <f>_xll.BDP("269425EX Muni","STATE_CODE")</f>
        <v>#N/A Requesting Data...</v>
      </c>
      <c r="E1002" t="str">
        <f>_xll.BDP("269425EX Muni","COUNTY_LOCATION_ISSUER")</f>
        <v>#N/A Requesting Data...</v>
      </c>
      <c r="F1002" t="str">
        <f>_xll.BDP("269425EX Muni","DUR_ADJ_MID")</f>
        <v>#N/A Requesting Data...</v>
      </c>
      <c r="G1002" t="str">
        <f>_xll.BDP("269425EX Muni","SPREAD_AT_ISSUANCE_TO_WORST")</f>
        <v>#N/A Requesting Data...</v>
      </c>
      <c r="H1002" t="str">
        <f>_xll.BDP("269425EX Muni","ISSUE_DT")</f>
        <v>#N/A Requesting Data...</v>
      </c>
      <c r="I1002" t="str">
        <f>_xll.BDS("269425EX Muni","MUNI_PURPOSE_SCHED", "aggregate=y")</f>
        <v>#N/A Requesting Data...</v>
      </c>
      <c r="J1002" t="str">
        <f>_xll.BDP("269425EX Muni","CPN")</f>
        <v>#N/A Requesting Data...</v>
      </c>
      <c r="K1002" t="str">
        <f>_xll.BDP("269425EX Muni","MATURITY")</f>
        <v>#N/A Requesting Data...</v>
      </c>
      <c r="L1002">
        <v>50000</v>
      </c>
      <c r="M1002" t="str">
        <f>_xll.BDP("269425EX Muni","YIELD_ON_ISSUE_DATE")</f>
        <v>#N/A Requesting Data...</v>
      </c>
      <c r="N1002" t="str">
        <f>_xll.BDP("269425EX Muni","YTW_SPREAD_TO_MATURITY_AT_ISSU")</f>
        <v>#N/A Requesting Data...</v>
      </c>
      <c r="O1002" t="str">
        <f>_xll.BDP("269425EX Muni","BVAL_MID_YTM")</f>
        <v>#N/A Requesting Data...</v>
      </c>
      <c r="P1002" t="str">
        <f>_xll.BDP("269425EX Muni","MUNI_TAX_PROV")</f>
        <v>#N/A Requesting Data...</v>
      </c>
      <c r="Q1002" t="str">
        <f>_xll.BDP("269425EX Muni","MUNI_FED_TAX")</f>
        <v>#N/A Requesting Data...</v>
      </c>
      <c r="R1002" t="str">
        <f>_xll.BDP("269425EX Muni","MUNI_MSRB_VOLUME")</f>
        <v>#N/A Requesting Data...</v>
      </c>
      <c r="S1002" t="str">
        <f>_xll.BDP("269425EX Muni","BB_COMPOSITE")</f>
        <v>#N/A Requesting Data...</v>
      </c>
      <c r="T1002" t="str">
        <f>_xll.BDP("269425EX Muni","LQA_LIQUIDITY_SCORE")</f>
        <v>#N/A Requesting Data...</v>
      </c>
    </row>
    <row r="1003" spans="1:20" x14ac:dyDescent="0.25">
      <c r="A1003" t="str">
        <f>_xll.BDP("273533RT Muni","ID_CUSIP")</f>
        <v>#N/A Requesting Data...</v>
      </c>
      <c r="B1003" t="s">
        <v>113</v>
      </c>
      <c r="C1003" t="str">
        <f>_xll.BDP("273533RT Muni","INSURANCE_STATUS")</f>
        <v>#N/A Requesting Data...</v>
      </c>
      <c r="D1003" t="str">
        <f>_xll.BDP("273533RT Muni","STATE_CODE")</f>
        <v>#N/A Requesting Data...</v>
      </c>
      <c r="E1003" t="str">
        <f>_xll.BDP("273533RT Muni","COUNTY_LOCATION_ISSUER")</f>
        <v>#N/A Requesting Data...</v>
      </c>
      <c r="F1003" t="str">
        <f>_xll.BDP("273533RT Muni","DUR_ADJ_MID")</f>
        <v>#N/A Requesting Data...</v>
      </c>
      <c r="G1003" t="str">
        <f>_xll.BDP("273533RT Muni","SPREAD_AT_ISSUANCE_TO_WORST")</f>
        <v>#N/A Requesting Data...</v>
      </c>
      <c r="H1003" t="str">
        <f>_xll.BDP("273533RT Muni","ISSUE_DT")</f>
        <v>#N/A Requesting Data...</v>
      </c>
      <c r="I1003" t="str">
        <f>_xll.BDS("273533RT Muni","MUNI_PURPOSE_SCHED", "aggregate=y")</f>
        <v>#N/A Requesting Data...</v>
      </c>
      <c r="J1003" t="str">
        <f>_xll.BDP("273533RT Muni","CPN")</f>
        <v>#N/A Requesting Data...</v>
      </c>
      <c r="K1003" t="str">
        <f>_xll.BDP("273533RT Muni","MATURITY")</f>
        <v>#N/A Requesting Data...</v>
      </c>
      <c r="L1003">
        <v>380000</v>
      </c>
      <c r="M1003" t="str">
        <f>_xll.BDP("273533RT Muni","YIELD_ON_ISSUE_DATE")</f>
        <v>#N/A Requesting Data...</v>
      </c>
      <c r="N1003" t="str">
        <f>_xll.BDP("273533RT Muni","YTW_SPREAD_TO_MATURITY_AT_ISSU")</f>
        <v>#N/A Requesting Data...</v>
      </c>
      <c r="O1003" t="str">
        <f>_xll.BDP("273533RT Muni","BVAL_MID_YTM")</f>
        <v>#N/A Requesting Data...</v>
      </c>
      <c r="P1003" t="str">
        <f>_xll.BDP("273533RT Muni","MUNI_TAX_PROV")</f>
        <v>#N/A Requesting Data...</v>
      </c>
      <c r="Q1003" t="str">
        <f>_xll.BDP("273533RT Muni","MUNI_FED_TAX")</f>
        <v>#N/A Requesting Data...</v>
      </c>
      <c r="R1003" t="str">
        <f>_xll.BDP("273533RT Muni","MUNI_MSRB_VOLUME")</f>
        <v>#N/A Requesting Data...</v>
      </c>
      <c r="S1003" t="str">
        <f>_xll.BDP("273533RT Muni","BB_COMPOSITE")</f>
        <v>#N/A Requesting Data...</v>
      </c>
      <c r="T1003" t="str">
        <f>_xll.BDP("273533RT Muni","LQA_LIQUIDITY_SCORE")</f>
        <v>#N/A Requesting Data...</v>
      </c>
    </row>
    <row r="1004" spans="1:20" x14ac:dyDescent="0.25">
      <c r="A1004" t="str">
        <f>_xll.BDP("27373CBC Muni","ID_CUSIP")</f>
        <v>#N/A Requesting Data...</v>
      </c>
      <c r="B1004" t="s">
        <v>114</v>
      </c>
      <c r="C1004" t="str">
        <f>_xll.BDP("27373CBC Muni","INSURANCE_STATUS")</f>
        <v>#N/A Requesting Data...</v>
      </c>
      <c r="D1004" t="str">
        <f>_xll.BDP("27373CBC Muni","STATE_CODE")</f>
        <v>#N/A Requesting Data...</v>
      </c>
      <c r="E1004" t="str">
        <f>_xll.BDP("27373CBC Muni","COUNTY_LOCATION_ISSUER")</f>
        <v>#N/A Requesting Data...</v>
      </c>
      <c r="F1004" t="str">
        <f>_xll.BDP("27373CBC Muni","DUR_ADJ_MID")</f>
        <v>#N/A Requesting Data...</v>
      </c>
      <c r="G1004" t="str">
        <f>_xll.BDP("27373CBC Muni","SPREAD_AT_ISSUANCE_TO_WORST")</f>
        <v>#N/A Requesting Data...</v>
      </c>
      <c r="H1004" t="str">
        <f>_xll.BDP("27373CBC Muni","ISSUE_DT")</f>
        <v>#N/A Requesting Data...</v>
      </c>
      <c r="I1004" t="str">
        <f>_xll.BDS("27373CBC Muni","MUNI_PURPOSE_SCHED", "aggregate=y")</f>
        <v>#N/A Requesting Data...</v>
      </c>
      <c r="J1004" t="str">
        <f>_xll.BDP("27373CBC Muni","CPN")</f>
        <v>#N/A Requesting Data...</v>
      </c>
      <c r="K1004" t="str">
        <f>_xll.BDP("27373CBC Muni","MATURITY")</f>
        <v>#N/A Requesting Data...</v>
      </c>
      <c r="L1004">
        <v>60000</v>
      </c>
      <c r="M1004" t="str">
        <f>_xll.BDP("27373CBC Muni","YIELD_ON_ISSUE_DATE")</f>
        <v>#N/A Requesting Data...</v>
      </c>
      <c r="N1004" t="str">
        <f>_xll.BDP("27373CBC Muni","YTW_SPREAD_TO_MATURITY_AT_ISSU")</f>
        <v>#N/A Requesting Data...</v>
      </c>
      <c r="O1004" t="str">
        <f>_xll.BDP("27373CBC Muni","BVAL_MID_YTM")</f>
        <v>#N/A Requesting Data...</v>
      </c>
      <c r="P1004" t="str">
        <f>_xll.BDP("27373CBC Muni","MUNI_TAX_PROV")</f>
        <v>#N/A Requesting Data...</v>
      </c>
      <c r="Q1004" t="str">
        <f>_xll.BDP("27373CBC Muni","MUNI_FED_TAX")</f>
        <v>#N/A Requesting Data...</v>
      </c>
      <c r="R1004" t="str">
        <f>_xll.BDP("27373CBC Muni","MUNI_MSRB_VOLUME")</f>
        <v>#N/A Requesting Data...</v>
      </c>
      <c r="S1004" t="str">
        <f>_xll.BDP("27373CBC Muni","BB_COMPOSITE")</f>
        <v>#N/A Requesting Data...</v>
      </c>
      <c r="T1004" t="str">
        <f>_xll.BDP("27373CBC Muni","LQA_LIQUIDITY_SCORE")</f>
        <v>#N/A Requesting Data...</v>
      </c>
    </row>
    <row r="1005" spans="1:20" x14ac:dyDescent="0.25">
      <c r="A1005" t="str">
        <f>_xll.BDP("47987YAF Muni","ID_CUSIP")</f>
        <v>#N/A Requesting Data...</v>
      </c>
      <c r="B1005" t="s">
        <v>278</v>
      </c>
      <c r="C1005" t="str">
        <f>_xll.BDP("47987YAF Muni","INSURANCE_STATUS")</f>
        <v>#N/A Requesting Data...</v>
      </c>
      <c r="D1005" t="str">
        <f>_xll.BDP("47987YAF Muni","STATE_CODE")</f>
        <v>#N/A Requesting Data...</v>
      </c>
      <c r="E1005" t="str">
        <f>_xll.BDP("47987YAF Muni","COUNTY_LOCATION_ISSUER")</f>
        <v>#N/A Requesting Data...</v>
      </c>
      <c r="F1005" t="str">
        <f>_xll.BDP("47987YAF Muni","DUR_ADJ_MID")</f>
        <v>#N/A Requesting Data...</v>
      </c>
      <c r="G1005" t="str">
        <f>_xll.BDP("47987YAF Muni","SPREAD_AT_ISSUANCE_TO_WORST")</f>
        <v>#N/A Requesting Data...</v>
      </c>
      <c r="H1005" t="str">
        <f>_xll.BDP("47987YAF Muni","ISSUE_DT")</f>
        <v>#N/A Requesting Data...</v>
      </c>
      <c r="I1005" t="str">
        <f>_xll.BDS("47987YAF Muni","MUNI_PURPOSE_SCHED", "aggregate=y")</f>
        <v>#N/A Requesting Data...</v>
      </c>
      <c r="J1005" t="str">
        <f>_xll.BDP("47987YAF Muni","CPN")</f>
        <v>#N/A Requesting Data...</v>
      </c>
      <c r="K1005" t="str">
        <f>_xll.BDP("47987YAF Muni","MATURITY")</f>
        <v>#N/A Requesting Data...</v>
      </c>
      <c r="L1005">
        <v>290000</v>
      </c>
      <c r="M1005" t="str">
        <f>_xll.BDP("47987YAF Muni","YIELD_ON_ISSUE_DATE")</f>
        <v>#N/A Requesting Data...</v>
      </c>
      <c r="N1005" t="str">
        <f>_xll.BDP("47987YAF Muni","YTW_SPREAD_TO_MATURITY_AT_ISSU")</f>
        <v>#N/A Requesting Data...</v>
      </c>
      <c r="O1005" t="str">
        <f>_xll.BDP("47987YAF Muni","BVAL_MID_YTM")</f>
        <v>#N/A Requesting Data...</v>
      </c>
      <c r="P1005" t="str">
        <f>_xll.BDP("47987YAF Muni","MUNI_TAX_PROV")</f>
        <v>#N/A Requesting Data...</v>
      </c>
      <c r="Q1005" t="str">
        <f>_xll.BDP("47987YAF Muni","MUNI_FED_TAX")</f>
        <v>#N/A Requesting Data...</v>
      </c>
      <c r="R1005" t="str">
        <f>_xll.BDP("47987YAF Muni","MUNI_MSRB_VOLUME")</f>
        <v>#N/A Requesting Data...</v>
      </c>
      <c r="S1005" t="str">
        <f>_xll.BDP("47987YAF Muni","BB_COMPOSITE")</f>
        <v>#N/A Requesting Data...</v>
      </c>
      <c r="T1005" t="str">
        <f>_xll.BDP("47987YAF Muni","LQA_LIQUIDITY_SCORE")</f>
        <v>#N/A Requesting Data...</v>
      </c>
    </row>
    <row r="1006" spans="1:20" x14ac:dyDescent="0.25">
      <c r="A1006" t="str">
        <f>_xll.BDP("47987YAG Muni","ID_CUSIP")</f>
        <v>#N/A Requesting Data...</v>
      </c>
      <c r="B1006" t="s">
        <v>278</v>
      </c>
      <c r="C1006" t="str">
        <f>_xll.BDP("47987YAG Muni","INSURANCE_STATUS")</f>
        <v>#N/A Requesting Data...</v>
      </c>
      <c r="D1006" t="str">
        <f>_xll.BDP("47987YAG Muni","STATE_CODE")</f>
        <v>#N/A Requesting Data...</v>
      </c>
      <c r="E1006" t="str">
        <f>_xll.BDP("47987YAG Muni","COUNTY_LOCATION_ISSUER")</f>
        <v>#N/A Requesting Data...</v>
      </c>
      <c r="F1006" t="str">
        <f>_xll.BDP("47987YAG Muni","DUR_ADJ_MID")</f>
        <v>#N/A Requesting Data...</v>
      </c>
      <c r="G1006" t="str">
        <f>_xll.BDP("47987YAG Muni","SPREAD_AT_ISSUANCE_TO_WORST")</f>
        <v>#N/A Requesting Data...</v>
      </c>
      <c r="H1006" t="str">
        <f>_xll.BDP("47987YAG Muni","ISSUE_DT")</f>
        <v>#N/A Requesting Data...</v>
      </c>
      <c r="I1006" t="str">
        <f>_xll.BDS("47987YAG Muni","MUNI_PURPOSE_SCHED", "aggregate=y")</f>
        <v>#N/A Requesting Data...</v>
      </c>
      <c r="J1006" t="str">
        <f>_xll.BDP("47987YAG Muni","CPN")</f>
        <v>#N/A Requesting Data...</v>
      </c>
      <c r="K1006" t="str">
        <f>_xll.BDP("47987YAG Muni","MATURITY")</f>
        <v>#N/A Requesting Data...</v>
      </c>
      <c r="L1006">
        <v>300000</v>
      </c>
      <c r="M1006" t="str">
        <f>_xll.BDP("47987YAG Muni","YIELD_ON_ISSUE_DATE")</f>
        <v>#N/A Requesting Data...</v>
      </c>
      <c r="N1006" t="str">
        <f>_xll.BDP("47987YAG Muni","YTW_SPREAD_TO_MATURITY_AT_ISSU")</f>
        <v>#N/A Requesting Data...</v>
      </c>
      <c r="O1006" t="str">
        <f>_xll.BDP("47987YAG Muni","BVAL_MID_YTM")</f>
        <v>#N/A Requesting Data...</v>
      </c>
      <c r="P1006" t="str">
        <f>_xll.BDP("47987YAG Muni","MUNI_TAX_PROV")</f>
        <v>#N/A Requesting Data...</v>
      </c>
      <c r="Q1006" t="str">
        <f>_xll.BDP("47987YAG Muni","MUNI_FED_TAX")</f>
        <v>#N/A Requesting Data...</v>
      </c>
      <c r="R1006" t="str">
        <f>_xll.BDP("47987YAG Muni","MUNI_MSRB_VOLUME")</f>
        <v>#N/A Requesting Data...</v>
      </c>
      <c r="S1006" t="str">
        <f>_xll.BDP("47987YAG Muni","BB_COMPOSITE")</f>
        <v>#N/A Requesting Data...</v>
      </c>
      <c r="T1006" t="str">
        <f>_xll.BDP("47987YAG Muni","LQA_LIQUIDITY_SCORE")</f>
        <v>#N/A Requesting Data...</v>
      </c>
    </row>
    <row r="1007" spans="1:20" x14ac:dyDescent="0.25">
      <c r="A1007" t="str">
        <f>_xll.BDP("47987YAH Muni","ID_CUSIP")</f>
        <v>#N/A Requesting Data...</v>
      </c>
      <c r="B1007" t="s">
        <v>278</v>
      </c>
      <c r="C1007" t="str">
        <f>_xll.BDP("47987YAH Muni","INSURANCE_STATUS")</f>
        <v>#N/A Requesting Data...</v>
      </c>
      <c r="D1007" t="str">
        <f>_xll.BDP("47987YAH Muni","STATE_CODE")</f>
        <v>#N/A Requesting Data...</v>
      </c>
      <c r="E1007" t="str">
        <f>_xll.BDP("47987YAH Muni","COUNTY_LOCATION_ISSUER")</f>
        <v>#N/A Requesting Data...</v>
      </c>
      <c r="F1007" t="str">
        <f>_xll.BDP("47987YAH Muni","DUR_ADJ_MID")</f>
        <v>#N/A Requesting Data...</v>
      </c>
      <c r="G1007" t="str">
        <f>_xll.BDP("47987YAH Muni","SPREAD_AT_ISSUANCE_TO_WORST")</f>
        <v>#N/A Requesting Data...</v>
      </c>
      <c r="H1007" t="str">
        <f>_xll.BDP("47987YAH Muni","ISSUE_DT")</f>
        <v>#N/A Requesting Data...</v>
      </c>
      <c r="I1007" t="str">
        <f>_xll.BDS("47987YAH Muni","MUNI_PURPOSE_SCHED", "aggregate=y")</f>
        <v>#N/A Requesting Data...</v>
      </c>
      <c r="J1007" t="str">
        <f>_xll.BDP("47987YAH Muni","CPN")</f>
        <v>#N/A Requesting Data...</v>
      </c>
      <c r="K1007" t="str">
        <f>_xll.BDP("47987YAH Muni","MATURITY")</f>
        <v>#N/A Requesting Data...</v>
      </c>
      <c r="L1007">
        <v>315000</v>
      </c>
      <c r="M1007" t="str">
        <f>_xll.BDP("47987YAH Muni","YIELD_ON_ISSUE_DATE")</f>
        <v>#N/A Requesting Data...</v>
      </c>
      <c r="N1007" t="str">
        <f>_xll.BDP("47987YAH Muni","YTW_SPREAD_TO_MATURITY_AT_ISSU")</f>
        <v>#N/A Requesting Data...</v>
      </c>
      <c r="O1007" t="str">
        <f>_xll.BDP("47987YAH Muni","BVAL_MID_YTM")</f>
        <v>#N/A Requesting Data...</v>
      </c>
      <c r="P1007" t="str">
        <f>_xll.BDP("47987YAH Muni","MUNI_TAX_PROV")</f>
        <v>#N/A Requesting Data...</v>
      </c>
      <c r="Q1007" t="str">
        <f>_xll.BDP("47987YAH Muni","MUNI_FED_TAX")</f>
        <v>#N/A Requesting Data...</v>
      </c>
      <c r="R1007" t="str">
        <f>_xll.BDP("47987YAH Muni","MUNI_MSRB_VOLUME")</f>
        <v>#N/A Requesting Data...</v>
      </c>
      <c r="S1007" t="str">
        <f>_xll.BDP("47987YAH Muni","BB_COMPOSITE")</f>
        <v>#N/A Requesting Data...</v>
      </c>
      <c r="T1007" t="str">
        <f>_xll.BDP("47987YAH Muni","LQA_LIQUIDITY_SCORE")</f>
        <v>#N/A Requesting Data...</v>
      </c>
    </row>
    <row r="1008" spans="1:20" x14ac:dyDescent="0.25">
      <c r="A1008" t="str">
        <f>_xll.BDP("4820977W Muni","ID_CUSIP")</f>
        <v>#N/A Requesting Data...</v>
      </c>
      <c r="B1008" t="s">
        <v>279</v>
      </c>
      <c r="C1008" t="str">
        <f>_xll.BDP("4820977W Muni","INSURANCE_STATUS")</f>
        <v>#N/A Requesting Data...</v>
      </c>
      <c r="D1008" t="str">
        <f>_xll.BDP("4820977W Muni","STATE_CODE")</f>
        <v>#N/A Requesting Data...</v>
      </c>
      <c r="E1008" t="str">
        <f>_xll.BDP("4820977W Muni","COUNTY_LOCATION_ISSUER")</f>
        <v>#N/A Requesting Data...</v>
      </c>
      <c r="F1008" t="str">
        <f>_xll.BDP("4820977W Muni","DUR_ADJ_MID")</f>
        <v>#N/A Requesting Data...</v>
      </c>
      <c r="G1008" t="str">
        <f>_xll.BDP("4820977W Muni","SPREAD_AT_ISSUANCE_TO_WORST")</f>
        <v>#N/A Requesting Data...</v>
      </c>
      <c r="H1008" t="str">
        <f>_xll.BDP("4820977W Muni","ISSUE_DT")</f>
        <v>#N/A Requesting Data...</v>
      </c>
      <c r="I1008" t="str">
        <f>_xll.BDS("4820977W Muni","MUNI_PURPOSE_SCHED", "aggregate=y")</f>
        <v>#N/A Requesting Data...</v>
      </c>
      <c r="J1008" t="str">
        <f>_xll.BDP("4820977W Muni","CPN")</f>
        <v>#N/A Requesting Data...</v>
      </c>
      <c r="K1008" t="str">
        <f>_xll.BDP("4820977W Muni","MATURITY")</f>
        <v>#N/A Requesting Data...</v>
      </c>
      <c r="L1008">
        <v>115000</v>
      </c>
      <c r="M1008" t="str">
        <f>_xll.BDP("4820977W Muni","YIELD_ON_ISSUE_DATE")</f>
        <v>#N/A Requesting Data...</v>
      </c>
      <c r="N1008" t="str">
        <f>_xll.BDP("4820977W Muni","YTW_SPREAD_TO_MATURITY_AT_ISSU")</f>
        <v>#N/A Requesting Data...</v>
      </c>
      <c r="O1008" t="str">
        <f>_xll.BDP("4820977W Muni","BVAL_MID_YTM")</f>
        <v>#N/A Requesting Data...</v>
      </c>
      <c r="P1008" t="str">
        <f>_xll.BDP("4820977W Muni","MUNI_TAX_PROV")</f>
        <v>#N/A Requesting Data...</v>
      </c>
      <c r="Q1008" t="str">
        <f>_xll.BDP("4820977W Muni","MUNI_FED_TAX")</f>
        <v>#N/A Requesting Data...</v>
      </c>
      <c r="R1008" t="str">
        <f>_xll.BDP("4820977W Muni","MUNI_MSRB_VOLUME")</f>
        <v>#N/A Requesting Data...</v>
      </c>
      <c r="S1008" t="str">
        <f>_xll.BDP("4820977W Muni","BB_COMPOSITE")</f>
        <v>#N/A Requesting Data...</v>
      </c>
      <c r="T1008" t="str">
        <f>_xll.BDP("4820977W Muni","LQA_LIQUIDITY_SCORE")</f>
        <v>#N/A Requesting Data...</v>
      </c>
    </row>
    <row r="1009" spans="1:20" x14ac:dyDescent="0.25">
      <c r="A1009" t="str">
        <f>_xll.BDP("4820977Y Muni","ID_CUSIP")</f>
        <v>#N/A Requesting Data...</v>
      </c>
      <c r="B1009" t="s">
        <v>279</v>
      </c>
      <c r="C1009" t="str">
        <f>_xll.BDP("4820977Y Muni","INSURANCE_STATUS")</f>
        <v>#N/A Requesting Data...</v>
      </c>
      <c r="D1009" t="str">
        <f>_xll.BDP("4820977Y Muni","STATE_CODE")</f>
        <v>#N/A Requesting Data...</v>
      </c>
      <c r="E1009" t="str">
        <f>_xll.BDP("4820977Y Muni","COUNTY_LOCATION_ISSUER")</f>
        <v>#N/A Requesting Data...</v>
      </c>
      <c r="F1009" t="str">
        <f>_xll.BDP("4820977Y Muni","DUR_ADJ_MID")</f>
        <v>#N/A Requesting Data...</v>
      </c>
      <c r="G1009" t="str">
        <f>_xll.BDP("4820977Y Muni","SPREAD_AT_ISSUANCE_TO_WORST")</f>
        <v>#N/A Requesting Data...</v>
      </c>
      <c r="H1009" t="str">
        <f>_xll.BDP("4820977Y Muni","ISSUE_DT")</f>
        <v>#N/A Requesting Data...</v>
      </c>
      <c r="I1009" t="str">
        <f>_xll.BDS("4820977Y Muni","MUNI_PURPOSE_SCHED", "aggregate=y")</f>
        <v>#N/A Requesting Data...</v>
      </c>
      <c r="J1009" t="str">
        <f>_xll.BDP("4820977Y Muni","CPN")</f>
        <v>#N/A Requesting Data...</v>
      </c>
      <c r="K1009" t="str">
        <f>_xll.BDP("4820977Y Muni","MATURITY")</f>
        <v>#N/A Requesting Data...</v>
      </c>
      <c r="L1009">
        <v>130000</v>
      </c>
      <c r="M1009" t="str">
        <f>_xll.BDP("4820977Y Muni","YIELD_ON_ISSUE_DATE")</f>
        <v>#N/A Requesting Data...</v>
      </c>
      <c r="N1009" t="str">
        <f>_xll.BDP("4820977Y Muni","YTW_SPREAD_TO_MATURITY_AT_ISSU")</f>
        <v>#N/A Requesting Data...</v>
      </c>
      <c r="O1009" t="str">
        <f>_xll.BDP("4820977Y Muni","BVAL_MID_YTM")</f>
        <v>#N/A Requesting Data...</v>
      </c>
      <c r="P1009" t="str">
        <f>_xll.BDP("4820977Y Muni","MUNI_TAX_PROV")</f>
        <v>#N/A Requesting Data...</v>
      </c>
      <c r="Q1009" t="str">
        <f>_xll.BDP("4820977Y Muni","MUNI_FED_TAX")</f>
        <v>#N/A Requesting Data...</v>
      </c>
      <c r="R1009" t="str">
        <f>_xll.BDP("4820977Y Muni","MUNI_MSRB_VOLUME")</f>
        <v>#N/A Requesting Data...</v>
      </c>
      <c r="S1009" t="str">
        <f>_xll.BDP("4820977Y Muni","BB_COMPOSITE")</f>
        <v>#N/A Requesting Data...</v>
      </c>
      <c r="T1009" t="str">
        <f>_xll.BDP("4820977Y Muni","LQA_LIQUIDITY_SCORE")</f>
        <v>#N/A Requesting Data...</v>
      </c>
    </row>
    <row r="1010" spans="1:20" x14ac:dyDescent="0.25">
      <c r="A1010" t="str">
        <f>_xll.BDP("4820977Z Muni","ID_CUSIP")</f>
        <v>#N/A Requesting Data...</v>
      </c>
      <c r="B1010" t="s">
        <v>279</v>
      </c>
      <c r="C1010" t="str">
        <f>_xll.BDP("4820977Z Muni","INSURANCE_STATUS")</f>
        <v>#N/A Requesting Data...</v>
      </c>
      <c r="D1010" t="str">
        <f>_xll.BDP("4820977Z Muni","STATE_CODE")</f>
        <v>#N/A Requesting Data...</v>
      </c>
      <c r="E1010" t="str">
        <f>_xll.BDP("4820977Z Muni","COUNTY_LOCATION_ISSUER")</f>
        <v>#N/A Requesting Data...</v>
      </c>
      <c r="F1010" t="str">
        <f>_xll.BDP("4820977Z Muni","DUR_ADJ_MID")</f>
        <v>#N/A Requesting Data...</v>
      </c>
      <c r="G1010" t="str">
        <f>_xll.BDP("4820977Z Muni","SPREAD_AT_ISSUANCE_TO_WORST")</f>
        <v>#N/A Requesting Data...</v>
      </c>
      <c r="H1010" t="str">
        <f>_xll.BDP("4820977Z Muni","ISSUE_DT")</f>
        <v>#N/A Requesting Data...</v>
      </c>
      <c r="I1010" t="str">
        <f>_xll.BDS("4820977Z Muni","MUNI_PURPOSE_SCHED", "aggregate=y")</f>
        <v>#N/A Requesting Data...</v>
      </c>
      <c r="J1010" t="str">
        <f>_xll.BDP("4820977Z Muni","CPN")</f>
        <v>#N/A Requesting Data...</v>
      </c>
      <c r="K1010" t="str">
        <f>_xll.BDP("4820977Z Muni","MATURITY")</f>
        <v>#N/A Requesting Data...</v>
      </c>
      <c r="L1010">
        <v>135000</v>
      </c>
      <c r="M1010" t="str">
        <f>_xll.BDP("4820977Z Muni","YIELD_ON_ISSUE_DATE")</f>
        <v>#N/A Requesting Data...</v>
      </c>
      <c r="N1010" t="str">
        <f>_xll.BDP("4820977Z Muni","YTW_SPREAD_TO_MATURITY_AT_ISSU")</f>
        <v>#N/A Requesting Data...</v>
      </c>
      <c r="O1010" t="str">
        <f>_xll.BDP("4820977Z Muni","BVAL_MID_YTM")</f>
        <v>#N/A Requesting Data...</v>
      </c>
      <c r="P1010" t="str">
        <f>_xll.BDP("4820977Z Muni","MUNI_TAX_PROV")</f>
        <v>#N/A Requesting Data...</v>
      </c>
      <c r="Q1010" t="str">
        <f>_xll.BDP("4820977Z Muni","MUNI_FED_TAX")</f>
        <v>#N/A Requesting Data...</v>
      </c>
      <c r="R1010" t="str">
        <f>_xll.BDP("4820977Z Muni","MUNI_MSRB_VOLUME")</f>
        <v>#N/A Requesting Data...</v>
      </c>
      <c r="S1010" t="str">
        <f>_xll.BDP("4820977Z Muni","BB_COMPOSITE")</f>
        <v>#N/A Requesting Data...</v>
      </c>
      <c r="T1010" t="str">
        <f>_xll.BDP("4820977Z Muni","LQA_LIQUIDITY_SCORE")</f>
        <v>#N/A Requesting Data...</v>
      </c>
    </row>
    <row r="1011" spans="1:20" x14ac:dyDescent="0.25">
      <c r="A1011" t="str">
        <f>_xll.BDP("483278RS Muni","ID_CUSIP")</f>
        <v>#N/A Requesting Data...</v>
      </c>
      <c r="B1011" t="s">
        <v>227</v>
      </c>
      <c r="C1011" t="str">
        <f>_xll.BDP("483278RS Muni","INSURANCE_STATUS")</f>
        <v>#N/A Requesting Data...</v>
      </c>
      <c r="D1011" t="str">
        <f>_xll.BDP("483278RS Muni","STATE_CODE")</f>
        <v>#N/A Requesting Data...</v>
      </c>
      <c r="E1011" t="str">
        <f>_xll.BDP("483278RS Muni","COUNTY_LOCATION_ISSUER")</f>
        <v>#N/A Requesting Data...</v>
      </c>
      <c r="F1011" t="str">
        <f>_xll.BDP("483278RS Muni","DUR_ADJ_MID")</f>
        <v>#N/A Requesting Data...</v>
      </c>
      <c r="G1011" t="str">
        <f>_xll.BDP("483278RS Muni","SPREAD_AT_ISSUANCE_TO_WORST")</f>
        <v>#N/A Requesting Data...</v>
      </c>
      <c r="H1011" t="str">
        <f>_xll.BDP("483278RS Muni","ISSUE_DT")</f>
        <v>#N/A Requesting Data...</v>
      </c>
      <c r="I1011" t="str">
        <f>_xll.BDS("483278RS Muni","MUNI_PURPOSE_SCHED", "aggregate=y")</f>
        <v>#N/A Requesting Data...</v>
      </c>
      <c r="J1011" t="str">
        <f>_xll.BDP("483278RS Muni","CPN")</f>
        <v>#N/A Requesting Data...</v>
      </c>
      <c r="K1011" t="str">
        <f>_xll.BDP("483278RS Muni","MATURITY")</f>
        <v>#N/A Requesting Data...</v>
      </c>
      <c r="L1011">
        <v>270000</v>
      </c>
      <c r="M1011" t="str">
        <f>_xll.BDP("483278RS Muni","YIELD_ON_ISSUE_DATE")</f>
        <v>#N/A Requesting Data...</v>
      </c>
      <c r="N1011" t="str">
        <f>_xll.BDP("483278RS Muni","YTW_SPREAD_TO_MATURITY_AT_ISSU")</f>
        <v>#N/A Requesting Data...</v>
      </c>
      <c r="O1011" t="str">
        <f>_xll.BDP("483278RS Muni","BVAL_MID_YTM")</f>
        <v>#N/A Requesting Data...</v>
      </c>
      <c r="P1011" t="str">
        <f>_xll.BDP("483278RS Muni","MUNI_TAX_PROV")</f>
        <v>#N/A Requesting Data...</v>
      </c>
      <c r="Q1011" t="str">
        <f>_xll.BDP("483278RS Muni","MUNI_FED_TAX")</f>
        <v>#N/A Requesting Data...</v>
      </c>
      <c r="R1011" t="str">
        <f>_xll.BDP("483278RS Muni","MUNI_MSRB_VOLUME")</f>
        <v>#N/A Requesting Data...</v>
      </c>
      <c r="S1011" t="str">
        <f>_xll.BDP("483278RS Muni","BB_COMPOSITE")</f>
        <v>#N/A Requesting Data...</v>
      </c>
      <c r="T1011" t="str">
        <f>_xll.BDP("483278RS Muni","LQA_LIQUIDITY_SCORE")</f>
        <v>#N/A Requesting Data...</v>
      </c>
    </row>
    <row r="1012" spans="1:20" x14ac:dyDescent="0.25">
      <c r="A1012" t="str">
        <f>_xll.BDP("483278RV Muni","ID_CUSIP")</f>
        <v>#N/A Requesting Data...</v>
      </c>
      <c r="B1012" t="s">
        <v>227</v>
      </c>
      <c r="C1012" t="str">
        <f>_xll.BDP("483278RV Muni","INSURANCE_STATUS")</f>
        <v>#N/A Requesting Data...</v>
      </c>
      <c r="D1012" t="str">
        <f>_xll.BDP("483278RV Muni","STATE_CODE")</f>
        <v>#N/A Requesting Data...</v>
      </c>
      <c r="E1012" t="str">
        <f>_xll.BDP("483278RV Muni","COUNTY_LOCATION_ISSUER")</f>
        <v>#N/A Requesting Data...</v>
      </c>
      <c r="F1012" t="str">
        <f>_xll.BDP("483278RV Muni","DUR_ADJ_MID")</f>
        <v>#N/A Requesting Data...</v>
      </c>
      <c r="G1012" t="str">
        <f>_xll.BDP("483278RV Muni","SPREAD_AT_ISSUANCE_TO_WORST")</f>
        <v>#N/A Requesting Data...</v>
      </c>
      <c r="H1012" t="str">
        <f>_xll.BDP("483278RV Muni","ISSUE_DT")</f>
        <v>#N/A Requesting Data...</v>
      </c>
      <c r="I1012" t="str">
        <f>_xll.BDS("483278RV Muni","MUNI_PURPOSE_SCHED", "aggregate=y")</f>
        <v>#N/A Requesting Data...</v>
      </c>
      <c r="J1012" t="str">
        <f>_xll.BDP("483278RV Muni","CPN")</f>
        <v>#N/A Requesting Data...</v>
      </c>
      <c r="K1012" t="str">
        <f>_xll.BDP("483278RV Muni","MATURITY")</f>
        <v>#N/A Requesting Data...</v>
      </c>
      <c r="L1012">
        <v>310000</v>
      </c>
      <c r="M1012" t="str">
        <f>_xll.BDP("483278RV Muni","YIELD_ON_ISSUE_DATE")</f>
        <v>#N/A Requesting Data...</v>
      </c>
      <c r="N1012" t="str">
        <f>_xll.BDP("483278RV Muni","YTW_SPREAD_TO_MATURITY_AT_ISSU")</f>
        <v>#N/A Requesting Data...</v>
      </c>
      <c r="O1012" t="str">
        <f>_xll.BDP("483278RV Muni","BVAL_MID_YTM")</f>
        <v>#N/A Requesting Data...</v>
      </c>
      <c r="P1012" t="str">
        <f>_xll.BDP("483278RV Muni","MUNI_TAX_PROV")</f>
        <v>#N/A Requesting Data...</v>
      </c>
      <c r="Q1012" t="str">
        <f>_xll.BDP("483278RV Muni","MUNI_FED_TAX")</f>
        <v>#N/A Requesting Data...</v>
      </c>
      <c r="R1012" t="str">
        <f>_xll.BDP("483278RV Muni","MUNI_MSRB_VOLUME")</f>
        <v>#N/A Requesting Data...</v>
      </c>
      <c r="S1012" t="str">
        <f>_xll.BDP("483278RV Muni","BB_COMPOSITE")</f>
        <v>#N/A Requesting Data...</v>
      </c>
      <c r="T1012" t="str">
        <f>_xll.BDP("483278RV Muni","LQA_LIQUIDITY_SCORE")</f>
        <v>#N/A Requesting Data...</v>
      </c>
    </row>
    <row r="1013" spans="1:20" x14ac:dyDescent="0.25">
      <c r="A1013" t="str">
        <f>_xll.BDP("47987YAE Muni","ID_CUSIP")</f>
        <v>#N/A Requesting Data...</v>
      </c>
      <c r="B1013" t="s">
        <v>278</v>
      </c>
      <c r="C1013" t="str">
        <f>_xll.BDP("47987YAE Muni","INSURANCE_STATUS")</f>
        <v>#N/A Requesting Data...</v>
      </c>
      <c r="D1013" t="str">
        <f>_xll.BDP("47987YAE Muni","STATE_CODE")</f>
        <v>#N/A Requesting Data...</v>
      </c>
      <c r="E1013" t="str">
        <f>_xll.BDP("47987YAE Muni","COUNTY_LOCATION_ISSUER")</f>
        <v>#N/A Requesting Data...</v>
      </c>
      <c r="F1013" t="str">
        <f>_xll.BDP("47987YAE Muni","DUR_ADJ_MID")</f>
        <v>#N/A Requesting Data...</v>
      </c>
      <c r="G1013" t="str">
        <f>_xll.BDP("47987YAE Muni","SPREAD_AT_ISSUANCE_TO_WORST")</f>
        <v>#N/A Requesting Data...</v>
      </c>
      <c r="H1013" t="str">
        <f>_xll.BDP("47987YAE Muni","ISSUE_DT")</f>
        <v>#N/A Requesting Data...</v>
      </c>
      <c r="I1013" t="str">
        <f>_xll.BDS("47987YAE Muni","MUNI_PURPOSE_SCHED", "aggregate=y")</f>
        <v>#N/A Requesting Data...</v>
      </c>
      <c r="J1013" t="str">
        <f>_xll.BDP("47987YAE Muni","CPN")</f>
        <v>#N/A Requesting Data...</v>
      </c>
      <c r="K1013" t="str">
        <f>_xll.BDP("47987YAE Muni","MATURITY")</f>
        <v>#N/A Requesting Data...</v>
      </c>
      <c r="L1013">
        <v>280000</v>
      </c>
      <c r="M1013" t="str">
        <f>_xll.BDP("47987YAE Muni","YIELD_ON_ISSUE_DATE")</f>
        <v>#N/A Requesting Data...</v>
      </c>
      <c r="N1013" t="str">
        <f>_xll.BDP("47987YAE Muni","YTW_SPREAD_TO_MATURITY_AT_ISSU")</f>
        <v>#N/A Requesting Data...</v>
      </c>
      <c r="O1013" t="str">
        <f>_xll.BDP("47987YAE Muni","BVAL_MID_YTM")</f>
        <v>#N/A Requesting Data...</v>
      </c>
      <c r="P1013" t="str">
        <f>_xll.BDP("47987YAE Muni","MUNI_TAX_PROV")</f>
        <v>#N/A Requesting Data...</v>
      </c>
      <c r="Q1013" t="str">
        <f>_xll.BDP("47987YAE Muni","MUNI_FED_TAX")</f>
        <v>#N/A Requesting Data...</v>
      </c>
      <c r="R1013" t="str">
        <f>_xll.BDP("47987YAE Muni","MUNI_MSRB_VOLUME")</f>
        <v>#N/A Requesting Data...</v>
      </c>
      <c r="S1013" t="str">
        <f>_xll.BDP("47987YAE Muni","BB_COMPOSITE")</f>
        <v>#N/A Requesting Data...</v>
      </c>
      <c r="T1013" t="str">
        <f>_xll.BDP("47987YAE Muni","LQA_LIQUIDITY_SCORE")</f>
        <v>#N/A Requesting Data...</v>
      </c>
    </row>
    <row r="1014" spans="1:20" x14ac:dyDescent="0.25">
      <c r="A1014" t="str">
        <f>_xll.BDP("47987YAJ Muni","ID_CUSIP")</f>
        <v>#N/A Requesting Data...</v>
      </c>
      <c r="B1014" t="s">
        <v>278</v>
      </c>
      <c r="C1014" t="str">
        <f>_xll.BDP("47987YAJ Muni","INSURANCE_STATUS")</f>
        <v>#N/A Requesting Data...</v>
      </c>
      <c r="D1014" t="str">
        <f>_xll.BDP("47987YAJ Muni","STATE_CODE")</f>
        <v>#N/A Requesting Data...</v>
      </c>
      <c r="E1014" t="str">
        <f>_xll.BDP("47987YAJ Muni","COUNTY_LOCATION_ISSUER")</f>
        <v>#N/A Requesting Data...</v>
      </c>
      <c r="F1014" t="str">
        <f>_xll.BDP("47987YAJ Muni","DUR_ADJ_MID")</f>
        <v>#N/A Requesting Data...</v>
      </c>
      <c r="G1014" t="str">
        <f>_xll.BDP("47987YAJ Muni","SPREAD_AT_ISSUANCE_TO_WORST")</f>
        <v>#N/A Requesting Data...</v>
      </c>
      <c r="H1014" t="str">
        <f>_xll.BDP("47987YAJ Muni","ISSUE_DT")</f>
        <v>#N/A Requesting Data...</v>
      </c>
      <c r="I1014" t="str">
        <f>_xll.BDS("47987YAJ Muni","MUNI_PURPOSE_SCHED", "aggregate=y")</f>
        <v>#N/A Requesting Data...</v>
      </c>
      <c r="J1014" t="str">
        <f>_xll.BDP("47987YAJ Muni","CPN")</f>
        <v>#N/A Requesting Data...</v>
      </c>
      <c r="K1014" t="str">
        <f>_xll.BDP("47987YAJ Muni","MATURITY")</f>
        <v>#N/A Requesting Data...</v>
      </c>
      <c r="L1014">
        <v>330000</v>
      </c>
      <c r="M1014" t="str">
        <f>_xll.BDP("47987YAJ Muni","YIELD_ON_ISSUE_DATE")</f>
        <v>#N/A Requesting Data...</v>
      </c>
      <c r="N1014" t="str">
        <f>_xll.BDP("47987YAJ Muni","YTW_SPREAD_TO_MATURITY_AT_ISSU")</f>
        <v>#N/A Requesting Data...</v>
      </c>
      <c r="O1014" t="str">
        <f>_xll.BDP("47987YAJ Muni","BVAL_MID_YTM")</f>
        <v>#N/A Requesting Data...</v>
      </c>
      <c r="P1014" t="str">
        <f>_xll.BDP("47987YAJ Muni","MUNI_TAX_PROV")</f>
        <v>#N/A Requesting Data...</v>
      </c>
      <c r="Q1014" t="str">
        <f>_xll.BDP("47987YAJ Muni","MUNI_FED_TAX")</f>
        <v>#N/A Requesting Data...</v>
      </c>
      <c r="R1014" t="str">
        <f>_xll.BDP("47987YAJ Muni","MUNI_MSRB_VOLUME")</f>
        <v>#N/A Requesting Data...</v>
      </c>
      <c r="S1014" t="str">
        <f>_xll.BDP("47987YAJ Muni","BB_COMPOSITE")</f>
        <v>#N/A Requesting Data...</v>
      </c>
      <c r="T1014" t="str">
        <f>_xll.BDP("47987YAJ Muni","LQA_LIQUIDITY_SCORE")</f>
        <v>#N/A Requesting Data...</v>
      </c>
    </row>
    <row r="1015" spans="1:20" x14ac:dyDescent="0.25">
      <c r="A1015" t="str">
        <f>_xll.BDP("47987YAK Muni","ID_CUSIP")</f>
        <v>#N/A Requesting Data...</v>
      </c>
      <c r="B1015" t="s">
        <v>278</v>
      </c>
      <c r="C1015" t="str">
        <f>_xll.BDP("47987YAK Muni","INSURANCE_STATUS")</f>
        <v>#N/A Requesting Data...</v>
      </c>
      <c r="D1015" t="str">
        <f>_xll.BDP("47987YAK Muni","STATE_CODE")</f>
        <v>#N/A Requesting Data...</v>
      </c>
      <c r="E1015" t="str">
        <f>_xll.BDP("47987YAK Muni","COUNTY_LOCATION_ISSUER")</f>
        <v>#N/A Requesting Data...</v>
      </c>
      <c r="F1015" t="str">
        <f>_xll.BDP("47987YAK Muni","DUR_ADJ_MID")</f>
        <v>#N/A Requesting Data...</v>
      </c>
      <c r="G1015" t="str">
        <f>_xll.BDP("47987YAK Muni","SPREAD_AT_ISSUANCE_TO_WORST")</f>
        <v>#N/A Requesting Data...</v>
      </c>
      <c r="H1015" t="str">
        <f>_xll.BDP("47987YAK Muni","ISSUE_DT")</f>
        <v>#N/A Requesting Data...</v>
      </c>
      <c r="I1015" t="str">
        <f>_xll.BDS("47987YAK Muni","MUNI_PURPOSE_SCHED", "aggregate=y")</f>
        <v>#N/A Requesting Data...</v>
      </c>
      <c r="J1015" t="str">
        <f>_xll.BDP("47987YAK Muni","CPN")</f>
        <v>#N/A Requesting Data...</v>
      </c>
      <c r="K1015" t="str">
        <f>_xll.BDP("47987YAK Muni","MATURITY")</f>
        <v>#N/A Requesting Data...</v>
      </c>
      <c r="L1015">
        <v>345000</v>
      </c>
      <c r="M1015" t="str">
        <f>_xll.BDP("47987YAK Muni","YIELD_ON_ISSUE_DATE")</f>
        <v>#N/A Requesting Data...</v>
      </c>
      <c r="N1015" t="str">
        <f>_xll.BDP("47987YAK Muni","YTW_SPREAD_TO_MATURITY_AT_ISSU")</f>
        <v>#N/A Requesting Data...</v>
      </c>
      <c r="O1015" t="str">
        <f>_xll.BDP("47987YAK Muni","BVAL_MID_YTM")</f>
        <v>#N/A Requesting Data...</v>
      </c>
      <c r="P1015" t="str">
        <f>_xll.BDP("47987YAK Muni","MUNI_TAX_PROV")</f>
        <v>#N/A Requesting Data...</v>
      </c>
      <c r="Q1015" t="str">
        <f>_xll.BDP("47987YAK Muni","MUNI_FED_TAX")</f>
        <v>#N/A Requesting Data...</v>
      </c>
      <c r="R1015" t="str">
        <f>_xll.BDP("47987YAK Muni","MUNI_MSRB_VOLUME")</f>
        <v>#N/A Requesting Data...</v>
      </c>
      <c r="S1015" t="str">
        <f>_xll.BDP("47987YAK Muni","BB_COMPOSITE")</f>
        <v>#N/A Requesting Data...</v>
      </c>
      <c r="T1015" t="str">
        <f>_xll.BDP("47987YAK Muni","LQA_LIQUIDITY_SCORE")</f>
        <v>#N/A Requesting Data...</v>
      </c>
    </row>
    <row r="1016" spans="1:20" x14ac:dyDescent="0.25">
      <c r="A1016" t="str">
        <f>_xll.BDP("4820977X Muni","ID_CUSIP")</f>
        <v>#N/A Requesting Data...</v>
      </c>
      <c r="B1016" t="s">
        <v>279</v>
      </c>
      <c r="C1016" t="str">
        <f>_xll.BDP("4820977X Muni","INSURANCE_STATUS")</f>
        <v>#N/A Requesting Data...</v>
      </c>
      <c r="D1016" t="str">
        <f>_xll.BDP("4820977X Muni","STATE_CODE")</f>
        <v>#N/A Requesting Data...</v>
      </c>
      <c r="E1016" t="str">
        <f>_xll.BDP("4820977X Muni","COUNTY_LOCATION_ISSUER")</f>
        <v>#N/A Requesting Data...</v>
      </c>
      <c r="F1016" t="str">
        <f>_xll.BDP("4820977X Muni","DUR_ADJ_MID")</f>
        <v>#N/A Requesting Data...</v>
      </c>
      <c r="G1016" t="str">
        <f>_xll.BDP("4820977X Muni","SPREAD_AT_ISSUANCE_TO_WORST")</f>
        <v>#N/A Requesting Data...</v>
      </c>
      <c r="H1016" t="str">
        <f>_xll.BDP("4820977X Muni","ISSUE_DT")</f>
        <v>#N/A Requesting Data...</v>
      </c>
      <c r="I1016" t="str">
        <f>_xll.BDS("4820977X Muni","MUNI_PURPOSE_SCHED", "aggregate=y")</f>
        <v>#N/A Requesting Data...</v>
      </c>
      <c r="J1016" t="str">
        <f>_xll.BDP("4820977X Muni","CPN")</f>
        <v>#N/A Requesting Data...</v>
      </c>
      <c r="K1016" t="str">
        <f>_xll.BDP("4820977X Muni","MATURITY")</f>
        <v>#N/A Requesting Data...</v>
      </c>
      <c r="L1016">
        <v>120000</v>
      </c>
      <c r="M1016" t="str">
        <f>_xll.BDP("4820977X Muni","YIELD_ON_ISSUE_DATE")</f>
        <v>#N/A Requesting Data...</v>
      </c>
      <c r="N1016" t="str">
        <f>_xll.BDP("4820977X Muni","YTW_SPREAD_TO_MATURITY_AT_ISSU")</f>
        <v>#N/A Requesting Data...</v>
      </c>
      <c r="O1016" t="str">
        <f>_xll.BDP("4820977X Muni","BVAL_MID_YTM")</f>
        <v>#N/A Requesting Data...</v>
      </c>
      <c r="P1016" t="str">
        <f>_xll.BDP("4820977X Muni","MUNI_TAX_PROV")</f>
        <v>#N/A Requesting Data...</v>
      </c>
      <c r="Q1016" t="str">
        <f>_xll.BDP("4820977X Muni","MUNI_FED_TAX")</f>
        <v>#N/A Requesting Data...</v>
      </c>
      <c r="R1016" t="str">
        <f>_xll.BDP("4820977X Muni","MUNI_MSRB_VOLUME")</f>
        <v>#N/A Requesting Data...</v>
      </c>
      <c r="S1016" t="str">
        <f>_xll.BDP("4820977X Muni","BB_COMPOSITE")</f>
        <v>#N/A Requesting Data...</v>
      </c>
      <c r="T1016" t="str">
        <f>_xll.BDP("4820977X Muni","LQA_LIQUIDITY_SCORE")</f>
        <v>#N/A Requesting Data...</v>
      </c>
    </row>
    <row r="1017" spans="1:20" x14ac:dyDescent="0.25">
      <c r="A1017" t="str">
        <f>_xll.BDP("512026AE Muni","ID_CUSIP")</f>
        <v>#N/A Requesting Data...</v>
      </c>
      <c r="B1017" t="s">
        <v>247</v>
      </c>
      <c r="C1017" t="str">
        <f>_xll.BDP("512026AE Muni","INSURANCE_STATUS")</f>
        <v>#N/A Requesting Data...</v>
      </c>
      <c r="D1017" t="str">
        <f>_xll.BDP("512026AE Muni","STATE_CODE")</f>
        <v>#N/A Requesting Data...</v>
      </c>
      <c r="E1017" t="str">
        <f>_xll.BDP("512026AE Muni","COUNTY_LOCATION_ISSUER")</f>
        <v>#N/A Requesting Data...</v>
      </c>
      <c r="F1017" t="str">
        <f>_xll.BDP("512026AE Muni","DUR_ADJ_MID")</f>
        <v>#N/A Requesting Data...</v>
      </c>
      <c r="G1017" t="str">
        <f>_xll.BDP("512026AE Muni","SPREAD_AT_ISSUANCE_TO_WORST")</f>
        <v>#N/A Requesting Data...</v>
      </c>
      <c r="H1017" t="str">
        <f>_xll.BDP("512026AE Muni","ISSUE_DT")</f>
        <v>#N/A Requesting Data...</v>
      </c>
      <c r="I1017" t="str">
        <f>_xll.BDS("512026AE Muni","MUNI_PURPOSE_SCHED", "aggregate=y")</f>
        <v>#N/A Requesting Data...</v>
      </c>
      <c r="J1017" t="str">
        <f>_xll.BDP("512026AE Muni","CPN")</f>
        <v>#N/A Requesting Data...</v>
      </c>
      <c r="K1017" t="str">
        <f>_xll.BDP("512026AE Muni","MATURITY")</f>
        <v>#N/A Requesting Data...</v>
      </c>
      <c r="L1017">
        <v>130000</v>
      </c>
      <c r="M1017" t="str">
        <f>_xll.BDP("512026AE Muni","YIELD_ON_ISSUE_DATE")</f>
        <v>#N/A Requesting Data...</v>
      </c>
      <c r="N1017" t="str">
        <f>_xll.BDP("512026AE Muni","YTW_SPREAD_TO_MATURITY_AT_ISSU")</f>
        <v>#N/A Requesting Data...</v>
      </c>
      <c r="O1017" t="str">
        <f>_xll.BDP("512026AE Muni","BVAL_MID_YTM")</f>
        <v>#N/A Requesting Data...</v>
      </c>
      <c r="P1017" t="str">
        <f>_xll.BDP("512026AE Muni","MUNI_TAX_PROV")</f>
        <v>#N/A Requesting Data...</v>
      </c>
      <c r="Q1017" t="str">
        <f>_xll.BDP("512026AE Muni","MUNI_FED_TAX")</f>
        <v>#N/A Requesting Data...</v>
      </c>
      <c r="R1017" t="str">
        <f>_xll.BDP("512026AE Muni","MUNI_MSRB_VOLUME")</f>
        <v>#N/A Requesting Data...</v>
      </c>
      <c r="S1017" t="str">
        <f>_xll.BDP("512026AE Muni","BB_COMPOSITE")</f>
        <v>#N/A Requesting Data...</v>
      </c>
      <c r="T1017" t="str">
        <f>_xll.BDP("512026AE Muni","LQA_LIQUIDITY_SCORE")</f>
        <v>#N/A Requesting Data...</v>
      </c>
    </row>
    <row r="1018" spans="1:20" x14ac:dyDescent="0.25">
      <c r="A1018" t="str">
        <f>_xll.BDP("512026AH Muni","ID_CUSIP")</f>
        <v>#N/A Requesting Data...</v>
      </c>
      <c r="B1018" t="s">
        <v>247</v>
      </c>
      <c r="C1018" t="str">
        <f>_xll.BDP("512026AH Muni","INSURANCE_STATUS")</f>
        <v>#N/A Requesting Data...</v>
      </c>
      <c r="D1018" t="str">
        <f>_xll.BDP("512026AH Muni","STATE_CODE")</f>
        <v>#N/A Requesting Data...</v>
      </c>
      <c r="E1018" t="str">
        <f>_xll.BDP("512026AH Muni","COUNTY_LOCATION_ISSUER")</f>
        <v>#N/A Requesting Data...</v>
      </c>
      <c r="F1018" t="str">
        <f>_xll.BDP("512026AH Muni","DUR_ADJ_MID")</f>
        <v>#N/A Requesting Data...</v>
      </c>
      <c r="G1018" t="str">
        <f>_xll.BDP("512026AH Muni","SPREAD_AT_ISSUANCE_TO_WORST")</f>
        <v>#N/A Requesting Data...</v>
      </c>
      <c r="H1018" t="str">
        <f>_xll.BDP("512026AH Muni","ISSUE_DT")</f>
        <v>#N/A Requesting Data...</v>
      </c>
      <c r="I1018" t="str">
        <f>_xll.BDS("512026AH Muni","MUNI_PURPOSE_SCHED", "aggregate=y")</f>
        <v>#N/A Requesting Data...</v>
      </c>
      <c r="J1018" t="str">
        <f>_xll.BDP("512026AH Muni","CPN")</f>
        <v>#N/A Requesting Data...</v>
      </c>
      <c r="K1018" t="str">
        <f>_xll.BDP("512026AH Muni","MATURITY")</f>
        <v>#N/A Requesting Data...</v>
      </c>
      <c r="L1018">
        <v>180000</v>
      </c>
      <c r="M1018" t="str">
        <f>_xll.BDP("512026AH Muni","YIELD_ON_ISSUE_DATE")</f>
        <v>#N/A Requesting Data...</v>
      </c>
      <c r="N1018" t="str">
        <f>_xll.BDP("512026AH Muni","YTW_SPREAD_TO_MATURITY_AT_ISSU")</f>
        <v>#N/A Requesting Data...</v>
      </c>
      <c r="O1018" t="str">
        <f>_xll.BDP("512026AH Muni","BVAL_MID_YTM")</f>
        <v>#N/A Requesting Data...</v>
      </c>
      <c r="P1018" t="str">
        <f>_xll.BDP("512026AH Muni","MUNI_TAX_PROV")</f>
        <v>#N/A Requesting Data...</v>
      </c>
      <c r="Q1018" t="str">
        <f>_xll.BDP("512026AH Muni","MUNI_FED_TAX")</f>
        <v>#N/A Requesting Data...</v>
      </c>
      <c r="R1018" t="str">
        <f>_xll.BDP("512026AH Muni","MUNI_MSRB_VOLUME")</f>
        <v>#N/A Requesting Data...</v>
      </c>
      <c r="S1018" t="str">
        <f>_xll.BDP("512026AH Muni","BB_COMPOSITE")</f>
        <v>#N/A Requesting Data...</v>
      </c>
      <c r="T1018" t="str">
        <f>_xll.BDP("512026AH Muni","LQA_LIQUIDITY_SCORE")</f>
        <v>#N/A Requesting Data...</v>
      </c>
    </row>
    <row r="1019" spans="1:20" x14ac:dyDescent="0.25">
      <c r="A1019" t="str">
        <f>_xll.BDP("512185GD Muni","ID_CUSIP")</f>
        <v>#N/A Requesting Data...</v>
      </c>
      <c r="B1019" t="s">
        <v>248</v>
      </c>
      <c r="C1019" t="str">
        <f>_xll.BDP("512185GD Muni","INSURANCE_STATUS")</f>
        <v>#N/A Requesting Data...</v>
      </c>
      <c r="D1019" t="str">
        <f>_xll.BDP("512185GD Muni","STATE_CODE")</f>
        <v>#N/A Requesting Data...</v>
      </c>
      <c r="E1019" t="str">
        <f>_xll.BDP("512185GD Muni","COUNTY_LOCATION_ISSUER")</f>
        <v>#N/A Requesting Data...</v>
      </c>
      <c r="F1019" t="str">
        <f>_xll.BDP("512185GD Muni","DUR_ADJ_MID")</f>
        <v>#N/A Requesting Data...</v>
      </c>
      <c r="G1019" t="str">
        <f>_xll.BDP("512185GD Muni","SPREAD_AT_ISSUANCE_TO_WORST")</f>
        <v>#N/A Requesting Data...</v>
      </c>
      <c r="H1019" t="str">
        <f>_xll.BDP("512185GD Muni","ISSUE_DT")</f>
        <v>#N/A Requesting Data...</v>
      </c>
      <c r="I1019" t="str">
        <f>_xll.BDS("512185GD Muni","MUNI_PURPOSE_SCHED", "aggregate=y")</f>
        <v>#N/A Requesting Data...</v>
      </c>
      <c r="J1019" t="str">
        <f>_xll.BDP("512185GD Muni","CPN")</f>
        <v>#N/A Requesting Data...</v>
      </c>
      <c r="K1019" t="str">
        <f>_xll.BDP("512185GD Muni","MATURITY")</f>
        <v>#N/A Requesting Data...</v>
      </c>
      <c r="L1019">
        <v>100000</v>
      </c>
      <c r="M1019" t="str">
        <f>_xll.BDP("512185GD Muni","YIELD_ON_ISSUE_DATE")</f>
        <v>#N/A Requesting Data...</v>
      </c>
      <c r="N1019" t="str">
        <f>_xll.BDP("512185GD Muni","YTW_SPREAD_TO_MATURITY_AT_ISSU")</f>
        <v>#N/A Requesting Data...</v>
      </c>
      <c r="O1019" t="str">
        <f>_xll.BDP("512185GD Muni","BVAL_MID_YTM")</f>
        <v>#N/A Requesting Data...</v>
      </c>
      <c r="P1019" t="str">
        <f>_xll.BDP("512185GD Muni","MUNI_TAX_PROV")</f>
        <v>#N/A Requesting Data...</v>
      </c>
      <c r="Q1019" t="str">
        <f>_xll.BDP("512185GD Muni","MUNI_FED_TAX")</f>
        <v>#N/A Requesting Data...</v>
      </c>
      <c r="R1019" t="str">
        <f>_xll.BDP("512185GD Muni","MUNI_MSRB_VOLUME")</f>
        <v>#N/A Requesting Data...</v>
      </c>
      <c r="S1019" t="str">
        <f>_xll.BDP("512185GD Muni","BB_COMPOSITE")</f>
        <v>#N/A Requesting Data...</v>
      </c>
      <c r="T1019" t="str">
        <f>_xll.BDP("512185GD Muni","LQA_LIQUIDITY_SCORE")</f>
        <v>#N/A Requesting Data...</v>
      </c>
    </row>
    <row r="1020" spans="1:20" x14ac:dyDescent="0.25">
      <c r="A1020" t="str">
        <f>_xll.BDP("512185GF Muni","ID_CUSIP")</f>
        <v>#N/A Requesting Data...</v>
      </c>
      <c r="B1020" t="s">
        <v>248</v>
      </c>
      <c r="C1020" t="str">
        <f>_xll.BDP("512185GF Muni","INSURANCE_STATUS")</f>
        <v>#N/A Requesting Data...</v>
      </c>
      <c r="D1020" t="str">
        <f>_xll.BDP("512185GF Muni","STATE_CODE")</f>
        <v>#N/A Requesting Data...</v>
      </c>
      <c r="E1020" t="str">
        <f>_xll.BDP("512185GF Muni","COUNTY_LOCATION_ISSUER")</f>
        <v>#N/A Requesting Data...</v>
      </c>
      <c r="F1020" t="str">
        <f>_xll.BDP("512185GF Muni","DUR_ADJ_MID")</f>
        <v>#N/A Requesting Data...</v>
      </c>
      <c r="G1020" t="str">
        <f>_xll.BDP("512185GF Muni","SPREAD_AT_ISSUANCE_TO_WORST")</f>
        <v>#N/A Requesting Data...</v>
      </c>
      <c r="H1020" t="str">
        <f>_xll.BDP("512185GF Muni","ISSUE_DT")</f>
        <v>#N/A Requesting Data...</v>
      </c>
      <c r="I1020" t="str">
        <f>_xll.BDS("512185GF Muni","MUNI_PURPOSE_SCHED", "aggregate=y")</f>
        <v>#N/A Requesting Data...</v>
      </c>
      <c r="J1020" t="str">
        <f>_xll.BDP("512185GF Muni","CPN")</f>
        <v>#N/A Requesting Data...</v>
      </c>
      <c r="K1020" t="str">
        <f>_xll.BDP("512185GF Muni","MATURITY")</f>
        <v>#N/A Requesting Data...</v>
      </c>
      <c r="L1020">
        <v>100000</v>
      </c>
      <c r="M1020" t="str">
        <f>_xll.BDP("512185GF Muni","YIELD_ON_ISSUE_DATE")</f>
        <v>#N/A Requesting Data...</v>
      </c>
      <c r="N1020" t="str">
        <f>_xll.BDP("512185GF Muni","YTW_SPREAD_TO_MATURITY_AT_ISSU")</f>
        <v>#N/A Requesting Data...</v>
      </c>
      <c r="O1020" t="str">
        <f>_xll.BDP("512185GF Muni","BVAL_MID_YTM")</f>
        <v>#N/A Requesting Data...</v>
      </c>
      <c r="P1020" t="str">
        <f>_xll.BDP("512185GF Muni","MUNI_TAX_PROV")</f>
        <v>#N/A Requesting Data...</v>
      </c>
      <c r="Q1020" t="str">
        <f>_xll.BDP("512185GF Muni","MUNI_FED_TAX")</f>
        <v>#N/A Requesting Data...</v>
      </c>
      <c r="R1020" t="str">
        <f>_xll.BDP("512185GF Muni","MUNI_MSRB_VOLUME")</f>
        <v>#N/A Requesting Data...</v>
      </c>
      <c r="S1020" t="str">
        <f>_xll.BDP("512185GF Muni","BB_COMPOSITE")</f>
        <v>#N/A Requesting Data...</v>
      </c>
      <c r="T1020" t="str">
        <f>_xll.BDP("512185GF Muni","LQA_LIQUIDITY_SCORE")</f>
        <v>#N/A Requesting Data...</v>
      </c>
    </row>
    <row r="1021" spans="1:20" x14ac:dyDescent="0.25">
      <c r="A1021" t="str">
        <f>_xll.BDP("51219HBB Muni","ID_CUSIP")</f>
        <v>#N/A Requesting Data...</v>
      </c>
      <c r="B1021" t="s">
        <v>249</v>
      </c>
      <c r="C1021" t="str">
        <f>_xll.BDP("51219HBB Muni","INSURANCE_STATUS")</f>
        <v>#N/A Requesting Data...</v>
      </c>
      <c r="D1021" t="str">
        <f>_xll.BDP("51219HBB Muni","STATE_CODE")</f>
        <v>#N/A Requesting Data...</v>
      </c>
      <c r="E1021" t="str">
        <f>_xll.BDP("51219HBB Muni","COUNTY_LOCATION_ISSUER")</f>
        <v>#N/A Requesting Data...</v>
      </c>
      <c r="F1021" t="str">
        <f>_xll.BDP("51219HBB Muni","DUR_ADJ_MID")</f>
        <v>#N/A Requesting Data...</v>
      </c>
      <c r="G1021" t="str">
        <f>_xll.BDP("51219HBB Muni","SPREAD_AT_ISSUANCE_TO_WORST")</f>
        <v>#N/A Requesting Data...</v>
      </c>
      <c r="H1021" t="str">
        <f>_xll.BDP("51219HBB Muni","ISSUE_DT")</f>
        <v>#N/A Requesting Data...</v>
      </c>
      <c r="I1021" t="str">
        <f>_xll.BDS("51219HBB Muni","MUNI_PURPOSE_SCHED", "aggregate=y")</f>
        <v>#N/A Requesting Data...</v>
      </c>
      <c r="J1021" t="str">
        <f>_xll.BDP("51219HBB Muni","CPN")</f>
        <v>#N/A Requesting Data...</v>
      </c>
      <c r="K1021" t="str">
        <f>_xll.BDP("51219HBB Muni","MATURITY")</f>
        <v>#N/A Requesting Data...</v>
      </c>
      <c r="L1021">
        <v>60000</v>
      </c>
      <c r="M1021" t="str">
        <f>_xll.BDP("51219HBB Muni","YIELD_ON_ISSUE_DATE")</f>
        <v>#N/A Requesting Data...</v>
      </c>
      <c r="N1021" t="str">
        <f>_xll.BDP("51219HBB Muni","YTW_SPREAD_TO_MATURITY_AT_ISSU")</f>
        <v>#N/A Requesting Data...</v>
      </c>
      <c r="O1021" t="str">
        <f>_xll.BDP("51219HBB Muni","BVAL_MID_YTM")</f>
        <v>#N/A Requesting Data...</v>
      </c>
      <c r="P1021" t="str">
        <f>_xll.BDP("51219HBB Muni","MUNI_TAX_PROV")</f>
        <v>#N/A Requesting Data...</v>
      </c>
      <c r="Q1021" t="str">
        <f>_xll.BDP("51219HBB Muni","MUNI_FED_TAX")</f>
        <v>#N/A Requesting Data...</v>
      </c>
      <c r="R1021" t="str">
        <f>_xll.BDP("51219HBB Muni","MUNI_MSRB_VOLUME")</f>
        <v>#N/A Requesting Data...</v>
      </c>
      <c r="S1021" t="str">
        <f>_xll.BDP("51219HBB Muni","BB_COMPOSITE")</f>
        <v>#N/A Requesting Data...</v>
      </c>
      <c r="T1021" t="str">
        <f>_xll.BDP("51219HBB Muni","LQA_LIQUIDITY_SCORE")</f>
        <v>#N/A Requesting Data...</v>
      </c>
    </row>
    <row r="1022" spans="1:20" x14ac:dyDescent="0.25">
      <c r="A1022" t="str">
        <f>_xll.BDP("512445R6 Muni","ID_CUSIP")</f>
        <v>#N/A Requesting Data...</v>
      </c>
      <c r="B1022" t="s">
        <v>250</v>
      </c>
      <c r="C1022" t="str">
        <f>_xll.BDP("512445R6 Muni","INSURANCE_STATUS")</f>
        <v>#N/A Requesting Data...</v>
      </c>
      <c r="D1022" t="str">
        <f>_xll.BDP("512445R6 Muni","STATE_CODE")</f>
        <v>#N/A Requesting Data...</v>
      </c>
      <c r="E1022" t="str">
        <f>_xll.BDP("512445R6 Muni","COUNTY_LOCATION_ISSUER")</f>
        <v>#N/A Requesting Data...</v>
      </c>
      <c r="F1022" t="str">
        <f>_xll.BDP("512445R6 Muni","DUR_ADJ_MID")</f>
        <v>#N/A Requesting Data...</v>
      </c>
      <c r="G1022" t="str">
        <f>_xll.BDP("512445R6 Muni","SPREAD_AT_ISSUANCE_TO_WORST")</f>
        <v>#N/A Requesting Data...</v>
      </c>
      <c r="H1022" t="str">
        <f>_xll.BDP("512445R6 Muni","ISSUE_DT")</f>
        <v>#N/A Requesting Data...</v>
      </c>
      <c r="I1022" t="str">
        <f>_xll.BDS("512445R6 Muni","MUNI_PURPOSE_SCHED", "aggregate=y")</f>
        <v>#N/A Requesting Data...</v>
      </c>
      <c r="J1022" t="str">
        <f>_xll.BDP("512445R6 Muni","CPN")</f>
        <v>#N/A Requesting Data...</v>
      </c>
      <c r="K1022" t="str">
        <f>_xll.BDP("512445R6 Muni","MATURITY")</f>
        <v>#N/A Requesting Data...</v>
      </c>
      <c r="L1022">
        <v>780000</v>
      </c>
      <c r="M1022" t="str">
        <f>_xll.BDP("512445R6 Muni","YIELD_ON_ISSUE_DATE")</f>
        <v>#N/A Requesting Data...</v>
      </c>
      <c r="N1022" t="str">
        <f>_xll.BDP("512445R6 Muni","YTW_SPREAD_TO_MATURITY_AT_ISSU")</f>
        <v>#N/A Requesting Data...</v>
      </c>
      <c r="O1022" t="str">
        <f>_xll.BDP("512445R6 Muni","BVAL_MID_YTM")</f>
        <v>#N/A Requesting Data...</v>
      </c>
      <c r="P1022" t="str">
        <f>_xll.BDP("512445R6 Muni","MUNI_TAX_PROV")</f>
        <v>#N/A Requesting Data...</v>
      </c>
      <c r="Q1022" t="str">
        <f>_xll.BDP("512445R6 Muni","MUNI_FED_TAX")</f>
        <v>#N/A Requesting Data...</v>
      </c>
      <c r="R1022" t="str">
        <f>_xll.BDP("512445R6 Muni","MUNI_MSRB_VOLUME")</f>
        <v>#N/A Requesting Data...</v>
      </c>
      <c r="S1022" t="str">
        <f>_xll.BDP("512445R6 Muni","BB_COMPOSITE")</f>
        <v>#N/A Requesting Data...</v>
      </c>
      <c r="T1022" t="str">
        <f>_xll.BDP("512445R6 Muni","LQA_LIQUIDITY_SCORE")</f>
        <v>#N/A Requesting Data...</v>
      </c>
    </row>
    <row r="1023" spans="1:20" x14ac:dyDescent="0.25">
      <c r="A1023" t="str">
        <f>_xll.BDP("512445R8 Muni","ID_CUSIP")</f>
        <v>#N/A Requesting Data...</v>
      </c>
      <c r="B1023" t="s">
        <v>250</v>
      </c>
      <c r="C1023" t="str">
        <f>_xll.BDP("512445R8 Muni","INSURANCE_STATUS")</f>
        <v>#N/A Requesting Data...</v>
      </c>
      <c r="D1023" t="str">
        <f>_xll.BDP("512445R8 Muni","STATE_CODE")</f>
        <v>#N/A Requesting Data...</v>
      </c>
      <c r="E1023" t="str">
        <f>_xll.BDP("512445R8 Muni","COUNTY_LOCATION_ISSUER")</f>
        <v>#N/A Requesting Data...</v>
      </c>
      <c r="F1023" t="str">
        <f>_xll.BDP("512445R8 Muni","DUR_ADJ_MID")</f>
        <v>#N/A Requesting Data...</v>
      </c>
      <c r="G1023" t="str">
        <f>_xll.BDP("512445R8 Muni","SPREAD_AT_ISSUANCE_TO_WORST")</f>
        <v>#N/A Requesting Data...</v>
      </c>
      <c r="H1023" t="str">
        <f>_xll.BDP("512445R8 Muni","ISSUE_DT")</f>
        <v>#N/A Requesting Data...</v>
      </c>
      <c r="I1023" t="str">
        <f>_xll.BDS("512445R8 Muni","MUNI_PURPOSE_SCHED", "aggregate=y")</f>
        <v>#N/A Requesting Data...</v>
      </c>
      <c r="J1023" t="str">
        <f>_xll.BDP("512445R8 Muni","CPN")</f>
        <v>#N/A Requesting Data...</v>
      </c>
      <c r="K1023" t="str">
        <f>_xll.BDP("512445R8 Muni","MATURITY")</f>
        <v>#N/A Requesting Data...</v>
      </c>
      <c r="L1023">
        <v>815000</v>
      </c>
      <c r="M1023" t="str">
        <f>_xll.BDP("512445R8 Muni","YIELD_ON_ISSUE_DATE")</f>
        <v>#N/A Requesting Data...</v>
      </c>
      <c r="N1023" t="str">
        <f>_xll.BDP("512445R8 Muni","YTW_SPREAD_TO_MATURITY_AT_ISSU")</f>
        <v>#N/A Requesting Data...</v>
      </c>
      <c r="O1023" t="str">
        <f>_xll.BDP("512445R8 Muni","BVAL_MID_YTM")</f>
        <v>#N/A Requesting Data...</v>
      </c>
      <c r="P1023" t="str">
        <f>_xll.BDP("512445R8 Muni","MUNI_TAX_PROV")</f>
        <v>#N/A Requesting Data...</v>
      </c>
      <c r="Q1023" t="str">
        <f>_xll.BDP("512445R8 Muni","MUNI_FED_TAX")</f>
        <v>#N/A Requesting Data...</v>
      </c>
      <c r="R1023" t="str">
        <f>_xll.BDP("512445R8 Muni","MUNI_MSRB_VOLUME")</f>
        <v>#N/A Requesting Data...</v>
      </c>
      <c r="S1023" t="str">
        <f>_xll.BDP("512445R8 Muni","BB_COMPOSITE")</f>
        <v>#N/A Requesting Data...</v>
      </c>
      <c r="T1023" t="str">
        <f>_xll.BDP("512445R8 Muni","LQA_LIQUIDITY_SCORE")</f>
        <v>#N/A Requesting Data...</v>
      </c>
    </row>
    <row r="1024" spans="1:20" x14ac:dyDescent="0.25">
      <c r="A1024" t="str">
        <f>_xll.BDP("50963NLU Muni","ID_CUSIP")</f>
        <v>#N/A Requesting Data...</v>
      </c>
      <c r="B1024" t="s">
        <v>246</v>
      </c>
      <c r="C1024" t="str">
        <f>_xll.BDP("50963NLU Muni","INSURANCE_STATUS")</f>
        <v>#N/A Requesting Data...</v>
      </c>
      <c r="D1024" t="str">
        <f>_xll.BDP("50963NLU Muni","STATE_CODE")</f>
        <v>#N/A Requesting Data...</v>
      </c>
      <c r="E1024" t="str">
        <f>_xll.BDP("50963NLU Muni","COUNTY_LOCATION_ISSUER")</f>
        <v>#N/A Requesting Data...</v>
      </c>
      <c r="F1024" t="str">
        <f>_xll.BDP("50963NLU Muni","DUR_ADJ_MID")</f>
        <v>#N/A Requesting Data...</v>
      </c>
      <c r="G1024" t="str">
        <f>_xll.BDP("50963NLU Muni","SPREAD_AT_ISSUANCE_TO_WORST")</f>
        <v>#N/A Requesting Data...</v>
      </c>
      <c r="H1024" t="str">
        <f>_xll.BDP("50963NLU Muni","ISSUE_DT")</f>
        <v>#N/A Requesting Data...</v>
      </c>
      <c r="I1024" t="str">
        <f>_xll.BDS("50963NLU Muni","MUNI_PURPOSE_SCHED", "aggregate=y")</f>
        <v>#N/A Requesting Data...</v>
      </c>
      <c r="J1024" t="str">
        <f>_xll.BDP("50963NLU Muni","CPN")</f>
        <v>#N/A Requesting Data...</v>
      </c>
      <c r="K1024" t="str">
        <f>_xll.BDP("50963NLU Muni","MATURITY")</f>
        <v>#N/A Requesting Data...</v>
      </c>
      <c r="L1024">
        <v>45000</v>
      </c>
      <c r="M1024" t="str">
        <f>_xll.BDP("50963NLU Muni","YIELD_ON_ISSUE_DATE")</f>
        <v>#N/A Requesting Data...</v>
      </c>
      <c r="N1024" t="str">
        <f>_xll.BDP("50963NLU Muni","YTW_SPREAD_TO_MATURITY_AT_ISSU")</f>
        <v>#N/A Requesting Data...</v>
      </c>
      <c r="O1024" t="str">
        <f>_xll.BDP("50963NLU Muni","BVAL_MID_YTM")</f>
        <v>#N/A Requesting Data...</v>
      </c>
      <c r="P1024" t="str">
        <f>_xll.BDP("50963NLU Muni","MUNI_TAX_PROV")</f>
        <v>#N/A Requesting Data...</v>
      </c>
      <c r="Q1024" t="str">
        <f>_xll.BDP("50963NLU Muni","MUNI_FED_TAX")</f>
        <v>#N/A Requesting Data...</v>
      </c>
      <c r="R1024" t="str">
        <f>_xll.BDP("50963NLU Muni","MUNI_MSRB_VOLUME")</f>
        <v>#N/A Requesting Data...</v>
      </c>
      <c r="S1024" t="str">
        <f>_xll.BDP("50963NLU Muni","BB_COMPOSITE")</f>
        <v>#N/A Requesting Data...</v>
      </c>
      <c r="T1024" t="str">
        <f>_xll.BDP("50963NLU Muni","LQA_LIQUIDITY_SCORE")</f>
        <v>#N/A Requesting Data...</v>
      </c>
    </row>
    <row r="1025" spans="1:20" x14ac:dyDescent="0.25">
      <c r="A1025" t="str">
        <f>_xll.BDP("50963NLW Muni","ID_CUSIP")</f>
        <v>#N/A Requesting Data...</v>
      </c>
      <c r="B1025" t="s">
        <v>246</v>
      </c>
      <c r="C1025" t="str">
        <f>_xll.BDP("50963NLW Muni","INSURANCE_STATUS")</f>
        <v>#N/A Requesting Data...</v>
      </c>
      <c r="D1025" t="str">
        <f>_xll.BDP("50963NLW Muni","STATE_CODE")</f>
        <v>#N/A Requesting Data...</v>
      </c>
      <c r="E1025" t="str">
        <f>_xll.BDP("50963NLW Muni","COUNTY_LOCATION_ISSUER")</f>
        <v>#N/A Requesting Data...</v>
      </c>
      <c r="F1025" t="str">
        <f>_xll.BDP("50963NLW Muni","DUR_ADJ_MID")</f>
        <v>#N/A Requesting Data...</v>
      </c>
      <c r="G1025" t="str">
        <f>_xll.BDP("50963NLW Muni","SPREAD_AT_ISSUANCE_TO_WORST")</f>
        <v>#N/A Requesting Data...</v>
      </c>
      <c r="H1025" t="str">
        <f>_xll.BDP("50963NLW Muni","ISSUE_DT")</f>
        <v>#N/A Requesting Data...</v>
      </c>
      <c r="I1025" t="str">
        <f>_xll.BDS("50963NLW Muni","MUNI_PURPOSE_SCHED", "aggregate=y")</f>
        <v>#N/A Requesting Data...</v>
      </c>
      <c r="J1025" t="str">
        <f>_xll.BDP("50963NLW Muni","CPN")</f>
        <v>#N/A Requesting Data...</v>
      </c>
      <c r="K1025" t="str">
        <f>_xll.BDP("50963NLW Muni","MATURITY")</f>
        <v>#N/A Requesting Data...</v>
      </c>
      <c r="L1025">
        <v>50000</v>
      </c>
      <c r="M1025" t="str">
        <f>_xll.BDP("50963NLW Muni","YIELD_ON_ISSUE_DATE")</f>
        <v>#N/A Requesting Data...</v>
      </c>
      <c r="N1025" t="str">
        <f>_xll.BDP("50963NLW Muni","YTW_SPREAD_TO_MATURITY_AT_ISSU")</f>
        <v>#N/A Requesting Data...</v>
      </c>
      <c r="O1025" t="str">
        <f>_xll.BDP("50963NLW Muni","BVAL_MID_YTM")</f>
        <v>#N/A Requesting Data...</v>
      </c>
      <c r="P1025" t="str">
        <f>_xll.BDP("50963NLW Muni","MUNI_TAX_PROV")</f>
        <v>#N/A Requesting Data...</v>
      </c>
      <c r="Q1025" t="str">
        <f>_xll.BDP("50963NLW Muni","MUNI_FED_TAX")</f>
        <v>#N/A Requesting Data...</v>
      </c>
      <c r="R1025" t="str">
        <f>_xll.BDP("50963NLW Muni","MUNI_MSRB_VOLUME")</f>
        <v>#N/A Requesting Data...</v>
      </c>
      <c r="S1025" t="str">
        <f>_xll.BDP("50963NLW Muni","BB_COMPOSITE")</f>
        <v>#N/A Requesting Data...</v>
      </c>
      <c r="T1025" t="str">
        <f>_xll.BDP("50963NLW Muni","LQA_LIQUIDITY_SCORE")</f>
        <v>#N/A Requesting Data...</v>
      </c>
    </row>
    <row r="1026" spans="1:20" x14ac:dyDescent="0.25">
      <c r="A1026" t="str">
        <f>_xll.BDP("50963NMT Muni","ID_CUSIP")</f>
        <v>#N/A Requesting Data...</v>
      </c>
      <c r="B1026" t="s">
        <v>246</v>
      </c>
      <c r="C1026" t="str">
        <f>_xll.BDP("50963NMT Muni","INSURANCE_STATUS")</f>
        <v>#N/A Requesting Data...</v>
      </c>
      <c r="D1026" t="str">
        <f>_xll.BDP("50963NMT Muni","STATE_CODE")</f>
        <v>#N/A Requesting Data...</v>
      </c>
      <c r="E1026" t="str">
        <f>_xll.BDP("50963NMT Muni","COUNTY_LOCATION_ISSUER")</f>
        <v>#N/A Requesting Data...</v>
      </c>
      <c r="F1026" t="str">
        <f>_xll.BDP("50963NMT Muni","DUR_ADJ_MID")</f>
        <v>#N/A Requesting Data...</v>
      </c>
      <c r="G1026" t="str">
        <f>_xll.BDP("50963NMT Muni","SPREAD_AT_ISSUANCE_TO_WORST")</f>
        <v>#N/A Requesting Data...</v>
      </c>
      <c r="H1026" t="str">
        <f>_xll.BDP("50963NMT Muni","ISSUE_DT")</f>
        <v>#N/A Requesting Data...</v>
      </c>
      <c r="I1026" t="str">
        <f>_xll.BDS("50963NMT Muni","MUNI_PURPOSE_SCHED", "aggregate=y")</f>
        <v>#N/A Requesting Data...</v>
      </c>
      <c r="J1026" t="str">
        <f>_xll.BDP("50963NMT Muni","CPN")</f>
        <v>#N/A Requesting Data...</v>
      </c>
      <c r="K1026" t="str">
        <f>_xll.BDP("50963NMT Muni","MATURITY")</f>
        <v>#N/A Requesting Data...</v>
      </c>
      <c r="L1026">
        <v>35000</v>
      </c>
      <c r="M1026" t="str">
        <f>_xll.BDP("50963NMT Muni","YIELD_ON_ISSUE_DATE")</f>
        <v>#N/A Requesting Data...</v>
      </c>
      <c r="N1026" t="str">
        <f>_xll.BDP("50963NMT Muni","YTW_SPREAD_TO_MATURITY_AT_ISSU")</f>
        <v>#N/A Requesting Data...</v>
      </c>
      <c r="O1026" t="str">
        <f>_xll.BDP("50963NMT Muni","BVAL_MID_YTM")</f>
        <v>#N/A Requesting Data...</v>
      </c>
      <c r="P1026" t="str">
        <f>_xll.BDP("50963NMT Muni","MUNI_TAX_PROV")</f>
        <v>#N/A Requesting Data...</v>
      </c>
      <c r="Q1026" t="str">
        <f>_xll.BDP("50963NMT Muni","MUNI_FED_TAX")</f>
        <v>#N/A Requesting Data...</v>
      </c>
      <c r="R1026" t="str">
        <f>_xll.BDP("50963NMT Muni","MUNI_MSRB_VOLUME")</f>
        <v>#N/A Requesting Data...</v>
      </c>
      <c r="S1026" t="str">
        <f>_xll.BDP("50963NMT Muni","BB_COMPOSITE")</f>
        <v>#N/A Requesting Data...</v>
      </c>
      <c r="T1026" t="str">
        <f>_xll.BDP("50963NMT Muni","LQA_LIQUIDITY_SCORE")</f>
        <v>#N/A Requesting Data...</v>
      </c>
    </row>
    <row r="1027" spans="1:20" x14ac:dyDescent="0.25">
      <c r="A1027" t="str">
        <f>_xll.BDP("50963NMV Muni","ID_CUSIP")</f>
        <v>#N/A Requesting Data...</v>
      </c>
      <c r="B1027" t="s">
        <v>246</v>
      </c>
      <c r="C1027" t="str">
        <f>_xll.BDP("50963NMV Muni","INSURANCE_STATUS")</f>
        <v>#N/A Requesting Data...</v>
      </c>
      <c r="D1027" t="str">
        <f>_xll.BDP("50963NMV Muni","STATE_CODE")</f>
        <v>#N/A Requesting Data...</v>
      </c>
      <c r="E1027" t="str">
        <f>_xll.BDP("50963NMV Muni","COUNTY_LOCATION_ISSUER")</f>
        <v>#N/A Requesting Data...</v>
      </c>
      <c r="F1027" t="str">
        <f>_xll.BDP("50963NMV Muni","DUR_ADJ_MID")</f>
        <v>#N/A Requesting Data...</v>
      </c>
      <c r="G1027" t="str">
        <f>_xll.BDP("50963NMV Muni","SPREAD_AT_ISSUANCE_TO_WORST")</f>
        <v>#N/A Requesting Data...</v>
      </c>
      <c r="H1027" t="str">
        <f>_xll.BDP("50963NMV Muni","ISSUE_DT")</f>
        <v>#N/A Requesting Data...</v>
      </c>
      <c r="I1027" t="str">
        <f>_xll.BDS("50963NMV Muni","MUNI_PURPOSE_SCHED", "aggregate=y")</f>
        <v>#N/A Requesting Data...</v>
      </c>
      <c r="J1027" t="str">
        <f>_xll.BDP("50963NMV Muni","CPN")</f>
        <v>#N/A Requesting Data...</v>
      </c>
      <c r="K1027" t="str">
        <f>_xll.BDP("50963NMV Muni","MATURITY")</f>
        <v>#N/A Requesting Data...</v>
      </c>
      <c r="L1027">
        <v>40000</v>
      </c>
      <c r="M1027" t="str">
        <f>_xll.BDP("50963NMV Muni","YIELD_ON_ISSUE_DATE")</f>
        <v>#N/A Requesting Data...</v>
      </c>
      <c r="N1027" t="str">
        <f>_xll.BDP("50963NMV Muni","YTW_SPREAD_TO_MATURITY_AT_ISSU")</f>
        <v>#N/A Requesting Data...</v>
      </c>
      <c r="O1027" t="str">
        <f>_xll.BDP("50963NMV Muni","BVAL_MID_YTM")</f>
        <v>#N/A Requesting Data...</v>
      </c>
      <c r="P1027" t="str">
        <f>_xll.BDP("50963NMV Muni","MUNI_TAX_PROV")</f>
        <v>#N/A Requesting Data...</v>
      </c>
      <c r="Q1027" t="str">
        <f>_xll.BDP("50963NMV Muni","MUNI_FED_TAX")</f>
        <v>#N/A Requesting Data...</v>
      </c>
      <c r="R1027" t="str">
        <f>_xll.BDP("50963NMV Muni","MUNI_MSRB_VOLUME")</f>
        <v>#N/A Requesting Data...</v>
      </c>
      <c r="S1027" t="str">
        <f>_xll.BDP("50963NMV Muni","BB_COMPOSITE")</f>
        <v>#N/A Requesting Data...</v>
      </c>
      <c r="T1027" t="str">
        <f>_xll.BDP("50963NMV Muni","LQA_LIQUIDITY_SCORE")</f>
        <v>#N/A Requesting Data...</v>
      </c>
    </row>
    <row r="1028" spans="1:20" x14ac:dyDescent="0.25">
      <c r="A1028" t="str">
        <f>_xll.BDP("50963NQL Muni","ID_CUSIP")</f>
        <v>#N/A Requesting Data...</v>
      </c>
      <c r="B1028" t="s">
        <v>246</v>
      </c>
      <c r="C1028" t="str">
        <f>_xll.BDP("50963NQL Muni","INSURANCE_STATUS")</f>
        <v>#N/A Requesting Data...</v>
      </c>
      <c r="D1028" t="str">
        <f>_xll.BDP("50963NQL Muni","STATE_CODE")</f>
        <v>#N/A Requesting Data...</v>
      </c>
      <c r="E1028" t="str">
        <f>_xll.BDP("50963NQL Muni","COUNTY_LOCATION_ISSUER")</f>
        <v>#N/A Requesting Data...</v>
      </c>
      <c r="F1028" t="str">
        <f>_xll.BDP("50963NQL Muni","DUR_ADJ_MID")</f>
        <v>#N/A Requesting Data...</v>
      </c>
      <c r="G1028" t="str">
        <f>_xll.BDP("50963NQL Muni","SPREAD_AT_ISSUANCE_TO_WORST")</f>
        <v>#N/A Requesting Data...</v>
      </c>
      <c r="H1028" t="str">
        <f>_xll.BDP("50963NQL Muni","ISSUE_DT")</f>
        <v>#N/A Requesting Data...</v>
      </c>
      <c r="I1028" t="str">
        <f>_xll.BDS("50963NQL Muni","MUNI_PURPOSE_SCHED", "aggregate=y")</f>
        <v>#N/A Requesting Data...</v>
      </c>
      <c r="J1028" t="str">
        <f>_xll.BDP("50963NQL Muni","CPN")</f>
        <v>#N/A Requesting Data...</v>
      </c>
      <c r="K1028" t="str">
        <f>_xll.BDP("50963NQL Muni","MATURITY")</f>
        <v>#N/A Requesting Data...</v>
      </c>
      <c r="L1028">
        <v>40000</v>
      </c>
      <c r="M1028" t="str">
        <f>_xll.BDP("50963NQL Muni","YIELD_ON_ISSUE_DATE")</f>
        <v>#N/A Requesting Data...</v>
      </c>
      <c r="N1028" t="str">
        <f>_xll.BDP("50963NQL Muni","YTW_SPREAD_TO_MATURITY_AT_ISSU")</f>
        <v>#N/A Requesting Data...</v>
      </c>
      <c r="O1028" t="str">
        <f>_xll.BDP("50963NQL Muni","BVAL_MID_YTM")</f>
        <v>#N/A Requesting Data...</v>
      </c>
      <c r="P1028" t="str">
        <f>_xll.BDP("50963NQL Muni","MUNI_TAX_PROV")</f>
        <v>#N/A Requesting Data...</v>
      </c>
      <c r="Q1028" t="str">
        <f>_xll.BDP("50963NQL Muni","MUNI_FED_TAX")</f>
        <v>#N/A Requesting Data...</v>
      </c>
      <c r="R1028" t="str">
        <f>_xll.BDP("50963NQL Muni","MUNI_MSRB_VOLUME")</f>
        <v>#N/A Requesting Data...</v>
      </c>
      <c r="S1028" t="str">
        <f>_xll.BDP("50963NQL Muni","BB_COMPOSITE")</f>
        <v>#N/A Requesting Data...</v>
      </c>
      <c r="T1028" t="str">
        <f>_xll.BDP("50963NQL Muni","LQA_LIQUIDITY_SCORE")</f>
        <v>#N/A Requesting Data...</v>
      </c>
    </row>
    <row r="1029" spans="1:20" x14ac:dyDescent="0.25">
      <c r="A1029" t="str">
        <f>_xll.BDP("50963NQN Muni","ID_CUSIP")</f>
        <v>#N/A Requesting Data...</v>
      </c>
      <c r="B1029" t="s">
        <v>246</v>
      </c>
      <c r="C1029" t="str">
        <f>_xll.BDP("50963NQN Muni","INSURANCE_STATUS")</f>
        <v>#N/A Requesting Data...</v>
      </c>
      <c r="D1029" t="str">
        <f>_xll.BDP("50963NQN Muni","STATE_CODE")</f>
        <v>#N/A Requesting Data...</v>
      </c>
      <c r="E1029" t="str">
        <f>_xll.BDP("50963NQN Muni","COUNTY_LOCATION_ISSUER")</f>
        <v>#N/A Requesting Data...</v>
      </c>
      <c r="F1029" t="str">
        <f>_xll.BDP("50963NQN Muni","DUR_ADJ_MID")</f>
        <v>#N/A Requesting Data...</v>
      </c>
      <c r="G1029" t="str">
        <f>_xll.BDP("50963NQN Muni","SPREAD_AT_ISSUANCE_TO_WORST")</f>
        <v>#N/A Requesting Data...</v>
      </c>
      <c r="H1029" t="str">
        <f>_xll.BDP("50963NQN Muni","ISSUE_DT")</f>
        <v>#N/A Requesting Data...</v>
      </c>
      <c r="I1029" t="str">
        <f>_xll.BDS("50963NQN Muni","MUNI_PURPOSE_SCHED", "aggregate=y")</f>
        <v>#N/A Requesting Data...</v>
      </c>
      <c r="J1029" t="str">
        <f>_xll.BDP("50963NQN Muni","CPN")</f>
        <v>#N/A Requesting Data...</v>
      </c>
      <c r="K1029" t="str">
        <f>_xll.BDP("50963NQN Muni","MATURITY")</f>
        <v>#N/A Requesting Data...</v>
      </c>
      <c r="L1029">
        <v>55000</v>
      </c>
      <c r="M1029" t="str">
        <f>_xll.BDP("50963NQN Muni","YIELD_ON_ISSUE_DATE")</f>
        <v>#N/A Requesting Data...</v>
      </c>
      <c r="N1029" t="str">
        <f>_xll.BDP("50963NQN Muni","YTW_SPREAD_TO_MATURITY_AT_ISSU")</f>
        <v>#N/A Requesting Data...</v>
      </c>
      <c r="O1029" t="str">
        <f>_xll.BDP("50963NQN Muni","BVAL_MID_YTM")</f>
        <v>#N/A Requesting Data...</v>
      </c>
      <c r="P1029" t="str">
        <f>_xll.BDP("50963NQN Muni","MUNI_TAX_PROV")</f>
        <v>#N/A Requesting Data...</v>
      </c>
      <c r="Q1029" t="str">
        <f>_xll.BDP("50963NQN Muni","MUNI_FED_TAX")</f>
        <v>#N/A Requesting Data...</v>
      </c>
      <c r="R1029" t="str">
        <f>_xll.BDP("50963NQN Muni","MUNI_MSRB_VOLUME")</f>
        <v>#N/A Requesting Data...</v>
      </c>
      <c r="S1029" t="str">
        <f>_xll.BDP("50963NQN Muni","BB_COMPOSITE")</f>
        <v>#N/A Requesting Data...</v>
      </c>
      <c r="T1029" t="str">
        <f>_xll.BDP("50963NQN Muni","LQA_LIQUIDITY_SCORE")</f>
        <v>#N/A Requesting Data...</v>
      </c>
    </row>
    <row r="1030" spans="1:20" x14ac:dyDescent="0.25">
      <c r="A1030" t="str">
        <f>_xll.BDP("421033EY Muni","ID_CUSIP")</f>
        <v>#N/A Requesting Data...</v>
      </c>
      <c r="B1030" t="s">
        <v>230</v>
      </c>
      <c r="C1030" t="str">
        <f>_xll.BDP("421033EY Muni","INSURANCE_STATUS")</f>
        <v>#N/A Requesting Data...</v>
      </c>
      <c r="D1030" t="str">
        <f>_xll.BDP("421033EY Muni","STATE_CODE")</f>
        <v>#N/A Requesting Data...</v>
      </c>
      <c r="E1030" t="str">
        <f>_xll.BDP("421033EY Muni","COUNTY_LOCATION_ISSUER")</f>
        <v>#N/A Requesting Data...</v>
      </c>
      <c r="F1030" t="str">
        <f>_xll.BDP("421033EY Muni","DUR_ADJ_MID")</f>
        <v>#N/A Requesting Data...</v>
      </c>
      <c r="G1030" t="str">
        <f>_xll.BDP("421033EY Muni","SPREAD_AT_ISSUANCE_TO_WORST")</f>
        <v>#N/A Requesting Data...</v>
      </c>
      <c r="H1030" t="str">
        <f>_xll.BDP("421033EY Muni","ISSUE_DT")</f>
        <v>#N/A Requesting Data...</v>
      </c>
      <c r="I1030" t="str">
        <f>_xll.BDS("421033EY Muni","MUNI_PURPOSE_SCHED", "aggregate=y")</f>
        <v>#N/A Requesting Data...</v>
      </c>
      <c r="J1030" t="str">
        <f>_xll.BDP("421033EY Muni","CPN")</f>
        <v>#N/A Requesting Data...</v>
      </c>
      <c r="K1030" t="str">
        <f>_xll.BDP("421033EY Muni","MATURITY")</f>
        <v>#N/A Requesting Data...</v>
      </c>
      <c r="L1030">
        <v>185000</v>
      </c>
      <c r="M1030" t="str">
        <f>_xll.BDP("421033EY Muni","YIELD_ON_ISSUE_DATE")</f>
        <v>#N/A Requesting Data...</v>
      </c>
      <c r="N1030" t="str">
        <f>_xll.BDP("421033EY Muni","YTW_SPREAD_TO_MATURITY_AT_ISSU")</f>
        <v>#N/A Requesting Data...</v>
      </c>
      <c r="O1030" t="str">
        <f>_xll.BDP("421033EY Muni","BVAL_MID_YTM")</f>
        <v>#N/A Requesting Data...</v>
      </c>
      <c r="P1030" t="str">
        <f>_xll.BDP("421033EY Muni","MUNI_TAX_PROV")</f>
        <v>#N/A Requesting Data...</v>
      </c>
      <c r="Q1030" t="str">
        <f>_xll.BDP("421033EY Muni","MUNI_FED_TAX")</f>
        <v>#N/A Requesting Data...</v>
      </c>
      <c r="R1030" t="str">
        <f>_xll.BDP("421033EY Muni","MUNI_MSRB_VOLUME")</f>
        <v>#N/A Requesting Data...</v>
      </c>
      <c r="S1030" t="str">
        <f>_xll.BDP("421033EY Muni","BB_COMPOSITE")</f>
        <v>#N/A Requesting Data...</v>
      </c>
      <c r="T1030" t="str">
        <f>_xll.BDP("421033EY Muni","LQA_LIQUIDITY_SCORE")</f>
        <v>#N/A Requesting Data...</v>
      </c>
    </row>
    <row r="1031" spans="1:20" x14ac:dyDescent="0.25">
      <c r="A1031" t="str">
        <f>_xll.BDP("421033FB Muni","ID_CUSIP")</f>
        <v>#N/A Requesting Data...</v>
      </c>
      <c r="B1031" t="s">
        <v>230</v>
      </c>
      <c r="C1031" t="str">
        <f>_xll.BDP("421033FB Muni","INSURANCE_STATUS")</f>
        <v>#N/A Requesting Data...</v>
      </c>
      <c r="D1031" t="str">
        <f>_xll.BDP("421033FB Muni","STATE_CODE")</f>
        <v>#N/A Requesting Data...</v>
      </c>
      <c r="E1031" t="str">
        <f>_xll.BDP("421033FB Muni","COUNTY_LOCATION_ISSUER")</f>
        <v>#N/A Requesting Data...</v>
      </c>
      <c r="F1031" t="str">
        <f>_xll.BDP("421033FB Muni","DUR_ADJ_MID")</f>
        <v>#N/A Requesting Data...</v>
      </c>
      <c r="G1031" t="str">
        <f>_xll.BDP("421033FB Muni","SPREAD_AT_ISSUANCE_TO_WORST")</f>
        <v>#N/A Requesting Data...</v>
      </c>
      <c r="H1031" t="str">
        <f>_xll.BDP("421033FB Muni","ISSUE_DT")</f>
        <v>#N/A Requesting Data...</v>
      </c>
      <c r="I1031" t="str">
        <f>_xll.BDS("421033FB Muni","MUNI_PURPOSE_SCHED", "aggregate=y")</f>
        <v>#N/A Requesting Data...</v>
      </c>
      <c r="J1031" t="str">
        <f>_xll.BDP("421033FB Muni","CPN")</f>
        <v>#N/A Requesting Data...</v>
      </c>
      <c r="K1031" t="str">
        <f>_xll.BDP("421033FB Muni","MATURITY")</f>
        <v>#N/A Requesting Data...</v>
      </c>
      <c r="L1031">
        <v>215000</v>
      </c>
      <c r="M1031" t="str">
        <f>_xll.BDP("421033FB Muni","YIELD_ON_ISSUE_DATE")</f>
        <v>#N/A Requesting Data...</v>
      </c>
      <c r="N1031" t="str">
        <f>_xll.BDP("421033FB Muni","YTW_SPREAD_TO_MATURITY_AT_ISSU")</f>
        <v>#N/A Requesting Data...</v>
      </c>
      <c r="O1031" t="str">
        <f>_xll.BDP("421033FB Muni","BVAL_MID_YTM")</f>
        <v>#N/A Requesting Data...</v>
      </c>
      <c r="P1031" t="str">
        <f>_xll.BDP("421033FB Muni","MUNI_TAX_PROV")</f>
        <v>#N/A Requesting Data...</v>
      </c>
      <c r="Q1031" t="str">
        <f>_xll.BDP("421033FB Muni","MUNI_FED_TAX")</f>
        <v>#N/A Requesting Data...</v>
      </c>
      <c r="R1031" t="str">
        <f>_xll.BDP("421033FB Muni","MUNI_MSRB_VOLUME")</f>
        <v>#N/A Requesting Data...</v>
      </c>
      <c r="S1031" t="str">
        <f>_xll.BDP("421033FB Muni","BB_COMPOSITE")</f>
        <v>#N/A Requesting Data...</v>
      </c>
      <c r="T1031" t="str">
        <f>_xll.BDP("421033FB Muni","LQA_LIQUIDITY_SCORE")</f>
        <v>#N/A Requesting Data...</v>
      </c>
    </row>
    <row r="1032" spans="1:20" x14ac:dyDescent="0.25">
      <c r="A1032" t="str">
        <f>_xll.BDP("42103PBZ Muni","ID_CUSIP")</f>
        <v>#N/A Requesting Data...</v>
      </c>
      <c r="B1032" t="s">
        <v>231</v>
      </c>
      <c r="C1032" t="str">
        <f>_xll.BDP("42103PBZ Muni","INSURANCE_STATUS")</f>
        <v>#N/A Requesting Data...</v>
      </c>
      <c r="D1032" t="str">
        <f>_xll.BDP("42103PBZ Muni","STATE_CODE")</f>
        <v>#N/A Requesting Data...</v>
      </c>
      <c r="E1032" t="str">
        <f>_xll.BDP("42103PBZ Muni","COUNTY_LOCATION_ISSUER")</f>
        <v>#N/A Requesting Data...</v>
      </c>
      <c r="F1032" t="str">
        <f>_xll.BDP("42103PBZ Muni","DUR_ADJ_MID")</f>
        <v>#N/A Requesting Data...</v>
      </c>
      <c r="G1032" t="str">
        <f>_xll.BDP("42103PBZ Muni","SPREAD_AT_ISSUANCE_TO_WORST")</f>
        <v>#N/A Requesting Data...</v>
      </c>
      <c r="H1032" t="str">
        <f>_xll.BDP("42103PBZ Muni","ISSUE_DT")</f>
        <v>#N/A Requesting Data...</v>
      </c>
      <c r="I1032" t="str">
        <f>_xll.BDS("42103PBZ Muni","MUNI_PURPOSE_SCHED", "aggregate=y")</f>
        <v>#N/A Requesting Data...</v>
      </c>
      <c r="J1032" t="str">
        <f>_xll.BDP("42103PBZ Muni","CPN")</f>
        <v>#N/A Requesting Data...</v>
      </c>
      <c r="K1032" t="str">
        <f>_xll.BDP("42103PBZ Muni","MATURITY")</f>
        <v>#N/A Requesting Data...</v>
      </c>
      <c r="L1032">
        <v>200000</v>
      </c>
      <c r="M1032" t="str">
        <f>_xll.BDP("42103PBZ Muni","YIELD_ON_ISSUE_DATE")</f>
        <v>#N/A Requesting Data...</v>
      </c>
      <c r="N1032" t="str">
        <f>_xll.BDP("42103PBZ Muni","YTW_SPREAD_TO_MATURITY_AT_ISSU")</f>
        <v>#N/A Requesting Data...</v>
      </c>
      <c r="O1032" t="str">
        <f>_xll.BDP("42103PBZ Muni","BVAL_MID_YTM")</f>
        <v>#N/A Requesting Data...</v>
      </c>
      <c r="P1032" t="str">
        <f>_xll.BDP("42103PBZ Muni","MUNI_TAX_PROV")</f>
        <v>#N/A Requesting Data...</v>
      </c>
      <c r="Q1032" t="str">
        <f>_xll.BDP("42103PBZ Muni","MUNI_FED_TAX")</f>
        <v>#N/A Requesting Data...</v>
      </c>
      <c r="R1032" t="str">
        <f>_xll.BDP("42103PBZ Muni","MUNI_MSRB_VOLUME")</f>
        <v>#N/A Requesting Data...</v>
      </c>
      <c r="S1032" t="str">
        <f>_xll.BDP("42103PBZ Muni","BB_COMPOSITE")</f>
        <v>#N/A Requesting Data...</v>
      </c>
      <c r="T1032" t="str">
        <f>_xll.BDP("42103PBZ Muni","LQA_LIQUIDITY_SCORE")</f>
        <v>#N/A Requesting Data...</v>
      </c>
    </row>
    <row r="1033" spans="1:20" x14ac:dyDescent="0.25">
      <c r="A1033" t="str">
        <f>_xll.BDP("422460FC Muni","ID_CUSIP")</f>
        <v>#N/A Requesting Data...</v>
      </c>
      <c r="B1033" t="s">
        <v>232</v>
      </c>
      <c r="C1033" t="str">
        <f>_xll.BDP("422460FC Muni","INSURANCE_STATUS")</f>
        <v>#N/A Requesting Data...</v>
      </c>
      <c r="D1033" t="str">
        <f>_xll.BDP("422460FC Muni","STATE_CODE")</f>
        <v>#N/A Requesting Data...</v>
      </c>
      <c r="E1033" t="str">
        <f>_xll.BDP("422460FC Muni","COUNTY_LOCATION_ISSUER")</f>
        <v>#N/A Requesting Data...</v>
      </c>
      <c r="F1033" t="str">
        <f>_xll.BDP("422460FC Muni","DUR_ADJ_MID")</f>
        <v>#N/A Requesting Data...</v>
      </c>
      <c r="G1033" t="str">
        <f>_xll.BDP("422460FC Muni","SPREAD_AT_ISSUANCE_TO_WORST")</f>
        <v>#N/A Requesting Data...</v>
      </c>
      <c r="H1033" t="str">
        <f>_xll.BDP("422460FC Muni","ISSUE_DT")</f>
        <v>#N/A Requesting Data...</v>
      </c>
      <c r="I1033" t="str">
        <f>_xll.BDS("422460FC Muni","MUNI_PURPOSE_SCHED", "aggregate=y")</f>
        <v>#N/A Requesting Data...</v>
      </c>
      <c r="J1033" t="str">
        <f>_xll.BDP("422460FC Muni","CPN")</f>
        <v>#N/A Requesting Data...</v>
      </c>
      <c r="K1033" t="str">
        <f>_xll.BDP("422460FC Muni","MATURITY")</f>
        <v>#N/A Requesting Data...</v>
      </c>
      <c r="L1033">
        <v>100000</v>
      </c>
      <c r="M1033" t="str">
        <f>_xll.BDP("422460FC Muni","YIELD_ON_ISSUE_DATE")</f>
        <v>#N/A Requesting Data...</v>
      </c>
      <c r="N1033" t="str">
        <f>_xll.BDP("422460FC Muni","YTW_SPREAD_TO_MATURITY_AT_ISSU")</f>
        <v>#N/A Requesting Data...</v>
      </c>
      <c r="O1033" t="str">
        <f>_xll.BDP("422460FC Muni","BVAL_MID_YTM")</f>
        <v>#N/A Requesting Data...</v>
      </c>
      <c r="P1033" t="str">
        <f>_xll.BDP("422460FC Muni","MUNI_TAX_PROV")</f>
        <v>#N/A Requesting Data...</v>
      </c>
      <c r="Q1033" t="str">
        <f>_xll.BDP("422460FC Muni","MUNI_FED_TAX")</f>
        <v>#N/A Requesting Data...</v>
      </c>
      <c r="R1033" t="str">
        <f>_xll.BDP("422460FC Muni","MUNI_MSRB_VOLUME")</f>
        <v>#N/A Requesting Data...</v>
      </c>
      <c r="S1033" t="str">
        <f>_xll.BDP("422460FC Muni","BB_COMPOSITE")</f>
        <v>#N/A Requesting Data...</v>
      </c>
      <c r="T1033" t="str">
        <f>_xll.BDP("422460FC Muni","LQA_LIQUIDITY_SCORE")</f>
        <v>#N/A Requesting Data...</v>
      </c>
    </row>
    <row r="1034" spans="1:20" x14ac:dyDescent="0.25">
      <c r="A1034" t="str">
        <f>_xll.BDP("424672WZ Muni","ID_CUSIP")</f>
        <v>#N/A Requesting Data...</v>
      </c>
      <c r="B1034" t="s">
        <v>233</v>
      </c>
      <c r="C1034" t="str">
        <f>_xll.BDP("424672WZ Muni","INSURANCE_STATUS")</f>
        <v>#N/A Requesting Data...</v>
      </c>
      <c r="D1034" t="str">
        <f>_xll.BDP("424672WZ Muni","STATE_CODE")</f>
        <v>#N/A Requesting Data...</v>
      </c>
      <c r="E1034" t="str">
        <f>_xll.BDP("424672WZ Muni","COUNTY_LOCATION_ISSUER")</f>
        <v>#N/A Requesting Data...</v>
      </c>
      <c r="F1034" t="str">
        <f>_xll.BDP("424672WZ Muni","DUR_ADJ_MID")</f>
        <v>#N/A Requesting Data...</v>
      </c>
      <c r="G1034" t="str">
        <f>_xll.BDP("424672WZ Muni","SPREAD_AT_ISSUANCE_TO_WORST")</f>
        <v>#N/A Requesting Data...</v>
      </c>
      <c r="H1034" t="str">
        <f>_xll.BDP("424672WZ Muni","ISSUE_DT")</f>
        <v>#N/A Requesting Data...</v>
      </c>
      <c r="I1034" t="str">
        <f>_xll.BDS("424672WZ Muni","MUNI_PURPOSE_SCHED", "aggregate=y")</f>
        <v>#N/A Requesting Data...</v>
      </c>
      <c r="J1034" t="str">
        <f>_xll.BDP("424672WZ Muni","CPN")</f>
        <v>#N/A Requesting Data...</v>
      </c>
      <c r="K1034" t="str">
        <f>_xll.BDP("424672WZ Muni","MATURITY")</f>
        <v>#N/A Requesting Data...</v>
      </c>
      <c r="L1034">
        <v>7150000</v>
      </c>
      <c r="M1034" t="str">
        <f>_xll.BDP("424672WZ Muni","YIELD_ON_ISSUE_DATE")</f>
        <v>#N/A Requesting Data...</v>
      </c>
      <c r="N1034" t="str">
        <f>_xll.BDP("424672WZ Muni","YTW_SPREAD_TO_MATURITY_AT_ISSU")</f>
        <v>#N/A Requesting Data...</v>
      </c>
      <c r="O1034" t="str">
        <f>_xll.BDP("424672WZ Muni","BVAL_MID_YTM")</f>
        <v>#N/A Requesting Data...</v>
      </c>
      <c r="P1034" t="str">
        <f>_xll.BDP("424672WZ Muni","MUNI_TAX_PROV")</f>
        <v>#N/A Requesting Data...</v>
      </c>
      <c r="Q1034" t="str">
        <f>_xll.BDP("424672WZ Muni","MUNI_FED_TAX")</f>
        <v>#N/A Requesting Data...</v>
      </c>
      <c r="R1034" t="str">
        <f>_xll.BDP("424672WZ Muni","MUNI_MSRB_VOLUME")</f>
        <v>#N/A Requesting Data...</v>
      </c>
      <c r="S1034" t="str">
        <f>_xll.BDP("424672WZ Muni","BB_COMPOSITE")</f>
        <v>#N/A Requesting Data...</v>
      </c>
      <c r="T1034" t="str">
        <f>_xll.BDP("424672WZ Muni","LQA_LIQUIDITY_SCORE")</f>
        <v>#N/A Requesting Data...</v>
      </c>
    </row>
    <row r="1035" spans="1:20" x14ac:dyDescent="0.25">
      <c r="A1035" t="str">
        <f>_xll.BDP("424672XC Muni","ID_CUSIP")</f>
        <v>#N/A Requesting Data...</v>
      </c>
      <c r="B1035" t="s">
        <v>233</v>
      </c>
      <c r="C1035" t="str">
        <f>_xll.BDP("424672XC Muni","INSURANCE_STATUS")</f>
        <v>#N/A Requesting Data...</v>
      </c>
      <c r="D1035" t="str">
        <f>_xll.BDP("424672XC Muni","STATE_CODE")</f>
        <v>#N/A Requesting Data...</v>
      </c>
      <c r="E1035" t="str">
        <f>_xll.BDP("424672XC Muni","COUNTY_LOCATION_ISSUER")</f>
        <v>#N/A Requesting Data...</v>
      </c>
      <c r="F1035" t="str">
        <f>_xll.BDP("424672XC Muni","DUR_ADJ_MID")</f>
        <v>#N/A Requesting Data...</v>
      </c>
      <c r="G1035" t="str">
        <f>_xll.BDP("424672XC Muni","SPREAD_AT_ISSUANCE_TO_WORST")</f>
        <v>#N/A Requesting Data...</v>
      </c>
      <c r="H1035" t="str">
        <f>_xll.BDP("424672XC Muni","ISSUE_DT")</f>
        <v>#N/A Requesting Data...</v>
      </c>
      <c r="I1035" t="str">
        <f>_xll.BDS("424672XC Muni","MUNI_PURPOSE_SCHED", "aggregate=y")</f>
        <v>#N/A Requesting Data...</v>
      </c>
      <c r="J1035" t="str">
        <f>_xll.BDP("424672XC Muni","CPN")</f>
        <v>#N/A Requesting Data...</v>
      </c>
      <c r="K1035" t="str">
        <f>_xll.BDP("424672XC Muni","MATURITY")</f>
        <v>#N/A Requesting Data...</v>
      </c>
      <c r="L1035">
        <v>8305000</v>
      </c>
      <c r="M1035" t="str">
        <f>_xll.BDP("424672XC Muni","YIELD_ON_ISSUE_DATE")</f>
        <v>#N/A Requesting Data...</v>
      </c>
      <c r="N1035" t="str">
        <f>_xll.BDP("424672XC Muni","YTW_SPREAD_TO_MATURITY_AT_ISSU")</f>
        <v>#N/A Requesting Data...</v>
      </c>
      <c r="O1035" t="str">
        <f>_xll.BDP("424672XC Muni","BVAL_MID_YTM")</f>
        <v>#N/A Requesting Data...</v>
      </c>
      <c r="P1035" t="str">
        <f>_xll.BDP("424672XC Muni","MUNI_TAX_PROV")</f>
        <v>#N/A Requesting Data...</v>
      </c>
      <c r="Q1035" t="str">
        <f>_xll.BDP("424672XC Muni","MUNI_FED_TAX")</f>
        <v>#N/A Requesting Data...</v>
      </c>
      <c r="R1035" t="str">
        <f>_xll.BDP("424672XC Muni","MUNI_MSRB_VOLUME")</f>
        <v>#N/A Requesting Data...</v>
      </c>
      <c r="S1035" t="str">
        <f>_xll.BDP("424672XC Muni","BB_COMPOSITE")</f>
        <v>#N/A Requesting Data...</v>
      </c>
      <c r="T1035" t="str">
        <f>_xll.BDP("424672XC Muni","LQA_LIQUIDITY_SCORE")</f>
        <v>#N/A Requesting Data...</v>
      </c>
    </row>
    <row r="1036" spans="1:20" x14ac:dyDescent="0.25">
      <c r="A1036" t="str">
        <f>_xll.BDP("424672XX Muni","ID_CUSIP")</f>
        <v>#N/A Requesting Data...</v>
      </c>
      <c r="B1036" t="s">
        <v>233</v>
      </c>
      <c r="C1036" t="str">
        <f>_xll.BDP("424672XX Muni","INSURANCE_STATUS")</f>
        <v>#N/A Requesting Data...</v>
      </c>
      <c r="D1036" t="str">
        <f>_xll.BDP("424672XX Muni","STATE_CODE")</f>
        <v>#N/A Requesting Data...</v>
      </c>
      <c r="E1036" t="str">
        <f>_xll.BDP("424672XX Muni","COUNTY_LOCATION_ISSUER")</f>
        <v>#N/A Requesting Data...</v>
      </c>
      <c r="F1036" t="str">
        <f>_xll.BDP("424672XX Muni","DUR_ADJ_MID")</f>
        <v>#N/A Requesting Data...</v>
      </c>
      <c r="G1036" t="str">
        <f>_xll.BDP("424672XX Muni","SPREAD_AT_ISSUANCE_TO_WORST")</f>
        <v>#N/A Requesting Data...</v>
      </c>
      <c r="H1036" t="str">
        <f>_xll.BDP("424672XX Muni","ISSUE_DT")</f>
        <v>#N/A Requesting Data...</v>
      </c>
      <c r="I1036" t="str">
        <f>_xll.BDS("424672XX Muni","MUNI_PURPOSE_SCHED", "aggregate=y")</f>
        <v>#N/A Requesting Data...</v>
      </c>
      <c r="J1036" t="str">
        <f>_xll.BDP("424672XX Muni","CPN")</f>
        <v>#N/A Requesting Data...</v>
      </c>
      <c r="K1036" t="str">
        <f>_xll.BDP("424672XX Muni","MATURITY")</f>
        <v>#N/A Requesting Data...</v>
      </c>
      <c r="L1036">
        <v>300000</v>
      </c>
      <c r="M1036" t="str">
        <f>_xll.BDP("424672XX Muni","YIELD_ON_ISSUE_DATE")</f>
        <v>#N/A Requesting Data...</v>
      </c>
      <c r="N1036" t="str">
        <f>_xll.BDP("424672XX Muni","YTW_SPREAD_TO_MATURITY_AT_ISSU")</f>
        <v>#N/A Requesting Data...</v>
      </c>
      <c r="O1036" t="str">
        <f>_xll.BDP("424672XX Muni","BVAL_MID_YTM")</f>
        <v>#N/A Requesting Data...</v>
      </c>
      <c r="P1036" t="str">
        <f>_xll.BDP("424672XX Muni","MUNI_TAX_PROV")</f>
        <v>#N/A Requesting Data...</v>
      </c>
      <c r="Q1036" t="str">
        <f>_xll.BDP("424672XX Muni","MUNI_FED_TAX")</f>
        <v>#N/A Requesting Data...</v>
      </c>
      <c r="R1036" t="str">
        <f>_xll.BDP("424672XX Muni","MUNI_MSRB_VOLUME")</f>
        <v>#N/A Requesting Data...</v>
      </c>
      <c r="S1036" t="str">
        <f>_xll.BDP("424672XX Muni","BB_COMPOSITE")</f>
        <v>#N/A Requesting Data...</v>
      </c>
      <c r="T1036" t="str">
        <f>_xll.BDP("424672XX Muni","LQA_LIQUIDITY_SCORE")</f>
        <v>#N/A Requesting Data...</v>
      </c>
    </row>
    <row r="1037" spans="1:20" x14ac:dyDescent="0.25">
      <c r="A1037" t="str">
        <f>_xll.BDP("424672XZ Muni","ID_CUSIP")</f>
        <v>#N/A Requesting Data...</v>
      </c>
      <c r="B1037" t="s">
        <v>233</v>
      </c>
      <c r="C1037" t="str">
        <f>_xll.BDP("424672XZ Muni","INSURANCE_STATUS")</f>
        <v>#N/A Requesting Data...</v>
      </c>
      <c r="D1037" t="str">
        <f>_xll.BDP("424672XZ Muni","STATE_CODE")</f>
        <v>#N/A Requesting Data...</v>
      </c>
      <c r="E1037" t="str">
        <f>_xll.BDP("424672XZ Muni","COUNTY_LOCATION_ISSUER")</f>
        <v>#N/A Requesting Data...</v>
      </c>
      <c r="F1037" t="str">
        <f>_xll.BDP("424672XZ Muni","DUR_ADJ_MID")</f>
        <v>#N/A Requesting Data...</v>
      </c>
      <c r="G1037" t="str">
        <f>_xll.BDP("424672XZ Muni","SPREAD_AT_ISSUANCE_TO_WORST")</f>
        <v>#N/A Requesting Data...</v>
      </c>
      <c r="H1037" t="str">
        <f>_xll.BDP("424672XZ Muni","ISSUE_DT")</f>
        <v>#N/A Requesting Data...</v>
      </c>
      <c r="I1037" t="str">
        <f>_xll.BDS("424672XZ Muni","MUNI_PURPOSE_SCHED", "aggregate=y")</f>
        <v>#N/A Requesting Data...</v>
      </c>
      <c r="J1037" t="str">
        <f>_xll.BDP("424672XZ Muni","CPN")</f>
        <v>#N/A Requesting Data...</v>
      </c>
      <c r="K1037" t="str">
        <f>_xll.BDP("424672XZ Muni","MATURITY")</f>
        <v>#N/A Requesting Data...</v>
      </c>
      <c r="L1037">
        <v>320000</v>
      </c>
      <c r="M1037" t="str">
        <f>_xll.BDP("424672XZ Muni","YIELD_ON_ISSUE_DATE")</f>
        <v>#N/A Requesting Data...</v>
      </c>
      <c r="N1037" t="str">
        <f>_xll.BDP("424672XZ Muni","YTW_SPREAD_TO_MATURITY_AT_ISSU")</f>
        <v>#N/A Requesting Data...</v>
      </c>
      <c r="O1037" t="str">
        <f>_xll.BDP("424672XZ Muni","BVAL_MID_YTM")</f>
        <v>#N/A Requesting Data...</v>
      </c>
      <c r="P1037" t="str">
        <f>_xll.BDP("424672XZ Muni","MUNI_TAX_PROV")</f>
        <v>#N/A Requesting Data...</v>
      </c>
      <c r="Q1037" t="str">
        <f>_xll.BDP("424672XZ Muni","MUNI_FED_TAX")</f>
        <v>#N/A Requesting Data...</v>
      </c>
      <c r="R1037" t="str">
        <f>_xll.BDP("424672XZ Muni","MUNI_MSRB_VOLUME")</f>
        <v>#N/A Requesting Data...</v>
      </c>
      <c r="S1037" t="str">
        <f>_xll.BDP("424672XZ Muni","BB_COMPOSITE")</f>
        <v>#N/A Requesting Data...</v>
      </c>
      <c r="T1037" t="str">
        <f>_xll.BDP("424672XZ Muni","LQA_LIQUIDITY_SCORE")</f>
        <v>#N/A Requesting Data...</v>
      </c>
    </row>
    <row r="1038" spans="1:20" x14ac:dyDescent="0.25">
      <c r="A1038" t="str">
        <f>_xll.BDP("35138RAV Muni","ID_CUSIP")</f>
        <v>#N/A Requesting Data...</v>
      </c>
      <c r="B1038" t="s">
        <v>280</v>
      </c>
      <c r="C1038" t="str">
        <f>_xll.BDP("35138RAV Muni","INSURANCE_STATUS")</f>
        <v>#N/A Requesting Data...</v>
      </c>
      <c r="D1038" t="str">
        <f>_xll.BDP("35138RAV Muni","STATE_CODE")</f>
        <v>#N/A Requesting Data...</v>
      </c>
      <c r="E1038" t="str">
        <f>_xll.BDP("35138RAV Muni","COUNTY_LOCATION_ISSUER")</f>
        <v>#N/A Requesting Data...</v>
      </c>
      <c r="F1038" t="str">
        <f>_xll.BDP("35138RAV Muni","DUR_ADJ_MID")</f>
        <v>#N/A Requesting Data...</v>
      </c>
      <c r="G1038" t="str">
        <f>_xll.BDP("35138RAV Muni","SPREAD_AT_ISSUANCE_TO_WORST")</f>
        <v>#N/A Requesting Data...</v>
      </c>
      <c r="H1038" t="str">
        <f>_xll.BDP("35138RAV Muni","ISSUE_DT")</f>
        <v>#N/A Requesting Data...</v>
      </c>
      <c r="I1038" t="str">
        <f>_xll.BDS("35138RAV Muni","MUNI_PURPOSE_SCHED", "aggregate=y")</f>
        <v>#N/A Requesting Data...</v>
      </c>
      <c r="J1038" t="str">
        <f>_xll.BDP("35138RAV Muni","CPN")</f>
        <v>#N/A Requesting Data...</v>
      </c>
      <c r="K1038" t="str">
        <f>_xll.BDP("35138RAV Muni","MATURITY")</f>
        <v>#N/A Requesting Data...</v>
      </c>
      <c r="L1038">
        <v>75000</v>
      </c>
      <c r="M1038" t="str">
        <f>_xll.BDP("35138RAV Muni","YIELD_ON_ISSUE_DATE")</f>
        <v>#N/A Requesting Data...</v>
      </c>
      <c r="N1038" t="str">
        <f>_xll.BDP("35138RAV Muni","YTW_SPREAD_TO_MATURITY_AT_ISSU")</f>
        <v>#N/A Requesting Data...</v>
      </c>
      <c r="O1038" t="str">
        <f>_xll.BDP("35138RAV Muni","BVAL_MID_YTM")</f>
        <v>#N/A Requesting Data...</v>
      </c>
      <c r="P1038" t="str">
        <f>_xll.BDP("35138RAV Muni","MUNI_TAX_PROV")</f>
        <v>#N/A Requesting Data...</v>
      </c>
      <c r="Q1038" t="str">
        <f>_xll.BDP("35138RAV Muni","MUNI_FED_TAX")</f>
        <v>#N/A Requesting Data...</v>
      </c>
      <c r="R1038" t="str">
        <f>_xll.BDP("35138RAV Muni","MUNI_MSRB_VOLUME")</f>
        <v>#N/A Requesting Data...</v>
      </c>
      <c r="S1038" t="str">
        <f>_xll.BDP("35138RAV Muni","BB_COMPOSITE")</f>
        <v>#N/A Requesting Data...</v>
      </c>
      <c r="T1038" t="str">
        <f>_xll.BDP("35138RAV Muni","LQA_LIQUIDITY_SCORE")</f>
        <v>#N/A Requesting Data...</v>
      </c>
    </row>
    <row r="1039" spans="1:20" x14ac:dyDescent="0.25">
      <c r="A1039" t="str">
        <f>_xll.BDP("351514KC Muni","ID_CUSIP")</f>
        <v>#N/A Requesting Data...</v>
      </c>
      <c r="B1039" t="s">
        <v>281</v>
      </c>
      <c r="C1039" t="str">
        <f>_xll.BDP("351514KC Muni","INSURANCE_STATUS")</f>
        <v>#N/A Requesting Data...</v>
      </c>
      <c r="D1039" t="str">
        <f>_xll.BDP("351514KC Muni","STATE_CODE")</f>
        <v>#N/A Requesting Data...</v>
      </c>
      <c r="E1039" t="str">
        <f>_xll.BDP("351514KC Muni","COUNTY_LOCATION_ISSUER")</f>
        <v>#N/A Requesting Data...</v>
      </c>
      <c r="F1039" t="str">
        <f>_xll.BDP("351514KC Muni","DUR_ADJ_MID")</f>
        <v>#N/A Requesting Data...</v>
      </c>
      <c r="G1039" t="str">
        <f>_xll.BDP("351514KC Muni","SPREAD_AT_ISSUANCE_TO_WORST")</f>
        <v>#N/A Requesting Data...</v>
      </c>
      <c r="H1039" t="str">
        <f>_xll.BDP("351514KC Muni","ISSUE_DT")</f>
        <v>#N/A Requesting Data...</v>
      </c>
      <c r="I1039" t="str">
        <f>_xll.BDS("351514KC Muni","MUNI_PURPOSE_SCHED", "aggregate=y")</f>
        <v>#N/A Requesting Data...</v>
      </c>
      <c r="J1039" t="str">
        <f>_xll.BDP("351514KC Muni","CPN")</f>
        <v>#N/A Requesting Data...</v>
      </c>
      <c r="K1039" t="str">
        <f>_xll.BDP("351514KC Muni","MATURITY")</f>
        <v>#N/A Requesting Data...</v>
      </c>
      <c r="L1039">
        <v>155000</v>
      </c>
      <c r="M1039" t="str">
        <f>_xll.BDP("351514KC Muni","YIELD_ON_ISSUE_DATE")</f>
        <v>#N/A Requesting Data...</v>
      </c>
      <c r="N1039" t="str">
        <f>_xll.BDP("351514KC Muni","YTW_SPREAD_TO_MATURITY_AT_ISSU")</f>
        <v>#N/A Requesting Data...</v>
      </c>
      <c r="O1039" t="str">
        <f>_xll.BDP("351514KC Muni","BVAL_MID_YTM")</f>
        <v>#N/A Requesting Data...</v>
      </c>
      <c r="P1039" t="str">
        <f>_xll.BDP("351514KC Muni","MUNI_TAX_PROV")</f>
        <v>#N/A Requesting Data...</v>
      </c>
      <c r="Q1039" t="str">
        <f>_xll.BDP("351514KC Muni","MUNI_FED_TAX")</f>
        <v>#N/A Requesting Data...</v>
      </c>
      <c r="R1039" t="str">
        <f>_xll.BDP("351514KC Muni","MUNI_MSRB_VOLUME")</f>
        <v>#N/A Requesting Data...</v>
      </c>
      <c r="S1039" t="str">
        <f>_xll.BDP("351514KC Muni","BB_COMPOSITE")</f>
        <v>#N/A Requesting Data...</v>
      </c>
      <c r="T1039" t="str">
        <f>_xll.BDP("351514KC Muni","LQA_LIQUIDITY_SCORE")</f>
        <v>#N/A Requesting Data...</v>
      </c>
    </row>
    <row r="1040" spans="1:20" x14ac:dyDescent="0.25">
      <c r="A1040" t="str">
        <f>_xll.BDP("351514KD Muni","ID_CUSIP")</f>
        <v>#N/A Requesting Data...</v>
      </c>
      <c r="B1040" t="s">
        <v>281</v>
      </c>
      <c r="C1040" t="str">
        <f>_xll.BDP("351514KD Muni","INSURANCE_STATUS")</f>
        <v>#N/A Requesting Data...</v>
      </c>
      <c r="D1040" t="str">
        <f>_xll.BDP("351514KD Muni","STATE_CODE")</f>
        <v>#N/A Requesting Data...</v>
      </c>
      <c r="E1040" t="str">
        <f>_xll.BDP("351514KD Muni","COUNTY_LOCATION_ISSUER")</f>
        <v>#N/A Requesting Data...</v>
      </c>
      <c r="F1040" t="str">
        <f>_xll.BDP("351514KD Muni","DUR_ADJ_MID")</f>
        <v>#N/A Requesting Data...</v>
      </c>
      <c r="G1040" t="str">
        <f>_xll.BDP("351514KD Muni","SPREAD_AT_ISSUANCE_TO_WORST")</f>
        <v>#N/A Requesting Data...</v>
      </c>
      <c r="H1040" t="str">
        <f>_xll.BDP("351514KD Muni","ISSUE_DT")</f>
        <v>#N/A Requesting Data...</v>
      </c>
      <c r="I1040" t="str">
        <f>_xll.BDS("351514KD Muni","MUNI_PURPOSE_SCHED", "aggregate=y")</f>
        <v>#N/A Requesting Data...</v>
      </c>
      <c r="J1040" t="str">
        <f>_xll.BDP("351514KD Muni","CPN")</f>
        <v>#N/A Requesting Data...</v>
      </c>
      <c r="K1040" t="str">
        <f>_xll.BDP("351514KD Muni","MATURITY")</f>
        <v>#N/A Requesting Data...</v>
      </c>
      <c r="L1040">
        <v>160000</v>
      </c>
      <c r="M1040" t="str">
        <f>_xll.BDP("351514KD Muni","YIELD_ON_ISSUE_DATE")</f>
        <v>#N/A Requesting Data...</v>
      </c>
      <c r="N1040" t="str">
        <f>_xll.BDP("351514KD Muni","YTW_SPREAD_TO_MATURITY_AT_ISSU")</f>
        <v>#N/A Requesting Data...</v>
      </c>
      <c r="O1040" t="str">
        <f>_xll.BDP("351514KD Muni","BVAL_MID_YTM")</f>
        <v>#N/A Requesting Data...</v>
      </c>
      <c r="P1040" t="str">
        <f>_xll.BDP("351514KD Muni","MUNI_TAX_PROV")</f>
        <v>#N/A Requesting Data...</v>
      </c>
      <c r="Q1040" t="str">
        <f>_xll.BDP("351514KD Muni","MUNI_FED_TAX")</f>
        <v>#N/A Requesting Data...</v>
      </c>
      <c r="R1040" t="str">
        <f>_xll.BDP("351514KD Muni","MUNI_MSRB_VOLUME")</f>
        <v>#N/A Requesting Data...</v>
      </c>
      <c r="S1040" t="str">
        <f>_xll.BDP("351514KD Muni","BB_COMPOSITE")</f>
        <v>#N/A Requesting Data...</v>
      </c>
      <c r="T1040" t="str">
        <f>_xll.BDP("351514KD Muni","LQA_LIQUIDITY_SCORE")</f>
        <v>#N/A Requesting Data...</v>
      </c>
    </row>
    <row r="1041" spans="1:20" x14ac:dyDescent="0.25">
      <c r="A1041" t="str">
        <f>_xll.BDP("351514KE Muni","ID_CUSIP")</f>
        <v>#N/A Requesting Data...</v>
      </c>
      <c r="B1041" t="s">
        <v>281</v>
      </c>
      <c r="C1041" t="str">
        <f>_xll.BDP("351514KE Muni","INSURANCE_STATUS")</f>
        <v>#N/A Requesting Data...</v>
      </c>
      <c r="D1041" t="str">
        <f>_xll.BDP("351514KE Muni","STATE_CODE")</f>
        <v>#N/A Requesting Data...</v>
      </c>
      <c r="E1041" t="str">
        <f>_xll.BDP("351514KE Muni","COUNTY_LOCATION_ISSUER")</f>
        <v>#N/A Requesting Data...</v>
      </c>
      <c r="F1041" t="str">
        <f>_xll.BDP("351514KE Muni","DUR_ADJ_MID")</f>
        <v>#N/A Requesting Data...</v>
      </c>
      <c r="G1041" t="str">
        <f>_xll.BDP("351514KE Muni","SPREAD_AT_ISSUANCE_TO_WORST")</f>
        <v>#N/A Requesting Data...</v>
      </c>
      <c r="H1041" t="str">
        <f>_xll.BDP("351514KE Muni","ISSUE_DT")</f>
        <v>#N/A Requesting Data...</v>
      </c>
      <c r="I1041" t="str">
        <f>_xll.BDS("351514KE Muni","MUNI_PURPOSE_SCHED", "aggregate=y")</f>
        <v>#N/A Requesting Data...</v>
      </c>
      <c r="J1041" t="str">
        <f>_xll.BDP("351514KE Muni","CPN")</f>
        <v>#N/A Requesting Data...</v>
      </c>
      <c r="K1041" t="str">
        <f>_xll.BDP("351514KE Muni","MATURITY")</f>
        <v>#N/A Requesting Data...</v>
      </c>
      <c r="L1041">
        <v>165000</v>
      </c>
      <c r="M1041" t="str">
        <f>_xll.BDP("351514KE Muni","YIELD_ON_ISSUE_DATE")</f>
        <v>#N/A Requesting Data...</v>
      </c>
      <c r="N1041" t="str">
        <f>_xll.BDP("351514KE Muni","YTW_SPREAD_TO_MATURITY_AT_ISSU")</f>
        <v>#N/A Requesting Data...</v>
      </c>
      <c r="O1041" t="str">
        <f>_xll.BDP("351514KE Muni","BVAL_MID_YTM")</f>
        <v>#N/A Requesting Data...</v>
      </c>
      <c r="P1041" t="str">
        <f>_xll.BDP("351514KE Muni","MUNI_TAX_PROV")</f>
        <v>#N/A Requesting Data...</v>
      </c>
      <c r="Q1041" t="str">
        <f>_xll.BDP("351514KE Muni","MUNI_FED_TAX")</f>
        <v>#N/A Requesting Data...</v>
      </c>
      <c r="R1041" t="str">
        <f>_xll.BDP("351514KE Muni","MUNI_MSRB_VOLUME")</f>
        <v>#N/A Requesting Data...</v>
      </c>
      <c r="S1041" t="str">
        <f>_xll.BDP("351514KE Muni","BB_COMPOSITE")</f>
        <v>#N/A Requesting Data...</v>
      </c>
      <c r="T1041" t="str">
        <f>_xll.BDP("351514KE Muni","LQA_LIQUIDITY_SCORE")</f>
        <v>#N/A Requesting Data...</v>
      </c>
    </row>
    <row r="1042" spans="1:20" x14ac:dyDescent="0.25">
      <c r="A1042" t="str">
        <f>_xll.BDP("45506DQ9 Muni","ID_CUSIP")</f>
        <v>#N/A Requesting Data...</v>
      </c>
      <c r="B1042" t="s">
        <v>239</v>
      </c>
      <c r="C1042" t="str">
        <f>_xll.BDP("45506DQ9 Muni","INSURANCE_STATUS")</f>
        <v>#N/A Requesting Data...</v>
      </c>
      <c r="D1042" t="str">
        <f>_xll.BDP("45506DQ9 Muni","STATE_CODE")</f>
        <v>#N/A Requesting Data...</v>
      </c>
      <c r="E1042" t="str">
        <f>_xll.BDP("45506DQ9 Muni","COUNTY_LOCATION_ISSUER")</f>
        <v>#N/A Requesting Data...</v>
      </c>
      <c r="F1042" t="str">
        <f>_xll.BDP("45506DQ9 Muni","DUR_ADJ_MID")</f>
        <v>#N/A Requesting Data...</v>
      </c>
      <c r="G1042" t="str">
        <f>_xll.BDP("45506DQ9 Muni","SPREAD_AT_ISSUANCE_TO_WORST")</f>
        <v>#N/A Requesting Data...</v>
      </c>
      <c r="H1042" t="str">
        <f>_xll.BDP("45506DQ9 Muni","ISSUE_DT")</f>
        <v>#N/A Requesting Data...</v>
      </c>
      <c r="I1042" t="str">
        <f>_xll.BDS("45506DQ9 Muni","MUNI_PURPOSE_SCHED", "aggregate=y")</f>
        <v>#N/A Requesting Data...</v>
      </c>
      <c r="J1042" t="str">
        <f>_xll.BDP("45506DQ9 Muni","CPN")</f>
        <v>#N/A Requesting Data...</v>
      </c>
      <c r="K1042" t="str">
        <f>_xll.BDP("45506DQ9 Muni","MATURITY")</f>
        <v>#N/A Requesting Data...</v>
      </c>
      <c r="L1042">
        <v>15415000</v>
      </c>
      <c r="M1042" t="str">
        <f>_xll.BDP("45506DQ9 Muni","YIELD_ON_ISSUE_DATE")</f>
        <v>#N/A Requesting Data...</v>
      </c>
      <c r="N1042" t="str">
        <f>_xll.BDP("45506DQ9 Muni","YTW_SPREAD_TO_MATURITY_AT_ISSU")</f>
        <v>#N/A Requesting Data...</v>
      </c>
      <c r="O1042" t="str">
        <f>_xll.BDP("45506DQ9 Muni","BVAL_MID_YTM")</f>
        <v>#N/A Requesting Data...</v>
      </c>
      <c r="P1042" t="str">
        <f>_xll.BDP("45506DQ9 Muni","MUNI_TAX_PROV")</f>
        <v>#N/A Requesting Data...</v>
      </c>
      <c r="Q1042" t="str">
        <f>_xll.BDP("45506DQ9 Muni","MUNI_FED_TAX")</f>
        <v>#N/A Requesting Data...</v>
      </c>
      <c r="R1042" t="str">
        <f>_xll.BDP("45506DQ9 Muni","MUNI_MSRB_VOLUME")</f>
        <v>#N/A Requesting Data...</v>
      </c>
      <c r="S1042" t="str">
        <f>_xll.BDP("45506DQ9 Muni","BB_COMPOSITE")</f>
        <v>#N/A Requesting Data...</v>
      </c>
      <c r="T1042" t="str">
        <f>_xll.BDP("45506DQ9 Muni","LQA_LIQUIDITY_SCORE")</f>
        <v>#N/A Requesting Data...</v>
      </c>
    </row>
    <row r="1043" spans="1:20" x14ac:dyDescent="0.25">
      <c r="A1043" t="str">
        <f>_xll.BDP("45506DR2 Muni","ID_CUSIP")</f>
        <v>#N/A Requesting Data...</v>
      </c>
      <c r="B1043" t="s">
        <v>239</v>
      </c>
      <c r="C1043" t="str">
        <f>_xll.BDP("45506DR2 Muni","INSURANCE_STATUS")</f>
        <v>#N/A Requesting Data...</v>
      </c>
      <c r="D1043" t="str">
        <f>_xll.BDP("45506DR2 Muni","STATE_CODE")</f>
        <v>#N/A Requesting Data...</v>
      </c>
      <c r="E1043" t="str">
        <f>_xll.BDP("45506DR2 Muni","COUNTY_LOCATION_ISSUER")</f>
        <v>#N/A Requesting Data...</v>
      </c>
      <c r="F1043" t="str">
        <f>_xll.BDP("45506DR2 Muni","DUR_ADJ_MID")</f>
        <v>#N/A Requesting Data...</v>
      </c>
      <c r="G1043" t="str">
        <f>_xll.BDP("45506DR2 Muni","SPREAD_AT_ISSUANCE_TO_WORST")</f>
        <v>#N/A Requesting Data...</v>
      </c>
      <c r="H1043" t="str">
        <f>_xll.BDP("45506DR2 Muni","ISSUE_DT")</f>
        <v>#N/A Requesting Data...</v>
      </c>
      <c r="I1043" t="str">
        <f>_xll.BDS("45506DR2 Muni","MUNI_PURPOSE_SCHED", "aggregate=y")</f>
        <v>#N/A Requesting Data...</v>
      </c>
      <c r="J1043" t="str">
        <f>_xll.BDP("45506DR2 Muni","CPN")</f>
        <v>#N/A Requesting Data...</v>
      </c>
      <c r="K1043" t="str">
        <f>_xll.BDP("45506DR2 Muni","MATURITY")</f>
        <v>#N/A Requesting Data...</v>
      </c>
      <c r="L1043">
        <v>15375000</v>
      </c>
      <c r="M1043" t="str">
        <f>_xll.BDP("45506DR2 Muni","YIELD_ON_ISSUE_DATE")</f>
        <v>#N/A Requesting Data...</v>
      </c>
      <c r="N1043" t="str">
        <f>_xll.BDP("45506DR2 Muni","YTW_SPREAD_TO_MATURITY_AT_ISSU")</f>
        <v>#N/A Requesting Data...</v>
      </c>
      <c r="O1043" t="str">
        <f>_xll.BDP("45506DR2 Muni","BVAL_MID_YTM")</f>
        <v>#N/A Requesting Data...</v>
      </c>
      <c r="P1043" t="str">
        <f>_xll.BDP("45506DR2 Muni","MUNI_TAX_PROV")</f>
        <v>#N/A Requesting Data...</v>
      </c>
      <c r="Q1043" t="str">
        <f>_xll.BDP("45506DR2 Muni","MUNI_FED_TAX")</f>
        <v>#N/A Requesting Data...</v>
      </c>
      <c r="R1043" t="str">
        <f>_xll.BDP("45506DR2 Muni","MUNI_MSRB_VOLUME")</f>
        <v>#N/A Requesting Data...</v>
      </c>
      <c r="S1043" t="str">
        <f>_xll.BDP("45506DR2 Muni","BB_COMPOSITE")</f>
        <v>#N/A Requesting Data...</v>
      </c>
      <c r="T1043" t="str">
        <f>_xll.BDP("45506DR2 Muni","LQA_LIQUIDITY_SCORE")</f>
        <v>#N/A Requesting Data...</v>
      </c>
    </row>
    <row r="1044" spans="1:20" x14ac:dyDescent="0.25">
      <c r="A1044" t="str">
        <f>_xll.BDP("45506DR3 Muni","ID_CUSIP")</f>
        <v>#N/A Requesting Data...</v>
      </c>
      <c r="B1044" t="s">
        <v>239</v>
      </c>
      <c r="C1044" t="str">
        <f>_xll.BDP("45506DR3 Muni","INSURANCE_STATUS")</f>
        <v>#N/A Requesting Data...</v>
      </c>
      <c r="D1044" t="str">
        <f>_xll.BDP("45506DR3 Muni","STATE_CODE")</f>
        <v>#N/A Requesting Data...</v>
      </c>
      <c r="E1044" t="str">
        <f>_xll.BDP("45506DR3 Muni","COUNTY_LOCATION_ISSUER")</f>
        <v>#N/A Requesting Data...</v>
      </c>
      <c r="F1044" t="str">
        <f>_xll.BDP("45506DR3 Muni","DUR_ADJ_MID")</f>
        <v>#N/A Requesting Data...</v>
      </c>
      <c r="G1044" t="str">
        <f>_xll.BDP("45506DR3 Muni","SPREAD_AT_ISSUANCE_TO_WORST")</f>
        <v>#N/A Requesting Data...</v>
      </c>
      <c r="H1044" t="str">
        <f>_xll.BDP("45506DR3 Muni","ISSUE_DT")</f>
        <v>#N/A Requesting Data...</v>
      </c>
      <c r="I1044" t="str">
        <f>_xll.BDS("45506DR3 Muni","MUNI_PURPOSE_SCHED", "aggregate=y")</f>
        <v>#N/A Requesting Data...</v>
      </c>
      <c r="J1044" t="str">
        <f>_xll.BDP("45506DR3 Muni","CPN")</f>
        <v>#N/A Requesting Data...</v>
      </c>
      <c r="K1044" t="str">
        <f>_xll.BDP("45506DR3 Muni","MATURITY")</f>
        <v>#N/A Requesting Data...</v>
      </c>
      <c r="L1044">
        <v>12665000</v>
      </c>
      <c r="M1044" t="str">
        <f>_xll.BDP("45506DR3 Muni","YIELD_ON_ISSUE_DATE")</f>
        <v>#N/A Requesting Data...</v>
      </c>
      <c r="N1044" t="str">
        <f>_xll.BDP("45506DR3 Muni","YTW_SPREAD_TO_MATURITY_AT_ISSU")</f>
        <v>#N/A Requesting Data...</v>
      </c>
      <c r="O1044" t="str">
        <f>_xll.BDP("45506DR3 Muni","BVAL_MID_YTM")</f>
        <v>#N/A Requesting Data...</v>
      </c>
      <c r="P1044" t="str">
        <f>_xll.BDP("45506DR3 Muni","MUNI_TAX_PROV")</f>
        <v>#N/A Requesting Data...</v>
      </c>
      <c r="Q1044" t="str">
        <f>_xll.BDP("45506DR3 Muni","MUNI_FED_TAX")</f>
        <v>#N/A Requesting Data...</v>
      </c>
      <c r="R1044" t="str">
        <f>_xll.BDP("45506DR3 Muni","MUNI_MSRB_VOLUME")</f>
        <v>#N/A Requesting Data...</v>
      </c>
      <c r="S1044" t="str">
        <f>_xll.BDP("45506DR3 Muni","BB_COMPOSITE")</f>
        <v>#N/A Requesting Data...</v>
      </c>
      <c r="T1044" t="str">
        <f>_xll.BDP("45506DR3 Muni","LQA_LIQUIDITY_SCORE")</f>
        <v>#N/A Requesting Data...</v>
      </c>
    </row>
    <row r="1045" spans="1:20" x14ac:dyDescent="0.25">
      <c r="A1045" t="str">
        <f>_xll.BDP("455412BF Muni","ID_CUSIP")</f>
        <v>#N/A Requesting Data...</v>
      </c>
      <c r="B1045" t="s">
        <v>240</v>
      </c>
      <c r="C1045" t="str">
        <f>_xll.BDP("455412BF Muni","INSURANCE_STATUS")</f>
        <v>#N/A Requesting Data...</v>
      </c>
      <c r="D1045" t="str">
        <f>_xll.BDP("455412BF Muni","STATE_CODE")</f>
        <v>#N/A Requesting Data...</v>
      </c>
      <c r="E1045" t="str">
        <f>_xll.BDP("455412BF Muni","COUNTY_LOCATION_ISSUER")</f>
        <v>#N/A Requesting Data...</v>
      </c>
      <c r="F1045" t="str">
        <f>_xll.BDP("455412BF Muni","DUR_ADJ_MID")</f>
        <v>#N/A Requesting Data...</v>
      </c>
      <c r="G1045" t="str">
        <f>_xll.BDP("455412BF Muni","SPREAD_AT_ISSUANCE_TO_WORST")</f>
        <v>#N/A Requesting Data...</v>
      </c>
      <c r="H1045" t="str">
        <f>_xll.BDP("455412BF Muni","ISSUE_DT")</f>
        <v>#N/A Requesting Data...</v>
      </c>
      <c r="I1045" t="str">
        <f>_xll.BDS("455412BF Muni","MUNI_PURPOSE_SCHED", "aggregate=y")</f>
        <v>#N/A Requesting Data...</v>
      </c>
      <c r="J1045" t="str">
        <f>_xll.BDP("455412BF Muni","CPN")</f>
        <v>#N/A Requesting Data...</v>
      </c>
      <c r="K1045" t="str">
        <f>_xll.BDP("455412BF Muni","MATURITY")</f>
        <v>#N/A Requesting Data...</v>
      </c>
      <c r="L1045">
        <v>16420000</v>
      </c>
      <c r="M1045" t="str">
        <f>_xll.BDP("455412BF Muni","YIELD_ON_ISSUE_DATE")</f>
        <v>#N/A Requesting Data...</v>
      </c>
      <c r="N1045" t="str">
        <f>_xll.BDP("455412BF Muni","YTW_SPREAD_TO_MATURITY_AT_ISSU")</f>
        <v>#N/A Requesting Data...</v>
      </c>
      <c r="O1045" t="str">
        <f>_xll.BDP("455412BF Muni","BVAL_MID_YTM")</f>
        <v>#N/A Requesting Data...</v>
      </c>
      <c r="P1045" t="str">
        <f>_xll.BDP("455412BF Muni","MUNI_TAX_PROV")</f>
        <v>#N/A Requesting Data...</v>
      </c>
      <c r="Q1045" t="str">
        <f>_xll.BDP("455412BF Muni","MUNI_FED_TAX")</f>
        <v>#N/A Requesting Data...</v>
      </c>
      <c r="R1045" t="str">
        <f>_xll.BDP("455412BF Muni","MUNI_MSRB_VOLUME")</f>
        <v>#N/A Requesting Data...</v>
      </c>
      <c r="S1045" t="str">
        <f>_xll.BDP("455412BF Muni","BB_COMPOSITE")</f>
        <v>#N/A Requesting Data...</v>
      </c>
      <c r="T1045" t="str">
        <f>_xll.BDP("455412BF Muni","LQA_LIQUIDITY_SCORE")</f>
        <v>#N/A Requesting Data...</v>
      </c>
    </row>
    <row r="1046" spans="1:20" x14ac:dyDescent="0.25">
      <c r="A1046" t="str">
        <f>_xll.BDP("455412BH Muni","ID_CUSIP")</f>
        <v>#N/A Requesting Data...</v>
      </c>
      <c r="B1046" t="s">
        <v>240</v>
      </c>
      <c r="C1046" t="str">
        <f>_xll.BDP("455412BH Muni","INSURANCE_STATUS")</f>
        <v>#N/A Requesting Data...</v>
      </c>
      <c r="D1046" t="str">
        <f>_xll.BDP("455412BH Muni","STATE_CODE")</f>
        <v>#N/A Requesting Data...</v>
      </c>
      <c r="E1046" t="str">
        <f>_xll.BDP("455412BH Muni","COUNTY_LOCATION_ISSUER")</f>
        <v>#N/A Requesting Data...</v>
      </c>
      <c r="F1046" t="str">
        <f>_xll.BDP("455412BH Muni","DUR_ADJ_MID")</f>
        <v>#N/A Requesting Data...</v>
      </c>
      <c r="G1046" t="str">
        <f>_xll.BDP("455412BH Muni","SPREAD_AT_ISSUANCE_TO_WORST")</f>
        <v>#N/A Requesting Data...</v>
      </c>
      <c r="H1046" t="str">
        <f>_xll.BDP("455412BH Muni","ISSUE_DT")</f>
        <v>#N/A Requesting Data...</v>
      </c>
      <c r="I1046" t="str">
        <f>_xll.BDS("455412BH Muni","MUNI_PURPOSE_SCHED", "aggregate=y")</f>
        <v>#N/A Requesting Data...</v>
      </c>
      <c r="J1046" t="str">
        <f>_xll.BDP("455412BH Muni","CPN")</f>
        <v>#N/A Requesting Data...</v>
      </c>
      <c r="K1046" t="str">
        <f>_xll.BDP("455412BH Muni","MATURITY")</f>
        <v>#N/A Requesting Data...</v>
      </c>
      <c r="L1046">
        <v>14150000</v>
      </c>
      <c r="M1046" t="str">
        <f>_xll.BDP("455412BH Muni","YIELD_ON_ISSUE_DATE")</f>
        <v>#N/A Requesting Data...</v>
      </c>
      <c r="N1046" t="str">
        <f>_xll.BDP("455412BH Muni","YTW_SPREAD_TO_MATURITY_AT_ISSU")</f>
        <v>#N/A Requesting Data...</v>
      </c>
      <c r="O1046" t="str">
        <f>_xll.BDP("455412BH Muni","BVAL_MID_YTM")</f>
        <v>#N/A Requesting Data...</v>
      </c>
      <c r="P1046" t="str">
        <f>_xll.BDP("455412BH Muni","MUNI_TAX_PROV")</f>
        <v>#N/A Requesting Data...</v>
      </c>
      <c r="Q1046" t="str">
        <f>_xll.BDP("455412BH Muni","MUNI_FED_TAX")</f>
        <v>#N/A Requesting Data...</v>
      </c>
      <c r="R1046" t="str">
        <f>_xll.BDP("455412BH Muni","MUNI_MSRB_VOLUME")</f>
        <v>#N/A Requesting Data...</v>
      </c>
      <c r="S1046" t="str">
        <f>_xll.BDP("455412BH Muni","BB_COMPOSITE")</f>
        <v>#N/A Requesting Data...</v>
      </c>
      <c r="T1046" t="str">
        <f>_xll.BDP("455412BH Muni","LQA_LIQUIDITY_SCORE")</f>
        <v>#N/A Requesting Data...</v>
      </c>
    </row>
    <row r="1047" spans="1:20" x14ac:dyDescent="0.25">
      <c r="A1047" t="str">
        <f>_xll.BDP("455412BJ Muni","ID_CUSIP")</f>
        <v>#N/A Requesting Data...</v>
      </c>
      <c r="B1047" t="s">
        <v>240</v>
      </c>
      <c r="C1047" t="str">
        <f>_xll.BDP("455412BJ Muni","INSURANCE_STATUS")</f>
        <v>#N/A Requesting Data...</v>
      </c>
      <c r="D1047" t="str">
        <f>_xll.BDP("455412BJ Muni","STATE_CODE")</f>
        <v>#N/A Requesting Data...</v>
      </c>
      <c r="E1047" t="str">
        <f>_xll.BDP("455412BJ Muni","COUNTY_LOCATION_ISSUER")</f>
        <v>#N/A Requesting Data...</v>
      </c>
      <c r="F1047" t="str">
        <f>_xll.BDP("455412BJ Muni","DUR_ADJ_MID")</f>
        <v>#N/A Requesting Data...</v>
      </c>
      <c r="G1047" t="str">
        <f>_xll.BDP("455412BJ Muni","SPREAD_AT_ISSUANCE_TO_WORST")</f>
        <v>#N/A Requesting Data...</v>
      </c>
      <c r="H1047" t="str">
        <f>_xll.BDP("455412BJ Muni","ISSUE_DT")</f>
        <v>#N/A Requesting Data...</v>
      </c>
      <c r="I1047" t="str">
        <f>_xll.BDS("455412BJ Muni","MUNI_PURPOSE_SCHED", "aggregate=y")</f>
        <v>#N/A Requesting Data...</v>
      </c>
      <c r="J1047" t="str">
        <f>_xll.BDP("455412BJ Muni","CPN")</f>
        <v>#N/A Requesting Data...</v>
      </c>
      <c r="K1047" t="str">
        <f>_xll.BDP("455412BJ Muni","MATURITY")</f>
        <v>#N/A Requesting Data...</v>
      </c>
      <c r="L1047">
        <v>12700000</v>
      </c>
      <c r="M1047" t="str">
        <f>_xll.BDP("455412BJ Muni","YIELD_ON_ISSUE_DATE")</f>
        <v>#N/A Requesting Data...</v>
      </c>
      <c r="N1047" t="str">
        <f>_xll.BDP("455412BJ Muni","YTW_SPREAD_TO_MATURITY_AT_ISSU")</f>
        <v>#N/A Requesting Data...</v>
      </c>
      <c r="O1047" t="str">
        <f>_xll.BDP("455412BJ Muni","BVAL_MID_YTM")</f>
        <v>#N/A Requesting Data...</v>
      </c>
      <c r="P1047" t="str">
        <f>_xll.BDP("455412BJ Muni","MUNI_TAX_PROV")</f>
        <v>#N/A Requesting Data...</v>
      </c>
      <c r="Q1047" t="str">
        <f>_xll.BDP("455412BJ Muni","MUNI_FED_TAX")</f>
        <v>#N/A Requesting Data...</v>
      </c>
      <c r="R1047" t="str">
        <f>_xll.BDP("455412BJ Muni","MUNI_MSRB_VOLUME")</f>
        <v>#N/A Requesting Data...</v>
      </c>
      <c r="S1047" t="str">
        <f>_xll.BDP("455412BJ Muni","BB_COMPOSITE")</f>
        <v>#N/A Requesting Data...</v>
      </c>
      <c r="T1047" t="str">
        <f>_xll.BDP("455412BJ Muni","LQA_LIQUIDITY_SCORE")</f>
        <v>#N/A Requesting Data...</v>
      </c>
    </row>
    <row r="1048" spans="1:20" x14ac:dyDescent="0.25">
      <c r="A1048" t="str">
        <f>_xll.BDP("421033FA Muni","ID_CUSIP")</f>
        <v>#N/A Requesting Data...</v>
      </c>
      <c r="B1048" t="s">
        <v>230</v>
      </c>
      <c r="C1048" t="str">
        <f>_xll.BDP("421033FA Muni","INSURANCE_STATUS")</f>
        <v>#N/A Requesting Data...</v>
      </c>
      <c r="D1048" t="str">
        <f>_xll.BDP("421033FA Muni","STATE_CODE")</f>
        <v>#N/A Requesting Data...</v>
      </c>
      <c r="E1048" t="str">
        <f>_xll.BDP("421033FA Muni","COUNTY_LOCATION_ISSUER")</f>
        <v>#N/A Requesting Data...</v>
      </c>
      <c r="F1048" t="str">
        <f>_xll.BDP("421033FA Muni","DUR_ADJ_MID")</f>
        <v>#N/A Requesting Data...</v>
      </c>
      <c r="G1048" t="str">
        <f>_xll.BDP("421033FA Muni","SPREAD_AT_ISSUANCE_TO_WORST")</f>
        <v>#N/A Requesting Data...</v>
      </c>
      <c r="H1048" t="str">
        <f>_xll.BDP("421033FA Muni","ISSUE_DT")</f>
        <v>#N/A Requesting Data...</v>
      </c>
      <c r="I1048" t="str">
        <f>_xll.BDS("421033FA Muni","MUNI_PURPOSE_SCHED", "aggregate=y")</f>
        <v>#N/A Requesting Data...</v>
      </c>
      <c r="J1048" t="str">
        <f>_xll.BDP("421033FA Muni","CPN")</f>
        <v>#N/A Requesting Data...</v>
      </c>
      <c r="K1048" t="str">
        <f>_xll.BDP("421033FA Muni","MATURITY")</f>
        <v>#N/A Requesting Data...</v>
      </c>
      <c r="L1048">
        <v>205000</v>
      </c>
      <c r="M1048" t="str">
        <f>_xll.BDP("421033FA Muni","YIELD_ON_ISSUE_DATE")</f>
        <v>#N/A Requesting Data...</v>
      </c>
      <c r="N1048" t="str">
        <f>_xll.BDP("421033FA Muni","YTW_SPREAD_TO_MATURITY_AT_ISSU")</f>
        <v>#N/A Requesting Data...</v>
      </c>
      <c r="O1048" t="str">
        <f>_xll.BDP("421033FA Muni","BVAL_MID_YTM")</f>
        <v>#N/A Requesting Data...</v>
      </c>
      <c r="P1048" t="str">
        <f>_xll.BDP("421033FA Muni","MUNI_TAX_PROV")</f>
        <v>#N/A Requesting Data...</v>
      </c>
      <c r="Q1048" t="str">
        <f>_xll.BDP("421033FA Muni","MUNI_FED_TAX")</f>
        <v>#N/A Requesting Data...</v>
      </c>
      <c r="R1048" t="str">
        <f>_xll.BDP("421033FA Muni","MUNI_MSRB_VOLUME")</f>
        <v>#N/A Requesting Data...</v>
      </c>
      <c r="S1048" t="str">
        <f>_xll.BDP("421033FA Muni","BB_COMPOSITE")</f>
        <v>#N/A Requesting Data...</v>
      </c>
      <c r="T1048" t="str">
        <f>_xll.BDP("421033FA Muni","LQA_LIQUIDITY_SCORE")</f>
        <v>#N/A Requesting Data...</v>
      </c>
    </row>
    <row r="1049" spans="1:20" x14ac:dyDescent="0.25">
      <c r="A1049" t="str">
        <f>_xll.BDP("42103PBX Muni","ID_CUSIP")</f>
        <v>#N/A Requesting Data...</v>
      </c>
      <c r="B1049" t="s">
        <v>231</v>
      </c>
      <c r="C1049" t="str">
        <f>_xll.BDP("42103PBX Muni","INSURANCE_STATUS")</f>
        <v>#N/A Requesting Data...</v>
      </c>
      <c r="D1049" t="str">
        <f>_xll.BDP("42103PBX Muni","STATE_CODE")</f>
        <v>#N/A Requesting Data...</v>
      </c>
      <c r="E1049" t="str">
        <f>_xll.BDP("42103PBX Muni","COUNTY_LOCATION_ISSUER")</f>
        <v>#N/A Requesting Data...</v>
      </c>
      <c r="F1049" t="str">
        <f>_xll.BDP("42103PBX Muni","DUR_ADJ_MID")</f>
        <v>#N/A Requesting Data...</v>
      </c>
      <c r="G1049" t="str">
        <f>_xll.BDP("42103PBX Muni","SPREAD_AT_ISSUANCE_TO_WORST")</f>
        <v>#N/A Requesting Data...</v>
      </c>
      <c r="H1049" t="str">
        <f>_xll.BDP("42103PBX Muni","ISSUE_DT")</f>
        <v>#N/A Requesting Data...</v>
      </c>
      <c r="I1049" t="str">
        <f>_xll.BDS("42103PBX Muni","MUNI_PURPOSE_SCHED", "aggregate=y")</f>
        <v>#N/A Requesting Data...</v>
      </c>
      <c r="J1049" t="str">
        <f>_xll.BDP("42103PBX Muni","CPN")</f>
        <v>#N/A Requesting Data...</v>
      </c>
      <c r="K1049" t="str">
        <f>_xll.BDP("42103PBX Muni","MATURITY")</f>
        <v>#N/A Requesting Data...</v>
      </c>
      <c r="L1049">
        <v>185000</v>
      </c>
      <c r="M1049" t="str">
        <f>_xll.BDP("42103PBX Muni","YIELD_ON_ISSUE_DATE")</f>
        <v>#N/A Requesting Data...</v>
      </c>
      <c r="N1049" t="str">
        <f>_xll.BDP("42103PBX Muni","YTW_SPREAD_TO_MATURITY_AT_ISSU")</f>
        <v>#N/A Requesting Data...</v>
      </c>
      <c r="O1049" t="str">
        <f>_xll.BDP("42103PBX Muni","BVAL_MID_YTM")</f>
        <v>#N/A Requesting Data...</v>
      </c>
      <c r="P1049" t="str">
        <f>_xll.BDP("42103PBX Muni","MUNI_TAX_PROV")</f>
        <v>#N/A Requesting Data...</v>
      </c>
      <c r="Q1049" t="str">
        <f>_xll.BDP("42103PBX Muni","MUNI_FED_TAX")</f>
        <v>#N/A Requesting Data...</v>
      </c>
      <c r="R1049" t="str">
        <f>_xll.BDP("42103PBX Muni","MUNI_MSRB_VOLUME")</f>
        <v>#N/A Requesting Data...</v>
      </c>
      <c r="S1049" t="str">
        <f>_xll.BDP("42103PBX Muni","BB_COMPOSITE")</f>
        <v>#N/A Requesting Data...</v>
      </c>
      <c r="T1049" t="str">
        <f>_xll.BDP("42103PBX Muni","LQA_LIQUIDITY_SCORE")</f>
        <v>#N/A Requesting Data...</v>
      </c>
    </row>
    <row r="1050" spans="1:20" x14ac:dyDescent="0.25">
      <c r="A1050" t="str">
        <f>_xll.BDP("42103PCA Muni","ID_CUSIP")</f>
        <v>#N/A Requesting Data...</v>
      </c>
      <c r="B1050" t="s">
        <v>231</v>
      </c>
      <c r="C1050" t="str">
        <f>_xll.BDP("42103PCA Muni","INSURANCE_STATUS")</f>
        <v>#N/A Requesting Data...</v>
      </c>
      <c r="D1050" t="str">
        <f>_xll.BDP("42103PCA Muni","STATE_CODE")</f>
        <v>#N/A Requesting Data...</v>
      </c>
      <c r="E1050" t="str">
        <f>_xll.BDP("42103PCA Muni","COUNTY_LOCATION_ISSUER")</f>
        <v>#N/A Requesting Data...</v>
      </c>
      <c r="F1050" t="str">
        <f>_xll.BDP("42103PCA Muni","DUR_ADJ_MID")</f>
        <v>#N/A Requesting Data...</v>
      </c>
      <c r="G1050" t="str">
        <f>_xll.BDP("42103PCA Muni","SPREAD_AT_ISSUANCE_TO_WORST")</f>
        <v>#N/A Requesting Data...</v>
      </c>
      <c r="H1050" t="str">
        <f>_xll.BDP("42103PCA Muni","ISSUE_DT")</f>
        <v>#N/A Requesting Data...</v>
      </c>
      <c r="I1050" t="str">
        <f>_xll.BDS("42103PCA Muni","MUNI_PURPOSE_SCHED", "aggregate=y")</f>
        <v>#N/A Requesting Data...</v>
      </c>
      <c r="J1050" t="str">
        <f>_xll.BDP("42103PCA Muni","CPN")</f>
        <v>#N/A Requesting Data...</v>
      </c>
      <c r="K1050" t="str">
        <f>_xll.BDP("42103PCA Muni","MATURITY")</f>
        <v>#N/A Requesting Data...</v>
      </c>
      <c r="L1050">
        <v>215000</v>
      </c>
      <c r="M1050" t="str">
        <f>_xll.BDP("42103PCA Muni","YIELD_ON_ISSUE_DATE")</f>
        <v>#N/A Requesting Data...</v>
      </c>
      <c r="N1050" t="str">
        <f>_xll.BDP("42103PCA Muni","YTW_SPREAD_TO_MATURITY_AT_ISSU")</f>
        <v>#N/A Requesting Data...</v>
      </c>
      <c r="O1050" t="str">
        <f>_xll.BDP("42103PCA Muni","BVAL_MID_YTM")</f>
        <v>#N/A Requesting Data...</v>
      </c>
      <c r="P1050" t="str">
        <f>_xll.BDP("42103PCA Muni","MUNI_TAX_PROV")</f>
        <v>#N/A Requesting Data...</v>
      </c>
      <c r="Q1050" t="str">
        <f>_xll.BDP("42103PCA Muni","MUNI_FED_TAX")</f>
        <v>#N/A Requesting Data...</v>
      </c>
      <c r="R1050" t="str">
        <f>_xll.BDP("42103PCA Muni","MUNI_MSRB_VOLUME")</f>
        <v>#N/A Requesting Data...</v>
      </c>
      <c r="S1050" t="str">
        <f>_xll.BDP("42103PCA Muni","BB_COMPOSITE")</f>
        <v>#N/A Requesting Data...</v>
      </c>
      <c r="T1050" t="str">
        <f>_xll.BDP("42103PCA Muni","LQA_LIQUIDITY_SCORE")</f>
        <v>#N/A Requesting Data...</v>
      </c>
    </row>
    <row r="1051" spans="1:20" x14ac:dyDescent="0.25">
      <c r="A1051" t="str">
        <f>_xll.BDP("353204AG Muni","ID_CUSIP")</f>
        <v>#N/A Requesting Data...</v>
      </c>
      <c r="B1051" t="s">
        <v>282</v>
      </c>
      <c r="C1051" t="str">
        <f>_xll.BDP("353204AG Muni","INSURANCE_STATUS")</f>
        <v>#N/A Requesting Data...</v>
      </c>
      <c r="D1051" t="str">
        <f>_xll.BDP("353204AG Muni","STATE_CODE")</f>
        <v>#N/A Requesting Data...</v>
      </c>
      <c r="E1051" t="str">
        <f>_xll.BDP("353204AG Muni","COUNTY_LOCATION_ISSUER")</f>
        <v>#N/A Requesting Data...</v>
      </c>
      <c r="F1051" t="str">
        <f>_xll.BDP("353204AG Muni","DUR_ADJ_MID")</f>
        <v>#N/A Requesting Data...</v>
      </c>
      <c r="G1051" t="str">
        <f>_xll.BDP("353204AG Muni","SPREAD_AT_ISSUANCE_TO_WORST")</f>
        <v>#N/A Requesting Data...</v>
      </c>
      <c r="H1051" t="str">
        <f>_xll.BDP("353204AG Muni","ISSUE_DT")</f>
        <v>#N/A Requesting Data...</v>
      </c>
      <c r="I1051" t="str">
        <f>_xll.BDS("353204AG Muni","MUNI_PURPOSE_SCHED", "aggregate=y")</f>
        <v>#N/A Requesting Data...</v>
      </c>
      <c r="J1051" t="str">
        <f>_xll.BDP("353204AG Muni","CPN")</f>
        <v>#N/A Requesting Data...</v>
      </c>
      <c r="K1051" t="str">
        <f>_xll.BDP("353204AG Muni","MATURITY")</f>
        <v>#N/A Requesting Data...</v>
      </c>
      <c r="L1051">
        <v>4705000</v>
      </c>
      <c r="M1051" t="str">
        <f>_xll.BDP("353204AG Muni","YIELD_ON_ISSUE_DATE")</f>
        <v>#N/A Requesting Data...</v>
      </c>
      <c r="N1051" t="str">
        <f>_xll.BDP("353204AG Muni","YTW_SPREAD_TO_MATURITY_AT_ISSU")</f>
        <v>#N/A Requesting Data...</v>
      </c>
      <c r="O1051" t="str">
        <f>_xll.BDP("353204AG Muni","BVAL_MID_YTM")</f>
        <v>#N/A Requesting Data...</v>
      </c>
      <c r="P1051" t="str">
        <f>_xll.BDP("353204AG Muni","MUNI_TAX_PROV")</f>
        <v>#N/A Requesting Data...</v>
      </c>
      <c r="Q1051" t="str">
        <f>_xll.BDP("353204AG Muni","MUNI_FED_TAX")</f>
        <v>#N/A Requesting Data...</v>
      </c>
      <c r="R1051" t="str">
        <f>_xll.BDP("353204AG Muni","MUNI_MSRB_VOLUME")</f>
        <v>#N/A Requesting Data...</v>
      </c>
      <c r="S1051" t="str">
        <f>_xll.BDP("353204AG Muni","BB_COMPOSITE")</f>
        <v>#N/A Requesting Data...</v>
      </c>
      <c r="T1051" t="str">
        <f>_xll.BDP("353204AG Muni","LQA_LIQUIDITY_SCORE")</f>
        <v>#N/A Requesting Data...</v>
      </c>
    </row>
    <row r="1052" spans="1:20" x14ac:dyDescent="0.25">
      <c r="A1052" t="str">
        <f>_xll.BDP("353204AK Muni","ID_CUSIP")</f>
        <v>#N/A Requesting Data...</v>
      </c>
      <c r="B1052" t="s">
        <v>282</v>
      </c>
      <c r="C1052" t="str">
        <f>_xll.BDP("353204AK Muni","INSURANCE_STATUS")</f>
        <v>#N/A Requesting Data...</v>
      </c>
      <c r="D1052" t="str">
        <f>_xll.BDP("353204AK Muni","STATE_CODE")</f>
        <v>#N/A Requesting Data...</v>
      </c>
      <c r="E1052" t="str">
        <f>_xll.BDP("353204AK Muni","COUNTY_LOCATION_ISSUER")</f>
        <v>#N/A Requesting Data...</v>
      </c>
      <c r="F1052" t="str">
        <f>_xll.BDP("353204AK Muni","DUR_ADJ_MID")</f>
        <v>#N/A Requesting Data...</v>
      </c>
      <c r="G1052" t="str">
        <f>_xll.BDP("353204AK Muni","SPREAD_AT_ISSUANCE_TO_WORST")</f>
        <v>#N/A Requesting Data...</v>
      </c>
      <c r="H1052" t="str">
        <f>_xll.BDP("353204AK Muni","ISSUE_DT")</f>
        <v>#N/A Requesting Data...</v>
      </c>
      <c r="I1052" t="str">
        <f>_xll.BDS("353204AK Muni","MUNI_PURPOSE_SCHED", "aggregate=y")</f>
        <v>#N/A Requesting Data...</v>
      </c>
      <c r="J1052" t="str">
        <f>_xll.BDP("353204AK Muni","CPN")</f>
        <v>#N/A Requesting Data...</v>
      </c>
      <c r="K1052" t="str">
        <f>_xll.BDP("353204AK Muni","MATURITY")</f>
        <v>#N/A Requesting Data...</v>
      </c>
      <c r="L1052">
        <v>5465000</v>
      </c>
      <c r="M1052" t="str">
        <f>_xll.BDP("353204AK Muni","YIELD_ON_ISSUE_DATE")</f>
        <v>#N/A Requesting Data...</v>
      </c>
      <c r="N1052" t="str">
        <f>_xll.BDP("353204AK Muni","YTW_SPREAD_TO_MATURITY_AT_ISSU")</f>
        <v>#N/A Requesting Data...</v>
      </c>
      <c r="O1052" t="str">
        <f>_xll.BDP("353204AK Muni","BVAL_MID_YTM")</f>
        <v>#N/A Requesting Data...</v>
      </c>
      <c r="P1052" t="str">
        <f>_xll.BDP("353204AK Muni","MUNI_TAX_PROV")</f>
        <v>#N/A Requesting Data...</v>
      </c>
      <c r="Q1052" t="str">
        <f>_xll.BDP("353204AK Muni","MUNI_FED_TAX")</f>
        <v>#N/A Requesting Data...</v>
      </c>
      <c r="R1052" t="str">
        <f>_xll.BDP("353204AK Muni","MUNI_MSRB_VOLUME")</f>
        <v>#N/A Requesting Data...</v>
      </c>
      <c r="S1052" t="str">
        <f>_xll.BDP("353204AK Muni","BB_COMPOSITE")</f>
        <v>#N/A Requesting Data...</v>
      </c>
      <c r="T1052" t="str">
        <f>_xll.BDP("353204AK Muni","LQA_LIQUIDITY_SCORE")</f>
        <v>#N/A Requesting Data...</v>
      </c>
    </row>
    <row r="1053" spans="1:20" x14ac:dyDescent="0.25">
      <c r="A1053" t="str">
        <f>_xll.BDP("353838XZ Muni","ID_CUSIP")</f>
        <v>#N/A Requesting Data...</v>
      </c>
      <c r="B1053" t="s">
        <v>283</v>
      </c>
      <c r="C1053" t="str">
        <f>_xll.BDP("353838XZ Muni","INSURANCE_STATUS")</f>
        <v>#N/A Requesting Data...</v>
      </c>
      <c r="D1053" t="str">
        <f>_xll.BDP("353838XZ Muni","STATE_CODE")</f>
        <v>#N/A Requesting Data...</v>
      </c>
      <c r="E1053" t="str">
        <f>_xll.BDP("353838XZ Muni","COUNTY_LOCATION_ISSUER")</f>
        <v>#N/A Requesting Data...</v>
      </c>
      <c r="F1053" t="str">
        <f>_xll.BDP("353838XZ Muni","DUR_ADJ_MID")</f>
        <v>#N/A Requesting Data...</v>
      </c>
      <c r="G1053" t="str">
        <f>_xll.BDP("353838XZ Muni","SPREAD_AT_ISSUANCE_TO_WORST")</f>
        <v>#N/A Requesting Data...</v>
      </c>
      <c r="H1053" t="str">
        <f>_xll.BDP("353838XZ Muni","ISSUE_DT")</f>
        <v>#N/A Requesting Data...</v>
      </c>
      <c r="I1053" t="str">
        <f>_xll.BDS("353838XZ Muni","MUNI_PURPOSE_SCHED", "aggregate=y")</f>
        <v>#N/A Requesting Data...</v>
      </c>
      <c r="J1053" t="str">
        <f>_xll.BDP("353838XZ Muni","CPN")</f>
        <v>#N/A Requesting Data...</v>
      </c>
      <c r="K1053" t="str">
        <f>_xll.BDP("353838XZ Muni","MATURITY")</f>
        <v>#N/A Requesting Data...</v>
      </c>
      <c r="L1053">
        <v>380000</v>
      </c>
      <c r="M1053" t="str">
        <f>_xll.BDP("353838XZ Muni","YIELD_ON_ISSUE_DATE")</f>
        <v>#N/A Requesting Data...</v>
      </c>
      <c r="N1053" t="str">
        <f>_xll.BDP("353838XZ Muni","YTW_SPREAD_TO_MATURITY_AT_ISSU")</f>
        <v>#N/A Requesting Data...</v>
      </c>
      <c r="O1053" t="str">
        <f>_xll.BDP("353838XZ Muni","BVAL_MID_YTM")</f>
        <v>#N/A Requesting Data...</v>
      </c>
      <c r="P1053" t="str">
        <f>_xll.BDP("353838XZ Muni","MUNI_TAX_PROV")</f>
        <v>#N/A Requesting Data...</v>
      </c>
      <c r="Q1053" t="str">
        <f>_xll.BDP("353838XZ Muni","MUNI_FED_TAX")</f>
        <v>#N/A Requesting Data...</v>
      </c>
      <c r="R1053" t="str">
        <f>_xll.BDP("353838XZ Muni","MUNI_MSRB_VOLUME")</f>
        <v>#N/A Requesting Data...</v>
      </c>
      <c r="S1053" t="str">
        <f>_xll.BDP("353838XZ Muni","BB_COMPOSITE")</f>
        <v>#N/A Requesting Data...</v>
      </c>
      <c r="T1053" t="str">
        <f>_xll.BDP("353838XZ Muni","LQA_LIQUIDITY_SCORE")</f>
        <v>#N/A Requesting Data...</v>
      </c>
    </row>
    <row r="1054" spans="1:20" x14ac:dyDescent="0.25">
      <c r="A1054" t="str">
        <f>_xll.BDP("353838YA Muni","ID_CUSIP")</f>
        <v>#N/A Requesting Data...</v>
      </c>
      <c r="B1054" t="s">
        <v>283</v>
      </c>
      <c r="C1054" t="str">
        <f>_xll.BDP("353838YA Muni","INSURANCE_STATUS")</f>
        <v>#N/A Requesting Data...</v>
      </c>
      <c r="D1054" t="str">
        <f>_xll.BDP("353838YA Muni","STATE_CODE")</f>
        <v>#N/A Requesting Data...</v>
      </c>
      <c r="E1054" t="str">
        <f>_xll.BDP("353838YA Muni","COUNTY_LOCATION_ISSUER")</f>
        <v>#N/A Requesting Data...</v>
      </c>
      <c r="F1054" t="str">
        <f>_xll.BDP("353838YA Muni","DUR_ADJ_MID")</f>
        <v>#N/A Requesting Data...</v>
      </c>
      <c r="G1054" t="str">
        <f>_xll.BDP("353838YA Muni","SPREAD_AT_ISSUANCE_TO_WORST")</f>
        <v>#N/A Requesting Data...</v>
      </c>
      <c r="H1054" t="str">
        <f>_xll.BDP("353838YA Muni","ISSUE_DT")</f>
        <v>#N/A Requesting Data...</v>
      </c>
      <c r="I1054" t="str">
        <f>_xll.BDS("353838YA Muni","MUNI_PURPOSE_SCHED", "aggregate=y")</f>
        <v>#N/A Requesting Data...</v>
      </c>
      <c r="J1054" t="str">
        <f>_xll.BDP("353838YA Muni","CPN")</f>
        <v>#N/A Requesting Data...</v>
      </c>
      <c r="K1054" t="str">
        <f>_xll.BDP("353838YA Muni","MATURITY")</f>
        <v>#N/A Requesting Data...</v>
      </c>
      <c r="L1054">
        <v>385000</v>
      </c>
      <c r="M1054" t="str">
        <f>_xll.BDP("353838YA Muni","YIELD_ON_ISSUE_DATE")</f>
        <v>#N/A Requesting Data...</v>
      </c>
      <c r="N1054" t="str">
        <f>_xll.BDP("353838YA Muni","YTW_SPREAD_TO_MATURITY_AT_ISSU")</f>
        <v>#N/A Requesting Data...</v>
      </c>
      <c r="O1054" t="str">
        <f>_xll.BDP("353838YA Muni","BVAL_MID_YTM")</f>
        <v>#N/A Requesting Data...</v>
      </c>
      <c r="P1054" t="str">
        <f>_xll.BDP("353838YA Muni","MUNI_TAX_PROV")</f>
        <v>#N/A Requesting Data...</v>
      </c>
      <c r="Q1054" t="str">
        <f>_xll.BDP("353838YA Muni","MUNI_FED_TAX")</f>
        <v>#N/A Requesting Data...</v>
      </c>
      <c r="R1054" t="str">
        <f>_xll.BDP("353838YA Muni","MUNI_MSRB_VOLUME")</f>
        <v>#N/A Requesting Data...</v>
      </c>
      <c r="S1054" t="str">
        <f>_xll.BDP("353838YA Muni","BB_COMPOSITE")</f>
        <v>#N/A Requesting Data...</v>
      </c>
      <c r="T1054" t="str">
        <f>_xll.BDP("353838YA Muni","LQA_LIQUIDITY_SCORE")</f>
        <v>#N/A Requesting Data...</v>
      </c>
    </row>
    <row r="1055" spans="1:20" x14ac:dyDescent="0.25">
      <c r="A1055" t="str">
        <f>_xll.BDP("353838YB Muni","ID_CUSIP")</f>
        <v>#N/A Requesting Data...</v>
      </c>
      <c r="B1055" t="s">
        <v>283</v>
      </c>
      <c r="C1055" t="str">
        <f>_xll.BDP("353838YB Muni","INSURANCE_STATUS")</f>
        <v>#N/A Requesting Data...</v>
      </c>
      <c r="D1055" t="str">
        <f>_xll.BDP("353838YB Muni","STATE_CODE")</f>
        <v>#N/A Requesting Data...</v>
      </c>
      <c r="E1055" t="str">
        <f>_xll.BDP("353838YB Muni","COUNTY_LOCATION_ISSUER")</f>
        <v>#N/A Requesting Data...</v>
      </c>
      <c r="F1055" t="str">
        <f>_xll.BDP("353838YB Muni","DUR_ADJ_MID")</f>
        <v>#N/A Requesting Data...</v>
      </c>
      <c r="G1055" t="str">
        <f>_xll.BDP("353838YB Muni","SPREAD_AT_ISSUANCE_TO_WORST")</f>
        <v>#N/A Requesting Data...</v>
      </c>
      <c r="H1055" t="str">
        <f>_xll.BDP("353838YB Muni","ISSUE_DT")</f>
        <v>#N/A Requesting Data...</v>
      </c>
      <c r="I1055" t="str">
        <f>_xll.BDS("353838YB Muni","MUNI_PURPOSE_SCHED", "aggregate=y")</f>
        <v>#N/A Requesting Data...</v>
      </c>
      <c r="J1055" t="str">
        <f>_xll.BDP("353838YB Muni","CPN")</f>
        <v>#N/A Requesting Data...</v>
      </c>
      <c r="K1055" t="str">
        <f>_xll.BDP("353838YB Muni","MATURITY")</f>
        <v>#N/A Requesting Data...</v>
      </c>
      <c r="L1055">
        <v>385000</v>
      </c>
      <c r="M1055" t="str">
        <f>_xll.BDP("353838YB Muni","YIELD_ON_ISSUE_DATE")</f>
        <v>#N/A Requesting Data...</v>
      </c>
      <c r="N1055" t="str">
        <f>_xll.BDP("353838YB Muni","YTW_SPREAD_TO_MATURITY_AT_ISSU")</f>
        <v>#N/A Requesting Data...</v>
      </c>
      <c r="O1055" t="str">
        <f>_xll.BDP("353838YB Muni","BVAL_MID_YTM")</f>
        <v>#N/A Requesting Data...</v>
      </c>
      <c r="P1055" t="str">
        <f>_xll.BDP("353838YB Muni","MUNI_TAX_PROV")</f>
        <v>#N/A Requesting Data...</v>
      </c>
      <c r="Q1055" t="str">
        <f>_xll.BDP("353838YB Muni","MUNI_FED_TAX")</f>
        <v>#N/A Requesting Data...</v>
      </c>
      <c r="R1055" t="str">
        <f>_xll.BDP("353838YB Muni","MUNI_MSRB_VOLUME")</f>
        <v>#N/A Requesting Data...</v>
      </c>
      <c r="S1055" t="str">
        <f>_xll.BDP("353838YB Muni","BB_COMPOSITE")</f>
        <v>#N/A Requesting Data...</v>
      </c>
      <c r="T1055" t="str">
        <f>_xll.BDP("353838YB Muni","LQA_LIQUIDITY_SCORE")</f>
        <v>#N/A Requesting Data...</v>
      </c>
    </row>
    <row r="1056" spans="1:20" x14ac:dyDescent="0.25">
      <c r="A1056" t="str">
        <f>_xll.BDP("353838YC Muni","ID_CUSIP")</f>
        <v>#N/A Requesting Data...</v>
      </c>
      <c r="B1056" t="s">
        <v>283</v>
      </c>
      <c r="C1056" t="str">
        <f>_xll.BDP("353838YC Muni","INSURANCE_STATUS")</f>
        <v>#N/A Requesting Data...</v>
      </c>
      <c r="D1056" t="str">
        <f>_xll.BDP("353838YC Muni","STATE_CODE")</f>
        <v>#N/A Requesting Data...</v>
      </c>
      <c r="E1056" t="str">
        <f>_xll.BDP("353838YC Muni","COUNTY_LOCATION_ISSUER")</f>
        <v>#N/A Requesting Data...</v>
      </c>
      <c r="F1056" t="str">
        <f>_xll.BDP("353838YC Muni","DUR_ADJ_MID")</f>
        <v>#N/A Requesting Data...</v>
      </c>
      <c r="G1056" t="str">
        <f>_xll.BDP("353838YC Muni","SPREAD_AT_ISSUANCE_TO_WORST")</f>
        <v>#N/A Requesting Data...</v>
      </c>
      <c r="H1056" t="str">
        <f>_xll.BDP("353838YC Muni","ISSUE_DT")</f>
        <v>#N/A Requesting Data...</v>
      </c>
      <c r="I1056" t="str">
        <f>_xll.BDS("353838YC Muni","MUNI_PURPOSE_SCHED", "aggregate=y")</f>
        <v>#N/A Requesting Data...</v>
      </c>
      <c r="J1056" t="str">
        <f>_xll.BDP("353838YC Muni","CPN")</f>
        <v>#N/A Requesting Data...</v>
      </c>
      <c r="K1056" t="str">
        <f>_xll.BDP("353838YC Muni","MATURITY")</f>
        <v>#N/A Requesting Data...</v>
      </c>
      <c r="L1056">
        <v>385000</v>
      </c>
      <c r="M1056" t="str">
        <f>_xll.BDP("353838YC Muni","YIELD_ON_ISSUE_DATE")</f>
        <v>#N/A Requesting Data...</v>
      </c>
      <c r="N1056" t="str">
        <f>_xll.BDP("353838YC Muni","YTW_SPREAD_TO_MATURITY_AT_ISSU")</f>
        <v>#N/A Requesting Data...</v>
      </c>
      <c r="O1056" t="str">
        <f>_xll.BDP("353838YC Muni","BVAL_MID_YTM")</f>
        <v>#N/A Requesting Data...</v>
      </c>
      <c r="P1056" t="str">
        <f>_xll.BDP("353838YC Muni","MUNI_TAX_PROV")</f>
        <v>#N/A Requesting Data...</v>
      </c>
      <c r="Q1056" t="str">
        <f>_xll.BDP("353838YC Muni","MUNI_FED_TAX")</f>
        <v>#N/A Requesting Data...</v>
      </c>
      <c r="R1056" t="str">
        <f>_xll.BDP("353838YC Muni","MUNI_MSRB_VOLUME")</f>
        <v>#N/A Requesting Data...</v>
      </c>
      <c r="S1056" t="str">
        <f>_xll.BDP("353838YC Muni","BB_COMPOSITE")</f>
        <v>#N/A Requesting Data...</v>
      </c>
      <c r="T1056" t="str">
        <f>_xll.BDP("353838YC Muni","LQA_LIQUIDITY_SCORE")</f>
        <v>#N/A Requesting Data...</v>
      </c>
    </row>
    <row r="1057" spans="1:20" x14ac:dyDescent="0.25">
      <c r="A1057" t="str">
        <f>_xll.BDP("353838YD Muni","ID_CUSIP")</f>
        <v>#N/A Requesting Data...</v>
      </c>
      <c r="B1057" t="s">
        <v>283</v>
      </c>
      <c r="C1057" t="str">
        <f>_xll.BDP("353838YD Muni","INSURANCE_STATUS")</f>
        <v>#N/A Requesting Data...</v>
      </c>
      <c r="D1057" t="str">
        <f>_xll.BDP("353838YD Muni","STATE_CODE")</f>
        <v>#N/A Requesting Data...</v>
      </c>
      <c r="E1057" t="str">
        <f>_xll.BDP("353838YD Muni","COUNTY_LOCATION_ISSUER")</f>
        <v>#N/A Requesting Data...</v>
      </c>
      <c r="F1057" t="str">
        <f>_xll.BDP("353838YD Muni","DUR_ADJ_MID")</f>
        <v>#N/A Requesting Data...</v>
      </c>
      <c r="G1057" t="str">
        <f>_xll.BDP("353838YD Muni","SPREAD_AT_ISSUANCE_TO_WORST")</f>
        <v>#N/A Requesting Data...</v>
      </c>
      <c r="H1057" t="str">
        <f>_xll.BDP("353838YD Muni","ISSUE_DT")</f>
        <v>#N/A Requesting Data...</v>
      </c>
      <c r="I1057" t="str">
        <f>_xll.BDS("353838YD Muni","MUNI_PURPOSE_SCHED", "aggregate=y")</f>
        <v>#N/A Requesting Data...</v>
      </c>
      <c r="J1057" t="str">
        <f>_xll.BDP("353838YD Muni","CPN")</f>
        <v>#N/A Requesting Data...</v>
      </c>
      <c r="K1057" t="str">
        <f>_xll.BDP("353838YD Muni","MATURITY")</f>
        <v>#N/A Requesting Data...</v>
      </c>
      <c r="L1057">
        <v>390000</v>
      </c>
      <c r="M1057" t="str">
        <f>_xll.BDP("353838YD Muni","YIELD_ON_ISSUE_DATE")</f>
        <v>#N/A Requesting Data...</v>
      </c>
      <c r="N1057" t="str">
        <f>_xll.BDP("353838YD Muni","YTW_SPREAD_TO_MATURITY_AT_ISSU")</f>
        <v>#N/A Requesting Data...</v>
      </c>
      <c r="O1057" t="str">
        <f>_xll.BDP("353838YD Muni","BVAL_MID_YTM")</f>
        <v>#N/A Requesting Data...</v>
      </c>
      <c r="P1057" t="str">
        <f>_xll.BDP("353838YD Muni","MUNI_TAX_PROV")</f>
        <v>#N/A Requesting Data...</v>
      </c>
      <c r="Q1057" t="str">
        <f>_xll.BDP("353838YD Muni","MUNI_FED_TAX")</f>
        <v>#N/A Requesting Data...</v>
      </c>
      <c r="R1057" t="str">
        <f>_xll.BDP("353838YD Muni","MUNI_MSRB_VOLUME")</f>
        <v>#N/A Requesting Data...</v>
      </c>
      <c r="S1057" t="str">
        <f>_xll.BDP("353838YD Muni","BB_COMPOSITE")</f>
        <v>#N/A Requesting Data...</v>
      </c>
      <c r="T1057" t="str">
        <f>_xll.BDP("353838YD Muni","LQA_LIQUIDITY_SCORE")</f>
        <v>#N/A Requesting Data...</v>
      </c>
    </row>
    <row r="1058" spans="1:20" x14ac:dyDescent="0.25">
      <c r="A1058" t="str">
        <f>_xll.BDP("353838YE Muni","ID_CUSIP")</f>
        <v>#N/A Requesting Data...</v>
      </c>
      <c r="B1058" t="s">
        <v>283</v>
      </c>
      <c r="C1058" t="str">
        <f>_xll.BDP("353838YE Muni","INSURANCE_STATUS")</f>
        <v>#N/A Requesting Data...</v>
      </c>
      <c r="D1058" t="str">
        <f>_xll.BDP("353838YE Muni","STATE_CODE")</f>
        <v>#N/A Requesting Data...</v>
      </c>
      <c r="E1058" t="str">
        <f>_xll.BDP("353838YE Muni","COUNTY_LOCATION_ISSUER")</f>
        <v>#N/A Requesting Data...</v>
      </c>
      <c r="F1058" t="str">
        <f>_xll.BDP("353838YE Muni","DUR_ADJ_MID")</f>
        <v>#N/A Requesting Data...</v>
      </c>
      <c r="G1058" t="str">
        <f>_xll.BDP("353838YE Muni","SPREAD_AT_ISSUANCE_TO_WORST")</f>
        <v>#N/A Requesting Data...</v>
      </c>
      <c r="H1058" t="str">
        <f>_xll.BDP("353838YE Muni","ISSUE_DT")</f>
        <v>#N/A Requesting Data...</v>
      </c>
      <c r="I1058" t="str">
        <f>_xll.BDS("353838YE Muni","MUNI_PURPOSE_SCHED", "aggregate=y")</f>
        <v>#N/A Requesting Data...</v>
      </c>
      <c r="J1058" t="str">
        <f>_xll.BDP("353838YE Muni","CPN")</f>
        <v>#N/A Requesting Data...</v>
      </c>
      <c r="K1058" t="str">
        <f>_xll.BDP("353838YE Muni","MATURITY")</f>
        <v>#N/A Requesting Data...</v>
      </c>
      <c r="L1058">
        <v>395000</v>
      </c>
      <c r="M1058" t="str">
        <f>_xll.BDP("353838YE Muni","YIELD_ON_ISSUE_DATE")</f>
        <v>#N/A Requesting Data...</v>
      </c>
      <c r="N1058" t="str">
        <f>_xll.BDP("353838YE Muni","YTW_SPREAD_TO_MATURITY_AT_ISSU")</f>
        <v>#N/A Requesting Data...</v>
      </c>
      <c r="O1058" t="str">
        <f>_xll.BDP("353838YE Muni","BVAL_MID_YTM")</f>
        <v>#N/A Requesting Data...</v>
      </c>
      <c r="P1058" t="str">
        <f>_xll.BDP("353838YE Muni","MUNI_TAX_PROV")</f>
        <v>#N/A Requesting Data...</v>
      </c>
      <c r="Q1058" t="str">
        <f>_xll.BDP("353838YE Muni","MUNI_FED_TAX")</f>
        <v>#N/A Requesting Data...</v>
      </c>
      <c r="R1058" t="str">
        <f>_xll.BDP("353838YE Muni","MUNI_MSRB_VOLUME")</f>
        <v>#N/A Requesting Data...</v>
      </c>
      <c r="S1058" t="str">
        <f>_xll.BDP("353838YE Muni","BB_COMPOSITE")</f>
        <v>#N/A Requesting Data...</v>
      </c>
      <c r="T1058" t="str">
        <f>_xll.BDP("353838YE Muni","LQA_LIQUIDITY_SCORE")</f>
        <v>#N/A Requesting Data...</v>
      </c>
    </row>
    <row r="1059" spans="1:20" x14ac:dyDescent="0.25">
      <c r="A1059" t="str">
        <f>_xll.BDP("45455RBJ Muni","ID_CUSIP")</f>
        <v>#N/A Requesting Data...</v>
      </c>
      <c r="B1059" t="s">
        <v>284</v>
      </c>
      <c r="C1059" t="str">
        <f>_xll.BDP("45455RBJ Muni","INSURANCE_STATUS")</f>
        <v>#N/A Requesting Data...</v>
      </c>
      <c r="D1059" t="str">
        <f>_xll.BDP("45455RBJ Muni","STATE_CODE")</f>
        <v>#N/A Requesting Data...</v>
      </c>
      <c r="E1059" t="str">
        <f>_xll.BDP("45455RBJ Muni","COUNTY_LOCATION_ISSUER")</f>
        <v>#N/A Requesting Data...</v>
      </c>
      <c r="F1059" t="str">
        <f>_xll.BDP("45455RBJ Muni","DUR_ADJ_MID")</f>
        <v>#N/A Requesting Data...</v>
      </c>
      <c r="G1059" t="str">
        <f>_xll.BDP("45455RBJ Muni","SPREAD_AT_ISSUANCE_TO_WORST")</f>
        <v>#N/A Requesting Data...</v>
      </c>
      <c r="H1059" t="str">
        <f>_xll.BDP("45455RBJ Muni","ISSUE_DT")</f>
        <v>#N/A Requesting Data...</v>
      </c>
      <c r="I1059" t="str">
        <f>_xll.BDS("45455RBJ Muni","MUNI_PURPOSE_SCHED", "aggregate=y")</f>
        <v>#N/A Requesting Data...</v>
      </c>
      <c r="J1059" t="str">
        <f>_xll.BDP("45455RBJ Muni","CPN")</f>
        <v>#N/A Requesting Data...</v>
      </c>
      <c r="K1059" t="str">
        <f>_xll.BDP("45455RBJ Muni","MATURITY")</f>
        <v>#N/A Requesting Data...</v>
      </c>
      <c r="L1059">
        <v>890000</v>
      </c>
      <c r="M1059" t="str">
        <f>_xll.BDP("45455RBJ Muni","YIELD_ON_ISSUE_DATE")</f>
        <v>#N/A Requesting Data...</v>
      </c>
      <c r="N1059" t="str">
        <f>_xll.BDP("45455RBJ Muni","YTW_SPREAD_TO_MATURITY_AT_ISSU")</f>
        <v>#N/A Requesting Data...</v>
      </c>
      <c r="O1059" t="str">
        <f>_xll.BDP("45455RBJ Muni","BVAL_MID_YTM")</f>
        <v>#N/A Requesting Data...</v>
      </c>
      <c r="P1059" t="str">
        <f>_xll.BDP("45455RBJ Muni","MUNI_TAX_PROV")</f>
        <v>#N/A Requesting Data...</v>
      </c>
      <c r="Q1059" t="str">
        <f>_xll.BDP("45455RBJ Muni","MUNI_FED_TAX")</f>
        <v>#N/A Requesting Data...</v>
      </c>
      <c r="R1059" t="str">
        <f>_xll.BDP("45455RBJ Muni","MUNI_MSRB_VOLUME")</f>
        <v>#N/A Requesting Data...</v>
      </c>
      <c r="S1059" t="str">
        <f>_xll.BDP("45455RBJ Muni","BB_COMPOSITE")</f>
        <v>#N/A Requesting Data...</v>
      </c>
      <c r="T1059" t="str">
        <f>_xll.BDP("45455RBJ Muni","LQA_LIQUIDITY_SCORE")</f>
        <v>#N/A Requesting Data...</v>
      </c>
    </row>
    <row r="1060" spans="1:20" x14ac:dyDescent="0.25">
      <c r="A1060" t="str">
        <f>_xll.BDP("355845AU Muni","ID_CUSIP")</f>
        <v>#N/A Requesting Data...</v>
      </c>
      <c r="B1060" t="s">
        <v>285</v>
      </c>
      <c r="C1060" t="str">
        <f>_xll.BDP("355845AU Muni","INSURANCE_STATUS")</f>
        <v>#N/A Requesting Data...</v>
      </c>
      <c r="D1060" t="str">
        <f>_xll.BDP("355845AU Muni","STATE_CODE")</f>
        <v>#N/A Requesting Data...</v>
      </c>
      <c r="E1060" t="str">
        <f>_xll.BDP("355845AU Muni","COUNTY_LOCATION_ISSUER")</f>
        <v>#N/A Requesting Data...</v>
      </c>
      <c r="F1060" t="str">
        <f>_xll.BDP("355845AU Muni","DUR_ADJ_MID")</f>
        <v>#N/A Requesting Data...</v>
      </c>
      <c r="G1060" t="str">
        <f>_xll.BDP("355845AU Muni","SPREAD_AT_ISSUANCE_TO_WORST")</f>
        <v>#N/A Requesting Data...</v>
      </c>
      <c r="H1060" t="str">
        <f>_xll.BDP("355845AU Muni","ISSUE_DT")</f>
        <v>#N/A Requesting Data...</v>
      </c>
      <c r="I1060" t="str">
        <f>_xll.BDS("355845AU Muni","MUNI_PURPOSE_SCHED", "aggregate=y")</f>
        <v>#N/A Requesting Data...</v>
      </c>
      <c r="J1060" t="str">
        <f>_xll.BDP("355845AU Muni","CPN")</f>
        <v>#N/A Requesting Data...</v>
      </c>
      <c r="K1060" t="str">
        <f>_xll.BDP("355845AU Muni","MATURITY")</f>
        <v>#N/A Requesting Data...</v>
      </c>
      <c r="L1060">
        <v>550000</v>
      </c>
      <c r="M1060" t="str">
        <f>_xll.BDP("355845AU Muni","YIELD_ON_ISSUE_DATE")</f>
        <v>#N/A Requesting Data...</v>
      </c>
      <c r="N1060" t="str">
        <f>_xll.BDP("355845AU Muni","YTW_SPREAD_TO_MATURITY_AT_ISSU")</f>
        <v>#N/A Requesting Data...</v>
      </c>
      <c r="O1060" t="str">
        <f>_xll.BDP("355845AU Muni","BVAL_MID_YTM")</f>
        <v>#N/A Requesting Data...</v>
      </c>
      <c r="P1060" t="str">
        <f>_xll.BDP("355845AU Muni","MUNI_TAX_PROV")</f>
        <v>#N/A Requesting Data...</v>
      </c>
      <c r="Q1060" t="str">
        <f>_xll.BDP("355845AU Muni","MUNI_FED_TAX")</f>
        <v>#N/A Requesting Data...</v>
      </c>
      <c r="R1060" t="str">
        <f>_xll.BDP("355845AU Muni","MUNI_MSRB_VOLUME")</f>
        <v>#N/A Requesting Data...</v>
      </c>
      <c r="S1060" t="str">
        <f>_xll.BDP("355845AU Muni","BB_COMPOSITE")</f>
        <v>#N/A Requesting Data...</v>
      </c>
      <c r="T1060" t="str">
        <f>_xll.BDP("355845AU Muni","LQA_LIQUIDITY_SCORE")</f>
        <v>#N/A Requesting Data...</v>
      </c>
    </row>
    <row r="1061" spans="1:20" x14ac:dyDescent="0.25">
      <c r="A1061" t="str">
        <f>_xll.BDP("355845AV Muni","ID_CUSIP")</f>
        <v>#N/A Requesting Data...</v>
      </c>
      <c r="B1061" t="s">
        <v>285</v>
      </c>
      <c r="C1061" t="str">
        <f>_xll.BDP("355845AV Muni","INSURANCE_STATUS")</f>
        <v>#N/A Requesting Data...</v>
      </c>
      <c r="D1061" t="str">
        <f>_xll.BDP("355845AV Muni","STATE_CODE")</f>
        <v>#N/A Requesting Data...</v>
      </c>
      <c r="E1061" t="str">
        <f>_xll.BDP("355845AV Muni","COUNTY_LOCATION_ISSUER")</f>
        <v>#N/A Requesting Data...</v>
      </c>
      <c r="F1061" t="str">
        <f>_xll.BDP("355845AV Muni","DUR_ADJ_MID")</f>
        <v>#N/A Requesting Data...</v>
      </c>
      <c r="G1061" t="str">
        <f>_xll.BDP("355845AV Muni","SPREAD_AT_ISSUANCE_TO_WORST")</f>
        <v>#N/A Requesting Data...</v>
      </c>
      <c r="H1061" t="str">
        <f>_xll.BDP("355845AV Muni","ISSUE_DT")</f>
        <v>#N/A Requesting Data...</v>
      </c>
      <c r="I1061" t="str">
        <f>_xll.BDS("355845AV Muni","MUNI_PURPOSE_SCHED", "aggregate=y")</f>
        <v>#N/A Requesting Data...</v>
      </c>
      <c r="J1061" t="str">
        <f>_xll.BDP("355845AV Muni","CPN")</f>
        <v>#N/A Requesting Data...</v>
      </c>
      <c r="K1061" t="str">
        <f>_xll.BDP("355845AV Muni","MATURITY")</f>
        <v>#N/A Requesting Data...</v>
      </c>
      <c r="L1061">
        <v>570000</v>
      </c>
      <c r="M1061" t="str">
        <f>_xll.BDP("355845AV Muni","YIELD_ON_ISSUE_DATE")</f>
        <v>#N/A Requesting Data...</v>
      </c>
      <c r="N1061" t="str">
        <f>_xll.BDP("355845AV Muni","YTW_SPREAD_TO_MATURITY_AT_ISSU")</f>
        <v>#N/A Requesting Data...</v>
      </c>
      <c r="O1061" t="str">
        <f>_xll.BDP("355845AV Muni","BVAL_MID_YTM")</f>
        <v>#N/A Requesting Data...</v>
      </c>
      <c r="P1061" t="str">
        <f>_xll.BDP("355845AV Muni","MUNI_TAX_PROV")</f>
        <v>#N/A Requesting Data...</v>
      </c>
      <c r="Q1061" t="str">
        <f>_xll.BDP("355845AV Muni","MUNI_FED_TAX")</f>
        <v>#N/A Requesting Data...</v>
      </c>
      <c r="R1061" t="str">
        <f>_xll.BDP("355845AV Muni","MUNI_MSRB_VOLUME")</f>
        <v>#N/A Requesting Data...</v>
      </c>
      <c r="S1061" t="str">
        <f>_xll.BDP("355845AV Muni","BB_COMPOSITE")</f>
        <v>#N/A Requesting Data...</v>
      </c>
      <c r="T1061" t="str">
        <f>_xll.BDP("355845AV Muni","LQA_LIQUIDITY_SCORE")</f>
        <v>#N/A Requesting Data...</v>
      </c>
    </row>
    <row r="1062" spans="1:20" x14ac:dyDescent="0.25">
      <c r="A1062" t="str">
        <f>_xll.BDP("355845AW Muni","ID_CUSIP")</f>
        <v>#N/A Requesting Data...</v>
      </c>
      <c r="B1062" t="s">
        <v>285</v>
      </c>
      <c r="C1062" t="str">
        <f>_xll.BDP("355845AW Muni","INSURANCE_STATUS")</f>
        <v>#N/A Requesting Data...</v>
      </c>
      <c r="D1062" t="str">
        <f>_xll.BDP("355845AW Muni","STATE_CODE")</f>
        <v>#N/A Requesting Data...</v>
      </c>
      <c r="E1062" t="str">
        <f>_xll.BDP("355845AW Muni","COUNTY_LOCATION_ISSUER")</f>
        <v>#N/A Requesting Data...</v>
      </c>
      <c r="F1062" t="str">
        <f>_xll.BDP("355845AW Muni","DUR_ADJ_MID")</f>
        <v>#N/A Requesting Data...</v>
      </c>
      <c r="G1062" t="str">
        <f>_xll.BDP("355845AW Muni","SPREAD_AT_ISSUANCE_TO_WORST")</f>
        <v>#N/A Requesting Data...</v>
      </c>
      <c r="H1062" t="str">
        <f>_xll.BDP("355845AW Muni","ISSUE_DT")</f>
        <v>#N/A Requesting Data...</v>
      </c>
      <c r="I1062" t="str">
        <f>_xll.BDS("355845AW Muni","MUNI_PURPOSE_SCHED", "aggregate=y")</f>
        <v>#N/A Requesting Data...</v>
      </c>
      <c r="J1062" t="str">
        <f>_xll.BDP("355845AW Muni","CPN")</f>
        <v>#N/A Requesting Data...</v>
      </c>
      <c r="K1062" t="str">
        <f>_xll.BDP("355845AW Muni","MATURITY")</f>
        <v>#N/A Requesting Data...</v>
      </c>
      <c r="L1062">
        <v>600000</v>
      </c>
      <c r="M1062" t="str">
        <f>_xll.BDP("355845AW Muni","YIELD_ON_ISSUE_DATE")</f>
        <v>#N/A Requesting Data...</v>
      </c>
      <c r="N1062" t="str">
        <f>_xll.BDP("355845AW Muni","YTW_SPREAD_TO_MATURITY_AT_ISSU")</f>
        <v>#N/A Requesting Data...</v>
      </c>
      <c r="O1062" t="str">
        <f>_xll.BDP("355845AW Muni","BVAL_MID_YTM")</f>
        <v>#N/A Requesting Data...</v>
      </c>
      <c r="P1062" t="str">
        <f>_xll.BDP("355845AW Muni","MUNI_TAX_PROV")</f>
        <v>#N/A Requesting Data...</v>
      </c>
      <c r="Q1062" t="str">
        <f>_xll.BDP("355845AW Muni","MUNI_FED_TAX")</f>
        <v>#N/A Requesting Data...</v>
      </c>
      <c r="R1062" t="str">
        <f>_xll.BDP("355845AW Muni","MUNI_MSRB_VOLUME")</f>
        <v>#N/A Requesting Data...</v>
      </c>
      <c r="S1062" t="str">
        <f>_xll.BDP("355845AW Muni","BB_COMPOSITE")</f>
        <v>#N/A Requesting Data...</v>
      </c>
      <c r="T1062" t="str">
        <f>_xll.BDP("355845AW Muni","LQA_LIQUIDITY_SCORE")</f>
        <v>#N/A Requesting Data...</v>
      </c>
    </row>
    <row r="1063" spans="1:20" x14ac:dyDescent="0.25">
      <c r="A1063" t="str">
        <f>_xll.BDP("45455RBD Muni","ID_CUSIP")</f>
        <v>#N/A Requesting Data...</v>
      </c>
      <c r="B1063" t="s">
        <v>284</v>
      </c>
      <c r="C1063" t="str">
        <f>_xll.BDP("45455RBD Muni","INSURANCE_STATUS")</f>
        <v>#N/A Requesting Data...</v>
      </c>
      <c r="D1063" t="str">
        <f>_xll.BDP("45455RBD Muni","STATE_CODE")</f>
        <v>#N/A Requesting Data...</v>
      </c>
      <c r="E1063" t="str">
        <f>_xll.BDP("45455RBD Muni","COUNTY_LOCATION_ISSUER")</f>
        <v>#N/A Requesting Data...</v>
      </c>
      <c r="F1063" t="str">
        <f>_xll.BDP("45455RBD Muni","DUR_ADJ_MID")</f>
        <v>#N/A Requesting Data...</v>
      </c>
      <c r="G1063" t="str">
        <f>_xll.BDP("45455RBD Muni","SPREAD_AT_ISSUANCE_TO_WORST")</f>
        <v>#N/A Requesting Data...</v>
      </c>
      <c r="H1063" t="str">
        <f>_xll.BDP("45455RBD Muni","ISSUE_DT")</f>
        <v>#N/A Requesting Data...</v>
      </c>
      <c r="I1063" t="str">
        <f>_xll.BDS("45455RBD Muni","MUNI_PURPOSE_SCHED", "aggregate=y")</f>
        <v>#N/A Requesting Data...</v>
      </c>
      <c r="J1063" t="str">
        <f>_xll.BDP("45455RBD Muni","CPN")</f>
        <v>#N/A Requesting Data...</v>
      </c>
      <c r="K1063" t="str">
        <f>_xll.BDP("45455RBD Muni","MATURITY")</f>
        <v>#N/A Requesting Data...</v>
      </c>
      <c r="L1063">
        <v>700000</v>
      </c>
      <c r="M1063" t="str">
        <f>_xll.BDP("45455RBD Muni","YIELD_ON_ISSUE_DATE")</f>
        <v>#N/A Requesting Data...</v>
      </c>
      <c r="N1063" t="str">
        <f>_xll.BDP("45455RBD Muni","YTW_SPREAD_TO_MATURITY_AT_ISSU")</f>
        <v>#N/A Requesting Data...</v>
      </c>
      <c r="O1063" t="str">
        <f>_xll.BDP("45455RBD Muni","BVAL_MID_YTM")</f>
        <v>#N/A Requesting Data...</v>
      </c>
      <c r="P1063" t="str">
        <f>_xll.BDP("45455RBD Muni","MUNI_TAX_PROV")</f>
        <v>#N/A Requesting Data...</v>
      </c>
      <c r="Q1063" t="str">
        <f>_xll.BDP("45455RBD Muni","MUNI_FED_TAX")</f>
        <v>#N/A Requesting Data...</v>
      </c>
      <c r="R1063" t="str">
        <f>_xll.BDP("45455RBD Muni","MUNI_MSRB_VOLUME")</f>
        <v>#N/A Requesting Data...</v>
      </c>
      <c r="S1063" t="str">
        <f>_xll.BDP("45455RBD Muni","BB_COMPOSITE")</f>
        <v>#N/A Requesting Data...</v>
      </c>
      <c r="T1063" t="str">
        <f>_xll.BDP("45455RBD Muni","LQA_LIQUIDITY_SCORE")</f>
        <v>#N/A Requesting Data...</v>
      </c>
    </row>
    <row r="1064" spans="1:20" x14ac:dyDescent="0.25">
      <c r="A1064" t="str">
        <f>_xll.BDP("45455RBF Muni","ID_CUSIP")</f>
        <v>#N/A Requesting Data...</v>
      </c>
      <c r="B1064" t="s">
        <v>284</v>
      </c>
      <c r="C1064" t="str">
        <f>_xll.BDP("45455RBF Muni","INSURANCE_STATUS")</f>
        <v>#N/A Requesting Data...</v>
      </c>
      <c r="D1064" t="str">
        <f>_xll.BDP("45455RBF Muni","STATE_CODE")</f>
        <v>#N/A Requesting Data...</v>
      </c>
      <c r="E1064" t="str">
        <f>_xll.BDP("45455RBF Muni","COUNTY_LOCATION_ISSUER")</f>
        <v>#N/A Requesting Data...</v>
      </c>
      <c r="F1064" t="str">
        <f>_xll.BDP("45455RBF Muni","DUR_ADJ_MID")</f>
        <v>#N/A Requesting Data...</v>
      </c>
      <c r="G1064" t="str">
        <f>_xll.BDP("45455RBF Muni","SPREAD_AT_ISSUANCE_TO_WORST")</f>
        <v>#N/A Requesting Data...</v>
      </c>
      <c r="H1064" t="str">
        <f>_xll.BDP("45455RBF Muni","ISSUE_DT")</f>
        <v>#N/A Requesting Data...</v>
      </c>
      <c r="I1064" t="str">
        <f>_xll.BDS("45455RBF Muni","MUNI_PURPOSE_SCHED", "aggregate=y")</f>
        <v>#N/A Requesting Data...</v>
      </c>
      <c r="J1064" t="str">
        <f>_xll.BDP("45455RBF Muni","CPN")</f>
        <v>#N/A Requesting Data...</v>
      </c>
      <c r="K1064" t="str">
        <f>_xll.BDP("45455RBF Muni","MATURITY")</f>
        <v>#N/A Requesting Data...</v>
      </c>
      <c r="L1064">
        <v>770000</v>
      </c>
      <c r="M1064" t="str">
        <f>_xll.BDP("45455RBF Muni","YIELD_ON_ISSUE_DATE")</f>
        <v>#N/A Requesting Data...</v>
      </c>
      <c r="N1064" t="str">
        <f>_xll.BDP("45455RBF Muni","YTW_SPREAD_TO_MATURITY_AT_ISSU")</f>
        <v>#N/A Requesting Data...</v>
      </c>
      <c r="O1064" t="str">
        <f>_xll.BDP("45455RBF Muni","BVAL_MID_YTM")</f>
        <v>#N/A Requesting Data...</v>
      </c>
      <c r="P1064" t="str">
        <f>_xll.BDP("45455RBF Muni","MUNI_TAX_PROV")</f>
        <v>#N/A Requesting Data...</v>
      </c>
      <c r="Q1064" t="str">
        <f>_xll.BDP("45455RBF Muni","MUNI_FED_TAX")</f>
        <v>#N/A Requesting Data...</v>
      </c>
      <c r="R1064" t="str">
        <f>_xll.BDP("45455RBF Muni","MUNI_MSRB_VOLUME")</f>
        <v>#N/A Requesting Data...</v>
      </c>
      <c r="S1064" t="str">
        <f>_xll.BDP("45455RBF Muni","BB_COMPOSITE")</f>
        <v>#N/A Requesting Data...</v>
      </c>
      <c r="T1064" t="str">
        <f>_xll.BDP("45455RBF Muni","LQA_LIQUIDITY_SCORE")</f>
        <v>#N/A Requesting Data...</v>
      </c>
    </row>
    <row r="1065" spans="1:20" x14ac:dyDescent="0.25">
      <c r="A1065" t="str">
        <f>_xll.BDP("45455RBK Muni","ID_CUSIP")</f>
        <v>#N/A Requesting Data...</v>
      </c>
      <c r="B1065" t="s">
        <v>284</v>
      </c>
      <c r="C1065" t="str">
        <f>_xll.BDP("45455RBK Muni","INSURANCE_STATUS")</f>
        <v>#N/A Requesting Data...</v>
      </c>
      <c r="D1065" t="str">
        <f>_xll.BDP("45455RBK Muni","STATE_CODE")</f>
        <v>#N/A Requesting Data...</v>
      </c>
      <c r="E1065" t="str">
        <f>_xll.BDP("45455RBK Muni","COUNTY_LOCATION_ISSUER")</f>
        <v>#N/A Requesting Data...</v>
      </c>
      <c r="F1065" t="str">
        <f>_xll.BDP("45455RBK Muni","DUR_ADJ_MID")</f>
        <v>#N/A Requesting Data...</v>
      </c>
      <c r="G1065" t="str">
        <f>_xll.BDP("45455RBK Muni","SPREAD_AT_ISSUANCE_TO_WORST")</f>
        <v>#N/A Requesting Data...</v>
      </c>
      <c r="H1065" t="str">
        <f>_xll.BDP("45455RBK Muni","ISSUE_DT")</f>
        <v>#N/A Requesting Data...</v>
      </c>
      <c r="I1065" t="str">
        <f>_xll.BDS("45455RBK Muni","MUNI_PURPOSE_SCHED", "aggregate=y")</f>
        <v>#N/A Requesting Data...</v>
      </c>
      <c r="J1065" t="str">
        <f>_xll.BDP("45455RBK Muni","CPN")</f>
        <v>#N/A Requesting Data...</v>
      </c>
      <c r="K1065" t="str">
        <f>_xll.BDP("45455RBK Muni","MATURITY")</f>
        <v>#N/A Requesting Data...</v>
      </c>
      <c r="L1065">
        <v>935000</v>
      </c>
      <c r="M1065" t="str">
        <f>_xll.BDP("45455RBK Muni","YIELD_ON_ISSUE_DATE")</f>
        <v>#N/A Requesting Data...</v>
      </c>
      <c r="N1065" t="str">
        <f>_xll.BDP("45455RBK Muni","YTW_SPREAD_TO_MATURITY_AT_ISSU")</f>
        <v>#N/A Requesting Data...</v>
      </c>
      <c r="O1065" t="str">
        <f>_xll.BDP("45455RBK Muni","BVAL_MID_YTM")</f>
        <v>#N/A Requesting Data...</v>
      </c>
      <c r="P1065" t="str">
        <f>_xll.BDP("45455RBK Muni","MUNI_TAX_PROV")</f>
        <v>#N/A Requesting Data...</v>
      </c>
      <c r="Q1065" t="str">
        <f>_xll.BDP("45455RBK Muni","MUNI_FED_TAX")</f>
        <v>#N/A Requesting Data...</v>
      </c>
      <c r="R1065" t="str">
        <f>_xll.BDP("45455RBK Muni","MUNI_MSRB_VOLUME")</f>
        <v>#N/A Requesting Data...</v>
      </c>
      <c r="S1065" t="str">
        <f>_xll.BDP("45455RBK Muni","BB_COMPOSITE")</f>
        <v>#N/A Requesting Data...</v>
      </c>
      <c r="T1065" t="str">
        <f>_xll.BDP("45455RBK Muni","LQA_LIQUIDITY_SCORE")</f>
        <v>#N/A Requesting Data...</v>
      </c>
    </row>
    <row r="1066" spans="1:20" x14ac:dyDescent="0.25">
      <c r="A1066" t="str">
        <f>_xll.BDP("355845AX Muni","ID_CUSIP")</f>
        <v>#N/A Requesting Data...</v>
      </c>
      <c r="B1066" t="s">
        <v>285</v>
      </c>
      <c r="C1066" t="str">
        <f>_xll.BDP("355845AX Muni","INSURANCE_STATUS")</f>
        <v>#N/A Requesting Data...</v>
      </c>
      <c r="D1066" t="str">
        <f>_xll.BDP("355845AX Muni","STATE_CODE")</f>
        <v>#N/A Requesting Data...</v>
      </c>
      <c r="E1066" t="str">
        <f>_xll.BDP("355845AX Muni","COUNTY_LOCATION_ISSUER")</f>
        <v>#N/A Requesting Data...</v>
      </c>
      <c r="F1066" t="str">
        <f>_xll.BDP("355845AX Muni","DUR_ADJ_MID")</f>
        <v>#N/A Requesting Data...</v>
      </c>
      <c r="G1066" t="str">
        <f>_xll.BDP("355845AX Muni","SPREAD_AT_ISSUANCE_TO_WORST")</f>
        <v>#N/A Requesting Data...</v>
      </c>
      <c r="H1066" t="str">
        <f>_xll.BDP("355845AX Muni","ISSUE_DT")</f>
        <v>#N/A Requesting Data...</v>
      </c>
      <c r="I1066" t="str">
        <f>_xll.BDS("355845AX Muni","MUNI_PURPOSE_SCHED", "aggregate=y")</f>
        <v>#N/A Requesting Data...</v>
      </c>
      <c r="J1066" t="str">
        <f>_xll.BDP("355845AX Muni","CPN")</f>
        <v>#N/A Requesting Data...</v>
      </c>
      <c r="K1066" t="str">
        <f>_xll.BDP("355845AX Muni","MATURITY")</f>
        <v>#N/A Requesting Data...</v>
      </c>
      <c r="L1066">
        <v>620000</v>
      </c>
      <c r="M1066" t="str">
        <f>_xll.BDP("355845AX Muni","YIELD_ON_ISSUE_DATE")</f>
        <v>#N/A Requesting Data...</v>
      </c>
      <c r="N1066" t="str">
        <f>_xll.BDP("355845AX Muni","YTW_SPREAD_TO_MATURITY_AT_ISSU")</f>
        <v>#N/A Requesting Data...</v>
      </c>
      <c r="O1066" t="str">
        <f>_xll.BDP("355845AX Muni","BVAL_MID_YTM")</f>
        <v>#N/A Requesting Data...</v>
      </c>
      <c r="P1066" t="str">
        <f>_xll.BDP("355845AX Muni","MUNI_TAX_PROV")</f>
        <v>#N/A Requesting Data...</v>
      </c>
      <c r="Q1066" t="str">
        <f>_xll.BDP("355845AX Muni","MUNI_FED_TAX")</f>
        <v>#N/A Requesting Data...</v>
      </c>
      <c r="R1066" t="str">
        <f>_xll.BDP("355845AX Muni","MUNI_MSRB_VOLUME")</f>
        <v>#N/A Requesting Data...</v>
      </c>
      <c r="S1066" t="str">
        <f>_xll.BDP("355845AX Muni","BB_COMPOSITE")</f>
        <v>#N/A Requesting Data...</v>
      </c>
      <c r="T1066" t="str">
        <f>_xll.BDP("355845AX Muni","LQA_LIQUIDITY_SCORE")</f>
        <v>#N/A Requesting Data...</v>
      </c>
    </row>
    <row r="1067" spans="1:20" x14ac:dyDescent="0.25">
      <c r="A1067" t="str">
        <f>_xll.BDP("355845AY Muni","ID_CUSIP")</f>
        <v>#N/A Requesting Data...</v>
      </c>
      <c r="B1067" t="s">
        <v>285</v>
      </c>
      <c r="C1067" t="str">
        <f>_xll.BDP("355845AY Muni","INSURANCE_STATUS")</f>
        <v>#N/A Requesting Data...</v>
      </c>
      <c r="D1067" t="str">
        <f>_xll.BDP("355845AY Muni","STATE_CODE")</f>
        <v>#N/A Requesting Data...</v>
      </c>
      <c r="E1067" t="str">
        <f>_xll.BDP("355845AY Muni","COUNTY_LOCATION_ISSUER")</f>
        <v>#N/A Requesting Data...</v>
      </c>
      <c r="F1067" t="str">
        <f>_xll.BDP("355845AY Muni","DUR_ADJ_MID")</f>
        <v>#N/A Requesting Data...</v>
      </c>
      <c r="G1067" t="str">
        <f>_xll.BDP("355845AY Muni","SPREAD_AT_ISSUANCE_TO_WORST")</f>
        <v>#N/A Requesting Data...</v>
      </c>
      <c r="H1067" t="str">
        <f>_xll.BDP("355845AY Muni","ISSUE_DT")</f>
        <v>#N/A Requesting Data...</v>
      </c>
      <c r="I1067" t="str">
        <f>_xll.BDS("355845AY Muni","MUNI_PURPOSE_SCHED", "aggregate=y")</f>
        <v>#N/A Requesting Data...</v>
      </c>
      <c r="J1067" t="str">
        <f>_xll.BDP("355845AY Muni","CPN")</f>
        <v>#N/A Requesting Data...</v>
      </c>
      <c r="K1067" t="str">
        <f>_xll.BDP("355845AY Muni","MATURITY")</f>
        <v>#N/A Requesting Data...</v>
      </c>
      <c r="L1067">
        <v>655000</v>
      </c>
      <c r="M1067" t="str">
        <f>_xll.BDP("355845AY Muni","YIELD_ON_ISSUE_DATE")</f>
        <v>#N/A Requesting Data...</v>
      </c>
      <c r="N1067" t="str">
        <f>_xll.BDP("355845AY Muni","YTW_SPREAD_TO_MATURITY_AT_ISSU")</f>
        <v>#N/A Requesting Data...</v>
      </c>
      <c r="O1067" t="str">
        <f>_xll.BDP("355845AY Muni","BVAL_MID_YTM")</f>
        <v>#N/A Requesting Data...</v>
      </c>
      <c r="P1067" t="str">
        <f>_xll.BDP("355845AY Muni","MUNI_TAX_PROV")</f>
        <v>#N/A Requesting Data...</v>
      </c>
      <c r="Q1067" t="str">
        <f>_xll.BDP("355845AY Muni","MUNI_FED_TAX")</f>
        <v>#N/A Requesting Data...</v>
      </c>
      <c r="R1067" t="str">
        <f>_xll.BDP("355845AY Muni","MUNI_MSRB_VOLUME")</f>
        <v>#N/A Requesting Data...</v>
      </c>
      <c r="S1067" t="str">
        <f>_xll.BDP("355845AY Muni","BB_COMPOSITE")</f>
        <v>#N/A Requesting Data...</v>
      </c>
      <c r="T1067" t="str">
        <f>_xll.BDP("355845AY Muni","LQA_LIQUIDITY_SCORE")</f>
        <v>#N/A Requesting Data...</v>
      </c>
    </row>
    <row r="1068" spans="1:20" x14ac:dyDescent="0.25">
      <c r="A1068" t="str">
        <f>_xll.BDP("45506DQ7 Muni","ID_CUSIP")</f>
        <v>#N/A Requesting Data...</v>
      </c>
      <c r="B1068" t="s">
        <v>239</v>
      </c>
      <c r="C1068" t="str">
        <f>_xll.BDP("45506DQ7 Muni","INSURANCE_STATUS")</f>
        <v>#N/A Requesting Data...</v>
      </c>
      <c r="D1068" t="str">
        <f>_xll.BDP("45506DQ7 Muni","STATE_CODE")</f>
        <v>#N/A Requesting Data...</v>
      </c>
      <c r="E1068" t="str">
        <f>_xll.BDP("45506DQ7 Muni","COUNTY_LOCATION_ISSUER")</f>
        <v>#N/A Requesting Data...</v>
      </c>
      <c r="F1068" t="str">
        <f>_xll.BDP("45506DQ7 Muni","DUR_ADJ_MID")</f>
        <v>#N/A Requesting Data...</v>
      </c>
      <c r="G1068" t="str">
        <f>_xll.BDP("45506DQ7 Muni","SPREAD_AT_ISSUANCE_TO_WORST")</f>
        <v>#N/A Requesting Data...</v>
      </c>
      <c r="H1068" t="str">
        <f>_xll.BDP("45506DQ7 Muni","ISSUE_DT")</f>
        <v>#N/A Requesting Data...</v>
      </c>
      <c r="I1068" t="str">
        <f>_xll.BDS("45506DQ7 Muni","MUNI_PURPOSE_SCHED", "aggregate=y")</f>
        <v>#N/A Requesting Data...</v>
      </c>
      <c r="J1068" t="str">
        <f>_xll.BDP("45506DQ7 Muni","CPN")</f>
        <v>#N/A Requesting Data...</v>
      </c>
      <c r="K1068" t="str">
        <f>_xll.BDP("45506DQ7 Muni","MATURITY")</f>
        <v>#N/A Requesting Data...</v>
      </c>
      <c r="L1068">
        <v>345000</v>
      </c>
      <c r="M1068" t="str">
        <f>_xll.BDP("45506DQ7 Muni","YIELD_ON_ISSUE_DATE")</f>
        <v>#N/A Requesting Data...</v>
      </c>
      <c r="N1068" t="str">
        <f>_xll.BDP("45506DQ7 Muni","YTW_SPREAD_TO_MATURITY_AT_ISSU")</f>
        <v>#N/A Requesting Data...</v>
      </c>
      <c r="O1068" t="str">
        <f>_xll.BDP("45506DQ7 Muni","BVAL_MID_YTM")</f>
        <v>#N/A Requesting Data...</v>
      </c>
      <c r="P1068" t="str">
        <f>_xll.BDP("45506DQ7 Muni","MUNI_TAX_PROV")</f>
        <v>#N/A Requesting Data...</v>
      </c>
      <c r="Q1068" t="str">
        <f>_xll.BDP("45506DQ7 Muni","MUNI_FED_TAX")</f>
        <v>#N/A Requesting Data...</v>
      </c>
      <c r="R1068" t="str">
        <f>_xll.BDP("45506DQ7 Muni","MUNI_MSRB_VOLUME")</f>
        <v>#N/A Requesting Data...</v>
      </c>
      <c r="S1068" t="str">
        <f>_xll.BDP("45506DQ7 Muni","BB_COMPOSITE")</f>
        <v>#N/A Requesting Data...</v>
      </c>
      <c r="T1068" t="str">
        <f>_xll.BDP("45506DQ7 Muni","LQA_LIQUIDITY_SCORE")</f>
        <v>#N/A Requesting Data...</v>
      </c>
    </row>
    <row r="1069" spans="1:20" x14ac:dyDescent="0.25">
      <c r="A1069" t="str">
        <f>_xll.BDP("348815NX Muni","ID_CUSIP")</f>
        <v>#N/A Requesting Data...</v>
      </c>
      <c r="B1069" t="s">
        <v>276</v>
      </c>
      <c r="C1069" t="str">
        <f>_xll.BDP("348815NX Muni","INSURANCE_STATUS")</f>
        <v>#N/A Requesting Data...</v>
      </c>
      <c r="D1069" t="str">
        <f>_xll.BDP("348815NX Muni","STATE_CODE")</f>
        <v>#N/A Requesting Data...</v>
      </c>
      <c r="E1069" t="str">
        <f>_xll.BDP("348815NX Muni","COUNTY_LOCATION_ISSUER")</f>
        <v>#N/A Requesting Data...</v>
      </c>
      <c r="F1069" t="str">
        <f>_xll.BDP("348815NX Muni","DUR_ADJ_MID")</f>
        <v>#N/A Requesting Data...</v>
      </c>
      <c r="G1069" t="str">
        <f>_xll.BDP("348815NX Muni","SPREAD_AT_ISSUANCE_TO_WORST")</f>
        <v>#N/A Requesting Data...</v>
      </c>
      <c r="H1069" t="str">
        <f>_xll.BDP("348815NX Muni","ISSUE_DT")</f>
        <v>#N/A Requesting Data...</v>
      </c>
      <c r="I1069" t="str">
        <f>_xll.BDS("348815NX Muni","MUNI_PURPOSE_SCHED", "aggregate=y")</f>
        <v>#N/A Requesting Data...</v>
      </c>
      <c r="J1069" t="str">
        <f>_xll.BDP("348815NX Muni","CPN")</f>
        <v>#N/A Requesting Data...</v>
      </c>
      <c r="K1069" t="str">
        <f>_xll.BDP("348815NX Muni","MATURITY")</f>
        <v>#N/A Requesting Data...</v>
      </c>
      <c r="L1069">
        <v>4700000</v>
      </c>
      <c r="M1069" t="str">
        <f>_xll.BDP("348815NX Muni","YIELD_ON_ISSUE_DATE")</f>
        <v>#N/A Requesting Data...</v>
      </c>
      <c r="N1069" t="str">
        <f>_xll.BDP("348815NX Muni","YTW_SPREAD_TO_MATURITY_AT_ISSU")</f>
        <v>#N/A Requesting Data...</v>
      </c>
      <c r="O1069" t="str">
        <f>_xll.BDP("348815NX Muni","BVAL_MID_YTM")</f>
        <v>#N/A Requesting Data...</v>
      </c>
      <c r="P1069" t="str">
        <f>_xll.BDP("348815NX Muni","MUNI_TAX_PROV")</f>
        <v>#N/A Requesting Data...</v>
      </c>
      <c r="Q1069" t="str">
        <f>_xll.BDP("348815NX Muni","MUNI_FED_TAX")</f>
        <v>#N/A Requesting Data...</v>
      </c>
      <c r="R1069" t="str">
        <f>_xll.BDP("348815NX Muni","MUNI_MSRB_VOLUME")</f>
        <v>#N/A Requesting Data...</v>
      </c>
      <c r="S1069" t="str">
        <f>_xll.BDP("348815NX Muni","BB_COMPOSITE")</f>
        <v>#N/A Requesting Data...</v>
      </c>
      <c r="T1069" t="str">
        <f>_xll.BDP("348815NX Muni","LQA_LIQUIDITY_SCORE")</f>
        <v>#N/A Requesting Data...</v>
      </c>
    </row>
    <row r="1070" spans="1:20" x14ac:dyDescent="0.25">
      <c r="A1070" t="str">
        <f>_xll.BDP("348815NY Muni","ID_CUSIP")</f>
        <v>#N/A Requesting Data...</v>
      </c>
      <c r="B1070" t="s">
        <v>276</v>
      </c>
      <c r="C1070" t="str">
        <f>_xll.BDP("348815NY Muni","INSURANCE_STATUS")</f>
        <v>#N/A Requesting Data...</v>
      </c>
      <c r="D1070" t="str">
        <f>_xll.BDP("348815NY Muni","STATE_CODE")</f>
        <v>#N/A Requesting Data...</v>
      </c>
      <c r="E1070" t="str">
        <f>_xll.BDP("348815NY Muni","COUNTY_LOCATION_ISSUER")</f>
        <v>#N/A Requesting Data...</v>
      </c>
      <c r="F1070" t="str">
        <f>_xll.BDP("348815NY Muni","DUR_ADJ_MID")</f>
        <v>#N/A Requesting Data...</v>
      </c>
      <c r="G1070" t="str">
        <f>_xll.BDP("348815NY Muni","SPREAD_AT_ISSUANCE_TO_WORST")</f>
        <v>#N/A Requesting Data...</v>
      </c>
      <c r="H1070" t="str">
        <f>_xll.BDP("348815NY Muni","ISSUE_DT")</f>
        <v>#N/A Requesting Data...</v>
      </c>
      <c r="I1070" t="str">
        <f>_xll.BDS("348815NY Muni","MUNI_PURPOSE_SCHED", "aggregate=y")</f>
        <v>#N/A Requesting Data...</v>
      </c>
      <c r="J1070" t="str">
        <f>_xll.BDP("348815NY Muni","CPN")</f>
        <v>#N/A Requesting Data...</v>
      </c>
      <c r="K1070" t="str">
        <f>_xll.BDP("348815NY Muni","MATURITY")</f>
        <v>#N/A Requesting Data...</v>
      </c>
      <c r="L1070">
        <v>4805000</v>
      </c>
      <c r="M1070" t="str">
        <f>_xll.BDP("348815NY Muni","YIELD_ON_ISSUE_DATE")</f>
        <v>#N/A Requesting Data...</v>
      </c>
      <c r="N1070" t="str">
        <f>_xll.BDP("348815NY Muni","YTW_SPREAD_TO_MATURITY_AT_ISSU")</f>
        <v>#N/A Requesting Data...</v>
      </c>
      <c r="O1070" t="str">
        <f>_xll.BDP("348815NY Muni","BVAL_MID_YTM")</f>
        <v>#N/A Requesting Data...</v>
      </c>
      <c r="P1070" t="str">
        <f>_xll.BDP("348815NY Muni","MUNI_TAX_PROV")</f>
        <v>#N/A Requesting Data...</v>
      </c>
      <c r="Q1070" t="str">
        <f>_xll.BDP("348815NY Muni","MUNI_FED_TAX")</f>
        <v>#N/A Requesting Data...</v>
      </c>
      <c r="R1070" t="str">
        <f>_xll.BDP("348815NY Muni","MUNI_MSRB_VOLUME")</f>
        <v>#N/A Requesting Data...</v>
      </c>
      <c r="S1070" t="str">
        <f>_xll.BDP("348815NY Muni","BB_COMPOSITE")</f>
        <v>#N/A Requesting Data...</v>
      </c>
      <c r="T1070" t="str">
        <f>_xll.BDP("348815NY Muni","LQA_LIQUIDITY_SCORE")</f>
        <v>#N/A Requesting Data...</v>
      </c>
    </row>
    <row r="1071" spans="1:20" x14ac:dyDescent="0.25">
      <c r="A1071" t="str">
        <f>_xll.BDP("348815PC Muni","ID_CUSIP")</f>
        <v>#N/A Requesting Data...</v>
      </c>
      <c r="B1071" t="s">
        <v>276</v>
      </c>
      <c r="C1071" t="str">
        <f>_xll.BDP("348815PC Muni","INSURANCE_STATUS")</f>
        <v>#N/A Requesting Data...</v>
      </c>
      <c r="D1071" t="str">
        <f>_xll.BDP("348815PC Muni","STATE_CODE")</f>
        <v>#N/A Requesting Data...</v>
      </c>
      <c r="E1071" t="str">
        <f>_xll.BDP("348815PC Muni","COUNTY_LOCATION_ISSUER")</f>
        <v>#N/A Requesting Data...</v>
      </c>
      <c r="F1071" t="str">
        <f>_xll.BDP("348815PC Muni","DUR_ADJ_MID")</f>
        <v>#N/A Requesting Data...</v>
      </c>
      <c r="G1071" t="str">
        <f>_xll.BDP("348815PC Muni","SPREAD_AT_ISSUANCE_TO_WORST")</f>
        <v>#N/A Requesting Data...</v>
      </c>
      <c r="H1071" t="str">
        <f>_xll.BDP("348815PC Muni","ISSUE_DT")</f>
        <v>#N/A Requesting Data...</v>
      </c>
      <c r="I1071" t="str">
        <f>_xll.BDS("348815PC Muni","MUNI_PURPOSE_SCHED", "aggregate=y")</f>
        <v>#N/A Requesting Data...</v>
      </c>
      <c r="J1071" t="str">
        <f>_xll.BDP("348815PC Muni","CPN")</f>
        <v>#N/A Requesting Data...</v>
      </c>
      <c r="K1071" t="str">
        <f>_xll.BDP("348815PC Muni","MATURITY")</f>
        <v>#N/A Requesting Data...</v>
      </c>
      <c r="L1071">
        <v>6270000</v>
      </c>
      <c r="M1071" t="str">
        <f>_xll.BDP("348815PC Muni","YIELD_ON_ISSUE_DATE")</f>
        <v>#N/A Requesting Data...</v>
      </c>
      <c r="N1071" t="str">
        <f>_xll.BDP("348815PC Muni","YTW_SPREAD_TO_MATURITY_AT_ISSU")</f>
        <v>#N/A Requesting Data...</v>
      </c>
      <c r="O1071" t="str">
        <f>_xll.BDP("348815PC Muni","BVAL_MID_YTM")</f>
        <v>#N/A Requesting Data...</v>
      </c>
      <c r="P1071" t="str">
        <f>_xll.BDP("348815PC Muni","MUNI_TAX_PROV")</f>
        <v>#N/A Requesting Data...</v>
      </c>
      <c r="Q1071" t="str">
        <f>_xll.BDP("348815PC Muni","MUNI_FED_TAX")</f>
        <v>#N/A Requesting Data...</v>
      </c>
      <c r="R1071" t="str">
        <f>_xll.BDP("348815PC Muni","MUNI_MSRB_VOLUME")</f>
        <v>#N/A Requesting Data...</v>
      </c>
      <c r="S1071" t="str">
        <f>_xll.BDP("348815PC Muni","BB_COMPOSITE")</f>
        <v>#N/A Requesting Data...</v>
      </c>
      <c r="T1071" t="str">
        <f>_xll.BDP("348815PC Muni","LQA_LIQUIDITY_SCORE")</f>
        <v>#N/A Requesting Data...</v>
      </c>
    </row>
    <row r="1072" spans="1:20" x14ac:dyDescent="0.25">
      <c r="A1072" t="str">
        <f>_xll.BDP("417246AF Muni","ID_CUSIP")</f>
        <v>#N/A Requesting Data...</v>
      </c>
      <c r="B1072" t="s">
        <v>286</v>
      </c>
      <c r="C1072" t="str">
        <f>_xll.BDP("417246AF Muni","INSURANCE_STATUS")</f>
        <v>#N/A Requesting Data...</v>
      </c>
      <c r="D1072" t="str">
        <f>_xll.BDP("417246AF Muni","STATE_CODE")</f>
        <v>#N/A Requesting Data...</v>
      </c>
      <c r="E1072" t="str">
        <f>_xll.BDP("417246AF Muni","COUNTY_LOCATION_ISSUER")</f>
        <v>#N/A Requesting Data...</v>
      </c>
      <c r="F1072" t="str">
        <f>_xll.BDP("417246AF Muni","DUR_ADJ_MID")</f>
        <v>#N/A Requesting Data...</v>
      </c>
      <c r="G1072" t="str">
        <f>_xll.BDP("417246AF Muni","SPREAD_AT_ISSUANCE_TO_WORST")</f>
        <v>#N/A Requesting Data...</v>
      </c>
      <c r="H1072" t="str">
        <f>_xll.BDP("417246AF Muni","ISSUE_DT")</f>
        <v>#N/A Requesting Data...</v>
      </c>
      <c r="I1072" t="str">
        <f>_xll.BDS("417246AF Muni","MUNI_PURPOSE_SCHED", "aggregate=y")</f>
        <v>#N/A Requesting Data...</v>
      </c>
      <c r="J1072" t="str">
        <f>_xll.BDP("417246AF Muni","CPN")</f>
        <v>#N/A Requesting Data...</v>
      </c>
      <c r="K1072" t="str">
        <f>_xll.BDP("417246AF Muni","MATURITY")</f>
        <v>#N/A Requesting Data...</v>
      </c>
      <c r="L1072">
        <v>480000</v>
      </c>
      <c r="M1072" t="str">
        <f>_xll.BDP("417246AF Muni","YIELD_ON_ISSUE_DATE")</f>
        <v>#N/A Requesting Data...</v>
      </c>
      <c r="N1072" t="str">
        <f>_xll.BDP("417246AF Muni","YTW_SPREAD_TO_MATURITY_AT_ISSU")</f>
        <v>#N/A Requesting Data...</v>
      </c>
      <c r="O1072" t="str">
        <f>_xll.BDP("417246AF Muni","BVAL_MID_YTM")</f>
        <v>#N/A Requesting Data...</v>
      </c>
      <c r="P1072" t="str">
        <f>_xll.BDP("417246AF Muni","MUNI_TAX_PROV")</f>
        <v>#N/A Requesting Data...</v>
      </c>
      <c r="Q1072" t="str">
        <f>_xll.BDP("417246AF Muni","MUNI_FED_TAX")</f>
        <v>#N/A Requesting Data...</v>
      </c>
      <c r="R1072" t="str">
        <f>_xll.BDP("417246AF Muni","MUNI_MSRB_VOLUME")</f>
        <v>#N/A Requesting Data...</v>
      </c>
      <c r="S1072" t="str">
        <f>_xll.BDP("417246AF Muni","BB_COMPOSITE")</f>
        <v>#N/A Requesting Data...</v>
      </c>
      <c r="T1072" t="str">
        <f>_xll.BDP("417246AF Muni","LQA_LIQUIDITY_SCORE")</f>
        <v>#N/A Requesting Data...</v>
      </c>
    </row>
    <row r="1073" spans="1:20" x14ac:dyDescent="0.25">
      <c r="A1073" t="str">
        <f>_xll.BDP("349515YY Muni","ID_CUSIP")</f>
        <v>#N/A Requesting Data...</v>
      </c>
      <c r="B1073" t="s">
        <v>287</v>
      </c>
      <c r="C1073" t="str">
        <f>_xll.BDP("349515YY Muni","INSURANCE_STATUS")</f>
        <v>#N/A Requesting Data...</v>
      </c>
      <c r="D1073" t="str">
        <f>_xll.BDP("349515YY Muni","STATE_CODE")</f>
        <v>#N/A Requesting Data...</v>
      </c>
      <c r="E1073" t="str">
        <f>_xll.BDP("349515YY Muni","COUNTY_LOCATION_ISSUER")</f>
        <v>#N/A Requesting Data...</v>
      </c>
      <c r="F1073" t="str">
        <f>_xll.BDP("349515YY Muni","DUR_ADJ_MID")</f>
        <v>#N/A Requesting Data...</v>
      </c>
      <c r="G1073" t="str">
        <f>_xll.BDP("349515YY Muni","SPREAD_AT_ISSUANCE_TO_WORST")</f>
        <v>#N/A Requesting Data...</v>
      </c>
      <c r="H1073" t="str">
        <f>_xll.BDP("349515YY Muni","ISSUE_DT")</f>
        <v>#N/A Requesting Data...</v>
      </c>
      <c r="I1073" t="str">
        <f>_xll.BDS("349515YY Muni","MUNI_PURPOSE_SCHED", "aggregate=y")</f>
        <v>#N/A Requesting Data...</v>
      </c>
      <c r="J1073" t="str">
        <f>_xll.BDP("349515YY Muni","CPN")</f>
        <v>#N/A Requesting Data...</v>
      </c>
      <c r="K1073" t="str">
        <f>_xll.BDP("349515YY Muni","MATURITY")</f>
        <v>#N/A Requesting Data...</v>
      </c>
      <c r="L1073">
        <v>985000</v>
      </c>
      <c r="M1073" t="str">
        <f>_xll.BDP("349515YY Muni","YIELD_ON_ISSUE_DATE")</f>
        <v>#N/A Requesting Data...</v>
      </c>
      <c r="N1073" t="str">
        <f>_xll.BDP("349515YY Muni","YTW_SPREAD_TO_MATURITY_AT_ISSU")</f>
        <v>#N/A Requesting Data...</v>
      </c>
      <c r="O1073" t="str">
        <f>_xll.BDP("349515YY Muni","BVAL_MID_YTM")</f>
        <v>#N/A Requesting Data...</v>
      </c>
      <c r="P1073" t="str">
        <f>_xll.BDP("349515YY Muni","MUNI_TAX_PROV")</f>
        <v>#N/A Requesting Data...</v>
      </c>
      <c r="Q1073" t="str">
        <f>_xll.BDP("349515YY Muni","MUNI_FED_TAX")</f>
        <v>#N/A Requesting Data...</v>
      </c>
      <c r="R1073" t="str">
        <f>_xll.BDP("349515YY Muni","MUNI_MSRB_VOLUME")</f>
        <v>#N/A Requesting Data...</v>
      </c>
      <c r="S1073" t="str">
        <f>_xll.BDP("349515YY Muni","BB_COMPOSITE")</f>
        <v>#N/A Requesting Data...</v>
      </c>
      <c r="T1073" t="str">
        <f>_xll.BDP("349515YY Muni","LQA_LIQUIDITY_SCORE")</f>
        <v>#N/A Requesting Data...</v>
      </c>
    </row>
    <row r="1074" spans="1:20" x14ac:dyDescent="0.25">
      <c r="A1074" t="str">
        <f>_xll.BDP("349515YZ Muni","ID_CUSIP")</f>
        <v>#N/A Requesting Data...</v>
      </c>
      <c r="B1074" t="s">
        <v>287</v>
      </c>
      <c r="C1074" t="str">
        <f>_xll.BDP("349515YZ Muni","INSURANCE_STATUS")</f>
        <v>#N/A Requesting Data...</v>
      </c>
      <c r="D1074" t="str">
        <f>_xll.BDP("349515YZ Muni","STATE_CODE")</f>
        <v>#N/A Requesting Data...</v>
      </c>
      <c r="E1074" t="str">
        <f>_xll.BDP("349515YZ Muni","COUNTY_LOCATION_ISSUER")</f>
        <v>#N/A Requesting Data...</v>
      </c>
      <c r="F1074" t="str">
        <f>_xll.BDP("349515YZ Muni","DUR_ADJ_MID")</f>
        <v>#N/A Requesting Data...</v>
      </c>
      <c r="G1074" t="str">
        <f>_xll.BDP("349515YZ Muni","SPREAD_AT_ISSUANCE_TO_WORST")</f>
        <v>#N/A Requesting Data...</v>
      </c>
      <c r="H1074" t="str">
        <f>_xll.BDP("349515YZ Muni","ISSUE_DT")</f>
        <v>#N/A Requesting Data...</v>
      </c>
      <c r="I1074" t="str">
        <f>_xll.BDS("349515YZ Muni","MUNI_PURPOSE_SCHED", "aggregate=y")</f>
        <v>#N/A Requesting Data...</v>
      </c>
      <c r="J1074" t="str">
        <f>_xll.BDP("349515YZ Muni","CPN")</f>
        <v>#N/A Requesting Data...</v>
      </c>
      <c r="K1074" t="str">
        <f>_xll.BDP("349515YZ Muni","MATURITY")</f>
        <v>#N/A Requesting Data...</v>
      </c>
      <c r="L1074">
        <v>1035000</v>
      </c>
      <c r="M1074" t="str">
        <f>_xll.BDP("349515YZ Muni","YIELD_ON_ISSUE_DATE")</f>
        <v>#N/A Requesting Data...</v>
      </c>
      <c r="N1074" t="str">
        <f>_xll.BDP("349515YZ Muni","YTW_SPREAD_TO_MATURITY_AT_ISSU")</f>
        <v>#N/A Requesting Data...</v>
      </c>
      <c r="O1074" t="str">
        <f>_xll.BDP("349515YZ Muni","BVAL_MID_YTM")</f>
        <v>#N/A Requesting Data...</v>
      </c>
      <c r="P1074" t="str">
        <f>_xll.BDP("349515YZ Muni","MUNI_TAX_PROV")</f>
        <v>#N/A Requesting Data...</v>
      </c>
      <c r="Q1074" t="str">
        <f>_xll.BDP("349515YZ Muni","MUNI_FED_TAX")</f>
        <v>#N/A Requesting Data...</v>
      </c>
      <c r="R1074" t="str">
        <f>_xll.BDP("349515YZ Muni","MUNI_MSRB_VOLUME")</f>
        <v>#N/A Requesting Data...</v>
      </c>
      <c r="S1074" t="str">
        <f>_xll.BDP("349515YZ Muni","BB_COMPOSITE")</f>
        <v>#N/A Requesting Data...</v>
      </c>
      <c r="T1074" t="str">
        <f>_xll.BDP("349515YZ Muni","LQA_LIQUIDITY_SCORE")</f>
        <v>#N/A Requesting Data...</v>
      </c>
    </row>
    <row r="1075" spans="1:20" x14ac:dyDescent="0.25">
      <c r="A1075" t="str">
        <f>_xll.BDP("349515ZA Muni","ID_CUSIP")</f>
        <v>#N/A Requesting Data...</v>
      </c>
      <c r="B1075" t="s">
        <v>287</v>
      </c>
      <c r="C1075" t="str">
        <f>_xll.BDP("349515ZA Muni","INSURANCE_STATUS")</f>
        <v>#N/A Requesting Data...</v>
      </c>
      <c r="D1075" t="str">
        <f>_xll.BDP("349515ZA Muni","STATE_CODE")</f>
        <v>#N/A Requesting Data...</v>
      </c>
      <c r="E1075" t="str">
        <f>_xll.BDP("349515ZA Muni","COUNTY_LOCATION_ISSUER")</f>
        <v>#N/A Requesting Data...</v>
      </c>
      <c r="F1075" t="str">
        <f>_xll.BDP("349515ZA Muni","DUR_ADJ_MID")</f>
        <v>#N/A Requesting Data...</v>
      </c>
      <c r="G1075" t="str">
        <f>_xll.BDP("349515ZA Muni","SPREAD_AT_ISSUANCE_TO_WORST")</f>
        <v>#N/A Requesting Data...</v>
      </c>
      <c r="H1075" t="str">
        <f>_xll.BDP("349515ZA Muni","ISSUE_DT")</f>
        <v>#N/A Requesting Data...</v>
      </c>
      <c r="I1075" t="str">
        <f>_xll.BDS("349515ZA Muni","MUNI_PURPOSE_SCHED", "aggregate=y")</f>
        <v>#N/A Requesting Data...</v>
      </c>
      <c r="J1075" t="str">
        <f>_xll.BDP("349515ZA Muni","CPN")</f>
        <v>#N/A Requesting Data...</v>
      </c>
      <c r="K1075" t="str">
        <f>_xll.BDP("349515ZA Muni","MATURITY")</f>
        <v>#N/A Requesting Data...</v>
      </c>
      <c r="L1075">
        <v>1090000</v>
      </c>
      <c r="M1075" t="str">
        <f>_xll.BDP("349515ZA Muni","YIELD_ON_ISSUE_DATE")</f>
        <v>#N/A Requesting Data...</v>
      </c>
      <c r="N1075" t="str">
        <f>_xll.BDP("349515ZA Muni","YTW_SPREAD_TO_MATURITY_AT_ISSU")</f>
        <v>#N/A Requesting Data...</v>
      </c>
      <c r="O1075" t="str">
        <f>_xll.BDP("349515ZA Muni","BVAL_MID_YTM")</f>
        <v>#N/A Requesting Data...</v>
      </c>
      <c r="P1075" t="str">
        <f>_xll.BDP("349515ZA Muni","MUNI_TAX_PROV")</f>
        <v>#N/A Requesting Data...</v>
      </c>
      <c r="Q1075" t="str">
        <f>_xll.BDP("349515ZA Muni","MUNI_FED_TAX")</f>
        <v>#N/A Requesting Data...</v>
      </c>
      <c r="R1075" t="str">
        <f>_xll.BDP("349515ZA Muni","MUNI_MSRB_VOLUME")</f>
        <v>#N/A Requesting Data...</v>
      </c>
      <c r="S1075" t="str">
        <f>_xll.BDP("349515ZA Muni","BB_COMPOSITE")</f>
        <v>#N/A Requesting Data...</v>
      </c>
      <c r="T1075" t="str">
        <f>_xll.BDP("349515ZA Muni","LQA_LIQUIDITY_SCORE")</f>
        <v>#N/A Requesting Data...</v>
      </c>
    </row>
    <row r="1076" spans="1:20" x14ac:dyDescent="0.25">
      <c r="A1076" t="str">
        <f>_xll.BDP("349515ZB Muni","ID_CUSIP")</f>
        <v>#N/A Requesting Data...</v>
      </c>
      <c r="B1076" t="s">
        <v>287</v>
      </c>
      <c r="C1076" t="str">
        <f>_xll.BDP("349515ZB Muni","INSURANCE_STATUS")</f>
        <v>#N/A Requesting Data...</v>
      </c>
      <c r="D1076" t="str">
        <f>_xll.BDP("349515ZB Muni","STATE_CODE")</f>
        <v>#N/A Requesting Data...</v>
      </c>
      <c r="E1076" t="str">
        <f>_xll.BDP("349515ZB Muni","COUNTY_LOCATION_ISSUER")</f>
        <v>#N/A Requesting Data...</v>
      </c>
      <c r="F1076" t="str">
        <f>_xll.BDP("349515ZB Muni","DUR_ADJ_MID")</f>
        <v>#N/A Requesting Data...</v>
      </c>
      <c r="G1076" t="str">
        <f>_xll.BDP("349515ZB Muni","SPREAD_AT_ISSUANCE_TO_WORST")</f>
        <v>#N/A Requesting Data...</v>
      </c>
      <c r="H1076" t="str">
        <f>_xll.BDP("349515ZB Muni","ISSUE_DT")</f>
        <v>#N/A Requesting Data...</v>
      </c>
      <c r="I1076" t="str">
        <f>_xll.BDS("349515ZB Muni","MUNI_PURPOSE_SCHED", "aggregate=y")</f>
        <v>#N/A Requesting Data...</v>
      </c>
      <c r="J1076" t="str">
        <f>_xll.BDP("349515ZB Muni","CPN")</f>
        <v>#N/A Requesting Data...</v>
      </c>
      <c r="K1076" t="str">
        <f>_xll.BDP("349515ZB Muni","MATURITY")</f>
        <v>#N/A Requesting Data...</v>
      </c>
      <c r="L1076">
        <v>1145000</v>
      </c>
      <c r="M1076" t="str">
        <f>_xll.BDP("349515ZB Muni","YIELD_ON_ISSUE_DATE")</f>
        <v>#N/A Requesting Data...</v>
      </c>
      <c r="N1076" t="str">
        <f>_xll.BDP("349515ZB Muni","YTW_SPREAD_TO_MATURITY_AT_ISSU")</f>
        <v>#N/A Requesting Data...</v>
      </c>
      <c r="O1076" t="str">
        <f>_xll.BDP("349515ZB Muni","BVAL_MID_YTM")</f>
        <v>#N/A Requesting Data...</v>
      </c>
      <c r="P1076" t="str">
        <f>_xll.BDP("349515ZB Muni","MUNI_TAX_PROV")</f>
        <v>#N/A Requesting Data...</v>
      </c>
      <c r="Q1076" t="str">
        <f>_xll.BDP("349515ZB Muni","MUNI_FED_TAX")</f>
        <v>#N/A Requesting Data...</v>
      </c>
      <c r="R1076" t="str">
        <f>_xll.BDP("349515ZB Muni","MUNI_MSRB_VOLUME")</f>
        <v>#N/A Requesting Data...</v>
      </c>
      <c r="S1076" t="str">
        <f>_xll.BDP("349515ZB Muni","BB_COMPOSITE")</f>
        <v>#N/A Requesting Data...</v>
      </c>
      <c r="T1076" t="str">
        <f>_xll.BDP("349515ZB Muni","LQA_LIQUIDITY_SCORE")</f>
        <v>#N/A Requesting Data...</v>
      </c>
    </row>
    <row r="1077" spans="1:20" x14ac:dyDescent="0.25">
      <c r="A1077" t="str">
        <f>_xll.BDP("353204AE Muni","ID_CUSIP")</f>
        <v>#N/A Requesting Data...</v>
      </c>
      <c r="B1077" t="s">
        <v>282</v>
      </c>
      <c r="C1077" t="str">
        <f>_xll.BDP("353204AE Muni","INSURANCE_STATUS")</f>
        <v>#N/A Requesting Data...</v>
      </c>
      <c r="D1077" t="str">
        <f>_xll.BDP("353204AE Muni","STATE_CODE")</f>
        <v>#N/A Requesting Data...</v>
      </c>
      <c r="E1077" t="str">
        <f>_xll.BDP("353204AE Muni","COUNTY_LOCATION_ISSUER")</f>
        <v>#N/A Requesting Data...</v>
      </c>
      <c r="F1077" t="str">
        <f>_xll.BDP("353204AE Muni","DUR_ADJ_MID")</f>
        <v>#N/A Requesting Data...</v>
      </c>
      <c r="G1077" t="str">
        <f>_xll.BDP("353204AE Muni","SPREAD_AT_ISSUANCE_TO_WORST")</f>
        <v>#N/A Requesting Data...</v>
      </c>
      <c r="H1077" t="str">
        <f>_xll.BDP("353204AE Muni","ISSUE_DT")</f>
        <v>#N/A Requesting Data...</v>
      </c>
      <c r="I1077" t="str">
        <f>_xll.BDS("353204AE Muni","MUNI_PURPOSE_SCHED", "aggregate=y")</f>
        <v>#N/A Requesting Data...</v>
      </c>
      <c r="J1077" t="str">
        <f>_xll.BDP("353204AE Muni","CPN")</f>
        <v>#N/A Requesting Data...</v>
      </c>
      <c r="K1077" t="str">
        <f>_xll.BDP("353204AE Muni","MATURITY")</f>
        <v>#N/A Requesting Data...</v>
      </c>
      <c r="L1077">
        <v>4255000</v>
      </c>
      <c r="M1077" t="str">
        <f>_xll.BDP("353204AE Muni","YIELD_ON_ISSUE_DATE")</f>
        <v>#N/A Requesting Data...</v>
      </c>
      <c r="N1077" t="str">
        <f>_xll.BDP("353204AE Muni","YTW_SPREAD_TO_MATURITY_AT_ISSU")</f>
        <v>#N/A Requesting Data...</v>
      </c>
      <c r="O1077" t="str">
        <f>_xll.BDP("353204AE Muni","BVAL_MID_YTM")</f>
        <v>#N/A Requesting Data...</v>
      </c>
      <c r="P1077" t="str">
        <f>_xll.BDP("353204AE Muni","MUNI_TAX_PROV")</f>
        <v>#N/A Requesting Data...</v>
      </c>
      <c r="Q1077" t="str">
        <f>_xll.BDP("353204AE Muni","MUNI_FED_TAX")</f>
        <v>#N/A Requesting Data...</v>
      </c>
      <c r="R1077" t="str">
        <f>_xll.BDP("353204AE Muni","MUNI_MSRB_VOLUME")</f>
        <v>#N/A Requesting Data...</v>
      </c>
      <c r="S1077" t="str">
        <f>_xll.BDP("353204AE Muni","BB_COMPOSITE")</f>
        <v>#N/A Requesting Data...</v>
      </c>
      <c r="T1077" t="str">
        <f>_xll.BDP("353204AE Muni","LQA_LIQUIDITY_SCORE")</f>
        <v>#N/A Requesting Data...</v>
      </c>
    </row>
    <row r="1078" spans="1:20" x14ac:dyDescent="0.25">
      <c r="A1078" t="str">
        <f>_xll.BDP("353204AF Muni","ID_CUSIP")</f>
        <v>#N/A Requesting Data...</v>
      </c>
      <c r="B1078" t="s">
        <v>282</v>
      </c>
      <c r="C1078" t="str">
        <f>_xll.BDP("353204AF Muni","INSURANCE_STATUS")</f>
        <v>#N/A Requesting Data...</v>
      </c>
      <c r="D1078" t="str">
        <f>_xll.BDP("353204AF Muni","STATE_CODE")</f>
        <v>#N/A Requesting Data...</v>
      </c>
      <c r="E1078" t="str">
        <f>_xll.BDP("353204AF Muni","COUNTY_LOCATION_ISSUER")</f>
        <v>#N/A Requesting Data...</v>
      </c>
      <c r="F1078" t="str">
        <f>_xll.BDP("353204AF Muni","DUR_ADJ_MID")</f>
        <v>#N/A Requesting Data...</v>
      </c>
      <c r="G1078" t="str">
        <f>_xll.BDP("353204AF Muni","SPREAD_AT_ISSUANCE_TO_WORST")</f>
        <v>#N/A Requesting Data...</v>
      </c>
      <c r="H1078" t="str">
        <f>_xll.BDP("353204AF Muni","ISSUE_DT")</f>
        <v>#N/A Requesting Data...</v>
      </c>
      <c r="I1078" t="str">
        <f>_xll.BDS("353204AF Muni","MUNI_PURPOSE_SCHED", "aggregate=y")</f>
        <v>#N/A Requesting Data...</v>
      </c>
      <c r="J1078" t="str">
        <f>_xll.BDP("353204AF Muni","CPN")</f>
        <v>#N/A Requesting Data...</v>
      </c>
      <c r="K1078" t="str">
        <f>_xll.BDP("353204AF Muni","MATURITY")</f>
        <v>#N/A Requesting Data...</v>
      </c>
      <c r="L1078">
        <v>4475000</v>
      </c>
      <c r="M1078" t="str">
        <f>_xll.BDP("353204AF Muni","YIELD_ON_ISSUE_DATE")</f>
        <v>#N/A Requesting Data...</v>
      </c>
      <c r="N1078" t="str">
        <f>_xll.BDP("353204AF Muni","YTW_SPREAD_TO_MATURITY_AT_ISSU")</f>
        <v>#N/A Requesting Data...</v>
      </c>
      <c r="O1078" t="str">
        <f>_xll.BDP("353204AF Muni","BVAL_MID_YTM")</f>
        <v>#N/A Requesting Data...</v>
      </c>
      <c r="P1078" t="str">
        <f>_xll.BDP("353204AF Muni","MUNI_TAX_PROV")</f>
        <v>#N/A Requesting Data...</v>
      </c>
      <c r="Q1078" t="str">
        <f>_xll.BDP("353204AF Muni","MUNI_FED_TAX")</f>
        <v>#N/A Requesting Data...</v>
      </c>
      <c r="R1078" t="str">
        <f>_xll.BDP("353204AF Muni","MUNI_MSRB_VOLUME")</f>
        <v>#N/A Requesting Data...</v>
      </c>
      <c r="S1078" t="str">
        <f>_xll.BDP("353204AF Muni","BB_COMPOSITE")</f>
        <v>#N/A Requesting Data...</v>
      </c>
      <c r="T1078" t="str">
        <f>_xll.BDP("353204AF Muni","LQA_LIQUIDITY_SCORE")</f>
        <v>#N/A Requesting Data...</v>
      </c>
    </row>
    <row r="1079" spans="1:20" x14ac:dyDescent="0.25">
      <c r="A1079" t="str">
        <f>_xll.BDP("353204AH Muni","ID_CUSIP")</f>
        <v>#N/A Requesting Data...</v>
      </c>
      <c r="B1079" t="s">
        <v>282</v>
      </c>
      <c r="C1079" t="str">
        <f>_xll.BDP("353204AH Muni","INSURANCE_STATUS")</f>
        <v>#N/A Requesting Data...</v>
      </c>
      <c r="D1079" t="str">
        <f>_xll.BDP("353204AH Muni","STATE_CODE")</f>
        <v>#N/A Requesting Data...</v>
      </c>
      <c r="E1079" t="str">
        <f>_xll.BDP("353204AH Muni","COUNTY_LOCATION_ISSUER")</f>
        <v>#N/A Requesting Data...</v>
      </c>
      <c r="F1079" t="str">
        <f>_xll.BDP("353204AH Muni","DUR_ADJ_MID")</f>
        <v>#N/A Requesting Data...</v>
      </c>
      <c r="G1079" t="str">
        <f>_xll.BDP("353204AH Muni","SPREAD_AT_ISSUANCE_TO_WORST")</f>
        <v>#N/A Requesting Data...</v>
      </c>
      <c r="H1079" t="str">
        <f>_xll.BDP("353204AH Muni","ISSUE_DT")</f>
        <v>#N/A Requesting Data...</v>
      </c>
      <c r="I1079" t="str">
        <f>_xll.BDS("353204AH Muni","MUNI_PURPOSE_SCHED", "aggregate=y")</f>
        <v>#N/A Requesting Data...</v>
      </c>
      <c r="J1079" t="str">
        <f>_xll.BDP("353204AH Muni","CPN")</f>
        <v>#N/A Requesting Data...</v>
      </c>
      <c r="K1079" t="str">
        <f>_xll.BDP("353204AH Muni","MATURITY")</f>
        <v>#N/A Requesting Data...</v>
      </c>
      <c r="L1079">
        <v>4945000</v>
      </c>
      <c r="M1079" t="str">
        <f>_xll.BDP("353204AH Muni","YIELD_ON_ISSUE_DATE")</f>
        <v>#N/A Requesting Data...</v>
      </c>
      <c r="N1079" t="str">
        <f>_xll.BDP("353204AH Muni","YTW_SPREAD_TO_MATURITY_AT_ISSU")</f>
        <v>#N/A Requesting Data...</v>
      </c>
      <c r="O1079" t="str">
        <f>_xll.BDP("353204AH Muni","BVAL_MID_YTM")</f>
        <v>#N/A Requesting Data...</v>
      </c>
      <c r="P1079" t="str">
        <f>_xll.BDP("353204AH Muni","MUNI_TAX_PROV")</f>
        <v>#N/A Requesting Data...</v>
      </c>
      <c r="Q1079" t="str">
        <f>_xll.BDP("353204AH Muni","MUNI_FED_TAX")</f>
        <v>#N/A Requesting Data...</v>
      </c>
      <c r="R1079" t="str">
        <f>_xll.BDP("353204AH Muni","MUNI_MSRB_VOLUME")</f>
        <v>#N/A Requesting Data...</v>
      </c>
      <c r="S1079" t="str">
        <f>_xll.BDP("353204AH Muni","BB_COMPOSITE")</f>
        <v>#N/A Requesting Data...</v>
      </c>
      <c r="T1079" t="str">
        <f>_xll.BDP("353204AH Muni","LQA_LIQUIDITY_SCORE")</f>
        <v>#N/A Requesting Data...</v>
      </c>
    </row>
    <row r="1080" spans="1:20" x14ac:dyDescent="0.25">
      <c r="A1080" t="str">
        <f>_xll.BDP("353204AJ Muni","ID_CUSIP")</f>
        <v>#N/A Requesting Data...</v>
      </c>
      <c r="B1080" t="s">
        <v>282</v>
      </c>
      <c r="C1080" t="str">
        <f>_xll.BDP("353204AJ Muni","INSURANCE_STATUS")</f>
        <v>#N/A Requesting Data...</v>
      </c>
      <c r="D1080" t="str">
        <f>_xll.BDP("353204AJ Muni","STATE_CODE")</f>
        <v>#N/A Requesting Data...</v>
      </c>
      <c r="E1080" t="str">
        <f>_xll.BDP("353204AJ Muni","COUNTY_LOCATION_ISSUER")</f>
        <v>#N/A Requesting Data...</v>
      </c>
      <c r="F1080" t="str">
        <f>_xll.BDP("353204AJ Muni","DUR_ADJ_MID")</f>
        <v>#N/A Requesting Data...</v>
      </c>
      <c r="G1080" t="str">
        <f>_xll.BDP("353204AJ Muni","SPREAD_AT_ISSUANCE_TO_WORST")</f>
        <v>#N/A Requesting Data...</v>
      </c>
      <c r="H1080" t="str">
        <f>_xll.BDP("353204AJ Muni","ISSUE_DT")</f>
        <v>#N/A Requesting Data...</v>
      </c>
      <c r="I1080" t="str">
        <f>_xll.BDS("353204AJ Muni","MUNI_PURPOSE_SCHED", "aggregate=y")</f>
        <v>#N/A Requesting Data...</v>
      </c>
      <c r="J1080" t="str">
        <f>_xll.BDP("353204AJ Muni","CPN")</f>
        <v>#N/A Requesting Data...</v>
      </c>
      <c r="K1080" t="str">
        <f>_xll.BDP("353204AJ Muni","MATURITY")</f>
        <v>#N/A Requesting Data...</v>
      </c>
      <c r="L1080">
        <v>5200000</v>
      </c>
      <c r="M1080" t="str">
        <f>_xll.BDP("353204AJ Muni","YIELD_ON_ISSUE_DATE")</f>
        <v>#N/A Requesting Data...</v>
      </c>
      <c r="N1080" t="str">
        <f>_xll.BDP("353204AJ Muni","YTW_SPREAD_TO_MATURITY_AT_ISSU")</f>
        <v>#N/A Requesting Data...</v>
      </c>
      <c r="O1080" t="str">
        <f>_xll.BDP("353204AJ Muni","BVAL_MID_YTM")</f>
        <v>#N/A Requesting Data...</v>
      </c>
      <c r="P1080" t="str">
        <f>_xll.BDP("353204AJ Muni","MUNI_TAX_PROV")</f>
        <v>#N/A Requesting Data...</v>
      </c>
      <c r="Q1080" t="str">
        <f>_xll.BDP("353204AJ Muni","MUNI_FED_TAX")</f>
        <v>#N/A Requesting Data...</v>
      </c>
      <c r="R1080" t="str">
        <f>_xll.BDP("353204AJ Muni","MUNI_MSRB_VOLUME")</f>
        <v>#N/A Requesting Data...</v>
      </c>
      <c r="S1080" t="str">
        <f>_xll.BDP("353204AJ Muni","BB_COMPOSITE")</f>
        <v>#N/A Requesting Data...</v>
      </c>
      <c r="T1080" t="str">
        <f>_xll.BDP("353204AJ Muni","LQA_LIQUIDITY_SCORE")</f>
        <v>#N/A Requesting Data...</v>
      </c>
    </row>
    <row r="1081" spans="1:20" x14ac:dyDescent="0.25">
      <c r="A1081" t="str">
        <f>_xll.BDP("45455RBE Muni","ID_CUSIP")</f>
        <v>#N/A Requesting Data...</v>
      </c>
      <c r="B1081" t="s">
        <v>284</v>
      </c>
      <c r="C1081" t="str">
        <f>_xll.BDP("45455RBE Muni","INSURANCE_STATUS")</f>
        <v>#N/A Requesting Data...</v>
      </c>
      <c r="D1081" t="str">
        <f>_xll.BDP("45455RBE Muni","STATE_CODE")</f>
        <v>#N/A Requesting Data...</v>
      </c>
      <c r="E1081" t="str">
        <f>_xll.BDP("45455RBE Muni","COUNTY_LOCATION_ISSUER")</f>
        <v>#N/A Requesting Data...</v>
      </c>
      <c r="F1081" t="str">
        <f>_xll.BDP("45455RBE Muni","DUR_ADJ_MID")</f>
        <v>#N/A Requesting Data...</v>
      </c>
      <c r="G1081" t="str">
        <f>_xll.BDP("45455RBE Muni","SPREAD_AT_ISSUANCE_TO_WORST")</f>
        <v>#N/A Requesting Data...</v>
      </c>
      <c r="H1081" t="str">
        <f>_xll.BDP("45455RBE Muni","ISSUE_DT")</f>
        <v>#N/A Requesting Data...</v>
      </c>
      <c r="I1081" t="str">
        <f>_xll.BDS("45455RBE Muni","MUNI_PURPOSE_SCHED", "aggregate=y")</f>
        <v>#N/A Requesting Data...</v>
      </c>
      <c r="J1081" t="str">
        <f>_xll.BDP("45455RBE Muni","CPN")</f>
        <v>#N/A Requesting Data...</v>
      </c>
      <c r="K1081" t="str">
        <f>_xll.BDP("45455RBE Muni","MATURITY")</f>
        <v>#N/A Requesting Data...</v>
      </c>
      <c r="L1081">
        <v>740000</v>
      </c>
      <c r="M1081" t="str">
        <f>_xll.BDP("45455RBE Muni","YIELD_ON_ISSUE_DATE")</f>
        <v>#N/A Requesting Data...</v>
      </c>
      <c r="N1081" t="str">
        <f>_xll.BDP("45455RBE Muni","YTW_SPREAD_TO_MATURITY_AT_ISSU")</f>
        <v>#N/A Requesting Data...</v>
      </c>
      <c r="O1081" t="str">
        <f>_xll.BDP("45455RBE Muni","BVAL_MID_YTM")</f>
        <v>#N/A Requesting Data...</v>
      </c>
      <c r="P1081" t="str">
        <f>_xll.BDP("45455RBE Muni","MUNI_TAX_PROV")</f>
        <v>#N/A Requesting Data...</v>
      </c>
      <c r="Q1081" t="str">
        <f>_xll.BDP("45455RBE Muni","MUNI_FED_TAX")</f>
        <v>#N/A Requesting Data...</v>
      </c>
      <c r="R1081" t="str">
        <f>_xll.BDP("45455RBE Muni","MUNI_MSRB_VOLUME")</f>
        <v>#N/A Requesting Data...</v>
      </c>
      <c r="S1081" t="str">
        <f>_xll.BDP("45455RBE Muni","BB_COMPOSITE")</f>
        <v>#N/A Requesting Data...</v>
      </c>
      <c r="T1081" t="str">
        <f>_xll.BDP("45455RBE Muni","LQA_LIQUIDITY_SCORE")</f>
        <v>#N/A Requesting Data...</v>
      </c>
    </row>
    <row r="1082" spans="1:20" x14ac:dyDescent="0.25">
      <c r="A1082" t="str">
        <f>_xll.BDP("45455RBG Muni","ID_CUSIP")</f>
        <v>#N/A Requesting Data...</v>
      </c>
      <c r="B1082" t="s">
        <v>284</v>
      </c>
      <c r="C1082" t="str">
        <f>_xll.BDP("45455RBG Muni","INSURANCE_STATUS")</f>
        <v>#N/A Requesting Data...</v>
      </c>
      <c r="D1082" t="str">
        <f>_xll.BDP("45455RBG Muni","STATE_CODE")</f>
        <v>#N/A Requesting Data...</v>
      </c>
      <c r="E1082" t="str">
        <f>_xll.BDP("45455RBG Muni","COUNTY_LOCATION_ISSUER")</f>
        <v>#N/A Requesting Data...</v>
      </c>
      <c r="F1082" t="str">
        <f>_xll.BDP("45455RBG Muni","DUR_ADJ_MID")</f>
        <v>#N/A Requesting Data...</v>
      </c>
      <c r="G1082" t="str">
        <f>_xll.BDP("45455RBG Muni","SPREAD_AT_ISSUANCE_TO_WORST")</f>
        <v>#N/A Requesting Data...</v>
      </c>
      <c r="H1082" t="str">
        <f>_xll.BDP("45455RBG Muni","ISSUE_DT")</f>
        <v>#N/A Requesting Data...</v>
      </c>
      <c r="I1082" t="str">
        <f>_xll.BDS("45455RBG Muni","MUNI_PURPOSE_SCHED", "aggregate=y")</f>
        <v>#N/A Requesting Data...</v>
      </c>
      <c r="J1082" t="str">
        <f>_xll.BDP("45455RBG Muni","CPN")</f>
        <v>#N/A Requesting Data...</v>
      </c>
      <c r="K1082" t="str">
        <f>_xll.BDP("45455RBG Muni","MATURITY")</f>
        <v>#N/A Requesting Data...</v>
      </c>
      <c r="L1082">
        <v>810000</v>
      </c>
      <c r="M1082" t="str">
        <f>_xll.BDP("45455RBG Muni","YIELD_ON_ISSUE_DATE")</f>
        <v>#N/A Requesting Data...</v>
      </c>
      <c r="N1082" t="str">
        <f>_xll.BDP("45455RBG Muni","YTW_SPREAD_TO_MATURITY_AT_ISSU")</f>
        <v>#N/A Requesting Data...</v>
      </c>
      <c r="O1082" t="str">
        <f>_xll.BDP("45455RBG Muni","BVAL_MID_YTM")</f>
        <v>#N/A Requesting Data...</v>
      </c>
      <c r="P1082" t="str">
        <f>_xll.BDP("45455RBG Muni","MUNI_TAX_PROV")</f>
        <v>#N/A Requesting Data...</v>
      </c>
      <c r="Q1082" t="str">
        <f>_xll.BDP("45455RBG Muni","MUNI_FED_TAX")</f>
        <v>#N/A Requesting Data...</v>
      </c>
      <c r="R1082" t="str">
        <f>_xll.BDP("45455RBG Muni","MUNI_MSRB_VOLUME")</f>
        <v>#N/A Requesting Data...</v>
      </c>
      <c r="S1082" t="str">
        <f>_xll.BDP("45455RBG Muni","BB_COMPOSITE")</f>
        <v>#N/A Requesting Data...</v>
      </c>
      <c r="T1082" t="str">
        <f>_xll.BDP("45455RBG Muni","LQA_LIQUIDITY_SCORE")</f>
        <v>#N/A Requesting Data...</v>
      </c>
    </row>
    <row r="1083" spans="1:20" x14ac:dyDescent="0.25">
      <c r="A1083" t="str">
        <f>_xll.BDP("45455RBH Muni","ID_CUSIP")</f>
        <v>#N/A Requesting Data...</v>
      </c>
      <c r="B1083" t="s">
        <v>284</v>
      </c>
      <c r="C1083" t="str">
        <f>_xll.BDP("45455RBH Muni","INSURANCE_STATUS")</f>
        <v>#N/A Requesting Data...</v>
      </c>
      <c r="D1083" t="str">
        <f>_xll.BDP("45455RBH Muni","STATE_CODE")</f>
        <v>#N/A Requesting Data...</v>
      </c>
      <c r="E1083" t="str">
        <f>_xll.BDP("45455RBH Muni","COUNTY_LOCATION_ISSUER")</f>
        <v>#N/A Requesting Data...</v>
      </c>
      <c r="F1083" t="str">
        <f>_xll.BDP("45455RBH Muni","DUR_ADJ_MID")</f>
        <v>#N/A Requesting Data...</v>
      </c>
      <c r="G1083" t="str">
        <f>_xll.BDP("45455RBH Muni","SPREAD_AT_ISSUANCE_TO_WORST")</f>
        <v>#N/A Requesting Data...</v>
      </c>
      <c r="H1083" t="str">
        <f>_xll.BDP("45455RBH Muni","ISSUE_DT")</f>
        <v>#N/A Requesting Data...</v>
      </c>
      <c r="I1083" t="str">
        <f>_xll.BDS("45455RBH Muni","MUNI_PURPOSE_SCHED", "aggregate=y")</f>
        <v>#N/A Requesting Data...</v>
      </c>
      <c r="J1083" t="str">
        <f>_xll.BDP("45455RBH Muni","CPN")</f>
        <v>#N/A Requesting Data...</v>
      </c>
      <c r="K1083" t="str">
        <f>_xll.BDP("45455RBH Muni","MATURITY")</f>
        <v>#N/A Requesting Data...</v>
      </c>
      <c r="L1083">
        <v>845000</v>
      </c>
      <c r="M1083" t="str">
        <f>_xll.BDP("45455RBH Muni","YIELD_ON_ISSUE_DATE")</f>
        <v>#N/A Requesting Data...</v>
      </c>
      <c r="N1083" t="str">
        <f>_xll.BDP("45455RBH Muni","YTW_SPREAD_TO_MATURITY_AT_ISSU")</f>
        <v>#N/A Requesting Data...</v>
      </c>
      <c r="O1083" t="str">
        <f>_xll.BDP("45455RBH Muni","BVAL_MID_YTM")</f>
        <v>#N/A Requesting Data...</v>
      </c>
      <c r="P1083" t="str">
        <f>_xll.BDP("45455RBH Muni","MUNI_TAX_PROV")</f>
        <v>#N/A Requesting Data...</v>
      </c>
      <c r="Q1083" t="str">
        <f>_xll.BDP("45455RBH Muni","MUNI_FED_TAX")</f>
        <v>#N/A Requesting Data...</v>
      </c>
      <c r="R1083" t="str">
        <f>_xll.BDP("45455RBH Muni","MUNI_MSRB_VOLUME")</f>
        <v>#N/A Requesting Data...</v>
      </c>
      <c r="S1083" t="str">
        <f>_xll.BDP("45455RBH Muni","BB_COMPOSITE")</f>
        <v>#N/A Requesting Data...</v>
      </c>
      <c r="T1083" t="str">
        <f>_xll.BDP("45455RBH Muni","LQA_LIQUIDITY_SCORE")</f>
        <v>#N/A Requesting Data...</v>
      </c>
    </row>
    <row r="1084" spans="1:20" x14ac:dyDescent="0.25">
      <c r="A1084" t="str">
        <f>_xll.BDP("349515YX Muni","ID_CUSIP")</f>
        <v>#N/A Requesting Data...</v>
      </c>
      <c r="B1084" t="s">
        <v>287</v>
      </c>
      <c r="C1084" t="str">
        <f>_xll.BDP("349515YX Muni","INSURANCE_STATUS")</f>
        <v>#N/A Requesting Data...</v>
      </c>
      <c r="D1084" t="str">
        <f>_xll.BDP("349515YX Muni","STATE_CODE")</f>
        <v>#N/A Requesting Data...</v>
      </c>
      <c r="E1084" t="str">
        <f>_xll.BDP("349515YX Muni","COUNTY_LOCATION_ISSUER")</f>
        <v>#N/A Requesting Data...</v>
      </c>
      <c r="F1084" t="str">
        <f>_xll.BDP("349515YX Muni","DUR_ADJ_MID")</f>
        <v>#N/A Requesting Data...</v>
      </c>
      <c r="G1084" t="str">
        <f>_xll.BDP("349515YX Muni","SPREAD_AT_ISSUANCE_TO_WORST")</f>
        <v>#N/A Requesting Data...</v>
      </c>
      <c r="H1084" t="str">
        <f>_xll.BDP("349515YX Muni","ISSUE_DT")</f>
        <v>#N/A Requesting Data...</v>
      </c>
      <c r="I1084" t="str">
        <f>_xll.BDS("349515YX Muni","MUNI_PURPOSE_SCHED", "aggregate=y")</f>
        <v>#N/A Requesting Data...</v>
      </c>
      <c r="J1084" t="str">
        <f>_xll.BDP("349515YX Muni","CPN")</f>
        <v>#N/A Requesting Data...</v>
      </c>
      <c r="K1084" t="str">
        <f>_xll.BDP("349515YX Muni","MATURITY")</f>
        <v>#N/A Requesting Data...</v>
      </c>
      <c r="L1084">
        <v>940000</v>
      </c>
      <c r="M1084" t="str">
        <f>_xll.BDP("349515YX Muni","YIELD_ON_ISSUE_DATE")</f>
        <v>#N/A Requesting Data...</v>
      </c>
      <c r="N1084" t="str">
        <f>_xll.BDP("349515YX Muni","YTW_SPREAD_TO_MATURITY_AT_ISSU")</f>
        <v>#N/A Requesting Data...</v>
      </c>
      <c r="O1084" t="str">
        <f>_xll.BDP("349515YX Muni","BVAL_MID_YTM")</f>
        <v>#N/A Requesting Data...</v>
      </c>
      <c r="P1084" t="str">
        <f>_xll.BDP("349515YX Muni","MUNI_TAX_PROV")</f>
        <v>#N/A Requesting Data...</v>
      </c>
      <c r="Q1084" t="str">
        <f>_xll.BDP("349515YX Muni","MUNI_FED_TAX")</f>
        <v>#N/A Requesting Data...</v>
      </c>
      <c r="R1084" t="str">
        <f>_xll.BDP("349515YX Muni","MUNI_MSRB_VOLUME")</f>
        <v>#N/A Requesting Data...</v>
      </c>
      <c r="S1084" t="str">
        <f>_xll.BDP("349515YX Muni","BB_COMPOSITE")</f>
        <v>#N/A Requesting Data...</v>
      </c>
      <c r="T1084" t="str">
        <f>_xll.BDP("349515YX Muni","LQA_LIQUIDITY_SCORE")</f>
        <v>#N/A Requesting Data...</v>
      </c>
    </row>
    <row r="1085" spans="1:20" x14ac:dyDescent="0.25">
      <c r="A1085" t="str">
        <f>_xll.BDP("35138RAW Muni","ID_CUSIP")</f>
        <v>#N/A Requesting Data...</v>
      </c>
      <c r="B1085" t="s">
        <v>280</v>
      </c>
      <c r="C1085" t="str">
        <f>_xll.BDP("35138RAW Muni","INSURANCE_STATUS")</f>
        <v>#N/A Requesting Data...</v>
      </c>
      <c r="D1085" t="str">
        <f>_xll.BDP("35138RAW Muni","STATE_CODE")</f>
        <v>#N/A Requesting Data...</v>
      </c>
      <c r="E1085" t="str">
        <f>_xll.BDP("35138RAW Muni","COUNTY_LOCATION_ISSUER")</f>
        <v>#N/A Requesting Data...</v>
      </c>
      <c r="F1085" t="str">
        <f>_xll.BDP("35138RAW Muni","DUR_ADJ_MID")</f>
        <v>#N/A Requesting Data...</v>
      </c>
      <c r="G1085" t="str">
        <f>_xll.BDP("35138RAW Muni","SPREAD_AT_ISSUANCE_TO_WORST")</f>
        <v>#N/A Requesting Data...</v>
      </c>
      <c r="H1085" t="str">
        <f>_xll.BDP("35138RAW Muni","ISSUE_DT")</f>
        <v>#N/A Requesting Data...</v>
      </c>
      <c r="I1085" t="str">
        <f>_xll.BDS("35138RAW Muni","MUNI_PURPOSE_SCHED", "aggregate=y")</f>
        <v>#N/A Requesting Data...</v>
      </c>
      <c r="J1085" t="str">
        <f>_xll.BDP("35138RAW Muni","CPN")</f>
        <v>#N/A Requesting Data...</v>
      </c>
      <c r="K1085" t="str">
        <f>_xll.BDP("35138RAW Muni","MATURITY")</f>
        <v>#N/A Requesting Data...</v>
      </c>
      <c r="L1085">
        <v>80000</v>
      </c>
      <c r="M1085" t="str">
        <f>_xll.BDP("35138RAW Muni","YIELD_ON_ISSUE_DATE")</f>
        <v>#N/A Requesting Data...</v>
      </c>
      <c r="N1085" t="str">
        <f>_xll.BDP("35138RAW Muni","YTW_SPREAD_TO_MATURITY_AT_ISSU")</f>
        <v>#N/A Requesting Data...</v>
      </c>
      <c r="O1085" t="str">
        <f>_xll.BDP("35138RAW Muni","BVAL_MID_YTM")</f>
        <v>#N/A Requesting Data...</v>
      </c>
      <c r="P1085" t="str">
        <f>_xll.BDP("35138RAW Muni","MUNI_TAX_PROV")</f>
        <v>#N/A Requesting Data...</v>
      </c>
      <c r="Q1085" t="str">
        <f>_xll.BDP("35138RAW Muni","MUNI_FED_TAX")</f>
        <v>#N/A Requesting Data...</v>
      </c>
      <c r="R1085" t="str">
        <f>_xll.BDP("35138RAW Muni","MUNI_MSRB_VOLUME")</f>
        <v>#N/A Requesting Data...</v>
      </c>
      <c r="S1085" t="str">
        <f>_xll.BDP("35138RAW Muni","BB_COMPOSITE")</f>
        <v>#N/A Requesting Data...</v>
      </c>
      <c r="T1085" t="str">
        <f>_xll.BDP("35138RAW Muni","LQA_LIQUIDITY_SCORE")</f>
        <v>#N/A Requesting Data...</v>
      </c>
    </row>
    <row r="1086" spans="1:20" x14ac:dyDescent="0.25">
      <c r="A1086" t="str">
        <f>_xll.BDP("348815PA Muni","ID_CUSIP")</f>
        <v>#N/A Requesting Data...</v>
      </c>
      <c r="B1086" t="s">
        <v>276</v>
      </c>
      <c r="C1086" t="str">
        <f>_xll.BDP("348815PA Muni","INSURANCE_STATUS")</f>
        <v>#N/A Requesting Data...</v>
      </c>
      <c r="D1086" t="str">
        <f>_xll.BDP("348815PA Muni","STATE_CODE")</f>
        <v>#N/A Requesting Data...</v>
      </c>
      <c r="E1086" t="str">
        <f>_xll.BDP("348815PA Muni","COUNTY_LOCATION_ISSUER")</f>
        <v>#N/A Requesting Data...</v>
      </c>
      <c r="F1086" t="str">
        <f>_xll.BDP("348815PA Muni","DUR_ADJ_MID")</f>
        <v>#N/A Requesting Data...</v>
      </c>
      <c r="G1086" t="str">
        <f>_xll.BDP("348815PA Muni","SPREAD_AT_ISSUANCE_TO_WORST")</f>
        <v>#N/A Requesting Data...</v>
      </c>
      <c r="H1086" t="str">
        <f>_xll.BDP("348815PA Muni","ISSUE_DT")</f>
        <v>#N/A Requesting Data...</v>
      </c>
      <c r="I1086" t="str">
        <f>_xll.BDS("348815PA Muni","MUNI_PURPOSE_SCHED", "aggregate=y")</f>
        <v>#N/A Requesting Data...</v>
      </c>
      <c r="J1086" t="str">
        <f>_xll.BDP("348815PA Muni","CPN")</f>
        <v>#N/A Requesting Data...</v>
      </c>
      <c r="K1086" t="str">
        <f>_xll.BDP("348815PA Muni","MATURITY")</f>
        <v>#N/A Requesting Data...</v>
      </c>
      <c r="L1086">
        <v>4215000</v>
      </c>
      <c r="M1086" t="str">
        <f>_xll.BDP("348815PA Muni","YIELD_ON_ISSUE_DATE")</f>
        <v>#N/A Requesting Data...</v>
      </c>
      <c r="N1086" t="str">
        <f>_xll.BDP("348815PA Muni","YTW_SPREAD_TO_MATURITY_AT_ISSU")</f>
        <v>#N/A Requesting Data...</v>
      </c>
      <c r="O1086" t="str">
        <f>_xll.BDP("348815PA Muni","BVAL_MID_YTM")</f>
        <v>#N/A Requesting Data...</v>
      </c>
      <c r="P1086" t="str">
        <f>_xll.BDP("348815PA Muni","MUNI_TAX_PROV")</f>
        <v>#N/A Requesting Data...</v>
      </c>
      <c r="Q1086" t="str">
        <f>_xll.BDP("348815PA Muni","MUNI_FED_TAX")</f>
        <v>#N/A Requesting Data...</v>
      </c>
      <c r="R1086" t="str">
        <f>_xll.BDP("348815PA Muni","MUNI_MSRB_VOLUME")</f>
        <v>#N/A Requesting Data...</v>
      </c>
      <c r="S1086" t="str">
        <f>_xll.BDP("348815PA Muni","BB_COMPOSITE")</f>
        <v>#N/A Requesting Data...</v>
      </c>
      <c r="T1086" t="str">
        <f>_xll.BDP("348815PA Muni","LQA_LIQUIDITY_SCORE")</f>
        <v>#N/A Requesting Data...</v>
      </c>
    </row>
    <row r="1087" spans="1:20" x14ac:dyDescent="0.25">
      <c r="A1087" t="str">
        <f>_xll.BDP("348815PB Muni","ID_CUSIP")</f>
        <v>#N/A Requesting Data...</v>
      </c>
      <c r="B1087" t="s">
        <v>276</v>
      </c>
      <c r="C1087" t="str">
        <f>_xll.BDP("348815PB Muni","INSURANCE_STATUS")</f>
        <v>#N/A Requesting Data...</v>
      </c>
      <c r="D1087" t="str">
        <f>_xll.BDP("348815PB Muni","STATE_CODE")</f>
        <v>#N/A Requesting Data...</v>
      </c>
      <c r="E1087" t="str">
        <f>_xll.BDP("348815PB Muni","COUNTY_LOCATION_ISSUER")</f>
        <v>#N/A Requesting Data...</v>
      </c>
      <c r="F1087" t="str">
        <f>_xll.BDP("348815PB Muni","DUR_ADJ_MID")</f>
        <v>#N/A Requesting Data...</v>
      </c>
      <c r="G1087" t="str">
        <f>_xll.BDP("348815PB Muni","SPREAD_AT_ISSUANCE_TO_WORST")</f>
        <v>#N/A Requesting Data...</v>
      </c>
      <c r="H1087" t="str">
        <f>_xll.BDP("348815PB Muni","ISSUE_DT")</f>
        <v>#N/A Requesting Data...</v>
      </c>
      <c r="I1087" t="str">
        <f>_xll.BDS("348815PB Muni","MUNI_PURPOSE_SCHED", "aggregate=y")</f>
        <v>#N/A Requesting Data...</v>
      </c>
      <c r="J1087" t="str">
        <f>_xll.BDP("348815PB Muni","CPN")</f>
        <v>#N/A Requesting Data...</v>
      </c>
      <c r="K1087" t="str">
        <f>_xll.BDP("348815PB Muni","MATURITY")</f>
        <v>#N/A Requesting Data...</v>
      </c>
      <c r="L1087">
        <v>1880000</v>
      </c>
      <c r="M1087" t="str">
        <f>_xll.BDP("348815PB Muni","YIELD_ON_ISSUE_DATE")</f>
        <v>#N/A Requesting Data...</v>
      </c>
      <c r="N1087" t="str">
        <f>_xll.BDP("348815PB Muni","YTW_SPREAD_TO_MATURITY_AT_ISSU")</f>
        <v>#N/A Requesting Data...</v>
      </c>
      <c r="O1087" t="str">
        <f>_xll.BDP("348815PB Muni","BVAL_MID_YTM")</f>
        <v>#N/A Requesting Data...</v>
      </c>
      <c r="P1087" t="str">
        <f>_xll.BDP("348815PB Muni","MUNI_TAX_PROV")</f>
        <v>#N/A Requesting Data...</v>
      </c>
      <c r="Q1087" t="str">
        <f>_xll.BDP("348815PB Muni","MUNI_FED_TAX")</f>
        <v>#N/A Requesting Data...</v>
      </c>
      <c r="R1087" t="str">
        <f>_xll.BDP("348815PB Muni","MUNI_MSRB_VOLUME")</f>
        <v>#N/A Requesting Data...</v>
      </c>
      <c r="S1087" t="str">
        <f>_xll.BDP("348815PB Muni","BB_COMPOSITE")</f>
        <v>#N/A Requesting Data...</v>
      </c>
      <c r="T1087" t="str">
        <f>_xll.BDP("348815PB Muni","LQA_LIQUIDITY_SCORE")</f>
        <v>#N/A Requesting Data...</v>
      </c>
    </row>
    <row r="1088" spans="1:20" x14ac:dyDescent="0.25">
      <c r="A1088" t="str">
        <f>_xll.BDP("417246AD Muni","ID_CUSIP")</f>
        <v>#N/A Requesting Data...</v>
      </c>
      <c r="B1088" t="s">
        <v>286</v>
      </c>
      <c r="C1088" t="str">
        <f>_xll.BDP("417246AD Muni","INSURANCE_STATUS")</f>
        <v>#N/A Requesting Data...</v>
      </c>
      <c r="D1088" t="str">
        <f>_xll.BDP("417246AD Muni","STATE_CODE")</f>
        <v>#N/A Requesting Data...</v>
      </c>
      <c r="E1088" t="str">
        <f>_xll.BDP("417246AD Muni","COUNTY_LOCATION_ISSUER")</f>
        <v>#N/A Requesting Data...</v>
      </c>
      <c r="F1088" t="str">
        <f>_xll.BDP("417246AD Muni","DUR_ADJ_MID")</f>
        <v>#N/A Requesting Data...</v>
      </c>
      <c r="G1088" t="str">
        <f>_xll.BDP("417246AD Muni","SPREAD_AT_ISSUANCE_TO_WORST")</f>
        <v>#N/A Requesting Data...</v>
      </c>
      <c r="H1088" t="str">
        <f>_xll.BDP("417246AD Muni","ISSUE_DT")</f>
        <v>#N/A Requesting Data...</v>
      </c>
      <c r="I1088" t="str">
        <f>_xll.BDS("417246AD Muni","MUNI_PURPOSE_SCHED", "aggregate=y")</f>
        <v>#N/A Requesting Data...</v>
      </c>
      <c r="J1088" t="str">
        <f>_xll.BDP("417246AD Muni","CPN")</f>
        <v>#N/A Requesting Data...</v>
      </c>
      <c r="K1088" t="str">
        <f>_xll.BDP("417246AD Muni","MATURITY")</f>
        <v>#N/A Requesting Data...</v>
      </c>
      <c r="L1088">
        <v>440000</v>
      </c>
      <c r="M1088" t="str">
        <f>_xll.BDP("417246AD Muni","YIELD_ON_ISSUE_DATE")</f>
        <v>#N/A Requesting Data...</v>
      </c>
      <c r="N1088" t="str">
        <f>_xll.BDP("417246AD Muni","YTW_SPREAD_TO_MATURITY_AT_ISSU")</f>
        <v>#N/A Requesting Data...</v>
      </c>
      <c r="O1088" t="str">
        <f>_xll.BDP("417246AD Muni","BVAL_MID_YTM")</f>
        <v>#N/A Requesting Data...</v>
      </c>
      <c r="P1088" t="str">
        <f>_xll.BDP("417246AD Muni","MUNI_TAX_PROV")</f>
        <v>#N/A Requesting Data...</v>
      </c>
      <c r="Q1088" t="str">
        <f>_xll.BDP("417246AD Muni","MUNI_FED_TAX")</f>
        <v>#N/A Requesting Data...</v>
      </c>
      <c r="R1088" t="str">
        <f>_xll.BDP("417246AD Muni","MUNI_MSRB_VOLUME")</f>
        <v>#N/A Requesting Data...</v>
      </c>
      <c r="S1088" t="str">
        <f>_xll.BDP("417246AD Muni","BB_COMPOSITE")</f>
        <v>#N/A Requesting Data...</v>
      </c>
      <c r="T1088" t="str">
        <f>_xll.BDP("417246AD Muni","LQA_LIQUIDITY_SCORE")</f>
        <v>#N/A Requesting Data...</v>
      </c>
    </row>
    <row r="1089" spans="1:20" x14ac:dyDescent="0.25">
      <c r="A1089" t="str">
        <f>_xll.BDP("417246AE Muni","ID_CUSIP")</f>
        <v>#N/A Requesting Data...</v>
      </c>
      <c r="B1089" t="s">
        <v>286</v>
      </c>
      <c r="C1089" t="str">
        <f>_xll.BDP("417246AE Muni","INSURANCE_STATUS")</f>
        <v>#N/A Requesting Data...</v>
      </c>
      <c r="D1089" t="str">
        <f>_xll.BDP("417246AE Muni","STATE_CODE")</f>
        <v>#N/A Requesting Data...</v>
      </c>
      <c r="E1089" t="str">
        <f>_xll.BDP("417246AE Muni","COUNTY_LOCATION_ISSUER")</f>
        <v>#N/A Requesting Data...</v>
      </c>
      <c r="F1089" t="str">
        <f>_xll.BDP("417246AE Muni","DUR_ADJ_MID")</f>
        <v>#N/A Requesting Data...</v>
      </c>
      <c r="G1089" t="str">
        <f>_xll.BDP("417246AE Muni","SPREAD_AT_ISSUANCE_TO_WORST")</f>
        <v>#N/A Requesting Data...</v>
      </c>
      <c r="H1089" t="str">
        <f>_xll.BDP("417246AE Muni","ISSUE_DT")</f>
        <v>#N/A Requesting Data...</v>
      </c>
      <c r="I1089" t="str">
        <f>_xll.BDS("417246AE Muni","MUNI_PURPOSE_SCHED", "aggregate=y")</f>
        <v>#N/A Requesting Data...</v>
      </c>
      <c r="J1089" t="str">
        <f>_xll.BDP("417246AE Muni","CPN")</f>
        <v>#N/A Requesting Data...</v>
      </c>
      <c r="K1089" t="str">
        <f>_xll.BDP("417246AE Muni","MATURITY")</f>
        <v>#N/A Requesting Data...</v>
      </c>
      <c r="L1089">
        <v>460000</v>
      </c>
      <c r="M1089" t="str">
        <f>_xll.BDP("417246AE Muni","YIELD_ON_ISSUE_DATE")</f>
        <v>#N/A Requesting Data...</v>
      </c>
      <c r="N1089" t="str">
        <f>_xll.BDP("417246AE Muni","YTW_SPREAD_TO_MATURITY_AT_ISSU")</f>
        <v>#N/A Requesting Data...</v>
      </c>
      <c r="O1089" t="str">
        <f>_xll.BDP("417246AE Muni","BVAL_MID_YTM")</f>
        <v>#N/A Requesting Data...</v>
      </c>
      <c r="P1089" t="str">
        <f>_xll.BDP("417246AE Muni","MUNI_TAX_PROV")</f>
        <v>#N/A Requesting Data...</v>
      </c>
      <c r="Q1089" t="str">
        <f>_xll.BDP("417246AE Muni","MUNI_FED_TAX")</f>
        <v>#N/A Requesting Data...</v>
      </c>
      <c r="R1089" t="str">
        <f>_xll.BDP("417246AE Muni","MUNI_MSRB_VOLUME")</f>
        <v>#N/A Requesting Data...</v>
      </c>
      <c r="S1089" t="str">
        <f>_xll.BDP("417246AE Muni","BB_COMPOSITE")</f>
        <v>#N/A Requesting Data...</v>
      </c>
      <c r="T1089" t="str">
        <f>_xll.BDP("417246AE Muni","LQA_LIQUIDITY_SCORE")</f>
        <v>#N/A Requesting Data...</v>
      </c>
    </row>
    <row r="1090" spans="1:20" x14ac:dyDescent="0.25">
      <c r="A1090" t="str">
        <f>_xll.BDP("407846DW Muni","ID_CUSIP")</f>
        <v>#N/A Requesting Data...</v>
      </c>
      <c r="B1090" t="s">
        <v>89</v>
      </c>
      <c r="C1090" t="str">
        <f>_xll.BDP("407846DW Muni","INSURANCE_STATUS")</f>
        <v>#N/A Requesting Data...</v>
      </c>
      <c r="D1090" t="str">
        <f>_xll.BDP("407846DW Muni","STATE_CODE")</f>
        <v>#N/A Requesting Data...</v>
      </c>
      <c r="E1090" t="str">
        <f>_xll.BDP("407846DW Muni","COUNTY_LOCATION_ISSUER")</f>
        <v>#N/A Requesting Data...</v>
      </c>
      <c r="F1090" t="str">
        <f>_xll.BDP("407846DW Muni","DUR_ADJ_MID")</f>
        <v>#N/A Requesting Data...</v>
      </c>
      <c r="G1090" t="str">
        <f>_xll.BDP("407846DW Muni","SPREAD_AT_ISSUANCE_TO_WORST")</f>
        <v>#N/A Requesting Data...</v>
      </c>
      <c r="H1090" t="str">
        <f>_xll.BDP("407846DW Muni","ISSUE_DT")</f>
        <v>#N/A Requesting Data...</v>
      </c>
      <c r="I1090" t="str">
        <f>_xll.BDS("407846DW Muni","MUNI_PURPOSE_SCHED", "aggregate=y")</f>
        <v>#N/A Requesting Data...</v>
      </c>
      <c r="J1090" t="str">
        <f>_xll.BDP("407846DW Muni","CPN")</f>
        <v>#N/A Requesting Data...</v>
      </c>
      <c r="K1090" t="str">
        <f>_xll.BDP("407846DW Muni","MATURITY")</f>
        <v>#N/A Requesting Data...</v>
      </c>
      <c r="L1090">
        <v>60000</v>
      </c>
      <c r="M1090" t="str">
        <f>_xll.BDP("407846DW Muni","YIELD_ON_ISSUE_DATE")</f>
        <v>#N/A Requesting Data...</v>
      </c>
      <c r="N1090" t="str">
        <f>_xll.BDP("407846DW Muni","YTW_SPREAD_TO_MATURITY_AT_ISSU")</f>
        <v>#N/A Requesting Data...</v>
      </c>
      <c r="O1090" t="str">
        <f>_xll.BDP("407846DW Muni","BVAL_MID_YTM")</f>
        <v>#N/A Requesting Data...</v>
      </c>
      <c r="P1090" t="str">
        <f>_xll.BDP("407846DW Muni","MUNI_TAX_PROV")</f>
        <v>#N/A Requesting Data...</v>
      </c>
      <c r="Q1090" t="str">
        <f>_xll.BDP("407846DW Muni","MUNI_FED_TAX")</f>
        <v>#N/A Requesting Data...</v>
      </c>
      <c r="R1090" t="str">
        <f>_xll.BDP("407846DW Muni","MUNI_MSRB_VOLUME")</f>
        <v>#N/A Requesting Data...</v>
      </c>
      <c r="S1090" t="str">
        <f>_xll.BDP("407846DW Muni","BB_COMPOSITE")</f>
        <v>#N/A Requesting Data...</v>
      </c>
      <c r="T1090" t="str">
        <f>_xll.BDP("407846DW Muni","LQA_LIQUIDITY_SCORE")</f>
        <v>#N/A Requesting Data...</v>
      </c>
    </row>
    <row r="1091" spans="1:20" x14ac:dyDescent="0.25">
      <c r="A1091" t="str">
        <f>_xll.BDP("407846DZ Muni","ID_CUSIP")</f>
        <v>#N/A Requesting Data...</v>
      </c>
      <c r="B1091" t="s">
        <v>89</v>
      </c>
      <c r="C1091" t="str">
        <f>_xll.BDP("407846DZ Muni","INSURANCE_STATUS")</f>
        <v>#N/A Requesting Data...</v>
      </c>
      <c r="D1091" t="str">
        <f>_xll.BDP("407846DZ Muni","STATE_CODE")</f>
        <v>#N/A Requesting Data...</v>
      </c>
      <c r="E1091" t="str">
        <f>_xll.BDP("407846DZ Muni","COUNTY_LOCATION_ISSUER")</f>
        <v>#N/A Requesting Data...</v>
      </c>
      <c r="F1091" t="str">
        <f>_xll.BDP("407846DZ Muni","DUR_ADJ_MID")</f>
        <v>#N/A Requesting Data...</v>
      </c>
      <c r="G1091" t="str">
        <f>_xll.BDP("407846DZ Muni","SPREAD_AT_ISSUANCE_TO_WORST")</f>
        <v>#N/A Requesting Data...</v>
      </c>
      <c r="H1091" t="str">
        <f>_xll.BDP("407846DZ Muni","ISSUE_DT")</f>
        <v>#N/A Requesting Data...</v>
      </c>
      <c r="I1091" t="str">
        <f>_xll.BDS("407846DZ Muni","MUNI_PURPOSE_SCHED", "aggregate=y")</f>
        <v>#N/A Requesting Data...</v>
      </c>
      <c r="J1091" t="str">
        <f>_xll.BDP("407846DZ Muni","CPN")</f>
        <v>#N/A Requesting Data...</v>
      </c>
      <c r="K1091" t="str">
        <f>_xll.BDP("407846DZ Muni","MATURITY")</f>
        <v>#N/A Requesting Data...</v>
      </c>
      <c r="L1091">
        <v>70000</v>
      </c>
      <c r="M1091" t="str">
        <f>_xll.BDP("407846DZ Muni","YIELD_ON_ISSUE_DATE")</f>
        <v>#N/A Requesting Data...</v>
      </c>
      <c r="N1091" t="str">
        <f>_xll.BDP("407846DZ Muni","YTW_SPREAD_TO_MATURITY_AT_ISSU")</f>
        <v>#N/A Requesting Data...</v>
      </c>
      <c r="O1091" t="str">
        <f>_xll.BDP("407846DZ Muni","BVAL_MID_YTM")</f>
        <v>#N/A Requesting Data...</v>
      </c>
      <c r="P1091" t="str">
        <f>_xll.BDP("407846DZ Muni","MUNI_TAX_PROV")</f>
        <v>#N/A Requesting Data...</v>
      </c>
      <c r="Q1091" t="str">
        <f>_xll.BDP("407846DZ Muni","MUNI_FED_TAX")</f>
        <v>#N/A Requesting Data...</v>
      </c>
      <c r="R1091" t="str">
        <f>_xll.BDP("407846DZ Muni","MUNI_MSRB_VOLUME")</f>
        <v>#N/A Requesting Data...</v>
      </c>
      <c r="S1091" t="str">
        <f>_xll.BDP("407846DZ Muni","BB_COMPOSITE")</f>
        <v>#N/A Requesting Data...</v>
      </c>
      <c r="T1091" t="str">
        <f>_xll.BDP("407846DZ Muni","LQA_LIQUIDITY_SCORE")</f>
        <v>#N/A Requesting Data...</v>
      </c>
    </row>
    <row r="1092" spans="1:20" x14ac:dyDescent="0.25">
      <c r="A1092" t="str">
        <f>_xll.BDP("269425EW Muni","ID_CUSIP")</f>
        <v>#N/A Requesting Data...</v>
      </c>
      <c r="B1092" t="s">
        <v>277</v>
      </c>
      <c r="C1092" t="str">
        <f>_xll.BDP("269425EW Muni","INSURANCE_STATUS")</f>
        <v>#N/A Requesting Data...</v>
      </c>
      <c r="D1092" t="str">
        <f>_xll.BDP("269425EW Muni","STATE_CODE")</f>
        <v>#N/A Requesting Data...</v>
      </c>
      <c r="E1092" t="str">
        <f>_xll.BDP("269425EW Muni","COUNTY_LOCATION_ISSUER")</f>
        <v>#N/A Requesting Data...</v>
      </c>
      <c r="F1092" t="str">
        <f>_xll.BDP("269425EW Muni","DUR_ADJ_MID")</f>
        <v>#N/A Requesting Data...</v>
      </c>
      <c r="G1092" t="str">
        <f>_xll.BDP("269425EW Muni","SPREAD_AT_ISSUANCE_TO_WORST")</f>
        <v>#N/A Requesting Data...</v>
      </c>
      <c r="H1092" t="str">
        <f>_xll.BDP("269425EW Muni","ISSUE_DT")</f>
        <v>#N/A Requesting Data...</v>
      </c>
      <c r="I1092" t="str">
        <f>_xll.BDS("269425EW Muni","MUNI_PURPOSE_SCHED", "aggregate=y")</f>
        <v>#N/A Requesting Data...</v>
      </c>
      <c r="J1092" t="str">
        <f>_xll.BDP("269425EW Muni","CPN")</f>
        <v>#N/A Requesting Data...</v>
      </c>
      <c r="K1092" t="str">
        <f>_xll.BDP("269425EW Muni","MATURITY")</f>
        <v>#N/A Requesting Data...</v>
      </c>
      <c r="L1092">
        <v>50000</v>
      </c>
      <c r="M1092" t="str">
        <f>_xll.BDP("269425EW Muni","YIELD_ON_ISSUE_DATE")</f>
        <v>#N/A Requesting Data...</v>
      </c>
      <c r="N1092" t="str">
        <f>_xll.BDP("269425EW Muni","YTW_SPREAD_TO_MATURITY_AT_ISSU")</f>
        <v>#N/A Requesting Data...</v>
      </c>
      <c r="O1092" t="str">
        <f>_xll.BDP("269425EW Muni","BVAL_MID_YTM")</f>
        <v>#N/A Requesting Data...</v>
      </c>
      <c r="P1092" t="str">
        <f>_xll.BDP("269425EW Muni","MUNI_TAX_PROV")</f>
        <v>#N/A Requesting Data...</v>
      </c>
      <c r="Q1092" t="str">
        <f>_xll.BDP("269425EW Muni","MUNI_FED_TAX")</f>
        <v>#N/A Requesting Data...</v>
      </c>
      <c r="R1092" t="str">
        <f>_xll.BDP("269425EW Muni","MUNI_MSRB_VOLUME")</f>
        <v>#N/A Requesting Data...</v>
      </c>
      <c r="S1092" t="str">
        <f>_xll.BDP("269425EW Muni","BB_COMPOSITE")</f>
        <v>#N/A Requesting Data...</v>
      </c>
      <c r="T1092" t="str">
        <f>_xll.BDP("269425EW Muni","LQA_LIQUIDITY_SCORE")</f>
        <v>#N/A Requesting Data...</v>
      </c>
    </row>
    <row r="1093" spans="1:20" x14ac:dyDescent="0.25">
      <c r="A1093" t="str">
        <f>_xll.BDP("269425EY Muni","ID_CUSIP")</f>
        <v>#N/A Requesting Data...</v>
      </c>
      <c r="B1093" t="s">
        <v>277</v>
      </c>
      <c r="C1093" t="str">
        <f>_xll.BDP("269425EY Muni","INSURANCE_STATUS")</f>
        <v>#N/A Requesting Data...</v>
      </c>
      <c r="D1093" t="str">
        <f>_xll.BDP("269425EY Muni","STATE_CODE")</f>
        <v>#N/A Requesting Data...</v>
      </c>
      <c r="E1093" t="str">
        <f>_xll.BDP("269425EY Muni","COUNTY_LOCATION_ISSUER")</f>
        <v>#N/A Requesting Data...</v>
      </c>
      <c r="F1093" t="str">
        <f>_xll.BDP("269425EY Muni","DUR_ADJ_MID")</f>
        <v>#N/A Requesting Data...</v>
      </c>
      <c r="G1093" t="str">
        <f>_xll.BDP("269425EY Muni","SPREAD_AT_ISSUANCE_TO_WORST")</f>
        <v>#N/A Requesting Data...</v>
      </c>
      <c r="H1093" t="str">
        <f>_xll.BDP("269425EY Muni","ISSUE_DT")</f>
        <v>#N/A Requesting Data...</v>
      </c>
      <c r="I1093" t="str">
        <f>_xll.BDS("269425EY Muni","MUNI_PURPOSE_SCHED", "aggregate=y")</f>
        <v>#N/A Requesting Data...</v>
      </c>
      <c r="J1093" t="str">
        <f>_xll.BDP("269425EY Muni","CPN")</f>
        <v>#N/A Requesting Data...</v>
      </c>
      <c r="K1093" t="str">
        <f>_xll.BDP("269425EY Muni","MATURITY")</f>
        <v>#N/A Requesting Data...</v>
      </c>
      <c r="L1093">
        <v>50000</v>
      </c>
      <c r="M1093" t="str">
        <f>_xll.BDP("269425EY Muni","YIELD_ON_ISSUE_DATE")</f>
        <v>#N/A Requesting Data...</v>
      </c>
      <c r="N1093" t="str">
        <f>_xll.BDP("269425EY Muni","YTW_SPREAD_TO_MATURITY_AT_ISSU")</f>
        <v>#N/A Requesting Data...</v>
      </c>
      <c r="O1093" t="str">
        <f>_xll.BDP("269425EY Muni","BVAL_MID_YTM")</f>
        <v>#N/A Requesting Data...</v>
      </c>
      <c r="P1093" t="str">
        <f>_xll.BDP("269425EY Muni","MUNI_TAX_PROV")</f>
        <v>#N/A Requesting Data...</v>
      </c>
      <c r="Q1093" t="str">
        <f>_xll.BDP("269425EY Muni","MUNI_FED_TAX")</f>
        <v>#N/A Requesting Data...</v>
      </c>
      <c r="R1093" t="str">
        <f>_xll.BDP("269425EY Muni","MUNI_MSRB_VOLUME")</f>
        <v>#N/A Requesting Data...</v>
      </c>
      <c r="S1093" t="str">
        <f>_xll.BDP("269425EY Muni","BB_COMPOSITE")</f>
        <v>#N/A Requesting Data...</v>
      </c>
      <c r="T1093" t="str">
        <f>_xll.BDP("269425EY Muni","LQA_LIQUIDITY_SCORE")</f>
        <v>#N/A Requesting Data...</v>
      </c>
    </row>
    <row r="1094" spans="1:20" x14ac:dyDescent="0.25">
      <c r="A1094" t="str">
        <f>_xll.BDP("269425EV Muni","ID_CUSIP")</f>
        <v>#N/A Requesting Data...</v>
      </c>
      <c r="B1094" t="s">
        <v>277</v>
      </c>
      <c r="C1094" t="str">
        <f>_xll.BDP("269425EV Muni","INSURANCE_STATUS")</f>
        <v>#N/A Requesting Data...</v>
      </c>
      <c r="D1094" t="str">
        <f>_xll.BDP("269425EV Muni","STATE_CODE")</f>
        <v>#N/A Requesting Data...</v>
      </c>
      <c r="E1094" t="str">
        <f>_xll.BDP("269425EV Muni","COUNTY_LOCATION_ISSUER")</f>
        <v>#N/A Requesting Data...</v>
      </c>
      <c r="F1094" t="str">
        <f>_xll.BDP("269425EV Muni","DUR_ADJ_MID")</f>
        <v>#N/A Requesting Data...</v>
      </c>
      <c r="G1094" t="str">
        <f>_xll.BDP("269425EV Muni","SPREAD_AT_ISSUANCE_TO_WORST")</f>
        <v>#N/A Requesting Data...</v>
      </c>
      <c r="H1094" t="str">
        <f>_xll.BDP("269425EV Muni","ISSUE_DT")</f>
        <v>#N/A Requesting Data...</v>
      </c>
      <c r="I1094" t="str">
        <f>_xll.BDS("269425EV Muni","MUNI_PURPOSE_SCHED", "aggregate=y")</f>
        <v>#N/A Requesting Data...</v>
      </c>
      <c r="J1094" t="str">
        <f>_xll.BDP("269425EV Muni","CPN")</f>
        <v>#N/A Requesting Data...</v>
      </c>
      <c r="K1094" t="str">
        <f>_xll.BDP("269425EV Muni","MATURITY")</f>
        <v>#N/A Requesting Data...</v>
      </c>
      <c r="L1094">
        <v>50000</v>
      </c>
      <c r="M1094" t="str">
        <f>_xll.BDP("269425EV Muni","YIELD_ON_ISSUE_DATE")</f>
        <v>#N/A Requesting Data...</v>
      </c>
      <c r="N1094" t="str">
        <f>_xll.BDP("269425EV Muni","YTW_SPREAD_TO_MATURITY_AT_ISSU")</f>
        <v>#N/A Requesting Data...</v>
      </c>
      <c r="O1094" t="str">
        <f>_xll.BDP("269425EV Muni","BVAL_MID_YTM")</f>
        <v>#N/A Requesting Data...</v>
      </c>
      <c r="P1094" t="str">
        <f>_xll.BDP("269425EV Muni","MUNI_TAX_PROV")</f>
        <v>#N/A Requesting Data...</v>
      </c>
      <c r="Q1094" t="str">
        <f>_xll.BDP("269425EV Muni","MUNI_FED_TAX")</f>
        <v>#N/A Requesting Data...</v>
      </c>
      <c r="R1094" t="str">
        <f>_xll.BDP("269425EV Muni","MUNI_MSRB_VOLUME")</f>
        <v>#N/A Requesting Data...</v>
      </c>
      <c r="S1094" t="str">
        <f>_xll.BDP("269425EV Muni","BB_COMPOSITE")</f>
        <v>#N/A Requesting Data...</v>
      </c>
      <c r="T1094" t="str">
        <f>_xll.BDP("269425EV Muni","LQA_LIQUIDITY_SCORE")</f>
        <v>#N/A Requesting Data...</v>
      </c>
    </row>
    <row r="1095" spans="1:20" x14ac:dyDescent="0.25">
      <c r="A1095" t="str">
        <f>_xll.BDP("269425EZ Muni","ID_CUSIP")</f>
        <v>#N/A Requesting Data...</v>
      </c>
      <c r="B1095" t="s">
        <v>277</v>
      </c>
      <c r="C1095" t="str">
        <f>_xll.BDP("269425EZ Muni","INSURANCE_STATUS")</f>
        <v>#N/A Requesting Data...</v>
      </c>
      <c r="D1095" t="str">
        <f>_xll.BDP("269425EZ Muni","STATE_CODE")</f>
        <v>#N/A Requesting Data...</v>
      </c>
      <c r="E1095" t="str">
        <f>_xll.BDP("269425EZ Muni","COUNTY_LOCATION_ISSUER")</f>
        <v>#N/A Requesting Data...</v>
      </c>
      <c r="F1095" t="str">
        <f>_xll.BDP("269425EZ Muni","DUR_ADJ_MID")</f>
        <v>#N/A Requesting Data...</v>
      </c>
      <c r="G1095" t="str">
        <f>_xll.BDP("269425EZ Muni","SPREAD_AT_ISSUANCE_TO_WORST")</f>
        <v>#N/A Requesting Data...</v>
      </c>
      <c r="H1095" t="str">
        <f>_xll.BDP("269425EZ Muni","ISSUE_DT")</f>
        <v>#N/A Requesting Data...</v>
      </c>
      <c r="I1095" t="str">
        <f>_xll.BDS("269425EZ Muni","MUNI_PURPOSE_SCHED", "aggregate=y")</f>
        <v>#N/A Requesting Data...</v>
      </c>
      <c r="J1095" t="str">
        <f>_xll.BDP("269425EZ Muni","CPN")</f>
        <v>#N/A Requesting Data...</v>
      </c>
      <c r="K1095" t="str">
        <f>_xll.BDP("269425EZ Muni","MATURITY")</f>
        <v>#N/A Requesting Data...</v>
      </c>
      <c r="L1095">
        <v>50000</v>
      </c>
      <c r="M1095" t="str">
        <f>_xll.BDP("269425EZ Muni","YIELD_ON_ISSUE_DATE")</f>
        <v>#N/A Requesting Data...</v>
      </c>
      <c r="N1095" t="str">
        <f>_xll.BDP("269425EZ Muni","YTW_SPREAD_TO_MATURITY_AT_ISSU")</f>
        <v>#N/A Requesting Data...</v>
      </c>
      <c r="O1095" t="str">
        <f>_xll.BDP("269425EZ Muni","BVAL_MID_YTM")</f>
        <v>#N/A Requesting Data...</v>
      </c>
      <c r="P1095" t="str">
        <f>_xll.BDP("269425EZ Muni","MUNI_TAX_PROV")</f>
        <v>#N/A Requesting Data...</v>
      </c>
      <c r="Q1095" t="str">
        <f>_xll.BDP("269425EZ Muni","MUNI_FED_TAX")</f>
        <v>#N/A Requesting Data...</v>
      </c>
      <c r="R1095" t="str">
        <f>_xll.BDP("269425EZ Muni","MUNI_MSRB_VOLUME")</f>
        <v>#N/A Requesting Data...</v>
      </c>
      <c r="S1095" t="str">
        <f>_xll.BDP("269425EZ Muni","BB_COMPOSITE")</f>
        <v>#N/A Requesting Data...</v>
      </c>
      <c r="T1095" t="str">
        <f>_xll.BDP("269425EZ Muni","LQA_LIQUIDITY_SCORE")</f>
        <v>#N/A Requesting Data...</v>
      </c>
    </row>
    <row r="1096" spans="1:20" x14ac:dyDescent="0.25">
      <c r="A1096" t="str">
        <f>_xll.BDP("412487FR Muni","ID_CUSIP")</f>
        <v>#N/A Requesting Data...</v>
      </c>
      <c r="B1096" t="s">
        <v>288</v>
      </c>
      <c r="C1096" t="str">
        <f>_xll.BDP("412487FR Muni","INSURANCE_STATUS")</f>
        <v>#N/A Requesting Data...</v>
      </c>
      <c r="D1096" t="str">
        <f>_xll.BDP("412487FR Muni","STATE_CODE")</f>
        <v>#N/A Requesting Data...</v>
      </c>
      <c r="E1096" t="str">
        <f>_xll.BDP("412487FR Muni","COUNTY_LOCATION_ISSUER")</f>
        <v>#N/A Requesting Data...</v>
      </c>
      <c r="F1096" t="str">
        <f>_xll.BDP("412487FR Muni","DUR_ADJ_MID")</f>
        <v>#N/A Requesting Data...</v>
      </c>
      <c r="G1096" t="str">
        <f>_xll.BDP("412487FR Muni","SPREAD_AT_ISSUANCE_TO_WORST")</f>
        <v>#N/A Requesting Data...</v>
      </c>
      <c r="H1096" t="str">
        <f>_xll.BDP("412487FR Muni","ISSUE_DT")</f>
        <v>#N/A Requesting Data...</v>
      </c>
      <c r="I1096" t="str">
        <f>_xll.BDS("412487FR Muni","MUNI_PURPOSE_SCHED", "aggregate=y")</f>
        <v>#N/A Requesting Data...</v>
      </c>
      <c r="J1096" t="str">
        <f>_xll.BDP("412487FR Muni","CPN")</f>
        <v>#N/A Requesting Data...</v>
      </c>
      <c r="K1096" t="str">
        <f>_xll.BDP("412487FR Muni","MATURITY")</f>
        <v>#N/A Requesting Data...</v>
      </c>
      <c r="L1096">
        <v>2430000</v>
      </c>
      <c r="M1096" t="str">
        <f>_xll.BDP("412487FR Muni","YIELD_ON_ISSUE_DATE")</f>
        <v>#N/A Requesting Data...</v>
      </c>
      <c r="N1096" t="str">
        <f>_xll.BDP("412487FR Muni","YTW_SPREAD_TO_MATURITY_AT_ISSU")</f>
        <v>#N/A Requesting Data...</v>
      </c>
      <c r="O1096" t="str">
        <f>_xll.BDP("412487FR Muni","BVAL_MID_YTM")</f>
        <v>#N/A Requesting Data...</v>
      </c>
      <c r="P1096" t="str">
        <f>_xll.BDP("412487FR Muni","MUNI_TAX_PROV")</f>
        <v>#N/A Requesting Data...</v>
      </c>
      <c r="Q1096" t="str">
        <f>_xll.BDP("412487FR Muni","MUNI_FED_TAX")</f>
        <v>#N/A Requesting Data...</v>
      </c>
      <c r="R1096" t="str">
        <f>_xll.BDP("412487FR Muni","MUNI_MSRB_VOLUME")</f>
        <v>#N/A Requesting Data...</v>
      </c>
      <c r="S1096" t="str">
        <f>_xll.BDP("412487FR Muni","BB_COMPOSITE")</f>
        <v>#N/A Requesting Data...</v>
      </c>
      <c r="T1096" t="str">
        <f>_xll.BDP("412487FR Muni","LQA_LIQUIDITY_SCORE")</f>
        <v>#N/A Requesting Data...</v>
      </c>
    </row>
    <row r="1097" spans="1:20" x14ac:dyDescent="0.25">
      <c r="A1097" t="str">
        <f>_xll.BDP("412487FS Muni","ID_CUSIP")</f>
        <v>#N/A Requesting Data...</v>
      </c>
      <c r="B1097" t="s">
        <v>288</v>
      </c>
      <c r="C1097" t="str">
        <f>_xll.BDP("412487FS Muni","INSURANCE_STATUS")</f>
        <v>#N/A Requesting Data...</v>
      </c>
      <c r="D1097" t="str">
        <f>_xll.BDP("412487FS Muni","STATE_CODE")</f>
        <v>#N/A Requesting Data...</v>
      </c>
      <c r="E1097" t="str">
        <f>_xll.BDP("412487FS Muni","COUNTY_LOCATION_ISSUER")</f>
        <v>#N/A Requesting Data...</v>
      </c>
      <c r="F1097" t="str">
        <f>_xll.BDP("412487FS Muni","DUR_ADJ_MID")</f>
        <v>#N/A Requesting Data...</v>
      </c>
      <c r="G1097" t="str">
        <f>_xll.BDP("412487FS Muni","SPREAD_AT_ISSUANCE_TO_WORST")</f>
        <v>#N/A Requesting Data...</v>
      </c>
      <c r="H1097" t="str">
        <f>_xll.BDP("412487FS Muni","ISSUE_DT")</f>
        <v>#N/A Requesting Data...</v>
      </c>
      <c r="I1097" t="str">
        <f>_xll.BDS("412487FS Muni","MUNI_PURPOSE_SCHED", "aggregate=y")</f>
        <v>#N/A Requesting Data...</v>
      </c>
      <c r="J1097" t="str">
        <f>_xll.BDP("412487FS Muni","CPN")</f>
        <v>#N/A Requesting Data...</v>
      </c>
      <c r="K1097" t="str">
        <f>_xll.BDP("412487FS Muni","MATURITY")</f>
        <v>#N/A Requesting Data...</v>
      </c>
      <c r="L1097">
        <v>2445000</v>
      </c>
      <c r="M1097" t="str">
        <f>_xll.BDP("412487FS Muni","YIELD_ON_ISSUE_DATE")</f>
        <v>#N/A Requesting Data...</v>
      </c>
      <c r="N1097" t="str">
        <f>_xll.BDP("412487FS Muni","YTW_SPREAD_TO_MATURITY_AT_ISSU")</f>
        <v>#N/A Requesting Data...</v>
      </c>
      <c r="O1097" t="str">
        <f>_xll.BDP("412487FS Muni","BVAL_MID_YTM")</f>
        <v>#N/A Requesting Data...</v>
      </c>
      <c r="P1097" t="str">
        <f>_xll.BDP("412487FS Muni","MUNI_TAX_PROV")</f>
        <v>#N/A Requesting Data...</v>
      </c>
      <c r="Q1097" t="str">
        <f>_xll.BDP("412487FS Muni","MUNI_FED_TAX")</f>
        <v>#N/A Requesting Data...</v>
      </c>
      <c r="R1097" t="str">
        <f>_xll.BDP("412487FS Muni","MUNI_MSRB_VOLUME")</f>
        <v>#N/A Requesting Data...</v>
      </c>
      <c r="S1097" t="str">
        <f>_xll.BDP("412487FS Muni","BB_COMPOSITE")</f>
        <v>#N/A Requesting Data...</v>
      </c>
      <c r="T1097" t="str">
        <f>_xll.BDP("412487FS Muni","LQA_LIQUIDITY_SCORE")</f>
        <v>#N/A Requesting Data...</v>
      </c>
    </row>
    <row r="1098" spans="1:20" x14ac:dyDescent="0.25">
      <c r="A1098" t="str">
        <f>_xll.BDP("271470LL Muni","ID_CUSIP")</f>
        <v>#N/A Requesting Data...</v>
      </c>
      <c r="B1098" t="s">
        <v>112</v>
      </c>
      <c r="C1098" t="str">
        <f>_xll.BDP("271470LL Muni","INSURANCE_STATUS")</f>
        <v>#N/A Requesting Data...</v>
      </c>
      <c r="D1098" t="str">
        <f>_xll.BDP("271470LL Muni","STATE_CODE")</f>
        <v>#N/A Requesting Data...</v>
      </c>
      <c r="E1098" t="str">
        <f>_xll.BDP("271470LL Muni","COUNTY_LOCATION_ISSUER")</f>
        <v>#N/A Requesting Data...</v>
      </c>
      <c r="F1098" t="str">
        <f>_xll.BDP("271470LL Muni","DUR_ADJ_MID")</f>
        <v>#N/A Requesting Data...</v>
      </c>
      <c r="G1098" t="str">
        <f>_xll.BDP("271470LL Muni","SPREAD_AT_ISSUANCE_TO_WORST")</f>
        <v>#N/A Requesting Data...</v>
      </c>
      <c r="H1098" t="str">
        <f>_xll.BDP("271470LL Muni","ISSUE_DT")</f>
        <v>#N/A Requesting Data...</v>
      </c>
      <c r="I1098" t="str">
        <f>_xll.BDS("271470LL Muni","MUNI_PURPOSE_SCHED", "aggregate=y")</f>
        <v>#N/A Requesting Data...</v>
      </c>
      <c r="J1098" t="str">
        <f>_xll.BDP("271470LL Muni","CPN")</f>
        <v>#N/A Requesting Data...</v>
      </c>
      <c r="K1098" t="str">
        <f>_xll.BDP("271470LL Muni","MATURITY")</f>
        <v>#N/A Requesting Data...</v>
      </c>
      <c r="L1098">
        <v>185000</v>
      </c>
      <c r="M1098" t="str">
        <f>_xll.BDP("271470LL Muni","YIELD_ON_ISSUE_DATE")</f>
        <v>#N/A Requesting Data...</v>
      </c>
      <c r="N1098" t="str">
        <f>_xll.BDP("271470LL Muni","YTW_SPREAD_TO_MATURITY_AT_ISSU")</f>
        <v>#N/A Requesting Data...</v>
      </c>
      <c r="O1098" t="str">
        <f>_xll.BDP("271470LL Muni","BVAL_MID_YTM")</f>
        <v>#N/A Requesting Data...</v>
      </c>
      <c r="P1098" t="str">
        <f>_xll.BDP("271470LL Muni","MUNI_TAX_PROV")</f>
        <v>#N/A Requesting Data...</v>
      </c>
      <c r="Q1098" t="str">
        <f>_xll.BDP("271470LL Muni","MUNI_FED_TAX")</f>
        <v>#N/A Requesting Data...</v>
      </c>
      <c r="R1098" t="str">
        <f>_xll.BDP("271470LL Muni","MUNI_MSRB_VOLUME")</f>
        <v>#N/A Requesting Data...</v>
      </c>
      <c r="S1098" t="str">
        <f>_xll.BDP("271470LL Muni","BB_COMPOSITE")</f>
        <v>#N/A Requesting Data...</v>
      </c>
      <c r="T1098" t="str">
        <f>_xll.BDP("271470LL Muni","LQA_LIQUIDITY_SCORE")</f>
        <v>#N/A Requesting Data...</v>
      </c>
    </row>
    <row r="1099" spans="1:20" x14ac:dyDescent="0.25">
      <c r="A1099" t="str">
        <f>_xll.BDP("271470LN Muni","ID_CUSIP")</f>
        <v>#N/A Requesting Data...</v>
      </c>
      <c r="B1099" t="s">
        <v>112</v>
      </c>
      <c r="C1099" t="str">
        <f>_xll.BDP("271470LN Muni","INSURANCE_STATUS")</f>
        <v>#N/A Requesting Data...</v>
      </c>
      <c r="D1099" t="str">
        <f>_xll.BDP("271470LN Muni","STATE_CODE")</f>
        <v>#N/A Requesting Data...</v>
      </c>
      <c r="E1099" t="str">
        <f>_xll.BDP("271470LN Muni","COUNTY_LOCATION_ISSUER")</f>
        <v>#N/A Requesting Data...</v>
      </c>
      <c r="F1099" t="str">
        <f>_xll.BDP("271470LN Muni","DUR_ADJ_MID")</f>
        <v>#N/A Requesting Data...</v>
      </c>
      <c r="G1099" t="str">
        <f>_xll.BDP("271470LN Muni","SPREAD_AT_ISSUANCE_TO_WORST")</f>
        <v>#N/A Requesting Data...</v>
      </c>
      <c r="H1099" t="str">
        <f>_xll.BDP("271470LN Muni","ISSUE_DT")</f>
        <v>#N/A Requesting Data...</v>
      </c>
      <c r="I1099" t="str">
        <f>_xll.BDS("271470LN Muni","MUNI_PURPOSE_SCHED", "aggregate=y")</f>
        <v>#N/A Requesting Data...</v>
      </c>
      <c r="J1099" t="str">
        <f>_xll.BDP("271470LN Muni","CPN")</f>
        <v>#N/A Requesting Data...</v>
      </c>
      <c r="K1099" t="str">
        <f>_xll.BDP("271470LN Muni","MATURITY")</f>
        <v>#N/A Requesting Data...</v>
      </c>
      <c r="L1099">
        <v>200000</v>
      </c>
      <c r="M1099" t="str">
        <f>_xll.BDP("271470LN Muni","YIELD_ON_ISSUE_DATE")</f>
        <v>#N/A Requesting Data...</v>
      </c>
      <c r="N1099" t="str">
        <f>_xll.BDP("271470LN Muni","YTW_SPREAD_TO_MATURITY_AT_ISSU")</f>
        <v>#N/A Requesting Data...</v>
      </c>
      <c r="O1099" t="str">
        <f>_xll.BDP("271470LN Muni","BVAL_MID_YTM")</f>
        <v>#N/A Requesting Data...</v>
      </c>
      <c r="P1099" t="str">
        <f>_xll.BDP("271470LN Muni","MUNI_TAX_PROV")</f>
        <v>#N/A Requesting Data...</v>
      </c>
      <c r="Q1099" t="str">
        <f>_xll.BDP("271470LN Muni","MUNI_FED_TAX")</f>
        <v>#N/A Requesting Data...</v>
      </c>
      <c r="R1099" t="str">
        <f>_xll.BDP("271470LN Muni","MUNI_MSRB_VOLUME")</f>
        <v>#N/A Requesting Data...</v>
      </c>
      <c r="S1099" t="str">
        <f>_xll.BDP("271470LN Muni","BB_COMPOSITE")</f>
        <v>#N/A Requesting Data...</v>
      </c>
      <c r="T1099" t="str">
        <f>_xll.BDP("271470LN Muni","LQA_LIQUIDITY_SCORE")</f>
        <v>#N/A Requesting Data...</v>
      </c>
    </row>
    <row r="1100" spans="1:20" x14ac:dyDescent="0.25">
      <c r="A1100" t="str">
        <f>_xll.BDP("271470LP Muni","ID_CUSIP")</f>
        <v>#N/A Requesting Data...</v>
      </c>
      <c r="B1100" t="s">
        <v>112</v>
      </c>
      <c r="C1100" t="str">
        <f>_xll.BDP("271470LP Muni","INSURANCE_STATUS")</f>
        <v>#N/A Requesting Data...</v>
      </c>
      <c r="D1100" t="str">
        <f>_xll.BDP("271470LP Muni","STATE_CODE")</f>
        <v>#N/A Requesting Data...</v>
      </c>
      <c r="E1100" t="str">
        <f>_xll.BDP("271470LP Muni","COUNTY_LOCATION_ISSUER")</f>
        <v>#N/A Requesting Data...</v>
      </c>
      <c r="F1100" t="str">
        <f>_xll.BDP("271470LP Muni","DUR_ADJ_MID")</f>
        <v>#N/A Requesting Data...</v>
      </c>
      <c r="G1100" t="str">
        <f>_xll.BDP("271470LP Muni","SPREAD_AT_ISSUANCE_TO_WORST")</f>
        <v>#N/A Requesting Data...</v>
      </c>
      <c r="H1100" t="str">
        <f>_xll.BDP("271470LP Muni","ISSUE_DT")</f>
        <v>#N/A Requesting Data...</v>
      </c>
      <c r="I1100" t="str">
        <f>_xll.BDS("271470LP Muni","MUNI_PURPOSE_SCHED", "aggregate=y")</f>
        <v>#N/A Requesting Data...</v>
      </c>
      <c r="J1100" t="str">
        <f>_xll.BDP("271470LP Muni","CPN")</f>
        <v>#N/A Requesting Data...</v>
      </c>
      <c r="K1100" t="str">
        <f>_xll.BDP("271470LP Muni","MATURITY")</f>
        <v>#N/A Requesting Data...</v>
      </c>
      <c r="L1100">
        <v>210000</v>
      </c>
      <c r="M1100" t="str">
        <f>_xll.BDP("271470LP Muni","YIELD_ON_ISSUE_DATE")</f>
        <v>#N/A Requesting Data...</v>
      </c>
      <c r="N1100" t="str">
        <f>_xll.BDP("271470LP Muni","YTW_SPREAD_TO_MATURITY_AT_ISSU")</f>
        <v>#N/A Requesting Data...</v>
      </c>
      <c r="O1100" t="str">
        <f>_xll.BDP("271470LP Muni","BVAL_MID_YTM")</f>
        <v>#N/A Requesting Data...</v>
      </c>
      <c r="P1100" t="str">
        <f>_xll.BDP("271470LP Muni","MUNI_TAX_PROV")</f>
        <v>#N/A Requesting Data...</v>
      </c>
      <c r="Q1100" t="str">
        <f>_xll.BDP("271470LP Muni","MUNI_FED_TAX")</f>
        <v>#N/A Requesting Data...</v>
      </c>
      <c r="R1100" t="str">
        <f>_xll.BDP("271470LP Muni","MUNI_MSRB_VOLUME")</f>
        <v>#N/A Requesting Data...</v>
      </c>
      <c r="S1100" t="str">
        <f>_xll.BDP("271470LP Muni","BB_COMPOSITE")</f>
        <v>#N/A Requesting Data...</v>
      </c>
      <c r="T1100" t="str">
        <f>_xll.BDP("271470LP Muni","LQA_LIQUIDITY_SCORE")</f>
        <v>#N/A Requesting Data...</v>
      </c>
    </row>
    <row r="1101" spans="1:20" x14ac:dyDescent="0.25">
      <c r="A1101" t="str">
        <f>_xll.BDP("412487FQ Muni","ID_CUSIP")</f>
        <v>#N/A Requesting Data...</v>
      </c>
      <c r="B1101" t="s">
        <v>288</v>
      </c>
      <c r="C1101" t="str">
        <f>_xll.BDP("412487FQ Muni","INSURANCE_STATUS")</f>
        <v>#N/A Requesting Data...</v>
      </c>
      <c r="D1101" t="str">
        <f>_xll.BDP("412487FQ Muni","STATE_CODE")</f>
        <v>#N/A Requesting Data...</v>
      </c>
      <c r="E1101" t="str">
        <f>_xll.BDP("412487FQ Muni","COUNTY_LOCATION_ISSUER")</f>
        <v>#N/A Requesting Data...</v>
      </c>
      <c r="F1101" t="str">
        <f>_xll.BDP("412487FQ Muni","DUR_ADJ_MID")</f>
        <v>#N/A Requesting Data...</v>
      </c>
      <c r="G1101" t="str">
        <f>_xll.BDP("412487FQ Muni","SPREAD_AT_ISSUANCE_TO_WORST")</f>
        <v>#N/A Requesting Data...</v>
      </c>
      <c r="H1101" t="str">
        <f>_xll.BDP("412487FQ Muni","ISSUE_DT")</f>
        <v>#N/A Requesting Data...</v>
      </c>
      <c r="I1101" t="str">
        <f>_xll.BDS("412487FQ Muni","MUNI_PURPOSE_SCHED", "aggregate=y")</f>
        <v>#N/A Requesting Data...</v>
      </c>
      <c r="J1101" t="str">
        <f>_xll.BDP("412487FQ Muni","CPN")</f>
        <v>#N/A Requesting Data...</v>
      </c>
      <c r="K1101" t="str">
        <f>_xll.BDP("412487FQ Muni","MATURITY")</f>
        <v>#N/A Requesting Data...</v>
      </c>
      <c r="L1101">
        <v>2415000</v>
      </c>
      <c r="M1101" t="str">
        <f>_xll.BDP("412487FQ Muni","YIELD_ON_ISSUE_DATE")</f>
        <v>#N/A Requesting Data...</v>
      </c>
      <c r="N1101" t="str">
        <f>_xll.BDP("412487FQ Muni","YTW_SPREAD_TO_MATURITY_AT_ISSU")</f>
        <v>#N/A Requesting Data...</v>
      </c>
      <c r="O1101" t="str">
        <f>_xll.BDP("412487FQ Muni","BVAL_MID_YTM")</f>
        <v>#N/A Requesting Data...</v>
      </c>
      <c r="P1101" t="str">
        <f>_xll.BDP("412487FQ Muni","MUNI_TAX_PROV")</f>
        <v>#N/A Requesting Data...</v>
      </c>
      <c r="Q1101" t="str">
        <f>_xll.BDP("412487FQ Muni","MUNI_FED_TAX")</f>
        <v>#N/A Requesting Data...</v>
      </c>
      <c r="R1101" t="str">
        <f>_xll.BDP("412487FQ Muni","MUNI_MSRB_VOLUME")</f>
        <v>#N/A Requesting Data...</v>
      </c>
      <c r="S1101" t="str">
        <f>_xll.BDP("412487FQ Muni","BB_COMPOSITE")</f>
        <v>#N/A Requesting Data...</v>
      </c>
      <c r="T1101" t="str">
        <f>_xll.BDP("412487FQ Muni","LQA_LIQUIDITY_SCORE")</f>
        <v>#N/A Requesting Data...</v>
      </c>
    </row>
    <row r="1102" spans="1:20" x14ac:dyDescent="0.25">
      <c r="A1102" t="str">
        <f>_xll.BDP("412487FT Muni","ID_CUSIP")</f>
        <v>#N/A Requesting Data...</v>
      </c>
      <c r="B1102" t="s">
        <v>288</v>
      </c>
      <c r="C1102" t="str">
        <f>_xll.BDP("412487FT Muni","INSURANCE_STATUS")</f>
        <v>#N/A Requesting Data...</v>
      </c>
      <c r="D1102" t="str">
        <f>_xll.BDP("412487FT Muni","STATE_CODE")</f>
        <v>#N/A Requesting Data...</v>
      </c>
      <c r="E1102" t="str">
        <f>_xll.BDP("412487FT Muni","COUNTY_LOCATION_ISSUER")</f>
        <v>#N/A Requesting Data...</v>
      </c>
      <c r="F1102" t="str">
        <f>_xll.BDP("412487FT Muni","DUR_ADJ_MID")</f>
        <v>#N/A Requesting Data...</v>
      </c>
      <c r="G1102" t="str">
        <f>_xll.BDP("412487FT Muni","SPREAD_AT_ISSUANCE_TO_WORST")</f>
        <v>#N/A Requesting Data...</v>
      </c>
      <c r="H1102" t="str">
        <f>_xll.BDP("412487FT Muni","ISSUE_DT")</f>
        <v>#N/A Requesting Data...</v>
      </c>
      <c r="I1102" t="str">
        <f>_xll.BDS("412487FT Muni","MUNI_PURPOSE_SCHED", "aggregate=y")</f>
        <v>#N/A Requesting Data...</v>
      </c>
      <c r="J1102" t="str">
        <f>_xll.BDP("412487FT Muni","CPN")</f>
        <v>#N/A Requesting Data...</v>
      </c>
      <c r="K1102" t="str">
        <f>_xll.BDP("412487FT Muni","MATURITY")</f>
        <v>#N/A Requesting Data...</v>
      </c>
      <c r="L1102">
        <v>2460000</v>
      </c>
      <c r="M1102" t="str">
        <f>_xll.BDP("412487FT Muni","YIELD_ON_ISSUE_DATE")</f>
        <v>#N/A Requesting Data...</v>
      </c>
      <c r="N1102" t="str">
        <f>_xll.BDP("412487FT Muni","YTW_SPREAD_TO_MATURITY_AT_ISSU")</f>
        <v>#N/A Requesting Data...</v>
      </c>
      <c r="O1102" t="str">
        <f>_xll.BDP("412487FT Muni","BVAL_MID_YTM")</f>
        <v>#N/A Requesting Data...</v>
      </c>
      <c r="P1102" t="str">
        <f>_xll.BDP("412487FT Muni","MUNI_TAX_PROV")</f>
        <v>#N/A Requesting Data...</v>
      </c>
      <c r="Q1102" t="str">
        <f>_xll.BDP("412487FT Muni","MUNI_FED_TAX")</f>
        <v>#N/A Requesting Data...</v>
      </c>
      <c r="R1102" t="str">
        <f>_xll.BDP("412487FT Muni","MUNI_MSRB_VOLUME")</f>
        <v>#N/A Requesting Data...</v>
      </c>
      <c r="S1102" t="str">
        <f>_xll.BDP("412487FT Muni","BB_COMPOSITE")</f>
        <v>#N/A Requesting Data...</v>
      </c>
      <c r="T1102" t="str">
        <f>_xll.BDP("412487FT Muni","LQA_LIQUIDITY_SCORE")</f>
        <v>#N/A Requesting Data...</v>
      </c>
    </row>
    <row r="1103" spans="1:20" x14ac:dyDescent="0.25">
      <c r="A1103" t="str">
        <f>_xll.BDP("412487FU Muni","ID_CUSIP")</f>
        <v>#N/A Requesting Data...</v>
      </c>
      <c r="B1103" t="s">
        <v>288</v>
      </c>
      <c r="C1103" t="str">
        <f>_xll.BDP("412487FU Muni","INSURANCE_STATUS")</f>
        <v>#N/A Requesting Data...</v>
      </c>
      <c r="D1103" t="str">
        <f>_xll.BDP("412487FU Muni","STATE_CODE")</f>
        <v>#N/A Requesting Data...</v>
      </c>
      <c r="E1103" t="str">
        <f>_xll.BDP("412487FU Muni","COUNTY_LOCATION_ISSUER")</f>
        <v>#N/A Requesting Data...</v>
      </c>
      <c r="F1103" t="str">
        <f>_xll.BDP("412487FU Muni","DUR_ADJ_MID")</f>
        <v>#N/A Requesting Data...</v>
      </c>
      <c r="G1103" t="str">
        <f>_xll.BDP("412487FU Muni","SPREAD_AT_ISSUANCE_TO_WORST")</f>
        <v>#N/A Requesting Data...</v>
      </c>
      <c r="H1103" t="str">
        <f>_xll.BDP("412487FU Muni","ISSUE_DT")</f>
        <v>#N/A Requesting Data...</v>
      </c>
      <c r="I1103" t="str">
        <f>_xll.BDS("412487FU Muni","MUNI_PURPOSE_SCHED", "aggregate=y")</f>
        <v>#N/A Requesting Data...</v>
      </c>
      <c r="J1103" t="str">
        <f>_xll.BDP("412487FU Muni","CPN")</f>
        <v>#N/A Requesting Data...</v>
      </c>
      <c r="K1103" t="str">
        <f>_xll.BDP("412487FU Muni","MATURITY")</f>
        <v>#N/A Requesting Data...</v>
      </c>
      <c r="L1103">
        <v>2475000</v>
      </c>
      <c r="M1103" t="str">
        <f>_xll.BDP("412487FU Muni","YIELD_ON_ISSUE_DATE")</f>
        <v>#N/A Requesting Data...</v>
      </c>
      <c r="N1103" t="str">
        <f>_xll.BDP("412487FU Muni","YTW_SPREAD_TO_MATURITY_AT_ISSU")</f>
        <v>#N/A Requesting Data...</v>
      </c>
      <c r="O1103" t="str">
        <f>_xll.BDP("412487FU Muni","BVAL_MID_YTM")</f>
        <v>#N/A Requesting Data...</v>
      </c>
      <c r="P1103" t="str">
        <f>_xll.BDP("412487FU Muni","MUNI_TAX_PROV")</f>
        <v>#N/A Requesting Data...</v>
      </c>
      <c r="Q1103" t="str">
        <f>_xll.BDP("412487FU Muni","MUNI_FED_TAX")</f>
        <v>#N/A Requesting Data...</v>
      </c>
      <c r="R1103" t="str">
        <f>_xll.BDP("412487FU Muni","MUNI_MSRB_VOLUME")</f>
        <v>#N/A Requesting Data...</v>
      </c>
      <c r="S1103" t="str">
        <f>_xll.BDP("412487FU Muni","BB_COMPOSITE")</f>
        <v>#N/A Requesting Data...</v>
      </c>
      <c r="T1103" t="str">
        <f>_xll.BDP("412487FU Muni","LQA_LIQUIDITY_SCORE")</f>
        <v>#N/A Requesting Data...</v>
      </c>
    </row>
    <row r="1104" spans="1:20" x14ac:dyDescent="0.25">
      <c r="A1104" t="str">
        <f>_xll.BDP("412487FV Muni","ID_CUSIP")</f>
        <v>#N/A Requesting Data...</v>
      </c>
      <c r="B1104" t="s">
        <v>288</v>
      </c>
      <c r="C1104" t="str">
        <f>_xll.BDP("412487FV Muni","INSURANCE_STATUS")</f>
        <v>#N/A Requesting Data...</v>
      </c>
      <c r="D1104" t="str">
        <f>_xll.BDP("412487FV Muni","STATE_CODE")</f>
        <v>#N/A Requesting Data...</v>
      </c>
      <c r="E1104" t="str">
        <f>_xll.BDP("412487FV Muni","COUNTY_LOCATION_ISSUER")</f>
        <v>#N/A Requesting Data...</v>
      </c>
      <c r="F1104" t="str">
        <f>_xll.BDP("412487FV Muni","DUR_ADJ_MID")</f>
        <v>#N/A Requesting Data...</v>
      </c>
      <c r="G1104" t="str">
        <f>_xll.BDP("412487FV Muni","SPREAD_AT_ISSUANCE_TO_WORST")</f>
        <v>#N/A Requesting Data...</v>
      </c>
      <c r="H1104" t="str">
        <f>_xll.BDP("412487FV Muni","ISSUE_DT")</f>
        <v>#N/A Requesting Data...</v>
      </c>
      <c r="I1104" t="str">
        <f>_xll.BDS("412487FV Muni","MUNI_PURPOSE_SCHED", "aggregate=y")</f>
        <v>#N/A Requesting Data...</v>
      </c>
      <c r="J1104" t="str">
        <f>_xll.BDP("412487FV Muni","CPN")</f>
        <v>#N/A Requesting Data...</v>
      </c>
      <c r="K1104" t="str">
        <f>_xll.BDP("412487FV Muni","MATURITY")</f>
        <v>#N/A Requesting Data...</v>
      </c>
      <c r="L1104">
        <v>2490000</v>
      </c>
      <c r="M1104" t="str">
        <f>_xll.BDP("412487FV Muni","YIELD_ON_ISSUE_DATE")</f>
        <v>#N/A Requesting Data...</v>
      </c>
      <c r="N1104" t="str">
        <f>_xll.BDP("412487FV Muni","YTW_SPREAD_TO_MATURITY_AT_ISSU")</f>
        <v>#N/A Requesting Data...</v>
      </c>
      <c r="O1104" t="str">
        <f>_xll.BDP("412487FV Muni","BVAL_MID_YTM")</f>
        <v>#N/A Requesting Data...</v>
      </c>
      <c r="P1104" t="str">
        <f>_xll.BDP("412487FV Muni","MUNI_TAX_PROV")</f>
        <v>#N/A Requesting Data...</v>
      </c>
      <c r="Q1104" t="str">
        <f>_xll.BDP("412487FV Muni","MUNI_FED_TAX")</f>
        <v>#N/A Requesting Data...</v>
      </c>
      <c r="R1104" t="str">
        <f>_xll.BDP("412487FV Muni","MUNI_MSRB_VOLUME")</f>
        <v>#N/A Requesting Data...</v>
      </c>
      <c r="S1104" t="str">
        <f>_xll.BDP("412487FV Muni","BB_COMPOSITE")</f>
        <v>#N/A Requesting Data...</v>
      </c>
      <c r="T1104" t="str">
        <f>_xll.BDP("412487FV Muni","LQA_LIQUIDITY_SCORE")</f>
        <v>#N/A Requesting Data...</v>
      </c>
    </row>
    <row r="1105" spans="1:20" x14ac:dyDescent="0.25">
      <c r="A1105" t="str">
        <f>_xll.BDP("491311AE Muni","ID_CUSIP")</f>
        <v>#N/A Requesting Data...</v>
      </c>
      <c r="B1105" t="s">
        <v>289</v>
      </c>
      <c r="C1105" t="str">
        <f>_xll.BDP("491311AE Muni","INSURANCE_STATUS")</f>
        <v>#N/A Requesting Data...</v>
      </c>
      <c r="D1105" t="str">
        <f>_xll.BDP("491311AE Muni","STATE_CODE")</f>
        <v>#N/A Requesting Data...</v>
      </c>
      <c r="E1105" t="str">
        <f>_xll.BDP("491311AE Muni","COUNTY_LOCATION_ISSUER")</f>
        <v>#N/A Requesting Data...</v>
      </c>
      <c r="F1105" t="str">
        <f>_xll.BDP("491311AE Muni","DUR_ADJ_MID")</f>
        <v>#N/A Requesting Data...</v>
      </c>
      <c r="G1105" t="str">
        <f>_xll.BDP("491311AE Muni","SPREAD_AT_ISSUANCE_TO_WORST")</f>
        <v>#N/A Requesting Data...</v>
      </c>
      <c r="H1105" t="str">
        <f>_xll.BDP("491311AE Muni","ISSUE_DT")</f>
        <v>#N/A Requesting Data...</v>
      </c>
      <c r="I1105" t="str">
        <f>_xll.BDS("491311AE Muni","MUNI_PURPOSE_SCHED", "aggregate=y")</f>
        <v>#N/A Requesting Data...</v>
      </c>
      <c r="J1105" t="str">
        <f>_xll.BDP("491311AE Muni","CPN")</f>
        <v>#N/A Requesting Data...</v>
      </c>
      <c r="K1105" t="str">
        <f>_xll.BDP("491311AE Muni","MATURITY")</f>
        <v>#N/A Requesting Data...</v>
      </c>
      <c r="L1105">
        <v>1000000</v>
      </c>
      <c r="M1105" t="str">
        <f>_xll.BDP("491311AE Muni","YIELD_ON_ISSUE_DATE")</f>
        <v>#N/A Requesting Data...</v>
      </c>
      <c r="N1105" t="str">
        <f>_xll.BDP("491311AE Muni","YTW_SPREAD_TO_MATURITY_AT_ISSU")</f>
        <v>#N/A Requesting Data...</v>
      </c>
      <c r="O1105" t="str">
        <f>_xll.BDP("491311AE Muni","BVAL_MID_YTM")</f>
        <v>#N/A Requesting Data...</v>
      </c>
      <c r="P1105" t="str">
        <f>_xll.BDP("491311AE Muni","MUNI_TAX_PROV")</f>
        <v>#N/A Requesting Data...</v>
      </c>
      <c r="Q1105" t="str">
        <f>_xll.BDP("491311AE Muni","MUNI_FED_TAX")</f>
        <v>#N/A Requesting Data...</v>
      </c>
      <c r="R1105" t="str">
        <f>_xll.BDP("491311AE Muni","MUNI_MSRB_VOLUME")</f>
        <v>#N/A Requesting Data...</v>
      </c>
      <c r="S1105" t="str">
        <f>_xll.BDP("491311AE Muni","BB_COMPOSITE")</f>
        <v>#N/A Requesting Data...</v>
      </c>
      <c r="T1105" t="str">
        <f>_xll.BDP("491311AE Muni","LQA_LIQUIDITY_SCORE")</f>
        <v>#N/A Requesting Data...</v>
      </c>
    </row>
    <row r="1106" spans="1:20" x14ac:dyDescent="0.25">
      <c r="A1106" t="str">
        <f>_xll.BDP("491311AG Muni","ID_CUSIP")</f>
        <v>#N/A Requesting Data...</v>
      </c>
      <c r="B1106" t="s">
        <v>289</v>
      </c>
      <c r="C1106" t="str">
        <f>_xll.BDP("491311AG Muni","INSURANCE_STATUS")</f>
        <v>#N/A Requesting Data...</v>
      </c>
      <c r="D1106" t="str">
        <f>_xll.BDP("491311AG Muni","STATE_CODE")</f>
        <v>#N/A Requesting Data...</v>
      </c>
      <c r="E1106" t="str">
        <f>_xll.BDP("491311AG Muni","COUNTY_LOCATION_ISSUER")</f>
        <v>#N/A Requesting Data...</v>
      </c>
      <c r="F1106" t="str">
        <f>_xll.BDP("491311AG Muni","DUR_ADJ_MID")</f>
        <v>#N/A Requesting Data...</v>
      </c>
      <c r="G1106" t="str">
        <f>_xll.BDP("491311AG Muni","SPREAD_AT_ISSUANCE_TO_WORST")</f>
        <v>#N/A Requesting Data...</v>
      </c>
      <c r="H1106" t="str">
        <f>_xll.BDP("491311AG Muni","ISSUE_DT")</f>
        <v>#N/A Requesting Data...</v>
      </c>
      <c r="I1106" t="str">
        <f>_xll.BDS("491311AG Muni","MUNI_PURPOSE_SCHED", "aggregate=y")</f>
        <v>#N/A Requesting Data...</v>
      </c>
      <c r="J1106" t="str">
        <f>_xll.BDP("491311AG Muni","CPN")</f>
        <v>#N/A Requesting Data...</v>
      </c>
      <c r="K1106" t="str">
        <f>_xll.BDP("491311AG Muni","MATURITY")</f>
        <v>#N/A Requesting Data...</v>
      </c>
      <c r="L1106">
        <v>530000</v>
      </c>
      <c r="M1106" t="str">
        <f>_xll.BDP("491311AG Muni","YIELD_ON_ISSUE_DATE")</f>
        <v>#N/A Requesting Data...</v>
      </c>
      <c r="N1106" t="str">
        <f>_xll.BDP("491311AG Muni","YTW_SPREAD_TO_MATURITY_AT_ISSU")</f>
        <v>#N/A Requesting Data...</v>
      </c>
      <c r="O1106" t="str">
        <f>_xll.BDP("491311AG Muni","BVAL_MID_YTM")</f>
        <v>#N/A Requesting Data...</v>
      </c>
      <c r="P1106" t="str">
        <f>_xll.BDP("491311AG Muni","MUNI_TAX_PROV")</f>
        <v>#N/A Requesting Data...</v>
      </c>
      <c r="Q1106" t="str">
        <f>_xll.BDP("491311AG Muni","MUNI_FED_TAX")</f>
        <v>#N/A Requesting Data...</v>
      </c>
      <c r="R1106" t="str">
        <f>_xll.BDP("491311AG Muni","MUNI_MSRB_VOLUME")</f>
        <v>#N/A Requesting Data...</v>
      </c>
      <c r="S1106" t="str">
        <f>_xll.BDP("491311AG Muni","BB_COMPOSITE")</f>
        <v>#N/A Requesting Data...</v>
      </c>
      <c r="T1106" t="str">
        <f>_xll.BDP("491311AG Muni","LQA_LIQUIDITY_SCORE")</f>
        <v>#N/A Requesting Data...</v>
      </c>
    </row>
    <row r="1107" spans="1:20" x14ac:dyDescent="0.25">
      <c r="A1107" t="str">
        <f>_xll.BDP("491311AH Muni","ID_CUSIP")</f>
        <v>#N/A Requesting Data...</v>
      </c>
      <c r="B1107" t="s">
        <v>289</v>
      </c>
      <c r="C1107" t="str">
        <f>_xll.BDP("491311AH Muni","INSURANCE_STATUS")</f>
        <v>#N/A Requesting Data...</v>
      </c>
      <c r="D1107" t="str">
        <f>_xll.BDP("491311AH Muni","STATE_CODE")</f>
        <v>#N/A Requesting Data...</v>
      </c>
      <c r="E1107" t="str">
        <f>_xll.BDP("491311AH Muni","COUNTY_LOCATION_ISSUER")</f>
        <v>#N/A Requesting Data...</v>
      </c>
      <c r="F1107" t="str">
        <f>_xll.BDP("491311AH Muni","DUR_ADJ_MID")</f>
        <v>#N/A Requesting Data...</v>
      </c>
      <c r="G1107" t="str">
        <f>_xll.BDP("491311AH Muni","SPREAD_AT_ISSUANCE_TO_WORST")</f>
        <v>#N/A Requesting Data...</v>
      </c>
      <c r="H1107" t="str">
        <f>_xll.BDP("491311AH Muni","ISSUE_DT")</f>
        <v>#N/A Requesting Data...</v>
      </c>
      <c r="I1107" t="str">
        <f>_xll.BDS("491311AH Muni","MUNI_PURPOSE_SCHED", "aggregate=y")</f>
        <v>#N/A Requesting Data...</v>
      </c>
      <c r="J1107" t="str">
        <f>_xll.BDP("491311AH Muni","CPN")</f>
        <v>#N/A Requesting Data...</v>
      </c>
      <c r="K1107" t="str">
        <f>_xll.BDP("491311AH Muni","MATURITY")</f>
        <v>#N/A Requesting Data...</v>
      </c>
      <c r="L1107">
        <v>2080000</v>
      </c>
      <c r="M1107" t="str">
        <f>_xll.BDP("491311AH Muni","YIELD_ON_ISSUE_DATE")</f>
        <v>#N/A Requesting Data...</v>
      </c>
      <c r="N1107" t="str">
        <f>_xll.BDP("491311AH Muni","YTW_SPREAD_TO_MATURITY_AT_ISSU")</f>
        <v>#N/A Requesting Data...</v>
      </c>
      <c r="O1107" t="str">
        <f>_xll.BDP("491311AH Muni","BVAL_MID_YTM")</f>
        <v>#N/A Requesting Data...</v>
      </c>
      <c r="P1107" t="str">
        <f>_xll.BDP("491311AH Muni","MUNI_TAX_PROV")</f>
        <v>#N/A Requesting Data...</v>
      </c>
      <c r="Q1107" t="str">
        <f>_xll.BDP("491311AH Muni","MUNI_FED_TAX")</f>
        <v>#N/A Requesting Data...</v>
      </c>
      <c r="R1107" t="str">
        <f>_xll.BDP("491311AH Muni","MUNI_MSRB_VOLUME")</f>
        <v>#N/A Requesting Data...</v>
      </c>
      <c r="S1107" t="str">
        <f>_xll.BDP("491311AH Muni","BB_COMPOSITE")</f>
        <v>#N/A Requesting Data...</v>
      </c>
      <c r="T1107" t="str">
        <f>_xll.BDP("491311AH Muni","LQA_LIQUIDITY_SCORE")</f>
        <v>#N/A Requesting Data...</v>
      </c>
    </row>
    <row r="1108" spans="1:20" x14ac:dyDescent="0.25">
      <c r="A1108" t="str">
        <f>_xll.BDP("491311AJ Muni","ID_CUSIP")</f>
        <v>#N/A Requesting Data...</v>
      </c>
      <c r="B1108" t="s">
        <v>289</v>
      </c>
      <c r="C1108" t="str">
        <f>_xll.BDP("491311AJ Muni","INSURANCE_STATUS")</f>
        <v>#N/A Requesting Data...</v>
      </c>
      <c r="D1108" t="str">
        <f>_xll.BDP("491311AJ Muni","STATE_CODE")</f>
        <v>#N/A Requesting Data...</v>
      </c>
      <c r="E1108" t="str">
        <f>_xll.BDP("491311AJ Muni","COUNTY_LOCATION_ISSUER")</f>
        <v>#N/A Requesting Data...</v>
      </c>
      <c r="F1108" t="str">
        <f>_xll.BDP("491311AJ Muni","DUR_ADJ_MID")</f>
        <v>#N/A Requesting Data...</v>
      </c>
      <c r="G1108" t="str">
        <f>_xll.BDP("491311AJ Muni","SPREAD_AT_ISSUANCE_TO_WORST")</f>
        <v>#N/A Requesting Data...</v>
      </c>
      <c r="H1108" t="str">
        <f>_xll.BDP("491311AJ Muni","ISSUE_DT")</f>
        <v>#N/A Requesting Data...</v>
      </c>
      <c r="I1108" t="str">
        <f>_xll.BDS("491311AJ Muni","MUNI_PURPOSE_SCHED", "aggregate=y")</f>
        <v>#N/A Requesting Data...</v>
      </c>
      <c r="J1108" t="str">
        <f>_xll.BDP("491311AJ Muni","CPN")</f>
        <v>#N/A Requesting Data...</v>
      </c>
      <c r="K1108" t="str">
        <f>_xll.BDP("491311AJ Muni","MATURITY")</f>
        <v>#N/A Requesting Data...</v>
      </c>
      <c r="L1108">
        <v>1860000</v>
      </c>
      <c r="M1108" t="str">
        <f>_xll.BDP("491311AJ Muni","YIELD_ON_ISSUE_DATE")</f>
        <v>#N/A Requesting Data...</v>
      </c>
      <c r="N1108" t="str">
        <f>_xll.BDP("491311AJ Muni","YTW_SPREAD_TO_MATURITY_AT_ISSU")</f>
        <v>#N/A Requesting Data...</v>
      </c>
      <c r="O1108" t="str">
        <f>_xll.BDP("491311AJ Muni","BVAL_MID_YTM")</f>
        <v>#N/A Requesting Data...</v>
      </c>
      <c r="P1108" t="str">
        <f>_xll.BDP("491311AJ Muni","MUNI_TAX_PROV")</f>
        <v>#N/A Requesting Data...</v>
      </c>
      <c r="Q1108" t="str">
        <f>_xll.BDP("491311AJ Muni","MUNI_FED_TAX")</f>
        <v>#N/A Requesting Data...</v>
      </c>
      <c r="R1108" t="str">
        <f>_xll.BDP("491311AJ Muni","MUNI_MSRB_VOLUME")</f>
        <v>#N/A Requesting Data...</v>
      </c>
      <c r="S1108" t="str">
        <f>_xll.BDP("491311AJ Muni","BB_COMPOSITE")</f>
        <v>#N/A Requesting Data...</v>
      </c>
      <c r="T1108" t="str">
        <f>_xll.BDP("491311AJ Muni","LQA_LIQUIDITY_SCORE")</f>
        <v>#N/A Requesting Data...</v>
      </c>
    </row>
    <row r="1109" spans="1:20" x14ac:dyDescent="0.25">
      <c r="A1109" t="str">
        <f>_xll.BDP("491311AL Muni","ID_CUSIP")</f>
        <v>#N/A Requesting Data...</v>
      </c>
      <c r="B1109" t="s">
        <v>289</v>
      </c>
      <c r="C1109" t="str">
        <f>_xll.BDP("491311AL Muni","INSURANCE_STATUS")</f>
        <v>#N/A Requesting Data...</v>
      </c>
      <c r="D1109" t="str">
        <f>_xll.BDP("491311AL Muni","STATE_CODE")</f>
        <v>#N/A Requesting Data...</v>
      </c>
      <c r="E1109" t="str">
        <f>_xll.BDP("491311AL Muni","COUNTY_LOCATION_ISSUER")</f>
        <v>#N/A Requesting Data...</v>
      </c>
      <c r="F1109" t="str">
        <f>_xll.BDP("491311AL Muni","DUR_ADJ_MID")</f>
        <v>#N/A Requesting Data...</v>
      </c>
      <c r="G1109" t="str">
        <f>_xll.BDP("491311AL Muni","SPREAD_AT_ISSUANCE_TO_WORST")</f>
        <v>#N/A Requesting Data...</v>
      </c>
      <c r="H1109" t="str">
        <f>_xll.BDP("491311AL Muni","ISSUE_DT")</f>
        <v>#N/A Requesting Data...</v>
      </c>
      <c r="I1109" t="str">
        <f>_xll.BDS("491311AL Muni","MUNI_PURPOSE_SCHED", "aggregate=y")</f>
        <v>#N/A Requesting Data...</v>
      </c>
      <c r="J1109" t="str">
        <f>_xll.BDP("491311AL Muni","CPN")</f>
        <v>#N/A Requesting Data...</v>
      </c>
      <c r="K1109" t="str">
        <f>_xll.BDP("491311AL Muni","MATURITY")</f>
        <v>#N/A Requesting Data...</v>
      </c>
      <c r="L1109">
        <v>6250000</v>
      </c>
      <c r="M1109" t="str">
        <f>_xll.BDP("491311AL Muni","YIELD_ON_ISSUE_DATE")</f>
        <v>#N/A Requesting Data...</v>
      </c>
      <c r="N1109" t="str">
        <f>_xll.BDP("491311AL Muni","YTW_SPREAD_TO_MATURITY_AT_ISSU")</f>
        <v>#N/A Requesting Data...</v>
      </c>
      <c r="O1109" t="str">
        <f>_xll.BDP("491311AL Muni","BVAL_MID_YTM")</f>
        <v>#N/A Requesting Data...</v>
      </c>
      <c r="P1109" t="str">
        <f>_xll.BDP("491311AL Muni","MUNI_TAX_PROV")</f>
        <v>#N/A Requesting Data...</v>
      </c>
      <c r="Q1109" t="str">
        <f>_xll.BDP("491311AL Muni","MUNI_FED_TAX")</f>
        <v>#N/A Requesting Data...</v>
      </c>
      <c r="R1109" t="str">
        <f>_xll.BDP("491311AL Muni","MUNI_MSRB_VOLUME")</f>
        <v>#N/A Requesting Data...</v>
      </c>
      <c r="S1109" t="str">
        <f>_xll.BDP("491311AL Muni","BB_COMPOSITE")</f>
        <v>#N/A Requesting Data...</v>
      </c>
      <c r="T1109" t="str">
        <f>_xll.BDP("491311AL Muni","LQA_LIQUIDITY_SCORE")</f>
        <v>#N/A Requesting Data...</v>
      </c>
    </row>
    <row r="1110" spans="1:20" x14ac:dyDescent="0.25">
      <c r="A1110" t="str">
        <f>_xll.BDP("36806PAM Muni","ID_CUSIP")</f>
        <v>#N/A Requesting Data...</v>
      </c>
      <c r="B1110" t="s">
        <v>290</v>
      </c>
      <c r="C1110" t="str">
        <f>_xll.BDP("36806PAM Muni","INSURANCE_STATUS")</f>
        <v>#N/A Requesting Data...</v>
      </c>
      <c r="D1110" t="str">
        <f>_xll.BDP("36806PAM Muni","STATE_CODE")</f>
        <v>#N/A Requesting Data...</v>
      </c>
      <c r="E1110" t="str">
        <f>_xll.BDP("36806PAM Muni","COUNTY_LOCATION_ISSUER")</f>
        <v>#N/A Requesting Data...</v>
      </c>
      <c r="F1110" t="str">
        <f>_xll.BDP("36806PAM Muni","DUR_ADJ_MID")</f>
        <v>#N/A Requesting Data...</v>
      </c>
      <c r="G1110" t="str">
        <f>_xll.BDP("36806PAM Muni","SPREAD_AT_ISSUANCE_TO_WORST")</f>
        <v>#N/A Requesting Data...</v>
      </c>
      <c r="H1110" t="str">
        <f>_xll.BDP("36806PAM Muni","ISSUE_DT")</f>
        <v>#N/A Requesting Data...</v>
      </c>
      <c r="I1110" t="str">
        <f>_xll.BDS("36806PAM Muni","MUNI_PURPOSE_SCHED", "aggregate=y")</f>
        <v>#N/A Requesting Data...</v>
      </c>
      <c r="J1110" t="str">
        <f>_xll.BDP("36806PAM Muni","CPN")</f>
        <v>#N/A Requesting Data...</v>
      </c>
      <c r="K1110" t="str">
        <f>_xll.BDP("36806PAM Muni","MATURITY")</f>
        <v>#N/A Requesting Data...</v>
      </c>
      <c r="L1110">
        <v>160000</v>
      </c>
      <c r="M1110" t="str">
        <f>_xll.BDP("36806PAM Muni","YIELD_ON_ISSUE_DATE")</f>
        <v>#N/A Requesting Data...</v>
      </c>
      <c r="N1110" t="str">
        <f>_xll.BDP("36806PAM Muni","YTW_SPREAD_TO_MATURITY_AT_ISSU")</f>
        <v>#N/A Requesting Data...</v>
      </c>
      <c r="O1110" t="str">
        <f>_xll.BDP("36806PAM Muni","BVAL_MID_YTM")</f>
        <v>#N/A Requesting Data...</v>
      </c>
      <c r="P1110" t="str">
        <f>_xll.BDP("36806PAM Muni","MUNI_TAX_PROV")</f>
        <v>#N/A Requesting Data...</v>
      </c>
      <c r="Q1110" t="str">
        <f>_xll.BDP("36806PAM Muni","MUNI_FED_TAX")</f>
        <v>#N/A Requesting Data...</v>
      </c>
      <c r="R1110" t="str">
        <f>_xll.BDP("36806PAM Muni","MUNI_MSRB_VOLUME")</f>
        <v>#N/A Requesting Data...</v>
      </c>
      <c r="S1110" t="str">
        <f>_xll.BDP("36806PAM Muni","BB_COMPOSITE")</f>
        <v>#N/A Requesting Data...</v>
      </c>
      <c r="T1110" t="str">
        <f>_xll.BDP("36806PAM Muni","LQA_LIQUIDITY_SCORE")</f>
        <v>#N/A Requesting Data...</v>
      </c>
    </row>
    <row r="1111" spans="1:20" x14ac:dyDescent="0.25">
      <c r="A1111" t="str">
        <f>_xll.BDP("36806PAN Muni","ID_CUSIP")</f>
        <v>#N/A Requesting Data...</v>
      </c>
      <c r="B1111" t="s">
        <v>290</v>
      </c>
      <c r="C1111" t="str">
        <f>_xll.BDP("36806PAN Muni","INSURANCE_STATUS")</f>
        <v>#N/A Requesting Data...</v>
      </c>
      <c r="D1111" t="str">
        <f>_xll.BDP("36806PAN Muni","STATE_CODE")</f>
        <v>#N/A Requesting Data...</v>
      </c>
      <c r="E1111" t="str">
        <f>_xll.BDP("36806PAN Muni","COUNTY_LOCATION_ISSUER")</f>
        <v>#N/A Requesting Data...</v>
      </c>
      <c r="F1111" t="str">
        <f>_xll.BDP("36806PAN Muni","DUR_ADJ_MID")</f>
        <v>#N/A Requesting Data...</v>
      </c>
      <c r="G1111" t="str">
        <f>_xll.BDP("36806PAN Muni","SPREAD_AT_ISSUANCE_TO_WORST")</f>
        <v>#N/A Requesting Data...</v>
      </c>
      <c r="H1111" t="str">
        <f>_xll.BDP("36806PAN Muni","ISSUE_DT")</f>
        <v>#N/A Requesting Data...</v>
      </c>
      <c r="I1111" t="str">
        <f>_xll.BDS("36806PAN Muni","MUNI_PURPOSE_SCHED", "aggregate=y")</f>
        <v>#N/A Requesting Data...</v>
      </c>
      <c r="J1111" t="str">
        <f>_xll.BDP("36806PAN Muni","CPN")</f>
        <v>#N/A Requesting Data...</v>
      </c>
      <c r="K1111" t="str">
        <f>_xll.BDP("36806PAN Muni","MATURITY")</f>
        <v>#N/A Requesting Data...</v>
      </c>
      <c r="L1111">
        <v>165000</v>
      </c>
      <c r="M1111" t="str">
        <f>_xll.BDP("36806PAN Muni","YIELD_ON_ISSUE_DATE")</f>
        <v>#N/A Requesting Data...</v>
      </c>
      <c r="N1111" t="str">
        <f>_xll.BDP("36806PAN Muni","YTW_SPREAD_TO_MATURITY_AT_ISSU")</f>
        <v>#N/A Requesting Data...</v>
      </c>
      <c r="O1111" t="str">
        <f>_xll.BDP("36806PAN Muni","BVAL_MID_YTM")</f>
        <v>#N/A Requesting Data...</v>
      </c>
      <c r="P1111" t="str">
        <f>_xll.BDP("36806PAN Muni","MUNI_TAX_PROV")</f>
        <v>#N/A Requesting Data...</v>
      </c>
      <c r="Q1111" t="str">
        <f>_xll.BDP("36806PAN Muni","MUNI_FED_TAX")</f>
        <v>#N/A Requesting Data...</v>
      </c>
      <c r="R1111" t="str">
        <f>_xll.BDP("36806PAN Muni","MUNI_MSRB_VOLUME")</f>
        <v>#N/A Requesting Data...</v>
      </c>
      <c r="S1111" t="str">
        <f>_xll.BDP("36806PAN Muni","BB_COMPOSITE")</f>
        <v>#N/A Requesting Data...</v>
      </c>
      <c r="T1111" t="str">
        <f>_xll.BDP("36806PAN Muni","LQA_LIQUIDITY_SCORE")</f>
        <v>#N/A Requesting Data...</v>
      </c>
    </row>
    <row r="1112" spans="1:20" x14ac:dyDescent="0.25">
      <c r="A1112" t="str">
        <f>_xll.BDP("36806PAP Muni","ID_CUSIP")</f>
        <v>#N/A Requesting Data...</v>
      </c>
      <c r="B1112" t="s">
        <v>290</v>
      </c>
      <c r="C1112" t="str">
        <f>_xll.BDP("36806PAP Muni","INSURANCE_STATUS")</f>
        <v>#N/A Requesting Data...</v>
      </c>
      <c r="D1112" t="str">
        <f>_xll.BDP("36806PAP Muni","STATE_CODE")</f>
        <v>#N/A Requesting Data...</v>
      </c>
      <c r="E1112" t="str">
        <f>_xll.BDP("36806PAP Muni","COUNTY_LOCATION_ISSUER")</f>
        <v>#N/A Requesting Data...</v>
      </c>
      <c r="F1112" t="str">
        <f>_xll.BDP("36806PAP Muni","DUR_ADJ_MID")</f>
        <v>#N/A Requesting Data...</v>
      </c>
      <c r="G1112" t="str">
        <f>_xll.BDP("36806PAP Muni","SPREAD_AT_ISSUANCE_TO_WORST")</f>
        <v>#N/A Requesting Data...</v>
      </c>
      <c r="H1112" t="str">
        <f>_xll.BDP("36806PAP Muni","ISSUE_DT")</f>
        <v>#N/A Requesting Data...</v>
      </c>
      <c r="I1112" t="str">
        <f>_xll.BDS("36806PAP Muni","MUNI_PURPOSE_SCHED", "aggregate=y")</f>
        <v>#N/A Requesting Data...</v>
      </c>
      <c r="J1112" t="str">
        <f>_xll.BDP("36806PAP Muni","CPN")</f>
        <v>#N/A Requesting Data...</v>
      </c>
      <c r="K1112" t="str">
        <f>_xll.BDP("36806PAP Muni","MATURITY")</f>
        <v>#N/A Requesting Data...</v>
      </c>
      <c r="L1112">
        <v>170000</v>
      </c>
      <c r="M1112" t="str">
        <f>_xll.BDP("36806PAP Muni","YIELD_ON_ISSUE_DATE")</f>
        <v>#N/A Requesting Data...</v>
      </c>
      <c r="N1112" t="str">
        <f>_xll.BDP("36806PAP Muni","YTW_SPREAD_TO_MATURITY_AT_ISSU")</f>
        <v>#N/A Requesting Data...</v>
      </c>
      <c r="O1112" t="str">
        <f>_xll.BDP("36806PAP Muni","BVAL_MID_YTM")</f>
        <v>#N/A Requesting Data...</v>
      </c>
      <c r="P1112" t="str">
        <f>_xll.BDP("36806PAP Muni","MUNI_TAX_PROV")</f>
        <v>#N/A Requesting Data...</v>
      </c>
      <c r="Q1112" t="str">
        <f>_xll.BDP("36806PAP Muni","MUNI_FED_TAX")</f>
        <v>#N/A Requesting Data...</v>
      </c>
      <c r="R1112" t="str">
        <f>_xll.BDP("36806PAP Muni","MUNI_MSRB_VOLUME")</f>
        <v>#N/A Requesting Data...</v>
      </c>
      <c r="S1112" t="str">
        <f>_xll.BDP("36806PAP Muni","BB_COMPOSITE")</f>
        <v>#N/A Requesting Data...</v>
      </c>
      <c r="T1112" t="str">
        <f>_xll.BDP("36806PAP Muni","LQA_LIQUIDITY_SCORE")</f>
        <v>#N/A Requesting Data...</v>
      </c>
    </row>
    <row r="1113" spans="1:20" x14ac:dyDescent="0.25">
      <c r="A1113" t="str">
        <f>_xll.BDP("36806PAQ Muni","ID_CUSIP")</f>
        <v>#N/A Requesting Data...</v>
      </c>
      <c r="B1113" t="s">
        <v>290</v>
      </c>
      <c r="C1113" t="str">
        <f>_xll.BDP("36806PAQ Muni","INSURANCE_STATUS")</f>
        <v>#N/A Requesting Data...</v>
      </c>
      <c r="D1113" t="str">
        <f>_xll.BDP("36806PAQ Muni","STATE_CODE")</f>
        <v>#N/A Requesting Data...</v>
      </c>
      <c r="E1113" t="str">
        <f>_xll.BDP("36806PAQ Muni","COUNTY_LOCATION_ISSUER")</f>
        <v>#N/A Requesting Data...</v>
      </c>
      <c r="F1113" t="str">
        <f>_xll.BDP("36806PAQ Muni","DUR_ADJ_MID")</f>
        <v>#N/A Requesting Data...</v>
      </c>
      <c r="G1113" t="str">
        <f>_xll.BDP("36806PAQ Muni","SPREAD_AT_ISSUANCE_TO_WORST")</f>
        <v>#N/A Requesting Data...</v>
      </c>
      <c r="H1113" t="str">
        <f>_xll.BDP("36806PAQ Muni","ISSUE_DT")</f>
        <v>#N/A Requesting Data...</v>
      </c>
      <c r="I1113" t="str">
        <f>_xll.BDS("36806PAQ Muni","MUNI_PURPOSE_SCHED", "aggregate=y")</f>
        <v>#N/A Requesting Data...</v>
      </c>
      <c r="J1113" t="str">
        <f>_xll.BDP("36806PAQ Muni","CPN")</f>
        <v>#N/A Requesting Data...</v>
      </c>
      <c r="K1113" t="str">
        <f>_xll.BDP("36806PAQ Muni","MATURITY")</f>
        <v>#N/A Requesting Data...</v>
      </c>
      <c r="L1113">
        <v>175000</v>
      </c>
      <c r="M1113" t="str">
        <f>_xll.BDP("36806PAQ Muni","YIELD_ON_ISSUE_DATE")</f>
        <v>#N/A Requesting Data...</v>
      </c>
      <c r="N1113" t="str">
        <f>_xll.BDP("36806PAQ Muni","YTW_SPREAD_TO_MATURITY_AT_ISSU")</f>
        <v>#N/A Requesting Data...</v>
      </c>
      <c r="O1113" t="str">
        <f>_xll.BDP("36806PAQ Muni","BVAL_MID_YTM")</f>
        <v>#N/A Requesting Data...</v>
      </c>
      <c r="P1113" t="str">
        <f>_xll.BDP("36806PAQ Muni","MUNI_TAX_PROV")</f>
        <v>#N/A Requesting Data...</v>
      </c>
      <c r="Q1113" t="str">
        <f>_xll.BDP("36806PAQ Muni","MUNI_FED_TAX")</f>
        <v>#N/A Requesting Data...</v>
      </c>
      <c r="R1113" t="str">
        <f>_xll.BDP("36806PAQ Muni","MUNI_MSRB_VOLUME")</f>
        <v>#N/A Requesting Data...</v>
      </c>
      <c r="S1113" t="str">
        <f>_xll.BDP("36806PAQ Muni","BB_COMPOSITE")</f>
        <v>#N/A Requesting Data...</v>
      </c>
      <c r="T1113" t="str">
        <f>_xll.BDP("36806PAQ Muni","LQA_LIQUIDITY_SCORE")</f>
        <v>#N/A Requesting Data...</v>
      </c>
    </row>
    <row r="1114" spans="1:20" x14ac:dyDescent="0.25">
      <c r="A1114" t="str">
        <f>_xll.BDP("371668RX Muni","ID_CUSIP")</f>
        <v>#N/A Requesting Data...</v>
      </c>
      <c r="B1114" t="s">
        <v>291</v>
      </c>
      <c r="C1114" t="str">
        <f>_xll.BDP("371668RX Muni","INSURANCE_STATUS")</f>
        <v>#N/A Requesting Data...</v>
      </c>
      <c r="D1114" t="str">
        <f>_xll.BDP("371668RX Muni","STATE_CODE")</f>
        <v>#N/A Requesting Data...</v>
      </c>
      <c r="E1114" t="str">
        <f>_xll.BDP("371668RX Muni","COUNTY_LOCATION_ISSUER")</f>
        <v>#N/A Requesting Data...</v>
      </c>
      <c r="F1114" t="str">
        <f>_xll.BDP("371668RX Muni","DUR_ADJ_MID")</f>
        <v>#N/A Requesting Data...</v>
      </c>
      <c r="G1114" t="str">
        <f>_xll.BDP("371668RX Muni","SPREAD_AT_ISSUANCE_TO_WORST")</f>
        <v>#N/A Requesting Data...</v>
      </c>
      <c r="H1114" t="str">
        <f>_xll.BDP("371668RX Muni","ISSUE_DT")</f>
        <v>#N/A Requesting Data...</v>
      </c>
      <c r="I1114" t="str">
        <f>_xll.BDS("371668RX Muni","MUNI_PURPOSE_SCHED", "aggregate=y")</f>
        <v>#N/A Requesting Data...</v>
      </c>
      <c r="J1114" t="str">
        <f>_xll.BDP("371668RX Muni","CPN")</f>
        <v>#N/A Requesting Data...</v>
      </c>
      <c r="K1114" t="str">
        <f>_xll.BDP("371668RX Muni","MATURITY")</f>
        <v>#N/A Requesting Data...</v>
      </c>
      <c r="L1114">
        <v>325000</v>
      </c>
      <c r="M1114" t="str">
        <f>_xll.BDP("371668RX Muni","YIELD_ON_ISSUE_DATE")</f>
        <v>#N/A Requesting Data...</v>
      </c>
      <c r="N1114" t="str">
        <f>_xll.BDP("371668RX Muni","YTW_SPREAD_TO_MATURITY_AT_ISSU")</f>
        <v>#N/A Requesting Data...</v>
      </c>
      <c r="O1114" t="str">
        <f>_xll.BDP("371668RX Muni","BVAL_MID_YTM")</f>
        <v>#N/A Requesting Data...</v>
      </c>
      <c r="P1114" t="str">
        <f>_xll.BDP("371668RX Muni","MUNI_TAX_PROV")</f>
        <v>#N/A Requesting Data...</v>
      </c>
      <c r="Q1114" t="str">
        <f>_xll.BDP("371668RX Muni","MUNI_FED_TAX")</f>
        <v>#N/A Requesting Data...</v>
      </c>
      <c r="R1114" t="str">
        <f>_xll.BDP("371668RX Muni","MUNI_MSRB_VOLUME")</f>
        <v>#N/A Requesting Data...</v>
      </c>
      <c r="S1114" t="str">
        <f>_xll.BDP("371668RX Muni","BB_COMPOSITE")</f>
        <v>#N/A Requesting Data...</v>
      </c>
      <c r="T1114" t="str">
        <f>_xll.BDP("371668RX Muni","LQA_LIQUIDITY_SCORE")</f>
        <v>#N/A Requesting Data...</v>
      </c>
    </row>
    <row r="1115" spans="1:20" x14ac:dyDescent="0.25">
      <c r="A1115" t="str">
        <f>_xll.BDP("371668RY Muni","ID_CUSIP")</f>
        <v>#N/A Requesting Data...</v>
      </c>
      <c r="B1115" t="s">
        <v>291</v>
      </c>
      <c r="C1115" t="str">
        <f>_xll.BDP("371668RY Muni","INSURANCE_STATUS")</f>
        <v>#N/A Requesting Data...</v>
      </c>
      <c r="D1115" t="str">
        <f>_xll.BDP("371668RY Muni","STATE_CODE")</f>
        <v>#N/A Requesting Data...</v>
      </c>
      <c r="E1115" t="str">
        <f>_xll.BDP("371668RY Muni","COUNTY_LOCATION_ISSUER")</f>
        <v>#N/A Requesting Data...</v>
      </c>
      <c r="F1115" t="str">
        <f>_xll.BDP("371668RY Muni","DUR_ADJ_MID")</f>
        <v>#N/A Requesting Data...</v>
      </c>
      <c r="G1115" t="str">
        <f>_xll.BDP("371668RY Muni","SPREAD_AT_ISSUANCE_TO_WORST")</f>
        <v>#N/A Requesting Data...</v>
      </c>
      <c r="H1115" t="str">
        <f>_xll.BDP("371668RY Muni","ISSUE_DT")</f>
        <v>#N/A Requesting Data...</v>
      </c>
      <c r="I1115" t="str">
        <f>_xll.BDS("371668RY Muni","MUNI_PURPOSE_SCHED", "aggregate=y")</f>
        <v>#N/A Requesting Data...</v>
      </c>
      <c r="J1115" t="str">
        <f>_xll.BDP("371668RY Muni","CPN")</f>
        <v>#N/A Requesting Data...</v>
      </c>
      <c r="K1115" t="str">
        <f>_xll.BDP("371668RY Muni","MATURITY")</f>
        <v>#N/A Requesting Data...</v>
      </c>
      <c r="L1115">
        <v>335000</v>
      </c>
      <c r="M1115" t="str">
        <f>_xll.BDP("371668RY Muni","YIELD_ON_ISSUE_DATE")</f>
        <v>#N/A Requesting Data...</v>
      </c>
      <c r="N1115" t="str">
        <f>_xll.BDP("371668RY Muni","YTW_SPREAD_TO_MATURITY_AT_ISSU")</f>
        <v>#N/A Requesting Data...</v>
      </c>
      <c r="O1115" t="str">
        <f>_xll.BDP("371668RY Muni","BVAL_MID_YTM")</f>
        <v>#N/A Requesting Data...</v>
      </c>
      <c r="P1115" t="str">
        <f>_xll.BDP("371668RY Muni","MUNI_TAX_PROV")</f>
        <v>#N/A Requesting Data...</v>
      </c>
      <c r="Q1115" t="str">
        <f>_xll.BDP("371668RY Muni","MUNI_FED_TAX")</f>
        <v>#N/A Requesting Data...</v>
      </c>
      <c r="R1115" t="str">
        <f>_xll.BDP("371668RY Muni","MUNI_MSRB_VOLUME")</f>
        <v>#N/A Requesting Data...</v>
      </c>
      <c r="S1115" t="str">
        <f>_xll.BDP("371668RY Muni","BB_COMPOSITE")</f>
        <v>#N/A Requesting Data...</v>
      </c>
      <c r="T1115" t="str">
        <f>_xll.BDP("371668RY Muni","LQA_LIQUIDITY_SCORE")</f>
        <v>#N/A Requesting Data...</v>
      </c>
    </row>
    <row r="1116" spans="1:20" x14ac:dyDescent="0.25">
      <c r="A1116" t="str">
        <f>_xll.BDP("37530ABB Muni","ID_CUSIP")</f>
        <v>#N/A Requesting Data...</v>
      </c>
      <c r="B1116" t="s">
        <v>292</v>
      </c>
      <c r="C1116" t="str">
        <f>_xll.BDP("37530ABB Muni","INSURANCE_STATUS")</f>
        <v>#N/A Requesting Data...</v>
      </c>
      <c r="D1116" t="str">
        <f>_xll.BDP("37530ABB Muni","STATE_CODE")</f>
        <v>#N/A Requesting Data...</v>
      </c>
      <c r="E1116" t="str">
        <f>_xll.BDP("37530ABB Muni","COUNTY_LOCATION_ISSUER")</f>
        <v>#N/A Requesting Data...</v>
      </c>
      <c r="F1116" t="str">
        <f>_xll.BDP("37530ABB Muni","DUR_ADJ_MID")</f>
        <v>#N/A Requesting Data...</v>
      </c>
      <c r="G1116" t="str">
        <f>_xll.BDP("37530ABB Muni","SPREAD_AT_ISSUANCE_TO_WORST")</f>
        <v>#N/A Requesting Data...</v>
      </c>
      <c r="H1116" t="str">
        <f>_xll.BDP("37530ABB Muni","ISSUE_DT")</f>
        <v>#N/A Requesting Data...</v>
      </c>
      <c r="I1116" t="str">
        <f>_xll.BDS("37530ABB Muni","MUNI_PURPOSE_SCHED", "aggregate=y")</f>
        <v>#N/A Requesting Data...</v>
      </c>
      <c r="J1116" t="str">
        <f>_xll.BDP("37530ABB Muni","CPN")</f>
        <v>#N/A Requesting Data...</v>
      </c>
      <c r="K1116" t="str">
        <f>_xll.BDP("37530ABB Muni","MATURITY")</f>
        <v>#N/A Requesting Data...</v>
      </c>
      <c r="L1116">
        <v>2335000</v>
      </c>
      <c r="M1116" t="str">
        <f>_xll.BDP("37530ABB Muni","YIELD_ON_ISSUE_DATE")</f>
        <v>#N/A Requesting Data...</v>
      </c>
      <c r="N1116" t="str">
        <f>_xll.BDP("37530ABB Muni","YTW_SPREAD_TO_MATURITY_AT_ISSU")</f>
        <v>#N/A Requesting Data...</v>
      </c>
      <c r="O1116" t="str">
        <f>_xll.BDP("37530ABB Muni","BVAL_MID_YTM")</f>
        <v>#N/A Requesting Data...</v>
      </c>
      <c r="P1116" t="str">
        <f>_xll.BDP("37530ABB Muni","MUNI_TAX_PROV")</f>
        <v>#N/A Requesting Data...</v>
      </c>
      <c r="Q1116" t="str">
        <f>_xll.BDP("37530ABB Muni","MUNI_FED_TAX")</f>
        <v>#N/A Requesting Data...</v>
      </c>
      <c r="R1116" t="str">
        <f>_xll.BDP("37530ABB Muni","MUNI_MSRB_VOLUME")</f>
        <v>#N/A Requesting Data...</v>
      </c>
      <c r="S1116" t="str">
        <f>_xll.BDP("37530ABB Muni","BB_COMPOSITE")</f>
        <v>#N/A Requesting Data...</v>
      </c>
      <c r="T1116" t="str">
        <f>_xll.BDP("37530ABB Muni","LQA_LIQUIDITY_SCORE")</f>
        <v>#N/A Requesting Data...</v>
      </c>
    </row>
    <row r="1117" spans="1:20" x14ac:dyDescent="0.25">
      <c r="A1117" t="str">
        <f>_xll.BDP("37530ABC Muni","ID_CUSIP")</f>
        <v>#N/A Requesting Data...</v>
      </c>
      <c r="B1117" t="s">
        <v>292</v>
      </c>
      <c r="C1117" t="str">
        <f>_xll.BDP("37530ABC Muni","INSURANCE_STATUS")</f>
        <v>#N/A Requesting Data...</v>
      </c>
      <c r="D1117" t="str">
        <f>_xll.BDP("37530ABC Muni","STATE_CODE")</f>
        <v>#N/A Requesting Data...</v>
      </c>
      <c r="E1117" t="str">
        <f>_xll.BDP("37530ABC Muni","COUNTY_LOCATION_ISSUER")</f>
        <v>#N/A Requesting Data...</v>
      </c>
      <c r="F1117" t="str">
        <f>_xll.BDP("37530ABC Muni","DUR_ADJ_MID")</f>
        <v>#N/A Requesting Data...</v>
      </c>
      <c r="G1117" t="str">
        <f>_xll.BDP("37530ABC Muni","SPREAD_AT_ISSUANCE_TO_WORST")</f>
        <v>#N/A Requesting Data...</v>
      </c>
      <c r="H1117" t="str">
        <f>_xll.BDP("37530ABC Muni","ISSUE_DT")</f>
        <v>#N/A Requesting Data...</v>
      </c>
      <c r="I1117" t="str">
        <f>_xll.BDS("37530ABC Muni","MUNI_PURPOSE_SCHED", "aggregate=y")</f>
        <v>#N/A Requesting Data...</v>
      </c>
      <c r="J1117" t="str">
        <f>_xll.BDP("37530ABC Muni","CPN")</f>
        <v>#N/A Requesting Data...</v>
      </c>
      <c r="K1117" t="str">
        <f>_xll.BDP("37530ABC Muni","MATURITY")</f>
        <v>#N/A Requesting Data...</v>
      </c>
      <c r="L1117">
        <v>2450000</v>
      </c>
      <c r="M1117" t="str">
        <f>_xll.BDP("37530ABC Muni","YIELD_ON_ISSUE_DATE")</f>
        <v>#N/A Requesting Data...</v>
      </c>
      <c r="N1117" t="str">
        <f>_xll.BDP("37530ABC Muni","YTW_SPREAD_TO_MATURITY_AT_ISSU")</f>
        <v>#N/A Requesting Data...</v>
      </c>
      <c r="O1117" t="str">
        <f>_xll.BDP("37530ABC Muni","BVAL_MID_YTM")</f>
        <v>#N/A Requesting Data...</v>
      </c>
      <c r="P1117" t="str">
        <f>_xll.BDP("37530ABC Muni","MUNI_TAX_PROV")</f>
        <v>#N/A Requesting Data...</v>
      </c>
      <c r="Q1117" t="str">
        <f>_xll.BDP("37530ABC Muni","MUNI_FED_TAX")</f>
        <v>#N/A Requesting Data...</v>
      </c>
      <c r="R1117" t="str">
        <f>_xll.BDP("37530ABC Muni","MUNI_MSRB_VOLUME")</f>
        <v>#N/A Requesting Data...</v>
      </c>
      <c r="S1117" t="str">
        <f>_xll.BDP("37530ABC Muni","BB_COMPOSITE")</f>
        <v>#N/A Requesting Data...</v>
      </c>
      <c r="T1117" t="str">
        <f>_xll.BDP("37530ABC Muni","LQA_LIQUIDITY_SCORE")</f>
        <v>#N/A Requesting Data...</v>
      </c>
    </row>
    <row r="1118" spans="1:20" x14ac:dyDescent="0.25">
      <c r="A1118" t="str">
        <f>_xll.BDP("37530ABD Muni","ID_CUSIP")</f>
        <v>#N/A Requesting Data...</v>
      </c>
      <c r="B1118" t="s">
        <v>292</v>
      </c>
      <c r="C1118" t="str">
        <f>_xll.BDP("37530ABD Muni","INSURANCE_STATUS")</f>
        <v>#N/A Requesting Data...</v>
      </c>
      <c r="D1118" t="str">
        <f>_xll.BDP("37530ABD Muni","STATE_CODE")</f>
        <v>#N/A Requesting Data...</v>
      </c>
      <c r="E1118" t="str">
        <f>_xll.BDP("37530ABD Muni","COUNTY_LOCATION_ISSUER")</f>
        <v>#N/A Requesting Data...</v>
      </c>
      <c r="F1118" t="str">
        <f>_xll.BDP("37530ABD Muni","DUR_ADJ_MID")</f>
        <v>#N/A Requesting Data...</v>
      </c>
      <c r="G1118" t="str">
        <f>_xll.BDP("37530ABD Muni","SPREAD_AT_ISSUANCE_TO_WORST")</f>
        <v>#N/A Requesting Data...</v>
      </c>
      <c r="H1118" t="str">
        <f>_xll.BDP("37530ABD Muni","ISSUE_DT")</f>
        <v>#N/A Requesting Data...</v>
      </c>
      <c r="I1118" t="str">
        <f>_xll.BDS("37530ABD Muni","MUNI_PURPOSE_SCHED", "aggregate=y")</f>
        <v>#N/A Requesting Data...</v>
      </c>
      <c r="J1118" t="str">
        <f>_xll.BDP("37530ABD Muni","CPN")</f>
        <v>#N/A Requesting Data...</v>
      </c>
      <c r="K1118" t="str">
        <f>_xll.BDP("37530ABD Muni","MATURITY")</f>
        <v>#N/A Requesting Data...</v>
      </c>
      <c r="L1118">
        <v>2575000</v>
      </c>
      <c r="M1118" t="str">
        <f>_xll.BDP("37530ABD Muni","YIELD_ON_ISSUE_DATE")</f>
        <v>#N/A Requesting Data...</v>
      </c>
      <c r="N1118" t="str">
        <f>_xll.BDP("37530ABD Muni","YTW_SPREAD_TO_MATURITY_AT_ISSU")</f>
        <v>#N/A Requesting Data...</v>
      </c>
      <c r="O1118" t="str">
        <f>_xll.BDP("37530ABD Muni","BVAL_MID_YTM")</f>
        <v>#N/A Requesting Data...</v>
      </c>
      <c r="P1118" t="str">
        <f>_xll.BDP("37530ABD Muni","MUNI_TAX_PROV")</f>
        <v>#N/A Requesting Data...</v>
      </c>
      <c r="Q1118" t="str">
        <f>_xll.BDP("37530ABD Muni","MUNI_FED_TAX")</f>
        <v>#N/A Requesting Data...</v>
      </c>
      <c r="R1118" t="str">
        <f>_xll.BDP("37530ABD Muni","MUNI_MSRB_VOLUME")</f>
        <v>#N/A Requesting Data...</v>
      </c>
      <c r="S1118" t="str">
        <f>_xll.BDP("37530ABD Muni","BB_COMPOSITE")</f>
        <v>#N/A Requesting Data...</v>
      </c>
      <c r="T1118" t="str">
        <f>_xll.BDP("37530ABD Muni","LQA_LIQUIDITY_SCORE")</f>
        <v>#N/A Requesting Data...</v>
      </c>
    </row>
    <row r="1119" spans="1:20" x14ac:dyDescent="0.25">
      <c r="A1119" t="str">
        <f>_xll.BDP("37530ABE Muni","ID_CUSIP")</f>
        <v>#N/A Requesting Data...</v>
      </c>
      <c r="B1119" t="s">
        <v>292</v>
      </c>
      <c r="C1119" t="str">
        <f>_xll.BDP("37530ABE Muni","INSURANCE_STATUS")</f>
        <v>#N/A Requesting Data...</v>
      </c>
      <c r="D1119" t="str">
        <f>_xll.BDP("37530ABE Muni","STATE_CODE")</f>
        <v>#N/A Requesting Data...</v>
      </c>
      <c r="E1119" t="str">
        <f>_xll.BDP("37530ABE Muni","COUNTY_LOCATION_ISSUER")</f>
        <v>#N/A Requesting Data...</v>
      </c>
      <c r="F1119" t="str">
        <f>_xll.BDP("37530ABE Muni","DUR_ADJ_MID")</f>
        <v>#N/A Requesting Data...</v>
      </c>
      <c r="G1119" t="str">
        <f>_xll.BDP("37530ABE Muni","SPREAD_AT_ISSUANCE_TO_WORST")</f>
        <v>#N/A Requesting Data...</v>
      </c>
      <c r="H1119" t="str">
        <f>_xll.BDP("37530ABE Muni","ISSUE_DT")</f>
        <v>#N/A Requesting Data...</v>
      </c>
      <c r="I1119" t="str">
        <f>_xll.BDS("37530ABE Muni","MUNI_PURPOSE_SCHED", "aggregate=y")</f>
        <v>#N/A Requesting Data...</v>
      </c>
      <c r="J1119" t="str">
        <f>_xll.BDP("37530ABE Muni","CPN")</f>
        <v>#N/A Requesting Data...</v>
      </c>
      <c r="K1119" t="str">
        <f>_xll.BDP("37530ABE Muni","MATURITY")</f>
        <v>#N/A Requesting Data...</v>
      </c>
      <c r="L1119">
        <v>2700000</v>
      </c>
      <c r="M1119" t="str">
        <f>_xll.BDP("37530ABE Muni","YIELD_ON_ISSUE_DATE")</f>
        <v>#N/A Requesting Data...</v>
      </c>
      <c r="N1119" t="str">
        <f>_xll.BDP("37530ABE Muni","YTW_SPREAD_TO_MATURITY_AT_ISSU")</f>
        <v>#N/A Requesting Data...</v>
      </c>
      <c r="O1119" t="str">
        <f>_xll.BDP("37530ABE Muni","BVAL_MID_YTM")</f>
        <v>#N/A Requesting Data...</v>
      </c>
      <c r="P1119" t="str">
        <f>_xll.BDP("37530ABE Muni","MUNI_TAX_PROV")</f>
        <v>#N/A Requesting Data...</v>
      </c>
      <c r="Q1119" t="str">
        <f>_xll.BDP("37530ABE Muni","MUNI_FED_TAX")</f>
        <v>#N/A Requesting Data...</v>
      </c>
      <c r="R1119" t="str">
        <f>_xll.BDP("37530ABE Muni","MUNI_MSRB_VOLUME")</f>
        <v>#N/A Requesting Data...</v>
      </c>
      <c r="S1119" t="str">
        <f>_xll.BDP("37530ABE Muni","BB_COMPOSITE")</f>
        <v>#N/A Requesting Data...</v>
      </c>
      <c r="T1119" t="str">
        <f>_xll.BDP("37530ABE Muni","LQA_LIQUIDITY_SCORE")</f>
        <v>#N/A Requesting Data...</v>
      </c>
    </row>
    <row r="1120" spans="1:20" x14ac:dyDescent="0.25">
      <c r="A1120" t="str">
        <f>_xll.BDP("521854AC Muni","ID_CUSIP")</f>
        <v>#N/A Requesting Data...</v>
      </c>
      <c r="B1120" t="s">
        <v>293</v>
      </c>
      <c r="C1120" t="str">
        <f>_xll.BDP("521854AC Muni","INSURANCE_STATUS")</f>
        <v>#N/A Requesting Data...</v>
      </c>
      <c r="D1120" t="str">
        <f>_xll.BDP("521854AC Muni","STATE_CODE")</f>
        <v>#N/A Requesting Data...</v>
      </c>
      <c r="E1120" t="str">
        <f>_xll.BDP("521854AC Muni","COUNTY_LOCATION_ISSUER")</f>
        <v>#N/A Requesting Data...</v>
      </c>
      <c r="F1120" t="str">
        <f>_xll.BDP("521854AC Muni","DUR_ADJ_MID")</f>
        <v>#N/A Requesting Data...</v>
      </c>
      <c r="G1120" t="str">
        <f>_xll.BDP("521854AC Muni","SPREAD_AT_ISSUANCE_TO_WORST")</f>
        <v>#N/A Requesting Data...</v>
      </c>
      <c r="H1120" t="str">
        <f>_xll.BDP("521854AC Muni","ISSUE_DT")</f>
        <v>#N/A Requesting Data...</v>
      </c>
      <c r="I1120" t="str">
        <f>_xll.BDS("521854AC Muni","MUNI_PURPOSE_SCHED", "aggregate=y")</f>
        <v>#N/A Requesting Data...</v>
      </c>
      <c r="J1120" t="str">
        <f>_xll.BDP("521854AC Muni","CPN")</f>
        <v>#N/A Requesting Data...</v>
      </c>
      <c r="K1120" t="str">
        <f>_xll.BDP("521854AC Muni","MATURITY")</f>
        <v>#N/A Requesting Data...</v>
      </c>
      <c r="L1120">
        <v>90000</v>
      </c>
      <c r="M1120" t="str">
        <f>_xll.BDP("521854AC Muni","YIELD_ON_ISSUE_DATE")</f>
        <v>#N/A Requesting Data...</v>
      </c>
      <c r="N1120" t="str">
        <f>_xll.BDP("521854AC Muni","YTW_SPREAD_TO_MATURITY_AT_ISSU")</f>
        <v>#N/A Requesting Data...</v>
      </c>
      <c r="O1120" t="str">
        <f>_xll.BDP("521854AC Muni","BVAL_MID_YTM")</f>
        <v>#N/A Requesting Data...</v>
      </c>
      <c r="P1120" t="str">
        <f>_xll.BDP("521854AC Muni","MUNI_TAX_PROV")</f>
        <v>#N/A Requesting Data...</v>
      </c>
      <c r="Q1120" t="str">
        <f>_xll.BDP("521854AC Muni","MUNI_FED_TAX")</f>
        <v>#N/A Requesting Data...</v>
      </c>
      <c r="R1120" t="str">
        <f>_xll.BDP("521854AC Muni","MUNI_MSRB_VOLUME")</f>
        <v>#N/A Requesting Data...</v>
      </c>
      <c r="S1120" t="str">
        <f>_xll.BDP("521854AC Muni","BB_COMPOSITE")</f>
        <v>#N/A Requesting Data...</v>
      </c>
      <c r="T1120" t="str">
        <f>_xll.BDP("521854AC Muni","LQA_LIQUIDITY_SCORE")</f>
        <v>#N/A Requesting Data...</v>
      </c>
    </row>
    <row r="1121" spans="1:20" x14ac:dyDescent="0.25">
      <c r="A1121" t="str">
        <f>_xll.BDP("521854AD Muni","ID_CUSIP")</f>
        <v>#N/A Requesting Data...</v>
      </c>
      <c r="B1121" t="s">
        <v>293</v>
      </c>
      <c r="C1121" t="str">
        <f>_xll.BDP("521854AD Muni","INSURANCE_STATUS")</f>
        <v>#N/A Requesting Data...</v>
      </c>
      <c r="D1121" t="str">
        <f>_xll.BDP("521854AD Muni","STATE_CODE")</f>
        <v>#N/A Requesting Data...</v>
      </c>
      <c r="E1121" t="str">
        <f>_xll.BDP("521854AD Muni","COUNTY_LOCATION_ISSUER")</f>
        <v>#N/A Requesting Data...</v>
      </c>
      <c r="F1121" t="str">
        <f>_xll.BDP("521854AD Muni","DUR_ADJ_MID")</f>
        <v>#N/A Requesting Data...</v>
      </c>
      <c r="G1121" t="str">
        <f>_xll.BDP("521854AD Muni","SPREAD_AT_ISSUANCE_TO_WORST")</f>
        <v>#N/A Requesting Data...</v>
      </c>
      <c r="H1121" t="str">
        <f>_xll.BDP("521854AD Muni","ISSUE_DT")</f>
        <v>#N/A Requesting Data...</v>
      </c>
      <c r="I1121" t="str">
        <f>_xll.BDS("521854AD Muni","MUNI_PURPOSE_SCHED", "aggregate=y")</f>
        <v>#N/A Requesting Data...</v>
      </c>
      <c r="J1121" t="str">
        <f>_xll.BDP("521854AD Muni","CPN")</f>
        <v>#N/A Requesting Data...</v>
      </c>
      <c r="K1121" t="str">
        <f>_xll.BDP("521854AD Muni","MATURITY")</f>
        <v>#N/A Requesting Data...</v>
      </c>
      <c r="L1121">
        <v>95000</v>
      </c>
      <c r="M1121" t="str">
        <f>_xll.BDP("521854AD Muni","YIELD_ON_ISSUE_DATE")</f>
        <v>#N/A Requesting Data...</v>
      </c>
      <c r="N1121" t="str">
        <f>_xll.BDP("521854AD Muni","YTW_SPREAD_TO_MATURITY_AT_ISSU")</f>
        <v>#N/A Requesting Data...</v>
      </c>
      <c r="O1121" t="str">
        <f>_xll.BDP("521854AD Muni","BVAL_MID_YTM")</f>
        <v>#N/A Requesting Data...</v>
      </c>
      <c r="P1121" t="str">
        <f>_xll.BDP("521854AD Muni","MUNI_TAX_PROV")</f>
        <v>#N/A Requesting Data...</v>
      </c>
      <c r="Q1121" t="str">
        <f>_xll.BDP("521854AD Muni","MUNI_FED_TAX")</f>
        <v>#N/A Requesting Data...</v>
      </c>
      <c r="R1121" t="str">
        <f>_xll.BDP("521854AD Muni","MUNI_MSRB_VOLUME")</f>
        <v>#N/A Requesting Data...</v>
      </c>
      <c r="S1121" t="str">
        <f>_xll.BDP("521854AD Muni","BB_COMPOSITE")</f>
        <v>#N/A Requesting Data...</v>
      </c>
      <c r="T1121" t="str">
        <f>_xll.BDP("521854AD Muni","LQA_LIQUIDITY_SCORE")</f>
        <v>#N/A Requesting Data...</v>
      </c>
    </row>
    <row r="1122" spans="1:20" x14ac:dyDescent="0.25">
      <c r="A1122" t="str">
        <f>_xll.BDP("521854AE Muni","ID_CUSIP")</f>
        <v>#N/A Requesting Data...</v>
      </c>
      <c r="B1122" t="s">
        <v>293</v>
      </c>
      <c r="C1122" t="str">
        <f>_xll.BDP("521854AE Muni","INSURANCE_STATUS")</f>
        <v>#N/A Requesting Data...</v>
      </c>
      <c r="D1122" t="str">
        <f>_xll.BDP("521854AE Muni","STATE_CODE")</f>
        <v>#N/A Requesting Data...</v>
      </c>
      <c r="E1122" t="str">
        <f>_xll.BDP("521854AE Muni","COUNTY_LOCATION_ISSUER")</f>
        <v>#N/A Requesting Data...</v>
      </c>
      <c r="F1122" t="str">
        <f>_xll.BDP("521854AE Muni","DUR_ADJ_MID")</f>
        <v>#N/A Requesting Data...</v>
      </c>
      <c r="G1122" t="str">
        <f>_xll.BDP("521854AE Muni","SPREAD_AT_ISSUANCE_TO_WORST")</f>
        <v>#N/A Requesting Data...</v>
      </c>
      <c r="H1122" t="str">
        <f>_xll.BDP("521854AE Muni","ISSUE_DT")</f>
        <v>#N/A Requesting Data...</v>
      </c>
      <c r="I1122" t="str">
        <f>_xll.BDS("521854AE Muni","MUNI_PURPOSE_SCHED", "aggregate=y")</f>
        <v>#N/A Requesting Data...</v>
      </c>
      <c r="J1122" t="str">
        <f>_xll.BDP("521854AE Muni","CPN")</f>
        <v>#N/A Requesting Data...</v>
      </c>
      <c r="K1122" t="str">
        <f>_xll.BDP("521854AE Muni","MATURITY")</f>
        <v>#N/A Requesting Data...</v>
      </c>
      <c r="L1122">
        <v>100000</v>
      </c>
      <c r="M1122" t="str">
        <f>_xll.BDP("521854AE Muni","YIELD_ON_ISSUE_DATE")</f>
        <v>#N/A Requesting Data...</v>
      </c>
      <c r="N1122" t="str">
        <f>_xll.BDP("521854AE Muni","YTW_SPREAD_TO_MATURITY_AT_ISSU")</f>
        <v>#N/A Requesting Data...</v>
      </c>
      <c r="O1122" t="str">
        <f>_xll.BDP("521854AE Muni","BVAL_MID_YTM")</f>
        <v>#N/A Requesting Data...</v>
      </c>
      <c r="P1122" t="str">
        <f>_xll.BDP("521854AE Muni","MUNI_TAX_PROV")</f>
        <v>#N/A Requesting Data...</v>
      </c>
      <c r="Q1122" t="str">
        <f>_xll.BDP("521854AE Muni","MUNI_FED_TAX")</f>
        <v>#N/A Requesting Data...</v>
      </c>
      <c r="R1122" t="str">
        <f>_xll.BDP("521854AE Muni","MUNI_MSRB_VOLUME")</f>
        <v>#N/A Requesting Data...</v>
      </c>
      <c r="S1122" t="str">
        <f>_xll.BDP("521854AE Muni","BB_COMPOSITE")</f>
        <v>#N/A Requesting Data...</v>
      </c>
      <c r="T1122" t="str">
        <f>_xll.BDP("521854AE Muni","LQA_LIQUIDITY_SCORE")</f>
        <v>#N/A Requesting Data...</v>
      </c>
    </row>
    <row r="1123" spans="1:20" x14ac:dyDescent="0.25">
      <c r="A1123" t="str">
        <f>_xll.BDP("521854AF Muni","ID_CUSIP")</f>
        <v>#N/A Requesting Data...</v>
      </c>
      <c r="B1123" t="s">
        <v>293</v>
      </c>
      <c r="C1123" t="str">
        <f>_xll.BDP("521854AF Muni","INSURANCE_STATUS")</f>
        <v>#N/A Requesting Data...</v>
      </c>
      <c r="D1123" t="str">
        <f>_xll.BDP("521854AF Muni","STATE_CODE")</f>
        <v>#N/A Requesting Data...</v>
      </c>
      <c r="E1123" t="str">
        <f>_xll.BDP("521854AF Muni","COUNTY_LOCATION_ISSUER")</f>
        <v>#N/A Requesting Data...</v>
      </c>
      <c r="F1123" t="str">
        <f>_xll.BDP("521854AF Muni","DUR_ADJ_MID")</f>
        <v>#N/A Requesting Data...</v>
      </c>
      <c r="G1123" t="str">
        <f>_xll.BDP("521854AF Muni","SPREAD_AT_ISSUANCE_TO_WORST")</f>
        <v>#N/A Requesting Data...</v>
      </c>
      <c r="H1123" t="str">
        <f>_xll.BDP("521854AF Muni","ISSUE_DT")</f>
        <v>#N/A Requesting Data...</v>
      </c>
      <c r="I1123" t="str">
        <f>_xll.BDS("521854AF Muni","MUNI_PURPOSE_SCHED", "aggregate=y")</f>
        <v>#N/A Requesting Data...</v>
      </c>
      <c r="J1123" t="str">
        <f>_xll.BDP("521854AF Muni","CPN")</f>
        <v>#N/A Requesting Data...</v>
      </c>
      <c r="K1123" t="str">
        <f>_xll.BDP("521854AF Muni","MATURITY")</f>
        <v>#N/A Requesting Data...</v>
      </c>
      <c r="L1123">
        <v>105000</v>
      </c>
      <c r="M1123" t="str">
        <f>_xll.BDP("521854AF Muni","YIELD_ON_ISSUE_DATE")</f>
        <v>#N/A Requesting Data...</v>
      </c>
      <c r="N1123" t="str">
        <f>_xll.BDP("521854AF Muni","YTW_SPREAD_TO_MATURITY_AT_ISSU")</f>
        <v>#N/A Requesting Data...</v>
      </c>
      <c r="O1123" t="str">
        <f>_xll.BDP("521854AF Muni","BVAL_MID_YTM")</f>
        <v>#N/A Requesting Data...</v>
      </c>
      <c r="P1123" t="str">
        <f>_xll.BDP("521854AF Muni","MUNI_TAX_PROV")</f>
        <v>#N/A Requesting Data...</v>
      </c>
      <c r="Q1123" t="str">
        <f>_xll.BDP("521854AF Muni","MUNI_FED_TAX")</f>
        <v>#N/A Requesting Data...</v>
      </c>
      <c r="R1123" t="str">
        <f>_xll.BDP("521854AF Muni","MUNI_MSRB_VOLUME")</f>
        <v>#N/A Requesting Data...</v>
      </c>
      <c r="S1123" t="str">
        <f>_xll.BDP("521854AF Muni","BB_COMPOSITE")</f>
        <v>#N/A Requesting Data...</v>
      </c>
      <c r="T1123" t="str">
        <f>_xll.BDP("521854AF Muni","LQA_LIQUIDITY_SCORE")</f>
        <v>#N/A Requesting Data...</v>
      </c>
    </row>
    <row r="1124" spans="1:20" x14ac:dyDescent="0.25">
      <c r="A1124" t="str">
        <f>_xll.BDP("522387BA Muni","ID_CUSIP")</f>
        <v>#N/A Requesting Data...</v>
      </c>
      <c r="B1124" t="s">
        <v>294</v>
      </c>
      <c r="C1124" t="str">
        <f>_xll.BDP("522387BA Muni","INSURANCE_STATUS")</f>
        <v>#N/A Requesting Data...</v>
      </c>
      <c r="D1124" t="str">
        <f>_xll.BDP("522387BA Muni","STATE_CODE")</f>
        <v>#N/A Requesting Data...</v>
      </c>
      <c r="E1124" t="str">
        <f>_xll.BDP("522387BA Muni","COUNTY_LOCATION_ISSUER")</f>
        <v>#N/A Requesting Data...</v>
      </c>
      <c r="F1124" t="str">
        <f>_xll.BDP("522387BA Muni","DUR_ADJ_MID")</f>
        <v>#N/A Requesting Data...</v>
      </c>
      <c r="G1124" t="str">
        <f>_xll.BDP("522387BA Muni","SPREAD_AT_ISSUANCE_TO_WORST")</f>
        <v>#N/A Requesting Data...</v>
      </c>
      <c r="H1124" t="str">
        <f>_xll.BDP("522387BA Muni","ISSUE_DT")</f>
        <v>#N/A Requesting Data...</v>
      </c>
      <c r="I1124" t="str">
        <f>_xll.BDS("522387BA Muni","MUNI_PURPOSE_SCHED", "aggregate=y")</f>
        <v>#N/A Requesting Data...</v>
      </c>
      <c r="J1124" t="str">
        <f>_xll.BDP("522387BA Muni","CPN")</f>
        <v>#N/A Requesting Data...</v>
      </c>
      <c r="K1124" t="str">
        <f>_xll.BDP("522387BA Muni","MATURITY")</f>
        <v>#N/A Requesting Data...</v>
      </c>
      <c r="L1124">
        <v>120000</v>
      </c>
      <c r="M1124" t="str">
        <f>_xll.BDP("522387BA Muni","YIELD_ON_ISSUE_DATE")</f>
        <v>#N/A Requesting Data...</v>
      </c>
      <c r="N1124" t="str">
        <f>_xll.BDP("522387BA Muni","YTW_SPREAD_TO_MATURITY_AT_ISSU")</f>
        <v>#N/A Requesting Data...</v>
      </c>
      <c r="O1124" t="str">
        <f>_xll.BDP("522387BA Muni","BVAL_MID_YTM")</f>
        <v>#N/A Requesting Data...</v>
      </c>
      <c r="P1124" t="str">
        <f>_xll.BDP("522387BA Muni","MUNI_TAX_PROV")</f>
        <v>#N/A Requesting Data...</v>
      </c>
      <c r="Q1124" t="str">
        <f>_xll.BDP("522387BA Muni","MUNI_FED_TAX")</f>
        <v>#N/A Requesting Data...</v>
      </c>
      <c r="R1124" t="str">
        <f>_xll.BDP("522387BA Muni","MUNI_MSRB_VOLUME")</f>
        <v>#N/A Requesting Data...</v>
      </c>
      <c r="S1124" t="str">
        <f>_xll.BDP("522387BA Muni","BB_COMPOSITE")</f>
        <v>#N/A Requesting Data...</v>
      </c>
      <c r="T1124" t="str">
        <f>_xll.BDP("522387BA Muni","LQA_LIQUIDITY_SCORE")</f>
        <v>#N/A Requesting Data...</v>
      </c>
    </row>
    <row r="1125" spans="1:20" x14ac:dyDescent="0.25">
      <c r="A1125" t="str">
        <f>_xll.BDP("522387BB Muni","ID_CUSIP")</f>
        <v>#N/A Requesting Data...</v>
      </c>
      <c r="B1125" t="s">
        <v>294</v>
      </c>
      <c r="C1125" t="str">
        <f>_xll.BDP("522387BB Muni","INSURANCE_STATUS")</f>
        <v>#N/A Requesting Data...</v>
      </c>
      <c r="D1125" t="str">
        <f>_xll.BDP("522387BB Muni","STATE_CODE")</f>
        <v>#N/A Requesting Data...</v>
      </c>
      <c r="E1125" t="str">
        <f>_xll.BDP("522387BB Muni","COUNTY_LOCATION_ISSUER")</f>
        <v>#N/A Requesting Data...</v>
      </c>
      <c r="F1125" t="str">
        <f>_xll.BDP("522387BB Muni","DUR_ADJ_MID")</f>
        <v>#N/A Requesting Data...</v>
      </c>
      <c r="G1125" t="str">
        <f>_xll.BDP("522387BB Muni","SPREAD_AT_ISSUANCE_TO_WORST")</f>
        <v>#N/A Requesting Data...</v>
      </c>
      <c r="H1125" t="str">
        <f>_xll.BDP("522387BB Muni","ISSUE_DT")</f>
        <v>#N/A Requesting Data...</v>
      </c>
      <c r="I1125" t="str">
        <f>_xll.BDS("522387BB Muni","MUNI_PURPOSE_SCHED", "aggregate=y")</f>
        <v>#N/A Requesting Data...</v>
      </c>
      <c r="J1125" t="str">
        <f>_xll.BDP("522387BB Muni","CPN")</f>
        <v>#N/A Requesting Data...</v>
      </c>
      <c r="K1125" t="str">
        <f>_xll.BDP("522387BB Muni","MATURITY")</f>
        <v>#N/A Requesting Data...</v>
      </c>
      <c r="L1125">
        <v>125000</v>
      </c>
      <c r="M1125" t="str">
        <f>_xll.BDP("522387BB Muni","YIELD_ON_ISSUE_DATE")</f>
        <v>#N/A Requesting Data...</v>
      </c>
      <c r="N1125" t="str">
        <f>_xll.BDP("522387BB Muni","YTW_SPREAD_TO_MATURITY_AT_ISSU")</f>
        <v>#N/A Requesting Data...</v>
      </c>
      <c r="O1125" t="str">
        <f>_xll.BDP("522387BB Muni","BVAL_MID_YTM")</f>
        <v>#N/A Requesting Data...</v>
      </c>
      <c r="P1125" t="str">
        <f>_xll.BDP("522387BB Muni","MUNI_TAX_PROV")</f>
        <v>#N/A Requesting Data...</v>
      </c>
      <c r="Q1125" t="str">
        <f>_xll.BDP("522387BB Muni","MUNI_FED_TAX")</f>
        <v>#N/A Requesting Data...</v>
      </c>
      <c r="R1125" t="str">
        <f>_xll.BDP("522387BB Muni","MUNI_MSRB_VOLUME")</f>
        <v>#N/A Requesting Data...</v>
      </c>
      <c r="S1125" t="str">
        <f>_xll.BDP("522387BB Muni","BB_COMPOSITE")</f>
        <v>#N/A Requesting Data...</v>
      </c>
      <c r="T1125" t="str">
        <f>_xll.BDP("522387BB Muni","LQA_LIQUIDITY_SCORE")</f>
        <v>#N/A Requesting Data...</v>
      </c>
    </row>
    <row r="1126" spans="1:20" x14ac:dyDescent="0.25">
      <c r="A1126" t="str">
        <f>_xll.BDP("522387BC Muni","ID_CUSIP")</f>
        <v>#N/A Requesting Data...</v>
      </c>
      <c r="B1126" t="s">
        <v>294</v>
      </c>
      <c r="C1126" t="str">
        <f>_xll.BDP("522387BC Muni","INSURANCE_STATUS")</f>
        <v>#N/A Requesting Data...</v>
      </c>
      <c r="D1126" t="str">
        <f>_xll.BDP("522387BC Muni","STATE_CODE")</f>
        <v>#N/A Requesting Data...</v>
      </c>
      <c r="E1126" t="str">
        <f>_xll.BDP("522387BC Muni","COUNTY_LOCATION_ISSUER")</f>
        <v>#N/A Requesting Data...</v>
      </c>
      <c r="F1126" t="str">
        <f>_xll.BDP("522387BC Muni","DUR_ADJ_MID")</f>
        <v>#N/A Requesting Data...</v>
      </c>
      <c r="G1126" t="str">
        <f>_xll.BDP("522387BC Muni","SPREAD_AT_ISSUANCE_TO_WORST")</f>
        <v>#N/A Requesting Data...</v>
      </c>
      <c r="H1126" t="str">
        <f>_xll.BDP("522387BC Muni","ISSUE_DT")</f>
        <v>#N/A Requesting Data...</v>
      </c>
      <c r="I1126" t="str">
        <f>_xll.BDS("522387BC Muni","MUNI_PURPOSE_SCHED", "aggregate=y")</f>
        <v>#N/A Requesting Data...</v>
      </c>
      <c r="J1126" t="str">
        <f>_xll.BDP("522387BC Muni","CPN")</f>
        <v>#N/A Requesting Data...</v>
      </c>
      <c r="K1126" t="str">
        <f>_xll.BDP("522387BC Muni","MATURITY")</f>
        <v>#N/A Requesting Data...</v>
      </c>
      <c r="L1126">
        <v>140000</v>
      </c>
      <c r="M1126" t="str">
        <f>_xll.BDP("522387BC Muni","YIELD_ON_ISSUE_DATE")</f>
        <v>#N/A Requesting Data...</v>
      </c>
      <c r="N1126" t="str">
        <f>_xll.BDP("522387BC Muni","YTW_SPREAD_TO_MATURITY_AT_ISSU")</f>
        <v>#N/A Requesting Data...</v>
      </c>
      <c r="O1126" t="str">
        <f>_xll.BDP("522387BC Muni","BVAL_MID_YTM")</f>
        <v>#N/A Requesting Data...</v>
      </c>
      <c r="P1126" t="str">
        <f>_xll.BDP("522387BC Muni","MUNI_TAX_PROV")</f>
        <v>#N/A Requesting Data...</v>
      </c>
      <c r="Q1126" t="str">
        <f>_xll.BDP("522387BC Muni","MUNI_FED_TAX")</f>
        <v>#N/A Requesting Data...</v>
      </c>
      <c r="R1126" t="str">
        <f>_xll.BDP("522387BC Muni","MUNI_MSRB_VOLUME")</f>
        <v>#N/A Requesting Data...</v>
      </c>
      <c r="S1126" t="str">
        <f>_xll.BDP("522387BC Muni","BB_COMPOSITE")</f>
        <v>#N/A Requesting Data...</v>
      </c>
      <c r="T1126" t="str">
        <f>_xll.BDP("522387BC Muni","LQA_LIQUIDITY_SCORE")</f>
        <v>#N/A Requesting Data...</v>
      </c>
    </row>
    <row r="1127" spans="1:20" x14ac:dyDescent="0.25">
      <c r="A1127" t="str">
        <f>_xll.BDP("522387BD Muni","ID_CUSIP")</f>
        <v>#N/A Requesting Data...</v>
      </c>
      <c r="B1127" t="s">
        <v>294</v>
      </c>
      <c r="C1127" t="str">
        <f>_xll.BDP("522387BD Muni","INSURANCE_STATUS")</f>
        <v>#N/A Requesting Data...</v>
      </c>
      <c r="D1127" t="str">
        <f>_xll.BDP("522387BD Muni","STATE_CODE")</f>
        <v>#N/A Requesting Data...</v>
      </c>
      <c r="E1127" t="str">
        <f>_xll.BDP("522387BD Muni","COUNTY_LOCATION_ISSUER")</f>
        <v>#N/A Requesting Data...</v>
      </c>
      <c r="F1127" t="str">
        <f>_xll.BDP("522387BD Muni","DUR_ADJ_MID")</f>
        <v>#N/A Requesting Data...</v>
      </c>
      <c r="G1127" t="str">
        <f>_xll.BDP("522387BD Muni","SPREAD_AT_ISSUANCE_TO_WORST")</f>
        <v>#N/A Requesting Data...</v>
      </c>
      <c r="H1127" t="str">
        <f>_xll.BDP("522387BD Muni","ISSUE_DT")</f>
        <v>#N/A Requesting Data...</v>
      </c>
      <c r="I1127" t="str">
        <f>_xll.BDS("522387BD Muni","MUNI_PURPOSE_SCHED", "aggregate=y")</f>
        <v>#N/A Requesting Data...</v>
      </c>
      <c r="J1127" t="str">
        <f>_xll.BDP("522387BD Muni","CPN")</f>
        <v>#N/A Requesting Data...</v>
      </c>
      <c r="K1127" t="str">
        <f>_xll.BDP("522387BD Muni","MATURITY")</f>
        <v>#N/A Requesting Data...</v>
      </c>
      <c r="L1127">
        <v>145000</v>
      </c>
      <c r="M1127" t="str">
        <f>_xll.BDP("522387BD Muni","YIELD_ON_ISSUE_DATE")</f>
        <v>#N/A Requesting Data...</v>
      </c>
      <c r="N1127" t="str">
        <f>_xll.BDP("522387BD Muni","YTW_SPREAD_TO_MATURITY_AT_ISSU")</f>
        <v>#N/A Requesting Data...</v>
      </c>
      <c r="O1127" t="str">
        <f>_xll.BDP("522387BD Muni","BVAL_MID_YTM")</f>
        <v>#N/A Requesting Data...</v>
      </c>
      <c r="P1127" t="str">
        <f>_xll.BDP("522387BD Muni","MUNI_TAX_PROV")</f>
        <v>#N/A Requesting Data...</v>
      </c>
      <c r="Q1127" t="str">
        <f>_xll.BDP("522387BD Muni","MUNI_FED_TAX")</f>
        <v>#N/A Requesting Data...</v>
      </c>
      <c r="R1127" t="str">
        <f>_xll.BDP("522387BD Muni","MUNI_MSRB_VOLUME")</f>
        <v>#N/A Requesting Data...</v>
      </c>
      <c r="S1127" t="str">
        <f>_xll.BDP("522387BD Muni","BB_COMPOSITE")</f>
        <v>#N/A Requesting Data...</v>
      </c>
      <c r="T1127" t="str">
        <f>_xll.BDP("522387BD Muni","LQA_LIQUIDITY_SCORE")</f>
        <v>#N/A Requesting Data...</v>
      </c>
    </row>
    <row r="1128" spans="1:20" x14ac:dyDescent="0.25">
      <c r="A1128" t="str">
        <f>_xll.BDP("522387BE Muni","ID_CUSIP")</f>
        <v>#N/A Requesting Data...</v>
      </c>
      <c r="B1128" t="s">
        <v>294</v>
      </c>
      <c r="C1128" t="str">
        <f>_xll.BDP("522387BE Muni","INSURANCE_STATUS")</f>
        <v>#N/A Requesting Data...</v>
      </c>
      <c r="D1128" t="str">
        <f>_xll.BDP("522387BE Muni","STATE_CODE")</f>
        <v>#N/A Requesting Data...</v>
      </c>
      <c r="E1128" t="str">
        <f>_xll.BDP("522387BE Muni","COUNTY_LOCATION_ISSUER")</f>
        <v>#N/A Requesting Data...</v>
      </c>
      <c r="F1128" t="str">
        <f>_xll.BDP("522387BE Muni","DUR_ADJ_MID")</f>
        <v>#N/A Requesting Data...</v>
      </c>
      <c r="G1128" t="str">
        <f>_xll.BDP("522387BE Muni","SPREAD_AT_ISSUANCE_TO_WORST")</f>
        <v>#N/A Requesting Data...</v>
      </c>
      <c r="H1128" t="str">
        <f>_xll.BDP("522387BE Muni","ISSUE_DT")</f>
        <v>#N/A Requesting Data...</v>
      </c>
      <c r="I1128" t="str">
        <f>_xll.BDS("522387BE Muni","MUNI_PURPOSE_SCHED", "aggregate=y")</f>
        <v>#N/A Requesting Data...</v>
      </c>
      <c r="J1128" t="str">
        <f>_xll.BDP("522387BE Muni","CPN")</f>
        <v>#N/A Requesting Data...</v>
      </c>
      <c r="K1128" t="str">
        <f>_xll.BDP("522387BE Muni","MATURITY")</f>
        <v>#N/A Requesting Data...</v>
      </c>
      <c r="L1128">
        <v>150000</v>
      </c>
      <c r="M1128" t="str">
        <f>_xll.BDP("522387BE Muni","YIELD_ON_ISSUE_DATE")</f>
        <v>#N/A Requesting Data...</v>
      </c>
      <c r="N1128" t="str">
        <f>_xll.BDP("522387BE Muni","YTW_SPREAD_TO_MATURITY_AT_ISSU")</f>
        <v>#N/A Requesting Data...</v>
      </c>
      <c r="O1128" t="str">
        <f>_xll.BDP("522387BE Muni","BVAL_MID_YTM")</f>
        <v>#N/A Requesting Data...</v>
      </c>
      <c r="P1128" t="str">
        <f>_xll.BDP("522387BE Muni","MUNI_TAX_PROV")</f>
        <v>#N/A Requesting Data...</v>
      </c>
      <c r="Q1128" t="str">
        <f>_xll.BDP("522387BE Muni","MUNI_FED_TAX")</f>
        <v>#N/A Requesting Data...</v>
      </c>
      <c r="R1128" t="str">
        <f>_xll.BDP("522387BE Muni","MUNI_MSRB_VOLUME")</f>
        <v>#N/A Requesting Data...</v>
      </c>
      <c r="S1128" t="str">
        <f>_xll.BDP("522387BE Muni","BB_COMPOSITE")</f>
        <v>#N/A Requesting Data...</v>
      </c>
      <c r="T1128" t="str">
        <f>_xll.BDP("522387BE Muni","LQA_LIQUIDITY_SCORE")</f>
        <v>#N/A Requesting Data...</v>
      </c>
    </row>
    <row r="1129" spans="1:20" x14ac:dyDescent="0.25">
      <c r="A1129" t="str">
        <f>_xll.BDP("522387BF Muni","ID_CUSIP")</f>
        <v>#N/A Requesting Data...</v>
      </c>
      <c r="B1129" t="s">
        <v>294</v>
      </c>
      <c r="C1129" t="str">
        <f>_xll.BDP("522387BF Muni","INSURANCE_STATUS")</f>
        <v>#N/A Requesting Data...</v>
      </c>
      <c r="D1129" t="str">
        <f>_xll.BDP("522387BF Muni","STATE_CODE")</f>
        <v>#N/A Requesting Data...</v>
      </c>
      <c r="E1129" t="str">
        <f>_xll.BDP("522387BF Muni","COUNTY_LOCATION_ISSUER")</f>
        <v>#N/A Requesting Data...</v>
      </c>
      <c r="F1129" t="str">
        <f>_xll.BDP("522387BF Muni","DUR_ADJ_MID")</f>
        <v>#N/A Requesting Data...</v>
      </c>
      <c r="G1129" t="str">
        <f>_xll.BDP("522387BF Muni","SPREAD_AT_ISSUANCE_TO_WORST")</f>
        <v>#N/A Requesting Data...</v>
      </c>
      <c r="H1129" t="str">
        <f>_xll.BDP("522387BF Muni","ISSUE_DT")</f>
        <v>#N/A Requesting Data...</v>
      </c>
      <c r="I1129" t="str">
        <f>_xll.BDS("522387BF Muni","MUNI_PURPOSE_SCHED", "aggregate=y")</f>
        <v>#N/A Requesting Data...</v>
      </c>
      <c r="J1129" t="str">
        <f>_xll.BDP("522387BF Muni","CPN")</f>
        <v>#N/A Requesting Data...</v>
      </c>
      <c r="K1129" t="str">
        <f>_xll.BDP("522387BF Muni","MATURITY")</f>
        <v>#N/A Requesting Data...</v>
      </c>
      <c r="L1129">
        <v>155000</v>
      </c>
      <c r="M1129" t="str">
        <f>_xll.BDP("522387BF Muni","YIELD_ON_ISSUE_DATE")</f>
        <v>#N/A Requesting Data...</v>
      </c>
      <c r="N1129" t="str">
        <f>_xll.BDP("522387BF Muni","YTW_SPREAD_TO_MATURITY_AT_ISSU")</f>
        <v>#N/A Requesting Data...</v>
      </c>
      <c r="O1129" t="str">
        <f>_xll.BDP("522387BF Muni","BVAL_MID_YTM")</f>
        <v>#N/A Requesting Data...</v>
      </c>
      <c r="P1129" t="str">
        <f>_xll.BDP("522387BF Muni","MUNI_TAX_PROV")</f>
        <v>#N/A Requesting Data...</v>
      </c>
      <c r="Q1129" t="str">
        <f>_xll.BDP("522387BF Muni","MUNI_FED_TAX")</f>
        <v>#N/A Requesting Data...</v>
      </c>
      <c r="R1129" t="str">
        <f>_xll.BDP("522387BF Muni","MUNI_MSRB_VOLUME")</f>
        <v>#N/A Requesting Data...</v>
      </c>
      <c r="S1129" t="str">
        <f>_xll.BDP("522387BF Muni","BB_COMPOSITE")</f>
        <v>#N/A Requesting Data...</v>
      </c>
      <c r="T1129" t="str">
        <f>_xll.BDP("522387BF Muni","LQA_LIQUIDITY_SCORE")</f>
        <v>#N/A Requesting Data...</v>
      </c>
    </row>
    <row r="1130" spans="1:20" x14ac:dyDescent="0.25">
      <c r="A1130" t="str">
        <f>_xll.BDP("522387BG Muni","ID_CUSIP")</f>
        <v>#N/A Requesting Data...</v>
      </c>
      <c r="B1130" t="s">
        <v>294</v>
      </c>
      <c r="C1130" t="str">
        <f>_xll.BDP("522387BG Muni","INSURANCE_STATUS")</f>
        <v>#N/A Requesting Data...</v>
      </c>
      <c r="D1130" t="str">
        <f>_xll.BDP("522387BG Muni","STATE_CODE")</f>
        <v>#N/A Requesting Data...</v>
      </c>
      <c r="E1130" t="str">
        <f>_xll.BDP("522387BG Muni","COUNTY_LOCATION_ISSUER")</f>
        <v>#N/A Requesting Data...</v>
      </c>
      <c r="F1130" t="str">
        <f>_xll.BDP("522387BG Muni","DUR_ADJ_MID")</f>
        <v>#N/A Requesting Data...</v>
      </c>
      <c r="G1130" t="str">
        <f>_xll.BDP("522387BG Muni","SPREAD_AT_ISSUANCE_TO_WORST")</f>
        <v>#N/A Requesting Data...</v>
      </c>
      <c r="H1130" t="str">
        <f>_xll.BDP("522387BG Muni","ISSUE_DT")</f>
        <v>#N/A Requesting Data...</v>
      </c>
      <c r="I1130" t="str">
        <f>_xll.BDS("522387BG Muni","MUNI_PURPOSE_SCHED", "aggregate=y")</f>
        <v>#N/A Requesting Data...</v>
      </c>
      <c r="J1130" t="str">
        <f>_xll.BDP("522387BG Muni","CPN")</f>
        <v>#N/A Requesting Data...</v>
      </c>
      <c r="K1130" t="str">
        <f>_xll.BDP("522387BG Muni","MATURITY")</f>
        <v>#N/A Requesting Data...</v>
      </c>
      <c r="L1130">
        <v>160000</v>
      </c>
      <c r="M1130" t="str">
        <f>_xll.BDP("522387BG Muni","YIELD_ON_ISSUE_DATE")</f>
        <v>#N/A Requesting Data...</v>
      </c>
      <c r="N1130" t="str">
        <f>_xll.BDP("522387BG Muni","YTW_SPREAD_TO_MATURITY_AT_ISSU")</f>
        <v>#N/A Requesting Data...</v>
      </c>
      <c r="O1130" t="str">
        <f>_xll.BDP("522387BG Muni","BVAL_MID_YTM")</f>
        <v>#N/A Requesting Data...</v>
      </c>
      <c r="P1130" t="str">
        <f>_xll.BDP("522387BG Muni","MUNI_TAX_PROV")</f>
        <v>#N/A Requesting Data...</v>
      </c>
      <c r="Q1130" t="str">
        <f>_xll.BDP("522387BG Muni","MUNI_FED_TAX")</f>
        <v>#N/A Requesting Data...</v>
      </c>
      <c r="R1130" t="str">
        <f>_xll.BDP("522387BG Muni","MUNI_MSRB_VOLUME")</f>
        <v>#N/A Requesting Data...</v>
      </c>
      <c r="S1130" t="str">
        <f>_xll.BDP("522387BG Muni","BB_COMPOSITE")</f>
        <v>#N/A Requesting Data...</v>
      </c>
      <c r="T1130" t="str">
        <f>_xll.BDP("522387BG Muni","LQA_LIQUIDITY_SCORE")</f>
        <v>#N/A Requesting Data...</v>
      </c>
    </row>
    <row r="1131" spans="1:20" x14ac:dyDescent="0.25">
      <c r="A1131" t="str">
        <f>_xll.BDP("522387BH Muni","ID_CUSIP")</f>
        <v>#N/A Requesting Data...</v>
      </c>
      <c r="B1131" t="s">
        <v>294</v>
      </c>
      <c r="C1131" t="str">
        <f>_xll.BDP("522387BH Muni","INSURANCE_STATUS")</f>
        <v>#N/A Requesting Data...</v>
      </c>
      <c r="D1131" t="str">
        <f>_xll.BDP("522387BH Muni","STATE_CODE")</f>
        <v>#N/A Requesting Data...</v>
      </c>
      <c r="E1131" t="str">
        <f>_xll.BDP("522387BH Muni","COUNTY_LOCATION_ISSUER")</f>
        <v>#N/A Requesting Data...</v>
      </c>
      <c r="F1131" t="str">
        <f>_xll.BDP("522387BH Muni","DUR_ADJ_MID")</f>
        <v>#N/A Requesting Data...</v>
      </c>
      <c r="G1131" t="str">
        <f>_xll.BDP("522387BH Muni","SPREAD_AT_ISSUANCE_TO_WORST")</f>
        <v>#N/A Requesting Data...</v>
      </c>
      <c r="H1131" t="str">
        <f>_xll.BDP("522387BH Muni","ISSUE_DT")</f>
        <v>#N/A Requesting Data...</v>
      </c>
      <c r="I1131" t="str">
        <f>_xll.BDS("522387BH Muni","MUNI_PURPOSE_SCHED", "aggregate=y")</f>
        <v>#N/A Requesting Data...</v>
      </c>
      <c r="J1131" t="str">
        <f>_xll.BDP("522387BH Muni","CPN")</f>
        <v>#N/A Requesting Data...</v>
      </c>
      <c r="K1131" t="str">
        <f>_xll.BDP("522387BH Muni","MATURITY")</f>
        <v>#N/A Requesting Data...</v>
      </c>
      <c r="L1131">
        <v>160000</v>
      </c>
      <c r="M1131" t="str">
        <f>_xll.BDP("522387BH Muni","YIELD_ON_ISSUE_DATE")</f>
        <v>#N/A Requesting Data...</v>
      </c>
      <c r="N1131" t="str">
        <f>_xll.BDP("522387BH Muni","YTW_SPREAD_TO_MATURITY_AT_ISSU")</f>
        <v>#N/A Requesting Data...</v>
      </c>
      <c r="O1131" t="str">
        <f>_xll.BDP("522387BH Muni","BVAL_MID_YTM")</f>
        <v>#N/A Requesting Data...</v>
      </c>
      <c r="P1131" t="str">
        <f>_xll.BDP("522387BH Muni","MUNI_TAX_PROV")</f>
        <v>#N/A Requesting Data...</v>
      </c>
      <c r="Q1131" t="str">
        <f>_xll.BDP("522387BH Muni","MUNI_FED_TAX")</f>
        <v>#N/A Requesting Data...</v>
      </c>
      <c r="R1131" t="str">
        <f>_xll.BDP("522387BH Muni","MUNI_MSRB_VOLUME")</f>
        <v>#N/A Requesting Data...</v>
      </c>
      <c r="S1131" t="str">
        <f>_xll.BDP("522387BH Muni","BB_COMPOSITE")</f>
        <v>#N/A Requesting Data...</v>
      </c>
      <c r="T1131" t="str">
        <f>_xll.BDP("522387BH Muni","LQA_LIQUIDITY_SCORE")</f>
        <v>#N/A Requesting Data...</v>
      </c>
    </row>
    <row r="1132" spans="1:20" x14ac:dyDescent="0.25">
      <c r="A1132" t="str">
        <f>_xll.BDP("522387BJ Muni","ID_CUSIP")</f>
        <v>#N/A Requesting Data...</v>
      </c>
      <c r="B1132" t="s">
        <v>294</v>
      </c>
      <c r="C1132" t="str">
        <f>_xll.BDP("522387BJ Muni","INSURANCE_STATUS")</f>
        <v>#N/A Requesting Data...</v>
      </c>
      <c r="D1132" t="str">
        <f>_xll.BDP("522387BJ Muni","STATE_CODE")</f>
        <v>#N/A Requesting Data...</v>
      </c>
      <c r="E1132" t="str">
        <f>_xll.BDP("522387BJ Muni","COUNTY_LOCATION_ISSUER")</f>
        <v>#N/A Requesting Data...</v>
      </c>
      <c r="F1132" t="str">
        <f>_xll.BDP("522387BJ Muni","DUR_ADJ_MID")</f>
        <v>#N/A Requesting Data...</v>
      </c>
      <c r="G1132" t="str">
        <f>_xll.BDP("522387BJ Muni","SPREAD_AT_ISSUANCE_TO_WORST")</f>
        <v>#N/A Requesting Data...</v>
      </c>
      <c r="H1132" t="str">
        <f>_xll.BDP("522387BJ Muni","ISSUE_DT")</f>
        <v>#N/A Requesting Data...</v>
      </c>
      <c r="I1132" t="str">
        <f>_xll.BDS("522387BJ Muni","MUNI_PURPOSE_SCHED", "aggregate=y")</f>
        <v>#N/A Requesting Data...</v>
      </c>
      <c r="J1132" t="str">
        <f>_xll.BDP("522387BJ Muni","CPN")</f>
        <v>#N/A Requesting Data...</v>
      </c>
      <c r="K1132" t="str">
        <f>_xll.BDP("522387BJ Muni","MATURITY")</f>
        <v>#N/A Requesting Data...</v>
      </c>
      <c r="L1132">
        <v>165000</v>
      </c>
      <c r="M1132" t="str">
        <f>_xll.BDP("522387BJ Muni","YIELD_ON_ISSUE_DATE")</f>
        <v>#N/A Requesting Data...</v>
      </c>
      <c r="N1132" t="str">
        <f>_xll.BDP("522387BJ Muni","YTW_SPREAD_TO_MATURITY_AT_ISSU")</f>
        <v>#N/A Requesting Data...</v>
      </c>
      <c r="O1132" t="str">
        <f>_xll.BDP("522387BJ Muni","BVAL_MID_YTM")</f>
        <v>#N/A Requesting Data...</v>
      </c>
      <c r="P1132" t="str">
        <f>_xll.BDP("522387BJ Muni","MUNI_TAX_PROV")</f>
        <v>#N/A Requesting Data...</v>
      </c>
      <c r="Q1132" t="str">
        <f>_xll.BDP("522387BJ Muni","MUNI_FED_TAX")</f>
        <v>#N/A Requesting Data...</v>
      </c>
      <c r="R1132" t="str">
        <f>_xll.BDP("522387BJ Muni","MUNI_MSRB_VOLUME")</f>
        <v>#N/A Requesting Data...</v>
      </c>
      <c r="S1132" t="str">
        <f>_xll.BDP("522387BJ Muni","BB_COMPOSITE")</f>
        <v>#N/A Requesting Data...</v>
      </c>
      <c r="T1132" t="str">
        <f>_xll.BDP("522387BJ Muni","LQA_LIQUIDITY_SCORE")</f>
        <v>#N/A Requesting Data...</v>
      </c>
    </row>
    <row r="1133" spans="1:20" x14ac:dyDescent="0.25">
      <c r="A1133" t="str">
        <f>_xll.BDP("522387BK Muni","ID_CUSIP")</f>
        <v>#N/A Requesting Data...</v>
      </c>
      <c r="B1133" t="s">
        <v>294</v>
      </c>
      <c r="C1133" t="str">
        <f>_xll.BDP("522387BK Muni","INSURANCE_STATUS")</f>
        <v>#N/A Requesting Data...</v>
      </c>
      <c r="D1133" t="str">
        <f>_xll.BDP("522387BK Muni","STATE_CODE")</f>
        <v>#N/A Requesting Data...</v>
      </c>
      <c r="E1133" t="str">
        <f>_xll.BDP("522387BK Muni","COUNTY_LOCATION_ISSUER")</f>
        <v>#N/A Requesting Data...</v>
      </c>
      <c r="F1133" t="str">
        <f>_xll.BDP("522387BK Muni","DUR_ADJ_MID")</f>
        <v>#N/A Requesting Data...</v>
      </c>
      <c r="G1133" t="str">
        <f>_xll.BDP("522387BK Muni","SPREAD_AT_ISSUANCE_TO_WORST")</f>
        <v>#N/A Requesting Data...</v>
      </c>
      <c r="H1133" t="str">
        <f>_xll.BDP("522387BK Muni","ISSUE_DT")</f>
        <v>#N/A Requesting Data...</v>
      </c>
      <c r="I1133" t="str">
        <f>_xll.BDS("522387BK Muni","MUNI_PURPOSE_SCHED", "aggregate=y")</f>
        <v>#N/A Requesting Data...</v>
      </c>
      <c r="J1133" t="str">
        <f>_xll.BDP("522387BK Muni","CPN")</f>
        <v>#N/A Requesting Data...</v>
      </c>
      <c r="K1133" t="str">
        <f>_xll.BDP("522387BK Muni","MATURITY")</f>
        <v>#N/A Requesting Data...</v>
      </c>
      <c r="L1133">
        <v>170000</v>
      </c>
      <c r="M1133" t="str">
        <f>_xll.BDP("522387BK Muni","YIELD_ON_ISSUE_DATE")</f>
        <v>#N/A Requesting Data...</v>
      </c>
      <c r="N1133" t="str">
        <f>_xll.BDP("522387BK Muni","YTW_SPREAD_TO_MATURITY_AT_ISSU")</f>
        <v>#N/A Requesting Data...</v>
      </c>
      <c r="O1133" t="str">
        <f>_xll.BDP("522387BK Muni","BVAL_MID_YTM")</f>
        <v>#N/A Requesting Data...</v>
      </c>
      <c r="P1133" t="str">
        <f>_xll.BDP("522387BK Muni","MUNI_TAX_PROV")</f>
        <v>#N/A Requesting Data...</v>
      </c>
      <c r="Q1133" t="str">
        <f>_xll.BDP("522387BK Muni","MUNI_FED_TAX")</f>
        <v>#N/A Requesting Data...</v>
      </c>
      <c r="R1133" t="str">
        <f>_xll.BDP("522387BK Muni","MUNI_MSRB_VOLUME")</f>
        <v>#N/A Requesting Data...</v>
      </c>
      <c r="S1133" t="str">
        <f>_xll.BDP("522387BK Muni","BB_COMPOSITE")</f>
        <v>#N/A Requesting Data...</v>
      </c>
      <c r="T1133" t="str">
        <f>_xll.BDP("522387BK Muni","LQA_LIQUIDITY_SCORE")</f>
        <v>#N/A Requesting Data...</v>
      </c>
    </row>
    <row r="1134" spans="1:20" x14ac:dyDescent="0.25">
      <c r="A1134" t="str">
        <f>_xll.BDP("522387BL Muni","ID_CUSIP")</f>
        <v>#N/A Requesting Data...</v>
      </c>
      <c r="B1134" t="s">
        <v>294</v>
      </c>
      <c r="C1134" t="str">
        <f>_xll.BDP("522387BL Muni","INSURANCE_STATUS")</f>
        <v>#N/A Requesting Data...</v>
      </c>
      <c r="D1134" t="str">
        <f>_xll.BDP("522387BL Muni","STATE_CODE")</f>
        <v>#N/A Requesting Data...</v>
      </c>
      <c r="E1134" t="str">
        <f>_xll.BDP("522387BL Muni","COUNTY_LOCATION_ISSUER")</f>
        <v>#N/A Requesting Data...</v>
      </c>
      <c r="F1134" t="str">
        <f>_xll.BDP("522387BL Muni","DUR_ADJ_MID")</f>
        <v>#N/A Requesting Data...</v>
      </c>
      <c r="G1134" t="str">
        <f>_xll.BDP("522387BL Muni","SPREAD_AT_ISSUANCE_TO_WORST")</f>
        <v>#N/A Requesting Data...</v>
      </c>
      <c r="H1134" t="str">
        <f>_xll.BDP("522387BL Muni","ISSUE_DT")</f>
        <v>#N/A Requesting Data...</v>
      </c>
      <c r="I1134" t="str">
        <f>_xll.BDS("522387BL Muni","MUNI_PURPOSE_SCHED", "aggregate=y")</f>
        <v>#N/A Requesting Data...</v>
      </c>
      <c r="J1134" t="str">
        <f>_xll.BDP("522387BL Muni","CPN")</f>
        <v>#N/A Requesting Data...</v>
      </c>
      <c r="K1134" t="str">
        <f>_xll.BDP("522387BL Muni","MATURITY")</f>
        <v>#N/A Requesting Data...</v>
      </c>
      <c r="L1134">
        <v>170000</v>
      </c>
      <c r="M1134" t="str">
        <f>_xll.BDP("522387BL Muni","YIELD_ON_ISSUE_DATE")</f>
        <v>#N/A Requesting Data...</v>
      </c>
      <c r="N1134" t="str">
        <f>_xll.BDP("522387BL Muni","YTW_SPREAD_TO_MATURITY_AT_ISSU")</f>
        <v>#N/A Requesting Data...</v>
      </c>
      <c r="O1134" t="str">
        <f>_xll.BDP("522387BL Muni","BVAL_MID_YTM")</f>
        <v>#N/A Requesting Data...</v>
      </c>
      <c r="P1134" t="str">
        <f>_xll.BDP("522387BL Muni","MUNI_TAX_PROV")</f>
        <v>#N/A Requesting Data...</v>
      </c>
      <c r="Q1134" t="str">
        <f>_xll.BDP("522387BL Muni","MUNI_FED_TAX")</f>
        <v>#N/A Requesting Data...</v>
      </c>
      <c r="R1134" t="str">
        <f>_xll.BDP("522387BL Muni","MUNI_MSRB_VOLUME")</f>
        <v>#N/A Requesting Data...</v>
      </c>
      <c r="S1134" t="str">
        <f>_xll.BDP("522387BL Muni","BB_COMPOSITE")</f>
        <v>#N/A Requesting Data...</v>
      </c>
      <c r="T1134" t="str">
        <f>_xll.BDP("522387BL Muni","LQA_LIQUIDITY_SCORE")</f>
        <v>#N/A Requesting Data...</v>
      </c>
    </row>
    <row r="1135" spans="1:20" x14ac:dyDescent="0.25">
      <c r="A1135" t="str">
        <f>_xll.BDP("522387BM Muni","ID_CUSIP")</f>
        <v>#N/A Requesting Data...</v>
      </c>
      <c r="B1135" t="s">
        <v>294</v>
      </c>
      <c r="C1135" t="str">
        <f>_xll.BDP("522387BM Muni","INSURANCE_STATUS")</f>
        <v>#N/A Requesting Data...</v>
      </c>
      <c r="D1135" t="str">
        <f>_xll.BDP("522387BM Muni","STATE_CODE")</f>
        <v>#N/A Requesting Data...</v>
      </c>
      <c r="E1135" t="str">
        <f>_xll.BDP("522387BM Muni","COUNTY_LOCATION_ISSUER")</f>
        <v>#N/A Requesting Data...</v>
      </c>
      <c r="F1135" t="str">
        <f>_xll.BDP("522387BM Muni","DUR_ADJ_MID")</f>
        <v>#N/A Requesting Data...</v>
      </c>
      <c r="G1135" t="str">
        <f>_xll.BDP("522387BM Muni","SPREAD_AT_ISSUANCE_TO_WORST")</f>
        <v>#N/A Requesting Data...</v>
      </c>
      <c r="H1135" t="str">
        <f>_xll.BDP("522387BM Muni","ISSUE_DT")</f>
        <v>#N/A Requesting Data...</v>
      </c>
      <c r="I1135" t="str">
        <f>_xll.BDS("522387BM Muni","MUNI_PURPOSE_SCHED", "aggregate=y")</f>
        <v>#N/A Requesting Data...</v>
      </c>
      <c r="J1135" t="str">
        <f>_xll.BDP("522387BM Muni","CPN")</f>
        <v>#N/A Requesting Data...</v>
      </c>
      <c r="K1135" t="str">
        <f>_xll.BDP("522387BM Muni","MATURITY")</f>
        <v>#N/A Requesting Data...</v>
      </c>
      <c r="L1135">
        <v>175000</v>
      </c>
      <c r="M1135" t="str">
        <f>_xll.BDP("522387BM Muni","YIELD_ON_ISSUE_DATE")</f>
        <v>#N/A Requesting Data...</v>
      </c>
      <c r="N1135" t="str">
        <f>_xll.BDP("522387BM Muni","YTW_SPREAD_TO_MATURITY_AT_ISSU")</f>
        <v>#N/A Requesting Data...</v>
      </c>
      <c r="O1135" t="str">
        <f>_xll.BDP("522387BM Muni","BVAL_MID_YTM")</f>
        <v>#N/A Requesting Data...</v>
      </c>
      <c r="P1135" t="str">
        <f>_xll.BDP("522387BM Muni","MUNI_TAX_PROV")</f>
        <v>#N/A Requesting Data...</v>
      </c>
      <c r="Q1135" t="str">
        <f>_xll.BDP("522387BM Muni","MUNI_FED_TAX")</f>
        <v>#N/A Requesting Data...</v>
      </c>
      <c r="R1135" t="str">
        <f>_xll.BDP("522387BM Muni","MUNI_MSRB_VOLUME")</f>
        <v>#N/A Requesting Data...</v>
      </c>
      <c r="S1135" t="str">
        <f>_xll.BDP("522387BM Muni","BB_COMPOSITE")</f>
        <v>#N/A Requesting Data...</v>
      </c>
      <c r="T1135" t="str">
        <f>_xll.BDP("522387BM Muni","LQA_LIQUIDITY_SCORE")</f>
        <v>#N/A Requesting Data...</v>
      </c>
    </row>
    <row r="1136" spans="1:20" x14ac:dyDescent="0.25">
      <c r="A1136" t="str">
        <f>_xll.BDP("52250PAA Muni","ID_CUSIP")</f>
        <v>#N/A Requesting Data...</v>
      </c>
      <c r="B1136" t="s">
        <v>295</v>
      </c>
      <c r="C1136" t="str">
        <f>_xll.BDP("52250PAA Muni","INSURANCE_STATUS")</f>
        <v>#N/A Requesting Data...</v>
      </c>
      <c r="D1136" t="str">
        <f>_xll.BDP("52250PAA Muni","STATE_CODE")</f>
        <v>#N/A Requesting Data...</v>
      </c>
      <c r="E1136" t="str">
        <f>_xll.BDP("52250PAA Muni","COUNTY_LOCATION_ISSUER")</f>
        <v>#N/A Requesting Data...</v>
      </c>
      <c r="F1136" t="str">
        <f>_xll.BDP("52250PAA Muni","DUR_ADJ_MID")</f>
        <v>#N/A Requesting Data...</v>
      </c>
      <c r="G1136" t="str">
        <f>_xll.BDP("52250PAA Muni","SPREAD_AT_ISSUANCE_TO_WORST")</f>
        <v>#N/A Requesting Data...</v>
      </c>
      <c r="H1136" t="str">
        <f>_xll.BDP("52250PAA Muni","ISSUE_DT")</f>
        <v>#N/A Requesting Data...</v>
      </c>
      <c r="I1136" t="str">
        <f>_xll.BDS("52250PAA Muni","MUNI_PURPOSE_SCHED", "aggregate=y")</f>
        <v>#N/A Requesting Data...</v>
      </c>
      <c r="J1136" t="str">
        <f>_xll.BDP("52250PAA Muni","CPN")</f>
        <v>#N/A Requesting Data...</v>
      </c>
      <c r="K1136" t="str">
        <f>_xll.BDP("52250PAA Muni","MATURITY")</f>
        <v>#N/A Requesting Data...</v>
      </c>
      <c r="L1136">
        <v>55000</v>
      </c>
      <c r="M1136" t="str">
        <f>_xll.BDP("52250PAA Muni","YIELD_ON_ISSUE_DATE")</f>
        <v>#N/A Requesting Data...</v>
      </c>
      <c r="N1136" t="str">
        <f>_xll.BDP("52250PAA Muni","YTW_SPREAD_TO_MATURITY_AT_ISSU")</f>
        <v>#N/A Requesting Data...</v>
      </c>
      <c r="O1136" t="str">
        <f>_xll.BDP("52250PAA Muni","BVAL_MID_YTM")</f>
        <v>#N/A Requesting Data...</v>
      </c>
      <c r="P1136" t="str">
        <f>_xll.BDP("52250PAA Muni","MUNI_TAX_PROV")</f>
        <v>#N/A Requesting Data...</v>
      </c>
      <c r="Q1136" t="str">
        <f>_xll.BDP("52250PAA Muni","MUNI_FED_TAX")</f>
        <v>#N/A Requesting Data...</v>
      </c>
      <c r="R1136" t="str">
        <f>_xll.BDP("52250PAA Muni","MUNI_MSRB_VOLUME")</f>
        <v>#N/A Requesting Data...</v>
      </c>
      <c r="S1136" t="str">
        <f>_xll.BDP("52250PAA Muni","BB_COMPOSITE")</f>
        <v>#N/A Requesting Data...</v>
      </c>
      <c r="T1136" t="str">
        <f>_xll.BDP("52250PAA Muni","LQA_LIQUIDITY_SCORE")</f>
        <v>#N/A Requesting Data...</v>
      </c>
    </row>
    <row r="1137" spans="1:20" x14ac:dyDescent="0.25">
      <c r="A1137" t="str">
        <f>_xll.BDP("52250PAB Muni","ID_CUSIP")</f>
        <v>#N/A Requesting Data...</v>
      </c>
      <c r="B1137" t="s">
        <v>295</v>
      </c>
      <c r="C1137" t="str">
        <f>_xll.BDP("52250PAB Muni","INSURANCE_STATUS")</f>
        <v>#N/A Requesting Data...</v>
      </c>
      <c r="D1137" t="str">
        <f>_xll.BDP("52250PAB Muni","STATE_CODE")</f>
        <v>#N/A Requesting Data...</v>
      </c>
      <c r="E1137" t="str">
        <f>_xll.BDP("52250PAB Muni","COUNTY_LOCATION_ISSUER")</f>
        <v>#N/A Requesting Data...</v>
      </c>
      <c r="F1137" t="str">
        <f>_xll.BDP("52250PAB Muni","DUR_ADJ_MID")</f>
        <v>#N/A Requesting Data...</v>
      </c>
      <c r="G1137" t="str">
        <f>_xll.BDP("52250PAB Muni","SPREAD_AT_ISSUANCE_TO_WORST")</f>
        <v>#N/A Requesting Data...</v>
      </c>
      <c r="H1137" t="str">
        <f>_xll.BDP("52250PAB Muni","ISSUE_DT")</f>
        <v>#N/A Requesting Data...</v>
      </c>
      <c r="I1137" t="str">
        <f>_xll.BDS("52250PAB Muni","MUNI_PURPOSE_SCHED", "aggregate=y")</f>
        <v>#N/A Requesting Data...</v>
      </c>
      <c r="J1137" t="str">
        <f>_xll.BDP("52250PAB Muni","CPN")</f>
        <v>#N/A Requesting Data...</v>
      </c>
      <c r="K1137" t="str">
        <f>_xll.BDP("52250PAB Muni","MATURITY")</f>
        <v>#N/A Requesting Data...</v>
      </c>
      <c r="L1137">
        <v>55000</v>
      </c>
      <c r="M1137" t="str">
        <f>_xll.BDP("52250PAB Muni","YIELD_ON_ISSUE_DATE")</f>
        <v>#N/A Requesting Data...</v>
      </c>
      <c r="N1137" t="str">
        <f>_xll.BDP("52250PAB Muni","YTW_SPREAD_TO_MATURITY_AT_ISSU")</f>
        <v>#N/A Requesting Data...</v>
      </c>
      <c r="O1137" t="str">
        <f>_xll.BDP("52250PAB Muni","BVAL_MID_YTM")</f>
        <v>#N/A Requesting Data...</v>
      </c>
      <c r="P1137" t="str">
        <f>_xll.BDP("52250PAB Muni","MUNI_TAX_PROV")</f>
        <v>#N/A Requesting Data...</v>
      </c>
      <c r="Q1137" t="str">
        <f>_xll.BDP("52250PAB Muni","MUNI_FED_TAX")</f>
        <v>#N/A Requesting Data...</v>
      </c>
      <c r="R1137" t="str">
        <f>_xll.BDP("52250PAB Muni","MUNI_MSRB_VOLUME")</f>
        <v>#N/A Requesting Data...</v>
      </c>
      <c r="S1137" t="str">
        <f>_xll.BDP("52250PAB Muni","BB_COMPOSITE")</f>
        <v>#N/A Requesting Data...</v>
      </c>
      <c r="T1137" t="str">
        <f>_xll.BDP("52250PAB Muni","LQA_LIQUIDITY_SCORE")</f>
        <v>#N/A Requesting Data...</v>
      </c>
    </row>
    <row r="1138" spans="1:20" x14ac:dyDescent="0.25">
      <c r="A1138" t="str">
        <f>_xll.BDP("52250PAC Muni","ID_CUSIP")</f>
        <v>#N/A Requesting Data...</v>
      </c>
      <c r="B1138" t="s">
        <v>295</v>
      </c>
      <c r="C1138" t="str">
        <f>_xll.BDP("52250PAC Muni","INSURANCE_STATUS")</f>
        <v>#N/A Requesting Data...</v>
      </c>
      <c r="D1138" t="str">
        <f>_xll.BDP("52250PAC Muni","STATE_CODE")</f>
        <v>#N/A Requesting Data...</v>
      </c>
      <c r="E1138" t="str">
        <f>_xll.BDP("52250PAC Muni","COUNTY_LOCATION_ISSUER")</f>
        <v>#N/A Requesting Data...</v>
      </c>
      <c r="F1138" t="str">
        <f>_xll.BDP("52250PAC Muni","DUR_ADJ_MID")</f>
        <v>#N/A Requesting Data...</v>
      </c>
      <c r="G1138" t="str">
        <f>_xll.BDP("52250PAC Muni","SPREAD_AT_ISSUANCE_TO_WORST")</f>
        <v>#N/A Requesting Data...</v>
      </c>
      <c r="H1138" t="str">
        <f>_xll.BDP("52250PAC Muni","ISSUE_DT")</f>
        <v>#N/A Requesting Data...</v>
      </c>
      <c r="I1138" t="str">
        <f>_xll.BDS("52250PAC Muni","MUNI_PURPOSE_SCHED", "aggregate=y")</f>
        <v>#N/A Requesting Data...</v>
      </c>
      <c r="J1138" t="str">
        <f>_xll.BDP("52250PAC Muni","CPN")</f>
        <v>#N/A Requesting Data...</v>
      </c>
      <c r="K1138" t="str">
        <f>_xll.BDP("52250PAC Muni","MATURITY")</f>
        <v>#N/A Requesting Data...</v>
      </c>
      <c r="L1138">
        <v>55000</v>
      </c>
      <c r="M1138" t="str">
        <f>_xll.BDP("52250PAC Muni","YIELD_ON_ISSUE_DATE")</f>
        <v>#N/A Requesting Data...</v>
      </c>
      <c r="N1138" t="str">
        <f>_xll.BDP("52250PAC Muni","YTW_SPREAD_TO_MATURITY_AT_ISSU")</f>
        <v>#N/A Requesting Data...</v>
      </c>
      <c r="O1138" t="str">
        <f>_xll.BDP("52250PAC Muni","BVAL_MID_YTM")</f>
        <v>#N/A Requesting Data...</v>
      </c>
      <c r="P1138" t="str">
        <f>_xll.BDP("52250PAC Muni","MUNI_TAX_PROV")</f>
        <v>#N/A Requesting Data...</v>
      </c>
      <c r="Q1138" t="str">
        <f>_xll.BDP("52250PAC Muni","MUNI_FED_TAX")</f>
        <v>#N/A Requesting Data...</v>
      </c>
      <c r="R1138" t="str">
        <f>_xll.BDP("52250PAC Muni","MUNI_MSRB_VOLUME")</f>
        <v>#N/A Requesting Data...</v>
      </c>
      <c r="S1138" t="str">
        <f>_xll.BDP("52250PAC Muni","BB_COMPOSITE")</f>
        <v>#N/A Requesting Data...</v>
      </c>
      <c r="T1138" t="str">
        <f>_xll.BDP("52250PAC Muni","LQA_LIQUIDITY_SCORE")</f>
        <v>#N/A Requesting Data...</v>
      </c>
    </row>
    <row r="1139" spans="1:20" x14ac:dyDescent="0.25">
      <c r="A1139" t="str">
        <f>_xll.BDP("52250PAD Muni","ID_CUSIP")</f>
        <v>#N/A Requesting Data...</v>
      </c>
      <c r="B1139" t="s">
        <v>295</v>
      </c>
      <c r="C1139" t="str">
        <f>_xll.BDP("52250PAD Muni","INSURANCE_STATUS")</f>
        <v>#N/A Requesting Data...</v>
      </c>
      <c r="D1139" t="str">
        <f>_xll.BDP("52250PAD Muni","STATE_CODE")</f>
        <v>#N/A Requesting Data...</v>
      </c>
      <c r="E1139" t="str">
        <f>_xll.BDP("52250PAD Muni","COUNTY_LOCATION_ISSUER")</f>
        <v>#N/A Requesting Data...</v>
      </c>
      <c r="F1139" t="str">
        <f>_xll.BDP("52250PAD Muni","DUR_ADJ_MID")</f>
        <v>#N/A Requesting Data...</v>
      </c>
      <c r="G1139" t="str">
        <f>_xll.BDP("52250PAD Muni","SPREAD_AT_ISSUANCE_TO_WORST")</f>
        <v>#N/A Requesting Data...</v>
      </c>
      <c r="H1139" t="str">
        <f>_xll.BDP("52250PAD Muni","ISSUE_DT")</f>
        <v>#N/A Requesting Data...</v>
      </c>
      <c r="I1139" t="str">
        <f>_xll.BDS("52250PAD Muni","MUNI_PURPOSE_SCHED", "aggregate=y")</f>
        <v>#N/A Requesting Data...</v>
      </c>
      <c r="J1139" t="str">
        <f>_xll.BDP("52250PAD Muni","CPN")</f>
        <v>#N/A Requesting Data...</v>
      </c>
      <c r="K1139" t="str">
        <f>_xll.BDP("52250PAD Muni","MATURITY")</f>
        <v>#N/A Requesting Data...</v>
      </c>
      <c r="L1139">
        <v>60000</v>
      </c>
      <c r="M1139" t="str">
        <f>_xll.BDP("52250PAD Muni","YIELD_ON_ISSUE_DATE")</f>
        <v>#N/A Requesting Data...</v>
      </c>
      <c r="N1139" t="str">
        <f>_xll.BDP("52250PAD Muni","YTW_SPREAD_TO_MATURITY_AT_ISSU")</f>
        <v>#N/A Requesting Data...</v>
      </c>
      <c r="O1139" t="str">
        <f>_xll.BDP("52250PAD Muni","BVAL_MID_YTM")</f>
        <v>#N/A Requesting Data...</v>
      </c>
      <c r="P1139" t="str">
        <f>_xll.BDP("52250PAD Muni","MUNI_TAX_PROV")</f>
        <v>#N/A Requesting Data...</v>
      </c>
      <c r="Q1139" t="str">
        <f>_xll.BDP("52250PAD Muni","MUNI_FED_TAX")</f>
        <v>#N/A Requesting Data...</v>
      </c>
      <c r="R1139" t="str">
        <f>_xll.BDP("52250PAD Muni","MUNI_MSRB_VOLUME")</f>
        <v>#N/A Requesting Data...</v>
      </c>
      <c r="S1139" t="str">
        <f>_xll.BDP("52250PAD Muni","BB_COMPOSITE")</f>
        <v>#N/A Requesting Data...</v>
      </c>
      <c r="T1139" t="str">
        <f>_xll.BDP("52250PAD Muni","LQA_LIQUIDITY_SCORE")</f>
        <v>#N/A Requesting Data...</v>
      </c>
    </row>
    <row r="1140" spans="1:20" x14ac:dyDescent="0.25">
      <c r="A1140" t="str">
        <f>_xll.BDP("52250PAE Muni","ID_CUSIP")</f>
        <v>#N/A Requesting Data...</v>
      </c>
      <c r="B1140" t="s">
        <v>295</v>
      </c>
      <c r="C1140" t="str">
        <f>_xll.BDP("52250PAE Muni","INSURANCE_STATUS")</f>
        <v>#N/A Requesting Data...</v>
      </c>
      <c r="D1140" t="str">
        <f>_xll.BDP("52250PAE Muni","STATE_CODE")</f>
        <v>#N/A Requesting Data...</v>
      </c>
      <c r="E1140" t="str">
        <f>_xll.BDP("52250PAE Muni","COUNTY_LOCATION_ISSUER")</f>
        <v>#N/A Requesting Data...</v>
      </c>
      <c r="F1140" t="str">
        <f>_xll.BDP("52250PAE Muni","DUR_ADJ_MID")</f>
        <v>#N/A Requesting Data...</v>
      </c>
      <c r="G1140" t="str">
        <f>_xll.BDP("52250PAE Muni","SPREAD_AT_ISSUANCE_TO_WORST")</f>
        <v>#N/A Requesting Data...</v>
      </c>
      <c r="H1140" t="str">
        <f>_xll.BDP("52250PAE Muni","ISSUE_DT")</f>
        <v>#N/A Requesting Data...</v>
      </c>
      <c r="I1140" t="str">
        <f>_xll.BDS("52250PAE Muni","MUNI_PURPOSE_SCHED", "aggregate=y")</f>
        <v>#N/A Requesting Data...</v>
      </c>
      <c r="J1140" t="str">
        <f>_xll.BDP("52250PAE Muni","CPN")</f>
        <v>#N/A Requesting Data...</v>
      </c>
      <c r="K1140" t="str">
        <f>_xll.BDP("52250PAE Muni","MATURITY")</f>
        <v>#N/A Requesting Data...</v>
      </c>
      <c r="L1140">
        <v>60000</v>
      </c>
      <c r="M1140" t="str">
        <f>_xll.BDP("52250PAE Muni","YIELD_ON_ISSUE_DATE")</f>
        <v>#N/A Requesting Data...</v>
      </c>
      <c r="N1140" t="str">
        <f>_xll.BDP("52250PAE Muni","YTW_SPREAD_TO_MATURITY_AT_ISSU")</f>
        <v>#N/A Requesting Data...</v>
      </c>
      <c r="O1140" t="str">
        <f>_xll.BDP("52250PAE Muni","BVAL_MID_YTM")</f>
        <v>#N/A Requesting Data...</v>
      </c>
      <c r="P1140" t="str">
        <f>_xll.BDP("52250PAE Muni","MUNI_TAX_PROV")</f>
        <v>#N/A Requesting Data...</v>
      </c>
      <c r="Q1140" t="str">
        <f>_xll.BDP("52250PAE Muni","MUNI_FED_TAX")</f>
        <v>#N/A Requesting Data...</v>
      </c>
      <c r="R1140" t="str">
        <f>_xll.BDP("52250PAE Muni","MUNI_MSRB_VOLUME")</f>
        <v>#N/A Requesting Data...</v>
      </c>
      <c r="S1140" t="str">
        <f>_xll.BDP("52250PAE Muni","BB_COMPOSITE")</f>
        <v>#N/A Requesting Data...</v>
      </c>
      <c r="T1140" t="str">
        <f>_xll.BDP("52250PAE Muni","LQA_LIQUIDITY_SCORE")</f>
        <v>#N/A Requesting Data...</v>
      </c>
    </row>
    <row r="1141" spans="1:20" x14ac:dyDescent="0.25">
      <c r="A1141" t="str">
        <f>_xll.BDP("52250PAF Muni","ID_CUSIP")</f>
        <v>#N/A Requesting Data...</v>
      </c>
      <c r="B1141" t="s">
        <v>295</v>
      </c>
      <c r="C1141" t="str">
        <f>_xll.BDP("52250PAF Muni","INSURANCE_STATUS")</f>
        <v>#N/A Requesting Data...</v>
      </c>
      <c r="D1141" t="str">
        <f>_xll.BDP("52250PAF Muni","STATE_CODE")</f>
        <v>#N/A Requesting Data...</v>
      </c>
      <c r="E1141" t="str">
        <f>_xll.BDP("52250PAF Muni","COUNTY_LOCATION_ISSUER")</f>
        <v>#N/A Requesting Data...</v>
      </c>
      <c r="F1141" t="str">
        <f>_xll.BDP("52250PAF Muni","DUR_ADJ_MID")</f>
        <v>#N/A Requesting Data...</v>
      </c>
      <c r="G1141" t="str">
        <f>_xll.BDP("52250PAF Muni","SPREAD_AT_ISSUANCE_TO_WORST")</f>
        <v>#N/A Requesting Data...</v>
      </c>
      <c r="H1141" t="str">
        <f>_xll.BDP("52250PAF Muni","ISSUE_DT")</f>
        <v>#N/A Requesting Data...</v>
      </c>
      <c r="I1141" t="str">
        <f>_xll.BDS("52250PAF Muni","MUNI_PURPOSE_SCHED", "aggregate=y")</f>
        <v>#N/A Requesting Data...</v>
      </c>
      <c r="J1141" t="str">
        <f>_xll.BDP("52250PAF Muni","CPN")</f>
        <v>#N/A Requesting Data...</v>
      </c>
      <c r="K1141" t="str">
        <f>_xll.BDP("52250PAF Muni","MATURITY")</f>
        <v>#N/A Requesting Data...</v>
      </c>
      <c r="L1141">
        <v>60000</v>
      </c>
      <c r="M1141" t="str">
        <f>_xll.BDP("52250PAF Muni","YIELD_ON_ISSUE_DATE")</f>
        <v>#N/A Requesting Data...</v>
      </c>
      <c r="N1141" t="str">
        <f>_xll.BDP("52250PAF Muni","YTW_SPREAD_TO_MATURITY_AT_ISSU")</f>
        <v>#N/A Requesting Data...</v>
      </c>
      <c r="O1141" t="str">
        <f>_xll.BDP("52250PAF Muni","BVAL_MID_YTM")</f>
        <v>#N/A Requesting Data...</v>
      </c>
      <c r="P1141" t="str">
        <f>_xll.BDP("52250PAF Muni","MUNI_TAX_PROV")</f>
        <v>#N/A Requesting Data...</v>
      </c>
      <c r="Q1141" t="str">
        <f>_xll.BDP("52250PAF Muni","MUNI_FED_TAX")</f>
        <v>#N/A Requesting Data...</v>
      </c>
      <c r="R1141" t="str">
        <f>_xll.BDP("52250PAF Muni","MUNI_MSRB_VOLUME")</f>
        <v>#N/A Requesting Data...</v>
      </c>
      <c r="S1141" t="str">
        <f>_xll.BDP("52250PAF Muni","BB_COMPOSITE")</f>
        <v>#N/A Requesting Data...</v>
      </c>
      <c r="T1141" t="str">
        <f>_xll.BDP("52250PAF Muni","LQA_LIQUIDITY_SCORE")</f>
        <v>#N/A Requesting Data...</v>
      </c>
    </row>
    <row r="1142" spans="1:20" x14ac:dyDescent="0.25">
      <c r="A1142" t="str">
        <f>_xll.BDP("52250PAG Muni","ID_CUSIP")</f>
        <v>#N/A Requesting Data...</v>
      </c>
      <c r="B1142" t="s">
        <v>295</v>
      </c>
      <c r="C1142" t="str">
        <f>_xll.BDP("52250PAG Muni","INSURANCE_STATUS")</f>
        <v>#N/A Requesting Data...</v>
      </c>
      <c r="D1142" t="str">
        <f>_xll.BDP("52250PAG Muni","STATE_CODE")</f>
        <v>#N/A Requesting Data...</v>
      </c>
      <c r="E1142" t="str">
        <f>_xll.BDP("52250PAG Muni","COUNTY_LOCATION_ISSUER")</f>
        <v>#N/A Requesting Data...</v>
      </c>
      <c r="F1142" t="str">
        <f>_xll.BDP("52250PAG Muni","DUR_ADJ_MID")</f>
        <v>#N/A Requesting Data...</v>
      </c>
      <c r="G1142" t="str">
        <f>_xll.BDP("52250PAG Muni","SPREAD_AT_ISSUANCE_TO_WORST")</f>
        <v>#N/A Requesting Data...</v>
      </c>
      <c r="H1142" t="str">
        <f>_xll.BDP("52250PAG Muni","ISSUE_DT")</f>
        <v>#N/A Requesting Data...</v>
      </c>
      <c r="I1142" t="str">
        <f>_xll.BDS("52250PAG Muni","MUNI_PURPOSE_SCHED", "aggregate=y")</f>
        <v>#N/A Requesting Data...</v>
      </c>
      <c r="J1142" t="str">
        <f>_xll.BDP("52250PAG Muni","CPN")</f>
        <v>#N/A Requesting Data...</v>
      </c>
      <c r="K1142" t="str">
        <f>_xll.BDP("52250PAG Muni","MATURITY")</f>
        <v>#N/A Requesting Data...</v>
      </c>
      <c r="L1142">
        <v>60000</v>
      </c>
      <c r="M1142" t="str">
        <f>_xll.BDP("52250PAG Muni","YIELD_ON_ISSUE_DATE")</f>
        <v>#N/A Requesting Data...</v>
      </c>
      <c r="N1142" t="str">
        <f>_xll.BDP("52250PAG Muni","YTW_SPREAD_TO_MATURITY_AT_ISSU")</f>
        <v>#N/A Requesting Data...</v>
      </c>
      <c r="O1142" t="str">
        <f>_xll.BDP("52250PAG Muni","BVAL_MID_YTM")</f>
        <v>#N/A Requesting Data...</v>
      </c>
      <c r="P1142" t="str">
        <f>_xll.BDP("52250PAG Muni","MUNI_TAX_PROV")</f>
        <v>#N/A Requesting Data...</v>
      </c>
      <c r="Q1142" t="str">
        <f>_xll.BDP("52250PAG Muni","MUNI_FED_TAX")</f>
        <v>#N/A Requesting Data...</v>
      </c>
      <c r="R1142" t="str">
        <f>_xll.BDP("52250PAG Muni","MUNI_MSRB_VOLUME")</f>
        <v>#N/A Requesting Data...</v>
      </c>
      <c r="S1142" t="str">
        <f>_xll.BDP("52250PAG Muni","BB_COMPOSITE")</f>
        <v>#N/A Requesting Data...</v>
      </c>
      <c r="T1142" t="str">
        <f>_xll.BDP("52250PAG Muni","LQA_LIQUIDITY_SCORE")</f>
        <v>#N/A Requesting Data...</v>
      </c>
    </row>
    <row r="1143" spans="1:20" x14ac:dyDescent="0.25">
      <c r="A1143" t="str">
        <f>_xll.BDP("52250PAH Muni","ID_CUSIP")</f>
        <v>#N/A Requesting Data...</v>
      </c>
      <c r="B1143" t="s">
        <v>295</v>
      </c>
      <c r="C1143" t="str">
        <f>_xll.BDP("52250PAH Muni","INSURANCE_STATUS")</f>
        <v>#N/A Requesting Data...</v>
      </c>
      <c r="D1143" t="str">
        <f>_xll.BDP("52250PAH Muni","STATE_CODE")</f>
        <v>#N/A Requesting Data...</v>
      </c>
      <c r="E1143" t="str">
        <f>_xll.BDP("52250PAH Muni","COUNTY_LOCATION_ISSUER")</f>
        <v>#N/A Requesting Data...</v>
      </c>
      <c r="F1143" t="str">
        <f>_xll.BDP("52250PAH Muni","DUR_ADJ_MID")</f>
        <v>#N/A Requesting Data...</v>
      </c>
      <c r="G1143" t="str">
        <f>_xll.BDP("52250PAH Muni","SPREAD_AT_ISSUANCE_TO_WORST")</f>
        <v>#N/A Requesting Data...</v>
      </c>
      <c r="H1143" t="str">
        <f>_xll.BDP("52250PAH Muni","ISSUE_DT")</f>
        <v>#N/A Requesting Data...</v>
      </c>
      <c r="I1143" t="str">
        <f>_xll.BDS("52250PAH Muni","MUNI_PURPOSE_SCHED", "aggregate=y")</f>
        <v>#N/A Requesting Data...</v>
      </c>
      <c r="J1143" t="str">
        <f>_xll.BDP("52250PAH Muni","CPN")</f>
        <v>#N/A Requesting Data...</v>
      </c>
      <c r="K1143" t="str">
        <f>_xll.BDP("52250PAH Muni","MATURITY")</f>
        <v>#N/A Requesting Data...</v>
      </c>
      <c r="L1143">
        <v>65000</v>
      </c>
      <c r="M1143" t="str">
        <f>_xll.BDP("52250PAH Muni","YIELD_ON_ISSUE_DATE")</f>
        <v>#N/A Requesting Data...</v>
      </c>
      <c r="N1143" t="str">
        <f>_xll.BDP("52250PAH Muni","YTW_SPREAD_TO_MATURITY_AT_ISSU")</f>
        <v>#N/A Requesting Data...</v>
      </c>
      <c r="O1143" t="str">
        <f>_xll.BDP("52250PAH Muni","BVAL_MID_YTM")</f>
        <v>#N/A Requesting Data...</v>
      </c>
      <c r="P1143" t="str">
        <f>_xll.BDP("52250PAH Muni","MUNI_TAX_PROV")</f>
        <v>#N/A Requesting Data...</v>
      </c>
      <c r="Q1143" t="str">
        <f>_xll.BDP("52250PAH Muni","MUNI_FED_TAX")</f>
        <v>#N/A Requesting Data...</v>
      </c>
      <c r="R1143" t="str">
        <f>_xll.BDP("52250PAH Muni","MUNI_MSRB_VOLUME")</f>
        <v>#N/A Requesting Data...</v>
      </c>
      <c r="S1143" t="str">
        <f>_xll.BDP("52250PAH Muni","BB_COMPOSITE")</f>
        <v>#N/A Requesting Data...</v>
      </c>
      <c r="T1143" t="str">
        <f>_xll.BDP("52250PAH Muni","LQA_LIQUIDITY_SCORE")</f>
        <v>#N/A Requesting Data...</v>
      </c>
    </row>
    <row r="1144" spans="1:20" x14ac:dyDescent="0.25">
      <c r="A1144" t="str">
        <f>_xll.BDP("52250PAJ Muni","ID_CUSIP")</f>
        <v>#N/A Requesting Data...</v>
      </c>
      <c r="B1144" t="s">
        <v>295</v>
      </c>
      <c r="C1144" t="str">
        <f>_xll.BDP("52250PAJ Muni","INSURANCE_STATUS")</f>
        <v>#N/A Requesting Data...</v>
      </c>
      <c r="D1144" t="str">
        <f>_xll.BDP("52250PAJ Muni","STATE_CODE")</f>
        <v>#N/A Requesting Data...</v>
      </c>
      <c r="E1144" t="str">
        <f>_xll.BDP("52250PAJ Muni","COUNTY_LOCATION_ISSUER")</f>
        <v>#N/A Requesting Data...</v>
      </c>
      <c r="F1144" t="str">
        <f>_xll.BDP("52250PAJ Muni","DUR_ADJ_MID")</f>
        <v>#N/A Requesting Data...</v>
      </c>
      <c r="G1144" t="str">
        <f>_xll.BDP("52250PAJ Muni","SPREAD_AT_ISSUANCE_TO_WORST")</f>
        <v>#N/A Requesting Data...</v>
      </c>
      <c r="H1144" t="str">
        <f>_xll.BDP("52250PAJ Muni","ISSUE_DT")</f>
        <v>#N/A Requesting Data...</v>
      </c>
      <c r="I1144" t="str">
        <f>_xll.BDS("52250PAJ Muni","MUNI_PURPOSE_SCHED", "aggregate=y")</f>
        <v>#N/A Requesting Data...</v>
      </c>
      <c r="J1144" t="str">
        <f>_xll.BDP("52250PAJ Muni","CPN")</f>
        <v>#N/A Requesting Data...</v>
      </c>
      <c r="K1144" t="str">
        <f>_xll.BDP("52250PAJ Muni","MATURITY")</f>
        <v>#N/A Requesting Data...</v>
      </c>
      <c r="L1144">
        <v>65000</v>
      </c>
      <c r="M1144" t="str">
        <f>_xll.BDP("52250PAJ Muni","YIELD_ON_ISSUE_DATE")</f>
        <v>#N/A Requesting Data...</v>
      </c>
      <c r="N1144" t="str">
        <f>_xll.BDP("52250PAJ Muni","YTW_SPREAD_TO_MATURITY_AT_ISSU")</f>
        <v>#N/A Requesting Data...</v>
      </c>
      <c r="O1144" t="str">
        <f>_xll.BDP("52250PAJ Muni","BVAL_MID_YTM")</f>
        <v>#N/A Requesting Data...</v>
      </c>
      <c r="P1144" t="str">
        <f>_xll.BDP("52250PAJ Muni","MUNI_TAX_PROV")</f>
        <v>#N/A Requesting Data...</v>
      </c>
      <c r="Q1144" t="str">
        <f>_xll.BDP("52250PAJ Muni","MUNI_FED_TAX")</f>
        <v>#N/A Requesting Data...</v>
      </c>
      <c r="R1144" t="str">
        <f>_xll.BDP("52250PAJ Muni","MUNI_MSRB_VOLUME")</f>
        <v>#N/A Requesting Data...</v>
      </c>
      <c r="S1144" t="str">
        <f>_xll.BDP("52250PAJ Muni","BB_COMPOSITE")</f>
        <v>#N/A Requesting Data...</v>
      </c>
      <c r="T1144" t="str">
        <f>_xll.BDP("52250PAJ Muni","LQA_LIQUIDITY_SCORE")</f>
        <v>#N/A Requesting Data...</v>
      </c>
    </row>
    <row r="1145" spans="1:20" x14ac:dyDescent="0.25">
      <c r="A1145" t="str">
        <f>_xll.BDP("52250PAK Muni","ID_CUSIP")</f>
        <v>#N/A Requesting Data...</v>
      </c>
      <c r="B1145" t="s">
        <v>295</v>
      </c>
      <c r="C1145" t="str">
        <f>_xll.BDP("52250PAK Muni","INSURANCE_STATUS")</f>
        <v>#N/A Requesting Data...</v>
      </c>
      <c r="D1145" t="str">
        <f>_xll.BDP("52250PAK Muni","STATE_CODE")</f>
        <v>#N/A Requesting Data...</v>
      </c>
      <c r="E1145" t="str">
        <f>_xll.BDP("52250PAK Muni","COUNTY_LOCATION_ISSUER")</f>
        <v>#N/A Requesting Data...</v>
      </c>
      <c r="F1145" t="str">
        <f>_xll.BDP("52250PAK Muni","DUR_ADJ_MID")</f>
        <v>#N/A Requesting Data...</v>
      </c>
      <c r="G1145" t="str">
        <f>_xll.BDP("52250PAK Muni","SPREAD_AT_ISSUANCE_TO_WORST")</f>
        <v>#N/A Requesting Data...</v>
      </c>
      <c r="H1145" t="str">
        <f>_xll.BDP("52250PAK Muni","ISSUE_DT")</f>
        <v>#N/A Requesting Data...</v>
      </c>
      <c r="I1145" t="str">
        <f>_xll.BDS("52250PAK Muni","MUNI_PURPOSE_SCHED", "aggregate=y")</f>
        <v>#N/A Requesting Data...</v>
      </c>
      <c r="J1145" t="str">
        <f>_xll.BDP("52250PAK Muni","CPN")</f>
        <v>#N/A Requesting Data...</v>
      </c>
      <c r="K1145" t="str">
        <f>_xll.BDP("52250PAK Muni","MATURITY")</f>
        <v>#N/A Requesting Data...</v>
      </c>
      <c r="L1145">
        <v>65000</v>
      </c>
      <c r="M1145" t="str">
        <f>_xll.BDP("52250PAK Muni","YIELD_ON_ISSUE_DATE")</f>
        <v>#N/A Requesting Data...</v>
      </c>
      <c r="N1145" t="str">
        <f>_xll.BDP("52250PAK Muni","YTW_SPREAD_TO_MATURITY_AT_ISSU")</f>
        <v>#N/A Requesting Data...</v>
      </c>
      <c r="O1145" t="str">
        <f>_xll.BDP("52250PAK Muni","BVAL_MID_YTM")</f>
        <v>#N/A Requesting Data...</v>
      </c>
      <c r="P1145" t="str">
        <f>_xll.BDP("52250PAK Muni","MUNI_TAX_PROV")</f>
        <v>#N/A Requesting Data...</v>
      </c>
      <c r="Q1145" t="str">
        <f>_xll.BDP("52250PAK Muni","MUNI_FED_TAX")</f>
        <v>#N/A Requesting Data...</v>
      </c>
      <c r="R1145" t="str">
        <f>_xll.BDP("52250PAK Muni","MUNI_MSRB_VOLUME")</f>
        <v>#N/A Requesting Data...</v>
      </c>
      <c r="S1145" t="str">
        <f>_xll.BDP("52250PAK Muni","BB_COMPOSITE")</f>
        <v>#N/A Requesting Data...</v>
      </c>
      <c r="T1145" t="str">
        <f>_xll.BDP("52250PAK Muni","LQA_LIQUIDITY_SCORE")</f>
        <v>#N/A Requesting Data...</v>
      </c>
    </row>
    <row r="1146" spans="1:20" x14ac:dyDescent="0.25">
      <c r="A1146" t="str">
        <f>_xll.BDP("535783KM Muni","ID_CUSIP")</f>
        <v>#N/A Requesting Data...</v>
      </c>
      <c r="B1146" t="s">
        <v>296</v>
      </c>
      <c r="C1146" t="str">
        <f>_xll.BDP("535783KM Muni","INSURANCE_STATUS")</f>
        <v>#N/A Requesting Data...</v>
      </c>
      <c r="D1146" t="str">
        <f>_xll.BDP("535783KM Muni","STATE_CODE")</f>
        <v>#N/A Requesting Data...</v>
      </c>
      <c r="E1146" t="str">
        <f>_xll.BDP("535783KM Muni","COUNTY_LOCATION_ISSUER")</f>
        <v>#N/A Requesting Data...</v>
      </c>
      <c r="F1146" t="str">
        <f>_xll.BDP("535783KM Muni","DUR_ADJ_MID")</f>
        <v>#N/A Requesting Data...</v>
      </c>
      <c r="G1146" t="str">
        <f>_xll.BDP("535783KM Muni","SPREAD_AT_ISSUANCE_TO_WORST")</f>
        <v>#N/A Requesting Data...</v>
      </c>
      <c r="H1146" t="str">
        <f>_xll.BDP("535783KM Muni","ISSUE_DT")</f>
        <v>#N/A Requesting Data...</v>
      </c>
      <c r="I1146" t="str">
        <f>_xll.BDS("535783KM Muni","MUNI_PURPOSE_SCHED", "aggregate=y")</f>
        <v>#N/A Requesting Data...</v>
      </c>
      <c r="J1146" t="str">
        <f>_xll.BDP("535783KM Muni","CPN")</f>
        <v>#N/A Requesting Data...</v>
      </c>
      <c r="K1146" t="str">
        <f>_xll.BDP("535783KM Muni","MATURITY")</f>
        <v>#N/A Requesting Data...</v>
      </c>
      <c r="L1146">
        <v>240000</v>
      </c>
      <c r="M1146" t="str">
        <f>_xll.BDP("535783KM Muni","YIELD_ON_ISSUE_DATE")</f>
        <v>#N/A Requesting Data...</v>
      </c>
      <c r="N1146" t="str">
        <f>_xll.BDP("535783KM Muni","YTW_SPREAD_TO_MATURITY_AT_ISSU")</f>
        <v>#N/A Requesting Data...</v>
      </c>
      <c r="O1146" t="str">
        <f>_xll.BDP("535783KM Muni","BVAL_MID_YTM")</f>
        <v>#N/A Requesting Data...</v>
      </c>
      <c r="P1146" t="str">
        <f>_xll.BDP("535783KM Muni","MUNI_TAX_PROV")</f>
        <v>#N/A Requesting Data...</v>
      </c>
      <c r="Q1146" t="str">
        <f>_xll.BDP("535783KM Muni","MUNI_FED_TAX")</f>
        <v>#N/A Requesting Data...</v>
      </c>
      <c r="R1146" t="str">
        <f>_xll.BDP("535783KM Muni","MUNI_MSRB_VOLUME")</f>
        <v>#N/A Requesting Data...</v>
      </c>
      <c r="S1146" t="str">
        <f>_xll.BDP("535783KM Muni","BB_COMPOSITE")</f>
        <v>#N/A Requesting Data...</v>
      </c>
      <c r="T1146" t="str">
        <f>_xll.BDP("535783KM Muni","LQA_LIQUIDITY_SCORE")</f>
        <v>#N/A Requesting Data...</v>
      </c>
    </row>
    <row r="1147" spans="1:20" x14ac:dyDescent="0.25">
      <c r="A1147" t="str">
        <f>_xll.BDP("536060QM Muni","ID_CUSIP")</f>
        <v>#N/A Requesting Data...</v>
      </c>
      <c r="B1147" t="s">
        <v>297</v>
      </c>
      <c r="C1147" t="str">
        <f>_xll.BDP("536060QM Muni","INSURANCE_STATUS")</f>
        <v>#N/A Requesting Data...</v>
      </c>
      <c r="D1147" t="str">
        <f>_xll.BDP("536060QM Muni","STATE_CODE")</f>
        <v>#N/A Requesting Data...</v>
      </c>
      <c r="E1147" t="str">
        <f>_xll.BDP("536060QM Muni","COUNTY_LOCATION_ISSUER")</f>
        <v>#N/A Requesting Data...</v>
      </c>
      <c r="F1147" t="str">
        <f>_xll.BDP("536060QM Muni","DUR_ADJ_MID")</f>
        <v>#N/A Requesting Data...</v>
      </c>
      <c r="G1147" t="str">
        <f>_xll.BDP("536060QM Muni","SPREAD_AT_ISSUANCE_TO_WORST")</f>
        <v>#N/A Requesting Data...</v>
      </c>
      <c r="H1147" t="str">
        <f>_xll.BDP("536060QM Muni","ISSUE_DT")</f>
        <v>#N/A Requesting Data...</v>
      </c>
      <c r="I1147" t="str">
        <f>_xll.BDS("536060QM Muni","MUNI_PURPOSE_SCHED", "aggregate=y")</f>
        <v>#N/A Requesting Data...</v>
      </c>
      <c r="J1147" t="str">
        <f>_xll.BDP("536060QM Muni","CPN")</f>
        <v>#N/A Requesting Data...</v>
      </c>
      <c r="K1147" t="str">
        <f>_xll.BDP("536060QM Muni","MATURITY")</f>
        <v>#N/A Requesting Data...</v>
      </c>
      <c r="L1147">
        <v>435000</v>
      </c>
      <c r="M1147" t="str">
        <f>_xll.BDP("536060QM Muni","YIELD_ON_ISSUE_DATE")</f>
        <v>#N/A Requesting Data...</v>
      </c>
      <c r="N1147" t="str">
        <f>_xll.BDP("536060QM Muni","YTW_SPREAD_TO_MATURITY_AT_ISSU")</f>
        <v>#N/A Requesting Data...</v>
      </c>
      <c r="O1147" t="str">
        <f>_xll.BDP("536060QM Muni","BVAL_MID_YTM")</f>
        <v>#N/A Requesting Data...</v>
      </c>
      <c r="P1147" t="str">
        <f>_xll.BDP("536060QM Muni","MUNI_TAX_PROV")</f>
        <v>#N/A Requesting Data...</v>
      </c>
      <c r="Q1147" t="str">
        <f>_xll.BDP("536060QM Muni","MUNI_FED_TAX")</f>
        <v>#N/A Requesting Data...</v>
      </c>
      <c r="R1147" t="str">
        <f>_xll.BDP("536060QM Muni","MUNI_MSRB_VOLUME")</f>
        <v>#N/A Requesting Data...</v>
      </c>
      <c r="S1147" t="str">
        <f>_xll.BDP("536060QM Muni","BB_COMPOSITE")</f>
        <v>#N/A Requesting Data...</v>
      </c>
      <c r="T1147" t="str">
        <f>_xll.BDP("536060QM Muni","LQA_LIQUIDITY_SCORE")</f>
        <v>#N/A Requesting Data...</v>
      </c>
    </row>
    <row r="1148" spans="1:20" x14ac:dyDescent="0.25">
      <c r="A1148" t="str">
        <f>_xll.BDP("536060QN Muni","ID_CUSIP")</f>
        <v>#N/A Requesting Data...</v>
      </c>
      <c r="B1148" t="s">
        <v>297</v>
      </c>
      <c r="C1148" t="str">
        <f>_xll.BDP("536060QN Muni","INSURANCE_STATUS")</f>
        <v>#N/A Requesting Data...</v>
      </c>
      <c r="D1148" t="str">
        <f>_xll.BDP("536060QN Muni","STATE_CODE")</f>
        <v>#N/A Requesting Data...</v>
      </c>
      <c r="E1148" t="str">
        <f>_xll.BDP("536060QN Muni","COUNTY_LOCATION_ISSUER")</f>
        <v>#N/A Requesting Data...</v>
      </c>
      <c r="F1148" t="str">
        <f>_xll.BDP("536060QN Muni","DUR_ADJ_MID")</f>
        <v>#N/A Requesting Data...</v>
      </c>
      <c r="G1148" t="str">
        <f>_xll.BDP("536060QN Muni","SPREAD_AT_ISSUANCE_TO_WORST")</f>
        <v>#N/A Requesting Data...</v>
      </c>
      <c r="H1148" t="str">
        <f>_xll.BDP("536060QN Muni","ISSUE_DT")</f>
        <v>#N/A Requesting Data...</v>
      </c>
      <c r="I1148" t="str">
        <f>_xll.BDS("536060QN Muni","MUNI_PURPOSE_SCHED", "aggregate=y")</f>
        <v>#N/A Requesting Data...</v>
      </c>
      <c r="J1148" t="str">
        <f>_xll.BDP("536060QN Muni","CPN")</f>
        <v>#N/A Requesting Data...</v>
      </c>
      <c r="K1148" t="str">
        <f>_xll.BDP("536060QN Muni","MATURITY")</f>
        <v>#N/A Requesting Data...</v>
      </c>
      <c r="L1148">
        <v>455000</v>
      </c>
      <c r="M1148" t="str">
        <f>_xll.BDP("536060QN Muni","YIELD_ON_ISSUE_DATE")</f>
        <v>#N/A Requesting Data...</v>
      </c>
      <c r="N1148" t="str">
        <f>_xll.BDP("536060QN Muni","YTW_SPREAD_TO_MATURITY_AT_ISSU")</f>
        <v>#N/A Requesting Data...</v>
      </c>
      <c r="O1148" t="str">
        <f>_xll.BDP("536060QN Muni","BVAL_MID_YTM")</f>
        <v>#N/A Requesting Data...</v>
      </c>
      <c r="P1148" t="str">
        <f>_xll.BDP("536060QN Muni","MUNI_TAX_PROV")</f>
        <v>#N/A Requesting Data...</v>
      </c>
      <c r="Q1148" t="str">
        <f>_xll.BDP("536060QN Muni","MUNI_FED_TAX")</f>
        <v>#N/A Requesting Data...</v>
      </c>
      <c r="R1148" t="str">
        <f>_xll.BDP("536060QN Muni","MUNI_MSRB_VOLUME")</f>
        <v>#N/A Requesting Data...</v>
      </c>
      <c r="S1148" t="str">
        <f>_xll.BDP("536060QN Muni","BB_COMPOSITE")</f>
        <v>#N/A Requesting Data...</v>
      </c>
      <c r="T1148" t="str">
        <f>_xll.BDP("536060QN Muni","LQA_LIQUIDITY_SCORE")</f>
        <v>#N/A Requesting Data...</v>
      </c>
    </row>
    <row r="1149" spans="1:20" x14ac:dyDescent="0.25">
      <c r="A1149" t="str">
        <f>_xll.BDP("536060QP Muni","ID_CUSIP")</f>
        <v>#N/A Requesting Data...</v>
      </c>
      <c r="B1149" t="s">
        <v>297</v>
      </c>
      <c r="C1149" t="str">
        <f>_xll.BDP("536060QP Muni","INSURANCE_STATUS")</f>
        <v>#N/A Requesting Data...</v>
      </c>
      <c r="D1149" t="str">
        <f>_xll.BDP("536060QP Muni","STATE_CODE")</f>
        <v>#N/A Requesting Data...</v>
      </c>
      <c r="E1149" t="str">
        <f>_xll.BDP("536060QP Muni","COUNTY_LOCATION_ISSUER")</f>
        <v>#N/A Requesting Data...</v>
      </c>
      <c r="F1149" t="str">
        <f>_xll.BDP("536060QP Muni","DUR_ADJ_MID")</f>
        <v>#N/A Requesting Data...</v>
      </c>
      <c r="G1149" t="str">
        <f>_xll.BDP("536060QP Muni","SPREAD_AT_ISSUANCE_TO_WORST")</f>
        <v>#N/A Requesting Data...</v>
      </c>
      <c r="H1149" t="str">
        <f>_xll.BDP("536060QP Muni","ISSUE_DT")</f>
        <v>#N/A Requesting Data...</v>
      </c>
      <c r="I1149" t="str">
        <f>_xll.BDS("536060QP Muni","MUNI_PURPOSE_SCHED", "aggregate=y")</f>
        <v>#N/A Requesting Data...</v>
      </c>
      <c r="J1149" t="str">
        <f>_xll.BDP("536060QP Muni","CPN")</f>
        <v>#N/A Requesting Data...</v>
      </c>
      <c r="K1149" t="str">
        <f>_xll.BDP("536060QP Muni","MATURITY")</f>
        <v>#N/A Requesting Data...</v>
      </c>
      <c r="L1149">
        <v>465000</v>
      </c>
      <c r="M1149" t="str">
        <f>_xll.BDP("536060QP Muni","YIELD_ON_ISSUE_DATE")</f>
        <v>#N/A Requesting Data...</v>
      </c>
      <c r="N1149" t="str">
        <f>_xll.BDP("536060QP Muni","YTW_SPREAD_TO_MATURITY_AT_ISSU")</f>
        <v>#N/A Requesting Data...</v>
      </c>
      <c r="O1149" t="str">
        <f>_xll.BDP("536060QP Muni","BVAL_MID_YTM")</f>
        <v>#N/A Requesting Data...</v>
      </c>
      <c r="P1149" t="str">
        <f>_xll.BDP("536060QP Muni","MUNI_TAX_PROV")</f>
        <v>#N/A Requesting Data...</v>
      </c>
      <c r="Q1149" t="str">
        <f>_xll.BDP("536060QP Muni","MUNI_FED_TAX")</f>
        <v>#N/A Requesting Data...</v>
      </c>
      <c r="R1149" t="str">
        <f>_xll.BDP("536060QP Muni","MUNI_MSRB_VOLUME")</f>
        <v>#N/A Requesting Data...</v>
      </c>
      <c r="S1149" t="str">
        <f>_xll.BDP("536060QP Muni","BB_COMPOSITE")</f>
        <v>#N/A Requesting Data...</v>
      </c>
      <c r="T1149" t="str">
        <f>_xll.BDP("536060QP Muni","LQA_LIQUIDITY_SCORE")</f>
        <v>#N/A Requesting Data...</v>
      </c>
    </row>
    <row r="1150" spans="1:20" x14ac:dyDescent="0.25">
      <c r="A1150" t="str">
        <f>_xll.BDP("536060QR Muni","ID_CUSIP")</f>
        <v>#N/A Requesting Data...</v>
      </c>
      <c r="B1150" t="s">
        <v>297</v>
      </c>
      <c r="C1150" t="str">
        <f>_xll.BDP("536060QR Muni","INSURANCE_STATUS")</f>
        <v>#N/A Requesting Data...</v>
      </c>
      <c r="D1150" t="str">
        <f>_xll.BDP("536060QR Muni","STATE_CODE")</f>
        <v>#N/A Requesting Data...</v>
      </c>
      <c r="E1150" t="str">
        <f>_xll.BDP("536060QR Muni","COUNTY_LOCATION_ISSUER")</f>
        <v>#N/A Requesting Data...</v>
      </c>
      <c r="F1150" t="str">
        <f>_xll.BDP("536060QR Muni","DUR_ADJ_MID")</f>
        <v>#N/A Requesting Data...</v>
      </c>
      <c r="G1150" t="str">
        <f>_xll.BDP("536060QR Muni","SPREAD_AT_ISSUANCE_TO_WORST")</f>
        <v>#N/A Requesting Data...</v>
      </c>
      <c r="H1150" t="str">
        <f>_xll.BDP("536060QR Muni","ISSUE_DT")</f>
        <v>#N/A Requesting Data...</v>
      </c>
      <c r="I1150" t="str">
        <f>_xll.BDS("536060QR Muni","MUNI_PURPOSE_SCHED", "aggregate=y")</f>
        <v>#N/A Requesting Data...</v>
      </c>
      <c r="J1150" t="str">
        <f>_xll.BDP("536060QR Muni","CPN")</f>
        <v>#N/A Requesting Data...</v>
      </c>
      <c r="K1150" t="str">
        <f>_xll.BDP("536060QR Muni","MATURITY")</f>
        <v>#N/A Requesting Data...</v>
      </c>
      <c r="L1150">
        <v>515000</v>
      </c>
      <c r="M1150" t="str">
        <f>_xll.BDP("536060QR Muni","YIELD_ON_ISSUE_DATE")</f>
        <v>#N/A Requesting Data...</v>
      </c>
      <c r="N1150" t="str">
        <f>_xll.BDP("536060QR Muni","YTW_SPREAD_TO_MATURITY_AT_ISSU")</f>
        <v>#N/A Requesting Data...</v>
      </c>
      <c r="O1150" t="str">
        <f>_xll.BDP("536060QR Muni","BVAL_MID_YTM")</f>
        <v>#N/A Requesting Data...</v>
      </c>
      <c r="P1150" t="str">
        <f>_xll.BDP("536060QR Muni","MUNI_TAX_PROV")</f>
        <v>#N/A Requesting Data...</v>
      </c>
      <c r="Q1150" t="str">
        <f>_xll.BDP("536060QR Muni","MUNI_FED_TAX")</f>
        <v>#N/A Requesting Data...</v>
      </c>
      <c r="R1150" t="str">
        <f>_xll.BDP("536060QR Muni","MUNI_MSRB_VOLUME")</f>
        <v>#N/A Requesting Data...</v>
      </c>
      <c r="S1150" t="str">
        <f>_xll.BDP("536060QR Muni","BB_COMPOSITE")</f>
        <v>#N/A Requesting Data...</v>
      </c>
      <c r="T1150" t="str">
        <f>_xll.BDP("536060QR Muni","LQA_LIQUIDITY_SCORE")</f>
        <v>#N/A Requesting Data...</v>
      </c>
    </row>
    <row r="1151" spans="1:20" x14ac:dyDescent="0.25">
      <c r="A1151" t="str">
        <f>_xll.BDP("518557RL Muni","ID_CUSIP")</f>
        <v>#N/A Requesting Data...</v>
      </c>
      <c r="B1151" t="s">
        <v>298</v>
      </c>
      <c r="C1151" t="str">
        <f>_xll.BDP("518557RL Muni","INSURANCE_STATUS")</f>
        <v>#N/A Requesting Data...</v>
      </c>
      <c r="D1151" t="str">
        <f>_xll.BDP("518557RL Muni","STATE_CODE")</f>
        <v>#N/A Requesting Data...</v>
      </c>
      <c r="E1151" t="str">
        <f>_xll.BDP("518557RL Muni","COUNTY_LOCATION_ISSUER")</f>
        <v>#N/A Requesting Data...</v>
      </c>
      <c r="F1151" t="str">
        <f>_xll.BDP("518557RL Muni","DUR_ADJ_MID")</f>
        <v>#N/A Requesting Data...</v>
      </c>
      <c r="G1151" t="str">
        <f>_xll.BDP("518557RL Muni","SPREAD_AT_ISSUANCE_TO_WORST")</f>
        <v>#N/A Requesting Data...</v>
      </c>
      <c r="H1151" t="str">
        <f>_xll.BDP("518557RL Muni","ISSUE_DT")</f>
        <v>#N/A Requesting Data...</v>
      </c>
      <c r="I1151" t="str">
        <f>_xll.BDS("518557RL Muni","MUNI_PURPOSE_SCHED", "aggregate=y")</f>
        <v>#N/A Requesting Data...</v>
      </c>
      <c r="J1151" t="str">
        <f>_xll.BDP("518557RL Muni","CPN")</f>
        <v>#N/A Requesting Data...</v>
      </c>
      <c r="K1151" t="str">
        <f>_xll.BDP("518557RL Muni","MATURITY")</f>
        <v>#N/A Requesting Data...</v>
      </c>
      <c r="L1151">
        <v>170000</v>
      </c>
      <c r="M1151" t="str">
        <f>_xll.BDP("518557RL Muni","YIELD_ON_ISSUE_DATE")</f>
        <v>#N/A Requesting Data...</v>
      </c>
      <c r="N1151" t="str">
        <f>_xll.BDP("518557RL Muni","YTW_SPREAD_TO_MATURITY_AT_ISSU")</f>
        <v>#N/A Requesting Data...</v>
      </c>
      <c r="O1151" t="str">
        <f>_xll.BDP("518557RL Muni","BVAL_MID_YTM")</f>
        <v>#N/A Requesting Data...</v>
      </c>
      <c r="P1151" t="str">
        <f>_xll.BDP("518557RL Muni","MUNI_TAX_PROV")</f>
        <v>#N/A Requesting Data...</v>
      </c>
      <c r="Q1151" t="str">
        <f>_xll.BDP("518557RL Muni","MUNI_FED_TAX")</f>
        <v>#N/A Requesting Data...</v>
      </c>
      <c r="R1151" t="str">
        <f>_xll.BDP("518557RL Muni","MUNI_MSRB_VOLUME")</f>
        <v>#N/A Requesting Data...</v>
      </c>
      <c r="S1151" t="str">
        <f>_xll.BDP("518557RL Muni","BB_COMPOSITE")</f>
        <v>#N/A Requesting Data...</v>
      </c>
      <c r="T1151" t="str">
        <f>_xll.BDP("518557RL Muni","LQA_LIQUIDITY_SCORE")</f>
        <v>#N/A Requesting Data...</v>
      </c>
    </row>
    <row r="1152" spans="1:20" x14ac:dyDescent="0.25">
      <c r="A1152" t="str">
        <f>_xll.BDP("520192QT Muni","ID_CUSIP")</f>
        <v>#N/A Requesting Data...</v>
      </c>
      <c r="B1152" t="s">
        <v>299</v>
      </c>
      <c r="C1152" t="str">
        <f>_xll.BDP("520192QT Muni","INSURANCE_STATUS")</f>
        <v>#N/A Requesting Data...</v>
      </c>
      <c r="D1152" t="str">
        <f>_xll.BDP("520192QT Muni","STATE_CODE")</f>
        <v>#N/A Requesting Data...</v>
      </c>
      <c r="E1152" t="str">
        <f>_xll.BDP("520192QT Muni","COUNTY_LOCATION_ISSUER")</f>
        <v>#N/A Requesting Data...</v>
      </c>
      <c r="F1152" t="str">
        <f>_xll.BDP("520192QT Muni","DUR_ADJ_MID")</f>
        <v>#N/A Requesting Data...</v>
      </c>
      <c r="G1152" t="str">
        <f>_xll.BDP("520192QT Muni","SPREAD_AT_ISSUANCE_TO_WORST")</f>
        <v>#N/A Requesting Data...</v>
      </c>
      <c r="H1152" t="str">
        <f>_xll.BDP("520192QT Muni","ISSUE_DT")</f>
        <v>#N/A Requesting Data...</v>
      </c>
      <c r="I1152" t="str">
        <f>_xll.BDS("520192QT Muni","MUNI_PURPOSE_SCHED", "aggregate=y")</f>
        <v>#N/A Requesting Data...</v>
      </c>
      <c r="J1152" t="str">
        <f>_xll.BDP("520192QT Muni","CPN")</f>
        <v>#N/A Requesting Data...</v>
      </c>
      <c r="K1152" t="str">
        <f>_xll.BDP("520192QT Muni","MATURITY")</f>
        <v>#N/A Requesting Data...</v>
      </c>
      <c r="L1152">
        <v>720000</v>
      </c>
      <c r="M1152" t="str">
        <f>_xll.BDP("520192QT Muni","YIELD_ON_ISSUE_DATE")</f>
        <v>#N/A Requesting Data...</v>
      </c>
      <c r="N1152" t="str">
        <f>_xll.BDP("520192QT Muni","YTW_SPREAD_TO_MATURITY_AT_ISSU")</f>
        <v>#N/A Requesting Data...</v>
      </c>
      <c r="O1152" t="str">
        <f>_xll.BDP("520192QT Muni","BVAL_MID_YTM")</f>
        <v>#N/A Requesting Data...</v>
      </c>
      <c r="P1152" t="str">
        <f>_xll.BDP("520192QT Muni","MUNI_TAX_PROV")</f>
        <v>#N/A Requesting Data...</v>
      </c>
      <c r="Q1152" t="str">
        <f>_xll.BDP("520192QT Muni","MUNI_FED_TAX")</f>
        <v>#N/A Requesting Data...</v>
      </c>
      <c r="R1152" t="str">
        <f>_xll.BDP("520192QT Muni","MUNI_MSRB_VOLUME")</f>
        <v>#N/A Requesting Data...</v>
      </c>
      <c r="S1152" t="str">
        <f>_xll.BDP("520192QT Muni","BB_COMPOSITE")</f>
        <v>#N/A Requesting Data...</v>
      </c>
      <c r="T1152" t="str">
        <f>_xll.BDP("520192QT Muni","LQA_LIQUIDITY_SCORE")</f>
        <v>#N/A Requesting Data...</v>
      </c>
    </row>
    <row r="1153" spans="1:20" x14ac:dyDescent="0.25">
      <c r="A1153" t="str">
        <f>_xll.BDP("520192QV Muni","ID_CUSIP")</f>
        <v>#N/A Requesting Data...</v>
      </c>
      <c r="B1153" t="s">
        <v>299</v>
      </c>
      <c r="C1153" t="str">
        <f>_xll.BDP("520192QV Muni","INSURANCE_STATUS")</f>
        <v>#N/A Requesting Data...</v>
      </c>
      <c r="D1153" t="str">
        <f>_xll.BDP("520192QV Muni","STATE_CODE")</f>
        <v>#N/A Requesting Data...</v>
      </c>
      <c r="E1153" t="str">
        <f>_xll.BDP("520192QV Muni","COUNTY_LOCATION_ISSUER")</f>
        <v>#N/A Requesting Data...</v>
      </c>
      <c r="F1153" t="str">
        <f>_xll.BDP("520192QV Muni","DUR_ADJ_MID")</f>
        <v>#N/A Requesting Data...</v>
      </c>
      <c r="G1153" t="str">
        <f>_xll.BDP("520192QV Muni","SPREAD_AT_ISSUANCE_TO_WORST")</f>
        <v>#N/A Requesting Data...</v>
      </c>
      <c r="H1153" t="str">
        <f>_xll.BDP("520192QV Muni","ISSUE_DT")</f>
        <v>#N/A Requesting Data...</v>
      </c>
      <c r="I1153" t="str">
        <f>_xll.BDS("520192QV Muni","MUNI_PURPOSE_SCHED", "aggregate=y")</f>
        <v>#N/A Requesting Data...</v>
      </c>
      <c r="J1153" t="str">
        <f>_xll.BDP("520192QV Muni","CPN")</f>
        <v>#N/A Requesting Data...</v>
      </c>
      <c r="K1153" t="str">
        <f>_xll.BDP("520192QV Muni","MATURITY")</f>
        <v>#N/A Requesting Data...</v>
      </c>
      <c r="L1153">
        <v>795000</v>
      </c>
      <c r="M1153" t="str">
        <f>_xll.BDP("520192QV Muni","YIELD_ON_ISSUE_DATE")</f>
        <v>#N/A Requesting Data...</v>
      </c>
      <c r="N1153" t="str">
        <f>_xll.BDP("520192QV Muni","YTW_SPREAD_TO_MATURITY_AT_ISSU")</f>
        <v>#N/A Requesting Data...</v>
      </c>
      <c r="O1153" t="str">
        <f>_xll.BDP("520192QV Muni","BVAL_MID_YTM")</f>
        <v>#N/A Requesting Data...</v>
      </c>
      <c r="P1153" t="str">
        <f>_xll.BDP("520192QV Muni","MUNI_TAX_PROV")</f>
        <v>#N/A Requesting Data...</v>
      </c>
      <c r="Q1153" t="str">
        <f>_xll.BDP("520192QV Muni","MUNI_FED_TAX")</f>
        <v>#N/A Requesting Data...</v>
      </c>
      <c r="R1153" t="str">
        <f>_xll.BDP("520192QV Muni","MUNI_MSRB_VOLUME")</f>
        <v>#N/A Requesting Data...</v>
      </c>
      <c r="S1153" t="str">
        <f>_xll.BDP("520192QV Muni","BB_COMPOSITE")</f>
        <v>#N/A Requesting Data...</v>
      </c>
      <c r="T1153" t="str">
        <f>_xll.BDP("520192QV Muni","LQA_LIQUIDITY_SCORE")</f>
        <v>#N/A Requesting Data...</v>
      </c>
    </row>
    <row r="1154" spans="1:20" x14ac:dyDescent="0.25">
      <c r="A1154" t="str">
        <f>_xll.BDP("520192QW Muni","ID_CUSIP")</f>
        <v>#N/A Requesting Data...</v>
      </c>
      <c r="B1154" t="s">
        <v>299</v>
      </c>
      <c r="C1154" t="str">
        <f>_xll.BDP("520192QW Muni","INSURANCE_STATUS")</f>
        <v>#N/A Requesting Data...</v>
      </c>
      <c r="D1154" t="str">
        <f>_xll.BDP("520192QW Muni","STATE_CODE")</f>
        <v>#N/A Requesting Data...</v>
      </c>
      <c r="E1154" t="str">
        <f>_xll.BDP("520192QW Muni","COUNTY_LOCATION_ISSUER")</f>
        <v>#N/A Requesting Data...</v>
      </c>
      <c r="F1154" t="str">
        <f>_xll.BDP("520192QW Muni","DUR_ADJ_MID")</f>
        <v>#N/A Requesting Data...</v>
      </c>
      <c r="G1154" t="str">
        <f>_xll.BDP("520192QW Muni","SPREAD_AT_ISSUANCE_TO_WORST")</f>
        <v>#N/A Requesting Data...</v>
      </c>
      <c r="H1154" t="str">
        <f>_xll.BDP("520192QW Muni","ISSUE_DT")</f>
        <v>#N/A Requesting Data...</v>
      </c>
      <c r="I1154" t="str">
        <f>_xll.BDS("520192QW Muni","MUNI_PURPOSE_SCHED", "aggregate=y")</f>
        <v>#N/A Requesting Data...</v>
      </c>
      <c r="J1154" t="str">
        <f>_xll.BDP("520192QW Muni","CPN")</f>
        <v>#N/A Requesting Data...</v>
      </c>
      <c r="K1154" t="str">
        <f>_xll.BDP("520192QW Muni","MATURITY")</f>
        <v>#N/A Requesting Data...</v>
      </c>
      <c r="L1154">
        <v>835000</v>
      </c>
      <c r="M1154" t="str">
        <f>_xll.BDP("520192QW Muni","YIELD_ON_ISSUE_DATE")</f>
        <v>#N/A Requesting Data...</v>
      </c>
      <c r="N1154" t="str">
        <f>_xll.BDP("520192QW Muni","YTW_SPREAD_TO_MATURITY_AT_ISSU")</f>
        <v>#N/A Requesting Data...</v>
      </c>
      <c r="O1154" t="str">
        <f>_xll.BDP("520192QW Muni","BVAL_MID_YTM")</f>
        <v>#N/A Requesting Data...</v>
      </c>
      <c r="P1154" t="str">
        <f>_xll.BDP("520192QW Muni","MUNI_TAX_PROV")</f>
        <v>#N/A Requesting Data...</v>
      </c>
      <c r="Q1154" t="str">
        <f>_xll.BDP("520192QW Muni","MUNI_FED_TAX")</f>
        <v>#N/A Requesting Data...</v>
      </c>
      <c r="R1154" t="str">
        <f>_xll.BDP("520192QW Muni","MUNI_MSRB_VOLUME")</f>
        <v>#N/A Requesting Data...</v>
      </c>
      <c r="S1154" t="str">
        <f>_xll.BDP("520192QW Muni","BB_COMPOSITE")</f>
        <v>#N/A Requesting Data...</v>
      </c>
      <c r="T1154" t="str">
        <f>_xll.BDP("520192QW Muni","LQA_LIQUIDITY_SCORE")</f>
        <v>#N/A Requesting Data...</v>
      </c>
    </row>
    <row r="1155" spans="1:20" x14ac:dyDescent="0.25">
      <c r="A1155" t="str">
        <f>_xll.BDP("49151FXX Muni","ID_CUSIP")</f>
        <v>#N/A Requesting Data...</v>
      </c>
      <c r="B1155" t="s">
        <v>300</v>
      </c>
      <c r="C1155" t="str">
        <f>_xll.BDP("49151FXX Muni","INSURANCE_STATUS")</f>
        <v>#N/A Requesting Data...</v>
      </c>
      <c r="D1155" t="str">
        <f>_xll.BDP("49151FXX Muni","STATE_CODE")</f>
        <v>#N/A Requesting Data...</v>
      </c>
      <c r="E1155" t="str">
        <f>_xll.BDP("49151FXX Muni","COUNTY_LOCATION_ISSUER")</f>
        <v>#N/A Requesting Data...</v>
      </c>
      <c r="F1155" t="str">
        <f>_xll.BDP("49151FXX Muni","DUR_ADJ_MID")</f>
        <v>#N/A Requesting Data...</v>
      </c>
      <c r="G1155" t="str">
        <f>_xll.BDP("49151FXX Muni","SPREAD_AT_ISSUANCE_TO_WORST")</f>
        <v>#N/A Requesting Data...</v>
      </c>
      <c r="H1155" t="str">
        <f>_xll.BDP("49151FXX Muni","ISSUE_DT")</f>
        <v>#N/A Requesting Data...</v>
      </c>
      <c r="I1155" t="str">
        <f>_xll.BDS("49151FXX Muni","MUNI_PURPOSE_SCHED", "aggregate=y")</f>
        <v>#N/A Requesting Data...</v>
      </c>
      <c r="J1155" t="str">
        <f>_xll.BDP("49151FXX Muni","CPN")</f>
        <v>#N/A Requesting Data...</v>
      </c>
      <c r="K1155" t="str">
        <f>_xll.BDP("49151FXX Muni","MATURITY")</f>
        <v>#N/A Requesting Data...</v>
      </c>
      <c r="L1155">
        <v>850000</v>
      </c>
      <c r="M1155" t="str">
        <f>_xll.BDP("49151FXX Muni","YIELD_ON_ISSUE_DATE")</f>
        <v>#N/A Requesting Data...</v>
      </c>
      <c r="N1155" t="str">
        <f>_xll.BDP("49151FXX Muni","YTW_SPREAD_TO_MATURITY_AT_ISSU")</f>
        <v>#N/A Requesting Data...</v>
      </c>
      <c r="O1155" t="str">
        <f>_xll.BDP("49151FXX Muni","BVAL_MID_YTM")</f>
        <v>#N/A Requesting Data...</v>
      </c>
      <c r="P1155" t="str">
        <f>_xll.BDP("49151FXX Muni","MUNI_TAX_PROV")</f>
        <v>#N/A Requesting Data...</v>
      </c>
      <c r="Q1155" t="str">
        <f>_xll.BDP("49151FXX Muni","MUNI_FED_TAX")</f>
        <v>#N/A Requesting Data...</v>
      </c>
      <c r="R1155" t="str">
        <f>_xll.BDP("49151FXX Muni","MUNI_MSRB_VOLUME")</f>
        <v>#N/A Requesting Data...</v>
      </c>
      <c r="S1155" t="str">
        <f>_xll.BDP("49151FXX Muni","BB_COMPOSITE")</f>
        <v>#N/A Requesting Data...</v>
      </c>
      <c r="T1155" t="str">
        <f>_xll.BDP("49151FXX Muni","LQA_LIQUIDITY_SCORE")</f>
        <v>#N/A Requesting Data...</v>
      </c>
    </row>
    <row r="1156" spans="1:20" x14ac:dyDescent="0.25">
      <c r="A1156" t="str">
        <f>_xll.BDP("49151FXY Muni","ID_CUSIP")</f>
        <v>#N/A Requesting Data...</v>
      </c>
      <c r="B1156" t="s">
        <v>300</v>
      </c>
      <c r="C1156" t="str">
        <f>_xll.BDP("49151FXY Muni","INSURANCE_STATUS")</f>
        <v>#N/A Requesting Data...</v>
      </c>
      <c r="D1156" t="str">
        <f>_xll.BDP("49151FXY Muni","STATE_CODE")</f>
        <v>#N/A Requesting Data...</v>
      </c>
      <c r="E1156" t="str">
        <f>_xll.BDP("49151FXY Muni","COUNTY_LOCATION_ISSUER")</f>
        <v>#N/A Requesting Data...</v>
      </c>
      <c r="F1156" t="str">
        <f>_xll.BDP("49151FXY Muni","DUR_ADJ_MID")</f>
        <v>#N/A Requesting Data...</v>
      </c>
      <c r="G1156" t="str">
        <f>_xll.BDP("49151FXY Muni","SPREAD_AT_ISSUANCE_TO_WORST")</f>
        <v>#N/A Requesting Data...</v>
      </c>
      <c r="H1156" t="str">
        <f>_xll.BDP("49151FXY Muni","ISSUE_DT")</f>
        <v>#N/A Requesting Data...</v>
      </c>
      <c r="I1156" t="str">
        <f>_xll.BDS("49151FXY Muni","MUNI_PURPOSE_SCHED", "aggregate=y")</f>
        <v>#N/A Requesting Data...</v>
      </c>
      <c r="J1156" t="str">
        <f>_xll.BDP("49151FXY Muni","CPN")</f>
        <v>#N/A Requesting Data...</v>
      </c>
      <c r="K1156" t="str">
        <f>_xll.BDP("49151FXY Muni","MATURITY")</f>
        <v>#N/A Requesting Data...</v>
      </c>
      <c r="L1156">
        <v>890000</v>
      </c>
      <c r="M1156" t="str">
        <f>_xll.BDP("49151FXY Muni","YIELD_ON_ISSUE_DATE")</f>
        <v>#N/A Requesting Data...</v>
      </c>
      <c r="N1156" t="str">
        <f>_xll.BDP("49151FXY Muni","YTW_SPREAD_TO_MATURITY_AT_ISSU")</f>
        <v>#N/A Requesting Data...</v>
      </c>
      <c r="O1156" t="str">
        <f>_xll.BDP("49151FXY Muni","BVAL_MID_YTM")</f>
        <v>#N/A Requesting Data...</v>
      </c>
      <c r="P1156" t="str">
        <f>_xll.BDP("49151FXY Muni","MUNI_TAX_PROV")</f>
        <v>#N/A Requesting Data...</v>
      </c>
      <c r="Q1156" t="str">
        <f>_xll.BDP("49151FXY Muni","MUNI_FED_TAX")</f>
        <v>#N/A Requesting Data...</v>
      </c>
      <c r="R1156" t="str">
        <f>_xll.BDP("49151FXY Muni","MUNI_MSRB_VOLUME")</f>
        <v>#N/A Requesting Data...</v>
      </c>
      <c r="S1156" t="str">
        <f>_xll.BDP("49151FXY Muni","BB_COMPOSITE")</f>
        <v>#N/A Requesting Data...</v>
      </c>
      <c r="T1156" t="str">
        <f>_xll.BDP("49151FXY Muni","LQA_LIQUIDITY_SCORE")</f>
        <v>#N/A Requesting Data...</v>
      </c>
    </row>
    <row r="1157" spans="1:20" x14ac:dyDescent="0.25">
      <c r="A1157" t="str">
        <f>_xll.BDP("49151FXZ Muni","ID_CUSIP")</f>
        <v>#N/A Requesting Data...</v>
      </c>
      <c r="B1157" t="s">
        <v>300</v>
      </c>
      <c r="C1157" t="str">
        <f>_xll.BDP("49151FXZ Muni","INSURANCE_STATUS")</f>
        <v>#N/A Requesting Data...</v>
      </c>
      <c r="D1157" t="str">
        <f>_xll.BDP("49151FXZ Muni","STATE_CODE")</f>
        <v>#N/A Requesting Data...</v>
      </c>
      <c r="E1157" t="str">
        <f>_xll.BDP("49151FXZ Muni","COUNTY_LOCATION_ISSUER")</f>
        <v>#N/A Requesting Data...</v>
      </c>
      <c r="F1157" t="str">
        <f>_xll.BDP("49151FXZ Muni","DUR_ADJ_MID")</f>
        <v>#N/A Requesting Data...</v>
      </c>
      <c r="G1157" t="str">
        <f>_xll.BDP("49151FXZ Muni","SPREAD_AT_ISSUANCE_TO_WORST")</f>
        <v>#N/A Requesting Data...</v>
      </c>
      <c r="H1157" t="str">
        <f>_xll.BDP("49151FXZ Muni","ISSUE_DT")</f>
        <v>#N/A Requesting Data...</v>
      </c>
      <c r="I1157" t="str">
        <f>_xll.BDS("49151FXZ Muni","MUNI_PURPOSE_SCHED", "aggregate=y")</f>
        <v>#N/A Requesting Data...</v>
      </c>
      <c r="J1157" t="str">
        <f>_xll.BDP("49151FXZ Muni","CPN")</f>
        <v>#N/A Requesting Data...</v>
      </c>
      <c r="K1157" t="str">
        <f>_xll.BDP("49151FXZ Muni","MATURITY")</f>
        <v>#N/A Requesting Data...</v>
      </c>
      <c r="L1157">
        <v>950000</v>
      </c>
      <c r="M1157" t="str">
        <f>_xll.BDP("49151FXZ Muni","YIELD_ON_ISSUE_DATE")</f>
        <v>#N/A Requesting Data...</v>
      </c>
      <c r="N1157" t="str">
        <f>_xll.BDP("49151FXZ Muni","YTW_SPREAD_TO_MATURITY_AT_ISSU")</f>
        <v>#N/A Requesting Data...</v>
      </c>
      <c r="O1157" t="str">
        <f>_xll.BDP("49151FXZ Muni","BVAL_MID_YTM")</f>
        <v>#N/A Requesting Data...</v>
      </c>
      <c r="P1157" t="str">
        <f>_xll.BDP("49151FXZ Muni","MUNI_TAX_PROV")</f>
        <v>#N/A Requesting Data...</v>
      </c>
      <c r="Q1157" t="str">
        <f>_xll.BDP("49151FXZ Muni","MUNI_FED_TAX")</f>
        <v>#N/A Requesting Data...</v>
      </c>
      <c r="R1157" t="str">
        <f>_xll.BDP("49151FXZ Muni","MUNI_MSRB_VOLUME")</f>
        <v>#N/A Requesting Data...</v>
      </c>
      <c r="S1157" t="str">
        <f>_xll.BDP("49151FXZ Muni","BB_COMPOSITE")</f>
        <v>#N/A Requesting Data...</v>
      </c>
      <c r="T1157" t="str">
        <f>_xll.BDP("49151FXZ Muni","LQA_LIQUIDITY_SCORE")</f>
        <v>#N/A Requesting Data...</v>
      </c>
    </row>
    <row r="1158" spans="1:20" x14ac:dyDescent="0.25">
      <c r="A1158" t="str">
        <f>_xll.BDP("49151FYA Muni","ID_CUSIP")</f>
        <v>#N/A Requesting Data...</v>
      </c>
      <c r="B1158" t="s">
        <v>300</v>
      </c>
      <c r="C1158" t="str">
        <f>_xll.BDP("49151FYA Muni","INSURANCE_STATUS")</f>
        <v>#N/A Requesting Data...</v>
      </c>
      <c r="D1158" t="str">
        <f>_xll.BDP("49151FYA Muni","STATE_CODE")</f>
        <v>#N/A Requesting Data...</v>
      </c>
      <c r="E1158" t="str">
        <f>_xll.BDP("49151FYA Muni","COUNTY_LOCATION_ISSUER")</f>
        <v>#N/A Requesting Data...</v>
      </c>
      <c r="F1158" t="str">
        <f>_xll.BDP("49151FYA Muni","DUR_ADJ_MID")</f>
        <v>#N/A Requesting Data...</v>
      </c>
      <c r="G1158" t="str">
        <f>_xll.BDP("49151FYA Muni","SPREAD_AT_ISSUANCE_TO_WORST")</f>
        <v>#N/A Requesting Data...</v>
      </c>
      <c r="H1158" t="str">
        <f>_xll.BDP("49151FYA Muni","ISSUE_DT")</f>
        <v>#N/A Requesting Data...</v>
      </c>
      <c r="I1158" t="str">
        <f>_xll.BDS("49151FYA Muni","MUNI_PURPOSE_SCHED", "aggregate=y")</f>
        <v>#N/A Requesting Data...</v>
      </c>
      <c r="J1158" t="str">
        <f>_xll.BDP("49151FYA Muni","CPN")</f>
        <v>#N/A Requesting Data...</v>
      </c>
      <c r="K1158" t="str">
        <f>_xll.BDP("49151FYA Muni","MATURITY")</f>
        <v>#N/A Requesting Data...</v>
      </c>
      <c r="L1158">
        <v>985000</v>
      </c>
      <c r="M1158" t="str">
        <f>_xll.BDP("49151FYA Muni","YIELD_ON_ISSUE_DATE")</f>
        <v>#N/A Requesting Data...</v>
      </c>
      <c r="N1158" t="str">
        <f>_xll.BDP("49151FYA Muni","YTW_SPREAD_TO_MATURITY_AT_ISSU")</f>
        <v>#N/A Requesting Data...</v>
      </c>
      <c r="O1158" t="str">
        <f>_xll.BDP("49151FYA Muni","BVAL_MID_YTM")</f>
        <v>#N/A Requesting Data...</v>
      </c>
      <c r="P1158" t="str">
        <f>_xll.BDP("49151FYA Muni","MUNI_TAX_PROV")</f>
        <v>#N/A Requesting Data...</v>
      </c>
      <c r="Q1158" t="str">
        <f>_xll.BDP("49151FYA Muni","MUNI_FED_TAX")</f>
        <v>#N/A Requesting Data...</v>
      </c>
      <c r="R1158" t="str">
        <f>_xll.BDP("49151FYA Muni","MUNI_MSRB_VOLUME")</f>
        <v>#N/A Requesting Data...</v>
      </c>
      <c r="S1158" t="str">
        <f>_xll.BDP("49151FYA Muni","BB_COMPOSITE")</f>
        <v>#N/A Requesting Data...</v>
      </c>
      <c r="T1158" t="str">
        <f>_xll.BDP("49151FYA Muni","LQA_LIQUIDITY_SCORE")</f>
        <v>#N/A Requesting Data...</v>
      </c>
    </row>
    <row r="1159" spans="1:20" x14ac:dyDescent="0.25">
      <c r="A1159" t="str">
        <f>_xll.BDP("49151FYB Muni","ID_CUSIP")</f>
        <v>#N/A Requesting Data...</v>
      </c>
      <c r="B1159" t="s">
        <v>300</v>
      </c>
      <c r="C1159" t="str">
        <f>_xll.BDP("49151FYB Muni","INSURANCE_STATUS")</f>
        <v>#N/A Requesting Data...</v>
      </c>
      <c r="D1159" t="str">
        <f>_xll.BDP("49151FYB Muni","STATE_CODE")</f>
        <v>#N/A Requesting Data...</v>
      </c>
      <c r="E1159" t="str">
        <f>_xll.BDP("49151FYB Muni","COUNTY_LOCATION_ISSUER")</f>
        <v>#N/A Requesting Data...</v>
      </c>
      <c r="F1159" t="str">
        <f>_xll.BDP("49151FYB Muni","DUR_ADJ_MID")</f>
        <v>#N/A Requesting Data...</v>
      </c>
      <c r="G1159" t="str">
        <f>_xll.BDP("49151FYB Muni","SPREAD_AT_ISSUANCE_TO_WORST")</f>
        <v>#N/A Requesting Data...</v>
      </c>
      <c r="H1159" t="str">
        <f>_xll.BDP("49151FYB Muni","ISSUE_DT")</f>
        <v>#N/A Requesting Data...</v>
      </c>
      <c r="I1159" t="str">
        <f>_xll.BDS("49151FYB Muni","MUNI_PURPOSE_SCHED", "aggregate=y")</f>
        <v>#N/A Requesting Data...</v>
      </c>
      <c r="J1159" t="str">
        <f>_xll.BDP("49151FYB Muni","CPN")</f>
        <v>#N/A Requesting Data...</v>
      </c>
      <c r="K1159" t="str">
        <f>_xll.BDP("49151FYB Muni","MATURITY")</f>
        <v>#N/A Requesting Data...</v>
      </c>
      <c r="L1159">
        <v>1030000</v>
      </c>
      <c r="M1159" t="str">
        <f>_xll.BDP("49151FYB Muni","YIELD_ON_ISSUE_DATE")</f>
        <v>#N/A Requesting Data...</v>
      </c>
      <c r="N1159" t="str">
        <f>_xll.BDP("49151FYB Muni","YTW_SPREAD_TO_MATURITY_AT_ISSU")</f>
        <v>#N/A Requesting Data...</v>
      </c>
      <c r="O1159" t="str">
        <f>_xll.BDP("49151FYB Muni","BVAL_MID_YTM")</f>
        <v>#N/A Requesting Data...</v>
      </c>
      <c r="P1159" t="str">
        <f>_xll.BDP("49151FYB Muni","MUNI_TAX_PROV")</f>
        <v>#N/A Requesting Data...</v>
      </c>
      <c r="Q1159" t="str">
        <f>_xll.BDP("49151FYB Muni","MUNI_FED_TAX")</f>
        <v>#N/A Requesting Data...</v>
      </c>
      <c r="R1159" t="str">
        <f>_xll.BDP("49151FYB Muni","MUNI_MSRB_VOLUME")</f>
        <v>#N/A Requesting Data...</v>
      </c>
      <c r="S1159" t="str">
        <f>_xll.BDP("49151FYB Muni","BB_COMPOSITE")</f>
        <v>#N/A Requesting Data...</v>
      </c>
      <c r="T1159" t="str">
        <f>_xll.BDP("49151FYB Muni","LQA_LIQUIDITY_SCORE")</f>
        <v>#N/A Requesting Data...</v>
      </c>
    </row>
    <row r="1160" spans="1:20" x14ac:dyDescent="0.25">
      <c r="A1160" t="str">
        <f>_xll.BDP("49151FYC Muni","ID_CUSIP")</f>
        <v>#N/A Requesting Data...</v>
      </c>
      <c r="B1160" t="s">
        <v>300</v>
      </c>
      <c r="C1160" t="str">
        <f>_xll.BDP("49151FYC Muni","INSURANCE_STATUS")</f>
        <v>#N/A Requesting Data...</v>
      </c>
      <c r="D1160" t="str">
        <f>_xll.BDP("49151FYC Muni","STATE_CODE")</f>
        <v>#N/A Requesting Data...</v>
      </c>
      <c r="E1160" t="str">
        <f>_xll.BDP("49151FYC Muni","COUNTY_LOCATION_ISSUER")</f>
        <v>#N/A Requesting Data...</v>
      </c>
      <c r="F1160" t="str">
        <f>_xll.BDP("49151FYC Muni","DUR_ADJ_MID")</f>
        <v>#N/A Requesting Data...</v>
      </c>
      <c r="G1160" t="str">
        <f>_xll.BDP("49151FYC Muni","SPREAD_AT_ISSUANCE_TO_WORST")</f>
        <v>#N/A Requesting Data...</v>
      </c>
      <c r="H1160" t="str">
        <f>_xll.BDP("49151FYC Muni","ISSUE_DT")</f>
        <v>#N/A Requesting Data...</v>
      </c>
      <c r="I1160" t="str">
        <f>_xll.BDS("49151FYC Muni","MUNI_PURPOSE_SCHED", "aggregate=y")</f>
        <v>#N/A Requesting Data...</v>
      </c>
      <c r="J1160" t="str">
        <f>_xll.BDP("49151FYC Muni","CPN")</f>
        <v>#N/A Requesting Data...</v>
      </c>
      <c r="K1160" t="str">
        <f>_xll.BDP("49151FYC Muni","MATURITY")</f>
        <v>#N/A Requesting Data...</v>
      </c>
      <c r="L1160">
        <v>1085000</v>
      </c>
      <c r="M1160" t="str">
        <f>_xll.BDP("49151FYC Muni","YIELD_ON_ISSUE_DATE")</f>
        <v>#N/A Requesting Data...</v>
      </c>
      <c r="N1160" t="str">
        <f>_xll.BDP("49151FYC Muni","YTW_SPREAD_TO_MATURITY_AT_ISSU")</f>
        <v>#N/A Requesting Data...</v>
      </c>
      <c r="O1160" t="str">
        <f>_xll.BDP("49151FYC Muni","BVAL_MID_YTM")</f>
        <v>#N/A Requesting Data...</v>
      </c>
      <c r="P1160" t="str">
        <f>_xll.BDP("49151FYC Muni","MUNI_TAX_PROV")</f>
        <v>#N/A Requesting Data...</v>
      </c>
      <c r="Q1160" t="str">
        <f>_xll.BDP("49151FYC Muni","MUNI_FED_TAX")</f>
        <v>#N/A Requesting Data...</v>
      </c>
      <c r="R1160" t="str">
        <f>_xll.BDP("49151FYC Muni","MUNI_MSRB_VOLUME")</f>
        <v>#N/A Requesting Data...</v>
      </c>
      <c r="S1160" t="str">
        <f>_xll.BDP("49151FYC Muni","BB_COMPOSITE")</f>
        <v>#N/A Requesting Data...</v>
      </c>
      <c r="T1160" t="str">
        <f>_xll.BDP("49151FYC Muni","LQA_LIQUIDITY_SCORE")</f>
        <v>#N/A Requesting Data...</v>
      </c>
    </row>
    <row r="1161" spans="1:20" x14ac:dyDescent="0.25">
      <c r="A1161" t="str">
        <f>_xll.BDP("397378HE Muni","ID_CUSIP")</f>
        <v>#N/A Requesting Data...</v>
      </c>
      <c r="B1161" t="s">
        <v>301</v>
      </c>
      <c r="C1161" t="str">
        <f>_xll.BDP("397378HE Muni","INSURANCE_STATUS")</f>
        <v>#N/A Requesting Data...</v>
      </c>
      <c r="D1161" t="str">
        <f>_xll.BDP("397378HE Muni","STATE_CODE")</f>
        <v>#N/A Requesting Data...</v>
      </c>
      <c r="E1161" t="str">
        <f>_xll.BDP("397378HE Muni","COUNTY_LOCATION_ISSUER")</f>
        <v>#N/A Requesting Data...</v>
      </c>
      <c r="F1161" t="str">
        <f>_xll.BDP("397378HE Muni","DUR_ADJ_MID")</f>
        <v>#N/A Requesting Data...</v>
      </c>
      <c r="G1161" t="str">
        <f>_xll.BDP("397378HE Muni","SPREAD_AT_ISSUANCE_TO_WORST")</f>
        <v>#N/A Requesting Data...</v>
      </c>
      <c r="H1161" t="str">
        <f>_xll.BDP("397378HE Muni","ISSUE_DT")</f>
        <v>#N/A Requesting Data...</v>
      </c>
      <c r="I1161" t="str">
        <f>_xll.BDS("397378HE Muni","MUNI_PURPOSE_SCHED", "aggregate=y")</f>
        <v>#N/A Requesting Data...</v>
      </c>
      <c r="J1161" t="str">
        <f>_xll.BDP("397378HE Muni","CPN")</f>
        <v>#N/A Requesting Data...</v>
      </c>
      <c r="K1161" t="str">
        <f>_xll.BDP("397378HE Muni","MATURITY")</f>
        <v>#N/A Requesting Data...</v>
      </c>
      <c r="L1161">
        <v>110000</v>
      </c>
      <c r="M1161" t="str">
        <f>_xll.BDP("397378HE Muni","YIELD_ON_ISSUE_DATE")</f>
        <v>#N/A Requesting Data...</v>
      </c>
      <c r="N1161" t="str">
        <f>_xll.BDP("397378HE Muni","YTW_SPREAD_TO_MATURITY_AT_ISSU")</f>
        <v>#N/A Requesting Data...</v>
      </c>
      <c r="O1161" t="str">
        <f>_xll.BDP("397378HE Muni","BVAL_MID_YTM")</f>
        <v>#N/A Requesting Data...</v>
      </c>
      <c r="P1161" t="str">
        <f>_xll.BDP("397378HE Muni","MUNI_TAX_PROV")</f>
        <v>#N/A Requesting Data...</v>
      </c>
      <c r="Q1161" t="str">
        <f>_xll.BDP("397378HE Muni","MUNI_FED_TAX")</f>
        <v>#N/A Requesting Data...</v>
      </c>
      <c r="R1161" t="str">
        <f>_xll.BDP("397378HE Muni","MUNI_MSRB_VOLUME")</f>
        <v>#N/A Requesting Data...</v>
      </c>
      <c r="S1161" t="str">
        <f>_xll.BDP("397378HE Muni","BB_COMPOSITE")</f>
        <v>#N/A Requesting Data...</v>
      </c>
      <c r="T1161" t="str">
        <f>_xll.BDP("397378HE Muni","LQA_LIQUIDITY_SCORE")</f>
        <v>#N/A Requesting Data...</v>
      </c>
    </row>
    <row r="1162" spans="1:20" x14ac:dyDescent="0.25">
      <c r="A1162" t="str">
        <f>_xll.BDP("399316QC Muni","ID_CUSIP")</f>
        <v>#N/A Requesting Data...</v>
      </c>
      <c r="B1162" t="s">
        <v>302</v>
      </c>
      <c r="C1162" t="str">
        <f>_xll.BDP("399316QC Muni","INSURANCE_STATUS")</f>
        <v>#N/A Requesting Data...</v>
      </c>
      <c r="D1162" t="str">
        <f>_xll.BDP("399316QC Muni","STATE_CODE")</f>
        <v>#N/A Requesting Data...</v>
      </c>
      <c r="E1162" t="str">
        <f>_xll.BDP("399316QC Muni","COUNTY_LOCATION_ISSUER")</f>
        <v>#N/A Requesting Data...</v>
      </c>
      <c r="F1162" t="str">
        <f>_xll.BDP("399316QC Muni","DUR_ADJ_MID")</f>
        <v>#N/A Requesting Data...</v>
      </c>
      <c r="G1162" t="str">
        <f>_xll.BDP("399316QC Muni","SPREAD_AT_ISSUANCE_TO_WORST")</f>
        <v>#N/A Requesting Data...</v>
      </c>
      <c r="H1162" t="str">
        <f>_xll.BDP("399316QC Muni","ISSUE_DT")</f>
        <v>#N/A Requesting Data...</v>
      </c>
      <c r="I1162" t="str">
        <f>_xll.BDS("399316QC Muni","MUNI_PURPOSE_SCHED", "aggregate=y")</f>
        <v>#N/A Requesting Data...</v>
      </c>
      <c r="J1162" t="str">
        <f>_xll.BDP("399316QC Muni","CPN")</f>
        <v>#N/A Requesting Data...</v>
      </c>
      <c r="K1162" t="str">
        <f>_xll.BDP("399316QC Muni","MATURITY")</f>
        <v>#N/A Requesting Data...</v>
      </c>
      <c r="L1162">
        <v>340000</v>
      </c>
      <c r="M1162" t="str">
        <f>_xll.BDP("399316QC Muni","YIELD_ON_ISSUE_DATE")</f>
        <v>#N/A Requesting Data...</v>
      </c>
      <c r="N1162" t="str">
        <f>_xll.BDP("399316QC Muni","YTW_SPREAD_TO_MATURITY_AT_ISSU")</f>
        <v>#N/A Requesting Data...</v>
      </c>
      <c r="O1162" t="str">
        <f>_xll.BDP("399316QC Muni","BVAL_MID_YTM")</f>
        <v>#N/A Requesting Data...</v>
      </c>
      <c r="P1162" t="str">
        <f>_xll.BDP("399316QC Muni","MUNI_TAX_PROV")</f>
        <v>#N/A Requesting Data...</v>
      </c>
      <c r="Q1162" t="str">
        <f>_xll.BDP("399316QC Muni","MUNI_FED_TAX")</f>
        <v>#N/A Requesting Data...</v>
      </c>
      <c r="R1162" t="str">
        <f>_xll.BDP("399316QC Muni","MUNI_MSRB_VOLUME")</f>
        <v>#N/A Requesting Data...</v>
      </c>
      <c r="S1162" t="str">
        <f>_xll.BDP("399316QC Muni","BB_COMPOSITE")</f>
        <v>#N/A Requesting Data...</v>
      </c>
      <c r="T1162" t="str">
        <f>_xll.BDP("399316QC Muni","LQA_LIQUIDITY_SCORE")</f>
        <v>#N/A Requesting Data...</v>
      </c>
    </row>
    <row r="1163" spans="1:20" x14ac:dyDescent="0.25">
      <c r="A1163" t="str">
        <f>_xll.BDP("399316QF Muni","ID_CUSIP")</f>
        <v>#N/A Requesting Data...</v>
      </c>
      <c r="B1163" t="s">
        <v>302</v>
      </c>
      <c r="C1163" t="str">
        <f>_xll.BDP("399316QF Muni","INSURANCE_STATUS")</f>
        <v>#N/A Requesting Data...</v>
      </c>
      <c r="D1163" t="str">
        <f>_xll.BDP("399316QF Muni","STATE_CODE")</f>
        <v>#N/A Requesting Data...</v>
      </c>
      <c r="E1163" t="str">
        <f>_xll.BDP("399316QF Muni","COUNTY_LOCATION_ISSUER")</f>
        <v>#N/A Requesting Data...</v>
      </c>
      <c r="F1163" t="str">
        <f>_xll.BDP("399316QF Muni","DUR_ADJ_MID")</f>
        <v>#N/A Requesting Data...</v>
      </c>
      <c r="G1163" t="str">
        <f>_xll.BDP("399316QF Muni","SPREAD_AT_ISSUANCE_TO_WORST")</f>
        <v>#N/A Requesting Data...</v>
      </c>
      <c r="H1163" t="str">
        <f>_xll.BDP("399316QF Muni","ISSUE_DT")</f>
        <v>#N/A Requesting Data...</v>
      </c>
      <c r="I1163" t="str">
        <f>_xll.BDS("399316QF Muni","MUNI_PURPOSE_SCHED", "aggregate=y")</f>
        <v>#N/A Requesting Data...</v>
      </c>
      <c r="J1163" t="str">
        <f>_xll.BDP("399316QF Muni","CPN")</f>
        <v>#N/A Requesting Data...</v>
      </c>
      <c r="K1163" t="str">
        <f>_xll.BDP("399316QF Muni","MATURITY")</f>
        <v>#N/A Requesting Data...</v>
      </c>
      <c r="L1163">
        <v>455000</v>
      </c>
      <c r="M1163" t="str">
        <f>_xll.BDP("399316QF Muni","YIELD_ON_ISSUE_DATE")</f>
        <v>#N/A Requesting Data...</v>
      </c>
      <c r="N1163" t="str">
        <f>_xll.BDP("399316QF Muni","YTW_SPREAD_TO_MATURITY_AT_ISSU")</f>
        <v>#N/A Requesting Data...</v>
      </c>
      <c r="O1163" t="str">
        <f>_xll.BDP("399316QF Muni","BVAL_MID_YTM")</f>
        <v>#N/A Requesting Data...</v>
      </c>
      <c r="P1163" t="str">
        <f>_xll.BDP("399316QF Muni","MUNI_TAX_PROV")</f>
        <v>#N/A Requesting Data...</v>
      </c>
      <c r="Q1163" t="str">
        <f>_xll.BDP("399316QF Muni","MUNI_FED_TAX")</f>
        <v>#N/A Requesting Data...</v>
      </c>
      <c r="R1163" t="str">
        <f>_xll.BDP("399316QF Muni","MUNI_MSRB_VOLUME")</f>
        <v>#N/A Requesting Data...</v>
      </c>
      <c r="S1163" t="str">
        <f>_xll.BDP("399316QF Muni","BB_COMPOSITE")</f>
        <v>#N/A Requesting Data...</v>
      </c>
      <c r="T1163" t="str">
        <f>_xll.BDP("399316QF Muni","LQA_LIQUIDITY_SCORE")</f>
        <v>#N/A Requesting Data...</v>
      </c>
    </row>
    <row r="1164" spans="1:20" x14ac:dyDescent="0.25">
      <c r="A1164" t="str">
        <f>_xll.BDP("399316QG Muni","ID_CUSIP")</f>
        <v>#N/A Requesting Data...</v>
      </c>
      <c r="B1164" t="s">
        <v>302</v>
      </c>
      <c r="C1164" t="str">
        <f>_xll.BDP("399316QG Muni","INSURANCE_STATUS")</f>
        <v>#N/A Requesting Data...</v>
      </c>
      <c r="D1164" t="str">
        <f>_xll.BDP("399316QG Muni","STATE_CODE")</f>
        <v>#N/A Requesting Data...</v>
      </c>
      <c r="E1164" t="str">
        <f>_xll.BDP("399316QG Muni","COUNTY_LOCATION_ISSUER")</f>
        <v>#N/A Requesting Data...</v>
      </c>
      <c r="F1164" t="str">
        <f>_xll.BDP("399316QG Muni","DUR_ADJ_MID")</f>
        <v>#N/A Requesting Data...</v>
      </c>
      <c r="G1164" t="str">
        <f>_xll.BDP("399316QG Muni","SPREAD_AT_ISSUANCE_TO_WORST")</f>
        <v>#N/A Requesting Data...</v>
      </c>
      <c r="H1164" t="str">
        <f>_xll.BDP("399316QG Muni","ISSUE_DT")</f>
        <v>#N/A Requesting Data...</v>
      </c>
      <c r="I1164" t="str">
        <f>_xll.BDS("399316QG Muni","MUNI_PURPOSE_SCHED", "aggregate=y")</f>
        <v>#N/A Requesting Data...</v>
      </c>
      <c r="J1164" t="str">
        <f>_xll.BDP("399316QG Muni","CPN")</f>
        <v>#N/A Requesting Data...</v>
      </c>
      <c r="K1164" t="str">
        <f>_xll.BDP("399316QG Muni","MATURITY")</f>
        <v>#N/A Requesting Data...</v>
      </c>
      <c r="L1164">
        <v>565000</v>
      </c>
      <c r="M1164" t="str">
        <f>_xll.BDP("399316QG Muni","YIELD_ON_ISSUE_DATE")</f>
        <v>#N/A Requesting Data...</v>
      </c>
      <c r="N1164" t="str">
        <f>_xll.BDP("399316QG Muni","YTW_SPREAD_TO_MATURITY_AT_ISSU")</f>
        <v>#N/A Requesting Data...</v>
      </c>
      <c r="O1164" t="str">
        <f>_xll.BDP("399316QG Muni","BVAL_MID_YTM")</f>
        <v>#N/A Requesting Data...</v>
      </c>
      <c r="P1164" t="str">
        <f>_xll.BDP("399316QG Muni","MUNI_TAX_PROV")</f>
        <v>#N/A Requesting Data...</v>
      </c>
      <c r="Q1164" t="str">
        <f>_xll.BDP("399316QG Muni","MUNI_FED_TAX")</f>
        <v>#N/A Requesting Data...</v>
      </c>
      <c r="R1164" t="str">
        <f>_xll.BDP("399316QG Muni","MUNI_MSRB_VOLUME")</f>
        <v>#N/A Requesting Data...</v>
      </c>
      <c r="S1164" t="str">
        <f>_xll.BDP("399316QG Muni","BB_COMPOSITE")</f>
        <v>#N/A Requesting Data...</v>
      </c>
      <c r="T1164" t="str">
        <f>_xll.BDP("399316QG Muni","LQA_LIQUIDITY_SCORE")</f>
        <v>#N/A Requesting Data...</v>
      </c>
    </row>
    <row r="1165" spans="1:20" x14ac:dyDescent="0.25">
      <c r="A1165" t="str">
        <f>_xll.BDP("514282XD Muni","ID_CUSIP")</f>
        <v>#N/A Requesting Data...</v>
      </c>
      <c r="B1165" t="s">
        <v>303</v>
      </c>
      <c r="C1165" t="str">
        <f>_xll.BDP("514282XD Muni","INSURANCE_STATUS")</f>
        <v>#N/A Requesting Data...</v>
      </c>
      <c r="D1165" t="str">
        <f>_xll.BDP("514282XD Muni","STATE_CODE")</f>
        <v>#N/A Requesting Data...</v>
      </c>
      <c r="E1165" t="str">
        <f>_xll.BDP("514282XD Muni","COUNTY_LOCATION_ISSUER")</f>
        <v>#N/A Requesting Data...</v>
      </c>
      <c r="F1165" t="str">
        <f>_xll.BDP("514282XD Muni","DUR_ADJ_MID")</f>
        <v>#N/A Requesting Data...</v>
      </c>
      <c r="G1165" t="str">
        <f>_xll.BDP("514282XD Muni","SPREAD_AT_ISSUANCE_TO_WORST")</f>
        <v>#N/A Requesting Data...</v>
      </c>
      <c r="H1165" t="str">
        <f>_xll.BDP("514282XD Muni","ISSUE_DT")</f>
        <v>#N/A Requesting Data...</v>
      </c>
      <c r="I1165" t="str">
        <f>_xll.BDS("514282XD Muni","MUNI_PURPOSE_SCHED", "aggregate=y")</f>
        <v>#N/A Requesting Data...</v>
      </c>
      <c r="J1165" t="str">
        <f>_xll.BDP("514282XD Muni","CPN")</f>
        <v>#N/A Requesting Data...</v>
      </c>
      <c r="K1165" t="str">
        <f>_xll.BDP("514282XD Muni","MATURITY")</f>
        <v>#N/A Requesting Data...</v>
      </c>
      <c r="L1165">
        <v>960000</v>
      </c>
      <c r="M1165" t="str">
        <f>_xll.BDP("514282XD Muni","YIELD_ON_ISSUE_DATE")</f>
        <v>#N/A Requesting Data...</v>
      </c>
      <c r="N1165" t="str">
        <f>_xll.BDP("514282XD Muni","YTW_SPREAD_TO_MATURITY_AT_ISSU")</f>
        <v>#N/A Requesting Data...</v>
      </c>
      <c r="O1165" t="str">
        <f>_xll.BDP("514282XD Muni","BVAL_MID_YTM")</f>
        <v>#N/A Requesting Data...</v>
      </c>
      <c r="P1165" t="str">
        <f>_xll.BDP("514282XD Muni","MUNI_TAX_PROV")</f>
        <v>#N/A Requesting Data...</v>
      </c>
      <c r="Q1165" t="str">
        <f>_xll.BDP("514282XD Muni","MUNI_FED_TAX")</f>
        <v>#N/A Requesting Data...</v>
      </c>
      <c r="R1165" t="str">
        <f>_xll.BDP("514282XD Muni","MUNI_MSRB_VOLUME")</f>
        <v>#N/A Requesting Data...</v>
      </c>
      <c r="S1165" t="str">
        <f>_xll.BDP("514282XD Muni","BB_COMPOSITE")</f>
        <v>#N/A Requesting Data...</v>
      </c>
      <c r="T1165" t="str">
        <f>_xll.BDP("514282XD Muni","LQA_LIQUIDITY_SCORE")</f>
        <v>#N/A Requesting Data...</v>
      </c>
    </row>
    <row r="1166" spans="1:20" x14ac:dyDescent="0.25">
      <c r="A1166" t="str">
        <f>_xll.BDP("514282XE Muni","ID_CUSIP")</f>
        <v>#N/A Requesting Data...</v>
      </c>
      <c r="B1166" t="s">
        <v>303</v>
      </c>
      <c r="C1166" t="str">
        <f>_xll.BDP("514282XE Muni","INSURANCE_STATUS")</f>
        <v>#N/A Requesting Data...</v>
      </c>
      <c r="D1166" t="str">
        <f>_xll.BDP("514282XE Muni","STATE_CODE")</f>
        <v>#N/A Requesting Data...</v>
      </c>
      <c r="E1166" t="str">
        <f>_xll.BDP("514282XE Muni","COUNTY_LOCATION_ISSUER")</f>
        <v>#N/A Requesting Data...</v>
      </c>
      <c r="F1166" t="str">
        <f>_xll.BDP("514282XE Muni","DUR_ADJ_MID")</f>
        <v>#N/A Requesting Data...</v>
      </c>
      <c r="G1166" t="str">
        <f>_xll.BDP("514282XE Muni","SPREAD_AT_ISSUANCE_TO_WORST")</f>
        <v>#N/A Requesting Data...</v>
      </c>
      <c r="H1166" t="str">
        <f>_xll.BDP("514282XE Muni","ISSUE_DT")</f>
        <v>#N/A Requesting Data...</v>
      </c>
      <c r="I1166" t="str">
        <f>_xll.BDS("514282XE Muni","MUNI_PURPOSE_SCHED", "aggregate=y")</f>
        <v>#N/A Requesting Data...</v>
      </c>
      <c r="J1166" t="str">
        <f>_xll.BDP("514282XE Muni","CPN")</f>
        <v>#N/A Requesting Data...</v>
      </c>
      <c r="K1166" t="str">
        <f>_xll.BDP("514282XE Muni","MATURITY")</f>
        <v>#N/A Requesting Data...</v>
      </c>
      <c r="L1166">
        <v>1205000</v>
      </c>
      <c r="M1166" t="str">
        <f>_xll.BDP("514282XE Muni","YIELD_ON_ISSUE_DATE")</f>
        <v>#N/A Requesting Data...</v>
      </c>
      <c r="N1166" t="str">
        <f>_xll.BDP("514282XE Muni","YTW_SPREAD_TO_MATURITY_AT_ISSU")</f>
        <v>#N/A Requesting Data...</v>
      </c>
      <c r="O1166" t="str">
        <f>_xll.BDP("514282XE Muni","BVAL_MID_YTM")</f>
        <v>#N/A Requesting Data...</v>
      </c>
      <c r="P1166" t="str">
        <f>_xll.BDP("514282XE Muni","MUNI_TAX_PROV")</f>
        <v>#N/A Requesting Data...</v>
      </c>
      <c r="Q1166" t="str">
        <f>_xll.BDP("514282XE Muni","MUNI_FED_TAX")</f>
        <v>#N/A Requesting Data...</v>
      </c>
      <c r="R1166" t="str">
        <f>_xll.BDP("514282XE Muni","MUNI_MSRB_VOLUME")</f>
        <v>#N/A Requesting Data...</v>
      </c>
      <c r="S1166" t="str">
        <f>_xll.BDP("514282XE Muni","BB_COMPOSITE")</f>
        <v>#N/A Requesting Data...</v>
      </c>
      <c r="T1166" t="str">
        <f>_xll.BDP("514282XE Muni","LQA_LIQUIDITY_SCORE")</f>
        <v>#N/A Requesting Data...</v>
      </c>
    </row>
    <row r="1167" spans="1:20" x14ac:dyDescent="0.25">
      <c r="A1167" t="str">
        <f>_xll.BDP("514282XF Muni","ID_CUSIP")</f>
        <v>#N/A Requesting Data...</v>
      </c>
      <c r="B1167" t="s">
        <v>303</v>
      </c>
      <c r="C1167" t="str">
        <f>_xll.BDP("514282XF Muni","INSURANCE_STATUS")</f>
        <v>#N/A Requesting Data...</v>
      </c>
      <c r="D1167" t="str">
        <f>_xll.BDP("514282XF Muni","STATE_CODE")</f>
        <v>#N/A Requesting Data...</v>
      </c>
      <c r="E1167" t="str">
        <f>_xll.BDP("514282XF Muni","COUNTY_LOCATION_ISSUER")</f>
        <v>#N/A Requesting Data...</v>
      </c>
      <c r="F1167" t="str">
        <f>_xll.BDP("514282XF Muni","DUR_ADJ_MID")</f>
        <v>#N/A Requesting Data...</v>
      </c>
      <c r="G1167" t="str">
        <f>_xll.BDP("514282XF Muni","SPREAD_AT_ISSUANCE_TO_WORST")</f>
        <v>#N/A Requesting Data...</v>
      </c>
      <c r="H1167" t="str">
        <f>_xll.BDP("514282XF Muni","ISSUE_DT")</f>
        <v>#N/A Requesting Data...</v>
      </c>
      <c r="I1167" t="str">
        <f>_xll.BDS("514282XF Muni","MUNI_PURPOSE_SCHED", "aggregate=y")</f>
        <v>#N/A Requesting Data...</v>
      </c>
      <c r="J1167" t="str">
        <f>_xll.BDP("514282XF Muni","CPN")</f>
        <v>#N/A Requesting Data...</v>
      </c>
      <c r="K1167" t="str">
        <f>_xll.BDP("514282XF Muni","MATURITY")</f>
        <v>#N/A Requesting Data...</v>
      </c>
      <c r="L1167">
        <v>1265000</v>
      </c>
      <c r="M1167" t="str">
        <f>_xll.BDP("514282XF Muni","YIELD_ON_ISSUE_DATE")</f>
        <v>#N/A Requesting Data...</v>
      </c>
      <c r="N1167" t="str">
        <f>_xll.BDP("514282XF Muni","YTW_SPREAD_TO_MATURITY_AT_ISSU")</f>
        <v>#N/A Requesting Data...</v>
      </c>
      <c r="O1167" t="str">
        <f>_xll.BDP("514282XF Muni","BVAL_MID_YTM")</f>
        <v>#N/A Requesting Data...</v>
      </c>
      <c r="P1167" t="str">
        <f>_xll.BDP("514282XF Muni","MUNI_TAX_PROV")</f>
        <v>#N/A Requesting Data...</v>
      </c>
      <c r="Q1167" t="str">
        <f>_xll.BDP("514282XF Muni","MUNI_FED_TAX")</f>
        <v>#N/A Requesting Data...</v>
      </c>
      <c r="R1167" t="str">
        <f>_xll.BDP("514282XF Muni","MUNI_MSRB_VOLUME")</f>
        <v>#N/A Requesting Data...</v>
      </c>
      <c r="S1167" t="str">
        <f>_xll.BDP("514282XF Muni","BB_COMPOSITE")</f>
        <v>#N/A Requesting Data...</v>
      </c>
      <c r="T1167" t="str">
        <f>_xll.BDP("514282XF Muni","LQA_LIQUIDITY_SCORE")</f>
        <v>#N/A Requesting Data...</v>
      </c>
    </row>
    <row r="1168" spans="1:20" x14ac:dyDescent="0.25">
      <c r="A1168" t="str">
        <f>_xll.BDP("517496HB Muni","ID_CUSIP")</f>
        <v>#N/A Requesting Data...</v>
      </c>
      <c r="B1168" t="s">
        <v>304</v>
      </c>
      <c r="C1168" t="str">
        <f>_xll.BDP("517496HB Muni","INSURANCE_STATUS")</f>
        <v>#N/A Requesting Data...</v>
      </c>
      <c r="D1168" t="str">
        <f>_xll.BDP("517496HB Muni","STATE_CODE")</f>
        <v>#N/A Requesting Data...</v>
      </c>
      <c r="E1168" t="str">
        <f>_xll.BDP("517496HB Muni","COUNTY_LOCATION_ISSUER")</f>
        <v>#N/A Requesting Data...</v>
      </c>
      <c r="F1168" t="str">
        <f>_xll.BDP("517496HB Muni","DUR_ADJ_MID")</f>
        <v>#N/A Requesting Data...</v>
      </c>
      <c r="G1168" t="str">
        <f>_xll.BDP("517496HB Muni","SPREAD_AT_ISSUANCE_TO_WORST")</f>
        <v>#N/A Requesting Data...</v>
      </c>
      <c r="H1168" t="str">
        <f>_xll.BDP("517496HB Muni","ISSUE_DT")</f>
        <v>#N/A Requesting Data...</v>
      </c>
      <c r="I1168" t="str">
        <f>_xll.BDS("517496HB Muni","MUNI_PURPOSE_SCHED", "aggregate=y")</f>
        <v>#N/A Requesting Data...</v>
      </c>
      <c r="J1168" t="str">
        <f>_xll.BDP("517496HB Muni","CPN")</f>
        <v>#N/A Requesting Data...</v>
      </c>
      <c r="K1168" t="str">
        <f>_xll.BDP("517496HB Muni","MATURITY")</f>
        <v>#N/A Requesting Data...</v>
      </c>
      <c r="L1168">
        <v>965000</v>
      </c>
      <c r="M1168" t="str">
        <f>_xll.BDP("517496HB Muni","YIELD_ON_ISSUE_DATE")</f>
        <v>#N/A Requesting Data...</v>
      </c>
      <c r="N1168" t="str">
        <f>_xll.BDP("517496HB Muni","YTW_SPREAD_TO_MATURITY_AT_ISSU")</f>
        <v>#N/A Requesting Data...</v>
      </c>
      <c r="O1168" t="str">
        <f>_xll.BDP("517496HB Muni","BVAL_MID_YTM")</f>
        <v>#N/A Requesting Data...</v>
      </c>
      <c r="P1168" t="str">
        <f>_xll.BDP("517496HB Muni","MUNI_TAX_PROV")</f>
        <v>#N/A Requesting Data...</v>
      </c>
      <c r="Q1168" t="str">
        <f>_xll.BDP("517496HB Muni","MUNI_FED_TAX")</f>
        <v>#N/A Requesting Data...</v>
      </c>
      <c r="R1168" t="str">
        <f>_xll.BDP("517496HB Muni","MUNI_MSRB_VOLUME")</f>
        <v>#N/A Requesting Data...</v>
      </c>
      <c r="S1168" t="str">
        <f>_xll.BDP("517496HB Muni","BB_COMPOSITE")</f>
        <v>#N/A Requesting Data...</v>
      </c>
      <c r="T1168" t="str">
        <f>_xll.BDP("517496HB Muni","LQA_LIQUIDITY_SCORE")</f>
        <v>#N/A Requesting Data...</v>
      </c>
    </row>
    <row r="1169" spans="1:20" x14ac:dyDescent="0.25">
      <c r="A1169" t="str">
        <f>_xll.BDP("51778RAE Muni","ID_CUSIP")</f>
        <v>#N/A Requesting Data...</v>
      </c>
      <c r="B1169" t="s">
        <v>305</v>
      </c>
      <c r="C1169" t="str">
        <f>_xll.BDP("51778RAE Muni","INSURANCE_STATUS")</f>
        <v>#N/A Requesting Data...</v>
      </c>
      <c r="D1169" t="str">
        <f>_xll.BDP("51778RAE Muni","STATE_CODE")</f>
        <v>#N/A Requesting Data...</v>
      </c>
      <c r="E1169" t="str">
        <f>_xll.BDP("51778RAE Muni","COUNTY_LOCATION_ISSUER")</f>
        <v>#N/A Requesting Data...</v>
      </c>
      <c r="F1169" t="str">
        <f>_xll.BDP("51778RAE Muni","DUR_ADJ_MID")</f>
        <v>#N/A Requesting Data...</v>
      </c>
      <c r="G1169" t="str">
        <f>_xll.BDP("51778RAE Muni","SPREAD_AT_ISSUANCE_TO_WORST")</f>
        <v>#N/A Requesting Data...</v>
      </c>
      <c r="H1169" t="str">
        <f>_xll.BDP("51778RAE Muni","ISSUE_DT")</f>
        <v>#N/A Requesting Data...</v>
      </c>
      <c r="I1169" t="str">
        <f>_xll.BDS("51778RAE Muni","MUNI_PURPOSE_SCHED", "aggregate=y")</f>
        <v>#N/A Requesting Data...</v>
      </c>
      <c r="J1169" t="str">
        <f>_xll.BDP("51778RAE Muni","CPN")</f>
        <v>#N/A Requesting Data...</v>
      </c>
      <c r="K1169" t="str">
        <f>_xll.BDP("51778RAE Muni","MATURITY")</f>
        <v>#N/A Requesting Data...</v>
      </c>
      <c r="L1169">
        <v>245000</v>
      </c>
      <c r="M1169" t="str">
        <f>_xll.BDP("51778RAE Muni","YIELD_ON_ISSUE_DATE")</f>
        <v>#N/A Requesting Data...</v>
      </c>
      <c r="N1169" t="str">
        <f>_xll.BDP("51778RAE Muni","YTW_SPREAD_TO_MATURITY_AT_ISSU")</f>
        <v>#N/A Requesting Data...</v>
      </c>
      <c r="O1169" t="str">
        <f>_xll.BDP("51778RAE Muni","BVAL_MID_YTM")</f>
        <v>#N/A Requesting Data...</v>
      </c>
      <c r="P1169" t="str">
        <f>_xll.BDP("51778RAE Muni","MUNI_TAX_PROV")</f>
        <v>#N/A Requesting Data...</v>
      </c>
      <c r="Q1169" t="str">
        <f>_xll.BDP("51778RAE Muni","MUNI_FED_TAX")</f>
        <v>#N/A Requesting Data...</v>
      </c>
      <c r="R1169" t="str">
        <f>_xll.BDP("51778RAE Muni","MUNI_MSRB_VOLUME")</f>
        <v>#N/A Requesting Data...</v>
      </c>
      <c r="S1169" t="str">
        <f>_xll.BDP("51778RAE Muni","BB_COMPOSITE")</f>
        <v>#N/A Requesting Data...</v>
      </c>
      <c r="T1169" t="str">
        <f>_xll.BDP("51778RAE Muni","LQA_LIQUIDITY_SCORE")</f>
        <v>#N/A Requesting Data...</v>
      </c>
    </row>
    <row r="1170" spans="1:20" x14ac:dyDescent="0.25">
      <c r="A1170" t="str">
        <f>_xll.BDP("51778RAF Muni","ID_CUSIP")</f>
        <v>#N/A Requesting Data...</v>
      </c>
      <c r="B1170" t="s">
        <v>305</v>
      </c>
      <c r="C1170" t="str">
        <f>_xll.BDP("51778RAF Muni","INSURANCE_STATUS")</f>
        <v>#N/A Requesting Data...</v>
      </c>
      <c r="D1170" t="str">
        <f>_xll.BDP("51778RAF Muni","STATE_CODE")</f>
        <v>#N/A Requesting Data...</v>
      </c>
      <c r="E1170" t="str">
        <f>_xll.BDP("51778RAF Muni","COUNTY_LOCATION_ISSUER")</f>
        <v>#N/A Requesting Data...</v>
      </c>
      <c r="F1170" t="str">
        <f>_xll.BDP("51778RAF Muni","DUR_ADJ_MID")</f>
        <v>#N/A Requesting Data...</v>
      </c>
      <c r="G1170" t="str">
        <f>_xll.BDP("51778RAF Muni","SPREAD_AT_ISSUANCE_TO_WORST")</f>
        <v>#N/A Requesting Data...</v>
      </c>
      <c r="H1170" t="str">
        <f>_xll.BDP("51778RAF Muni","ISSUE_DT")</f>
        <v>#N/A Requesting Data...</v>
      </c>
      <c r="I1170" t="str">
        <f>_xll.BDS("51778RAF Muni","MUNI_PURPOSE_SCHED", "aggregate=y")</f>
        <v>#N/A Requesting Data...</v>
      </c>
      <c r="J1170" t="str">
        <f>_xll.BDP("51778RAF Muni","CPN")</f>
        <v>#N/A Requesting Data...</v>
      </c>
      <c r="K1170" t="str">
        <f>_xll.BDP("51778RAF Muni","MATURITY")</f>
        <v>#N/A Requesting Data...</v>
      </c>
      <c r="L1170">
        <v>250000</v>
      </c>
      <c r="M1170" t="str">
        <f>_xll.BDP("51778RAF Muni","YIELD_ON_ISSUE_DATE")</f>
        <v>#N/A Requesting Data...</v>
      </c>
      <c r="N1170" t="str">
        <f>_xll.BDP("51778RAF Muni","YTW_SPREAD_TO_MATURITY_AT_ISSU")</f>
        <v>#N/A Requesting Data...</v>
      </c>
      <c r="O1170" t="str">
        <f>_xll.BDP("51778RAF Muni","BVAL_MID_YTM")</f>
        <v>#N/A Requesting Data...</v>
      </c>
      <c r="P1170" t="str">
        <f>_xll.BDP("51778RAF Muni","MUNI_TAX_PROV")</f>
        <v>#N/A Requesting Data...</v>
      </c>
      <c r="Q1170" t="str">
        <f>_xll.BDP("51778RAF Muni","MUNI_FED_TAX")</f>
        <v>#N/A Requesting Data...</v>
      </c>
      <c r="R1170" t="str">
        <f>_xll.BDP("51778RAF Muni","MUNI_MSRB_VOLUME")</f>
        <v>#N/A Requesting Data...</v>
      </c>
      <c r="S1170" t="str">
        <f>_xll.BDP("51778RAF Muni","BB_COMPOSITE")</f>
        <v>#N/A Requesting Data...</v>
      </c>
      <c r="T1170" t="str">
        <f>_xll.BDP("51778RAF Muni","LQA_LIQUIDITY_SCORE")</f>
        <v>#N/A Requesting Data...</v>
      </c>
    </row>
    <row r="1171" spans="1:20" x14ac:dyDescent="0.25">
      <c r="A1171" t="str">
        <f>_xll.BDP("51778RAG Muni","ID_CUSIP")</f>
        <v>#N/A Requesting Data...</v>
      </c>
      <c r="B1171" t="s">
        <v>305</v>
      </c>
      <c r="C1171" t="str">
        <f>_xll.BDP("51778RAG Muni","INSURANCE_STATUS")</f>
        <v>#N/A Requesting Data...</v>
      </c>
      <c r="D1171" t="str">
        <f>_xll.BDP("51778RAG Muni","STATE_CODE")</f>
        <v>#N/A Requesting Data...</v>
      </c>
      <c r="E1171" t="str">
        <f>_xll.BDP("51778RAG Muni","COUNTY_LOCATION_ISSUER")</f>
        <v>#N/A Requesting Data...</v>
      </c>
      <c r="F1171" t="str">
        <f>_xll.BDP("51778RAG Muni","DUR_ADJ_MID")</f>
        <v>#N/A Requesting Data...</v>
      </c>
      <c r="G1171" t="str">
        <f>_xll.BDP("51778RAG Muni","SPREAD_AT_ISSUANCE_TO_WORST")</f>
        <v>#N/A Requesting Data...</v>
      </c>
      <c r="H1171" t="str">
        <f>_xll.BDP("51778RAG Muni","ISSUE_DT")</f>
        <v>#N/A Requesting Data...</v>
      </c>
      <c r="I1171" t="str">
        <f>_xll.BDS("51778RAG Muni","MUNI_PURPOSE_SCHED", "aggregate=y")</f>
        <v>#N/A Requesting Data...</v>
      </c>
      <c r="J1171" t="str">
        <f>_xll.BDP("51778RAG Muni","CPN")</f>
        <v>#N/A Requesting Data...</v>
      </c>
      <c r="K1171" t="str">
        <f>_xll.BDP("51778RAG Muni","MATURITY")</f>
        <v>#N/A Requesting Data...</v>
      </c>
      <c r="L1171">
        <v>260000</v>
      </c>
      <c r="M1171" t="str">
        <f>_xll.BDP("51778RAG Muni","YIELD_ON_ISSUE_DATE")</f>
        <v>#N/A Requesting Data...</v>
      </c>
      <c r="N1171" t="str">
        <f>_xll.BDP("51778RAG Muni","YTW_SPREAD_TO_MATURITY_AT_ISSU")</f>
        <v>#N/A Requesting Data...</v>
      </c>
      <c r="O1171" t="str">
        <f>_xll.BDP("51778RAG Muni","BVAL_MID_YTM")</f>
        <v>#N/A Requesting Data...</v>
      </c>
      <c r="P1171" t="str">
        <f>_xll.BDP("51778RAG Muni","MUNI_TAX_PROV")</f>
        <v>#N/A Requesting Data...</v>
      </c>
      <c r="Q1171" t="str">
        <f>_xll.BDP("51778RAG Muni","MUNI_FED_TAX")</f>
        <v>#N/A Requesting Data...</v>
      </c>
      <c r="R1171" t="str">
        <f>_xll.BDP("51778RAG Muni","MUNI_MSRB_VOLUME")</f>
        <v>#N/A Requesting Data...</v>
      </c>
      <c r="S1171" t="str">
        <f>_xll.BDP("51778RAG Muni","BB_COMPOSITE")</f>
        <v>#N/A Requesting Data...</v>
      </c>
      <c r="T1171" t="str">
        <f>_xll.BDP("51778RAG Muni","LQA_LIQUIDITY_SCORE")</f>
        <v>#N/A Requesting Data...</v>
      </c>
    </row>
    <row r="1172" spans="1:20" x14ac:dyDescent="0.25">
      <c r="A1172" t="str">
        <f>_xll.BDP("51778RAH Muni","ID_CUSIP")</f>
        <v>#N/A Requesting Data...</v>
      </c>
      <c r="B1172" t="s">
        <v>305</v>
      </c>
      <c r="C1172" t="str">
        <f>_xll.BDP("51778RAH Muni","INSURANCE_STATUS")</f>
        <v>#N/A Requesting Data...</v>
      </c>
      <c r="D1172" t="str">
        <f>_xll.BDP("51778RAH Muni","STATE_CODE")</f>
        <v>#N/A Requesting Data...</v>
      </c>
      <c r="E1172" t="str">
        <f>_xll.BDP("51778RAH Muni","COUNTY_LOCATION_ISSUER")</f>
        <v>#N/A Requesting Data...</v>
      </c>
      <c r="F1172" t="str">
        <f>_xll.BDP("51778RAH Muni","DUR_ADJ_MID")</f>
        <v>#N/A Requesting Data...</v>
      </c>
      <c r="G1172" t="str">
        <f>_xll.BDP("51778RAH Muni","SPREAD_AT_ISSUANCE_TO_WORST")</f>
        <v>#N/A Requesting Data...</v>
      </c>
      <c r="H1172" t="str">
        <f>_xll.BDP("51778RAH Muni","ISSUE_DT")</f>
        <v>#N/A Requesting Data...</v>
      </c>
      <c r="I1172" t="str">
        <f>_xll.BDS("51778RAH Muni","MUNI_PURPOSE_SCHED", "aggregate=y")</f>
        <v>#N/A Requesting Data...</v>
      </c>
      <c r="J1172" t="str">
        <f>_xll.BDP("51778RAH Muni","CPN")</f>
        <v>#N/A Requesting Data...</v>
      </c>
      <c r="K1172" t="str">
        <f>_xll.BDP("51778RAH Muni","MATURITY")</f>
        <v>#N/A Requesting Data...</v>
      </c>
      <c r="L1172">
        <v>275000</v>
      </c>
      <c r="M1172" t="str">
        <f>_xll.BDP("51778RAH Muni","YIELD_ON_ISSUE_DATE")</f>
        <v>#N/A Requesting Data...</v>
      </c>
      <c r="N1172" t="str">
        <f>_xll.BDP("51778RAH Muni","YTW_SPREAD_TO_MATURITY_AT_ISSU")</f>
        <v>#N/A Requesting Data...</v>
      </c>
      <c r="O1172" t="str">
        <f>_xll.BDP("51778RAH Muni","BVAL_MID_YTM")</f>
        <v>#N/A Requesting Data...</v>
      </c>
      <c r="P1172" t="str">
        <f>_xll.BDP("51778RAH Muni","MUNI_TAX_PROV")</f>
        <v>#N/A Requesting Data...</v>
      </c>
      <c r="Q1172" t="str">
        <f>_xll.BDP("51778RAH Muni","MUNI_FED_TAX")</f>
        <v>#N/A Requesting Data...</v>
      </c>
      <c r="R1172" t="str">
        <f>_xll.BDP("51778RAH Muni","MUNI_MSRB_VOLUME")</f>
        <v>#N/A Requesting Data...</v>
      </c>
      <c r="S1172" t="str">
        <f>_xll.BDP("51778RAH Muni","BB_COMPOSITE")</f>
        <v>#N/A Requesting Data...</v>
      </c>
      <c r="T1172" t="str">
        <f>_xll.BDP("51778RAH Muni","LQA_LIQUIDITY_SCORE")</f>
        <v>#N/A Requesting Data...</v>
      </c>
    </row>
    <row r="1173" spans="1:20" x14ac:dyDescent="0.25">
      <c r="A1173" t="str">
        <f>_xll.BDP("51778RAJ Muni","ID_CUSIP")</f>
        <v>#N/A Requesting Data...</v>
      </c>
      <c r="B1173" t="s">
        <v>305</v>
      </c>
      <c r="C1173" t="str">
        <f>_xll.BDP("51778RAJ Muni","INSURANCE_STATUS")</f>
        <v>#N/A Requesting Data...</v>
      </c>
      <c r="D1173" t="str">
        <f>_xll.BDP("51778RAJ Muni","STATE_CODE")</f>
        <v>#N/A Requesting Data...</v>
      </c>
      <c r="E1173" t="str">
        <f>_xll.BDP("51778RAJ Muni","COUNTY_LOCATION_ISSUER")</f>
        <v>#N/A Requesting Data...</v>
      </c>
      <c r="F1173" t="str">
        <f>_xll.BDP("51778RAJ Muni","DUR_ADJ_MID")</f>
        <v>#N/A Requesting Data...</v>
      </c>
      <c r="G1173" t="str">
        <f>_xll.BDP("51778RAJ Muni","SPREAD_AT_ISSUANCE_TO_WORST")</f>
        <v>#N/A Requesting Data...</v>
      </c>
      <c r="H1173" t="str">
        <f>_xll.BDP("51778RAJ Muni","ISSUE_DT")</f>
        <v>#N/A Requesting Data...</v>
      </c>
      <c r="I1173" t="str">
        <f>_xll.BDS("51778RAJ Muni","MUNI_PURPOSE_SCHED", "aggregate=y")</f>
        <v>#N/A Requesting Data...</v>
      </c>
      <c r="J1173" t="str">
        <f>_xll.BDP("51778RAJ Muni","CPN")</f>
        <v>#N/A Requesting Data...</v>
      </c>
      <c r="K1173" t="str">
        <f>_xll.BDP("51778RAJ Muni","MATURITY")</f>
        <v>#N/A Requesting Data...</v>
      </c>
      <c r="L1173">
        <v>285000</v>
      </c>
      <c r="M1173" t="str">
        <f>_xll.BDP("51778RAJ Muni","YIELD_ON_ISSUE_DATE")</f>
        <v>#N/A Requesting Data...</v>
      </c>
      <c r="N1173" t="str">
        <f>_xll.BDP("51778RAJ Muni","YTW_SPREAD_TO_MATURITY_AT_ISSU")</f>
        <v>#N/A Requesting Data...</v>
      </c>
      <c r="O1173" t="str">
        <f>_xll.BDP("51778RAJ Muni","BVAL_MID_YTM")</f>
        <v>#N/A Requesting Data...</v>
      </c>
      <c r="P1173" t="str">
        <f>_xll.BDP("51778RAJ Muni","MUNI_TAX_PROV")</f>
        <v>#N/A Requesting Data...</v>
      </c>
      <c r="Q1173" t="str">
        <f>_xll.BDP("51778RAJ Muni","MUNI_FED_TAX")</f>
        <v>#N/A Requesting Data...</v>
      </c>
      <c r="R1173" t="str">
        <f>_xll.BDP("51778RAJ Muni","MUNI_MSRB_VOLUME")</f>
        <v>#N/A Requesting Data...</v>
      </c>
      <c r="S1173" t="str">
        <f>_xll.BDP("51778RAJ Muni","BB_COMPOSITE")</f>
        <v>#N/A Requesting Data...</v>
      </c>
      <c r="T1173" t="str">
        <f>_xll.BDP("51778RAJ Muni","LQA_LIQUIDITY_SCORE")</f>
        <v>#N/A Requesting Data...</v>
      </c>
    </row>
    <row r="1174" spans="1:20" x14ac:dyDescent="0.25">
      <c r="A1174" t="str">
        <f>_xll.BDP("51778RAK Muni","ID_CUSIP")</f>
        <v>#N/A Requesting Data...</v>
      </c>
      <c r="B1174" t="s">
        <v>305</v>
      </c>
      <c r="C1174" t="str">
        <f>_xll.BDP("51778RAK Muni","INSURANCE_STATUS")</f>
        <v>#N/A Requesting Data...</v>
      </c>
      <c r="D1174" t="str">
        <f>_xll.BDP("51778RAK Muni","STATE_CODE")</f>
        <v>#N/A Requesting Data...</v>
      </c>
      <c r="E1174" t="str">
        <f>_xll.BDP("51778RAK Muni","COUNTY_LOCATION_ISSUER")</f>
        <v>#N/A Requesting Data...</v>
      </c>
      <c r="F1174" t="str">
        <f>_xll.BDP("51778RAK Muni","DUR_ADJ_MID")</f>
        <v>#N/A Requesting Data...</v>
      </c>
      <c r="G1174" t="str">
        <f>_xll.BDP("51778RAK Muni","SPREAD_AT_ISSUANCE_TO_WORST")</f>
        <v>#N/A Requesting Data...</v>
      </c>
      <c r="H1174" t="str">
        <f>_xll.BDP("51778RAK Muni","ISSUE_DT")</f>
        <v>#N/A Requesting Data...</v>
      </c>
      <c r="I1174" t="str">
        <f>_xll.BDS("51778RAK Muni","MUNI_PURPOSE_SCHED", "aggregate=y")</f>
        <v>#N/A Requesting Data...</v>
      </c>
      <c r="J1174" t="str">
        <f>_xll.BDP("51778RAK Muni","CPN")</f>
        <v>#N/A Requesting Data...</v>
      </c>
      <c r="K1174" t="str">
        <f>_xll.BDP("51778RAK Muni","MATURITY")</f>
        <v>#N/A Requesting Data...</v>
      </c>
      <c r="L1174">
        <v>265000</v>
      </c>
      <c r="M1174" t="str">
        <f>_xll.BDP("51778RAK Muni","YIELD_ON_ISSUE_DATE")</f>
        <v>#N/A Requesting Data...</v>
      </c>
      <c r="N1174" t="str">
        <f>_xll.BDP("51778RAK Muni","YTW_SPREAD_TO_MATURITY_AT_ISSU")</f>
        <v>#N/A Requesting Data...</v>
      </c>
      <c r="O1174" t="str">
        <f>_xll.BDP("51778RAK Muni","BVAL_MID_YTM")</f>
        <v>#N/A Requesting Data...</v>
      </c>
      <c r="P1174" t="str">
        <f>_xll.BDP("51778RAK Muni","MUNI_TAX_PROV")</f>
        <v>#N/A Requesting Data...</v>
      </c>
      <c r="Q1174" t="str">
        <f>_xll.BDP("51778RAK Muni","MUNI_FED_TAX")</f>
        <v>#N/A Requesting Data...</v>
      </c>
      <c r="R1174" t="str">
        <f>_xll.BDP("51778RAK Muni","MUNI_MSRB_VOLUME")</f>
        <v>#N/A Requesting Data...</v>
      </c>
      <c r="S1174" t="str">
        <f>_xll.BDP("51778RAK Muni","BB_COMPOSITE")</f>
        <v>#N/A Requesting Data...</v>
      </c>
      <c r="T1174" t="str">
        <f>_xll.BDP("51778RAK Muni","LQA_LIQUIDITY_SCORE")</f>
        <v>#N/A Requesting Data...</v>
      </c>
    </row>
    <row r="1175" spans="1:20" x14ac:dyDescent="0.25">
      <c r="A1175" t="str">
        <f>_xll.BDP("517845EQ Muni","ID_CUSIP")</f>
        <v>#N/A Requesting Data...</v>
      </c>
      <c r="B1175" t="s">
        <v>306</v>
      </c>
      <c r="C1175" t="str">
        <f>_xll.BDP("517845EQ Muni","INSURANCE_STATUS")</f>
        <v>#N/A Requesting Data...</v>
      </c>
      <c r="D1175" t="str">
        <f>_xll.BDP("517845EQ Muni","STATE_CODE")</f>
        <v>#N/A Requesting Data...</v>
      </c>
      <c r="E1175" t="str">
        <f>_xll.BDP("517845EQ Muni","COUNTY_LOCATION_ISSUER")</f>
        <v>#N/A Requesting Data...</v>
      </c>
      <c r="F1175" t="str">
        <f>_xll.BDP("517845EQ Muni","DUR_ADJ_MID")</f>
        <v>#N/A Requesting Data...</v>
      </c>
      <c r="G1175" t="str">
        <f>_xll.BDP("517845EQ Muni","SPREAD_AT_ISSUANCE_TO_WORST")</f>
        <v>#N/A Requesting Data...</v>
      </c>
      <c r="H1175" t="str">
        <f>_xll.BDP("517845EQ Muni","ISSUE_DT")</f>
        <v>#N/A Requesting Data...</v>
      </c>
      <c r="I1175" t="str">
        <f>_xll.BDS("517845EQ Muni","MUNI_PURPOSE_SCHED", "aggregate=y")</f>
        <v>#N/A Requesting Data...</v>
      </c>
      <c r="J1175" t="str">
        <f>_xll.BDP("517845EQ Muni","CPN")</f>
        <v>#N/A Requesting Data...</v>
      </c>
      <c r="K1175" t="str">
        <f>_xll.BDP("517845EQ Muni","MATURITY")</f>
        <v>#N/A Requesting Data...</v>
      </c>
      <c r="L1175">
        <v>2090000</v>
      </c>
      <c r="M1175" t="str">
        <f>_xll.BDP("517845EQ Muni","YIELD_ON_ISSUE_DATE")</f>
        <v>#N/A Requesting Data...</v>
      </c>
      <c r="N1175" t="str">
        <f>_xll.BDP("517845EQ Muni","YTW_SPREAD_TO_MATURITY_AT_ISSU")</f>
        <v>#N/A Requesting Data...</v>
      </c>
      <c r="O1175" t="str">
        <f>_xll.BDP("517845EQ Muni","BVAL_MID_YTM")</f>
        <v>#N/A Requesting Data...</v>
      </c>
      <c r="P1175" t="str">
        <f>_xll.BDP("517845EQ Muni","MUNI_TAX_PROV")</f>
        <v>#N/A Requesting Data...</v>
      </c>
      <c r="Q1175" t="str">
        <f>_xll.BDP("517845EQ Muni","MUNI_FED_TAX")</f>
        <v>#N/A Requesting Data...</v>
      </c>
      <c r="R1175" t="str">
        <f>_xll.BDP("517845EQ Muni","MUNI_MSRB_VOLUME")</f>
        <v>#N/A Requesting Data...</v>
      </c>
      <c r="S1175" t="str">
        <f>_xll.BDP("517845EQ Muni","BB_COMPOSITE")</f>
        <v>#N/A Requesting Data...</v>
      </c>
      <c r="T1175" t="str">
        <f>_xll.BDP("517845EQ Muni","LQA_LIQUIDITY_SCORE")</f>
        <v>#N/A Requesting Data...</v>
      </c>
    </row>
    <row r="1176" spans="1:20" x14ac:dyDescent="0.25">
      <c r="A1176" t="str">
        <f>_xll.BDP("517845ER Muni","ID_CUSIP")</f>
        <v>#N/A Requesting Data...</v>
      </c>
      <c r="B1176" t="s">
        <v>306</v>
      </c>
      <c r="C1176" t="str">
        <f>_xll.BDP("517845ER Muni","INSURANCE_STATUS")</f>
        <v>#N/A Requesting Data...</v>
      </c>
      <c r="D1176" t="str">
        <f>_xll.BDP("517845ER Muni","STATE_CODE")</f>
        <v>#N/A Requesting Data...</v>
      </c>
      <c r="E1176" t="str">
        <f>_xll.BDP("517845ER Muni","COUNTY_LOCATION_ISSUER")</f>
        <v>#N/A Requesting Data...</v>
      </c>
      <c r="F1176" t="str">
        <f>_xll.BDP("517845ER Muni","DUR_ADJ_MID")</f>
        <v>#N/A Requesting Data...</v>
      </c>
      <c r="G1176" t="str">
        <f>_xll.BDP("517845ER Muni","SPREAD_AT_ISSUANCE_TO_WORST")</f>
        <v>#N/A Requesting Data...</v>
      </c>
      <c r="H1176" t="str">
        <f>_xll.BDP("517845ER Muni","ISSUE_DT")</f>
        <v>#N/A Requesting Data...</v>
      </c>
      <c r="I1176" t="str">
        <f>_xll.BDS("517845ER Muni","MUNI_PURPOSE_SCHED", "aggregate=y")</f>
        <v>#N/A Requesting Data...</v>
      </c>
      <c r="J1176" t="str">
        <f>_xll.BDP("517845ER Muni","CPN")</f>
        <v>#N/A Requesting Data...</v>
      </c>
      <c r="K1176" t="str">
        <f>_xll.BDP("517845ER Muni","MATURITY")</f>
        <v>#N/A Requesting Data...</v>
      </c>
      <c r="L1176">
        <v>2195000</v>
      </c>
      <c r="M1176" t="str">
        <f>_xll.BDP("517845ER Muni","YIELD_ON_ISSUE_DATE")</f>
        <v>#N/A Requesting Data...</v>
      </c>
      <c r="N1176" t="str">
        <f>_xll.BDP("517845ER Muni","YTW_SPREAD_TO_MATURITY_AT_ISSU")</f>
        <v>#N/A Requesting Data...</v>
      </c>
      <c r="O1176" t="str">
        <f>_xll.BDP("517845ER Muni","BVAL_MID_YTM")</f>
        <v>#N/A Requesting Data...</v>
      </c>
      <c r="P1176" t="str">
        <f>_xll.BDP("517845ER Muni","MUNI_TAX_PROV")</f>
        <v>#N/A Requesting Data...</v>
      </c>
      <c r="Q1176" t="str">
        <f>_xll.BDP("517845ER Muni","MUNI_FED_TAX")</f>
        <v>#N/A Requesting Data...</v>
      </c>
      <c r="R1176" t="str">
        <f>_xll.BDP("517845ER Muni","MUNI_MSRB_VOLUME")</f>
        <v>#N/A Requesting Data...</v>
      </c>
      <c r="S1176" t="str">
        <f>_xll.BDP("517845ER Muni","BB_COMPOSITE")</f>
        <v>#N/A Requesting Data...</v>
      </c>
      <c r="T1176" t="str">
        <f>_xll.BDP("517845ER Muni","LQA_LIQUIDITY_SCORE")</f>
        <v>#N/A Requesting Data...</v>
      </c>
    </row>
    <row r="1177" spans="1:20" x14ac:dyDescent="0.25">
      <c r="A1177" t="str">
        <f>_xll.BDP("517845ES Muni","ID_CUSIP")</f>
        <v>#N/A Requesting Data...</v>
      </c>
      <c r="B1177" t="s">
        <v>306</v>
      </c>
      <c r="C1177" t="str">
        <f>_xll.BDP("517845ES Muni","INSURANCE_STATUS")</f>
        <v>#N/A Requesting Data...</v>
      </c>
      <c r="D1177" t="str">
        <f>_xll.BDP("517845ES Muni","STATE_CODE")</f>
        <v>#N/A Requesting Data...</v>
      </c>
      <c r="E1177" t="str">
        <f>_xll.BDP("517845ES Muni","COUNTY_LOCATION_ISSUER")</f>
        <v>#N/A Requesting Data...</v>
      </c>
      <c r="F1177" t="str">
        <f>_xll.BDP("517845ES Muni","DUR_ADJ_MID")</f>
        <v>#N/A Requesting Data...</v>
      </c>
      <c r="G1177" t="str">
        <f>_xll.BDP("517845ES Muni","SPREAD_AT_ISSUANCE_TO_WORST")</f>
        <v>#N/A Requesting Data...</v>
      </c>
      <c r="H1177" t="str">
        <f>_xll.BDP("517845ES Muni","ISSUE_DT")</f>
        <v>#N/A Requesting Data...</v>
      </c>
      <c r="I1177" t="str">
        <f>_xll.BDS("517845ES Muni","MUNI_PURPOSE_SCHED", "aggregate=y")</f>
        <v>#N/A Requesting Data...</v>
      </c>
      <c r="J1177" t="str">
        <f>_xll.BDP("517845ES Muni","CPN")</f>
        <v>#N/A Requesting Data...</v>
      </c>
      <c r="K1177" t="str">
        <f>_xll.BDP("517845ES Muni","MATURITY")</f>
        <v>#N/A Requesting Data...</v>
      </c>
      <c r="L1177">
        <v>2305000</v>
      </c>
      <c r="M1177" t="str">
        <f>_xll.BDP("517845ES Muni","YIELD_ON_ISSUE_DATE")</f>
        <v>#N/A Requesting Data...</v>
      </c>
      <c r="N1177" t="str">
        <f>_xll.BDP("517845ES Muni","YTW_SPREAD_TO_MATURITY_AT_ISSU")</f>
        <v>#N/A Requesting Data...</v>
      </c>
      <c r="O1177" t="str">
        <f>_xll.BDP("517845ES Muni","BVAL_MID_YTM")</f>
        <v>#N/A Requesting Data...</v>
      </c>
      <c r="P1177" t="str">
        <f>_xll.BDP("517845ES Muni","MUNI_TAX_PROV")</f>
        <v>#N/A Requesting Data...</v>
      </c>
      <c r="Q1177" t="str">
        <f>_xll.BDP("517845ES Muni","MUNI_FED_TAX")</f>
        <v>#N/A Requesting Data...</v>
      </c>
      <c r="R1177" t="str">
        <f>_xll.BDP("517845ES Muni","MUNI_MSRB_VOLUME")</f>
        <v>#N/A Requesting Data...</v>
      </c>
      <c r="S1177" t="str">
        <f>_xll.BDP("517845ES Muni","BB_COMPOSITE")</f>
        <v>#N/A Requesting Data...</v>
      </c>
      <c r="T1177" t="str">
        <f>_xll.BDP("517845ES Muni","LQA_LIQUIDITY_SCORE")</f>
        <v>#N/A Requesting Data...</v>
      </c>
    </row>
    <row r="1178" spans="1:20" x14ac:dyDescent="0.25">
      <c r="A1178" t="str">
        <f>_xll.BDP("518557RE Muni","ID_CUSIP")</f>
        <v>#N/A Requesting Data...</v>
      </c>
      <c r="B1178" t="s">
        <v>298</v>
      </c>
      <c r="C1178" t="str">
        <f>_xll.BDP("518557RE Muni","INSURANCE_STATUS")</f>
        <v>#N/A Requesting Data...</v>
      </c>
      <c r="D1178" t="str">
        <f>_xll.BDP("518557RE Muni","STATE_CODE")</f>
        <v>#N/A Requesting Data...</v>
      </c>
      <c r="E1178" t="str">
        <f>_xll.BDP("518557RE Muni","COUNTY_LOCATION_ISSUER")</f>
        <v>#N/A Requesting Data...</v>
      </c>
      <c r="F1178" t="str">
        <f>_xll.BDP("518557RE Muni","DUR_ADJ_MID")</f>
        <v>#N/A Requesting Data...</v>
      </c>
      <c r="G1178" t="str">
        <f>_xll.BDP("518557RE Muni","SPREAD_AT_ISSUANCE_TO_WORST")</f>
        <v>#N/A Requesting Data...</v>
      </c>
      <c r="H1178" t="str">
        <f>_xll.BDP("518557RE Muni","ISSUE_DT")</f>
        <v>#N/A Requesting Data...</v>
      </c>
      <c r="I1178" t="str">
        <f>_xll.BDS("518557RE Muni","MUNI_PURPOSE_SCHED", "aggregate=y")</f>
        <v>#N/A Requesting Data...</v>
      </c>
      <c r="J1178" t="str">
        <f>_xll.BDP("518557RE Muni","CPN")</f>
        <v>#N/A Requesting Data...</v>
      </c>
      <c r="K1178" t="str">
        <f>_xll.BDP("518557RE Muni","MATURITY")</f>
        <v>#N/A Requesting Data...</v>
      </c>
      <c r="L1178">
        <v>140000</v>
      </c>
      <c r="M1178" t="str">
        <f>_xll.BDP("518557RE Muni","YIELD_ON_ISSUE_DATE")</f>
        <v>#N/A Requesting Data...</v>
      </c>
      <c r="N1178" t="str">
        <f>_xll.BDP("518557RE Muni","YTW_SPREAD_TO_MATURITY_AT_ISSU")</f>
        <v>#N/A Requesting Data...</v>
      </c>
      <c r="O1178" t="str">
        <f>_xll.BDP("518557RE Muni","BVAL_MID_YTM")</f>
        <v>#N/A Requesting Data...</v>
      </c>
      <c r="P1178" t="str">
        <f>_xll.BDP("518557RE Muni","MUNI_TAX_PROV")</f>
        <v>#N/A Requesting Data...</v>
      </c>
      <c r="Q1178" t="str">
        <f>_xll.BDP("518557RE Muni","MUNI_FED_TAX")</f>
        <v>#N/A Requesting Data...</v>
      </c>
      <c r="R1178" t="str">
        <f>_xll.BDP("518557RE Muni","MUNI_MSRB_VOLUME")</f>
        <v>#N/A Requesting Data...</v>
      </c>
      <c r="S1178" t="str">
        <f>_xll.BDP("518557RE Muni","BB_COMPOSITE")</f>
        <v>#N/A Requesting Data...</v>
      </c>
      <c r="T1178" t="str">
        <f>_xll.BDP("518557RE Muni","LQA_LIQUIDITY_SCORE")</f>
        <v>#N/A Requesting Data...</v>
      </c>
    </row>
    <row r="1179" spans="1:20" x14ac:dyDescent="0.25">
      <c r="A1179" t="str">
        <f>_xll.BDP("518557RF Muni","ID_CUSIP")</f>
        <v>#N/A Requesting Data...</v>
      </c>
      <c r="B1179" t="s">
        <v>298</v>
      </c>
      <c r="C1179" t="str">
        <f>_xll.BDP("518557RF Muni","INSURANCE_STATUS")</f>
        <v>#N/A Requesting Data...</v>
      </c>
      <c r="D1179" t="str">
        <f>_xll.BDP("518557RF Muni","STATE_CODE")</f>
        <v>#N/A Requesting Data...</v>
      </c>
      <c r="E1179" t="str">
        <f>_xll.BDP("518557RF Muni","COUNTY_LOCATION_ISSUER")</f>
        <v>#N/A Requesting Data...</v>
      </c>
      <c r="F1179" t="str">
        <f>_xll.BDP("518557RF Muni","DUR_ADJ_MID")</f>
        <v>#N/A Requesting Data...</v>
      </c>
      <c r="G1179" t="str">
        <f>_xll.BDP("518557RF Muni","SPREAD_AT_ISSUANCE_TO_WORST")</f>
        <v>#N/A Requesting Data...</v>
      </c>
      <c r="H1179" t="str">
        <f>_xll.BDP("518557RF Muni","ISSUE_DT")</f>
        <v>#N/A Requesting Data...</v>
      </c>
      <c r="I1179" t="str">
        <f>_xll.BDS("518557RF Muni","MUNI_PURPOSE_SCHED", "aggregate=y")</f>
        <v>#N/A Requesting Data...</v>
      </c>
      <c r="J1179" t="str">
        <f>_xll.BDP("518557RF Muni","CPN")</f>
        <v>#N/A Requesting Data...</v>
      </c>
      <c r="K1179" t="str">
        <f>_xll.BDP("518557RF Muni","MATURITY")</f>
        <v>#N/A Requesting Data...</v>
      </c>
      <c r="L1179">
        <v>140000</v>
      </c>
      <c r="M1179" t="str">
        <f>_xll.BDP("518557RF Muni","YIELD_ON_ISSUE_DATE")</f>
        <v>#N/A Requesting Data...</v>
      </c>
      <c r="N1179" t="str">
        <f>_xll.BDP("518557RF Muni","YTW_SPREAD_TO_MATURITY_AT_ISSU")</f>
        <v>#N/A Requesting Data...</v>
      </c>
      <c r="O1179" t="str">
        <f>_xll.BDP("518557RF Muni","BVAL_MID_YTM")</f>
        <v>#N/A Requesting Data...</v>
      </c>
      <c r="P1179" t="str">
        <f>_xll.BDP("518557RF Muni","MUNI_TAX_PROV")</f>
        <v>#N/A Requesting Data...</v>
      </c>
      <c r="Q1179" t="str">
        <f>_xll.BDP("518557RF Muni","MUNI_FED_TAX")</f>
        <v>#N/A Requesting Data...</v>
      </c>
      <c r="R1179" t="str">
        <f>_xll.BDP("518557RF Muni","MUNI_MSRB_VOLUME")</f>
        <v>#N/A Requesting Data...</v>
      </c>
      <c r="S1179" t="str">
        <f>_xll.BDP("518557RF Muni","BB_COMPOSITE")</f>
        <v>#N/A Requesting Data...</v>
      </c>
      <c r="T1179" t="str">
        <f>_xll.BDP("518557RF Muni","LQA_LIQUIDITY_SCORE")</f>
        <v>#N/A Requesting Data...</v>
      </c>
    </row>
    <row r="1180" spans="1:20" x14ac:dyDescent="0.25">
      <c r="A1180" t="str">
        <f>_xll.BDP("518557RG Muni","ID_CUSIP")</f>
        <v>#N/A Requesting Data...</v>
      </c>
      <c r="B1180" t="s">
        <v>298</v>
      </c>
      <c r="C1180" t="str">
        <f>_xll.BDP("518557RG Muni","INSURANCE_STATUS")</f>
        <v>#N/A Requesting Data...</v>
      </c>
      <c r="D1180" t="str">
        <f>_xll.BDP("518557RG Muni","STATE_CODE")</f>
        <v>#N/A Requesting Data...</v>
      </c>
      <c r="E1180" t="str">
        <f>_xll.BDP("518557RG Muni","COUNTY_LOCATION_ISSUER")</f>
        <v>#N/A Requesting Data...</v>
      </c>
      <c r="F1180" t="str">
        <f>_xll.BDP("518557RG Muni","DUR_ADJ_MID")</f>
        <v>#N/A Requesting Data...</v>
      </c>
      <c r="G1180" t="str">
        <f>_xll.BDP("518557RG Muni","SPREAD_AT_ISSUANCE_TO_WORST")</f>
        <v>#N/A Requesting Data...</v>
      </c>
      <c r="H1180" t="str">
        <f>_xll.BDP("518557RG Muni","ISSUE_DT")</f>
        <v>#N/A Requesting Data...</v>
      </c>
      <c r="I1180" t="str">
        <f>_xll.BDS("518557RG Muni","MUNI_PURPOSE_SCHED", "aggregate=y")</f>
        <v>#N/A Requesting Data...</v>
      </c>
      <c r="J1180" t="str">
        <f>_xll.BDP("518557RG Muni","CPN")</f>
        <v>#N/A Requesting Data...</v>
      </c>
      <c r="K1180" t="str">
        <f>_xll.BDP("518557RG Muni","MATURITY")</f>
        <v>#N/A Requesting Data...</v>
      </c>
      <c r="L1180">
        <v>145000</v>
      </c>
      <c r="M1180" t="str">
        <f>_xll.BDP("518557RG Muni","YIELD_ON_ISSUE_DATE")</f>
        <v>#N/A Requesting Data...</v>
      </c>
      <c r="N1180" t="str">
        <f>_xll.BDP("518557RG Muni","YTW_SPREAD_TO_MATURITY_AT_ISSU")</f>
        <v>#N/A Requesting Data...</v>
      </c>
      <c r="O1180" t="str">
        <f>_xll.BDP("518557RG Muni","BVAL_MID_YTM")</f>
        <v>#N/A Requesting Data...</v>
      </c>
      <c r="P1180" t="str">
        <f>_xll.BDP("518557RG Muni","MUNI_TAX_PROV")</f>
        <v>#N/A Requesting Data...</v>
      </c>
      <c r="Q1180" t="str">
        <f>_xll.BDP("518557RG Muni","MUNI_FED_TAX")</f>
        <v>#N/A Requesting Data...</v>
      </c>
      <c r="R1180" t="str">
        <f>_xll.BDP("518557RG Muni","MUNI_MSRB_VOLUME")</f>
        <v>#N/A Requesting Data...</v>
      </c>
      <c r="S1180" t="str">
        <f>_xll.BDP("518557RG Muni","BB_COMPOSITE")</f>
        <v>#N/A Requesting Data...</v>
      </c>
      <c r="T1180" t="str">
        <f>_xll.BDP("518557RG Muni","LQA_LIQUIDITY_SCORE")</f>
        <v>#N/A Requesting Data...</v>
      </c>
    </row>
    <row r="1181" spans="1:20" x14ac:dyDescent="0.25">
      <c r="A1181" t="str">
        <f>_xll.BDP("518557RH Muni","ID_CUSIP")</f>
        <v>#N/A Requesting Data...</v>
      </c>
      <c r="B1181" t="s">
        <v>298</v>
      </c>
      <c r="C1181" t="str">
        <f>_xll.BDP("518557RH Muni","INSURANCE_STATUS")</f>
        <v>#N/A Requesting Data...</v>
      </c>
      <c r="D1181" t="str">
        <f>_xll.BDP("518557RH Muni","STATE_CODE")</f>
        <v>#N/A Requesting Data...</v>
      </c>
      <c r="E1181" t="str">
        <f>_xll.BDP("518557RH Muni","COUNTY_LOCATION_ISSUER")</f>
        <v>#N/A Requesting Data...</v>
      </c>
      <c r="F1181" t="str">
        <f>_xll.BDP("518557RH Muni","DUR_ADJ_MID")</f>
        <v>#N/A Requesting Data...</v>
      </c>
      <c r="G1181" t="str">
        <f>_xll.BDP("518557RH Muni","SPREAD_AT_ISSUANCE_TO_WORST")</f>
        <v>#N/A Requesting Data...</v>
      </c>
      <c r="H1181" t="str">
        <f>_xll.BDP("518557RH Muni","ISSUE_DT")</f>
        <v>#N/A Requesting Data...</v>
      </c>
      <c r="I1181" t="str">
        <f>_xll.BDS("518557RH Muni","MUNI_PURPOSE_SCHED", "aggregate=y")</f>
        <v>#N/A Requesting Data...</v>
      </c>
      <c r="J1181" t="str">
        <f>_xll.BDP("518557RH Muni","CPN")</f>
        <v>#N/A Requesting Data...</v>
      </c>
      <c r="K1181" t="str">
        <f>_xll.BDP("518557RH Muni","MATURITY")</f>
        <v>#N/A Requesting Data...</v>
      </c>
      <c r="L1181">
        <v>150000</v>
      </c>
      <c r="M1181" t="str">
        <f>_xll.BDP("518557RH Muni","YIELD_ON_ISSUE_DATE")</f>
        <v>#N/A Requesting Data...</v>
      </c>
      <c r="N1181" t="str">
        <f>_xll.BDP("518557RH Muni","YTW_SPREAD_TO_MATURITY_AT_ISSU")</f>
        <v>#N/A Requesting Data...</v>
      </c>
      <c r="O1181" t="str">
        <f>_xll.BDP("518557RH Muni","BVAL_MID_YTM")</f>
        <v>#N/A Requesting Data...</v>
      </c>
      <c r="P1181" t="str">
        <f>_xll.BDP("518557RH Muni","MUNI_TAX_PROV")</f>
        <v>#N/A Requesting Data...</v>
      </c>
      <c r="Q1181" t="str">
        <f>_xll.BDP("518557RH Muni","MUNI_FED_TAX")</f>
        <v>#N/A Requesting Data...</v>
      </c>
      <c r="R1181" t="str">
        <f>_xll.BDP("518557RH Muni","MUNI_MSRB_VOLUME")</f>
        <v>#N/A Requesting Data...</v>
      </c>
      <c r="S1181" t="str">
        <f>_xll.BDP("518557RH Muni","BB_COMPOSITE")</f>
        <v>#N/A Requesting Data...</v>
      </c>
      <c r="T1181" t="str">
        <f>_xll.BDP("518557RH Muni","LQA_LIQUIDITY_SCORE")</f>
        <v>#N/A Requesting Data...</v>
      </c>
    </row>
    <row r="1182" spans="1:20" x14ac:dyDescent="0.25">
      <c r="A1182" t="str">
        <f>_xll.BDP("518557RJ Muni","ID_CUSIP")</f>
        <v>#N/A Requesting Data...</v>
      </c>
      <c r="B1182" t="s">
        <v>298</v>
      </c>
      <c r="C1182" t="str">
        <f>_xll.BDP("518557RJ Muni","INSURANCE_STATUS")</f>
        <v>#N/A Requesting Data...</v>
      </c>
      <c r="D1182" t="str">
        <f>_xll.BDP("518557RJ Muni","STATE_CODE")</f>
        <v>#N/A Requesting Data...</v>
      </c>
      <c r="E1182" t="str">
        <f>_xll.BDP("518557RJ Muni","COUNTY_LOCATION_ISSUER")</f>
        <v>#N/A Requesting Data...</v>
      </c>
      <c r="F1182" t="str">
        <f>_xll.BDP("518557RJ Muni","DUR_ADJ_MID")</f>
        <v>#N/A Requesting Data...</v>
      </c>
      <c r="G1182" t="str">
        <f>_xll.BDP("518557RJ Muni","SPREAD_AT_ISSUANCE_TO_WORST")</f>
        <v>#N/A Requesting Data...</v>
      </c>
      <c r="H1182" t="str">
        <f>_xll.BDP("518557RJ Muni","ISSUE_DT")</f>
        <v>#N/A Requesting Data...</v>
      </c>
      <c r="I1182" t="str">
        <f>_xll.BDS("518557RJ Muni","MUNI_PURPOSE_SCHED", "aggregate=y")</f>
        <v>#N/A Requesting Data...</v>
      </c>
      <c r="J1182" t="str">
        <f>_xll.BDP("518557RJ Muni","CPN")</f>
        <v>#N/A Requesting Data...</v>
      </c>
      <c r="K1182" t="str">
        <f>_xll.BDP("518557RJ Muni","MATURITY")</f>
        <v>#N/A Requesting Data...</v>
      </c>
      <c r="L1182">
        <v>160000</v>
      </c>
      <c r="M1182" t="str">
        <f>_xll.BDP("518557RJ Muni","YIELD_ON_ISSUE_DATE")</f>
        <v>#N/A Requesting Data...</v>
      </c>
      <c r="N1182" t="str">
        <f>_xll.BDP("518557RJ Muni","YTW_SPREAD_TO_MATURITY_AT_ISSU")</f>
        <v>#N/A Requesting Data...</v>
      </c>
      <c r="O1182" t="str">
        <f>_xll.BDP("518557RJ Muni","BVAL_MID_YTM")</f>
        <v>#N/A Requesting Data...</v>
      </c>
      <c r="P1182" t="str">
        <f>_xll.BDP("518557RJ Muni","MUNI_TAX_PROV")</f>
        <v>#N/A Requesting Data...</v>
      </c>
      <c r="Q1182" t="str">
        <f>_xll.BDP("518557RJ Muni","MUNI_FED_TAX")</f>
        <v>#N/A Requesting Data...</v>
      </c>
      <c r="R1182" t="str">
        <f>_xll.BDP("518557RJ Muni","MUNI_MSRB_VOLUME")</f>
        <v>#N/A Requesting Data...</v>
      </c>
      <c r="S1182" t="str">
        <f>_xll.BDP("518557RJ Muni","BB_COMPOSITE")</f>
        <v>#N/A Requesting Data...</v>
      </c>
      <c r="T1182" t="str">
        <f>_xll.BDP("518557RJ Muni","LQA_LIQUIDITY_SCORE")</f>
        <v>#N/A Requesting Data...</v>
      </c>
    </row>
    <row r="1183" spans="1:20" x14ac:dyDescent="0.25">
      <c r="A1183" t="str">
        <f>_xll.BDP("518557RK Muni","ID_CUSIP")</f>
        <v>#N/A Requesting Data...</v>
      </c>
      <c r="B1183" t="s">
        <v>298</v>
      </c>
      <c r="C1183" t="str">
        <f>_xll.BDP("518557RK Muni","INSURANCE_STATUS")</f>
        <v>#N/A Requesting Data...</v>
      </c>
      <c r="D1183" t="str">
        <f>_xll.BDP("518557RK Muni","STATE_CODE")</f>
        <v>#N/A Requesting Data...</v>
      </c>
      <c r="E1183" t="str">
        <f>_xll.BDP("518557RK Muni","COUNTY_LOCATION_ISSUER")</f>
        <v>#N/A Requesting Data...</v>
      </c>
      <c r="F1183" t="str">
        <f>_xll.BDP("518557RK Muni","DUR_ADJ_MID")</f>
        <v>#N/A Requesting Data...</v>
      </c>
      <c r="G1183" t="str">
        <f>_xll.BDP("518557RK Muni","SPREAD_AT_ISSUANCE_TO_WORST")</f>
        <v>#N/A Requesting Data...</v>
      </c>
      <c r="H1183" t="str">
        <f>_xll.BDP("518557RK Muni","ISSUE_DT")</f>
        <v>#N/A Requesting Data...</v>
      </c>
      <c r="I1183" t="str">
        <f>_xll.BDS("518557RK Muni","MUNI_PURPOSE_SCHED", "aggregate=y")</f>
        <v>#N/A Requesting Data...</v>
      </c>
      <c r="J1183" t="str">
        <f>_xll.BDP("518557RK Muni","CPN")</f>
        <v>#N/A Requesting Data...</v>
      </c>
      <c r="K1183" t="str">
        <f>_xll.BDP("518557RK Muni","MATURITY")</f>
        <v>#N/A Requesting Data...</v>
      </c>
      <c r="L1183">
        <v>165000</v>
      </c>
      <c r="M1183" t="str">
        <f>_xll.BDP("518557RK Muni","YIELD_ON_ISSUE_DATE")</f>
        <v>#N/A Requesting Data...</v>
      </c>
      <c r="N1183" t="str">
        <f>_xll.BDP("518557RK Muni","YTW_SPREAD_TO_MATURITY_AT_ISSU")</f>
        <v>#N/A Requesting Data...</v>
      </c>
      <c r="O1183" t="str">
        <f>_xll.BDP("518557RK Muni","BVAL_MID_YTM")</f>
        <v>#N/A Requesting Data...</v>
      </c>
      <c r="P1183" t="str">
        <f>_xll.BDP("518557RK Muni","MUNI_TAX_PROV")</f>
        <v>#N/A Requesting Data...</v>
      </c>
      <c r="Q1183" t="str">
        <f>_xll.BDP("518557RK Muni","MUNI_FED_TAX")</f>
        <v>#N/A Requesting Data...</v>
      </c>
      <c r="R1183" t="str">
        <f>_xll.BDP("518557RK Muni","MUNI_MSRB_VOLUME")</f>
        <v>#N/A Requesting Data...</v>
      </c>
      <c r="S1183" t="str">
        <f>_xll.BDP("518557RK Muni","BB_COMPOSITE")</f>
        <v>#N/A Requesting Data...</v>
      </c>
      <c r="T1183" t="str">
        <f>_xll.BDP("518557RK Muni","LQA_LIQUIDITY_SCORE")</f>
        <v>#N/A Requesting Data...</v>
      </c>
    </row>
    <row r="1184" spans="1:20" x14ac:dyDescent="0.25">
      <c r="A1184" t="str">
        <f>_xll.BDP("399316QD Muni","ID_CUSIP")</f>
        <v>#N/A Requesting Data...</v>
      </c>
      <c r="B1184" t="s">
        <v>302</v>
      </c>
      <c r="C1184" t="str">
        <f>_xll.BDP("399316QD Muni","INSURANCE_STATUS")</f>
        <v>#N/A Requesting Data...</v>
      </c>
      <c r="D1184" t="str">
        <f>_xll.BDP("399316QD Muni","STATE_CODE")</f>
        <v>#N/A Requesting Data...</v>
      </c>
      <c r="E1184" t="str">
        <f>_xll.BDP("399316QD Muni","COUNTY_LOCATION_ISSUER")</f>
        <v>#N/A Requesting Data...</v>
      </c>
      <c r="F1184" t="str">
        <f>_xll.BDP("399316QD Muni","DUR_ADJ_MID")</f>
        <v>#N/A Requesting Data...</v>
      </c>
      <c r="G1184" t="str">
        <f>_xll.BDP("399316QD Muni","SPREAD_AT_ISSUANCE_TO_WORST")</f>
        <v>#N/A Requesting Data...</v>
      </c>
      <c r="H1184" t="str">
        <f>_xll.BDP("399316QD Muni","ISSUE_DT")</f>
        <v>#N/A Requesting Data...</v>
      </c>
      <c r="I1184" t="str">
        <f>_xll.BDS("399316QD Muni","MUNI_PURPOSE_SCHED", "aggregate=y")</f>
        <v>#N/A Requesting Data...</v>
      </c>
      <c r="J1184" t="str">
        <f>_xll.BDP("399316QD Muni","CPN")</f>
        <v>#N/A Requesting Data...</v>
      </c>
      <c r="K1184" t="str">
        <f>_xll.BDP("399316QD Muni","MATURITY")</f>
        <v>#N/A Requesting Data...</v>
      </c>
      <c r="L1184">
        <v>335000</v>
      </c>
      <c r="M1184" t="str">
        <f>_xll.BDP("399316QD Muni","YIELD_ON_ISSUE_DATE")</f>
        <v>#N/A Requesting Data...</v>
      </c>
      <c r="N1184" t="str">
        <f>_xll.BDP("399316QD Muni","YTW_SPREAD_TO_MATURITY_AT_ISSU")</f>
        <v>#N/A Requesting Data...</v>
      </c>
      <c r="O1184" t="str">
        <f>_xll.BDP("399316QD Muni","BVAL_MID_YTM")</f>
        <v>#N/A Requesting Data...</v>
      </c>
      <c r="P1184" t="str">
        <f>_xll.BDP("399316QD Muni","MUNI_TAX_PROV")</f>
        <v>#N/A Requesting Data...</v>
      </c>
      <c r="Q1184" t="str">
        <f>_xll.BDP("399316QD Muni","MUNI_FED_TAX")</f>
        <v>#N/A Requesting Data...</v>
      </c>
      <c r="R1184" t="str">
        <f>_xll.BDP("399316QD Muni","MUNI_MSRB_VOLUME")</f>
        <v>#N/A Requesting Data...</v>
      </c>
      <c r="S1184" t="str">
        <f>_xll.BDP("399316QD Muni","BB_COMPOSITE")</f>
        <v>#N/A Requesting Data...</v>
      </c>
      <c r="T1184" t="str">
        <f>_xll.BDP("399316QD Muni","LQA_LIQUIDITY_SCORE")</f>
        <v>#N/A Requesting Data...</v>
      </c>
    </row>
    <row r="1185" spans="1:20" x14ac:dyDescent="0.25">
      <c r="A1185" t="str">
        <f>_xll.BDP("399316QE Muni","ID_CUSIP")</f>
        <v>#N/A Requesting Data...</v>
      </c>
      <c r="B1185" t="s">
        <v>302</v>
      </c>
      <c r="C1185" t="str">
        <f>_xll.BDP("399316QE Muni","INSURANCE_STATUS")</f>
        <v>#N/A Requesting Data...</v>
      </c>
      <c r="D1185" t="str">
        <f>_xll.BDP("399316QE Muni","STATE_CODE")</f>
        <v>#N/A Requesting Data...</v>
      </c>
      <c r="E1185" t="str">
        <f>_xll.BDP("399316QE Muni","COUNTY_LOCATION_ISSUER")</f>
        <v>#N/A Requesting Data...</v>
      </c>
      <c r="F1185" t="str">
        <f>_xll.BDP("399316QE Muni","DUR_ADJ_MID")</f>
        <v>#N/A Requesting Data...</v>
      </c>
      <c r="G1185" t="str">
        <f>_xll.BDP("399316QE Muni","SPREAD_AT_ISSUANCE_TO_WORST")</f>
        <v>#N/A Requesting Data...</v>
      </c>
      <c r="H1185" t="str">
        <f>_xll.BDP("399316QE Muni","ISSUE_DT")</f>
        <v>#N/A Requesting Data...</v>
      </c>
      <c r="I1185" t="str">
        <f>_xll.BDS("399316QE Muni","MUNI_PURPOSE_SCHED", "aggregate=y")</f>
        <v>#N/A Requesting Data...</v>
      </c>
      <c r="J1185" t="str">
        <f>_xll.BDP("399316QE Muni","CPN")</f>
        <v>#N/A Requesting Data...</v>
      </c>
      <c r="K1185" t="str">
        <f>_xll.BDP("399316QE Muni","MATURITY")</f>
        <v>#N/A Requesting Data...</v>
      </c>
      <c r="L1185">
        <v>465000</v>
      </c>
      <c r="M1185" t="str">
        <f>_xll.BDP("399316QE Muni","YIELD_ON_ISSUE_DATE")</f>
        <v>#N/A Requesting Data...</v>
      </c>
      <c r="N1185" t="str">
        <f>_xll.BDP("399316QE Muni","YTW_SPREAD_TO_MATURITY_AT_ISSU")</f>
        <v>#N/A Requesting Data...</v>
      </c>
      <c r="O1185" t="str">
        <f>_xll.BDP("399316QE Muni","BVAL_MID_YTM")</f>
        <v>#N/A Requesting Data...</v>
      </c>
      <c r="P1185" t="str">
        <f>_xll.BDP("399316QE Muni","MUNI_TAX_PROV")</f>
        <v>#N/A Requesting Data...</v>
      </c>
      <c r="Q1185" t="str">
        <f>_xll.BDP("399316QE Muni","MUNI_FED_TAX")</f>
        <v>#N/A Requesting Data...</v>
      </c>
      <c r="R1185" t="str">
        <f>_xll.BDP("399316QE Muni","MUNI_MSRB_VOLUME")</f>
        <v>#N/A Requesting Data...</v>
      </c>
      <c r="S1185" t="str">
        <f>_xll.BDP("399316QE Muni","BB_COMPOSITE")</f>
        <v>#N/A Requesting Data...</v>
      </c>
      <c r="T1185" t="str">
        <f>_xll.BDP("399316QE Muni","LQA_LIQUIDITY_SCORE")</f>
        <v>#N/A Requesting Data...</v>
      </c>
    </row>
    <row r="1186" spans="1:20" x14ac:dyDescent="0.25">
      <c r="A1186" t="str">
        <f>_xll.BDP("54628CED Muni","ID_CUSIP")</f>
        <v>#N/A Requesting Data...</v>
      </c>
      <c r="B1186" t="s">
        <v>307</v>
      </c>
      <c r="C1186" t="str">
        <f>_xll.BDP("54628CED Muni","INSURANCE_STATUS")</f>
        <v>#N/A Requesting Data...</v>
      </c>
      <c r="D1186" t="str">
        <f>_xll.BDP("54628CED Muni","STATE_CODE")</f>
        <v>#N/A Requesting Data...</v>
      </c>
      <c r="E1186" t="str">
        <f>_xll.BDP("54628CED Muni","COUNTY_LOCATION_ISSUER")</f>
        <v>#N/A Requesting Data...</v>
      </c>
      <c r="F1186" t="str">
        <f>_xll.BDP("54628CED Muni","DUR_ADJ_MID")</f>
        <v>#N/A Requesting Data...</v>
      </c>
      <c r="G1186" t="str">
        <f>_xll.BDP("54628CED Muni","SPREAD_AT_ISSUANCE_TO_WORST")</f>
        <v>#N/A Requesting Data...</v>
      </c>
      <c r="H1186" t="str">
        <f>_xll.BDP("54628CED Muni","ISSUE_DT")</f>
        <v>#N/A Requesting Data...</v>
      </c>
      <c r="I1186" t="str">
        <f>_xll.BDS("54628CED Muni","MUNI_PURPOSE_SCHED", "aggregate=y")</f>
        <v>#N/A Requesting Data...</v>
      </c>
      <c r="J1186" t="str">
        <f>_xll.BDP("54628CED Muni","CPN")</f>
        <v>#N/A Requesting Data...</v>
      </c>
      <c r="K1186" t="str">
        <f>_xll.BDP("54628CED Muni","MATURITY")</f>
        <v>#N/A Requesting Data...</v>
      </c>
      <c r="L1186">
        <v>1075000</v>
      </c>
      <c r="M1186" t="str">
        <f>_xll.BDP("54628CED Muni","YIELD_ON_ISSUE_DATE")</f>
        <v>#N/A Requesting Data...</v>
      </c>
      <c r="N1186" t="str">
        <f>_xll.BDP("54628CED Muni","YTW_SPREAD_TO_MATURITY_AT_ISSU")</f>
        <v>#N/A Requesting Data...</v>
      </c>
      <c r="O1186" t="str">
        <f>_xll.BDP("54628CED Muni","BVAL_MID_YTM")</f>
        <v>#N/A Requesting Data...</v>
      </c>
      <c r="P1186" t="str">
        <f>_xll.BDP("54628CED Muni","MUNI_TAX_PROV")</f>
        <v>#N/A Requesting Data...</v>
      </c>
      <c r="Q1186" t="str">
        <f>_xll.BDP("54628CED Muni","MUNI_FED_TAX")</f>
        <v>#N/A Requesting Data...</v>
      </c>
      <c r="R1186" t="str">
        <f>_xll.BDP("54628CED Muni","MUNI_MSRB_VOLUME")</f>
        <v>#N/A Requesting Data...</v>
      </c>
      <c r="S1186" t="str">
        <f>_xll.BDP("54628CED Muni","BB_COMPOSITE")</f>
        <v>#N/A Requesting Data...</v>
      </c>
      <c r="T1186" t="str">
        <f>_xll.BDP("54628CED Muni","LQA_LIQUIDITY_SCORE")</f>
        <v>#N/A Requesting Data...</v>
      </c>
    </row>
    <row r="1187" spans="1:20" x14ac:dyDescent="0.25">
      <c r="A1187" t="str">
        <f>_xll.BDP("54628CEE Muni","ID_CUSIP")</f>
        <v>#N/A Requesting Data...</v>
      </c>
      <c r="B1187" t="s">
        <v>307</v>
      </c>
      <c r="C1187" t="str">
        <f>_xll.BDP("54628CEE Muni","INSURANCE_STATUS")</f>
        <v>#N/A Requesting Data...</v>
      </c>
      <c r="D1187" t="str">
        <f>_xll.BDP("54628CEE Muni","STATE_CODE")</f>
        <v>#N/A Requesting Data...</v>
      </c>
      <c r="E1187" t="str">
        <f>_xll.BDP("54628CEE Muni","COUNTY_LOCATION_ISSUER")</f>
        <v>#N/A Requesting Data...</v>
      </c>
      <c r="F1187" t="str">
        <f>_xll.BDP("54628CEE Muni","DUR_ADJ_MID")</f>
        <v>#N/A Requesting Data...</v>
      </c>
      <c r="G1187" t="str">
        <f>_xll.BDP("54628CEE Muni","SPREAD_AT_ISSUANCE_TO_WORST")</f>
        <v>#N/A Requesting Data...</v>
      </c>
      <c r="H1187" t="str">
        <f>_xll.BDP("54628CEE Muni","ISSUE_DT")</f>
        <v>#N/A Requesting Data...</v>
      </c>
      <c r="I1187" t="str">
        <f>_xll.BDS("54628CEE Muni","MUNI_PURPOSE_SCHED", "aggregate=y")</f>
        <v>#N/A Requesting Data...</v>
      </c>
      <c r="J1187" t="str">
        <f>_xll.BDP("54628CEE Muni","CPN")</f>
        <v>#N/A Requesting Data...</v>
      </c>
      <c r="K1187" t="str">
        <f>_xll.BDP("54628CEE Muni","MATURITY")</f>
        <v>#N/A Requesting Data...</v>
      </c>
      <c r="L1187">
        <v>1135000</v>
      </c>
      <c r="M1187" t="str">
        <f>_xll.BDP("54628CEE Muni","YIELD_ON_ISSUE_DATE")</f>
        <v>#N/A Requesting Data...</v>
      </c>
      <c r="N1187" t="str">
        <f>_xll.BDP("54628CEE Muni","YTW_SPREAD_TO_MATURITY_AT_ISSU")</f>
        <v>#N/A Requesting Data...</v>
      </c>
      <c r="O1187" t="str">
        <f>_xll.BDP("54628CEE Muni","BVAL_MID_YTM")</f>
        <v>#N/A Requesting Data...</v>
      </c>
      <c r="P1187" t="str">
        <f>_xll.BDP("54628CEE Muni","MUNI_TAX_PROV")</f>
        <v>#N/A Requesting Data...</v>
      </c>
      <c r="Q1187" t="str">
        <f>_xll.BDP("54628CEE Muni","MUNI_FED_TAX")</f>
        <v>#N/A Requesting Data...</v>
      </c>
      <c r="R1187" t="str">
        <f>_xll.BDP("54628CEE Muni","MUNI_MSRB_VOLUME")</f>
        <v>#N/A Requesting Data...</v>
      </c>
      <c r="S1187" t="str">
        <f>_xll.BDP("54628CEE Muni","BB_COMPOSITE")</f>
        <v>#N/A Requesting Data...</v>
      </c>
      <c r="T1187" t="str">
        <f>_xll.BDP("54628CEE Muni","LQA_LIQUIDITY_SCORE")</f>
        <v>#N/A Requesting Data...</v>
      </c>
    </row>
    <row r="1188" spans="1:20" x14ac:dyDescent="0.25">
      <c r="A1188" t="str">
        <f>_xll.BDP("54628CEG Muni","ID_CUSIP")</f>
        <v>#N/A Requesting Data...</v>
      </c>
      <c r="B1188" t="s">
        <v>307</v>
      </c>
      <c r="C1188" t="str">
        <f>_xll.BDP("54628CEG Muni","INSURANCE_STATUS")</f>
        <v>#N/A Requesting Data...</v>
      </c>
      <c r="D1188" t="str">
        <f>_xll.BDP("54628CEG Muni","STATE_CODE")</f>
        <v>#N/A Requesting Data...</v>
      </c>
      <c r="E1188" t="str">
        <f>_xll.BDP("54628CEG Muni","COUNTY_LOCATION_ISSUER")</f>
        <v>#N/A Requesting Data...</v>
      </c>
      <c r="F1188" t="str">
        <f>_xll.BDP("54628CEG Muni","DUR_ADJ_MID")</f>
        <v>#N/A Requesting Data...</v>
      </c>
      <c r="G1188" t="str">
        <f>_xll.BDP("54628CEG Muni","SPREAD_AT_ISSUANCE_TO_WORST")</f>
        <v>#N/A Requesting Data...</v>
      </c>
      <c r="H1188" t="str">
        <f>_xll.BDP("54628CEG Muni","ISSUE_DT")</f>
        <v>#N/A Requesting Data...</v>
      </c>
      <c r="I1188" t="str">
        <f>_xll.BDS("54628CEG Muni","MUNI_PURPOSE_SCHED", "aggregate=y")</f>
        <v>#N/A Requesting Data...</v>
      </c>
      <c r="J1188" t="str">
        <f>_xll.BDP("54628CEG Muni","CPN")</f>
        <v>#N/A Requesting Data...</v>
      </c>
      <c r="K1188" t="str">
        <f>_xll.BDP("54628CEG Muni","MATURITY")</f>
        <v>#N/A Requesting Data...</v>
      </c>
      <c r="L1188">
        <v>1250000</v>
      </c>
      <c r="M1188" t="str">
        <f>_xll.BDP("54628CEG Muni","YIELD_ON_ISSUE_DATE")</f>
        <v>#N/A Requesting Data...</v>
      </c>
      <c r="N1188" t="str">
        <f>_xll.BDP("54628CEG Muni","YTW_SPREAD_TO_MATURITY_AT_ISSU")</f>
        <v>#N/A Requesting Data...</v>
      </c>
      <c r="O1188" t="str">
        <f>_xll.BDP("54628CEG Muni","BVAL_MID_YTM")</f>
        <v>#N/A Requesting Data...</v>
      </c>
      <c r="P1188" t="str">
        <f>_xll.BDP("54628CEG Muni","MUNI_TAX_PROV")</f>
        <v>#N/A Requesting Data...</v>
      </c>
      <c r="Q1188" t="str">
        <f>_xll.BDP("54628CEG Muni","MUNI_FED_TAX")</f>
        <v>#N/A Requesting Data...</v>
      </c>
      <c r="R1188" t="str">
        <f>_xll.BDP("54628CEG Muni","MUNI_MSRB_VOLUME")</f>
        <v>#N/A Requesting Data...</v>
      </c>
      <c r="S1188" t="str">
        <f>_xll.BDP("54628CEG Muni","BB_COMPOSITE")</f>
        <v>#N/A Requesting Data...</v>
      </c>
      <c r="T1188" t="str">
        <f>_xll.BDP("54628CEG Muni","LQA_LIQUIDITY_SCORE")</f>
        <v>#N/A Requesting Data...</v>
      </c>
    </row>
    <row r="1189" spans="1:20" x14ac:dyDescent="0.25">
      <c r="A1189" t="str">
        <f>_xll.BDP("564453CZ Muni","ID_CUSIP")</f>
        <v>#N/A Requesting Data...</v>
      </c>
      <c r="B1189" t="s">
        <v>308</v>
      </c>
      <c r="C1189" t="str">
        <f>_xll.BDP("564453CZ Muni","INSURANCE_STATUS")</f>
        <v>#N/A Requesting Data...</v>
      </c>
      <c r="D1189" t="str">
        <f>_xll.BDP("564453CZ Muni","STATE_CODE")</f>
        <v>#N/A Requesting Data...</v>
      </c>
      <c r="E1189" t="str">
        <f>_xll.BDP("564453CZ Muni","COUNTY_LOCATION_ISSUER")</f>
        <v>#N/A Requesting Data...</v>
      </c>
      <c r="F1189" t="str">
        <f>_xll.BDP("564453CZ Muni","DUR_ADJ_MID")</f>
        <v>#N/A Requesting Data...</v>
      </c>
      <c r="G1189" t="str">
        <f>_xll.BDP("564453CZ Muni","SPREAD_AT_ISSUANCE_TO_WORST")</f>
        <v>#N/A Requesting Data...</v>
      </c>
      <c r="H1189" t="str">
        <f>_xll.BDP("564453CZ Muni","ISSUE_DT")</f>
        <v>#N/A Requesting Data...</v>
      </c>
      <c r="I1189" t="str">
        <f>_xll.BDS("564453CZ Muni","MUNI_PURPOSE_SCHED", "aggregate=y")</f>
        <v>#N/A Requesting Data...</v>
      </c>
      <c r="J1189" t="str">
        <f>_xll.BDP("564453CZ Muni","CPN")</f>
        <v>#N/A Requesting Data...</v>
      </c>
      <c r="K1189" t="str">
        <f>_xll.BDP("564453CZ Muni","MATURITY")</f>
        <v>#N/A Requesting Data...</v>
      </c>
      <c r="L1189">
        <v>165000</v>
      </c>
      <c r="M1189" t="str">
        <f>_xll.BDP("564453CZ Muni","YIELD_ON_ISSUE_DATE")</f>
        <v>#N/A Requesting Data...</v>
      </c>
      <c r="N1189" t="str">
        <f>_xll.BDP("564453CZ Muni","YTW_SPREAD_TO_MATURITY_AT_ISSU")</f>
        <v>#N/A Requesting Data...</v>
      </c>
      <c r="O1189" t="str">
        <f>_xll.BDP("564453CZ Muni","BVAL_MID_YTM")</f>
        <v>#N/A Requesting Data...</v>
      </c>
      <c r="P1189" t="str">
        <f>_xll.BDP("564453CZ Muni","MUNI_TAX_PROV")</f>
        <v>#N/A Requesting Data...</v>
      </c>
      <c r="Q1189" t="str">
        <f>_xll.BDP("564453CZ Muni","MUNI_FED_TAX")</f>
        <v>#N/A Requesting Data...</v>
      </c>
      <c r="R1189" t="str">
        <f>_xll.BDP("564453CZ Muni","MUNI_MSRB_VOLUME")</f>
        <v>#N/A Requesting Data...</v>
      </c>
      <c r="S1189" t="str">
        <f>_xll.BDP("564453CZ Muni","BB_COMPOSITE")</f>
        <v>#N/A Requesting Data...</v>
      </c>
      <c r="T1189" t="str">
        <f>_xll.BDP("564453CZ Muni","LQA_LIQUIDITY_SCORE")</f>
        <v>#N/A Requesting Data...</v>
      </c>
    </row>
    <row r="1190" spans="1:20" x14ac:dyDescent="0.25">
      <c r="A1190" t="str">
        <f>_xll.BDP("56501MDV Muni","ID_CUSIP")</f>
        <v>#N/A Requesting Data...</v>
      </c>
      <c r="B1190" t="s">
        <v>309</v>
      </c>
      <c r="C1190" t="str">
        <f>_xll.BDP("56501MDV Muni","INSURANCE_STATUS")</f>
        <v>#N/A Requesting Data...</v>
      </c>
      <c r="D1190" t="str">
        <f>_xll.BDP("56501MDV Muni","STATE_CODE")</f>
        <v>#N/A Requesting Data...</v>
      </c>
      <c r="E1190" t="str">
        <f>_xll.BDP("56501MDV Muni","COUNTY_LOCATION_ISSUER")</f>
        <v>#N/A Requesting Data...</v>
      </c>
      <c r="F1190" t="str">
        <f>_xll.BDP("56501MDV Muni","DUR_ADJ_MID")</f>
        <v>#N/A Requesting Data...</v>
      </c>
      <c r="G1190" t="str">
        <f>_xll.BDP("56501MDV Muni","SPREAD_AT_ISSUANCE_TO_WORST")</f>
        <v>#N/A Requesting Data...</v>
      </c>
      <c r="H1190" t="str">
        <f>_xll.BDP("56501MDV Muni","ISSUE_DT")</f>
        <v>#N/A Requesting Data...</v>
      </c>
      <c r="I1190" t="str">
        <f>_xll.BDS("56501MDV Muni","MUNI_PURPOSE_SCHED", "aggregate=y")</f>
        <v>#N/A Requesting Data...</v>
      </c>
      <c r="J1190" t="str">
        <f>_xll.BDP("56501MDV Muni","CPN")</f>
        <v>#N/A Requesting Data...</v>
      </c>
      <c r="K1190" t="str">
        <f>_xll.BDP("56501MDV Muni","MATURITY")</f>
        <v>#N/A Requesting Data...</v>
      </c>
      <c r="L1190">
        <v>415000</v>
      </c>
      <c r="M1190" t="str">
        <f>_xll.BDP("56501MDV Muni","YIELD_ON_ISSUE_DATE")</f>
        <v>#N/A Requesting Data...</v>
      </c>
      <c r="N1190" t="str">
        <f>_xll.BDP("56501MDV Muni","YTW_SPREAD_TO_MATURITY_AT_ISSU")</f>
        <v>#N/A Requesting Data...</v>
      </c>
      <c r="O1190" t="str">
        <f>_xll.BDP("56501MDV Muni","BVAL_MID_YTM")</f>
        <v>#N/A Requesting Data...</v>
      </c>
      <c r="P1190" t="str">
        <f>_xll.BDP("56501MDV Muni","MUNI_TAX_PROV")</f>
        <v>#N/A Requesting Data...</v>
      </c>
      <c r="Q1190" t="str">
        <f>_xll.BDP("56501MDV Muni","MUNI_FED_TAX")</f>
        <v>#N/A Requesting Data...</v>
      </c>
      <c r="R1190" t="str">
        <f>_xll.BDP("56501MDV Muni","MUNI_MSRB_VOLUME")</f>
        <v>#N/A Requesting Data...</v>
      </c>
      <c r="S1190" t="str">
        <f>_xll.BDP("56501MDV Muni","BB_COMPOSITE")</f>
        <v>#N/A Requesting Data...</v>
      </c>
      <c r="T1190" t="str">
        <f>_xll.BDP("56501MDV Muni","LQA_LIQUIDITY_SCORE")</f>
        <v>#N/A Requesting Data...</v>
      </c>
    </row>
    <row r="1191" spans="1:20" x14ac:dyDescent="0.25">
      <c r="A1191" t="str">
        <f>_xll.BDP("56501MDX Muni","ID_CUSIP")</f>
        <v>#N/A Requesting Data...</v>
      </c>
      <c r="B1191" t="s">
        <v>309</v>
      </c>
      <c r="C1191" t="str">
        <f>_xll.BDP("56501MDX Muni","INSURANCE_STATUS")</f>
        <v>#N/A Requesting Data...</v>
      </c>
      <c r="D1191" t="str">
        <f>_xll.BDP("56501MDX Muni","STATE_CODE")</f>
        <v>#N/A Requesting Data...</v>
      </c>
      <c r="E1191" t="str">
        <f>_xll.BDP("56501MDX Muni","COUNTY_LOCATION_ISSUER")</f>
        <v>#N/A Requesting Data...</v>
      </c>
      <c r="F1191" t="str">
        <f>_xll.BDP("56501MDX Muni","DUR_ADJ_MID")</f>
        <v>#N/A Requesting Data...</v>
      </c>
      <c r="G1191" t="str">
        <f>_xll.BDP("56501MDX Muni","SPREAD_AT_ISSUANCE_TO_WORST")</f>
        <v>#N/A Requesting Data...</v>
      </c>
      <c r="H1191" t="str">
        <f>_xll.BDP("56501MDX Muni","ISSUE_DT")</f>
        <v>#N/A Requesting Data...</v>
      </c>
      <c r="I1191" t="str">
        <f>_xll.BDS("56501MDX Muni","MUNI_PURPOSE_SCHED", "aggregate=y")</f>
        <v>#N/A Requesting Data...</v>
      </c>
      <c r="J1191" t="str">
        <f>_xll.BDP("56501MDX Muni","CPN")</f>
        <v>#N/A Requesting Data...</v>
      </c>
      <c r="K1191" t="str">
        <f>_xll.BDP("56501MDX Muni","MATURITY")</f>
        <v>#N/A Requesting Data...</v>
      </c>
      <c r="L1191">
        <v>440000</v>
      </c>
      <c r="M1191" t="str">
        <f>_xll.BDP("56501MDX Muni","YIELD_ON_ISSUE_DATE")</f>
        <v>#N/A Requesting Data...</v>
      </c>
      <c r="N1191" t="str">
        <f>_xll.BDP("56501MDX Muni","YTW_SPREAD_TO_MATURITY_AT_ISSU")</f>
        <v>#N/A Requesting Data...</v>
      </c>
      <c r="O1191" t="str">
        <f>_xll.BDP("56501MDX Muni","BVAL_MID_YTM")</f>
        <v>#N/A Requesting Data...</v>
      </c>
      <c r="P1191" t="str">
        <f>_xll.BDP("56501MDX Muni","MUNI_TAX_PROV")</f>
        <v>#N/A Requesting Data...</v>
      </c>
      <c r="Q1191" t="str">
        <f>_xll.BDP("56501MDX Muni","MUNI_FED_TAX")</f>
        <v>#N/A Requesting Data...</v>
      </c>
      <c r="R1191" t="str">
        <f>_xll.BDP("56501MDX Muni","MUNI_MSRB_VOLUME")</f>
        <v>#N/A Requesting Data...</v>
      </c>
      <c r="S1191" t="str">
        <f>_xll.BDP("56501MDX Muni","BB_COMPOSITE")</f>
        <v>#N/A Requesting Data...</v>
      </c>
      <c r="T1191" t="str">
        <f>_xll.BDP("56501MDX Muni","LQA_LIQUIDITY_SCORE")</f>
        <v>#N/A Requesting Data...</v>
      </c>
    </row>
    <row r="1192" spans="1:20" x14ac:dyDescent="0.25">
      <c r="A1192" t="str">
        <f>_xll.BDP("56501MDY Muni","ID_CUSIP")</f>
        <v>#N/A Requesting Data...</v>
      </c>
      <c r="B1192" t="s">
        <v>309</v>
      </c>
      <c r="C1192" t="str">
        <f>_xll.BDP("56501MDY Muni","INSURANCE_STATUS")</f>
        <v>#N/A Requesting Data...</v>
      </c>
      <c r="D1192" t="str">
        <f>_xll.BDP("56501MDY Muni","STATE_CODE")</f>
        <v>#N/A Requesting Data...</v>
      </c>
      <c r="E1192" t="str">
        <f>_xll.BDP("56501MDY Muni","COUNTY_LOCATION_ISSUER")</f>
        <v>#N/A Requesting Data...</v>
      </c>
      <c r="F1192" t="str">
        <f>_xll.BDP("56501MDY Muni","DUR_ADJ_MID")</f>
        <v>#N/A Requesting Data...</v>
      </c>
      <c r="G1192" t="str">
        <f>_xll.BDP("56501MDY Muni","SPREAD_AT_ISSUANCE_TO_WORST")</f>
        <v>#N/A Requesting Data...</v>
      </c>
      <c r="H1192" t="str">
        <f>_xll.BDP("56501MDY Muni","ISSUE_DT")</f>
        <v>#N/A Requesting Data...</v>
      </c>
      <c r="I1192" t="str">
        <f>_xll.BDS("56501MDY Muni","MUNI_PURPOSE_SCHED", "aggregate=y")</f>
        <v>#N/A Requesting Data...</v>
      </c>
      <c r="J1192" t="str">
        <f>_xll.BDP("56501MDY Muni","CPN")</f>
        <v>#N/A Requesting Data...</v>
      </c>
      <c r="K1192" t="str">
        <f>_xll.BDP("56501MDY Muni","MATURITY")</f>
        <v>#N/A Requesting Data...</v>
      </c>
      <c r="L1192">
        <v>450000</v>
      </c>
      <c r="M1192" t="str">
        <f>_xll.BDP("56501MDY Muni","YIELD_ON_ISSUE_DATE")</f>
        <v>#N/A Requesting Data...</v>
      </c>
      <c r="N1192" t="str">
        <f>_xll.BDP("56501MDY Muni","YTW_SPREAD_TO_MATURITY_AT_ISSU")</f>
        <v>#N/A Requesting Data...</v>
      </c>
      <c r="O1192" t="str">
        <f>_xll.BDP("56501MDY Muni","BVAL_MID_YTM")</f>
        <v>#N/A Requesting Data...</v>
      </c>
      <c r="P1192" t="str">
        <f>_xll.BDP("56501MDY Muni","MUNI_TAX_PROV")</f>
        <v>#N/A Requesting Data...</v>
      </c>
      <c r="Q1192" t="str">
        <f>_xll.BDP("56501MDY Muni","MUNI_FED_TAX")</f>
        <v>#N/A Requesting Data...</v>
      </c>
      <c r="R1192" t="str">
        <f>_xll.BDP("56501MDY Muni","MUNI_MSRB_VOLUME")</f>
        <v>#N/A Requesting Data...</v>
      </c>
      <c r="S1192" t="str">
        <f>_xll.BDP("56501MDY Muni","BB_COMPOSITE")</f>
        <v>#N/A Requesting Data...</v>
      </c>
      <c r="T1192" t="str">
        <f>_xll.BDP("56501MDY Muni","LQA_LIQUIDITY_SCORE")</f>
        <v>#N/A Requesting Data...</v>
      </c>
    </row>
    <row r="1193" spans="1:20" x14ac:dyDescent="0.25">
      <c r="A1193" t="str">
        <f>_xll.BDP("547235HA Muni","ID_CUSIP")</f>
        <v>#N/A Requesting Data...</v>
      </c>
      <c r="B1193" t="s">
        <v>310</v>
      </c>
      <c r="C1193" t="str">
        <f>_xll.BDP("547235HA Muni","INSURANCE_STATUS")</f>
        <v>#N/A Requesting Data...</v>
      </c>
      <c r="D1193" t="str">
        <f>_xll.BDP("547235HA Muni","STATE_CODE")</f>
        <v>#N/A Requesting Data...</v>
      </c>
      <c r="E1193" t="str">
        <f>_xll.BDP("547235HA Muni","COUNTY_LOCATION_ISSUER")</f>
        <v>#N/A Requesting Data...</v>
      </c>
      <c r="F1193" t="str">
        <f>_xll.BDP("547235HA Muni","DUR_ADJ_MID")</f>
        <v>#N/A Requesting Data...</v>
      </c>
      <c r="G1193" t="str">
        <f>_xll.BDP("547235HA Muni","SPREAD_AT_ISSUANCE_TO_WORST")</f>
        <v>#N/A Requesting Data...</v>
      </c>
      <c r="H1193" t="str">
        <f>_xll.BDP("547235HA Muni","ISSUE_DT")</f>
        <v>#N/A Requesting Data...</v>
      </c>
      <c r="I1193" t="str">
        <f>_xll.BDS("547235HA Muni","MUNI_PURPOSE_SCHED", "aggregate=y")</f>
        <v>#N/A Requesting Data...</v>
      </c>
      <c r="J1193" t="str">
        <f>_xll.BDP("547235HA Muni","CPN")</f>
        <v>#N/A Requesting Data...</v>
      </c>
      <c r="K1193" t="str">
        <f>_xll.BDP("547235HA Muni","MATURITY")</f>
        <v>#N/A Requesting Data...</v>
      </c>
      <c r="L1193">
        <v>120000</v>
      </c>
      <c r="M1193" t="str">
        <f>_xll.BDP("547235HA Muni","YIELD_ON_ISSUE_DATE")</f>
        <v>#N/A Requesting Data...</v>
      </c>
      <c r="N1193" t="str">
        <f>_xll.BDP("547235HA Muni","YTW_SPREAD_TO_MATURITY_AT_ISSU")</f>
        <v>#N/A Requesting Data...</v>
      </c>
      <c r="O1193" t="str">
        <f>_xll.BDP("547235HA Muni","BVAL_MID_YTM")</f>
        <v>#N/A Requesting Data...</v>
      </c>
      <c r="P1193" t="str">
        <f>_xll.BDP("547235HA Muni","MUNI_TAX_PROV")</f>
        <v>#N/A Requesting Data...</v>
      </c>
      <c r="Q1193" t="str">
        <f>_xll.BDP("547235HA Muni","MUNI_FED_TAX")</f>
        <v>#N/A Requesting Data...</v>
      </c>
      <c r="R1193" t="str">
        <f>_xll.BDP("547235HA Muni","MUNI_MSRB_VOLUME")</f>
        <v>#N/A Requesting Data...</v>
      </c>
      <c r="S1193" t="str">
        <f>_xll.BDP("547235HA Muni","BB_COMPOSITE")</f>
        <v>#N/A Requesting Data...</v>
      </c>
      <c r="T1193" t="str">
        <f>_xll.BDP("547235HA Muni","LQA_LIQUIDITY_SCORE")</f>
        <v>#N/A Requesting Data...</v>
      </c>
    </row>
    <row r="1194" spans="1:20" x14ac:dyDescent="0.25">
      <c r="A1194" t="str">
        <f>_xll.BDP("547235HB Muni","ID_CUSIP")</f>
        <v>#N/A Requesting Data...</v>
      </c>
      <c r="B1194" t="s">
        <v>310</v>
      </c>
      <c r="C1194" t="str">
        <f>_xll.BDP("547235HB Muni","INSURANCE_STATUS")</f>
        <v>#N/A Requesting Data...</v>
      </c>
      <c r="D1194" t="str">
        <f>_xll.BDP("547235HB Muni","STATE_CODE")</f>
        <v>#N/A Requesting Data...</v>
      </c>
      <c r="E1194" t="str">
        <f>_xll.BDP("547235HB Muni","COUNTY_LOCATION_ISSUER")</f>
        <v>#N/A Requesting Data...</v>
      </c>
      <c r="F1194" t="str">
        <f>_xll.BDP("547235HB Muni","DUR_ADJ_MID")</f>
        <v>#N/A Requesting Data...</v>
      </c>
      <c r="G1194" t="str">
        <f>_xll.BDP("547235HB Muni","SPREAD_AT_ISSUANCE_TO_WORST")</f>
        <v>#N/A Requesting Data...</v>
      </c>
      <c r="H1194" t="str">
        <f>_xll.BDP("547235HB Muni","ISSUE_DT")</f>
        <v>#N/A Requesting Data...</v>
      </c>
      <c r="I1194" t="str">
        <f>_xll.BDS("547235HB Muni","MUNI_PURPOSE_SCHED", "aggregate=y")</f>
        <v>#N/A Requesting Data...</v>
      </c>
      <c r="J1194" t="str">
        <f>_xll.BDP("547235HB Muni","CPN")</f>
        <v>#N/A Requesting Data...</v>
      </c>
      <c r="K1194" t="str">
        <f>_xll.BDP("547235HB Muni","MATURITY")</f>
        <v>#N/A Requesting Data...</v>
      </c>
      <c r="L1194">
        <v>120000</v>
      </c>
      <c r="M1194" t="str">
        <f>_xll.BDP("547235HB Muni","YIELD_ON_ISSUE_DATE")</f>
        <v>#N/A Requesting Data...</v>
      </c>
      <c r="N1194" t="str">
        <f>_xll.BDP("547235HB Muni","YTW_SPREAD_TO_MATURITY_AT_ISSU")</f>
        <v>#N/A Requesting Data...</v>
      </c>
      <c r="O1194" t="str">
        <f>_xll.BDP("547235HB Muni","BVAL_MID_YTM")</f>
        <v>#N/A Requesting Data...</v>
      </c>
      <c r="P1194" t="str">
        <f>_xll.BDP("547235HB Muni","MUNI_TAX_PROV")</f>
        <v>#N/A Requesting Data...</v>
      </c>
      <c r="Q1194" t="str">
        <f>_xll.BDP("547235HB Muni","MUNI_FED_TAX")</f>
        <v>#N/A Requesting Data...</v>
      </c>
      <c r="R1194" t="str">
        <f>_xll.BDP("547235HB Muni","MUNI_MSRB_VOLUME")</f>
        <v>#N/A Requesting Data...</v>
      </c>
      <c r="S1194" t="str">
        <f>_xll.BDP("547235HB Muni","BB_COMPOSITE")</f>
        <v>#N/A Requesting Data...</v>
      </c>
      <c r="T1194" t="str">
        <f>_xll.BDP("547235HB Muni","LQA_LIQUIDITY_SCORE")</f>
        <v>#N/A Requesting Data...</v>
      </c>
    </row>
    <row r="1195" spans="1:20" x14ac:dyDescent="0.25">
      <c r="A1195" t="str">
        <f>_xll.BDP("547235HC Muni","ID_CUSIP")</f>
        <v>#N/A Requesting Data...</v>
      </c>
      <c r="B1195" t="s">
        <v>310</v>
      </c>
      <c r="C1195" t="str">
        <f>_xll.BDP("547235HC Muni","INSURANCE_STATUS")</f>
        <v>#N/A Requesting Data...</v>
      </c>
      <c r="D1195" t="str">
        <f>_xll.BDP("547235HC Muni","STATE_CODE")</f>
        <v>#N/A Requesting Data...</v>
      </c>
      <c r="E1195" t="str">
        <f>_xll.BDP("547235HC Muni","COUNTY_LOCATION_ISSUER")</f>
        <v>#N/A Requesting Data...</v>
      </c>
      <c r="F1195" t="str">
        <f>_xll.BDP("547235HC Muni","DUR_ADJ_MID")</f>
        <v>#N/A Requesting Data...</v>
      </c>
      <c r="G1195" t="str">
        <f>_xll.BDP("547235HC Muni","SPREAD_AT_ISSUANCE_TO_WORST")</f>
        <v>#N/A Requesting Data...</v>
      </c>
      <c r="H1195" t="str">
        <f>_xll.BDP("547235HC Muni","ISSUE_DT")</f>
        <v>#N/A Requesting Data...</v>
      </c>
      <c r="I1195" t="str">
        <f>_xll.BDS("547235HC Muni","MUNI_PURPOSE_SCHED", "aggregate=y")</f>
        <v>#N/A Requesting Data...</v>
      </c>
      <c r="J1195" t="str">
        <f>_xll.BDP("547235HC Muni","CPN")</f>
        <v>#N/A Requesting Data...</v>
      </c>
      <c r="K1195" t="str">
        <f>_xll.BDP("547235HC Muni","MATURITY")</f>
        <v>#N/A Requesting Data...</v>
      </c>
      <c r="L1195">
        <v>125000</v>
      </c>
      <c r="M1195" t="str">
        <f>_xll.BDP("547235HC Muni","YIELD_ON_ISSUE_DATE")</f>
        <v>#N/A Requesting Data...</v>
      </c>
      <c r="N1195" t="str">
        <f>_xll.BDP("547235HC Muni","YTW_SPREAD_TO_MATURITY_AT_ISSU")</f>
        <v>#N/A Requesting Data...</v>
      </c>
      <c r="O1195" t="str">
        <f>_xll.BDP("547235HC Muni","BVAL_MID_YTM")</f>
        <v>#N/A Requesting Data...</v>
      </c>
      <c r="P1195" t="str">
        <f>_xll.BDP("547235HC Muni","MUNI_TAX_PROV")</f>
        <v>#N/A Requesting Data...</v>
      </c>
      <c r="Q1195" t="str">
        <f>_xll.BDP("547235HC Muni","MUNI_FED_TAX")</f>
        <v>#N/A Requesting Data...</v>
      </c>
      <c r="R1195" t="str">
        <f>_xll.BDP("547235HC Muni","MUNI_MSRB_VOLUME")</f>
        <v>#N/A Requesting Data...</v>
      </c>
      <c r="S1195" t="str">
        <f>_xll.BDP("547235HC Muni","BB_COMPOSITE")</f>
        <v>#N/A Requesting Data...</v>
      </c>
      <c r="T1195" t="str">
        <f>_xll.BDP("547235HC Muni","LQA_LIQUIDITY_SCORE")</f>
        <v>#N/A Requesting Data...</v>
      </c>
    </row>
    <row r="1196" spans="1:20" x14ac:dyDescent="0.25">
      <c r="A1196" t="str">
        <f>_xll.BDP("547235HD Muni","ID_CUSIP")</f>
        <v>#N/A Requesting Data...</v>
      </c>
      <c r="B1196" t="s">
        <v>310</v>
      </c>
      <c r="C1196" t="str">
        <f>_xll.BDP("547235HD Muni","INSURANCE_STATUS")</f>
        <v>#N/A Requesting Data...</v>
      </c>
      <c r="D1196" t="str">
        <f>_xll.BDP("547235HD Muni","STATE_CODE")</f>
        <v>#N/A Requesting Data...</v>
      </c>
      <c r="E1196" t="str">
        <f>_xll.BDP("547235HD Muni","COUNTY_LOCATION_ISSUER")</f>
        <v>#N/A Requesting Data...</v>
      </c>
      <c r="F1196" t="str">
        <f>_xll.BDP("547235HD Muni","DUR_ADJ_MID")</f>
        <v>#N/A Requesting Data...</v>
      </c>
      <c r="G1196" t="str">
        <f>_xll.BDP("547235HD Muni","SPREAD_AT_ISSUANCE_TO_WORST")</f>
        <v>#N/A Requesting Data...</v>
      </c>
      <c r="H1196" t="str">
        <f>_xll.BDP("547235HD Muni","ISSUE_DT")</f>
        <v>#N/A Requesting Data...</v>
      </c>
      <c r="I1196" t="str">
        <f>_xll.BDS("547235HD Muni","MUNI_PURPOSE_SCHED", "aggregate=y")</f>
        <v>#N/A Requesting Data...</v>
      </c>
      <c r="J1196" t="str">
        <f>_xll.BDP("547235HD Muni","CPN")</f>
        <v>#N/A Requesting Data...</v>
      </c>
      <c r="K1196" t="str">
        <f>_xll.BDP("547235HD Muni","MATURITY")</f>
        <v>#N/A Requesting Data...</v>
      </c>
      <c r="L1196">
        <v>130000</v>
      </c>
      <c r="M1196" t="str">
        <f>_xll.BDP("547235HD Muni","YIELD_ON_ISSUE_DATE")</f>
        <v>#N/A Requesting Data...</v>
      </c>
      <c r="N1196" t="str">
        <f>_xll.BDP("547235HD Muni","YTW_SPREAD_TO_MATURITY_AT_ISSU")</f>
        <v>#N/A Requesting Data...</v>
      </c>
      <c r="O1196" t="str">
        <f>_xll.BDP("547235HD Muni","BVAL_MID_YTM")</f>
        <v>#N/A Requesting Data...</v>
      </c>
      <c r="P1196" t="str">
        <f>_xll.BDP("547235HD Muni","MUNI_TAX_PROV")</f>
        <v>#N/A Requesting Data...</v>
      </c>
      <c r="Q1196" t="str">
        <f>_xll.BDP("547235HD Muni","MUNI_FED_TAX")</f>
        <v>#N/A Requesting Data...</v>
      </c>
      <c r="R1196" t="str">
        <f>_xll.BDP("547235HD Muni","MUNI_MSRB_VOLUME")</f>
        <v>#N/A Requesting Data...</v>
      </c>
      <c r="S1196" t="str">
        <f>_xll.BDP("547235HD Muni","BB_COMPOSITE")</f>
        <v>#N/A Requesting Data...</v>
      </c>
      <c r="T1196" t="str">
        <f>_xll.BDP("547235HD Muni","LQA_LIQUIDITY_SCORE")</f>
        <v>#N/A Requesting Data...</v>
      </c>
    </row>
    <row r="1197" spans="1:20" x14ac:dyDescent="0.25">
      <c r="A1197" t="str">
        <f>_xll.BDP("561851JS Muni","ID_CUSIP")</f>
        <v>#N/A Requesting Data...</v>
      </c>
      <c r="B1197" t="s">
        <v>311</v>
      </c>
      <c r="C1197" t="str">
        <f>_xll.BDP("561851JS Muni","INSURANCE_STATUS")</f>
        <v>#N/A Requesting Data...</v>
      </c>
      <c r="D1197" t="str">
        <f>_xll.BDP("561851JS Muni","STATE_CODE")</f>
        <v>#N/A Requesting Data...</v>
      </c>
      <c r="E1197" t="str">
        <f>_xll.BDP("561851JS Muni","COUNTY_LOCATION_ISSUER")</f>
        <v>#N/A Requesting Data...</v>
      </c>
      <c r="F1197" t="str">
        <f>_xll.BDP("561851JS Muni","DUR_ADJ_MID")</f>
        <v>#N/A Requesting Data...</v>
      </c>
      <c r="G1197" t="str">
        <f>_xll.BDP("561851JS Muni","SPREAD_AT_ISSUANCE_TO_WORST")</f>
        <v>#N/A Requesting Data...</v>
      </c>
      <c r="H1197" t="str">
        <f>_xll.BDP("561851JS Muni","ISSUE_DT")</f>
        <v>#N/A Requesting Data...</v>
      </c>
      <c r="I1197" t="str">
        <f>_xll.BDS("561851JS Muni","MUNI_PURPOSE_SCHED", "aggregate=y")</f>
        <v>#N/A Requesting Data...</v>
      </c>
      <c r="J1197" t="str">
        <f>_xll.BDP("561851JS Muni","CPN")</f>
        <v>#N/A Requesting Data...</v>
      </c>
      <c r="K1197" t="str">
        <f>_xll.BDP("561851JS Muni","MATURITY")</f>
        <v>#N/A Requesting Data...</v>
      </c>
      <c r="L1197">
        <v>1670000</v>
      </c>
      <c r="M1197" t="str">
        <f>_xll.BDP("561851JS Muni","YIELD_ON_ISSUE_DATE")</f>
        <v>#N/A Requesting Data...</v>
      </c>
      <c r="N1197" t="str">
        <f>_xll.BDP("561851JS Muni","YTW_SPREAD_TO_MATURITY_AT_ISSU")</f>
        <v>#N/A Requesting Data...</v>
      </c>
      <c r="O1197" t="str">
        <f>_xll.BDP("561851JS Muni","BVAL_MID_YTM")</f>
        <v>#N/A Requesting Data...</v>
      </c>
      <c r="P1197" t="str">
        <f>_xll.BDP("561851JS Muni","MUNI_TAX_PROV")</f>
        <v>#N/A Requesting Data...</v>
      </c>
      <c r="Q1197" t="str">
        <f>_xll.BDP("561851JS Muni","MUNI_FED_TAX")</f>
        <v>#N/A Requesting Data...</v>
      </c>
      <c r="R1197" t="str">
        <f>_xll.BDP("561851JS Muni","MUNI_MSRB_VOLUME")</f>
        <v>#N/A Requesting Data...</v>
      </c>
      <c r="S1197" t="str">
        <f>_xll.BDP("561851JS Muni","BB_COMPOSITE")</f>
        <v>#N/A Requesting Data...</v>
      </c>
      <c r="T1197" t="str">
        <f>_xll.BDP("561851JS Muni","LQA_LIQUIDITY_SCORE")</f>
        <v>#N/A Requesting Data...</v>
      </c>
    </row>
    <row r="1198" spans="1:20" x14ac:dyDescent="0.25">
      <c r="A1198" t="str">
        <f>_xll.BDP("561851JU Muni","ID_CUSIP")</f>
        <v>#N/A Requesting Data...</v>
      </c>
      <c r="B1198" t="s">
        <v>311</v>
      </c>
      <c r="C1198" t="str">
        <f>_xll.BDP("561851JU Muni","INSURANCE_STATUS")</f>
        <v>#N/A Requesting Data...</v>
      </c>
      <c r="D1198" t="str">
        <f>_xll.BDP("561851JU Muni","STATE_CODE")</f>
        <v>#N/A Requesting Data...</v>
      </c>
      <c r="E1198" t="str">
        <f>_xll.BDP("561851JU Muni","COUNTY_LOCATION_ISSUER")</f>
        <v>#N/A Requesting Data...</v>
      </c>
      <c r="F1198" t="str">
        <f>_xll.BDP("561851JU Muni","DUR_ADJ_MID")</f>
        <v>#N/A Requesting Data...</v>
      </c>
      <c r="G1198" t="str">
        <f>_xll.BDP("561851JU Muni","SPREAD_AT_ISSUANCE_TO_WORST")</f>
        <v>#N/A Requesting Data...</v>
      </c>
      <c r="H1198" t="str">
        <f>_xll.BDP("561851JU Muni","ISSUE_DT")</f>
        <v>#N/A Requesting Data...</v>
      </c>
      <c r="I1198" t="str">
        <f>_xll.BDS("561851JU Muni","MUNI_PURPOSE_SCHED", "aggregate=y")</f>
        <v>#N/A Requesting Data...</v>
      </c>
      <c r="J1198" t="str">
        <f>_xll.BDP("561851JU Muni","CPN")</f>
        <v>#N/A Requesting Data...</v>
      </c>
      <c r="K1198" t="str">
        <f>_xll.BDP("561851JU Muni","MATURITY")</f>
        <v>#N/A Requesting Data...</v>
      </c>
      <c r="L1198">
        <v>1840000</v>
      </c>
      <c r="M1198" t="str">
        <f>_xll.BDP("561851JU Muni","YIELD_ON_ISSUE_DATE")</f>
        <v>#N/A Requesting Data...</v>
      </c>
      <c r="N1198" t="str">
        <f>_xll.BDP("561851JU Muni","YTW_SPREAD_TO_MATURITY_AT_ISSU")</f>
        <v>#N/A Requesting Data...</v>
      </c>
      <c r="O1198" t="str">
        <f>_xll.BDP("561851JU Muni","BVAL_MID_YTM")</f>
        <v>#N/A Requesting Data...</v>
      </c>
      <c r="P1198" t="str">
        <f>_xll.BDP("561851JU Muni","MUNI_TAX_PROV")</f>
        <v>#N/A Requesting Data...</v>
      </c>
      <c r="Q1198" t="str">
        <f>_xll.BDP("561851JU Muni","MUNI_FED_TAX")</f>
        <v>#N/A Requesting Data...</v>
      </c>
      <c r="R1198" t="str">
        <f>_xll.BDP("561851JU Muni","MUNI_MSRB_VOLUME")</f>
        <v>#N/A Requesting Data...</v>
      </c>
      <c r="S1198" t="str">
        <f>_xll.BDP("561851JU Muni","BB_COMPOSITE")</f>
        <v>#N/A Requesting Data...</v>
      </c>
      <c r="T1198" t="str">
        <f>_xll.BDP("561851JU Muni","LQA_LIQUIDITY_SCORE")</f>
        <v>#N/A Requesting Data...</v>
      </c>
    </row>
    <row r="1199" spans="1:20" x14ac:dyDescent="0.25">
      <c r="A1199" t="str">
        <f>_xll.BDP("562102GM Muni","ID_CUSIP")</f>
        <v>#N/A Requesting Data...</v>
      </c>
      <c r="B1199" t="s">
        <v>312</v>
      </c>
      <c r="C1199" t="str">
        <f>_xll.BDP("562102GM Muni","INSURANCE_STATUS")</f>
        <v>#N/A Requesting Data...</v>
      </c>
      <c r="D1199" t="str">
        <f>_xll.BDP("562102GM Muni","STATE_CODE")</f>
        <v>#N/A Requesting Data...</v>
      </c>
      <c r="E1199" t="str">
        <f>_xll.BDP("562102GM Muni","COUNTY_LOCATION_ISSUER")</f>
        <v>#N/A Requesting Data...</v>
      </c>
      <c r="F1199" t="str">
        <f>_xll.BDP("562102GM Muni","DUR_ADJ_MID")</f>
        <v>#N/A Requesting Data...</v>
      </c>
      <c r="G1199" t="str">
        <f>_xll.BDP("562102GM Muni","SPREAD_AT_ISSUANCE_TO_WORST")</f>
        <v>#N/A Requesting Data...</v>
      </c>
      <c r="H1199" t="str">
        <f>_xll.BDP("562102GM Muni","ISSUE_DT")</f>
        <v>#N/A Requesting Data...</v>
      </c>
      <c r="I1199" t="str">
        <f>_xll.BDS("562102GM Muni","MUNI_PURPOSE_SCHED", "aggregate=y")</f>
        <v>#N/A Requesting Data...</v>
      </c>
      <c r="J1199" t="str">
        <f>_xll.BDP("562102GM Muni","CPN")</f>
        <v>#N/A Requesting Data...</v>
      </c>
      <c r="K1199" t="str">
        <f>_xll.BDP("562102GM Muni","MATURITY")</f>
        <v>#N/A Requesting Data...</v>
      </c>
      <c r="L1199">
        <v>290000</v>
      </c>
      <c r="M1199" t="str">
        <f>_xll.BDP("562102GM Muni","YIELD_ON_ISSUE_DATE")</f>
        <v>#N/A Requesting Data...</v>
      </c>
      <c r="N1199" t="str">
        <f>_xll.BDP("562102GM Muni","YTW_SPREAD_TO_MATURITY_AT_ISSU")</f>
        <v>#N/A Requesting Data...</v>
      </c>
      <c r="O1199" t="str">
        <f>_xll.BDP("562102GM Muni","BVAL_MID_YTM")</f>
        <v>#N/A Requesting Data...</v>
      </c>
      <c r="P1199" t="str">
        <f>_xll.BDP("562102GM Muni","MUNI_TAX_PROV")</f>
        <v>#N/A Requesting Data...</v>
      </c>
      <c r="Q1199" t="str">
        <f>_xll.BDP("562102GM Muni","MUNI_FED_TAX")</f>
        <v>#N/A Requesting Data...</v>
      </c>
      <c r="R1199" t="str">
        <f>_xll.BDP("562102GM Muni","MUNI_MSRB_VOLUME")</f>
        <v>#N/A Requesting Data...</v>
      </c>
      <c r="S1199" t="str">
        <f>_xll.BDP("562102GM Muni","BB_COMPOSITE")</f>
        <v>#N/A Requesting Data...</v>
      </c>
      <c r="T1199" t="str">
        <f>_xll.BDP("562102GM Muni","LQA_LIQUIDITY_SCORE")</f>
        <v>#N/A Requesting Data...</v>
      </c>
    </row>
    <row r="1200" spans="1:20" x14ac:dyDescent="0.25">
      <c r="A1200" t="str">
        <f>_xll.BDP("562102GP Muni","ID_CUSIP")</f>
        <v>#N/A Requesting Data...</v>
      </c>
      <c r="B1200" t="s">
        <v>312</v>
      </c>
      <c r="C1200" t="str">
        <f>_xll.BDP("562102GP Muni","INSURANCE_STATUS")</f>
        <v>#N/A Requesting Data...</v>
      </c>
      <c r="D1200" t="str">
        <f>_xll.BDP("562102GP Muni","STATE_CODE")</f>
        <v>#N/A Requesting Data...</v>
      </c>
      <c r="E1200" t="str">
        <f>_xll.BDP("562102GP Muni","COUNTY_LOCATION_ISSUER")</f>
        <v>#N/A Requesting Data...</v>
      </c>
      <c r="F1200" t="str">
        <f>_xll.BDP("562102GP Muni","DUR_ADJ_MID")</f>
        <v>#N/A Requesting Data...</v>
      </c>
      <c r="G1200" t="str">
        <f>_xll.BDP("562102GP Muni","SPREAD_AT_ISSUANCE_TO_WORST")</f>
        <v>#N/A Requesting Data...</v>
      </c>
      <c r="H1200" t="str">
        <f>_xll.BDP("562102GP Muni","ISSUE_DT")</f>
        <v>#N/A Requesting Data...</v>
      </c>
      <c r="I1200" t="str">
        <f>_xll.BDS("562102GP Muni","MUNI_PURPOSE_SCHED", "aggregate=y")</f>
        <v>#N/A Requesting Data...</v>
      </c>
      <c r="J1200" t="str">
        <f>_xll.BDP("562102GP Muni","CPN")</f>
        <v>#N/A Requesting Data...</v>
      </c>
      <c r="K1200" t="str">
        <f>_xll.BDP("562102GP Muni","MATURITY")</f>
        <v>#N/A Requesting Data...</v>
      </c>
      <c r="L1200">
        <v>325000</v>
      </c>
      <c r="M1200" t="str">
        <f>_xll.BDP("562102GP Muni","YIELD_ON_ISSUE_DATE")</f>
        <v>#N/A Requesting Data...</v>
      </c>
      <c r="N1200" t="str">
        <f>_xll.BDP("562102GP Muni","YTW_SPREAD_TO_MATURITY_AT_ISSU")</f>
        <v>#N/A Requesting Data...</v>
      </c>
      <c r="O1200" t="str">
        <f>_xll.BDP("562102GP Muni","BVAL_MID_YTM")</f>
        <v>#N/A Requesting Data...</v>
      </c>
      <c r="P1200" t="str">
        <f>_xll.BDP("562102GP Muni","MUNI_TAX_PROV")</f>
        <v>#N/A Requesting Data...</v>
      </c>
      <c r="Q1200" t="str">
        <f>_xll.BDP("562102GP Muni","MUNI_FED_TAX")</f>
        <v>#N/A Requesting Data...</v>
      </c>
      <c r="R1200" t="str">
        <f>_xll.BDP("562102GP Muni","MUNI_MSRB_VOLUME")</f>
        <v>#N/A Requesting Data...</v>
      </c>
      <c r="S1200" t="str">
        <f>_xll.BDP("562102GP Muni","BB_COMPOSITE")</f>
        <v>#N/A Requesting Data...</v>
      </c>
      <c r="T1200" t="str">
        <f>_xll.BDP("562102GP Muni","LQA_LIQUIDITY_SCORE")</f>
        <v>#N/A Requesting Data...</v>
      </c>
    </row>
    <row r="1201" spans="1:20" x14ac:dyDescent="0.25">
      <c r="A1201" t="str">
        <f>_xll.BDP("562102GQ Muni","ID_CUSIP")</f>
        <v>#N/A Requesting Data...</v>
      </c>
      <c r="B1201" t="s">
        <v>312</v>
      </c>
      <c r="C1201" t="str">
        <f>_xll.BDP("562102GQ Muni","INSURANCE_STATUS")</f>
        <v>#N/A Requesting Data...</v>
      </c>
      <c r="D1201" t="str">
        <f>_xll.BDP("562102GQ Muni","STATE_CODE")</f>
        <v>#N/A Requesting Data...</v>
      </c>
      <c r="E1201" t="str">
        <f>_xll.BDP("562102GQ Muni","COUNTY_LOCATION_ISSUER")</f>
        <v>#N/A Requesting Data...</v>
      </c>
      <c r="F1201" t="str">
        <f>_xll.BDP("562102GQ Muni","DUR_ADJ_MID")</f>
        <v>#N/A Requesting Data...</v>
      </c>
      <c r="G1201" t="str">
        <f>_xll.BDP("562102GQ Muni","SPREAD_AT_ISSUANCE_TO_WORST")</f>
        <v>#N/A Requesting Data...</v>
      </c>
      <c r="H1201" t="str">
        <f>_xll.BDP("562102GQ Muni","ISSUE_DT")</f>
        <v>#N/A Requesting Data...</v>
      </c>
      <c r="I1201" t="str">
        <f>_xll.BDS("562102GQ Muni","MUNI_PURPOSE_SCHED", "aggregate=y")</f>
        <v>#N/A Requesting Data...</v>
      </c>
      <c r="J1201" t="str">
        <f>_xll.BDP("562102GQ Muni","CPN")</f>
        <v>#N/A Requesting Data...</v>
      </c>
      <c r="K1201" t="str">
        <f>_xll.BDP("562102GQ Muni","MATURITY")</f>
        <v>#N/A Requesting Data...</v>
      </c>
      <c r="L1201">
        <v>335000</v>
      </c>
      <c r="M1201" t="str">
        <f>_xll.BDP("562102GQ Muni","YIELD_ON_ISSUE_DATE")</f>
        <v>#N/A Requesting Data...</v>
      </c>
      <c r="N1201" t="str">
        <f>_xll.BDP("562102GQ Muni","YTW_SPREAD_TO_MATURITY_AT_ISSU")</f>
        <v>#N/A Requesting Data...</v>
      </c>
      <c r="O1201" t="str">
        <f>_xll.BDP("562102GQ Muni","BVAL_MID_YTM")</f>
        <v>#N/A Requesting Data...</v>
      </c>
      <c r="P1201" t="str">
        <f>_xll.BDP("562102GQ Muni","MUNI_TAX_PROV")</f>
        <v>#N/A Requesting Data...</v>
      </c>
      <c r="Q1201" t="str">
        <f>_xll.BDP("562102GQ Muni","MUNI_FED_TAX")</f>
        <v>#N/A Requesting Data...</v>
      </c>
      <c r="R1201" t="str">
        <f>_xll.BDP("562102GQ Muni","MUNI_MSRB_VOLUME")</f>
        <v>#N/A Requesting Data...</v>
      </c>
      <c r="S1201" t="str">
        <f>_xll.BDP("562102GQ Muni","BB_COMPOSITE")</f>
        <v>#N/A Requesting Data...</v>
      </c>
      <c r="T1201" t="str">
        <f>_xll.BDP("562102GQ Muni","LQA_LIQUIDITY_SCORE")</f>
        <v>#N/A Requesting Data...</v>
      </c>
    </row>
    <row r="1202" spans="1:20" x14ac:dyDescent="0.25">
      <c r="A1202" t="str">
        <f>_xll.BDP("562102GS Muni","ID_CUSIP")</f>
        <v>#N/A Requesting Data...</v>
      </c>
      <c r="B1202" t="s">
        <v>312</v>
      </c>
      <c r="C1202" t="str">
        <f>_xll.BDP("562102GS Muni","INSURANCE_STATUS")</f>
        <v>#N/A Requesting Data...</v>
      </c>
      <c r="D1202" t="str">
        <f>_xll.BDP("562102GS Muni","STATE_CODE")</f>
        <v>#N/A Requesting Data...</v>
      </c>
      <c r="E1202" t="str">
        <f>_xll.BDP("562102GS Muni","COUNTY_LOCATION_ISSUER")</f>
        <v>#N/A Requesting Data...</v>
      </c>
      <c r="F1202" t="str">
        <f>_xll.BDP("562102GS Muni","DUR_ADJ_MID")</f>
        <v>#N/A Requesting Data...</v>
      </c>
      <c r="G1202" t="str">
        <f>_xll.BDP("562102GS Muni","SPREAD_AT_ISSUANCE_TO_WORST")</f>
        <v>#N/A Requesting Data...</v>
      </c>
      <c r="H1202" t="str">
        <f>_xll.BDP("562102GS Muni","ISSUE_DT")</f>
        <v>#N/A Requesting Data...</v>
      </c>
      <c r="I1202" t="str">
        <f>_xll.BDS("562102GS Muni","MUNI_PURPOSE_SCHED", "aggregate=y")</f>
        <v>#N/A Requesting Data...</v>
      </c>
      <c r="J1202" t="str">
        <f>_xll.BDP("562102GS Muni","CPN")</f>
        <v>#N/A Requesting Data...</v>
      </c>
      <c r="K1202" t="str">
        <f>_xll.BDP("562102GS Muni","MATURITY")</f>
        <v>#N/A Requesting Data...</v>
      </c>
      <c r="L1202">
        <v>375000</v>
      </c>
      <c r="M1202" t="str">
        <f>_xll.BDP("562102GS Muni","YIELD_ON_ISSUE_DATE")</f>
        <v>#N/A Requesting Data...</v>
      </c>
      <c r="N1202" t="str">
        <f>_xll.BDP("562102GS Muni","YTW_SPREAD_TO_MATURITY_AT_ISSU")</f>
        <v>#N/A Requesting Data...</v>
      </c>
      <c r="O1202" t="str">
        <f>_xll.BDP("562102GS Muni","BVAL_MID_YTM")</f>
        <v>#N/A Requesting Data...</v>
      </c>
      <c r="P1202" t="str">
        <f>_xll.BDP("562102GS Muni","MUNI_TAX_PROV")</f>
        <v>#N/A Requesting Data...</v>
      </c>
      <c r="Q1202" t="str">
        <f>_xll.BDP("562102GS Muni","MUNI_FED_TAX")</f>
        <v>#N/A Requesting Data...</v>
      </c>
      <c r="R1202" t="str">
        <f>_xll.BDP("562102GS Muni","MUNI_MSRB_VOLUME")</f>
        <v>#N/A Requesting Data...</v>
      </c>
      <c r="S1202" t="str">
        <f>_xll.BDP("562102GS Muni","BB_COMPOSITE")</f>
        <v>#N/A Requesting Data...</v>
      </c>
      <c r="T1202" t="str">
        <f>_xll.BDP("562102GS Muni","LQA_LIQUIDITY_SCORE")</f>
        <v>#N/A Requesting Data...</v>
      </c>
    </row>
    <row r="1203" spans="1:20" x14ac:dyDescent="0.25">
      <c r="A1203" t="str">
        <f>_xll.BDP("54628CEC Muni","ID_CUSIP")</f>
        <v>#N/A Requesting Data...</v>
      </c>
      <c r="B1203" t="s">
        <v>307</v>
      </c>
      <c r="C1203" t="str">
        <f>_xll.BDP("54628CEC Muni","INSURANCE_STATUS")</f>
        <v>#N/A Requesting Data...</v>
      </c>
      <c r="D1203" t="str">
        <f>_xll.BDP("54628CEC Muni","STATE_CODE")</f>
        <v>#N/A Requesting Data...</v>
      </c>
      <c r="E1203" t="str">
        <f>_xll.BDP("54628CEC Muni","COUNTY_LOCATION_ISSUER")</f>
        <v>#N/A Requesting Data...</v>
      </c>
      <c r="F1203" t="str">
        <f>_xll.BDP("54628CEC Muni","DUR_ADJ_MID")</f>
        <v>#N/A Requesting Data...</v>
      </c>
      <c r="G1203" t="str">
        <f>_xll.BDP("54628CEC Muni","SPREAD_AT_ISSUANCE_TO_WORST")</f>
        <v>#N/A Requesting Data...</v>
      </c>
      <c r="H1203" t="str">
        <f>_xll.BDP("54628CEC Muni","ISSUE_DT")</f>
        <v>#N/A Requesting Data...</v>
      </c>
      <c r="I1203" t="str">
        <f>_xll.BDS("54628CEC Muni","MUNI_PURPOSE_SCHED", "aggregate=y")</f>
        <v>#N/A Requesting Data...</v>
      </c>
      <c r="J1203" t="str">
        <f>_xll.BDP("54628CEC Muni","CPN")</f>
        <v>#N/A Requesting Data...</v>
      </c>
      <c r="K1203" t="str">
        <f>_xll.BDP("54628CEC Muni","MATURITY")</f>
        <v>#N/A Requesting Data...</v>
      </c>
      <c r="L1203">
        <v>540000</v>
      </c>
      <c r="M1203" t="str">
        <f>_xll.BDP("54628CEC Muni","YIELD_ON_ISSUE_DATE")</f>
        <v>#N/A Requesting Data...</v>
      </c>
      <c r="N1203" t="str">
        <f>_xll.BDP("54628CEC Muni","YTW_SPREAD_TO_MATURITY_AT_ISSU")</f>
        <v>#N/A Requesting Data...</v>
      </c>
      <c r="O1203" t="str">
        <f>_xll.BDP("54628CEC Muni","BVAL_MID_YTM")</f>
        <v>#N/A Requesting Data...</v>
      </c>
      <c r="P1203" t="str">
        <f>_xll.BDP("54628CEC Muni","MUNI_TAX_PROV")</f>
        <v>#N/A Requesting Data...</v>
      </c>
      <c r="Q1203" t="str">
        <f>_xll.BDP("54628CEC Muni","MUNI_FED_TAX")</f>
        <v>#N/A Requesting Data...</v>
      </c>
      <c r="R1203" t="str">
        <f>_xll.BDP("54628CEC Muni","MUNI_MSRB_VOLUME")</f>
        <v>#N/A Requesting Data...</v>
      </c>
      <c r="S1203" t="str">
        <f>_xll.BDP("54628CEC Muni","BB_COMPOSITE")</f>
        <v>#N/A Requesting Data...</v>
      </c>
      <c r="T1203" t="str">
        <f>_xll.BDP("54628CEC Muni","LQA_LIQUIDITY_SCORE")</f>
        <v>#N/A Requesting Data...</v>
      </c>
    </row>
    <row r="1204" spans="1:20" x14ac:dyDescent="0.25">
      <c r="A1204" t="str">
        <f>_xll.BDP("54628CEF Muni","ID_CUSIP")</f>
        <v>#N/A Requesting Data...</v>
      </c>
      <c r="B1204" t="s">
        <v>307</v>
      </c>
      <c r="C1204" t="str">
        <f>_xll.BDP("54628CEF Muni","INSURANCE_STATUS")</f>
        <v>#N/A Requesting Data...</v>
      </c>
      <c r="D1204" t="str">
        <f>_xll.BDP("54628CEF Muni","STATE_CODE")</f>
        <v>#N/A Requesting Data...</v>
      </c>
      <c r="E1204" t="str">
        <f>_xll.BDP("54628CEF Muni","COUNTY_LOCATION_ISSUER")</f>
        <v>#N/A Requesting Data...</v>
      </c>
      <c r="F1204" t="str">
        <f>_xll.BDP("54628CEF Muni","DUR_ADJ_MID")</f>
        <v>#N/A Requesting Data...</v>
      </c>
      <c r="G1204" t="str">
        <f>_xll.BDP("54628CEF Muni","SPREAD_AT_ISSUANCE_TO_WORST")</f>
        <v>#N/A Requesting Data...</v>
      </c>
      <c r="H1204" t="str">
        <f>_xll.BDP("54628CEF Muni","ISSUE_DT")</f>
        <v>#N/A Requesting Data...</v>
      </c>
      <c r="I1204" t="str">
        <f>_xll.BDS("54628CEF Muni","MUNI_PURPOSE_SCHED", "aggregate=y")</f>
        <v>#N/A Requesting Data...</v>
      </c>
      <c r="J1204" t="str">
        <f>_xll.BDP("54628CEF Muni","CPN")</f>
        <v>#N/A Requesting Data...</v>
      </c>
      <c r="K1204" t="str">
        <f>_xll.BDP("54628CEF Muni","MATURITY")</f>
        <v>#N/A Requesting Data...</v>
      </c>
      <c r="L1204">
        <v>1190000</v>
      </c>
      <c r="M1204" t="str">
        <f>_xll.BDP("54628CEF Muni","YIELD_ON_ISSUE_DATE")</f>
        <v>#N/A Requesting Data...</v>
      </c>
      <c r="N1204" t="str">
        <f>_xll.BDP("54628CEF Muni","YTW_SPREAD_TO_MATURITY_AT_ISSU")</f>
        <v>#N/A Requesting Data...</v>
      </c>
      <c r="O1204" t="str">
        <f>_xll.BDP("54628CEF Muni","BVAL_MID_YTM")</f>
        <v>#N/A Requesting Data...</v>
      </c>
      <c r="P1204" t="str">
        <f>_xll.BDP("54628CEF Muni","MUNI_TAX_PROV")</f>
        <v>#N/A Requesting Data...</v>
      </c>
      <c r="Q1204" t="str">
        <f>_xll.BDP("54628CEF Muni","MUNI_FED_TAX")</f>
        <v>#N/A Requesting Data...</v>
      </c>
      <c r="R1204" t="str">
        <f>_xll.BDP("54628CEF Muni","MUNI_MSRB_VOLUME")</f>
        <v>#N/A Requesting Data...</v>
      </c>
      <c r="S1204" t="str">
        <f>_xll.BDP("54628CEF Muni","BB_COMPOSITE")</f>
        <v>#N/A Requesting Data...</v>
      </c>
      <c r="T1204" t="str">
        <f>_xll.BDP("54628CEF Muni","LQA_LIQUIDITY_SCORE")</f>
        <v>#N/A Requesting Data...</v>
      </c>
    </row>
    <row r="1205" spans="1:20" x14ac:dyDescent="0.25">
      <c r="A1205" t="str">
        <f>_xll.BDP("564453DA Muni","ID_CUSIP")</f>
        <v>#N/A Requesting Data...</v>
      </c>
      <c r="B1205" t="s">
        <v>308</v>
      </c>
      <c r="C1205" t="str">
        <f>_xll.BDP("564453DA Muni","INSURANCE_STATUS")</f>
        <v>#N/A Requesting Data...</v>
      </c>
      <c r="D1205" t="str">
        <f>_xll.BDP("564453DA Muni","STATE_CODE")</f>
        <v>#N/A Requesting Data...</v>
      </c>
      <c r="E1205" t="str">
        <f>_xll.BDP("564453DA Muni","COUNTY_LOCATION_ISSUER")</f>
        <v>#N/A Requesting Data...</v>
      </c>
      <c r="F1205" t="str">
        <f>_xll.BDP("564453DA Muni","DUR_ADJ_MID")</f>
        <v>#N/A Requesting Data...</v>
      </c>
      <c r="G1205" t="str">
        <f>_xll.BDP("564453DA Muni","SPREAD_AT_ISSUANCE_TO_WORST")</f>
        <v>#N/A Requesting Data...</v>
      </c>
      <c r="H1205" t="str">
        <f>_xll.BDP("564453DA Muni","ISSUE_DT")</f>
        <v>#N/A Requesting Data...</v>
      </c>
      <c r="I1205" t="str">
        <f>_xll.BDS("564453DA Muni","MUNI_PURPOSE_SCHED", "aggregate=y")</f>
        <v>#N/A Requesting Data...</v>
      </c>
      <c r="J1205" t="str">
        <f>_xll.BDP("564453DA Muni","CPN")</f>
        <v>#N/A Requesting Data...</v>
      </c>
      <c r="K1205" t="str">
        <f>_xll.BDP("564453DA Muni","MATURITY")</f>
        <v>#N/A Requesting Data...</v>
      </c>
      <c r="L1205">
        <v>165000</v>
      </c>
      <c r="M1205" t="str">
        <f>_xll.BDP("564453DA Muni","YIELD_ON_ISSUE_DATE")</f>
        <v>#N/A Requesting Data...</v>
      </c>
      <c r="N1205" t="str">
        <f>_xll.BDP("564453DA Muni","YTW_SPREAD_TO_MATURITY_AT_ISSU")</f>
        <v>#N/A Requesting Data...</v>
      </c>
      <c r="O1205" t="str">
        <f>_xll.BDP("564453DA Muni","BVAL_MID_YTM")</f>
        <v>#N/A Requesting Data...</v>
      </c>
      <c r="P1205" t="str">
        <f>_xll.BDP("564453DA Muni","MUNI_TAX_PROV")</f>
        <v>#N/A Requesting Data...</v>
      </c>
      <c r="Q1205" t="str">
        <f>_xll.BDP("564453DA Muni","MUNI_FED_TAX")</f>
        <v>#N/A Requesting Data...</v>
      </c>
      <c r="R1205" t="str">
        <f>_xll.BDP("564453DA Muni","MUNI_MSRB_VOLUME")</f>
        <v>#N/A Requesting Data...</v>
      </c>
      <c r="S1205" t="str">
        <f>_xll.BDP("564453DA Muni","BB_COMPOSITE")</f>
        <v>#N/A Requesting Data...</v>
      </c>
      <c r="T1205" t="str">
        <f>_xll.BDP("564453DA Muni","LQA_LIQUIDITY_SCORE")</f>
        <v>#N/A Requesting Data...</v>
      </c>
    </row>
    <row r="1206" spans="1:20" x14ac:dyDescent="0.25">
      <c r="A1206" t="str">
        <f>_xll.BDP("56501MDW Muni","ID_CUSIP")</f>
        <v>#N/A Requesting Data...</v>
      </c>
      <c r="B1206" t="s">
        <v>309</v>
      </c>
      <c r="C1206" t="str">
        <f>_xll.BDP("56501MDW Muni","INSURANCE_STATUS")</f>
        <v>#N/A Requesting Data...</v>
      </c>
      <c r="D1206" t="str">
        <f>_xll.BDP("56501MDW Muni","STATE_CODE")</f>
        <v>#N/A Requesting Data...</v>
      </c>
      <c r="E1206" t="str">
        <f>_xll.BDP("56501MDW Muni","COUNTY_LOCATION_ISSUER")</f>
        <v>#N/A Requesting Data...</v>
      </c>
      <c r="F1206" t="str">
        <f>_xll.BDP("56501MDW Muni","DUR_ADJ_MID")</f>
        <v>#N/A Requesting Data...</v>
      </c>
      <c r="G1206" t="str">
        <f>_xll.BDP("56501MDW Muni","SPREAD_AT_ISSUANCE_TO_WORST")</f>
        <v>#N/A Requesting Data...</v>
      </c>
      <c r="H1206" t="str">
        <f>_xll.BDP("56501MDW Muni","ISSUE_DT")</f>
        <v>#N/A Requesting Data...</v>
      </c>
      <c r="I1206" t="str">
        <f>_xll.BDS("56501MDW Muni","MUNI_PURPOSE_SCHED", "aggregate=y")</f>
        <v>#N/A Requesting Data...</v>
      </c>
      <c r="J1206" t="str">
        <f>_xll.BDP("56501MDW Muni","CPN")</f>
        <v>#N/A Requesting Data...</v>
      </c>
      <c r="K1206" t="str">
        <f>_xll.BDP("56501MDW Muni","MATURITY")</f>
        <v>#N/A Requesting Data...</v>
      </c>
      <c r="L1206">
        <v>425000</v>
      </c>
      <c r="M1206" t="str">
        <f>_xll.BDP("56501MDW Muni","YIELD_ON_ISSUE_DATE")</f>
        <v>#N/A Requesting Data...</v>
      </c>
      <c r="N1206" t="str">
        <f>_xll.BDP("56501MDW Muni","YTW_SPREAD_TO_MATURITY_AT_ISSU")</f>
        <v>#N/A Requesting Data...</v>
      </c>
      <c r="O1206" t="str">
        <f>_xll.BDP("56501MDW Muni","BVAL_MID_YTM")</f>
        <v>#N/A Requesting Data...</v>
      </c>
      <c r="P1206" t="str">
        <f>_xll.BDP("56501MDW Muni","MUNI_TAX_PROV")</f>
        <v>#N/A Requesting Data...</v>
      </c>
      <c r="Q1206" t="str">
        <f>_xll.BDP("56501MDW Muni","MUNI_FED_TAX")</f>
        <v>#N/A Requesting Data...</v>
      </c>
      <c r="R1206" t="str">
        <f>_xll.BDP("56501MDW Muni","MUNI_MSRB_VOLUME")</f>
        <v>#N/A Requesting Data...</v>
      </c>
      <c r="S1206" t="str">
        <f>_xll.BDP("56501MDW Muni","BB_COMPOSITE")</f>
        <v>#N/A Requesting Data...</v>
      </c>
      <c r="T1206" t="str">
        <f>_xll.BDP("56501MDW Muni","LQA_LIQUIDITY_SCORE")</f>
        <v>#N/A Requesting Data...</v>
      </c>
    </row>
    <row r="1207" spans="1:20" x14ac:dyDescent="0.25">
      <c r="A1207" t="str">
        <f>_xll.BDP("56501MDZ Muni","ID_CUSIP")</f>
        <v>#N/A Requesting Data...</v>
      </c>
      <c r="B1207" t="s">
        <v>309</v>
      </c>
      <c r="C1207" t="str">
        <f>_xll.BDP("56501MDZ Muni","INSURANCE_STATUS")</f>
        <v>#N/A Requesting Data...</v>
      </c>
      <c r="D1207" t="str">
        <f>_xll.BDP("56501MDZ Muni","STATE_CODE")</f>
        <v>#N/A Requesting Data...</v>
      </c>
      <c r="E1207" t="str">
        <f>_xll.BDP("56501MDZ Muni","COUNTY_LOCATION_ISSUER")</f>
        <v>#N/A Requesting Data...</v>
      </c>
      <c r="F1207" t="str">
        <f>_xll.BDP("56501MDZ Muni","DUR_ADJ_MID")</f>
        <v>#N/A Requesting Data...</v>
      </c>
      <c r="G1207" t="str">
        <f>_xll.BDP("56501MDZ Muni","SPREAD_AT_ISSUANCE_TO_WORST")</f>
        <v>#N/A Requesting Data...</v>
      </c>
      <c r="H1207" t="str">
        <f>_xll.BDP("56501MDZ Muni","ISSUE_DT")</f>
        <v>#N/A Requesting Data...</v>
      </c>
      <c r="I1207" t="str">
        <f>_xll.BDS("56501MDZ Muni","MUNI_PURPOSE_SCHED", "aggregate=y")</f>
        <v>#N/A Requesting Data...</v>
      </c>
      <c r="J1207" t="str">
        <f>_xll.BDP("56501MDZ Muni","CPN")</f>
        <v>#N/A Requesting Data...</v>
      </c>
      <c r="K1207" t="str">
        <f>_xll.BDP("56501MDZ Muni","MATURITY")</f>
        <v>#N/A Requesting Data...</v>
      </c>
      <c r="L1207">
        <v>465000</v>
      </c>
      <c r="M1207" t="str">
        <f>_xll.BDP("56501MDZ Muni","YIELD_ON_ISSUE_DATE")</f>
        <v>#N/A Requesting Data...</v>
      </c>
      <c r="N1207" t="str">
        <f>_xll.BDP("56501MDZ Muni","YTW_SPREAD_TO_MATURITY_AT_ISSU")</f>
        <v>#N/A Requesting Data...</v>
      </c>
      <c r="O1207" t="str">
        <f>_xll.BDP("56501MDZ Muni","BVAL_MID_YTM")</f>
        <v>#N/A Requesting Data...</v>
      </c>
      <c r="P1207" t="str">
        <f>_xll.BDP("56501MDZ Muni","MUNI_TAX_PROV")</f>
        <v>#N/A Requesting Data...</v>
      </c>
      <c r="Q1207" t="str">
        <f>_xll.BDP("56501MDZ Muni","MUNI_FED_TAX")</f>
        <v>#N/A Requesting Data...</v>
      </c>
      <c r="R1207" t="str">
        <f>_xll.BDP("56501MDZ Muni","MUNI_MSRB_VOLUME")</f>
        <v>#N/A Requesting Data...</v>
      </c>
      <c r="S1207" t="str">
        <f>_xll.BDP("56501MDZ Muni","BB_COMPOSITE")</f>
        <v>#N/A Requesting Data...</v>
      </c>
      <c r="T1207" t="str">
        <f>_xll.BDP("56501MDZ Muni","LQA_LIQUIDITY_SCORE")</f>
        <v>#N/A Requesting Data...</v>
      </c>
    </row>
    <row r="1208" spans="1:20" x14ac:dyDescent="0.25">
      <c r="A1208" t="str">
        <f>_xll.BDP("548173CN Muni","ID_CUSIP")</f>
        <v>#N/A Requesting Data...</v>
      </c>
      <c r="B1208" t="s">
        <v>313</v>
      </c>
      <c r="C1208" t="str">
        <f>_xll.BDP("548173CN Muni","INSURANCE_STATUS")</f>
        <v>#N/A Requesting Data...</v>
      </c>
      <c r="D1208" t="str">
        <f>_xll.BDP("548173CN Muni","STATE_CODE")</f>
        <v>#N/A Requesting Data...</v>
      </c>
      <c r="E1208" t="str">
        <f>_xll.BDP("548173CN Muni","COUNTY_LOCATION_ISSUER")</f>
        <v>#N/A Requesting Data...</v>
      </c>
      <c r="F1208" t="str">
        <f>_xll.BDP("548173CN Muni","DUR_ADJ_MID")</f>
        <v>#N/A Requesting Data...</v>
      </c>
      <c r="G1208" t="str">
        <f>_xll.BDP("548173CN Muni","SPREAD_AT_ISSUANCE_TO_WORST")</f>
        <v>#N/A Requesting Data...</v>
      </c>
      <c r="H1208" t="str">
        <f>_xll.BDP("548173CN Muni","ISSUE_DT")</f>
        <v>#N/A Requesting Data...</v>
      </c>
      <c r="I1208" t="str">
        <f>_xll.BDS("548173CN Muni","MUNI_PURPOSE_SCHED", "aggregate=y")</f>
        <v>#N/A Requesting Data...</v>
      </c>
      <c r="J1208" t="str">
        <f>_xll.BDP("548173CN Muni","CPN")</f>
        <v>#N/A Requesting Data...</v>
      </c>
      <c r="K1208" t="str">
        <f>_xll.BDP("548173CN Muni","MATURITY")</f>
        <v>#N/A Requesting Data...</v>
      </c>
      <c r="L1208">
        <v>100000</v>
      </c>
      <c r="M1208" t="str">
        <f>_xll.BDP("548173CN Muni","YIELD_ON_ISSUE_DATE")</f>
        <v>#N/A Requesting Data...</v>
      </c>
      <c r="N1208" t="str">
        <f>_xll.BDP("548173CN Muni","YTW_SPREAD_TO_MATURITY_AT_ISSU")</f>
        <v>#N/A Requesting Data...</v>
      </c>
      <c r="O1208" t="str">
        <f>_xll.BDP("548173CN Muni","BVAL_MID_YTM")</f>
        <v>#N/A Requesting Data...</v>
      </c>
      <c r="P1208" t="str">
        <f>_xll.BDP("548173CN Muni","MUNI_TAX_PROV")</f>
        <v>#N/A Requesting Data...</v>
      </c>
      <c r="Q1208" t="str">
        <f>_xll.BDP("548173CN Muni","MUNI_FED_TAX")</f>
        <v>#N/A Requesting Data...</v>
      </c>
      <c r="R1208" t="str">
        <f>_xll.BDP("548173CN Muni","MUNI_MSRB_VOLUME")</f>
        <v>#N/A Requesting Data...</v>
      </c>
      <c r="S1208" t="str">
        <f>_xll.BDP("548173CN Muni","BB_COMPOSITE")</f>
        <v>#N/A Requesting Data...</v>
      </c>
      <c r="T1208" t="str">
        <f>_xll.BDP("548173CN Muni","LQA_LIQUIDITY_SCORE")</f>
        <v>#N/A Requesting Data...</v>
      </c>
    </row>
    <row r="1209" spans="1:20" x14ac:dyDescent="0.25">
      <c r="A1209" t="str">
        <f>_xll.BDP("548173CP Muni","ID_CUSIP")</f>
        <v>#N/A Requesting Data...</v>
      </c>
      <c r="B1209" t="s">
        <v>313</v>
      </c>
      <c r="C1209" t="str">
        <f>_xll.BDP("548173CP Muni","INSURANCE_STATUS")</f>
        <v>#N/A Requesting Data...</v>
      </c>
      <c r="D1209" t="str">
        <f>_xll.BDP("548173CP Muni","STATE_CODE")</f>
        <v>#N/A Requesting Data...</v>
      </c>
      <c r="E1209" t="str">
        <f>_xll.BDP("548173CP Muni","COUNTY_LOCATION_ISSUER")</f>
        <v>#N/A Requesting Data...</v>
      </c>
      <c r="F1209" t="str">
        <f>_xll.BDP("548173CP Muni","DUR_ADJ_MID")</f>
        <v>#N/A Requesting Data...</v>
      </c>
      <c r="G1209" t="str">
        <f>_xll.BDP("548173CP Muni","SPREAD_AT_ISSUANCE_TO_WORST")</f>
        <v>#N/A Requesting Data...</v>
      </c>
      <c r="H1209" t="str">
        <f>_xll.BDP("548173CP Muni","ISSUE_DT")</f>
        <v>#N/A Requesting Data...</v>
      </c>
      <c r="I1209" t="str">
        <f>_xll.BDS("548173CP Muni","MUNI_PURPOSE_SCHED", "aggregate=y")</f>
        <v>#N/A Requesting Data...</v>
      </c>
      <c r="J1209" t="str">
        <f>_xll.BDP("548173CP Muni","CPN")</f>
        <v>#N/A Requesting Data...</v>
      </c>
      <c r="K1209" t="str">
        <f>_xll.BDP("548173CP Muni","MATURITY")</f>
        <v>#N/A Requesting Data...</v>
      </c>
      <c r="L1209">
        <v>100000</v>
      </c>
      <c r="M1209" t="str">
        <f>_xll.BDP("548173CP Muni","YIELD_ON_ISSUE_DATE")</f>
        <v>#N/A Requesting Data...</v>
      </c>
      <c r="N1209" t="str">
        <f>_xll.BDP("548173CP Muni","YTW_SPREAD_TO_MATURITY_AT_ISSU")</f>
        <v>#N/A Requesting Data...</v>
      </c>
      <c r="O1209" t="str">
        <f>_xll.BDP("548173CP Muni","BVAL_MID_YTM")</f>
        <v>#N/A Requesting Data...</v>
      </c>
      <c r="P1209" t="str">
        <f>_xll.BDP("548173CP Muni","MUNI_TAX_PROV")</f>
        <v>#N/A Requesting Data...</v>
      </c>
      <c r="Q1209" t="str">
        <f>_xll.BDP("548173CP Muni","MUNI_FED_TAX")</f>
        <v>#N/A Requesting Data...</v>
      </c>
      <c r="R1209" t="str">
        <f>_xll.BDP("548173CP Muni","MUNI_MSRB_VOLUME")</f>
        <v>#N/A Requesting Data...</v>
      </c>
      <c r="S1209" t="str">
        <f>_xll.BDP("548173CP Muni","BB_COMPOSITE")</f>
        <v>#N/A Requesting Data...</v>
      </c>
      <c r="T1209" t="str">
        <f>_xll.BDP("548173CP Muni","LQA_LIQUIDITY_SCORE")</f>
        <v>#N/A Requesting Data...</v>
      </c>
    </row>
    <row r="1210" spans="1:20" x14ac:dyDescent="0.25">
      <c r="A1210" t="str">
        <f>_xll.BDP("59447TSS Muni","ID_CUSIP")</f>
        <v>#N/A Requesting Data...</v>
      </c>
      <c r="B1210" t="s">
        <v>314</v>
      </c>
      <c r="C1210" t="str">
        <f>_xll.BDP("59447TSS Muni","INSURANCE_STATUS")</f>
        <v>#N/A Requesting Data...</v>
      </c>
      <c r="D1210" t="str">
        <f>_xll.BDP("59447TSS Muni","STATE_CODE")</f>
        <v>#N/A Requesting Data...</v>
      </c>
      <c r="E1210" t="str">
        <f>_xll.BDP("59447TSS Muni","COUNTY_LOCATION_ISSUER")</f>
        <v>#N/A Requesting Data...</v>
      </c>
      <c r="F1210" t="str">
        <f>_xll.BDP("59447TSS Muni","DUR_ADJ_MID")</f>
        <v>#N/A Requesting Data...</v>
      </c>
      <c r="G1210" t="str">
        <f>_xll.BDP("59447TSS Muni","SPREAD_AT_ISSUANCE_TO_WORST")</f>
        <v>#N/A Requesting Data...</v>
      </c>
      <c r="H1210" t="str">
        <f>_xll.BDP("59447TSS Muni","ISSUE_DT")</f>
        <v>#N/A Requesting Data...</v>
      </c>
      <c r="I1210" t="str">
        <f>_xll.BDS("59447TSS Muni","MUNI_PURPOSE_SCHED", "aggregate=y")</f>
        <v>#N/A Requesting Data...</v>
      </c>
      <c r="J1210" t="str">
        <f>_xll.BDP("59447TSS Muni","CPN")</f>
        <v>#N/A Requesting Data...</v>
      </c>
      <c r="K1210" t="str">
        <f>_xll.BDP("59447TSS Muni","MATURITY")</f>
        <v>#N/A Requesting Data...</v>
      </c>
      <c r="L1210">
        <v>9240000</v>
      </c>
      <c r="M1210" t="str">
        <f>_xll.BDP("59447TSS Muni","YIELD_ON_ISSUE_DATE")</f>
        <v>#N/A Requesting Data...</v>
      </c>
      <c r="N1210" t="str">
        <f>_xll.BDP("59447TSS Muni","YTW_SPREAD_TO_MATURITY_AT_ISSU")</f>
        <v>#N/A Requesting Data...</v>
      </c>
      <c r="O1210" t="str">
        <f>_xll.BDP("59447TSS Muni","BVAL_MID_YTM")</f>
        <v>#N/A Requesting Data...</v>
      </c>
      <c r="P1210" t="str">
        <f>_xll.BDP("59447TSS Muni","MUNI_TAX_PROV")</f>
        <v>#N/A Requesting Data...</v>
      </c>
      <c r="Q1210" t="str">
        <f>_xll.BDP("59447TSS Muni","MUNI_FED_TAX")</f>
        <v>#N/A Requesting Data...</v>
      </c>
      <c r="R1210" t="str">
        <f>_xll.BDP("59447TSS Muni","MUNI_MSRB_VOLUME")</f>
        <v>#N/A Requesting Data...</v>
      </c>
      <c r="S1210" t="str">
        <f>_xll.BDP("59447TSS Muni","BB_COMPOSITE")</f>
        <v>#N/A Requesting Data...</v>
      </c>
      <c r="T1210" t="str">
        <f>_xll.BDP("59447TSS Muni","LQA_LIQUIDITY_SCORE")</f>
        <v>#N/A Requesting Data...</v>
      </c>
    </row>
    <row r="1211" spans="1:20" x14ac:dyDescent="0.25">
      <c r="A1211" t="str">
        <f>_xll.BDP("59447TSV Muni","ID_CUSIP")</f>
        <v>#N/A Requesting Data...</v>
      </c>
      <c r="B1211" t="s">
        <v>314</v>
      </c>
      <c r="C1211" t="str">
        <f>_xll.BDP("59447TSV Muni","INSURANCE_STATUS")</f>
        <v>#N/A Requesting Data...</v>
      </c>
      <c r="D1211" t="str">
        <f>_xll.BDP("59447TSV Muni","STATE_CODE")</f>
        <v>#N/A Requesting Data...</v>
      </c>
      <c r="E1211" t="str">
        <f>_xll.BDP("59447TSV Muni","COUNTY_LOCATION_ISSUER")</f>
        <v>#N/A Requesting Data...</v>
      </c>
      <c r="F1211" t="str">
        <f>_xll.BDP("59447TSV Muni","DUR_ADJ_MID")</f>
        <v>#N/A Requesting Data...</v>
      </c>
      <c r="G1211" t="str">
        <f>_xll.BDP("59447TSV Muni","SPREAD_AT_ISSUANCE_TO_WORST")</f>
        <v>#N/A Requesting Data...</v>
      </c>
      <c r="H1211" t="str">
        <f>_xll.BDP("59447TSV Muni","ISSUE_DT")</f>
        <v>#N/A Requesting Data...</v>
      </c>
      <c r="I1211" t="str">
        <f>_xll.BDS("59447TSV Muni","MUNI_PURPOSE_SCHED", "aggregate=y")</f>
        <v>#N/A Requesting Data...</v>
      </c>
      <c r="J1211" t="str">
        <f>_xll.BDP("59447TSV Muni","CPN")</f>
        <v>#N/A Requesting Data...</v>
      </c>
      <c r="K1211" t="str">
        <f>_xll.BDP("59447TSV Muni","MATURITY")</f>
        <v>#N/A Requesting Data...</v>
      </c>
      <c r="L1211">
        <v>8225000</v>
      </c>
      <c r="M1211" t="str">
        <f>_xll.BDP("59447TSV Muni","YIELD_ON_ISSUE_DATE")</f>
        <v>#N/A Requesting Data...</v>
      </c>
      <c r="N1211" t="str">
        <f>_xll.BDP("59447TSV Muni","YTW_SPREAD_TO_MATURITY_AT_ISSU")</f>
        <v>#N/A Requesting Data...</v>
      </c>
      <c r="O1211" t="str">
        <f>_xll.BDP("59447TSV Muni","BVAL_MID_YTM")</f>
        <v>#N/A Requesting Data...</v>
      </c>
      <c r="P1211" t="str">
        <f>_xll.BDP("59447TSV Muni","MUNI_TAX_PROV")</f>
        <v>#N/A Requesting Data...</v>
      </c>
      <c r="Q1211" t="str">
        <f>_xll.BDP("59447TSV Muni","MUNI_FED_TAX")</f>
        <v>#N/A Requesting Data...</v>
      </c>
      <c r="R1211" t="str">
        <f>_xll.BDP("59447TSV Muni","MUNI_MSRB_VOLUME")</f>
        <v>#N/A Requesting Data...</v>
      </c>
      <c r="S1211" t="str">
        <f>_xll.BDP("59447TSV Muni","BB_COMPOSITE")</f>
        <v>#N/A Requesting Data...</v>
      </c>
      <c r="T1211" t="str">
        <f>_xll.BDP("59447TSV Muni","LQA_LIQUIDITY_SCORE")</f>
        <v>#N/A Requesting Data...</v>
      </c>
    </row>
    <row r="1212" spans="1:20" x14ac:dyDescent="0.25">
      <c r="A1212" t="str">
        <f>_xll.BDP("59447TSW Muni","ID_CUSIP")</f>
        <v>#N/A Requesting Data...</v>
      </c>
      <c r="B1212" t="s">
        <v>314</v>
      </c>
      <c r="C1212" t="str">
        <f>_xll.BDP("59447TSW Muni","INSURANCE_STATUS")</f>
        <v>#N/A Requesting Data...</v>
      </c>
      <c r="D1212" t="str">
        <f>_xll.BDP("59447TSW Muni","STATE_CODE")</f>
        <v>#N/A Requesting Data...</v>
      </c>
      <c r="E1212" t="str">
        <f>_xll.BDP("59447TSW Muni","COUNTY_LOCATION_ISSUER")</f>
        <v>#N/A Requesting Data...</v>
      </c>
      <c r="F1212" t="str">
        <f>_xll.BDP("59447TSW Muni","DUR_ADJ_MID")</f>
        <v>#N/A Requesting Data...</v>
      </c>
      <c r="G1212" t="str">
        <f>_xll.BDP("59447TSW Muni","SPREAD_AT_ISSUANCE_TO_WORST")</f>
        <v>#N/A Requesting Data...</v>
      </c>
      <c r="H1212" t="str">
        <f>_xll.BDP("59447TSW Muni","ISSUE_DT")</f>
        <v>#N/A Requesting Data...</v>
      </c>
      <c r="I1212" t="str">
        <f>_xll.BDS("59447TSW Muni","MUNI_PURPOSE_SCHED", "aggregate=y")</f>
        <v>#N/A Requesting Data...</v>
      </c>
      <c r="J1212" t="str">
        <f>_xll.BDP("59447TSW Muni","CPN")</f>
        <v>#N/A Requesting Data...</v>
      </c>
      <c r="K1212" t="str">
        <f>_xll.BDP("59447TSW Muni","MATURITY")</f>
        <v>#N/A Requesting Data...</v>
      </c>
      <c r="L1212">
        <v>7240000</v>
      </c>
      <c r="M1212" t="str">
        <f>_xll.BDP("59447TSW Muni","YIELD_ON_ISSUE_DATE")</f>
        <v>#N/A Requesting Data...</v>
      </c>
      <c r="N1212" t="str">
        <f>_xll.BDP("59447TSW Muni","YTW_SPREAD_TO_MATURITY_AT_ISSU")</f>
        <v>#N/A Requesting Data...</v>
      </c>
      <c r="O1212" t="str">
        <f>_xll.BDP("59447TSW Muni","BVAL_MID_YTM")</f>
        <v>#N/A Requesting Data...</v>
      </c>
      <c r="P1212" t="str">
        <f>_xll.BDP("59447TSW Muni","MUNI_TAX_PROV")</f>
        <v>#N/A Requesting Data...</v>
      </c>
      <c r="Q1212" t="str">
        <f>_xll.BDP("59447TSW Muni","MUNI_FED_TAX")</f>
        <v>#N/A Requesting Data...</v>
      </c>
      <c r="R1212" t="str">
        <f>_xll.BDP("59447TSW Muni","MUNI_MSRB_VOLUME")</f>
        <v>#N/A Requesting Data...</v>
      </c>
      <c r="S1212" t="str">
        <f>_xll.BDP("59447TSW Muni","BB_COMPOSITE")</f>
        <v>#N/A Requesting Data...</v>
      </c>
      <c r="T1212" t="str">
        <f>_xll.BDP("59447TSW Muni","LQA_LIQUIDITY_SCORE")</f>
        <v>#N/A Requesting Data...</v>
      </c>
    </row>
    <row r="1213" spans="1:20" x14ac:dyDescent="0.25">
      <c r="A1213" t="str">
        <f>_xll.BDP("59447TSY Muni","ID_CUSIP")</f>
        <v>#N/A Requesting Data...</v>
      </c>
      <c r="B1213" t="s">
        <v>314</v>
      </c>
      <c r="C1213" t="str">
        <f>_xll.BDP("59447TSY Muni","INSURANCE_STATUS")</f>
        <v>#N/A Requesting Data...</v>
      </c>
      <c r="D1213" t="str">
        <f>_xll.BDP("59447TSY Muni","STATE_CODE")</f>
        <v>#N/A Requesting Data...</v>
      </c>
      <c r="E1213" t="str">
        <f>_xll.BDP("59447TSY Muni","COUNTY_LOCATION_ISSUER")</f>
        <v>#N/A Requesting Data...</v>
      </c>
      <c r="F1213" t="str">
        <f>_xll.BDP("59447TSY Muni","DUR_ADJ_MID")</f>
        <v>#N/A Requesting Data...</v>
      </c>
      <c r="G1213" t="str">
        <f>_xll.BDP("59447TSY Muni","SPREAD_AT_ISSUANCE_TO_WORST")</f>
        <v>#N/A Requesting Data...</v>
      </c>
      <c r="H1213" t="str">
        <f>_xll.BDP("59447TSY Muni","ISSUE_DT")</f>
        <v>#N/A Requesting Data...</v>
      </c>
      <c r="I1213" t="str">
        <f>_xll.BDS("59447TSY Muni","MUNI_PURPOSE_SCHED", "aggregate=y")</f>
        <v>#N/A Requesting Data...</v>
      </c>
      <c r="J1213" t="str">
        <f>_xll.BDP("59447TSY Muni","CPN")</f>
        <v>#N/A Requesting Data...</v>
      </c>
      <c r="K1213" t="str">
        <f>_xll.BDP("59447TSY Muni","MATURITY")</f>
        <v>#N/A Requesting Data...</v>
      </c>
      <c r="L1213">
        <v>7415000</v>
      </c>
      <c r="M1213" t="str">
        <f>_xll.BDP("59447TSY Muni","YIELD_ON_ISSUE_DATE")</f>
        <v>#N/A Requesting Data...</v>
      </c>
      <c r="N1213" t="str">
        <f>_xll.BDP("59447TSY Muni","YTW_SPREAD_TO_MATURITY_AT_ISSU")</f>
        <v>#N/A Requesting Data...</v>
      </c>
      <c r="O1213" t="str">
        <f>_xll.BDP("59447TSY Muni","BVAL_MID_YTM")</f>
        <v>#N/A Requesting Data...</v>
      </c>
      <c r="P1213" t="str">
        <f>_xll.BDP("59447TSY Muni","MUNI_TAX_PROV")</f>
        <v>#N/A Requesting Data...</v>
      </c>
      <c r="Q1213" t="str">
        <f>_xll.BDP("59447TSY Muni","MUNI_FED_TAX")</f>
        <v>#N/A Requesting Data...</v>
      </c>
      <c r="R1213" t="str">
        <f>_xll.BDP("59447TSY Muni","MUNI_MSRB_VOLUME")</f>
        <v>#N/A Requesting Data...</v>
      </c>
      <c r="S1213" t="str">
        <f>_xll.BDP("59447TSY Muni","BB_COMPOSITE")</f>
        <v>#N/A Requesting Data...</v>
      </c>
      <c r="T1213" t="str">
        <f>_xll.BDP("59447TSY Muni","LQA_LIQUIDITY_SCORE")</f>
        <v>#N/A Requesting Data...</v>
      </c>
    </row>
    <row r="1214" spans="1:20" x14ac:dyDescent="0.25">
      <c r="A1214" t="str">
        <f>_xll.BDP("499818P9 Muni","ID_CUSIP")</f>
        <v>#N/A Requesting Data...</v>
      </c>
      <c r="B1214" t="s">
        <v>315</v>
      </c>
      <c r="C1214" t="str">
        <f>_xll.BDP("499818P9 Muni","INSURANCE_STATUS")</f>
        <v>#N/A Requesting Data...</v>
      </c>
      <c r="D1214" t="str">
        <f>_xll.BDP("499818P9 Muni","STATE_CODE")</f>
        <v>#N/A Requesting Data...</v>
      </c>
      <c r="E1214" t="str">
        <f>_xll.BDP("499818P9 Muni","COUNTY_LOCATION_ISSUER")</f>
        <v>#N/A Requesting Data...</v>
      </c>
      <c r="F1214" t="str">
        <f>_xll.BDP("499818P9 Muni","DUR_ADJ_MID")</f>
        <v>#N/A Requesting Data...</v>
      </c>
      <c r="G1214" t="str">
        <f>_xll.BDP("499818P9 Muni","SPREAD_AT_ISSUANCE_TO_WORST")</f>
        <v>#N/A Requesting Data...</v>
      </c>
      <c r="H1214" t="str">
        <f>_xll.BDP("499818P9 Muni","ISSUE_DT")</f>
        <v>#N/A Requesting Data...</v>
      </c>
      <c r="I1214" t="str">
        <f>_xll.BDS("499818P9 Muni","MUNI_PURPOSE_SCHED", "aggregate=y")</f>
        <v>#N/A Requesting Data...</v>
      </c>
      <c r="J1214" t="str">
        <f>_xll.BDP("499818P9 Muni","CPN")</f>
        <v>#N/A Requesting Data...</v>
      </c>
      <c r="K1214" t="str">
        <f>_xll.BDP("499818P9 Muni","MATURITY")</f>
        <v>#N/A Requesting Data...</v>
      </c>
      <c r="L1214">
        <v>440000</v>
      </c>
      <c r="M1214" t="str">
        <f>_xll.BDP("499818P9 Muni","YIELD_ON_ISSUE_DATE")</f>
        <v>#N/A Requesting Data...</v>
      </c>
      <c r="N1214" t="str">
        <f>_xll.BDP("499818P9 Muni","YTW_SPREAD_TO_MATURITY_AT_ISSU")</f>
        <v>#N/A Requesting Data...</v>
      </c>
      <c r="O1214" t="str">
        <f>_xll.BDP("499818P9 Muni","BVAL_MID_YTM")</f>
        <v>#N/A Requesting Data...</v>
      </c>
      <c r="P1214" t="str">
        <f>_xll.BDP("499818P9 Muni","MUNI_TAX_PROV")</f>
        <v>#N/A Requesting Data...</v>
      </c>
      <c r="Q1214" t="str">
        <f>_xll.BDP("499818P9 Muni","MUNI_FED_TAX")</f>
        <v>#N/A Requesting Data...</v>
      </c>
      <c r="R1214" t="str">
        <f>_xll.BDP("499818P9 Muni","MUNI_MSRB_VOLUME")</f>
        <v>#N/A Requesting Data...</v>
      </c>
      <c r="S1214" t="str">
        <f>_xll.BDP("499818P9 Muni","BB_COMPOSITE")</f>
        <v>#N/A Requesting Data...</v>
      </c>
      <c r="T1214" t="str">
        <f>_xll.BDP("499818P9 Muni","LQA_LIQUIDITY_SCORE")</f>
        <v>#N/A Requesting Data...</v>
      </c>
    </row>
    <row r="1215" spans="1:20" x14ac:dyDescent="0.25">
      <c r="A1215" t="str">
        <f>_xll.BDP("499818Q3 Muni","ID_CUSIP")</f>
        <v>#N/A Requesting Data...</v>
      </c>
      <c r="B1215" t="s">
        <v>315</v>
      </c>
      <c r="C1215" t="str">
        <f>_xll.BDP("499818Q3 Muni","INSURANCE_STATUS")</f>
        <v>#N/A Requesting Data...</v>
      </c>
      <c r="D1215" t="str">
        <f>_xll.BDP("499818Q3 Muni","STATE_CODE")</f>
        <v>#N/A Requesting Data...</v>
      </c>
      <c r="E1215" t="str">
        <f>_xll.BDP("499818Q3 Muni","COUNTY_LOCATION_ISSUER")</f>
        <v>#N/A Requesting Data...</v>
      </c>
      <c r="F1215" t="str">
        <f>_xll.BDP("499818Q3 Muni","DUR_ADJ_MID")</f>
        <v>#N/A Requesting Data...</v>
      </c>
      <c r="G1215" t="str">
        <f>_xll.BDP("499818Q3 Muni","SPREAD_AT_ISSUANCE_TO_WORST")</f>
        <v>#N/A Requesting Data...</v>
      </c>
      <c r="H1215" t="str">
        <f>_xll.BDP("499818Q3 Muni","ISSUE_DT")</f>
        <v>#N/A Requesting Data...</v>
      </c>
      <c r="I1215" t="str">
        <f>_xll.BDS("499818Q3 Muni","MUNI_PURPOSE_SCHED", "aggregate=y")</f>
        <v>#N/A Requesting Data...</v>
      </c>
      <c r="J1215" t="str">
        <f>_xll.BDP("499818Q3 Muni","CPN")</f>
        <v>#N/A Requesting Data...</v>
      </c>
      <c r="K1215" t="str">
        <f>_xll.BDP("499818Q3 Muni","MATURITY")</f>
        <v>#N/A Requesting Data...</v>
      </c>
      <c r="L1215">
        <v>485000</v>
      </c>
      <c r="M1215" t="str">
        <f>_xll.BDP("499818Q3 Muni","YIELD_ON_ISSUE_DATE")</f>
        <v>#N/A Requesting Data...</v>
      </c>
      <c r="N1215" t="str">
        <f>_xll.BDP("499818Q3 Muni","YTW_SPREAD_TO_MATURITY_AT_ISSU")</f>
        <v>#N/A Requesting Data...</v>
      </c>
      <c r="O1215" t="str">
        <f>_xll.BDP("499818Q3 Muni","BVAL_MID_YTM")</f>
        <v>#N/A Requesting Data...</v>
      </c>
      <c r="P1215" t="str">
        <f>_xll.BDP("499818Q3 Muni","MUNI_TAX_PROV")</f>
        <v>#N/A Requesting Data...</v>
      </c>
      <c r="Q1215" t="str">
        <f>_xll.BDP("499818Q3 Muni","MUNI_FED_TAX")</f>
        <v>#N/A Requesting Data...</v>
      </c>
      <c r="R1215" t="str">
        <f>_xll.BDP("499818Q3 Muni","MUNI_MSRB_VOLUME")</f>
        <v>#N/A Requesting Data...</v>
      </c>
      <c r="S1215" t="str">
        <f>_xll.BDP("499818Q3 Muni","BB_COMPOSITE")</f>
        <v>#N/A Requesting Data...</v>
      </c>
      <c r="T1215" t="str">
        <f>_xll.BDP("499818Q3 Muni","LQA_LIQUIDITY_SCORE")</f>
        <v>#N/A Requesting Data...</v>
      </c>
    </row>
    <row r="1216" spans="1:20" x14ac:dyDescent="0.25">
      <c r="A1216" t="str">
        <f>_xll.BDP("365154RN Muni","ID_CUSIP")</f>
        <v>#N/A Requesting Data...</v>
      </c>
      <c r="B1216" t="s">
        <v>316</v>
      </c>
      <c r="C1216" t="str">
        <f>_xll.BDP("365154RN Muni","INSURANCE_STATUS")</f>
        <v>#N/A Requesting Data...</v>
      </c>
      <c r="D1216" t="str">
        <f>_xll.BDP("365154RN Muni","STATE_CODE")</f>
        <v>#N/A Requesting Data...</v>
      </c>
      <c r="E1216" t="str">
        <f>_xll.BDP("365154RN Muni","COUNTY_LOCATION_ISSUER")</f>
        <v>#N/A Requesting Data...</v>
      </c>
      <c r="F1216" t="str">
        <f>_xll.BDP("365154RN Muni","DUR_ADJ_MID")</f>
        <v>#N/A Requesting Data...</v>
      </c>
      <c r="G1216" t="str">
        <f>_xll.BDP("365154RN Muni","SPREAD_AT_ISSUANCE_TO_WORST")</f>
        <v>#N/A Requesting Data...</v>
      </c>
      <c r="H1216" t="str">
        <f>_xll.BDP("365154RN Muni","ISSUE_DT")</f>
        <v>#N/A Requesting Data...</v>
      </c>
      <c r="I1216" t="str">
        <f>_xll.BDS("365154RN Muni","MUNI_PURPOSE_SCHED", "aggregate=y")</f>
        <v>#N/A Requesting Data...</v>
      </c>
      <c r="J1216" t="str">
        <f>_xll.BDP("365154RN Muni","CPN")</f>
        <v>#N/A Requesting Data...</v>
      </c>
      <c r="K1216" t="str">
        <f>_xll.BDP("365154RN Muni","MATURITY")</f>
        <v>#N/A Requesting Data...</v>
      </c>
      <c r="L1216">
        <v>145000</v>
      </c>
      <c r="M1216" t="str">
        <f>_xll.BDP("365154RN Muni","YIELD_ON_ISSUE_DATE")</f>
        <v>#N/A Requesting Data...</v>
      </c>
      <c r="N1216" t="str">
        <f>_xll.BDP("365154RN Muni","YTW_SPREAD_TO_MATURITY_AT_ISSU")</f>
        <v>#N/A Requesting Data...</v>
      </c>
      <c r="O1216" t="str">
        <f>_xll.BDP("365154RN Muni","BVAL_MID_YTM")</f>
        <v>#N/A Requesting Data...</v>
      </c>
      <c r="P1216" t="str">
        <f>_xll.BDP("365154RN Muni","MUNI_TAX_PROV")</f>
        <v>#N/A Requesting Data...</v>
      </c>
      <c r="Q1216" t="str">
        <f>_xll.BDP("365154RN Muni","MUNI_FED_TAX")</f>
        <v>#N/A Requesting Data...</v>
      </c>
      <c r="R1216" t="str">
        <f>_xll.BDP("365154RN Muni","MUNI_MSRB_VOLUME")</f>
        <v>#N/A Requesting Data...</v>
      </c>
      <c r="S1216" t="str">
        <f>_xll.BDP("365154RN Muni","BB_COMPOSITE")</f>
        <v>#N/A Requesting Data...</v>
      </c>
      <c r="T1216" t="str">
        <f>_xll.BDP("365154RN Muni","LQA_LIQUIDITY_SCORE")</f>
        <v>#N/A Requesting Data...</v>
      </c>
    </row>
    <row r="1217" spans="1:20" x14ac:dyDescent="0.25">
      <c r="A1217" t="str">
        <f>_xll.BDP("365154RP Muni","ID_CUSIP")</f>
        <v>#N/A Requesting Data...</v>
      </c>
      <c r="B1217" t="s">
        <v>316</v>
      </c>
      <c r="C1217" t="str">
        <f>_xll.BDP("365154RP Muni","INSURANCE_STATUS")</f>
        <v>#N/A Requesting Data...</v>
      </c>
      <c r="D1217" t="str">
        <f>_xll.BDP("365154RP Muni","STATE_CODE")</f>
        <v>#N/A Requesting Data...</v>
      </c>
      <c r="E1217" t="str">
        <f>_xll.BDP("365154RP Muni","COUNTY_LOCATION_ISSUER")</f>
        <v>#N/A Requesting Data...</v>
      </c>
      <c r="F1217" t="str">
        <f>_xll.BDP("365154RP Muni","DUR_ADJ_MID")</f>
        <v>#N/A Requesting Data...</v>
      </c>
      <c r="G1217" t="str">
        <f>_xll.BDP("365154RP Muni","SPREAD_AT_ISSUANCE_TO_WORST")</f>
        <v>#N/A Requesting Data...</v>
      </c>
      <c r="H1217" t="str">
        <f>_xll.BDP("365154RP Muni","ISSUE_DT")</f>
        <v>#N/A Requesting Data...</v>
      </c>
      <c r="I1217" t="str">
        <f>_xll.BDS("365154RP Muni","MUNI_PURPOSE_SCHED", "aggregate=y")</f>
        <v>#N/A Requesting Data...</v>
      </c>
      <c r="J1217" t="str">
        <f>_xll.BDP("365154RP Muni","CPN")</f>
        <v>#N/A Requesting Data...</v>
      </c>
      <c r="K1217" t="str">
        <f>_xll.BDP("365154RP Muni","MATURITY")</f>
        <v>#N/A Requesting Data...</v>
      </c>
      <c r="L1217">
        <v>150000</v>
      </c>
      <c r="M1217" t="str">
        <f>_xll.BDP("365154RP Muni","YIELD_ON_ISSUE_DATE")</f>
        <v>#N/A Requesting Data...</v>
      </c>
      <c r="N1217" t="str">
        <f>_xll.BDP("365154RP Muni","YTW_SPREAD_TO_MATURITY_AT_ISSU")</f>
        <v>#N/A Requesting Data...</v>
      </c>
      <c r="O1217" t="str">
        <f>_xll.BDP("365154RP Muni","BVAL_MID_YTM")</f>
        <v>#N/A Requesting Data...</v>
      </c>
      <c r="P1217" t="str">
        <f>_xll.BDP("365154RP Muni","MUNI_TAX_PROV")</f>
        <v>#N/A Requesting Data...</v>
      </c>
      <c r="Q1217" t="str">
        <f>_xll.BDP("365154RP Muni","MUNI_FED_TAX")</f>
        <v>#N/A Requesting Data...</v>
      </c>
      <c r="R1217" t="str">
        <f>_xll.BDP("365154RP Muni","MUNI_MSRB_VOLUME")</f>
        <v>#N/A Requesting Data...</v>
      </c>
      <c r="S1217" t="str">
        <f>_xll.BDP("365154RP Muni","BB_COMPOSITE")</f>
        <v>#N/A Requesting Data...</v>
      </c>
      <c r="T1217" t="str">
        <f>_xll.BDP("365154RP Muni","LQA_LIQUIDITY_SCORE")</f>
        <v>#N/A Requesting Data...</v>
      </c>
    </row>
    <row r="1218" spans="1:20" x14ac:dyDescent="0.25">
      <c r="A1218" t="str">
        <f>_xll.BDP("365154RR Muni","ID_CUSIP")</f>
        <v>#N/A Requesting Data...</v>
      </c>
      <c r="B1218" t="s">
        <v>316</v>
      </c>
      <c r="C1218" t="str">
        <f>_xll.BDP("365154RR Muni","INSURANCE_STATUS")</f>
        <v>#N/A Requesting Data...</v>
      </c>
      <c r="D1218" t="str">
        <f>_xll.BDP("365154RR Muni","STATE_CODE")</f>
        <v>#N/A Requesting Data...</v>
      </c>
      <c r="E1218" t="str">
        <f>_xll.BDP("365154RR Muni","COUNTY_LOCATION_ISSUER")</f>
        <v>#N/A Requesting Data...</v>
      </c>
      <c r="F1218" t="str">
        <f>_xll.BDP("365154RR Muni","DUR_ADJ_MID")</f>
        <v>#N/A Requesting Data...</v>
      </c>
      <c r="G1218" t="str">
        <f>_xll.BDP("365154RR Muni","SPREAD_AT_ISSUANCE_TO_WORST")</f>
        <v>#N/A Requesting Data...</v>
      </c>
      <c r="H1218" t="str">
        <f>_xll.BDP("365154RR Muni","ISSUE_DT")</f>
        <v>#N/A Requesting Data...</v>
      </c>
      <c r="I1218" t="str">
        <f>_xll.BDS("365154RR Muni","MUNI_PURPOSE_SCHED", "aggregate=y")</f>
        <v>#N/A Requesting Data...</v>
      </c>
      <c r="J1218" t="str">
        <f>_xll.BDP("365154RR Muni","CPN")</f>
        <v>#N/A Requesting Data...</v>
      </c>
      <c r="K1218" t="str">
        <f>_xll.BDP("365154RR Muni","MATURITY")</f>
        <v>#N/A Requesting Data...</v>
      </c>
      <c r="L1218">
        <v>155000</v>
      </c>
      <c r="M1218" t="str">
        <f>_xll.BDP("365154RR Muni","YIELD_ON_ISSUE_DATE")</f>
        <v>#N/A Requesting Data...</v>
      </c>
      <c r="N1218" t="str">
        <f>_xll.BDP("365154RR Muni","YTW_SPREAD_TO_MATURITY_AT_ISSU")</f>
        <v>#N/A Requesting Data...</v>
      </c>
      <c r="O1218" t="str">
        <f>_xll.BDP("365154RR Muni","BVAL_MID_YTM")</f>
        <v>#N/A Requesting Data...</v>
      </c>
      <c r="P1218" t="str">
        <f>_xll.BDP("365154RR Muni","MUNI_TAX_PROV")</f>
        <v>#N/A Requesting Data...</v>
      </c>
      <c r="Q1218" t="str">
        <f>_xll.BDP("365154RR Muni","MUNI_FED_TAX")</f>
        <v>#N/A Requesting Data...</v>
      </c>
      <c r="R1218" t="str">
        <f>_xll.BDP("365154RR Muni","MUNI_MSRB_VOLUME")</f>
        <v>#N/A Requesting Data...</v>
      </c>
      <c r="S1218" t="str">
        <f>_xll.BDP("365154RR Muni","BB_COMPOSITE")</f>
        <v>#N/A Requesting Data...</v>
      </c>
      <c r="T1218" t="str">
        <f>_xll.BDP("365154RR Muni","LQA_LIQUIDITY_SCORE")</f>
        <v>#N/A Requesting Data...</v>
      </c>
    </row>
    <row r="1219" spans="1:20" x14ac:dyDescent="0.25">
      <c r="A1219" t="str">
        <f>_xll.BDP("36806PAR Muni","ID_CUSIP")</f>
        <v>#N/A Requesting Data...</v>
      </c>
      <c r="B1219" t="s">
        <v>290</v>
      </c>
      <c r="C1219" t="str">
        <f>_xll.BDP("36806PAR Muni","INSURANCE_STATUS")</f>
        <v>#N/A Requesting Data...</v>
      </c>
      <c r="D1219" t="str">
        <f>_xll.BDP("36806PAR Muni","STATE_CODE")</f>
        <v>#N/A Requesting Data...</v>
      </c>
      <c r="E1219" t="str">
        <f>_xll.BDP("36806PAR Muni","COUNTY_LOCATION_ISSUER")</f>
        <v>#N/A Requesting Data...</v>
      </c>
      <c r="F1219" t="str">
        <f>_xll.BDP("36806PAR Muni","DUR_ADJ_MID")</f>
        <v>#N/A Requesting Data...</v>
      </c>
      <c r="G1219" t="str">
        <f>_xll.BDP("36806PAR Muni","SPREAD_AT_ISSUANCE_TO_WORST")</f>
        <v>#N/A Requesting Data...</v>
      </c>
      <c r="H1219" t="str">
        <f>_xll.BDP("36806PAR Muni","ISSUE_DT")</f>
        <v>#N/A Requesting Data...</v>
      </c>
      <c r="I1219" t="str">
        <f>_xll.BDS("36806PAR Muni","MUNI_PURPOSE_SCHED", "aggregate=y")</f>
        <v>#N/A Requesting Data...</v>
      </c>
      <c r="J1219" t="str">
        <f>_xll.BDP("36806PAR Muni","CPN")</f>
        <v>#N/A Requesting Data...</v>
      </c>
      <c r="K1219" t="str">
        <f>_xll.BDP("36806PAR Muni","MATURITY")</f>
        <v>#N/A Requesting Data...</v>
      </c>
      <c r="L1219">
        <v>185000</v>
      </c>
      <c r="M1219" t="str">
        <f>_xll.BDP("36806PAR Muni","YIELD_ON_ISSUE_DATE")</f>
        <v>#N/A Requesting Data...</v>
      </c>
      <c r="N1219" t="str">
        <f>_xll.BDP("36806PAR Muni","YTW_SPREAD_TO_MATURITY_AT_ISSU")</f>
        <v>#N/A Requesting Data...</v>
      </c>
      <c r="O1219" t="str">
        <f>_xll.BDP("36806PAR Muni","BVAL_MID_YTM")</f>
        <v>#N/A Requesting Data...</v>
      </c>
      <c r="P1219" t="str">
        <f>_xll.BDP("36806PAR Muni","MUNI_TAX_PROV")</f>
        <v>#N/A Requesting Data...</v>
      </c>
      <c r="Q1219" t="str">
        <f>_xll.BDP("36806PAR Muni","MUNI_FED_TAX")</f>
        <v>#N/A Requesting Data...</v>
      </c>
      <c r="R1219" t="str">
        <f>_xll.BDP("36806PAR Muni","MUNI_MSRB_VOLUME")</f>
        <v>#N/A Requesting Data...</v>
      </c>
      <c r="S1219" t="str">
        <f>_xll.BDP("36806PAR Muni","BB_COMPOSITE")</f>
        <v>#N/A Requesting Data...</v>
      </c>
      <c r="T1219" t="str">
        <f>_xll.BDP("36806PAR Muni","LQA_LIQUIDITY_SCORE")</f>
        <v>#N/A Requesting Data...</v>
      </c>
    </row>
    <row r="1220" spans="1:20" x14ac:dyDescent="0.25">
      <c r="A1220" t="str">
        <f>_xll.BDP("36806PAS Muni","ID_CUSIP")</f>
        <v>#N/A Requesting Data...</v>
      </c>
      <c r="B1220" t="s">
        <v>290</v>
      </c>
      <c r="C1220" t="str">
        <f>_xll.BDP("36806PAS Muni","INSURANCE_STATUS")</f>
        <v>#N/A Requesting Data...</v>
      </c>
      <c r="D1220" t="str">
        <f>_xll.BDP("36806PAS Muni","STATE_CODE")</f>
        <v>#N/A Requesting Data...</v>
      </c>
      <c r="E1220" t="str">
        <f>_xll.BDP("36806PAS Muni","COUNTY_LOCATION_ISSUER")</f>
        <v>#N/A Requesting Data...</v>
      </c>
      <c r="F1220" t="str">
        <f>_xll.BDP("36806PAS Muni","DUR_ADJ_MID")</f>
        <v>#N/A Requesting Data...</v>
      </c>
      <c r="G1220" t="str">
        <f>_xll.BDP("36806PAS Muni","SPREAD_AT_ISSUANCE_TO_WORST")</f>
        <v>#N/A Requesting Data...</v>
      </c>
      <c r="H1220" t="str">
        <f>_xll.BDP("36806PAS Muni","ISSUE_DT")</f>
        <v>#N/A Requesting Data...</v>
      </c>
      <c r="I1220" t="str">
        <f>_xll.BDS("36806PAS Muni","MUNI_PURPOSE_SCHED", "aggregate=y")</f>
        <v>#N/A Requesting Data...</v>
      </c>
      <c r="J1220" t="str">
        <f>_xll.BDP("36806PAS Muni","CPN")</f>
        <v>#N/A Requesting Data...</v>
      </c>
      <c r="K1220" t="str">
        <f>_xll.BDP("36806PAS Muni","MATURITY")</f>
        <v>#N/A Requesting Data...</v>
      </c>
      <c r="L1220">
        <v>190000</v>
      </c>
      <c r="M1220" t="str">
        <f>_xll.BDP("36806PAS Muni","YIELD_ON_ISSUE_DATE")</f>
        <v>#N/A Requesting Data...</v>
      </c>
      <c r="N1220" t="str">
        <f>_xll.BDP("36806PAS Muni","YTW_SPREAD_TO_MATURITY_AT_ISSU")</f>
        <v>#N/A Requesting Data...</v>
      </c>
      <c r="O1220" t="str">
        <f>_xll.BDP("36806PAS Muni","BVAL_MID_YTM")</f>
        <v>#N/A Requesting Data...</v>
      </c>
      <c r="P1220" t="str">
        <f>_xll.BDP("36806PAS Muni","MUNI_TAX_PROV")</f>
        <v>#N/A Requesting Data...</v>
      </c>
      <c r="Q1220" t="str">
        <f>_xll.BDP("36806PAS Muni","MUNI_FED_TAX")</f>
        <v>#N/A Requesting Data...</v>
      </c>
      <c r="R1220" t="str">
        <f>_xll.BDP("36806PAS Muni","MUNI_MSRB_VOLUME")</f>
        <v>#N/A Requesting Data...</v>
      </c>
      <c r="S1220" t="str">
        <f>_xll.BDP("36806PAS Muni","BB_COMPOSITE")</f>
        <v>#N/A Requesting Data...</v>
      </c>
      <c r="T1220" t="str">
        <f>_xll.BDP("36806PAS Muni","LQA_LIQUIDITY_SCORE")</f>
        <v>#N/A Requesting Data...</v>
      </c>
    </row>
    <row r="1221" spans="1:20" x14ac:dyDescent="0.25">
      <c r="A1221" t="str">
        <f>_xll.BDP("371668RV Muni","ID_CUSIP")</f>
        <v>#N/A Requesting Data...</v>
      </c>
      <c r="B1221" t="s">
        <v>291</v>
      </c>
      <c r="C1221" t="str">
        <f>_xll.BDP("371668RV Muni","INSURANCE_STATUS")</f>
        <v>#N/A Requesting Data...</v>
      </c>
      <c r="D1221" t="str">
        <f>_xll.BDP("371668RV Muni","STATE_CODE")</f>
        <v>#N/A Requesting Data...</v>
      </c>
      <c r="E1221" t="str">
        <f>_xll.BDP("371668RV Muni","COUNTY_LOCATION_ISSUER")</f>
        <v>#N/A Requesting Data...</v>
      </c>
      <c r="F1221" t="str">
        <f>_xll.BDP("371668RV Muni","DUR_ADJ_MID")</f>
        <v>#N/A Requesting Data...</v>
      </c>
      <c r="G1221" t="str">
        <f>_xll.BDP("371668RV Muni","SPREAD_AT_ISSUANCE_TO_WORST")</f>
        <v>#N/A Requesting Data...</v>
      </c>
      <c r="H1221" t="str">
        <f>_xll.BDP("371668RV Muni","ISSUE_DT")</f>
        <v>#N/A Requesting Data...</v>
      </c>
      <c r="I1221" t="str">
        <f>_xll.BDS("371668RV Muni","MUNI_PURPOSE_SCHED", "aggregate=y")</f>
        <v>#N/A Requesting Data...</v>
      </c>
      <c r="J1221" t="str">
        <f>_xll.BDP("371668RV Muni","CPN")</f>
        <v>#N/A Requesting Data...</v>
      </c>
      <c r="K1221" t="str">
        <f>_xll.BDP("371668RV Muni","MATURITY")</f>
        <v>#N/A Requesting Data...</v>
      </c>
      <c r="L1221">
        <v>305000</v>
      </c>
      <c r="M1221" t="str">
        <f>_xll.BDP("371668RV Muni","YIELD_ON_ISSUE_DATE")</f>
        <v>#N/A Requesting Data...</v>
      </c>
      <c r="N1221" t="str">
        <f>_xll.BDP("371668RV Muni","YTW_SPREAD_TO_MATURITY_AT_ISSU")</f>
        <v>#N/A Requesting Data...</v>
      </c>
      <c r="O1221" t="str">
        <f>_xll.BDP("371668RV Muni","BVAL_MID_YTM")</f>
        <v>#N/A Requesting Data...</v>
      </c>
      <c r="P1221" t="str">
        <f>_xll.BDP("371668RV Muni","MUNI_TAX_PROV")</f>
        <v>#N/A Requesting Data...</v>
      </c>
      <c r="Q1221" t="str">
        <f>_xll.BDP("371668RV Muni","MUNI_FED_TAX")</f>
        <v>#N/A Requesting Data...</v>
      </c>
      <c r="R1221" t="str">
        <f>_xll.BDP("371668RV Muni","MUNI_MSRB_VOLUME")</f>
        <v>#N/A Requesting Data...</v>
      </c>
      <c r="S1221" t="str">
        <f>_xll.BDP("371668RV Muni","BB_COMPOSITE")</f>
        <v>#N/A Requesting Data...</v>
      </c>
      <c r="T1221" t="str">
        <f>_xll.BDP("371668RV Muni","LQA_LIQUIDITY_SCORE")</f>
        <v>#N/A Requesting Data...</v>
      </c>
    </row>
    <row r="1222" spans="1:20" x14ac:dyDescent="0.25">
      <c r="A1222" t="str">
        <f>_xll.BDP("371668RW Muni","ID_CUSIP")</f>
        <v>#N/A Requesting Data...</v>
      </c>
      <c r="B1222" t="s">
        <v>291</v>
      </c>
      <c r="C1222" t="str">
        <f>_xll.BDP("371668RW Muni","INSURANCE_STATUS")</f>
        <v>#N/A Requesting Data...</v>
      </c>
      <c r="D1222" t="str">
        <f>_xll.BDP("371668RW Muni","STATE_CODE")</f>
        <v>#N/A Requesting Data...</v>
      </c>
      <c r="E1222" t="str">
        <f>_xll.BDP("371668RW Muni","COUNTY_LOCATION_ISSUER")</f>
        <v>#N/A Requesting Data...</v>
      </c>
      <c r="F1222" t="str">
        <f>_xll.BDP("371668RW Muni","DUR_ADJ_MID")</f>
        <v>#N/A Requesting Data...</v>
      </c>
      <c r="G1222" t="str">
        <f>_xll.BDP("371668RW Muni","SPREAD_AT_ISSUANCE_TO_WORST")</f>
        <v>#N/A Requesting Data...</v>
      </c>
      <c r="H1222" t="str">
        <f>_xll.BDP("371668RW Muni","ISSUE_DT")</f>
        <v>#N/A Requesting Data...</v>
      </c>
      <c r="I1222" t="str">
        <f>_xll.BDS("371668RW Muni","MUNI_PURPOSE_SCHED", "aggregate=y")</f>
        <v>#N/A Requesting Data...</v>
      </c>
      <c r="J1222" t="str">
        <f>_xll.BDP("371668RW Muni","CPN")</f>
        <v>#N/A Requesting Data...</v>
      </c>
      <c r="K1222" t="str">
        <f>_xll.BDP("371668RW Muni","MATURITY")</f>
        <v>#N/A Requesting Data...</v>
      </c>
      <c r="L1222">
        <v>315000</v>
      </c>
      <c r="M1222" t="str">
        <f>_xll.BDP("371668RW Muni","YIELD_ON_ISSUE_DATE")</f>
        <v>#N/A Requesting Data...</v>
      </c>
      <c r="N1222" t="str">
        <f>_xll.BDP("371668RW Muni","YTW_SPREAD_TO_MATURITY_AT_ISSU")</f>
        <v>#N/A Requesting Data...</v>
      </c>
      <c r="O1222" t="str">
        <f>_xll.BDP("371668RW Muni","BVAL_MID_YTM")</f>
        <v>#N/A Requesting Data...</v>
      </c>
      <c r="P1222" t="str">
        <f>_xll.BDP("371668RW Muni","MUNI_TAX_PROV")</f>
        <v>#N/A Requesting Data...</v>
      </c>
      <c r="Q1222" t="str">
        <f>_xll.BDP("371668RW Muni","MUNI_FED_TAX")</f>
        <v>#N/A Requesting Data...</v>
      </c>
      <c r="R1222" t="str">
        <f>_xll.BDP("371668RW Muni","MUNI_MSRB_VOLUME")</f>
        <v>#N/A Requesting Data...</v>
      </c>
      <c r="S1222" t="str">
        <f>_xll.BDP("371668RW Muni","BB_COMPOSITE")</f>
        <v>#N/A Requesting Data...</v>
      </c>
      <c r="T1222" t="str">
        <f>_xll.BDP("371668RW Muni","LQA_LIQUIDITY_SCORE")</f>
        <v>#N/A Requesting Data...</v>
      </c>
    </row>
    <row r="1223" spans="1:20" x14ac:dyDescent="0.25">
      <c r="A1223" t="str">
        <f>_xll.BDP("371668RZ Muni","ID_CUSIP")</f>
        <v>#N/A Requesting Data...</v>
      </c>
      <c r="B1223" t="s">
        <v>291</v>
      </c>
      <c r="C1223" t="str">
        <f>_xll.BDP("371668RZ Muni","INSURANCE_STATUS")</f>
        <v>#N/A Requesting Data...</v>
      </c>
      <c r="D1223" t="str">
        <f>_xll.BDP("371668RZ Muni","STATE_CODE")</f>
        <v>#N/A Requesting Data...</v>
      </c>
      <c r="E1223" t="str">
        <f>_xll.BDP("371668RZ Muni","COUNTY_LOCATION_ISSUER")</f>
        <v>#N/A Requesting Data...</v>
      </c>
      <c r="F1223" t="str">
        <f>_xll.BDP("371668RZ Muni","DUR_ADJ_MID")</f>
        <v>#N/A Requesting Data...</v>
      </c>
      <c r="G1223" t="str">
        <f>_xll.BDP("371668RZ Muni","SPREAD_AT_ISSUANCE_TO_WORST")</f>
        <v>#N/A Requesting Data...</v>
      </c>
      <c r="H1223" t="str">
        <f>_xll.BDP("371668RZ Muni","ISSUE_DT")</f>
        <v>#N/A Requesting Data...</v>
      </c>
      <c r="I1223" t="str">
        <f>_xll.BDS("371668RZ Muni","MUNI_PURPOSE_SCHED", "aggregate=y")</f>
        <v>#N/A Requesting Data...</v>
      </c>
      <c r="J1223" t="str">
        <f>_xll.BDP("371668RZ Muni","CPN")</f>
        <v>#N/A Requesting Data...</v>
      </c>
      <c r="K1223" t="str">
        <f>_xll.BDP("371668RZ Muni","MATURITY")</f>
        <v>#N/A Requesting Data...</v>
      </c>
      <c r="L1223">
        <v>350000</v>
      </c>
      <c r="M1223" t="str">
        <f>_xll.BDP("371668RZ Muni","YIELD_ON_ISSUE_DATE")</f>
        <v>#N/A Requesting Data...</v>
      </c>
      <c r="N1223" t="str">
        <f>_xll.BDP("371668RZ Muni","YTW_SPREAD_TO_MATURITY_AT_ISSU")</f>
        <v>#N/A Requesting Data...</v>
      </c>
      <c r="O1223" t="str">
        <f>_xll.BDP("371668RZ Muni","BVAL_MID_YTM")</f>
        <v>#N/A Requesting Data...</v>
      </c>
      <c r="P1223" t="str">
        <f>_xll.BDP("371668RZ Muni","MUNI_TAX_PROV")</f>
        <v>#N/A Requesting Data...</v>
      </c>
      <c r="Q1223" t="str">
        <f>_xll.BDP("371668RZ Muni","MUNI_FED_TAX")</f>
        <v>#N/A Requesting Data...</v>
      </c>
      <c r="R1223" t="str">
        <f>_xll.BDP("371668RZ Muni","MUNI_MSRB_VOLUME")</f>
        <v>#N/A Requesting Data...</v>
      </c>
      <c r="S1223" t="str">
        <f>_xll.BDP("371668RZ Muni","BB_COMPOSITE")</f>
        <v>#N/A Requesting Data...</v>
      </c>
      <c r="T1223" t="str">
        <f>_xll.BDP("371668RZ Muni","LQA_LIQUIDITY_SCORE")</f>
        <v>#N/A Requesting Data...</v>
      </c>
    </row>
    <row r="1224" spans="1:20" x14ac:dyDescent="0.25">
      <c r="A1224" t="str">
        <f>_xll.BDP("526030Y8 Muni","ID_CUSIP")</f>
        <v>#N/A Requesting Data...</v>
      </c>
      <c r="B1224" t="s">
        <v>317</v>
      </c>
      <c r="C1224" t="str">
        <f>_xll.BDP("526030Y8 Muni","INSURANCE_STATUS")</f>
        <v>#N/A Requesting Data...</v>
      </c>
      <c r="D1224" t="str">
        <f>_xll.BDP("526030Y8 Muni","STATE_CODE")</f>
        <v>#N/A Requesting Data...</v>
      </c>
      <c r="E1224" t="str">
        <f>_xll.BDP("526030Y8 Muni","COUNTY_LOCATION_ISSUER")</f>
        <v>#N/A Requesting Data...</v>
      </c>
      <c r="F1224" t="str">
        <f>_xll.BDP("526030Y8 Muni","DUR_ADJ_MID")</f>
        <v>#N/A Requesting Data...</v>
      </c>
      <c r="G1224" t="str">
        <f>_xll.BDP("526030Y8 Muni","SPREAD_AT_ISSUANCE_TO_WORST")</f>
        <v>#N/A Requesting Data...</v>
      </c>
      <c r="H1224" t="str">
        <f>_xll.BDP("526030Y8 Muni","ISSUE_DT")</f>
        <v>#N/A Requesting Data...</v>
      </c>
      <c r="I1224" t="str">
        <f>_xll.BDS("526030Y8 Muni","MUNI_PURPOSE_SCHED", "aggregate=y")</f>
        <v>#N/A Requesting Data...</v>
      </c>
      <c r="J1224" t="str">
        <f>_xll.BDP("526030Y8 Muni","CPN")</f>
        <v>#N/A Requesting Data...</v>
      </c>
      <c r="K1224" t="str">
        <f>_xll.BDP("526030Y8 Muni","MATURITY")</f>
        <v>#N/A Requesting Data...</v>
      </c>
      <c r="L1224">
        <v>980000</v>
      </c>
      <c r="M1224" t="str">
        <f>_xll.BDP("526030Y8 Muni","YIELD_ON_ISSUE_DATE")</f>
        <v>#N/A Requesting Data...</v>
      </c>
      <c r="N1224" t="str">
        <f>_xll.BDP("526030Y8 Muni","YTW_SPREAD_TO_MATURITY_AT_ISSU")</f>
        <v>#N/A Requesting Data...</v>
      </c>
      <c r="O1224" t="str">
        <f>_xll.BDP("526030Y8 Muni","BVAL_MID_YTM")</f>
        <v>#N/A Requesting Data...</v>
      </c>
      <c r="P1224" t="str">
        <f>_xll.BDP("526030Y8 Muni","MUNI_TAX_PROV")</f>
        <v>#N/A Requesting Data...</v>
      </c>
      <c r="Q1224" t="str">
        <f>_xll.BDP("526030Y8 Muni","MUNI_FED_TAX")</f>
        <v>#N/A Requesting Data...</v>
      </c>
      <c r="R1224" t="str">
        <f>_xll.BDP("526030Y8 Muni","MUNI_MSRB_VOLUME")</f>
        <v>#N/A Requesting Data...</v>
      </c>
      <c r="S1224" t="str">
        <f>_xll.BDP("526030Y8 Muni","BB_COMPOSITE")</f>
        <v>#N/A Requesting Data...</v>
      </c>
      <c r="T1224" t="str">
        <f>_xll.BDP("526030Y8 Muni","LQA_LIQUIDITY_SCORE")</f>
        <v>#N/A Requesting Data...</v>
      </c>
    </row>
    <row r="1225" spans="1:20" x14ac:dyDescent="0.25">
      <c r="A1225" t="str">
        <f>_xll.BDP("526030Y9 Muni","ID_CUSIP")</f>
        <v>#N/A Requesting Data...</v>
      </c>
      <c r="B1225" t="s">
        <v>317</v>
      </c>
      <c r="C1225" t="str">
        <f>_xll.BDP("526030Y9 Muni","INSURANCE_STATUS")</f>
        <v>#N/A Requesting Data...</v>
      </c>
      <c r="D1225" t="str">
        <f>_xll.BDP("526030Y9 Muni","STATE_CODE")</f>
        <v>#N/A Requesting Data...</v>
      </c>
      <c r="E1225" t="str">
        <f>_xll.BDP("526030Y9 Muni","COUNTY_LOCATION_ISSUER")</f>
        <v>#N/A Requesting Data...</v>
      </c>
      <c r="F1225" t="str">
        <f>_xll.BDP("526030Y9 Muni","DUR_ADJ_MID")</f>
        <v>#N/A Requesting Data...</v>
      </c>
      <c r="G1225" t="str">
        <f>_xll.BDP("526030Y9 Muni","SPREAD_AT_ISSUANCE_TO_WORST")</f>
        <v>#N/A Requesting Data...</v>
      </c>
      <c r="H1225" t="str">
        <f>_xll.BDP("526030Y9 Muni","ISSUE_DT")</f>
        <v>#N/A Requesting Data...</v>
      </c>
      <c r="I1225" t="str">
        <f>_xll.BDS("526030Y9 Muni","MUNI_PURPOSE_SCHED", "aggregate=y")</f>
        <v>#N/A Requesting Data...</v>
      </c>
      <c r="J1225" t="str">
        <f>_xll.BDP("526030Y9 Muni","CPN")</f>
        <v>#N/A Requesting Data...</v>
      </c>
      <c r="K1225" t="str">
        <f>_xll.BDP("526030Y9 Muni","MATURITY")</f>
        <v>#N/A Requesting Data...</v>
      </c>
      <c r="L1225">
        <v>1025000</v>
      </c>
      <c r="M1225" t="str">
        <f>_xll.BDP("526030Y9 Muni","YIELD_ON_ISSUE_DATE")</f>
        <v>#N/A Requesting Data...</v>
      </c>
      <c r="N1225" t="str">
        <f>_xll.BDP("526030Y9 Muni","YTW_SPREAD_TO_MATURITY_AT_ISSU")</f>
        <v>#N/A Requesting Data...</v>
      </c>
      <c r="O1225" t="str">
        <f>_xll.BDP("526030Y9 Muni","BVAL_MID_YTM")</f>
        <v>#N/A Requesting Data...</v>
      </c>
      <c r="P1225" t="str">
        <f>_xll.BDP("526030Y9 Muni","MUNI_TAX_PROV")</f>
        <v>#N/A Requesting Data...</v>
      </c>
      <c r="Q1225" t="str">
        <f>_xll.BDP("526030Y9 Muni","MUNI_FED_TAX")</f>
        <v>#N/A Requesting Data...</v>
      </c>
      <c r="R1225" t="str">
        <f>_xll.BDP("526030Y9 Muni","MUNI_MSRB_VOLUME")</f>
        <v>#N/A Requesting Data...</v>
      </c>
      <c r="S1225" t="str">
        <f>_xll.BDP("526030Y9 Muni","BB_COMPOSITE")</f>
        <v>#N/A Requesting Data...</v>
      </c>
      <c r="T1225" t="str">
        <f>_xll.BDP("526030Y9 Muni","LQA_LIQUIDITY_SCORE")</f>
        <v>#N/A Requesting Data...</v>
      </c>
    </row>
    <row r="1226" spans="1:20" x14ac:dyDescent="0.25">
      <c r="A1226" t="str">
        <f>_xll.BDP("5288352T Muni","ID_CUSIP")</f>
        <v>#N/A Requesting Data...</v>
      </c>
      <c r="B1226" t="s">
        <v>318</v>
      </c>
      <c r="C1226" t="str">
        <f>_xll.BDP("5288352T Muni","INSURANCE_STATUS")</f>
        <v>#N/A Requesting Data...</v>
      </c>
      <c r="D1226" t="str">
        <f>_xll.BDP("5288352T Muni","STATE_CODE")</f>
        <v>#N/A Requesting Data...</v>
      </c>
      <c r="E1226" t="str">
        <f>_xll.BDP("5288352T Muni","COUNTY_LOCATION_ISSUER")</f>
        <v>#N/A Requesting Data...</v>
      </c>
      <c r="F1226" t="str">
        <f>_xll.BDP("5288352T Muni","DUR_ADJ_MID")</f>
        <v>#N/A Requesting Data...</v>
      </c>
      <c r="G1226" t="str">
        <f>_xll.BDP("5288352T Muni","SPREAD_AT_ISSUANCE_TO_WORST")</f>
        <v>#N/A Requesting Data...</v>
      </c>
      <c r="H1226" t="str">
        <f>_xll.BDP("5288352T Muni","ISSUE_DT")</f>
        <v>#N/A Requesting Data...</v>
      </c>
      <c r="I1226" t="str">
        <f>_xll.BDS("5288352T Muni","MUNI_PURPOSE_SCHED", "aggregate=y")</f>
        <v>#N/A Requesting Data...</v>
      </c>
      <c r="J1226" t="str">
        <f>_xll.BDP("5288352T Muni","CPN")</f>
        <v>#N/A Requesting Data...</v>
      </c>
      <c r="K1226" t="str">
        <f>_xll.BDP("5288352T Muni","MATURITY")</f>
        <v>#N/A Requesting Data...</v>
      </c>
      <c r="L1226">
        <v>420000</v>
      </c>
      <c r="M1226" t="str">
        <f>_xll.BDP("5288352T Muni","YIELD_ON_ISSUE_DATE")</f>
        <v>#N/A Requesting Data...</v>
      </c>
      <c r="N1226" t="str">
        <f>_xll.BDP("5288352T Muni","YTW_SPREAD_TO_MATURITY_AT_ISSU")</f>
        <v>#N/A Requesting Data...</v>
      </c>
      <c r="O1226" t="str">
        <f>_xll.BDP("5288352T Muni","BVAL_MID_YTM")</f>
        <v>#N/A Requesting Data...</v>
      </c>
      <c r="P1226" t="str">
        <f>_xll.BDP("5288352T Muni","MUNI_TAX_PROV")</f>
        <v>#N/A Requesting Data...</v>
      </c>
      <c r="Q1226" t="str">
        <f>_xll.BDP("5288352T Muni","MUNI_FED_TAX")</f>
        <v>#N/A Requesting Data...</v>
      </c>
      <c r="R1226" t="str">
        <f>_xll.BDP("5288352T Muni","MUNI_MSRB_VOLUME")</f>
        <v>#N/A Requesting Data...</v>
      </c>
      <c r="S1226" t="str">
        <f>_xll.BDP("5288352T Muni","BB_COMPOSITE")</f>
        <v>#N/A Requesting Data...</v>
      </c>
      <c r="T1226" t="str">
        <f>_xll.BDP("5288352T Muni","LQA_LIQUIDITY_SCORE")</f>
        <v>#N/A Requesting Data...</v>
      </c>
    </row>
    <row r="1227" spans="1:20" x14ac:dyDescent="0.25">
      <c r="A1227" t="str">
        <f>_xll.BDP("5288352V Muni","ID_CUSIP")</f>
        <v>#N/A Requesting Data...</v>
      </c>
      <c r="B1227" t="s">
        <v>318</v>
      </c>
      <c r="C1227" t="str">
        <f>_xll.BDP("5288352V Muni","INSURANCE_STATUS")</f>
        <v>#N/A Requesting Data...</v>
      </c>
      <c r="D1227" t="str">
        <f>_xll.BDP("5288352V Muni","STATE_CODE")</f>
        <v>#N/A Requesting Data...</v>
      </c>
      <c r="E1227" t="str">
        <f>_xll.BDP("5288352V Muni","COUNTY_LOCATION_ISSUER")</f>
        <v>#N/A Requesting Data...</v>
      </c>
      <c r="F1227" t="str">
        <f>_xll.BDP("5288352V Muni","DUR_ADJ_MID")</f>
        <v>#N/A Requesting Data...</v>
      </c>
      <c r="G1227" t="str">
        <f>_xll.BDP("5288352V Muni","SPREAD_AT_ISSUANCE_TO_WORST")</f>
        <v>#N/A Requesting Data...</v>
      </c>
      <c r="H1227" t="str">
        <f>_xll.BDP("5288352V Muni","ISSUE_DT")</f>
        <v>#N/A Requesting Data...</v>
      </c>
      <c r="I1227" t="str">
        <f>_xll.BDS("5288352V Muni","MUNI_PURPOSE_SCHED", "aggregate=y")</f>
        <v>#N/A Requesting Data...</v>
      </c>
      <c r="J1227" t="str">
        <f>_xll.BDP("5288352V Muni","CPN")</f>
        <v>#N/A Requesting Data...</v>
      </c>
      <c r="K1227" t="str">
        <f>_xll.BDP("5288352V Muni","MATURITY")</f>
        <v>#N/A Requesting Data...</v>
      </c>
      <c r="L1227">
        <v>455000</v>
      </c>
      <c r="M1227" t="str">
        <f>_xll.BDP("5288352V Muni","YIELD_ON_ISSUE_DATE")</f>
        <v>#N/A Requesting Data...</v>
      </c>
      <c r="N1227" t="str">
        <f>_xll.BDP("5288352V Muni","YTW_SPREAD_TO_MATURITY_AT_ISSU")</f>
        <v>#N/A Requesting Data...</v>
      </c>
      <c r="O1227" t="str">
        <f>_xll.BDP("5288352V Muni","BVAL_MID_YTM")</f>
        <v>#N/A Requesting Data...</v>
      </c>
      <c r="P1227" t="str">
        <f>_xll.BDP("5288352V Muni","MUNI_TAX_PROV")</f>
        <v>#N/A Requesting Data...</v>
      </c>
      <c r="Q1227" t="str">
        <f>_xll.BDP("5288352V Muni","MUNI_FED_TAX")</f>
        <v>#N/A Requesting Data...</v>
      </c>
      <c r="R1227" t="str">
        <f>_xll.BDP("5288352V Muni","MUNI_MSRB_VOLUME")</f>
        <v>#N/A Requesting Data...</v>
      </c>
      <c r="S1227" t="str">
        <f>_xll.BDP("5288352V Muni","BB_COMPOSITE")</f>
        <v>#N/A Requesting Data...</v>
      </c>
      <c r="T1227" t="str">
        <f>_xll.BDP("5288352V Muni","LQA_LIQUIDITY_SCORE")</f>
        <v>#N/A Requesting Data...</v>
      </c>
    </row>
    <row r="1228" spans="1:20" x14ac:dyDescent="0.25">
      <c r="A1228" t="str">
        <f>_xll.BDP("5288352X Muni","ID_CUSIP")</f>
        <v>#N/A Requesting Data...</v>
      </c>
      <c r="B1228" t="s">
        <v>318</v>
      </c>
      <c r="C1228" t="str">
        <f>_xll.BDP("5288352X Muni","INSURANCE_STATUS")</f>
        <v>#N/A Requesting Data...</v>
      </c>
      <c r="D1228" t="str">
        <f>_xll.BDP("5288352X Muni","STATE_CODE")</f>
        <v>#N/A Requesting Data...</v>
      </c>
      <c r="E1228" t="str">
        <f>_xll.BDP("5288352X Muni","COUNTY_LOCATION_ISSUER")</f>
        <v>#N/A Requesting Data...</v>
      </c>
      <c r="F1228" t="str">
        <f>_xll.BDP("5288352X Muni","DUR_ADJ_MID")</f>
        <v>#N/A Requesting Data...</v>
      </c>
      <c r="G1228" t="str">
        <f>_xll.BDP("5288352X Muni","SPREAD_AT_ISSUANCE_TO_WORST")</f>
        <v>#N/A Requesting Data...</v>
      </c>
      <c r="H1228" t="str">
        <f>_xll.BDP("5288352X Muni","ISSUE_DT")</f>
        <v>#N/A Requesting Data...</v>
      </c>
      <c r="I1228" t="str">
        <f>_xll.BDS("5288352X Muni","MUNI_PURPOSE_SCHED", "aggregate=y")</f>
        <v>#N/A Requesting Data...</v>
      </c>
      <c r="J1228" t="str">
        <f>_xll.BDP("5288352X Muni","CPN")</f>
        <v>#N/A Requesting Data...</v>
      </c>
      <c r="K1228" t="str">
        <f>_xll.BDP("5288352X Muni","MATURITY")</f>
        <v>#N/A Requesting Data...</v>
      </c>
      <c r="L1228">
        <v>495000</v>
      </c>
      <c r="M1228" t="str">
        <f>_xll.BDP("5288352X Muni","YIELD_ON_ISSUE_DATE")</f>
        <v>#N/A Requesting Data...</v>
      </c>
      <c r="N1228" t="str">
        <f>_xll.BDP("5288352X Muni","YTW_SPREAD_TO_MATURITY_AT_ISSU")</f>
        <v>#N/A Requesting Data...</v>
      </c>
      <c r="O1228" t="str">
        <f>_xll.BDP("5288352X Muni","BVAL_MID_YTM")</f>
        <v>#N/A Requesting Data...</v>
      </c>
      <c r="P1228" t="str">
        <f>_xll.BDP("5288352X Muni","MUNI_TAX_PROV")</f>
        <v>#N/A Requesting Data...</v>
      </c>
      <c r="Q1228" t="str">
        <f>_xll.BDP("5288352X Muni","MUNI_FED_TAX")</f>
        <v>#N/A Requesting Data...</v>
      </c>
      <c r="R1228" t="str">
        <f>_xll.BDP("5288352X Muni","MUNI_MSRB_VOLUME")</f>
        <v>#N/A Requesting Data...</v>
      </c>
      <c r="S1228" t="str">
        <f>_xll.BDP("5288352X Muni","BB_COMPOSITE")</f>
        <v>#N/A Requesting Data...</v>
      </c>
      <c r="T1228" t="str">
        <f>_xll.BDP("5288352X Muni","LQA_LIQUIDITY_SCORE")</f>
        <v>#N/A Requesting Data...</v>
      </c>
    </row>
    <row r="1229" spans="1:20" x14ac:dyDescent="0.25">
      <c r="A1229" t="str">
        <f>_xll.BDP("526030Y6 Muni","ID_CUSIP")</f>
        <v>#N/A Requesting Data...</v>
      </c>
      <c r="B1229" t="s">
        <v>317</v>
      </c>
      <c r="C1229" t="str">
        <f>_xll.BDP("526030Y6 Muni","INSURANCE_STATUS")</f>
        <v>#N/A Requesting Data...</v>
      </c>
      <c r="D1229" t="str">
        <f>_xll.BDP("526030Y6 Muni","STATE_CODE")</f>
        <v>#N/A Requesting Data...</v>
      </c>
      <c r="E1229" t="str">
        <f>_xll.BDP("526030Y6 Muni","COUNTY_LOCATION_ISSUER")</f>
        <v>#N/A Requesting Data...</v>
      </c>
      <c r="F1229" t="str">
        <f>_xll.BDP("526030Y6 Muni","DUR_ADJ_MID")</f>
        <v>#N/A Requesting Data...</v>
      </c>
      <c r="G1229" t="str">
        <f>_xll.BDP("526030Y6 Muni","SPREAD_AT_ISSUANCE_TO_WORST")</f>
        <v>#N/A Requesting Data...</v>
      </c>
      <c r="H1229" t="str">
        <f>_xll.BDP("526030Y6 Muni","ISSUE_DT")</f>
        <v>#N/A Requesting Data...</v>
      </c>
      <c r="I1229" t="str">
        <f>_xll.BDS("526030Y6 Muni","MUNI_PURPOSE_SCHED", "aggregate=y")</f>
        <v>#N/A Requesting Data...</v>
      </c>
      <c r="J1229" t="str">
        <f>_xll.BDP("526030Y6 Muni","CPN")</f>
        <v>#N/A Requesting Data...</v>
      </c>
      <c r="K1229" t="str">
        <f>_xll.BDP("526030Y6 Muni","MATURITY")</f>
        <v>#N/A Requesting Data...</v>
      </c>
      <c r="L1229">
        <v>2435000</v>
      </c>
      <c r="M1229" t="str">
        <f>_xll.BDP("526030Y6 Muni","YIELD_ON_ISSUE_DATE")</f>
        <v>#N/A Requesting Data...</v>
      </c>
      <c r="N1229" t="str">
        <f>_xll.BDP("526030Y6 Muni","YTW_SPREAD_TO_MATURITY_AT_ISSU")</f>
        <v>#N/A Requesting Data...</v>
      </c>
      <c r="O1229" t="str">
        <f>_xll.BDP("526030Y6 Muni","BVAL_MID_YTM")</f>
        <v>#N/A Requesting Data...</v>
      </c>
      <c r="P1229" t="str">
        <f>_xll.BDP("526030Y6 Muni","MUNI_TAX_PROV")</f>
        <v>#N/A Requesting Data...</v>
      </c>
      <c r="Q1229" t="str">
        <f>_xll.BDP("526030Y6 Muni","MUNI_FED_TAX")</f>
        <v>#N/A Requesting Data...</v>
      </c>
      <c r="R1229" t="str">
        <f>_xll.BDP("526030Y6 Muni","MUNI_MSRB_VOLUME")</f>
        <v>#N/A Requesting Data...</v>
      </c>
      <c r="S1229" t="str">
        <f>_xll.BDP("526030Y6 Muni","BB_COMPOSITE")</f>
        <v>#N/A Requesting Data...</v>
      </c>
      <c r="T1229" t="str">
        <f>_xll.BDP("526030Y6 Muni","LQA_LIQUIDITY_SCORE")</f>
        <v>#N/A Requesting Data...</v>
      </c>
    </row>
    <row r="1230" spans="1:20" x14ac:dyDescent="0.25">
      <c r="A1230" t="str">
        <f>_xll.BDP("526030Y7 Muni","ID_CUSIP")</f>
        <v>#N/A Requesting Data...</v>
      </c>
      <c r="B1230" t="s">
        <v>317</v>
      </c>
      <c r="C1230" t="str">
        <f>_xll.BDP("526030Y7 Muni","INSURANCE_STATUS")</f>
        <v>#N/A Requesting Data...</v>
      </c>
      <c r="D1230" t="str">
        <f>_xll.BDP("526030Y7 Muni","STATE_CODE")</f>
        <v>#N/A Requesting Data...</v>
      </c>
      <c r="E1230" t="str">
        <f>_xll.BDP("526030Y7 Muni","COUNTY_LOCATION_ISSUER")</f>
        <v>#N/A Requesting Data...</v>
      </c>
      <c r="F1230" t="str">
        <f>_xll.BDP("526030Y7 Muni","DUR_ADJ_MID")</f>
        <v>#N/A Requesting Data...</v>
      </c>
      <c r="G1230" t="str">
        <f>_xll.BDP("526030Y7 Muni","SPREAD_AT_ISSUANCE_TO_WORST")</f>
        <v>#N/A Requesting Data...</v>
      </c>
      <c r="H1230" t="str">
        <f>_xll.BDP("526030Y7 Muni","ISSUE_DT")</f>
        <v>#N/A Requesting Data...</v>
      </c>
      <c r="I1230" t="str">
        <f>_xll.BDS("526030Y7 Muni","MUNI_PURPOSE_SCHED", "aggregate=y")</f>
        <v>#N/A Requesting Data...</v>
      </c>
      <c r="J1230" t="str">
        <f>_xll.BDP("526030Y7 Muni","CPN")</f>
        <v>#N/A Requesting Data...</v>
      </c>
      <c r="K1230" t="str">
        <f>_xll.BDP("526030Y7 Muni","MATURITY")</f>
        <v>#N/A Requesting Data...</v>
      </c>
      <c r="L1230">
        <v>2160000</v>
      </c>
      <c r="M1230" t="str">
        <f>_xll.BDP("526030Y7 Muni","YIELD_ON_ISSUE_DATE")</f>
        <v>#N/A Requesting Data...</v>
      </c>
      <c r="N1230" t="str">
        <f>_xll.BDP("526030Y7 Muni","YTW_SPREAD_TO_MATURITY_AT_ISSU")</f>
        <v>#N/A Requesting Data...</v>
      </c>
      <c r="O1230" t="str">
        <f>_xll.BDP("526030Y7 Muni","BVAL_MID_YTM")</f>
        <v>#N/A Requesting Data...</v>
      </c>
      <c r="P1230" t="str">
        <f>_xll.BDP("526030Y7 Muni","MUNI_TAX_PROV")</f>
        <v>#N/A Requesting Data...</v>
      </c>
      <c r="Q1230" t="str">
        <f>_xll.BDP("526030Y7 Muni","MUNI_FED_TAX")</f>
        <v>#N/A Requesting Data...</v>
      </c>
      <c r="R1230" t="str">
        <f>_xll.BDP("526030Y7 Muni","MUNI_MSRB_VOLUME")</f>
        <v>#N/A Requesting Data...</v>
      </c>
      <c r="S1230" t="str">
        <f>_xll.BDP("526030Y7 Muni","BB_COMPOSITE")</f>
        <v>#N/A Requesting Data...</v>
      </c>
      <c r="T1230" t="str">
        <f>_xll.BDP("526030Y7 Muni","LQA_LIQUIDITY_SCORE")</f>
        <v>#N/A Requesting Data...</v>
      </c>
    </row>
    <row r="1231" spans="1:20" x14ac:dyDescent="0.25">
      <c r="A1231" t="str">
        <f>_xll.BDP("526030Z2 Muni","ID_CUSIP")</f>
        <v>#N/A Requesting Data...</v>
      </c>
      <c r="B1231" t="s">
        <v>317</v>
      </c>
      <c r="C1231" t="str">
        <f>_xll.BDP("526030Z2 Muni","INSURANCE_STATUS")</f>
        <v>#N/A Requesting Data...</v>
      </c>
      <c r="D1231" t="str">
        <f>_xll.BDP("526030Z2 Muni","STATE_CODE")</f>
        <v>#N/A Requesting Data...</v>
      </c>
      <c r="E1231" t="str">
        <f>_xll.BDP("526030Z2 Muni","COUNTY_LOCATION_ISSUER")</f>
        <v>#N/A Requesting Data...</v>
      </c>
      <c r="F1231" t="str">
        <f>_xll.BDP("526030Z2 Muni","DUR_ADJ_MID")</f>
        <v>#N/A Requesting Data...</v>
      </c>
      <c r="G1231" t="str">
        <f>_xll.BDP("526030Z2 Muni","SPREAD_AT_ISSUANCE_TO_WORST")</f>
        <v>#N/A Requesting Data...</v>
      </c>
      <c r="H1231" t="str">
        <f>_xll.BDP("526030Z2 Muni","ISSUE_DT")</f>
        <v>#N/A Requesting Data...</v>
      </c>
      <c r="I1231" t="str">
        <f>_xll.BDS("526030Z2 Muni","MUNI_PURPOSE_SCHED", "aggregate=y")</f>
        <v>#N/A Requesting Data...</v>
      </c>
      <c r="J1231" t="str">
        <f>_xll.BDP("526030Z2 Muni","CPN")</f>
        <v>#N/A Requesting Data...</v>
      </c>
      <c r="K1231" t="str">
        <f>_xll.BDP("526030Z2 Muni","MATURITY")</f>
        <v>#N/A Requesting Data...</v>
      </c>
      <c r="L1231">
        <v>1065000</v>
      </c>
      <c r="M1231" t="str">
        <f>_xll.BDP("526030Z2 Muni","YIELD_ON_ISSUE_DATE")</f>
        <v>#N/A Requesting Data...</v>
      </c>
      <c r="N1231" t="str">
        <f>_xll.BDP("526030Z2 Muni","YTW_SPREAD_TO_MATURITY_AT_ISSU")</f>
        <v>#N/A Requesting Data...</v>
      </c>
      <c r="O1231" t="str">
        <f>_xll.BDP("526030Z2 Muni","BVAL_MID_YTM")</f>
        <v>#N/A Requesting Data...</v>
      </c>
      <c r="P1231" t="str">
        <f>_xll.BDP("526030Z2 Muni","MUNI_TAX_PROV")</f>
        <v>#N/A Requesting Data...</v>
      </c>
      <c r="Q1231" t="str">
        <f>_xll.BDP("526030Z2 Muni","MUNI_FED_TAX")</f>
        <v>#N/A Requesting Data...</v>
      </c>
      <c r="R1231" t="str">
        <f>_xll.BDP("526030Z2 Muni","MUNI_MSRB_VOLUME")</f>
        <v>#N/A Requesting Data...</v>
      </c>
      <c r="S1231" t="str">
        <f>_xll.BDP("526030Z2 Muni","BB_COMPOSITE")</f>
        <v>#N/A Requesting Data...</v>
      </c>
      <c r="T1231" t="str">
        <f>_xll.BDP("526030Z2 Muni","LQA_LIQUIDITY_SCORE")</f>
        <v>#N/A Requesting Data...</v>
      </c>
    </row>
    <row r="1232" spans="1:20" x14ac:dyDescent="0.25">
      <c r="A1232" t="str">
        <f>_xll.BDP("598119AX Muni","ID_CUSIP")</f>
        <v>#N/A Requesting Data...</v>
      </c>
      <c r="B1232" t="s">
        <v>319</v>
      </c>
      <c r="C1232" t="str">
        <f>_xll.BDP("598119AX Muni","INSURANCE_STATUS")</f>
        <v>#N/A Requesting Data...</v>
      </c>
      <c r="D1232" t="str">
        <f>_xll.BDP("598119AX Muni","STATE_CODE")</f>
        <v>#N/A Requesting Data...</v>
      </c>
      <c r="E1232" t="str">
        <f>_xll.BDP("598119AX Muni","COUNTY_LOCATION_ISSUER")</f>
        <v>#N/A Requesting Data...</v>
      </c>
      <c r="F1232" t="str">
        <f>_xll.BDP("598119AX Muni","DUR_ADJ_MID")</f>
        <v>#N/A Requesting Data...</v>
      </c>
      <c r="G1232" t="str">
        <f>_xll.BDP("598119AX Muni","SPREAD_AT_ISSUANCE_TO_WORST")</f>
        <v>#N/A Requesting Data...</v>
      </c>
      <c r="H1232" t="str">
        <f>_xll.BDP("598119AX Muni","ISSUE_DT")</f>
        <v>#N/A Requesting Data...</v>
      </c>
      <c r="I1232" t="str">
        <f>_xll.BDS("598119AX Muni","MUNI_PURPOSE_SCHED", "aggregate=y")</f>
        <v>#N/A Requesting Data...</v>
      </c>
      <c r="J1232" t="str">
        <f>_xll.BDP("598119AX Muni","CPN")</f>
        <v>#N/A Requesting Data...</v>
      </c>
      <c r="K1232" t="str">
        <f>_xll.BDP("598119AX Muni","MATURITY")</f>
        <v>#N/A Requesting Data...</v>
      </c>
      <c r="L1232">
        <v>170000</v>
      </c>
      <c r="M1232" t="str">
        <f>_xll.BDP("598119AX Muni","YIELD_ON_ISSUE_DATE")</f>
        <v>#N/A Requesting Data...</v>
      </c>
      <c r="N1232" t="str">
        <f>_xll.BDP("598119AX Muni","YTW_SPREAD_TO_MATURITY_AT_ISSU")</f>
        <v>#N/A Requesting Data...</v>
      </c>
      <c r="O1232" t="str">
        <f>_xll.BDP("598119AX Muni","BVAL_MID_YTM")</f>
        <v>#N/A Requesting Data...</v>
      </c>
      <c r="P1232" t="str">
        <f>_xll.BDP("598119AX Muni","MUNI_TAX_PROV")</f>
        <v>#N/A Requesting Data...</v>
      </c>
      <c r="Q1232" t="str">
        <f>_xll.BDP("598119AX Muni","MUNI_FED_TAX")</f>
        <v>#N/A Requesting Data...</v>
      </c>
      <c r="R1232" t="str">
        <f>_xll.BDP("598119AX Muni","MUNI_MSRB_VOLUME")</f>
        <v>#N/A Requesting Data...</v>
      </c>
      <c r="S1232" t="str">
        <f>_xll.BDP("598119AX Muni","BB_COMPOSITE")</f>
        <v>#N/A Requesting Data...</v>
      </c>
      <c r="T1232" t="str">
        <f>_xll.BDP("598119AX Muni","LQA_LIQUIDITY_SCORE")</f>
        <v>#N/A Requesting Data...</v>
      </c>
    </row>
    <row r="1233" spans="1:20" x14ac:dyDescent="0.25">
      <c r="A1233" t="str">
        <f>_xll.BDP("598119AY Muni","ID_CUSIP")</f>
        <v>#N/A Requesting Data...</v>
      </c>
      <c r="B1233" t="s">
        <v>319</v>
      </c>
      <c r="C1233" t="str">
        <f>_xll.BDP("598119AY Muni","INSURANCE_STATUS")</f>
        <v>#N/A Requesting Data...</v>
      </c>
      <c r="D1233" t="str">
        <f>_xll.BDP("598119AY Muni","STATE_CODE")</f>
        <v>#N/A Requesting Data...</v>
      </c>
      <c r="E1233" t="str">
        <f>_xll.BDP("598119AY Muni","COUNTY_LOCATION_ISSUER")</f>
        <v>#N/A Requesting Data...</v>
      </c>
      <c r="F1233" t="str">
        <f>_xll.BDP("598119AY Muni","DUR_ADJ_MID")</f>
        <v>#N/A Requesting Data...</v>
      </c>
      <c r="G1233" t="str">
        <f>_xll.BDP("598119AY Muni","SPREAD_AT_ISSUANCE_TO_WORST")</f>
        <v>#N/A Requesting Data...</v>
      </c>
      <c r="H1233" t="str">
        <f>_xll.BDP("598119AY Muni","ISSUE_DT")</f>
        <v>#N/A Requesting Data...</v>
      </c>
      <c r="I1233" t="str">
        <f>_xll.BDS("598119AY Muni","MUNI_PURPOSE_SCHED", "aggregate=y")</f>
        <v>#N/A Requesting Data...</v>
      </c>
      <c r="J1233" t="str">
        <f>_xll.BDP("598119AY Muni","CPN")</f>
        <v>#N/A Requesting Data...</v>
      </c>
      <c r="K1233" t="str">
        <f>_xll.BDP("598119AY Muni","MATURITY")</f>
        <v>#N/A Requesting Data...</v>
      </c>
      <c r="L1233">
        <v>180000</v>
      </c>
      <c r="M1233" t="str">
        <f>_xll.BDP("598119AY Muni","YIELD_ON_ISSUE_DATE")</f>
        <v>#N/A Requesting Data...</v>
      </c>
      <c r="N1233" t="str">
        <f>_xll.BDP("598119AY Muni","YTW_SPREAD_TO_MATURITY_AT_ISSU")</f>
        <v>#N/A Requesting Data...</v>
      </c>
      <c r="O1233" t="str">
        <f>_xll.BDP("598119AY Muni","BVAL_MID_YTM")</f>
        <v>#N/A Requesting Data...</v>
      </c>
      <c r="P1233" t="str">
        <f>_xll.BDP("598119AY Muni","MUNI_TAX_PROV")</f>
        <v>#N/A Requesting Data...</v>
      </c>
      <c r="Q1233" t="str">
        <f>_xll.BDP("598119AY Muni","MUNI_FED_TAX")</f>
        <v>#N/A Requesting Data...</v>
      </c>
      <c r="R1233" t="str">
        <f>_xll.BDP("598119AY Muni","MUNI_MSRB_VOLUME")</f>
        <v>#N/A Requesting Data...</v>
      </c>
      <c r="S1233" t="str">
        <f>_xll.BDP("598119AY Muni","BB_COMPOSITE")</f>
        <v>#N/A Requesting Data...</v>
      </c>
      <c r="T1233" t="str">
        <f>_xll.BDP("598119AY Muni","LQA_LIQUIDITY_SCORE")</f>
        <v>#N/A Requesting Data...</v>
      </c>
    </row>
    <row r="1234" spans="1:20" x14ac:dyDescent="0.25">
      <c r="A1234" t="str">
        <f>_xll.BDP("596119KQ Muni","ID_CUSIP")</f>
        <v>#N/A Requesting Data...</v>
      </c>
      <c r="B1234" t="s">
        <v>320</v>
      </c>
      <c r="C1234" t="str">
        <f>_xll.BDP("596119KQ Muni","INSURANCE_STATUS")</f>
        <v>#N/A Requesting Data...</v>
      </c>
      <c r="D1234" t="str">
        <f>_xll.BDP("596119KQ Muni","STATE_CODE")</f>
        <v>#N/A Requesting Data...</v>
      </c>
      <c r="E1234" t="str">
        <f>_xll.BDP("596119KQ Muni","COUNTY_LOCATION_ISSUER")</f>
        <v>#N/A Requesting Data...</v>
      </c>
      <c r="F1234" t="str">
        <f>_xll.BDP("596119KQ Muni","DUR_ADJ_MID")</f>
        <v>#N/A Requesting Data...</v>
      </c>
      <c r="G1234" t="str">
        <f>_xll.BDP("596119KQ Muni","SPREAD_AT_ISSUANCE_TO_WORST")</f>
        <v>#N/A Requesting Data...</v>
      </c>
      <c r="H1234" t="str">
        <f>_xll.BDP("596119KQ Muni","ISSUE_DT")</f>
        <v>#N/A Requesting Data...</v>
      </c>
      <c r="I1234" t="str">
        <f>_xll.BDS("596119KQ Muni","MUNI_PURPOSE_SCHED", "aggregate=y")</f>
        <v>#N/A Requesting Data...</v>
      </c>
      <c r="J1234" t="str">
        <f>_xll.BDP("596119KQ Muni","CPN")</f>
        <v>#N/A Requesting Data...</v>
      </c>
      <c r="K1234" t="str">
        <f>_xll.BDP("596119KQ Muni","MATURITY")</f>
        <v>#N/A Requesting Data...</v>
      </c>
      <c r="L1234">
        <v>55000</v>
      </c>
      <c r="M1234" t="str">
        <f>_xll.BDP("596119KQ Muni","YIELD_ON_ISSUE_DATE")</f>
        <v>#N/A Requesting Data...</v>
      </c>
      <c r="N1234" t="str">
        <f>_xll.BDP("596119KQ Muni","YTW_SPREAD_TO_MATURITY_AT_ISSU")</f>
        <v>#N/A Requesting Data...</v>
      </c>
      <c r="O1234" t="str">
        <f>_xll.BDP("596119KQ Muni","BVAL_MID_YTM")</f>
        <v>#N/A Requesting Data...</v>
      </c>
      <c r="P1234" t="str">
        <f>_xll.BDP("596119KQ Muni","MUNI_TAX_PROV")</f>
        <v>#N/A Requesting Data...</v>
      </c>
      <c r="Q1234" t="str">
        <f>_xll.BDP("596119KQ Muni","MUNI_FED_TAX")</f>
        <v>#N/A Requesting Data...</v>
      </c>
      <c r="R1234" t="str">
        <f>_xll.BDP("596119KQ Muni","MUNI_MSRB_VOLUME")</f>
        <v>#N/A Requesting Data...</v>
      </c>
      <c r="S1234" t="str">
        <f>_xll.BDP("596119KQ Muni","BB_COMPOSITE")</f>
        <v>#N/A Requesting Data...</v>
      </c>
      <c r="T1234" t="str">
        <f>_xll.BDP("596119KQ Muni","LQA_LIQUIDITY_SCORE")</f>
        <v>#N/A Requesting Data...</v>
      </c>
    </row>
    <row r="1235" spans="1:20" x14ac:dyDescent="0.25">
      <c r="A1235" t="str">
        <f>_xll.BDP("596119KR Muni","ID_CUSIP")</f>
        <v>#N/A Requesting Data...</v>
      </c>
      <c r="B1235" t="s">
        <v>320</v>
      </c>
      <c r="C1235" t="str">
        <f>_xll.BDP("596119KR Muni","INSURANCE_STATUS")</f>
        <v>#N/A Requesting Data...</v>
      </c>
      <c r="D1235" t="str">
        <f>_xll.BDP("596119KR Muni","STATE_CODE")</f>
        <v>#N/A Requesting Data...</v>
      </c>
      <c r="E1235" t="str">
        <f>_xll.BDP("596119KR Muni","COUNTY_LOCATION_ISSUER")</f>
        <v>#N/A Requesting Data...</v>
      </c>
      <c r="F1235" t="str">
        <f>_xll.BDP("596119KR Muni","DUR_ADJ_MID")</f>
        <v>#N/A Requesting Data...</v>
      </c>
      <c r="G1235" t="str">
        <f>_xll.BDP("596119KR Muni","SPREAD_AT_ISSUANCE_TO_WORST")</f>
        <v>#N/A Requesting Data...</v>
      </c>
      <c r="H1235" t="str">
        <f>_xll.BDP("596119KR Muni","ISSUE_DT")</f>
        <v>#N/A Requesting Data...</v>
      </c>
      <c r="I1235" t="str">
        <f>_xll.BDS("596119KR Muni","MUNI_PURPOSE_SCHED", "aggregate=y")</f>
        <v>#N/A Requesting Data...</v>
      </c>
      <c r="J1235" t="str">
        <f>_xll.BDP("596119KR Muni","CPN")</f>
        <v>#N/A Requesting Data...</v>
      </c>
      <c r="K1235" t="str">
        <f>_xll.BDP("596119KR Muni","MATURITY")</f>
        <v>#N/A Requesting Data...</v>
      </c>
      <c r="L1235">
        <v>55000</v>
      </c>
      <c r="M1235" t="str">
        <f>_xll.BDP("596119KR Muni","YIELD_ON_ISSUE_DATE")</f>
        <v>#N/A Requesting Data...</v>
      </c>
      <c r="N1235" t="str">
        <f>_xll.BDP("596119KR Muni","YTW_SPREAD_TO_MATURITY_AT_ISSU")</f>
        <v>#N/A Requesting Data...</v>
      </c>
      <c r="O1235" t="str">
        <f>_xll.BDP("596119KR Muni","BVAL_MID_YTM")</f>
        <v>#N/A Requesting Data...</v>
      </c>
      <c r="P1235" t="str">
        <f>_xll.BDP("596119KR Muni","MUNI_TAX_PROV")</f>
        <v>#N/A Requesting Data...</v>
      </c>
      <c r="Q1235" t="str">
        <f>_xll.BDP("596119KR Muni","MUNI_FED_TAX")</f>
        <v>#N/A Requesting Data...</v>
      </c>
      <c r="R1235" t="str">
        <f>_xll.BDP("596119KR Muni","MUNI_MSRB_VOLUME")</f>
        <v>#N/A Requesting Data...</v>
      </c>
      <c r="S1235" t="str">
        <f>_xll.BDP("596119KR Muni","BB_COMPOSITE")</f>
        <v>#N/A Requesting Data...</v>
      </c>
      <c r="T1235" t="str">
        <f>_xll.BDP("596119KR Muni","LQA_LIQUIDITY_SCORE")</f>
        <v>#N/A Requesting Data...</v>
      </c>
    </row>
    <row r="1236" spans="1:20" x14ac:dyDescent="0.25">
      <c r="A1236" t="str">
        <f>_xll.BDP("560194VW Muni","ID_CUSIP")</f>
        <v>#N/A Requesting Data...</v>
      </c>
      <c r="B1236" t="s">
        <v>321</v>
      </c>
      <c r="C1236" t="str">
        <f>_xll.BDP("560194VW Muni","INSURANCE_STATUS")</f>
        <v>#N/A Requesting Data...</v>
      </c>
      <c r="D1236" t="str">
        <f>_xll.BDP("560194VW Muni","STATE_CODE")</f>
        <v>#N/A Requesting Data...</v>
      </c>
      <c r="E1236" t="str">
        <f>_xll.BDP("560194VW Muni","COUNTY_LOCATION_ISSUER")</f>
        <v>#N/A Requesting Data...</v>
      </c>
      <c r="F1236" t="str">
        <f>_xll.BDP("560194VW Muni","DUR_ADJ_MID")</f>
        <v>#N/A Requesting Data...</v>
      </c>
      <c r="G1236" t="str">
        <f>_xll.BDP("560194VW Muni","SPREAD_AT_ISSUANCE_TO_WORST")</f>
        <v>#N/A Requesting Data...</v>
      </c>
      <c r="H1236" t="str">
        <f>_xll.BDP("560194VW Muni","ISSUE_DT")</f>
        <v>#N/A Requesting Data...</v>
      </c>
      <c r="I1236" t="str">
        <f>_xll.BDS("560194VW Muni","MUNI_PURPOSE_SCHED", "aggregate=y")</f>
        <v>#N/A Requesting Data...</v>
      </c>
      <c r="J1236" t="str">
        <f>_xll.BDP("560194VW Muni","CPN")</f>
        <v>#N/A Requesting Data...</v>
      </c>
      <c r="K1236" t="str">
        <f>_xll.BDP("560194VW Muni","MATURITY")</f>
        <v>#N/A Requesting Data...</v>
      </c>
      <c r="L1236">
        <v>580000</v>
      </c>
      <c r="M1236" t="str">
        <f>_xll.BDP("560194VW Muni","YIELD_ON_ISSUE_DATE")</f>
        <v>#N/A Requesting Data...</v>
      </c>
      <c r="N1236" t="str">
        <f>_xll.BDP("560194VW Muni","YTW_SPREAD_TO_MATURITY_AT_ISSU")</f>
        <v>#N/A Requesting Data...</v>
      </c>
      <c r="O1236" t="str">
        <f>_xll.BDP("560194VW Muni","BVAL_MID_YTM")</f>
        <v>#N/A Requesting Data...</v>
      </c>
      <c r="P1236" t="str">
        <f>_xll.BDP("560194VW Muni","MUNI_TAX_PROV")</f>
        <v>#N/A Requesting Data...</v>
      </c>
      <c r="Q1236" t="str">
        <f>_xll.BDP("560194VW Muni","MUNI_FED_TAX")</f>
        <v>#N/A Requesting Data...</v>
      </c>
      <c r="R1236" t="str">
        <f>_xll.BDP("560194VW Muni","MUNI_MSRB_VOLUME")</f>
        <v>#N/A Requesting Data...</v>
      </c>
      <c r="S1236" t="str">
        <f>_xll.BDP("560194VW Muni","BB_COMPOSITE")</f>
        <v>#N/A Requesting Data...</v>
      </c>
      <c r="T1236" t="str">
        <f>_xll.BDP("560194VW Muni","LQA_LIQUIDITY_SCORE")</f>
        <v>#N/A Requesting Data...</v>
      </c>
    </row>
    <row r="1237" spans="1:20" x14ac:dyDescent="0.25">
      <c r="A1237" t="str">
        <f>_xll.BDP("60082QAE Muni","ID_CUSIP")</f>
        <v>#N/A Requesting Data...</v>
      </c>
      <c r="B1237" t="s">
        <v>322</v>
      </c>
      <c r="C1237" t="str">
        <f>_xll.BDP("60082QAE Muni","INSURANCE_STATUS")</f>
        <v>#N/A Requesting Data...</v>
      </c>
      <c r="D1237" t="str">
        <f>_xll.BDP("60082QAE Muni","STATE_CODE")</f>
        <v>#N/A Requesting Data...</v>
      </c>
      <c r="E1237" t="str">
        <f>_xll.BDP("60082QAE Muni","COUNTY_LOCATION_ISSUER")</f>
        <v>#N/A Requesting Data...</v>
      </c>
      <c r="F1237" t="str">
        <f>_xll.BDP("60082QAE Muni","DUR_ADJ_MID")</f>
        <v>#N/A Requesting Data...</v>
      </c>
      <c r="G1237" t="str">
        <f>_xll.BDP("60082QAE Muni","SPREAD_AT_ISSUANCE_TO_WORST")</f>
        <v>#N/A Requesting Data...</v>
      </c>
      <c r="H1237" t="str">
        <f>_xll.BDP("60082QAE Muni","ISSUE_DT")</f>
        <v>#N/A Requesting Data...</v>
      </c>
      <c r="I1237" t="str">
        <f>_xll.BDS("60082QAE Muni","MUNI_PURPOSE_SCHED", "aggregate=y")</f>
        <v>#N/A Requesting Data...</v>
      </c>
      <c r="J1237" t="str">
        <f>_xll.BDP("60082QAE Muni","CPN")</f>
        <v>#N/A Requesting Data...</v>
      </c>
      <c r="K1237" t="str">
        <f>_xll.BDP("60082QAE Muni","MATURITY")</f>
        <v>#N/A Requesting Data...</v>
      </c>
      <c r="L1237">
        <v>205000</v>
      </c>
      <c r="M1237" t="str">
        <f>_xll.BDP("60082QAE Muni","YIELD_ON_ISSUE_DATE")</f>
        <v>#N/A Requesting Data...</v>
      </c>
      <c r="N1237" t="str">
        <f>_xll.BDP("60082QAE Muni","YTW_SPREAD_TO_MATURITY_AT_ISSU")</f>
        <v>#N/A Requesting Data...</v>
      </c>
      <c r="O1237" t="str">
        <f>_xll.BDP("60082QAE Muni","BVAL_MID_YTM")</f>
        <v>#N/A Requesting Data...</v>
      </c>
      <c r="P1237" t="str">
        <f>_xll.BDP("60082QAE Muni","MUNI_TAX_PROV")</f>
        <v>#N/A Requesting Data...</v>
      </c>
      <c r="Q1237" t="str">
        <f>_xll.BDP("60082QAE Muni","MUNI_FED_TAX")</f>
        <v>#N/A Requesting Data...</v>
      </c>
      <c r="R1237" t="str">
        <f>_xll.BDP("60082QAE Muni","MUNI_MSRB_VOLUME")</f>
        <v>#N/A Requesting Data...</v>
      </c>
      <c r="S1237" t="str">
        <f>_xll.BDP("60082QAE Muni","BB_COMPOSITE")</f>
        <v>#N/A Requesting Data...</v>
      </c>
      <c r="T1237" t="str">
        <f>_xll.BDP("60082QAE Muni","LQA_LIQUIDITY_SCORE")</f>
        <v>#N/A Requesting Data...</v>
      </c>
    </row>
    <row r="1238" spans="1:20" x14ac:dyDescent="0.25">
      <c r="A1238" t="str">
        <f>_xll.BDP("60082QAF Muni","ID_CUSIP")</f>
        <v>#N/A Requesting Data...</v>
      </c>
      <c r="B1238" t="s">
        <v>322</v>
      </c>
      <c r="C1238" t="str">
        <f>_xll.BDP("60082QAF Muni","INSURANCE_STATUS")</f>
        <v>#N/A Requesting Data...</v>
      </c>
      <c r="D1238" t="str">
        <f>_xll.BDP("60082QAF Muni","STATE_CODE")</f>
        <v>#N/A Requesting Data...</v>
      </c>
      <c r="E1238" t="str">
        <f>_xll.BDP("60082QAF Muni","COUNTY_LOCATION_ISSUER")</f>
        <v>#N/A Requesting Data...</v>
      </c>
      <c r="F1238" t="str">
        <f>_xll.BDP("60082QAF Muni","DUR_ADJ_MID")</f>
        <v>#N/A Requesting Data...</v>
      </c>
      <c r="G1238" t="str">
        <f>_xll.BDP("60082QAF Muni","SPREAD_AT_ISSUANCE_TO_WORST")</f>
        <v>#N/A Requesting Data...</v>
      </c>
      <c r="H1238" t="str">
        <f>_xll.BDP("60082QAF Muni","ISSUE_DT")</f>
        <v>#N/A Requesting Data...</v>
      </c>
      <c r="I1238" t="str">
        <f>_xll.BDS("60082QAF Muni","MUNI_PURPOSE_SCHED", "aggregate=y")</f>
        <v>#N/A Requesting Data...</v>
      </c>
      <c r="J1238" t="str">
        <f>_xll.BDP("60082QAF Muni","CPN")</f>
        <v>#N/A Requesting Data...</v>
      </c>
      <c r="K1238" t="str">
        <f>_xll.BDP("60082QAF Muni","MATURITY")</f>
        <v>#N/A Requesting Data...</v>
      </c>
      <c r="L1238">
        <v>215000</v>
      </c>
      <c r="M1238" t="str">
        <f>_xll.BDP("60082QAF Muni","YIELD_ON_ISSUE_DATE")</f>
        <v>#N/A Requesting Data...</v>
      </c>
      <c r="N1238" t="str">
        <f>_xll.BDP("60082QAF Muni","YTW_SPREAD_TO_MATURITY_AT_ISSU")</f>
        <v>#N/A Requesting Data...</v>
      </c>
      <c r="O1238" t="str">
        <f>_xll.BDP("60082QAF Muni","BVAL_MID_YTM")</f>
        <v>#N/A Requesting Data...</v>
      </c>
      <c r="P1238" t="str">
        <f>_xll.BDP("60082QAF Muni","MUNI_TAX_PROV")</f>
        <v>#N/A Requesting Data...</v>
      </c>
      <c r="Q1238" t="str">
        <f>_xll.BDP("60082QAF Muni","MUNI_FED_TAX")</f>
        <v>#N/A Requesting Data...</v>
      </c>
      <c r="R1238" t="str">
        <f>_xll.BDP("60082QAF Muni","MUNI_MSRB_VOLUME")</f>
        <v>#N/A Requesting Data...</v>
      </c>
      <c r="S1238" t="str">
        <f>_xll.BDP("60082QAF Muni","BB_COMPOSITE")</f>
        <v>#N/A Requesting Data...</v>
      </c>
      <c r="T1238" t="str">
        <f>_xll.BDP("60082QAF Muni","LQA_LIQUIDITY_SCORE")</f>
        <v>#N/A Requesting Data...</v>
      </c>
    </row>
    <row r="1239" spans="1:20" x14ac:dyDescent="0.25">
      <c r="A1239" t="str">
        <f>_xll.BDP("60082QAG Muni","ID_CUSIP")</f>
        <v>#N/A Requesting Data...</v>
      </c>
      <c r="B1239" t="s">
        <v>322</v>
      </c>
      <c r="C1239" t="str">
        <f>_xll.BDP("60082QAG Muni","INSURANCE_STATUS")</f>
        <v>#N/A Requesting Data...</v>
      </c>
      <c r="D1239" t="str">
        <f>_xll.BDP("60082QAG Muni","STATE_CODE")</f>
        <v>#N/A Requesting Data...</v>
      </c>
      <c r="E1239" t="str">
        <f>_xll.BDP("60082QAG Muni","COUNTY_LOCATION_ISSUER")</f>
        <v>#N/A Requesting Data...</v>
      </c>
      <c r="F1239" t="str">
        <f>_xll.BDP("60082QAG Muni","DUR_ADJ_MID")</f>
        <v>#N/A Requesting Data...</v>
      </c>
      <c r="G1239" t="str">
        <f>_xll.BDP("60082QAG Muni","SPREAD_AT_ISSUANCE_TO_WORST")</f>
        <v>#N/A Requesting Data...</v>
      </c>
      <c r="H1239" t="str">
        <f>_xll.BDP("60082QAG Muni","ISSUE_DT")</f>
        <v>#N/A Requesting Data...</v>
      </c>
      <c r="I1239" t="str">
        <f>_xll.BDS("60082QAG Muni","MUNI_PURPOSE_SCHED", "aggregate=y")</f>
        <v>#N/A Requesting Data...</v>
      </c>
      <c r="J1239" t="str">
        <f>_xll.BDP("60082QAG Muni","CPN")</f>
        <v>#N/A Requesting Data...</v>
      </c>
      <c r="K1239" t="str">
        <f>_xll.BDP("60082QAG Muni","MATURITY")</f>
        <v>#N/A Requesting Data...</v>
      </c>
      <c r="L1239">
        <v>225000</v>
      </c>
      <c r="M1239" t="str">
        <f>_xll.BDP("60082QAG Muni","YIELD_ON_ISSUE_DATE")</f>
        <v>#N/A Requesting Data...</v>
      </c>
      <c r="N1239" t="str">
        <f>_xll.BDP("60082QAG Muni","YTW_SPREAD_TO_MATURITY_AT_ISSU")</f>
        <v>#N/A Requesting Data...</v>
      </c>
      <c r="O1239" t="str">
        <f>_xll.BDP("60082QAG Muni","BVAL_MID_YTM")</f>
        <v>#N/A Requesting Data...</v>
      </c>
      <c r="P1239" t="str">
        <f>_xll.BDP("60082QAG Muni","MUNI_TAX_PROV")</f>
        <v>#N/A Requesting Data...</v>
      </c>
      <c r="Q1239" t="str">
        <f>_xll.BDP("60082QAG Muni","MUNI_FED_TAX")</f>
        <v>#N/A Requesting Data...</v>
      </c>
      <c r="R1239" t="str">
        <f>_xll.BDP("60082QAG Muni","MUNI_MSRB_VOLUME")</f>
        <v>#N/A Requesting Data...</v>
      </c>
      <c r="S1239" t="str">
        <f>_xll.BDP("60082QAG Muni","BB_COMPOSITE")</f>
        <v>#N/A Requesting Data...</v>
      </c>
      <c r="T1239" t="str">
        <f>_xll.BDP("60082QAG Muni","LQA_LIQUIDITY_SCORE")</f>
        <v>#N/A Requesting Data...</v>
      </c>
    </row>
    <row r="1240" spans="1:20" x14ac:dyDescent="0.25">
      <c r="A1240" t="str">
        <f>_xll.BDP("60082QAH Muni","ID_CUSIP")</f>
        <v>#N/A Requesting Data...</v>
      </c>
      <c r="B1240" t="s">
        <v>322</v>
      </c>
      <c r="C1240" t="str">
        <f>_xll.BDP("60082QAH Muni","INSURANCE_STATUS")</f>
        <v>#N/A Requesting Data...</v>
      </c>
      <c r="D1240" t="str">
        <f>_xll.BDP("60082QAH Muni","STATE_CODE")</f>
        <v>#N/A Requesting Data...</v>
      </c>
      <c r="E1240" t="str">
        <f>_xll.BDP("60082QAH Muni","COUNTY_LOCATION_ISSUER")</f>
        <v>#N/A Requesting Data...</v>
      </c>
      <c r="F1240" t="str">
        <f>_xll.BDP("60082QAH Muni","DUR_ADJ_MID")</f>
        <v>#N/A Requesting Data...</v>
      </c>
      <c r="G1240" t="str">
        <f>_xll.BDP("60082QAH Muni","SPREAD_AT_ISSUANCE_TO_WORST")</f>
        <v>#N/A Requesting Data...</v>
      </c>
      <c r="H1240" t="str">
        <f>_xll.BDP("60082QAH Muni","ISSUE_DT")</f>
        <v>#N/A Requesting Data...</v>
      </c>
      <c r="I1240" t="str">
        <f>_xll.BDS("60082QAH Muni","MUNI_PURPOSE_SCHED", "aggregate=y")</f>
        <v>#N/A Requesting Data...</v>
      </c>
      <c r="J1240" t="str">
        <f>_xll.BDP("60082QAH Muni","CPN")</f>
        <v>#N/A Requesting Data...</v>
      </c>
      <c r="K1240" t="str">
        <f>_xll.BDP("60082QAH Muni","MATURITY")</f>
        <v>#N/A Requesting Data...</v>
      </c>
      <c r="L1240">
        <v>230000</v>
      </c>
      <c r="M1240" t="str">
        <f>_xll.BDP("60082QAH Muni","YIELD_ON_ISSUE_DATE")</f>
        <v>#N/A Requesting Data...</v>
      </c>
      <c r="N1240" t="str">
        <f>_xll.BDP("60082QAH Muni","YTW_SPREAD_TO_MATURITY_AT_ISSU")</f>
        <v>#N/A Requesting Data...</v>
      </c>
      <c r="O1240" t="str">
        <f>_xll.BDP("60082QAH Muni","BVAL_MID_YTM")</f>
        <v>#N/A Requesting Data...</v>
      </c>
      <c r="P1240" t="str">
        <f>_xll.BDP("60082QAH Muni","MUNI_TAX_PROV")</f>
        <v>#N/A Requesting Data...</v>
      </c>
      <c r="Q1240" t="str">
        <f>_xll.BDP("60082QAH Muni","MUNI_FED_TAX")</f>
        <v>#N/A Requesting Data...</v>
      </c>
      <c r="R1240" t="str">
        <f>_xll.BDP("60082QAH Muni","MUNI_MSRB_VOLUME")</f>
        <v>#N/A Requesting Data...</v>
      </c>
      <c r="S1240" t="str">
        <f>_xll.BDP("60082QAH Muni","BB_COMPOSITE")</f>
        <v>#N/A Requesting Data...</v>
      </c>
      <c r="T1240" t="str">
        <f>_xll.BDP("60082QAH Muni","LQA_LIQUIDITY_SCORE")</f>
        <v>#N/A Requesting Data...</v>
      </c>
    </row>
    <row r="1241" spans="1:20" x14ac:dyDescent="0.25">
      <c r="A1241" t="str">
        <f>_xll.BDP("60082QAJ Muni","ID_CUSIP")</f>
        <v>#N/A Requesting Data...</v>
      </c>
      <c r="B1241" t="s">
        <v>322</v>
      </c>
      <c r="C1241" t="str">
        <f>_xll.BDP("60082QAJ Muni","INSURANCE_STATUS")</f>
        <v>#N/A Requesting Data...</v>
      </c>
      <c r="D1241" t="str">
        <f>_xll.BDP("60082QAJ Muni","STATE_CODE")</f>
        <v>#N/A Requesting Data...</v>
      </c>
      <c r="E1241" t="str">
        <f>_xll.BDP("60082QAJ Muni","COUNTY_LOCATION_ISSUER")</f>
        <v>#N/A Requesting Data...</v>
      </c>
      <c r="F1241" t="str">
        <f>_xll.BDP("60082QAJ Muni","DUR_ADJ_MID")</f>
        <v>#N/A Requesting Data...</v>
      </c>
      <c r="G1241" t="str">
        <f>_xll.BDP("60082QAJ Muni","SPREAD_AT_ISSUANCE_TO_WORST")</f>
        <v>#N/A Requesting Data...</v>
      </c>
      <c r="H1241" t="str">
        <f>_xll.BDP("60082QAJ Muni","ISSUE_DT")</f>
        <v>#N/A Requesting Data...</v>
      </c>
      <c r="I1241" t="str">
        <f>_xll.BDS("60082QAJ Muni","MUNI_PURPOSE_SCHED", "aggregate=y")</f>
        <v>#N/A Requesting Data...</v>
      </c>
      <c r="J1241" t="str">
        <f>_xll.BDP("60082QAJ Muni","CPN")</f>
        <v>#N/A Requesting Data...</v>
      </c>
      <c r="K1241" t="str">
        <f>_xll.BDP("60082QAJ Muni","MATURITY")</f>
        <v>#N/A Requesting Data...</v>
      </c>
      <c r="L1241">
        <v>235000</v>
      </c>
      <c r="M1241" t="str">
        <f>_xll.BDP("60082QAJ Muni","YIELD_ON_ISSUE_DATE")</f>
        <v>#N/A Requesting Data...</v>
      </c>
      <c r="N1241" t="str">
        <f>_xll.BDP("60082QAJ Muni","YTW_SPREAD_TO_MATURITY_AT_ISSU")</f>
        <v>#N/A Requesting Data...</v>
      </c>
      <c r="O1241" t="str">
        <f>_xll.BDP("60082QAJ Muni","BVAL_MID_YTM")</f>
        <v>#N/A Requesting Data...</v>
      </c>
      <c r="P1241" t="str">
        <f>_xll.BDP("60082QAJ Muni","MUNI_TAX_PROV")</f>
        <v>#N/A Requesting Data...</v>
      </c>
      <c r="Q1241" t="str">
        <f>_xll.BDP("60082QAJ Muni","MUNI_FED_TAX")</f>
        <v>#N/A Requesting Data...</v>
      </c>
      <c r="R1241" t="str">
        <f>_xll.BDP("60082QAJ Muni","MUNI_MSRB_VOLUME")</f>
        <v>#N/A Requesting Data...</v>
      </c>
      <c r="S1241" t="str">
        <f>_xll.BDP("60082QAJ Muni","BB_COMPOSITE")</f>
        <v>#N/A Requesting Data...</v>
      </c>
      <c r="T1241" t="str">
        <f>_xll.BDP("60082QAJ Muni","LQA_LIQUIDITY_SCORE")</f>
        <v>#N/A Requesting Data...</v>
      </c>
    </row>
    <row r="1242" spans="1:20" x14ac:dyDescent="0.25">
      <c r="A1242" t="str">
        <f>_xll.BDP("558614HY Muni","ID_CUSIP")</f>
        <v>#N/A Requesting Data...</v>
      </c>
      <c r="B1242" t="s">
        <v>323</v>
      </c>
      <c r="C1242" t="str">
        <f>_xll.BDP("558614HY Muni","INSURANCE_STATUS")</f>
        <v>#N/A Requesting Data...</v>
      </c>
      <c r="D1242" t="str">
        <f>_xll.BDP("558614HY Muni","STATE_CODE")</f>
        <v>#N/A Requesting Data...</v>
      </c>
      <c r="E1242" t="str">
        <f>_xll.BDP("558614HY Muni","COUNTY_LOCATION_ISSUER")</f>
        <v>#N/A Requesting Data...</v>
      </c>
      <c r="F1242" t="str">
        <f>_xll.BDP("558614HY Muni","DUR_ADJ_MID")</f>
        <v>#N/A Requesting Data...</v>
      </c>
      <c r="G1242" t="str">
        <f>_xll.BDP("558614HY Muni","SPREAD_AT_ISSUANCE_TO_WORST")</f>
        <v>#N/A Requesting Data...</v>
      </c>
      <c r="H1242" t="str">
        <f>_xll.BDP("558614HY Muni","ISSUE_DT")</f>
        <v>#N/A Requesting Data...</v>
      </c>
      <c r="I1242" t="str">
        <f>_xll.BDS("558614HY Muni","MUNI_PURPOSE_SCHED", "aggregate=y")</f>
        <v>#N/A Requesting Data...</v>
      </c>
      <c r="J1242" t="str">
        <f>_xll.BDP("558614HY Muni","CPN")</f>
        <v>#N/A Requesting Data...</v>
      </c>
      <c r="K1242" t="str">
        <f>_xll.BDP("558614HY Muni","MATURITY")</f>
        <v>#N/A Requesting Data...</v>
      </c>
      <c r="L1242">
        <v>1260000</v>
      </c>
      <c r="M1242" t="str">
        <f>_xll.BDP("558614HY Muni","YIELD_ON_ISSUE_DATE")</f>
        <v>#N/A Requesting Data...</v>
      </c>
      <c r="N1242" t="str">
        <f>_xll.BDP("558614HY Muni","YTW_SPREAD_TO_MATURITY_AT_ISSU")</f>
        <v>#N/A Requesting Data...</v>
      </c>
      <c r="O1242" t="str">
        <f>_xll.BDP("558614HY Muni","BVAL_MID_YTM")</f>
        <v>#N/A Requesting Data...</v>
      </c>
      <c r="P1242" t="str">
        <f>_xll.BDP("558614HY Muni","MUNI_TAX_PROV")</f>
        <v>#N/A Requesting Data...</v>
      </c>
      <c r="Q1242" t="str">
        <f>_xll.BDP("558614HY Muni","MUNI_FED_TAX")</f>
        <v>#N/A Requesting Data...</v>
      </c>
      <c r="R1242" t="str">
        <f>_xll.BDP("558614HY Muni","MUNI_MSRB_VOLUME")</f>
        <v>#N/A Requesting Data...</v>
      </c>
      <c r="S1242" t="str">
        <f>_xll.BDP("558614HY Muni","BB_COMPOSITE")</f>
        <v>#N/A Requesting Data...</v>
      </c>
      <c r="T1242" t="str">
        <f>_xll.BDP("558614HY Muni","LQA_LIQUIDITY_SCORE")</f>
        <v>#N/A Requesting Data...</v>
      </c>
    </row>
    <row r="1243" spans="1:20" x14ac:dyDescent="0.25">
      <c r="A1243" t="str">
        <f>_xll.BDP("558614JX Muni","ID_CUSIP")</f>
        <v>#N/A Requesting Data...</v>
      </c>
      <c r="B1243" t="s">
        <v>323</v>
      </c>
      <c r="C1243" t="str">
        <f>_xll.BDP("558614JX Muni","INSURANCE_STATUS")</f>
        <v>#N/A Requesting Data...</v>
      </c>
      <c r="D1243" t="str">
        <f>_xll.BDP("558614JX Muni","STATE_CODE")</f>
        <v>#N/A Requesting Data...</v>
      </c>
      <c r="E1243" t="str">
        <f>_xll.BDP("558614JX Muni","COUNTY_LOCATION_ISSUER")</f>
        <v>#N/A Requesting Data...</v>
      </c>
      <c r="F1243" t="str">
        <f>_xll.BDP("558614JX Muni","DUR_ADJ_MID")</f>
        <v>#N/A Requesting Data...</v>
      </c>
      <c r="G1243" t="str">
        <f>_xll.BDP("558614JX Muni","SPREAD_AT_ISSUANCE_TO_WORST")</f>
        <v>#N/A Requesting Data...</v>
      </c>
      <c r="H1243" t="str">
        <f>_xll.BDP("558614JX Muni","ISSUE_DT")</f>
        <v>#N/A Requesting Data...</v>
      </c>
      <c r="I1243" t="str">
        <f>_xll.BDS("558614JX Muni","MUNI_PURPOSE_SCHED", "aggregate=y")</f>
        <v>#N/A Requesting Data...</v>
      </c>
      <c r="J1243" t="str">
        <f>_xll.BDP("558614JX Muni","CPN")</f>
        <v>#N/A Requesting Data...</v>
      </c>
      <c r="K1243" t="str">
        <f>_xll.BDP("558614JX Muni","MATURITY")</f>
        <v>#N/A Requesting Data...</v>
      </c>
      <c r="L1243">
        <v>1185000</v>
      </c>
      <c r="M1243" t="str">
        <f>_xll.BDP("558614JX Muni","YIELD_ON_ISSUE_DATE")</f>
        <v>#N/A Requesting Data...</v>
      </c>
      <c r="N1243" t="str">
        <f>_xll.BDP("558614JX Muni","YTW_SPREAD_TO_MATURITY_AT_ISSU")</f>
        <v>#N/A Requesting Data...</v>
      </c>
      <c r="O1243" t="str">
        <f>_xll.BDP("558614JX Muni","BVAL_MID_YTM")</f>
        <v>#N/A Requesting Data...</v>
      </c>
      <c r="P1243" t="str">
        <f>_xll.BDP("558614JX Muni","MUNI_TAX_PROV")</f>
        <v>#N/A Requesting Data...</v>
      </c>
      <c r="Q1243" t="str">
        <f>_xll.BDP("558614JX Muni","MUNI_FED_TAX")</f>
        <v>#N/A Requesting Data...</v>
      </c>
      <c r="R1243" t="str">
        <f>_xll.BDP("558614JX Muni","MUNI_MSRB_VOLUME")</f>
        <v>#N/A Requesting Data...</v>
      </c>
      <c r="S1243" t="str">
        <f>_xll.BDP("558614JX Muni","BB_COMPOSITE")</f>
        <v>#N/A Requesting Data...</v>
      </c>
      <c r="T1243" t="str">
        <f>_xll.BDP("558614JX Muni","LQA_LIQUIDITY_SCORE")</f>
        <v>#N/A Requesting Data...</v>
      </c>
    </row>
    <row r="1244" spans="1:20" x14ac:dyDescent="0.25">
      <c r="A1244" t="str">
        <f>_xll.BDP("578422SJ Muni","ID_CUSIP")</f>
        <v>#N/A Requesting Data...</v>
      </c>
      <c r="B1244" t="s">
        <v>324</v>
      </c>
      <c r="C1244" t="str">
        <f>_xll.BDP("578422SJ Muni","INSURANCE_STATUS")</f>
        <v>#N/A Requesting Data...</v>
      </c>
      <c r="D1244" t="str">
        <f>_xll.BDP("578422SJ Muni","STATE_CODE")</f>
        <v>#N/A Requesting Data...</v>
      </c>
      <c r="E1244" t="str">
        <f>_xll.BDP("578422SJ Muni","COUNTY_LOCATION_ISSUER")</f>
        <v>#N/A Requesting Data...</v>
      </c>
      <c r="F1244" t="str">
        <f>_xll.BDP("578422SJ Muni","DUR_ADJ_MID")</f>
        <v>#N/A Requesting Data...</v>
      </c>
      <c r="G1244" t="str">
        <f>_xll.BDP("578422SJ Muni","SPREAD_AT_ISSUANCE_TO_WORST")</f>
        <v>#N/A Requesting Data...</v>
      </c>
      <c r="H1244" t="str">
        <f>_xll.BDP("578422SJ Muni","ISSUE_DT")</f>
        <v>#N/A Requesting Data...</v>
      </c>
      <c r="I1244" t="str">
        <f>_xll.BDS("578422SJ Muni","MUNI_PURPOSE_SCHED", "aggregate=y")</f>
        <v>#N/A Requesting Data...</v>
      </c>
      <c r="J1244" t="str">
        <f>_xll.BDP("578422SJ Muni","CPN")</f>
        <v>#N/A Requesting Data...</v>
      </c>
      <c r="K1244" t="str">
        <f>_xll.BDP("578422SJ Muni","MATURITY")</f>
        <v>#N/A Requesting Data...</v>
      </c>
      <c r="L1244">
        <v>95000</v>
      </c>
      <c r="M1244" t="str">
        <f>_xll.BDP("578422SJ Muni","YIELD_ON_ISSUE_DATE")</f>
        <v>#N/A Requesting Data...</v>
      </c>
      <c r="N1244" t="str">
        <f>_xll.BDP("578422SJ Muni","YTW_SPREAD_TO_MATURITY_AT_ISSU")</f>
        <v>#N/A Requesting Data...</v>
      </c>
      <c r="O1244" t="str">
        <f>_xll.BDP("578422SJ Muni","BVAL_MID_YTM")</f>
        <v>#N/A Requesting Data...</v>
      </c>
      <c r="P1244" t="str">
        <f>_xll.BDP("578422SJ Muni","MUNI_TAX_PROV")</f>
        <v>#N/A Requesting Data...</v>
      </c>
      <c r="Q1244" t="str">
        <f>_xll.BDP("578422SJ Muni","MUNI_FED_TAX")</f>
        <v>#N/A Requesting Data...</v>
      </c>
      <c r="R1244" t="str">
        <f>_xll.BDP("578422SJ Muni","MUNI_MSRB_VOLUME")</f>
        <v>#N/A Requesting Data...</v>
      </c>
      <c r="S1244" t="str">
        <f>_xll.BDP("578422SJ Muni","BB_COMPOSITE")</f>
        <v>#N/A Requesting Data...</v>
      </c>
      <c r="T1244" t="str">
        <f>_xll.BDP("578422SJ Muni","LQA_LIQUIDITY_SCORE")</f>
        <v>#N/A Requesting Data...</v>
      </c>
    </row>
    <row r="1245" spans="1:20" x14ac:dyDescent="0.25">
      <c r="A1245" t="str">
        <f>_xll.BDP("578422SM Muni","ID_CUSIP")</f>
        <v>#N/A Requesting Data...</v>
      </c>
      <c r="B1245" t="s">
        <v>324</v>
      </c>
      <c r="C1245" t="str">
        <f>_xll.BDP("578422SM Muni","INSURANCE_STATUS")</f>
        <v>#N/A Requesting Data...</v>
      </c>
      <c r="D1245" t="str">
        <f>_xll.BDP("578422SM Muni","STATE_CODE")</f>
        <v>#N/A Requesting Data...</v>
      </c>
      <c r="E1245" t="str">
        <f>_xll.BDP("578422SM Muni","COUNTY_LOCATION_ISSUER")</f>
        <v>#N/A Requesting Data...</v>
      </c>
      <c r="F1245" t="str">
        <f>_xll.BDP("578422SM Muni","DUR_ADJ_MID")</f>
        <v>#N/A Requesting Data...</v>
      </c>
      <c r="G1245" t="str">
        <f>_xll.BDP("578422SM Muni","SPREAD_AT_ISSUANCE_TO_WORST")</f>
        <v>#N/A Requesting Data...</v>
      </c>
      <c r="H1245" t="str">
        <f>_xll.BDP("578422SM Muni","ISSUE_DT")</f>
        <v>#N/A Requesting Data...</v>
      </c>
      <c r="I1245" t="str">
        <f>_xll.BDS("578422SM Muni","MUNI_PURPOSE_SCHED", "aggregate=y")</f>
        <v>#N/A Requesting Data...</v>
      </c>
      <c r="J1245" t="str">
        <f>_xll.BDP("578422SM Muni","CPN")</f>
        <v>#N/A Requesting Data...</v>
      </c>
      <c r="K1245" t="str">
        <f>_xll.BDP("578422SM Muni","MATURITY")</f>
        <v>#N/A Requesting Data...</v>
      </c>
      <c r="L1245">
        <v>105000</v>
      </c>
      <c r="M1245" t="str">
        <f>_xll.BDP("578422SM Muni","YIELD_ON_ISSUE_DATE")</f>
        <v>#N/A Requesting Data...</v>
      </c>
      <c r="N1245" t="str">
        <f>_xll.BDP("578422SM Muni","YTW_SPREAD_TO_MATURITY_AT_ISSU")</f>
        <v>#N/A Requesting Data...</v>
      </c>
      <c r="O1245" t="str">
        <f>_xll.BDP("578422SM Muni","BVAL_MID_YTM")</f>
        <v>#N/A Requesting Data...</v>
      </c>
      <c r="P1245" t="str">
        <f>_xll.BDP("578422SM Muni","MUNI_TAX_PROV")</f>
        <v>#N/A Requesting Data...</v>
      </c>
      <c r="Q1245" t="str">
        <f>_xll.BDP("578422SM Muni","MUNI_FED_TAX")</f>
        <v>#N/A Requesting Data...</v>
      </c>
      <c r="R1245" t="str">
        <f>_xll.BDP("578422SM Muni","MUNI_MSRB_VOLUME")</f>
        <v>#N/A Requesting Data...</v>
      </c>
      <c r="S1245" t="str">
        <f>_xll.BDP("578422SM Muni","BB_COMPOSITE")</f>
        <v>#N/A Requesting Data...</v>
      </c>
      <c r="T1245" t="str">
        <f>_xll.BDP("578422SM Muni","LQA_LIQUIDITY_SCORE")</f>
        <v>#N/A Requesting Data...</v>
      </c>
    </row>
    <row r="1246" spans="1:20" x14ac:dyDescent="0.25">
      <c r="A1246" t="str">
        <f>_xll.BDP("560194VU Muni","ID_CUSIP")</f>
        <v>#N/A Requesting Data...</v>
      </c>
      <c r="B1246" t="s">
        <v>321</v>
      </c>
      <c r="C1246" t="str">
        <f>_xll.BDP("560194VU Muni","INSURANCE_STATUS")</f>
        <v>#N/A Requesting Data...</v>
      </c>
      <c r="D1246" t="str">
        <f>_xll.BDP("560194VU Muni","STATE_CODE")</f>
        <v>#N/A Requesting Data...</v>
      </c>
      <c r="E1246" t="str">
        <f>_xll.BDP("560194VU Muni","COUNTY_LOCATION_ISSUER")</f>
        <v>#N/A Requesting Data...</v>
      </c>
      <c r="F1246" t="str">
        <f>_xll.BDP("560194VU Muni","DUR_ADJ_MID")</f>
        <v>#N/A Requesting Data...</v>
      </c>
      <c r="G1246" t="str">
        <f>_xll.BDP("560194VU Muni","SPREAD_AT_ISSUANCE_TO_WORST")</f>
        <v>#N/A Requesting Data...</v>
      </c>
      <c r="H1246" t="str">
        <f>_xll.BDP("560194VU Muni","ISSUE_DT")</f>
        <v>#N/A Requesting Data...</v>
      </c>
      <c r="I1246" t="str">
        <f>_xll.BDS("560194VU Muni","MUNI_PURPOSE_SCHED", "aggregate=y")</f>
        <v>#N/A Requesting Data...</v>
      </c>
      <c r="J1246" t="str">
        <f>_xll.BDP("560194VU Muni","CPN")</f>
        <v>#N/A Requesting Data...</v>
      </c>
      <c r="K1246" t="str">
        <f>_xll.BDP("560194VU Muni","MATURITY")</f>
        <v>#N/A Requesting Data...</v>
      </c>
      <c r="L1246">
        <v>530000</v>
      </c>
      <c r="M1246" t="str">
        <f>_xll.BDP("560194VU Muni","YIELD_ON_ISSUE_DATE")</f>
        <v>#N/A Requesting Data...</v>
      </c>
      <c r="N1246" t="str">
        <f>_xll.BDP("560194VU Muni","YTW_SPREAD_TO_MATURITY_AT_ISSU")</f>
        <v>#N/A Requesting Data...</v>
      </c>
      <c r="O1246" t="str">
        <f>_xll.BDP("560194VU Muni","BVAL_MID_YTM")</f>
        <v>#N/A Requesting Data...</v>
      </c>
      <c r="P1246" t="str">
        <f>_xll.BDP("560194VU Muni","MUNI_TAX_PROV")</f>
        <v>#N/A Requesting Data...</v>
      </c>
      <c r="Q1246" t="str">
        <f>_xll.BDP("560194VU Muni","MUNI_FED_TAX")</f>
        <v>#N/A Requesting Data...</v>
      </c>
      <c r="R1246" t="str">
        <f>_xll.BDP("560194VU Muni","MUNI_MSRB_VOLUME")</f>
        <v>#N/A Requesting Data...</v>
      </c>
      <c r="S1246" t="str">
        <f>_xll.BDP("560194VU Muni","BB_COMPOSITE")</f>
        <v>#N/A Requesting Data...</v>
      </c>
      <c r="T1246" t="str">
        <f>_xll.BDP("560194VU Muni","LQA_LIQUIDITY_SCORE")</f>
        <v>#N/A Requesting Data...</v>
      </c>
    </row>
    <row r="1247" spans="1:20" x14ac:dyDescent="0.25">
      <c r="A1247" t="str">
        <f>_xll.BDP("560194VX Muni","ID_CUSIP")</f>
        <v>#N/A Requesting Data...</v>
      </c>
      <c r="B1247" t="s">
        <v>321</v>
      </c>
      <c r="C1247" t="str">
        <f>_xll.BDP("560194VX Muni","INSURANCE_STATUS")</f>
        <v>#N/A Requesting Data...</v>
      </c>
      <c r="D1247" t="str">
        <f>_xll.BDP("560194VX Muni","STATE_CODE")</f>
        <v>#N/A Requesting Data...</v>
      </c>
      <c r="E1247" t="str">
        <f>_xll.BDP("560194VX Muni","COUNTY_LOCATION_ISSUER")</f>
        <v>#N/A Requesting Data...</v>
      </c>
      <c r="F1247" t="str">
        <f>_xll.BDP("560194VX Muni","DUR_ADJ_MID")</f>
        <v>#N/A Requesting Data...</v>
      </c>
      <c r="G1247" t="str">
        <f>_xll.BDP("560194VX Muni","SPREAD_AT_ISSUANCE_TO_WORST")</f>
        <v>#N/A Requesting Data...</v>
      </c>
      <c r="H1247" t="str">
        <f>_xll.BDP("560194VX Muni","ISSUE_DT")</f>
        <v>#N/A Requesting Data...</v>
      </c>
      <c r="I1247" t="str">
        <f>_xll.BDS("560194VX Muni","MUNI_PURPOSE_SCHED", "aggregate=y")</f>
        <v>#N/A Requesting Data...</v>
      </c>
      <c r="J1247" t="str">
        <f>_xll.BDP("560194VX Muni","CPN")</f>
        <v>#N/A Requesting Data...</v>
      </c>
      <c r="K1247" t="str">
        <f>_xll.BDP("560194VX Muni","MATURITY")</f>
        <v>#N/A Requesting Data...</v>
      </c>
      <c r="L1247">
        <v>605000</v>
      </c>
      <c r="M1247" t="str">
        <f>_xll.BDP("560194VX Muni","YIELD_ON_ISSUE_DATE")</f>
        <v>#N/A Requesting Data...</v>
      </c>
      <c r="N1247" t="str">
        <f>_xll.BDP("560194VX Muni","YTW_SPREAD_TO_MATURITY_AT_ISSU")</f>
        <v>#N/A Requesting Data...</v>
      </c>
      <c r="O1247" t="str">
        <f>_xll.BDP("560194VX Muni","BVAL_MID_YTM")</f>
        <v>#N/A Requesting Data...</v>
      </c>
      <c r="P1247" t="str">
        <f>_xll.BDP("560194VX Muni","MUNI_TAX_PROV")</f>
        <v>#N/A Requesting Data...</v>
      </c>
      <c r="Q1247" t="str">
        <f>_xll.BDP("560194VX Muni","MUNI_FED_TAX")</f>
        <v>#N/A Requesting Data...</v>
      </c>
      <c r="R1247" t="str">
        <f>_xll.BDP("560194VX Muni","MUNI_MSRB_VOLUME")</f>
        <v>#N/A Requesting Data...</v>
      </c>
      <c r="S1247" t="str">
        <f>_xll.BDP("560194VX Muni","BB_COMPOSITE")</f>
        <v>#N/A Requesting Data...</v>
      </c>
      <c r="T1247" t="str">
        <f>_xll.BDP("560194VX Muni","LQA_LIQUIDITY_SCORE")</f>
        <v>#N/A Requesting Data...</v>
      </c>
    </row>
    <row r="1248" spans="1:20" x14ac:dyDescent="0.25">
      <c r="A1248" t="str">
        <f>_xll.BDP("580713FE Muni","ID_CUSIP")</f>
        <v>#N/A Requesting Data...</v>
      </c>
      <c r="B1248" t="s">
        <v>325</v>
      </c>
      <c r="C1248" t="str">
        <f>_xll.BDP("580713FE Muni","INSURANCE_STATUS")</f>
        <v>#N/A Requesting Data...</v>
      </c>
      <c r="D1248" t="str">
        <f>_xll.BDP("580713FE Muni","STATE_CODE")</f>
        <v>#N/A Requesting Data...</v>
      </c>
      <c r="E1248" t="str">
        <f>_xll.BDP("580713FE Muni","COUNTY_LOCATION_ISSUER")</f>
        <v>#N/A Requesting Data...</v>
      </c>
      <c r="F1248" t="str">
        <f>_xll.BDP("580713FE Muni","DUR_ADJ_MID")</f>
        <v>#N/A Requesting Data...</v>
      </c>
      <c r="G1248" t="str">
        <f>_xll.BDP("580713FE Muni","SPREAD_AT_ISSUANCE_TO_WORST")</f>
        <v>#N/A Requesting Data...</v>
      </c>
      <c r="H1248" t="str">
        <f>_xll.BDP("580713FE Muni","ISSUE_DT")</f>
        <v>#N/A Requesting Data...</v>
      </c>
      <c r="I1248" t="str">
        <f>_xll.BDS("580713FE Muni","MUNI_PURPOSE_SCHED", "aggregate=y")</f>
        <v>#N/A Requesting Data...</v>
      </c>
      <c r="J1248" t="str">
        <f>_xll.BDP("580713FE Muni","CPN")</f>
        <v>#N/A Requesting Data...</v>
      </c>
      <c r="K1248" t="str">
        <f>_xll.BDP("580713FE Muni","MATURITY")</f>
        <v>#N/A Requesting Data...</v>
      </c>
      <c r="L1248">
        <v>90000</v>
      </c>
      <c r="M1248" t="str">
        <f>_xll.BDP("580713FE Muni","YIELD_ON_ISSUE_DATE")</f>
        <v>#N/A Requesting Data...</v>
      </c>
      <c r="N1248" t="str">
        <f>_xll.BDP("580713FE Muni","YTW_SPREAD_TO_MATURITY_AT_ISSU")</f>
        <v>#N/A Requesting Data...</v>
      </c>
      <c r="O1248" t="str">
        <f>_xll.BDP("580713FE Muni","BVAL_MID_YTM")</f>
        <v>#N/A Requesting Data...</v>
      </c>
      <c r="P1248" t="str">
        <f>_xll.BDP("580713FE Muni","MUNI_TAX_PROV")</f>
        <v>#N/A Requesting Data...</v>
      </c>
      <c r="Q1248" t="str">
        <f>_xll.BDP("580713FE Muni","MUNI_FED_TAX")</f>
        <v>#N/A Requesting Data...</v>
      </c>
      <c r="R1248" t="str">
        <f>_xll.BDP("580713FE Muni","MUNI_MSRB_VOLUME")</f>
        <v>#N/A Requesting Data...</v>
      </c>
      <c r="S1248" t="str">
        <f>_xll.BDP("580713FE Muni","BB_COMPOSITE")</f>
        <v>#N/A Requesting Data...</v>
      </c>
      <c r="T1248" t="str">
        <f>_xll.BDP("580713FE Muni","LQA_LIQUIDITY_SCORE")</f>
        <v>#N/A Requesting Data...</v>
      </c>
    </row>
    <row r="1249" spans="1:20" x14ac:dyDescent="0.25">
      <c r="A1249" t="str">
        <f>_xll.BDP("580713FG Muni","ID_CUSIP")</f>
        <v>#N/A Requesting Data...</v>
      </c>
      <c r="B1249" t="s">
        <v>325</v>
      </c>
      <c r="C1249" t="str">
        <f>_xll.BDP("580713FG Muni","INSURANCE_STATUS")</f>
        <v>#N/A Requesting Data...</v>
      </c>
      <c r="D1249" t="str">
        <f>_xll.BDP("580713FG Muni","STATE_CODE")</f>
        <v>#N/A Requesting Data...</v>
      </c>
      <c r="E1249" t="str">
        <f>_xll.BDP("580713FG Muni","COUNTY_LOCATION_ISSUER")</f>
        <v>#N/A Requesting Data...</v>
      </c>
      <c r="F1249" t="str">
        <f>_xll.BDP("580713FG Muni","DUR_ADJ_MID")</f>
        <v>#N/A Requesting Data...</v>
      </c>
      <c r="G1249" t="str">
        <f>_xll.BDP("580713FG Muni","SPREAD_AT_ISSUANCE_TO_WORST")</f>
        <v>#N/A Requesting Data...</v>
      </c>
      <c r="H1249" t="str">
        <f>_xll.BDP("580713FG Muni","ISSUE_DT")</f>
        <v>#N/A Requesting Data...</v>
      </c>
      <c r="I1249" t="str">
        <f>_xll.BDS("580713FG Muni","MUNI_PURPOSE_SCHED", "aggregate=y")</f>
        <v>#N/A Requesting Data...</v>
      </c>
      <c r="J1249" t="str">
        <f>_xll.BDP("580713FG Muni","CPN")</f>
        <v>#N/A Requesting Data...</v>
      </c>
      <c r="K1249" t="str">
        <f>_xll.BDP("580713FG Muni","MATURITY")</f>
        <v>#N/A Requesting Data...</v>
      </c>
      <c r="L1249">
        <v>95000</v>
      </c>
      <c r="M1249" t="str">
        <f>_xll.BDP("580713FG Muni","YIELD_ON_ISSUE_DATE")</f>
        <v>#N/A Requesting Data...</v>
      </c>
      <c r="N1249" t="str">
        <f>_xll.BDP("580713FG Muni","YTW_SPREAD_TO_MATURITY_AT_ISSU")</f>
        <v>#N/A Requesting Data...</v>
      </c>
      <c r="O1249" t="str">
        <f>_xll.BDP("580713FG Muni","BVAL_MID_YTM")</f>
        <v>#N/A Requesting Data...</v>
      </c>
      <c r="P1249" t="str">
        <f>_xll.BDP("580713FG Muni","MUNI_TAX_PROV")</f>
        <v>#N/A Requesting Data...</v>
      </c>
      <c r="Q1249" t="str">
        <f>_xll.BDP("580713FG Muni","MUNI_FED_TAX")</f>
        <v>#N/A Requesting Data...</v>
      </c>
      <c r="R1249" t="str">
        <f>_xll.BDP("580713FG Muni","MUNI_MSRB_VOLUME")</f>
        <v>#N/A Requesting Data...</v>
      </c>
      <c r="S1249" t="str">
        <f>_xll.BDP("580713FG Muni","BB_COMPOSITE")</f>
        <v>#N/A Requesting Data...</v>
      </c>
      <c r="T1249" t="str">
        <f>_xll.BDP("580713FG Muni","LQA_LIQUIDITY_SCORE")</f>
        <v>#N/A Requesting Data...</v>
      </c>
    </row>
    <row r="1250" spans="1:20" x14ac:dyDescent="0.25">
      <c r="A1250" t="str">
        <f>_xll.BDP("580713FJ Muni","ID_CUSIP")</f>
        <v>#N/A Requesting Data...</v>
      </c>
      <c r="B1250" t="s">
        <v>325</v>
      </c>
      <c r="C1250" t="str">
        <f>_xll.BDP("580713FJ Muni","INSURANCE_STATUS")</f>
        <v>#N/A Requesting Data...</v>
      </c>
      <c r="D1250" t="str">
        <f>_xll.BDP("580713FJ Muni","STATE_CODE")</f>
        <v>#N/A Requesting Data...</v>
      </c>
      <c r="E1250" t="str">
        <f>_xll.BDP("580713FJ Muni","COUNTY_LOCATION_ISSUER")</f>
        <v>#N/A Requesting Data...</v>
      </c>
      <c r="F1250" t="str">
        <f>_xll.BDP("580713FJ Muni","DUR_ADJ_MID")</f>
        <v>#N/A Requesting Data...</v>
      </c>
      <c r="G1250" t="str">
        <f>_xll.BDP("580713FJ Muni","SPREAD_AT_ISSUANCE_TO_WORST")</f>
        <v>#N/A Requesting Data...</v>
      </c>
      <c r="H1250" t="str">
        <f>_xll.BDP("580713FJ Muni","ISSUE_DT")</f>
        <v>#N/A Requesting Data...</v>
      </c>
      <c r="I1250" t="str">
        <f>_xll.BDS("580713FJ Muni","MUNI_PURPOSE_SCHED", "aggregate=y")</f>
        <v>#N/A Requesting Data...</v>
      </c>
      <c r="J1250" t="str">
        <f>_xll.BDP("580713FJ Muni","CPN")</f>
        <v>#N/A Requesting Data...</v>
      </c>
      <c r="K1250" t="str">
        <f>_xll.BDP("580713FJ Muni","MATURITY")</f>
        <v>#N/A Requesting Data...</v>
      </c>
      <c r="L1250">
        <v>100000</v>
      </c>
      <c r="M1250" t="str">
        <f>_xll.BDP("580713FJ Muni","YIELD_ON_ISSUE_DATE")</f>
        <v>#N/A Requesting Data...</v>
      </c>
      <c r="N1250" t="str">
        <f>_xll.BDP("580713FJ Muni","YTW_SPREAD_TO_MATURITY_AT_ISSU")</f>
        <v>#N/A Requesting Data...</v>
      </c>
      <c r="O1250" t="str">
        <f>_xll.BDP("580713FJ Muni","BVAL_MID_YTM")</f>
        <v>#N/A Requesting Data...</v>
      </c>
      <c r="P1250" t="str">
        <f>_xll.BDP("580713FJ Muni","MUNI_TAX_PROV")</f>
        <v>#N/A Requesting Data...</v>
      </c>
      <c r="Q1250" t="str">
        <f>_xll.BDP("580713FJ Muni","MUNI_FED_TAX")</f>
        <v>#N/A Requesting Data...</v>
      </c>
      <c r="R1250" t="str">
        <f>_xll.BDP("580713FJ Muni","MUNI_MSRB_VOLUME")</f>
        <v>#N/A Requesting Data...</v>
      </c>
      <c r="S1250" t="str">
        <f>_xll.BDP("580713FJ Muni","BB_COMPOSITE")</f>
        <v>#N/A Requesting Data...</v>
      </c>
      <c r="T1250" t="str">
        <f>_xll.BDP("580713FJ Muni","LQA_LIQUIDITY_SCORE")</f>
        <v>#N/A Requesting Data...</v>
      </c>
    </row>
    <row r="1251" spans="1:20" x14ac:dyDescent="0.25">
      <c r="A1251" t="str">
        <f>_xll.BDP("555758HL Muni","ID_CUSIP")</f>
        <v>#N/A Requesting Data...</v>
      </c>
      <c r="B1251" t="s">
        <v>326</v>
      </c>
      <c r="C1251" t="str">
        <f>_xll.BDP("555758HL Muni","INSURANCE_STATUS")</f>
        <v>#N/A Requesting Data...</v>
      </c>
      <c r="D1251" t="str">
        <f>_xll.BDP("555758HL Muni","STATE_CODE")</f>
        <v>#N/A Requesting Data...</v>
      </c>
      <c r="E1251" t="str">
        <f>_xll.BDP("555758HL Muni","COUNTY_LOCATION_ISSUER")</f>
        <v>#N/A Requesting Data...</v>
      </c>
      <c r="F1251" t="str">
        <f>_xll.BDP("555758HL Muni","DUR_ADJ_MID")</f>
        <v>#N/A Requesting Data...</v>
      </c>
      <c r="G1251" t="str">
        <f>_xll.BDP("555758HL Muni","SPREAD_AT_ISSUANCE_TO_WORST")</f>
        <v>#N/A Requesting Data...</v>
      </c>
      <c r="H1251" t="str">
        <f>_xll.BDP("555758HL Muni","ISSUE_DT")</f>
        <v>#N/A Requesting Data...</v>
      </c>
      <c r="I1251" t="str">
        <f>_xll.BDS("555758HL Muni","MUNI_PURPOSE_SCHED", "aggregate=y")</f>
        <v>#N/A Requesting Data...</v>
      </c>
      <c r="J1251" t="str">
        <f>_xll.BDP("555758HL Muni","CPN")</f>
        <v>#N/A Requesting Data...</v>
      </c>
      <c r="K1251" t="str">
        <f>_xll.BDP("555758HL Muni","MATURITY")</f>
        <v>#N/A Requesting Data...</v>
      </c>
      <c r="L1251">
        <v>360000</v>
      </c>
      <c r="M1251" t="str">
        <f>_xll.BDP("555758HL Muni","YIELD_ON_ISSUE_DATE")</f>
        <v>#N/A Requesting Data...</v>
      </c>
      <c r="N1251" t="str">
        <f>_xll.BDP("555758HL Muni","YTW_SPREAD_TO_MATURITY_AT_ISSU")</f>
        <v>#N/A Requesting Data...</v>
      </c>
      <c r="O1251" t="str">
        <f>_xll.BDP("555758HL Muni","BVAL_MID_YTM")</f>
        <v>#N/A Requesting Data...</v>
      </c>
      <c r="P1251" t="str">
        <f>_xll.BDP("555758HL Muni","MUNI_TAX_PROV")</f>
        <v>#N/A Requesting Data...</v>
      </c>
      <c r="Q1251" t="str">
        <f>_xll.BDP("555758HL Muni","MUNI_FED_TAX")</f>
        <v>#N/A Requesting Data...</v>
      </c>
      <c r="R1251" t="str">
        <f>_xll.BDP("555758HL Muni","MUNI_MSRB_VOLUME")</f>
        <v>#N/A Requesting Data...</v>
      </c>
      <c r="S1251" t="str">
        <f>_xll.BDP("555758HL Muni","BB_COMPOSITE")</f>
        <v>#N/A Requesting Data...</v>
      </c>
      <c r="T1251" t="str">
        <f>_xll.BDP("555758HL Muni","LQA_LIQUIDITY_SCORE")</f>
        <v>#N/A Requesting Data...</v>
      </c>
    </row>
    <row r="1252" spans="1:20" x14ac:dyDescent="0.25">
      <c r="A1252" t="str">
        <f>_xll.BDP("555758HM Muni","ID_CUSIP")</f>
        <v>#N/A Requesting Data...</v>
      </c>
      <c r="B1252" t="s">
        <v>326</v>
      </c>
      <c r="C1252" t="str">
        <f>_xll.BDP("555758HM Muni","INSURANCE_STATUS")</f>
        <v>#N/A Requesting Data...</v>
      </c>
      <c r="D1252" t="str">
        <f>_xll.BDP("555758HM Muni","STATE_CODE")</f>
        <v>#N/A Requesting Data...</v>
      </c>
      <c r="E1252" t="str">
        <f>_xll.BDP("555758HM Muni","COUNTY_LOCATION_ISSUER")</f>
        <v>#N/A Requesting Data...</v>
      </c>
      <c r="F1252" t="str">
        <f>_xll.BDP("555758HM Muni","DUR_ADJ_MID")</f>
        <v>#N/A Requesting Data...</v>
      </c>
      <c r="G1252" t="str">
        <f>_xll.BDP("555758HM Muni","SPREAD_AT_ISSUANCE_TO_WORST")</f>
        <v>#N/A Requesting Data...</v>
      </c>
      <c r="H1252" t="str">
        <f>_xll.BDP("555758HM Muni","ISSUE_DT")</f>
        <v>#N/A Requesting Data...</v>
      </c>
      <c r="I1252" t="str">
        <f>_xll.BDS("555758HM Muni","MUNI_PURPOSE_SCHED", "aggregate=y")</f>
        <v>#N/A Requesting Data...</v>
      </c>
      <c r="J1252" t="str">
        <f>_xll.BDP("555758HM Muni","CPN")</f>
        <v>#N/A Requesting Data...</v>
      </c>
      <c r="K1252" t="str">
        <f>_xll.BDP("555758HM Muni","MATURITY")</f>
        <v>#N/A Requesting Data...</v>
      </c>
      <c r="L1252">
        <v>380000</v>
      </c>
      <c r="M1252" t="str">
        <f>_xll.BDP("555758HM Muni","YIELD_ON_ISSUE_DATE")</f>
        <v>#N/A Requesting Data...</v>
      </c>
      <c r="N1252" t="str">
        <f>_xll.BDP("555758HM Muni","YTW_SPREAD_TO_MATURITY_AT_ISSU")</f>
        <v>#N/A Requesting Data...</v>
      </c>
      <c r="O1252" t="str">
        <f>_xll.BDP("555758HM Muni","BVAL_MID_YTM")</f>
        <v>#N/A Requesting Data...</v>
      </c>
      <c r="P1252" t="str">
        <f>_xll.BDP("555758HM Muni","MUNI_TAX_PROV")</f>
        <v>#N/A Requesting Data...</v>
      </c>
      <c r="Q1252" t="str">
        <f>_xll.BDP("555758HM Muni","MUNI_FED_TAX")</f>
        <v>#N/A Requesting Data...</v>
      </c>
      <c r="R1252" t="str">
        <f>_xll.BDP("555758HM Muni","MUNI_MSRB_VOLUME")</f>
        <v>#N/A Requesting Data...</v>
      </c>
      <c r="S1252" t="str">
        <f>_xll.BDP("555758HM Muni","BB_COMPOSITE")</f>
        <v>#N/A Requesting Data...</v>
      </c>
      <c r="T1252" t="str">
        <f>_xll.BDP("555758HM Muni","LQA_LIQUIDITY_SCORE")</f>
        <v>#N/A Requesting Data...</v>
      </c>
    </row>
    <row r="1253" spans="1:20" x14ac:dyDescent="0.25">
      <c r="A1253" t="str">
        <f>_xll.BDP("556775CC Muni","ID_CUSIP")</f>
        <v>#N/A Requesting Data...</v>
      </c>
      <c r="B1253" t="s">
        <v>327</v>
      </c>
      <c r="C1253" t="str">
        <f>_xll.BDP("556775CC Muni","INSURANCE_STATUS")</f>
        <v>#N/A Requesting Data...</v>
      </c>
      <c r="D1253" t="str">
        <f>_xll.BDP("556775CC Muni","STATE_CODE")</f>
        <v>#N/A Requesting Data...</v>
      </c>
      <c r="E1253" t="str">
        <f>_xll.BDP("556775CC Muni","COUNTY_LOCATION_ISSUER")</f>
        <v>#N/A Requesting Data...</v>
      </c>
      <c r="F1253" t="str">
        <f>_xll.BDP("556775CC Muni","DUR_ADJ_MID")</f>
        <v>#N/A Requesting Data...</v>
      </c>
      <c r="G1253" t="str">
        <f>_xll.BDP("556775CC Muni","SPREAD_AT_ISSUANCE_TO_WORST")</f>
        <v>#N/A Requesting Data...</v>
      </c>
      <c r="H1253" t="str">
        <f>_xll.BDP("556775CC Muni","ISSUE_DT")</f>
        <v>#N/A Requesting Data...</v>
      </c>
      <c r="I1253" t="str">
        <f>_xll.BDS("556775CC Muni","MUNI_PURPOSE_SCHED", "aggregate=y")</f>
        <v>#N/A Requesting Data...</v>
      </c>
      <c r="J1253" t="str">
        <f>_xll.BDP("556775CC Muni","CPN")</f>
        <v>#N/A Requesting Data...</v>
      </c>
      <c r="K1253" t="str">
        <f>_xll.BDP("556775CC Muni","MATURITY")</f>
        <v>#N/A Requesting Data...</v>
      </c>
      <c r="L1253">
        <v>485000</v>
      </c>
      <c r="M1253" t="str">
        <f>_xll.BDP("556775CC Muni","YIELD_ON_ISSUE_DATE")</f>
        <v>#N/A Requesting Data...</v>
      </c>
      <c r="N1253" t="str">
        <f>_xll.BDP("556775CC Muni","YTW_SPREAD_TO_MATURITY_AT_ISSU")</f>
        <v>#N/A Requesting Data...</v>
      </c>
      <c r="O1253" t="str">
        <f>_xll.BDP("556775CC Muni","BVAL_MID_YTM")</f>
        <v>#N/A Requesting Data...</v>
      </c>
      <c r="P1253" t="str">
        <f>_xll.BDP("556775CC Muni","MUNI_TAX_PROV")</f>
        <v>#N/A Requesting Data...</v>
      </c>
      <c r="Q1253" t="str">
        <f>_xll.BDP("556775CC Muni","MUNI_FED_TAX")</f>
        <v>#N/A Requesting Data...</v>
      </c>
      <c r="R1253" t="str">
        <f>_xll.BDP("556775CC Muni","MUNI_MSRB_VOLUME")</f>
        <v>#N/A Requesting Data...</v>
      </c>
      <c r="S1253" t="str">
        <f>_xll.BDP("556775CC Muni","BB_COMPOSITE")</f>
        <v>#N/A Requesting Data...</v>
      </c>
      <c r="T1253" t="str">
        <f>_xll.BDP("556775CC Muni","LQA_LIQUIDITY_SCORE")</f>
        <v>#N/A Requesting Data...</v>
      </c>
    </row>
    <row r="1254" spans="1:20" x14ac:dyDescent="0.25">
      <c r="A1254" t="str">
        <f>_xll.BDP("556775CD Muni","ID_CUSIP")</f>
        <v>#N/A Requesting Data...</v>
      </c>
      <c r="B1254" t="s">
        <v>327</v>
      </c>
      <c r="C1254" t="str">
        <f>_xll.BDP("556775CD Muni","INSURANCE_STATUS")</f>
        <v>#N/A Requesting Data...</v>
      </c>
      <c r="D1254" t="str">
        <f>_xll.BDP("556775CD Muni","STATE_CODE")</f>
        <v>#N/A Requesting Data...</v>
      </c>
      <c r="E1254" t="str">
        <f>_xll.BDP("556775CD Muni","COUNTY_LOCATION_ISSUER")</f>
        <v>#N/A Requesting Data...</v>
      </c>
      <c r="F1254" t="str">
        <f>_xll.BDP("556775CD Muni","DUR_ADJ_MID")</f>
        <v>#N/A Requesting Data...</v>
      </c>
      <c r="G1254" t="str">
        <f>_xll.BDP("556775CD Muni","SPREAD_AT_ISSUANCE_TO_WORST")</f>
        <v>#N/A Requesting Data...</v>
      </c>
      <c r="H1254" t="str">
        <f>_xll.BDP("556775CD Muni","ISSUE_DT")</f>
        <v>#N/A Requesting Data...</v>
      </c>
      <c r="I1254" t="str">
        <f>_xll.BDS("556775CD Muni","MUNI_PURPOSE_SCHED", "aggregate=y")</f>
        <v>#N/A Requesting Data...</v>
      </c>
      <c r="J1254" t="str">
        <f>_xll.BDP("556775CD Muni","CPN")</f>
        <v>#N/A Requesting Data...</v>
      </c>
      <c r="K1254" t="str">
        <f>_xll.BDP("556775CD Muni","MATURITY")</f>
        <v>#N/A Requesting Data...</v>
      </c>
      <c r="L1254">
        <v>940000</v>
      </c>
      <c r="M1254" t="str">
        <f>_xll.BDP("556775CD Muni","YIELD_ON_ISSUE_DATE")</f>
        <v>#N/A Requesting Data...</v>
      </c>
      <c r="N1254" t="str">
        <f>_xll.BDP("556775CD Muni","YTW_SPREAD_TO_MATURITY_AT_ISSU")</f>
        <v>#N/A Requesting Data...</v>
      </c>
      <c r="O1254" t="str">
        <f>_xll.BDP("556775CD Muni","BVAL_MID_YTM")</f>
        <v>#N/A Requesting Data...</v>
      </c>
      <c r="P1254" t="str">
        <f>_xll.BDP("556775CD Muni","MUNI_TAX_PROV")</f>
        <v>#N/A Requesting Data...</v>
      </c>
      <c r="Q1254" t="str">
        <f>_xll.BDP("556775CD Muni","MUNI_FED_TAX")</f>
        <v>#N/A Requesting Data...</v>
      </c>
      <c r="R1254" t="str">
        <f>_xll.BDP("556775CD Muni","MUNI_MSRB_VOLUME")</f>
        <v>#N/A Requesting Data...</v>
      </c>
      <c r="S1254" t="str">
        <f>_xll.BDP("556775CD Muni","BB_COMPOSITE")</f>
        <v>#N/A Requesting Data...</v>
      </c>
      <c r="T1254" t="str">
        <f>_xll.BDP("556775CD Muni","LQA_LIQUIDITY_SCORE")</f>
        <v>#N/A Requesting Data...</v>
      </c>
    </row>
    <row r="1255" spans="1:20" x14ac:dyDescent="0.25">
      <c r="A1255" t="str">
        <f>_xll.BDP("556775CG Muni","ID_CUSIP")</f>
        <v>#N/A Requesting Data...</v>
      </c>
      <c r="B1255" t="s">
        <v>327</v>
      </c>
      <c r="C1255" t="str">
        <f>_xll.BDP("556775CG Muni","INSURANCE_STATUS")</f>
        <v>#N/A Requesting Data...</v>
      </c>
      <c r="D1255" t="str">
        <f>_xll.BDP("556775CG Muni","STATE_CODE")</f>
        <v>#N/A Requesting Data...</v>
      </c>
      <c r="E1255" t="str">
        <f>_xll.BDP("556775CG Muni","COUNTY_LOCATION_ISSUER")</f>
        <v>#N/A Requesting Data...</v>
      </c>
      <c r="F1255" t="str">
        <f>_xll.BDP("556775CG Muni","DUR_ADJ_MID")</f>
        <v>#N/A Requesting Data...</v>
      </c>
      <c r="G1255" t="str">
        <f>_xll.BDP("556775CG Muni","SPREAD_AT_ISSUANCE_TO_WORST")</f>
        <v>#N/A Requesting Data...</v>
      </c>
      <c r="H1255" t="str">
        <f>_xll.BDP("556775CG Muni","ISSUE_DT")</f>
        <v>#N/A Requesting Data...</v>
      </c>
      <c r="I1255" t="str">
        <f>_xll.BDS("556775CG Muni","MUNI_PURPOSE_SCHED", "aggregate=y")</f>
        <v>#N/A Requesting Data...</v>
      </c>
      <c r="J1255" t="str">
        <f>_xll.BDP("556775CG Muni","CPN")</f>
        <v>#N/A Requesting Data...</v>
      </c>
      <c r="K1255" t="str">
        <f>_xll.BDP("556775CG Muni","MATURITY")</f>
        <v>#N/A Requesting Data...</v>
      </c>
      <c r="L1255">
        <v>1085000</v>
      </c>
      <c r="M1255" t="str">
        <f>_xll.BDP("556775CG Muni","YIELD_ON_ISSUE_DATE")</f>
        <v>#N/A Requesting Data...</v>
      </c>
      <c r="N1255" t="str">
        <f>_xll.BDP("556775CG Muni","YTW_SPREAD_TO_MATURITY_AT_ISSU")</f>
        <v>#N/A Requesting Data...</v>
      </c>
      <c r="O1255" t="str">
        <f>_xll.BDP("556775CG Muni","BVAL_MID_YTM")</f>
        <v>#N/A Requesting Data...</v>
      </c>
      <c r="P1255" t="str">
        <f>_xll.BDP("556775CG Muni","MUNI_TAX_PROV")</f>
        <v>#N/A Requesting Data...</v>
      </c>
      <c r="Q1255" t="str">
        <f>_xll.BDP("556775CG Muni","MUNI_FED_TAX")</f>
        <v>#N/A Requesting Data...</v>
      </c>
      <c r="R1255" t="str">
        <f>_xll.BDP("556775CG Muni","MUNI_MSRB_VOLUME")</f>
        <v>#N/A Requesting Data...</v>
      </c>
      <c r="S1255" t="str">
        <f>_xll.BDP("556775CG Muni","BB_COMPOSITE")</f>
        <v>#N/A Requesting Data...</v>
      </c>
      <c r="T1255" t="str">
        <f>_xll.BDP("556775CG Muni","LQA_LIQUIDITY_SCORE")</f>
        <v>#N/A Requesting Data...</v>
      </c>
    </row>
    <row r="1256" spans="1:20" x14ac:dyDescent="0.25">
      <c r="A1256" t="str">
        <f>_xll.BDP("576051SN Muni","ID_CUSIP")</f>
        <v>#N/A Requesting Data...</v>
      </c>
      <c r="B1256" t="s">
        <v>328</v>
      </c>
      <c r="C1256" t="str">
        <f>_xll.BDP("576051SN Muni","INSURANCE_STATUS")</f>
        <v>#N/A Requesting Data...</v>
      </c>
      <c r="D1256" t="str">
        <f>_xll.BDP("576051SN Muni","STATE_CODE")</f>
        <v>#N/A Requesting Data...</v>
      </c>
      <c r="E1256" t="str">
        <f>_xll.BDP("576051SN Muni","COUNTY_LOCATION_ISSUER")</f>
        <v>#N/A Requesting Data...</v>
      </c>
      <c r="F1256" t="str">
        <f>_xll.BDP("576051SN Muni","DUR_ADJ_MID")</f>
        <v>#N/A Requesting Data...</v>
      </c>
      <c r="G1256" t="str">
        <f>_xll.BDP("576051SN Muni","SPREAD_AT_ISSUANCE_TO_WORST")</f>
        <v>#N/A Requesting Data...</v>
      </c>
      <c r="H1256" t="str">
        <f>_xll.BDP("576051SN Muni","ISSUE_DT")</f>
        <v>#N/A Requesting Data...</v>
      </c>
      <c r="I1256" t="str">
        <f>_xll.BDS("576051SN Muni","MUNI_PURPOSE_SCHED", "aggregate=y")</f>
        <v>#N/A Requesting Data...</v>
      </c>
      <c r="J1256" t="str">
        <f>_xll.BDP("576051SN Muni","CPN")</f>
        <v>#N/A Requesting Data...</v>
      </c>
      <c r="K1256" t="str">
        <f>_xll.BDP("576051SN Muni","MATURITY")</f>
        <v>#N/A Requesting Data...</v>
      </c>
      <c r="L1256">
        <v>3190000</v>
      </c>
      <c r="M1256" t="str">
        <f>_xll.BDP("576051SN Muni","YIELD_ON_ISSUE_DATE")</f>
        <v>#N/A Requesting Data...</v>
      </c>
      <c r="N1256" t="str">
        <f>_xll.BDP("576051SN Muni","YTW_SPREAD_TO_MATURITY_AT_ISSU")</f>
        <v>#N/A Requesting Data...</v>
      </c>
      <c r="O1256" t="str">
        <f>_xll.BDP("576051SN Muni","BVAL_MID_YTM")</f>
        <v>#N/A Requesting Data...</v>
      </c>
      <c r="P1256" t="str">
        <f>_xll.BDP("576051SN Muni","MUNI_TAX_PROV")</f>
        <v>#N/A Requesting Data...</v>
      </c>
      <c r="Q1256" t="str">
        <f>_xll.BDP("576051SN Muni","MUNI_FED_TAX")</f>
        <v>#N/A Requesting Data...</v>
      </c>
      <c r="R1256" t="str">
        <f>_xll.BDP("576051SN Muni","MUNI_MSRB_VOLUME")</f>
        <v>#N/A Requesting Data...</v>
      </c>
      <c r="S1256" t="str">
        <f>_xll.BDP("576051SN Muni","BB_COMPOSITE")</f>
        <v>#N/A Requesting Data...</v>
      </c>
      <c r="T1256" t="str">
        <f>_xll.BDP("576051SN Muni","LQA_LIQUIDITY_SCORE")</f>
        <v>#N/A Requesting Data...</v>
      </c>
    </row>
    <row r="1257" spans="1:20" x14ac:dyDescent="0.25">
      <c r="A1257" t="str">
        <f>_xll.BDP("555758HN Muni","ID_CUSIP")</f>
        <v>#N/A Requesting Data...</v>
      </c>
      <c r="B1257" t="s">
        <v>326</v>
      </c>
      <c r="C1257" t="str">
        <f>_xll.BDP("555758HN Muni","INSURANCE_STATUS")</f>
        <v>#N/A Requesting Data...</v>
      </c>
      <c r="D1257" t="str">
        <f>_xll.BDP("555758HN Muni","STATE_CODE")</f>
        <v>#N/A Requesting Data...</v>
      </c>
      <c r="E1257" t="str">
        <f>_xll.BDP("555758HN Muni","COUNTY_LOCATION_ISSUER")</f>
        <v>#N/A Requesting Data...</v>
      </c>
      <c r="F1257" t="str">
        <f>_xll.BDP("555758HN Muni","DUR_ADJ_MID")</f>
        <v>#N/A Requesting Data...</v>
      </c>
      <c r="G1257" t="str">
        <f>_xll.BDP("555758HN Muni","SPREAD_AT_ISSUANCE_TO_WORST")</f>
        <v>#N/A Requesting Data...</v>
      </c>
      <c r="H1257" t="str">
        <f>_xll.BDP("555758HN Muni","ISSUE_DT")</f>
        <v>#N/A Requesting Data...</v>
      </c>
      <c r="I1257" t="str">
        <f>_xll.BDS("555758HN Muni","MUNI_PURPOSE_SCHED", "aggregate=y")</f>
        <v>#N/A Requesting Data...</v>
      </c>
      <c r="J1257" t="str">
        <f>_xll.BDP("555758HN Muni","CPN")</f>
        <v>#N/A Requesting Data...</v>
      </c>
      <c r="K1257" t="str">
        <f>_xll.BDP("555758HN Muni","MATURITY")</f>
        <v>#N/A Requesting Data...</v>
      </c>
      <c r="L1257">
        <v>405000</v>
      </c>
      <c r="M1257" t="str">
        <f>_xll.BDP("555758HN Muni","YIELD_ON_ISSUE_DATE")</f>
        <v>#N/A Requesting Data...</v>
      </c>
      <c r="N1257" t="str">
        <f>_xll.BDP("555758HN Muni","YTW_SPREAD_TO_MATURITY_AT_ISSU")</f>
        <v>#N/A Requesting Data...</v>
      </c>
      <c r="O1257" t="str">
        <f>_xll.BDP("555758HN Muni","BVAL_MID_YTM")</f>
        <v>#N/A Requesting Data...</v>
      </c>
      <c r="P1257" t="str">
        <f>_xll.BDP("555758HN Muni","MUNI_TAX_PROV")</f>
        <v>#N/A Requesting Data...</v>
      </c>
      <c r="Q1257" t="str">
        <f>_xll.BDP("555758HN Muni","MUNI_FED_TAX")</f>
        <v>#N/A Requesting Data...</v>
      </c>
      <c r="R1257" t="str">
        <f>_xll.BDP("555758HN Muni","MUNI_MSRB_VOLUME")</f>
        <v>#N/A Requesting Data...</v>
      </c>
      <c r="S1257" t="str">
        <f>_xll.BDP("555758HN Muni","BB_COMPOSITE")</f>
        <v>#N/A Requesting Data...</v>
      </c>
      <c r="T1257" t="str">
        <f>_xll.BDP("555758HN Muni","LQA_LIQUIDITY_SCORE")</f>
        <v>#N/A Requesting Data...</v>
      </c>
    </row>
    <row r="1258" spans="1:20" x14ac:dyDescent="0.25">
      <c r="A1258" t="str">
        <f>_xll.BDP("555758HP Muni","ID_CUSIP")</f>
        <v>#N/A Requesting Data...</v>
      </c>
      <c r="B1258" t="s">
        <v>326</v>
      </c>
      <c r="C1258" t="str">
        <f>_xll.BDP("555758HP Muni","INSURANCE_STATUS")</f>
        <v>#N/A Requesting Data...</v>
      </c>
      <c r="D1258" t="str">
        <f>_xll.BDP("555758HP Muni","STATE_CODE")</f>
        <v>#N/A Requesting Data...</v>
      </c>
      <c r="E1258" t="str">
        <f>_xll.BDP("555758HP Muni","COUNTY_LOCATION_ISSUER")</f>
        <v>#N/A Requesting Data...</v>
      </c>
      <c r="F1258" t="str">
        <f>_xll.BDP("555758HP Muni","DUR_ADJ_MID")</f>
        <v>#N/A Requesting Data...</v>
      </c>
      <c r="G1258" t="str">
        <f>_xll.BDP("555758HP Muni","SPREAD_AT_ISSUANCE_TO_WORST")</f>
        <v>#N/A Requesting Data...</v>
      </c>
      <c r="H1258" t="str">
        <f>_xll.BDP("555758HP Muni","ISSUE_DT")</f>
        <v>#N/A Requesting Data...</v>
      </c>
      <c r="I1258" t="str">
        <f>_xll.BDS("555758HP Muni","MUNI_PURPOSE_SCHED", "aggregate=y")</f>
        <v>#N/A Requesting Data...</v>
      </c>
      <c r="J1258" t="str">
        <f>_xll.BDP("555758HP Muni","CPN")</f>
        <v>#N/A Requesting Data...</v>
      </c>
      <c r="K1258" t="str">
        <f>_xll.BDP("555758HP Muni","MATURITY")</f>
        <v>#N/A Requesting Data...</v>
      </c>
      <c r="L1258">
        <v>415000</v>
      </c>
      <c r="M1258" t="str">
        <f>_xll.BDP("555758HP Muni","YIELD_ON_ISSUE_DATE")</f>
        <v>#N/A Requesting Data...</v>
      </c>
      <c r="N1258" t="str">
        <f>_xll.BDP("555758HP Muni","YTW_SPREAD_TO_MATURITY_AT_ISSU")</f>
        <v>#N/A Requesting Data...</v>
      </c>
      <c r="O1258" t="str">
        <f>_xll.BDP("555758HP Muni","BVAL_MID_YTM")</f>
        <v>#N/A Requesting Data...</v>
      </c>
      <c r="P1258" t="str">
        <f>_xll.BDP("555758HP Muni","MUNI_TAX_PROV")</f>
        <v>#N/A Requesting Data...</v>
      </c>
      <c r="Q1258" t="str">
        <f>_xll.BDP("555758HP Muni","MUNI_FED_TAX")</f>
        <v>#N/A Requesting Data...</v>
      </c>
      <c r="R1258" t="str">
        <f>_xll.BDP("555758HP Muni","MUNI_MSRB_VOLUME")</f>
        <v>#N/A Requesting Data...</v>
      </c>
      <c r="S1258" t="str">
        <f>_xll.BDP("555758HP Muni","BB_COMPOSITE")</f>
        <v>#N/A Requesting Data...</v>
      </c>
      <c r="T1258" t="str">
        <f>_xll.BDP("555758HP Muni","LQA_LIQUIDITY_SCORE")</f>
        <v>#N/A Requesting Data...</v>
      </c>
    </row>
    <row r="1259" spans="1:20" x14ac:dyDescent="0.25">
      <c r="A1259" t="str">
        <f>_xll.BDP("555758HR Muni","ID_CUSIP")</f>
        <v>#N/A Requesting Data...</v>
      </c>
      <c r="B1259" t="s">
        <v>326</v>
      </c>
      <c r="C1259" t="str">
        <f>_xll.BDP("555758HR Muni","INSURANCE_STATUS")</f>
        <v>#N/A Requesting Data...</v>
      </c>
      <c r="D1259" t="str">
        <f>_xll.BDP("555758HR Muni","STATE_CODE")</f>
        <v>#N/A Requesting Data...</v>
      </c>
      <c r="E1259" t="str">
        <f>_xll.BDP("555758HR Muni","COUNTY_LOCATION_ISSUER")</f>
        <v>#N/A Requesting Data...</v>
      </c>
      <c r="F1259" t="str">
        <f>_xll.BDP("555758HR Muni","DUR_ADJ_MID")</f>
        <v>#N/A Requesting Data...</v>
      </c>
      <c r="G1259" t="str">
        <f>_xll.BDP("555758HR Muni","SPREAD_AT_ISSUANCE_TO_WORST")</f>
        <v>#N/A Requesting Data...</v>
      </c>
      <c r="H1259" t="str">
        <f>_xll.BDP("555758HR Muni","ISSUE_DT")</f>
        <v>#N/A Requesting Data...</v>
      </c>
      <c r="I1259" t="str">
        <f>_xll.BDS("555758HR Muni","MUNI_PURPOSE_SCHED", "aggregate=y")</f>
        <v>#N/A Requesting Data...</v>
      </c>
      <c r="J1259" t="str">
        <f>_xll.BDP("555758HR Muni","CPN")</f>
        <v>#N/A Requesting Data...</v>
      </c>
      <c r="K1259" t="str">
        <f>_xll.BDP("555758HR Muni","MATURITY")</f>
        <v>#N/A Requesting Data...</v>
      </c>
      <c r="L1259">
        <v>1995000</v>
      </c>
      <c r="M1259" t="str">
        <f>_xll.BDP("555758HR Muni","YIELD_ON_ISSUE_DATE")</f>
        <v>#N/A Requesting Data...</v>
      </c>
      <c r="N1259" t="str">
        <f>_xll.BDP("555758HR Muni","YTW_SPREAD_TO_MATURITY_AT_ISSU")</f>
        <v>#N/A Requesting Data...</v>
      </c>
      <c r="O1259" t="str">
        <f>_xll.BDP("555758HR Muni","BVAL_MID_YTM")</f>
        <v>#N/A Requesting Data...</v>
      </c>
      <c r="P1259" t="str">
        <f>_xll.BDP("555758HR Muni","MUNI_TAX_PROV")</f>
        <v>#N/A Requesting Data...</v>
      </c>
      <c r="Q1259" t="str">
        <f>_xll.BDP("555758HR Muni","MUNI_FED_TAX")</f>
        <v>#N/A Requesting Data...</v>
      </c>
      <c r="R1259" t="str">
        <f>_xll.BDP("555758HR Muni","MUNI_MSRB_VOLUME")</f>
        <v>#N/A Requesting Data...</v>
      </c>
      <c r="S1259" t="str">
        <f>_xll.BDP("555758HR Muni","BB_COMPOSITE")</f>
        <v>#N/A Requesting Data...</v>
      </c>
      <c r="T1259" t="str">
        <f>_xll.BDP("555758HR Muni","LQA_LIQUIDITY_SCORE")</f>
        <v>#N/A Requesting Data...</v>
      </c>
    </row>
    <row r="1260" spans="1:20" x14ac:dyDescent="0.25">
      <c r="A1260" t="str">
        <f>_xll.BDP("555758HS Muni","ID_CUSIP")</f>
        <v>#N/A Requesting Data...</v>
      </c>
      <c r="B1260" t="s">
        <v>326</v>
      </c>
      <c r="C1260" t="str">
        <f>_xll.BDP("555758HS Muni","INSURANCE_STATUS")</f>
        <v>#N/A Requesting Data...</v>
      </c>
      <c r="D1260" t="str">
        <f>_xll.BDP("555758HS Muni","STATE_CODE")</f>
        <v>#N/A Requesting Data...</v>
      </c>
      <c r="E1260" t="str">
        <f>_xll.BDP("555758HS Muni","COUNTY_LOCATION_ISSUER")</f>
        <v>#N/A Requesting Data...</v>
      </c>
      <c r="F1260" t="str">
        <f>_xll.BDP("555758HS Muni","DUR_ADJ_MID")</f>
        <v>#N/A Requesting Data...</v>
      </c>
      <c r="G1260" t="str">
        <f>_xll.BDP("555758HS Muni","SPREAD_AT_ISSUANCE_TO_WORST")</f>
        <v>#N/A Requesting Data...</v>
      </c>
      <c r="H1260" t="str">
        <f>_xll.BDP("555758HS Muni","ISSUE_DT")</f>
        <v>#N/A Requesting Data...</v>
      </c>
      <c r="I1260" t="str">
        <f>_xll.BDS("555758HS Muni","MUNI_PURPOSE_SCHED", "aggregate=y")</f>
        <v>#N/A Requesting Data...</v>
      </c>
      <c r="J1260" t="str">
        <f>_xll.BDP("555758HS Muni","CPN")</f>
        <v>#N/A Requesting Data...</v>
      </c>
      <c r="K1260" t="str">
        <f>_xll.BDP("555758HS Muni","MATURITY")</f>
        <v>#N/A Requesting Data...</v>
      </c>
      <c r="L1260">
        <v>2100000</v>
      </c>
      <c r="M1260" t="str">
        <f>_xll.BDP("555758HS Muni","YIELD_ON_ISSUE_DATE")</f>
        <v>#N/A Requesting Data...</v>
      </c>
      <c r="N1260" t="str">
        <f>_xll.BDP("555758HS Muni","YTW_SPREAD_TO_MATURITY_AT_ISSU")</f>
        <v>#N/A Requesting Data...</v>
      </c>
      <c r="O1260" t="str">
        <f>_xll.BDP("555758HS Muni","BVAL_MID_YTM")</f>
        <v>#N/A Requesting Data...</v>
      </c>
      <c r="P1260" t="str">
        <f>_xll.BDP("555758HS Muni","MUNI_TAX_PROV")</f>
        <v>#N/A Requesting Data...</v>
      </c>
      <c r="Q1260" t="str">
        <f>_xll.BDP("555758HS Muni","MUNI_FED_TAX")</f>
        <v>#N/A Requesting Data...</v>
      </c>
      <c r="R1260" t="str">
        <f>_xll.BDP("555758HS Muni","MUNI_MSRB_VOLUME")</f>
        <v>#N/A Requesting Data...</v>
      </c>
      <c r="S1260" t="str">
        <f>_xll.BDP("555758HS Muni","BB_COMPOSITE")</f>
        <v>#N/A Requesting Data...</v>
      </c>
      <c r="T1260" t="str">
        <f>_xll.BDP("555758HS Muni","LQA_LIQUIDITY_SCORE")</f>
        <v>#N/A Requesting Data...</v>
      </c>
    </row>
    <row r="1261" spans="1:20" x14ac:dyDescent="0.25">
      <c r="A1261" t="str">
        <f>_xll.BDP("576051SP Muni","ID_CUSIP")</f>
        <v>#N/A Requesting Data...</v>
      </c>
      <c r="B1261" t="s">
        <v>328</v>
      </c>
      <c r="C1261" t="str">
        <f>_xll.BDP("576051SP Muni","INSURANCE_STATUS")</f>
        <v>#N/A Requesting Data...</v>
      </c>
      <c r="D1261" t="str">
        <f>_xll.BDP("576051SP Muni","STATE_CODE")</f>
        <v>#N/A Requesting Data...</v>
      </c>
      <c r="E1261" t="str">
        <f>_xll.BDP("576051SP Muni","COUNTY_LOCATION_ISSUER")</f>
        <v>#N/A Requesting Data...</v>
      </c>
      <c r="F1261" t="str">
        <f>_xll.BDP("576051SP Muni","DUR_ADJ_MID")</f>
        <v>#N/A Requesting Data...</v>
      </c>
      <c r="G1261" t="str">
        <f>_xll.BDP("576051SP Muni","SPREAD_AT_ISSUANCE_TO_WORST")</f>
        <v>#N/A Requesting Data...</v>
      </c>
      <c r="H1261" t="str">
        <f>_xll.BDP("576051SP Muni","ISSUE_DT")</f>
        <v>#N/A Requesting Data...</v>
      </c>
      <c r="I1261" t="str">
        <f>_xll.BDS("576051SP Muni","MUNI_PURPOSE_SCHED", "aggregate=y")</f>
        <v>#N/A Requesting Data...</v>
      </c>
      <c r="J1261" t="str">
        <f>_xll.BDP("576051SP Muni","CPN")</f>
        <v>#N/A Requesting Data...</v>
      </c>
      <c r="K1261" t="str">
        <f>_xll.BDP("576051SP Muni","MATURITY")</f>
        <v>#N/A Requesting Data...</v>
      </c>
      <c r="L1261">
        <v>3335000</v>
      </c>
      <c r="M1261" t="str">
        <f>_xll.BDP("576051SP Muni","YIELD_ON_ISSUE_DATE")</f>
        <v>#N/A Requesting Data...</v>
      </c>
      <c r="N1261" t="str">
        <f>_xll.BDP("576051SP Muni","YTW_SPREAD_TO_MATURITY_AT_ISSU")</f>
        <v>#N/A Requesting Data...</v>
      </c>
      <c r="O1261" t="str">
        <f>_xll.BDP("576051SP Muni","BVAL_MID_YTM")</f>
        <v>#N/A Requesting Data...</v>
      </c>
      <c r="P1261" t="str">
        <f>_xll.BDP("576051SP Muni","MUNI_TAX_PROV")</f>
        <v>#N/A Requesting Data...</v>
      </c>
      <c r="Q1261" t="str">
        <f>_xll.BDP("576051SP Muni","MUNI_FED_TAX")</f>
        <v>#N/A Requesting Data...</v>
      </c>
      <c r="R1261" t="str">
        <f>_xll.BDP("576051SP Muni","MUNI_MSRB_VOLUME")</f>
        <v>#N/A Requesting Data...</v>
      </c>
      <c r="S1261" t="str">
        <f>_xll.BDP("576051SP Muni","BB_COMPOSITE")</f>
        <v>#N/A Requesting Data...</v>
      </c>
      <c r="T1261" t="str">
        <f>_xll.BDP("576051SP Muni","LQA_LIQUIDITY_SCORE")</f>
        <v>#N/A Requesting Data...</v>
      </c>
    </row>
    <row r="1262" spans="1:20" x14ac:dyDescent="0.25">
      <c r="A1262" t="str">
        <f>_xll.BDP("558614JS Muni","ID_CUSIP")</f>
        <v>#N/A Requesting Data...</v>
      </c>
      <c r="B1262" t="s">
        <v>323</v>
      </c>
      <c r="C1262" t="str">
        <f>_xll.BDP("558614JS Muni","INSURANCE_STATUS")</f>
        <v>#N/A Requesting Data...</v>
      </c>
      <c r="D1262" t="str">
        <f>_xll.BDP("558614JS Muni","STATE_CODE")</f>
        <v>#N/A Requesting Data...</v>
      </c>
      <c r="E1262" t="str">
        <f>_xll.BDP("558614JS Muni","COUNTY_LOCATION_ISSUER")</f>
        <v>#N/A Requesting Data...</v>
      </c>
      <c r="F1262" t="str">
        <f>_xll.BDP("558614JS Muni","DUR_ADJ_MID")</f>
        <v>#N/A Requesting Data...</v>
      </c>
      <c r="G1262" t="str">
        <f>_xll.BDP("558614JS Muni","SPREAD_AT_ISSUANCE_TO_WORST")</f>
        <v>#N/A Requesting Data...</v>
      </c>
      <c r="H1262" t="str">
        <f>_xll.BDP("558614JS Muni","ISSUE_DT")</f>
        <v>#N/A Requesting Data...</v>
      </c>
      <c r="I1262" t="str">
        <f>_xll.BDS("558614JS Muni","MUNI_PURPOSE_SCHED", "aggregate=y")</f>
        <v>#N/A Requesting Data...</v>
      </c>
      <c r="J1262" t="str">
        <f>_xll.BDP("558614JS Muni","CPN")</f>
        <v>#N/A Requesting Data...</v>
      </c>
      <c r="K1262" t="str">
        <f>_xll.BDP("558614JS Muni","MATURITY")</f>
        <v>#N/A Requesting Data...</v>
      </c>
      <c r="L1262">
        <v>1005000</v>
      </c>
      <c r="M1262" t="str">
        <f>_xll.BDP("558614JS Muni","YIELD_ON_ISSUE_DATE")</f>
        <v>#N/A Requesting Data...</v>
      </c>
      <c r="N1262" t="str">
        <f>_xll.BDP("558614JS Muni","YTW_SPREAD_TO_MATURITY_AT_ISSU")</f>
        <v>#N/A Requesting Data...</v>
      </c>
      <c r="O1262" t="str">
        <f>_xll.BDP("558614JS Muni","BVAL_MID_YTM")</f>
        <v>#N/A Requesting Data...</v>
      </c>
      <c r="P1262" t="str">
        <f>_xll.BDP("558614JS Muni","MUNI_TAX_PROV")</f>
        <v>#N/A Requesting Data...</v>
      </c>
      <c r="Q1262" t="str">
        <f>_xll.BDP("558614JS Muni","MUNI_FED_TAX")</f>
        <v>#N/A Requesting Data...</v>
      </c>
      <c r="R1262" t="str">
        <f>_xll.BDP("558614JS Muni","MUNI_MSRB_VOLUME")</f>
        <v>#N/A Requesting Data...</v>
      </c>
      <c r="S1262" t="str">
        <f>_xll.BDP("558614JS Muni","BB_COMPOSITE")</f>
        <v>#N/A Requesting Data...</v>
      </c>
      <c r="T1262" t="str">
        <f>_xll.BDP("558614JS Muni","LQA_LIQUIDITY_SCORE")</f>
        <v>#N/A Requesting Data...</v>
      </c>
    </row>
    <row r="1263" spans="1:20" x14ac:dyDescent="0.25">
      <c r="A1263" t="str">
        <f>_xll.BDP("558614JW Muni","ID_CUSIP")</f>
        <v>#N/A Requesting Data...</v>
      </c>
      <c r="B1263" t="s">
        <v>323</v>
      </c>
      <c r="C1263" t="str">
        <f>_xll.BDP("558614JW Muni","INSURANCE_STATUS")</f>
        <v>#N/A Requesting Data...</v>
      </c>
      <c r="D1263" t="str">
        <f>_xll.BDP("558614JW Muni","STATE_CODE")</f>
        <v>#N/A Requesting Data...</v>
      </c>
      <c r="E1263" t="str">
        <f>_xll.BDP("558614JW Muni","COUNTY_LOCATION_ISSUER")</f>
        <v>#N/A Requesting Data...</v>
      </c>
      <c r="F1263" t="str">
        <f>_xll.BDP("558614JW Muni","DUR_ADJ_MID")</f>
        <v>#N/A Requesting Data...</v>
      </c>
      <c r="G1263" t="str">
        <f>_xll.BDP("558614JW Muni","SPREAD_AT_ISSUANCE_TO_WORST")</f>
        <v>#N/A Requesting Data...</v>
      </c>
      <c r="H1263" t="str">
        <f>_xll.BDP("558614JW Muni","ISSUE_DT")</f>
        <v>#N/A Requesting Data...</v>
      </c>
      <c r="I1263" t="str">
        <f>_xll.BDS("558614JW Muni","MUNI_PURPOSE_SCHED", "aggregate=y")</f>
        <v>#N/A Requesting Data...</v>
      </c>
      <c r="J1263" t="str">
        <f>_xll.BDP("558614JW Muni","CPN")</f>
        <v>#N/A Requesting Data...</v>
      </c>
      <c r="K1263" t="str">
        <f>_xll.BDP("558614JW Muni","MATURITY")</f>
        <v>#N/A Requesting Data...</v>
      </c>
      <c r="L1263">
        <v>1145000</v>
      </c>
      <c r="M1263" t="str">
        <f>_xll.BDP("558614JW Muni","YIELD_ON_ISSUE_DATE")</f>
        <v>#N/A Requesting Data...</v>
      </c>
      <c r="N1263" t="str">
        <f>_xll.BDP("558614JW Muni","YTW_SPREAD_TO_MATURITY_AT_ISSU")</f>
        <v>#N/A Requesting Data...</v>
      </c>
      <c r="O1263" t="str">
        <f>_xll.BDP("558614JW Muni","BVAL_MID_YTM")</f>
        <v>#N/A Requesting Data...</v>
      </c>
      <c r="P1263" t="str">
        <f>_xll.BDP("558614JW Muni","MUNI_TAX_PROV")</f>
        <v>#N/A Requesting Data...</v>
      </c>
      <c r="Q1263" t="str">
        <f>_xll.BDP("558614JW Muni","MUNI_FED_TAX")</f>
        <v>#N/A Requesting Data...</v>
      </c>
      <c r="R1263" t="str">
        <f>_xll.BDP("558614JW Muni","MUNI_MSRB_VOLUME")</f>
        <v>#N/A Requesting Data...</v>
      </c>
      <c r="S1263" t="str">
        <f>_xll.BDP("558614JW Muni","BB_COMPOSITE")</f>
        <v>#N/A Requesting Data...</v>
      </c>
      <c r="T1263" t="str">
        <f>_xll.BDP("558614JW Muni","LQA_LIQUIDITY_SCORE")</f>
        <v>#N/A Requesting Data...</v>
      </c>
    </row>
    <row r="1264" spans="1:20" x14ac:dyDescent="0.25">
      <c r="A1264" t="str">
        <f>_xll.BDP("578422SL Muni","ID_CUSIP")</f>
        <v>#N/A Requesting Data...</v>
      </c>
      <c r="B1264" t="s">
        <v>324</v>
      </c>
      <c r="C1264" t="str">
        <f>_xll.BDP("578422SL Muni","INSURANCE_STATUS")</f>
        <v>#N/A Requesting Data...</v>
      </c>
      <c r="D1264" t="str">
        <f>_xll.BDP("578422SL Muni","STATE_CODE")</f>
        <v>#N/A Requesting Data...</v>
      </c>
      <c r="E1264" t="str">
        <f>_xll.BDP("578422SL Muni","COUNTY_LOCATION_ISSUER")</f>
        <v>#N/A Requesting Data...</v>
      </c>
      <c r="F1264" t="str">
        <f>_xll.BDP("578422SL Muni","DUR_ADJ_MID")</f>
        <v>#N/A Requesting Data...</v>
      </c>
      <c r="G1264" t="str">
        <f>_xll.BDP("578422SL Muni","SPREAD_AT_ISSUANCE_TO_WORST")</f>
        <v>#N/A Requesting Data...</v>
      </c>
      <c r="H1264" t="str">
        <f>_xll.BDP("578422SL Muni","ISSUE_DT")</f>
        <v>#N/A Requesting Data...</v>
      </c>
      <c r="I1264" t="str">
        <f>_xll.BDS("578422SL Muni","MUNI_PURPOSE_SCHED", "aggregate=y")</f>
        <v>#N/A Requesting Data...</v>
      </c>
      <c r="J1264" t="str">
        <f>_xll.BDP("578422SL Muni","CPN")</f>
        <v>#N/A Requesting Data...</v>
      </c>
      <c r="K1264" t="str">
        <f>_xll.BDP("578422SL Muni","MATURITY")</f>
        <v>#N/A Requesting Data...</v>
      </c>
      <c r="L1264">
        <v>100000</v>
      </c>
      <c r="M1264" t="str">
        <f>_xll.BDP("578422SL Muni","YIELD_ON_ISSUE_DATE")</f>
        <v>#N/A Requesting Data...</v>
      </c>
      <c r="N1264" t="str">
        <f>_xll.BDP("578422SL Muni","YTW_SPREAD_TO_MATURITY_AT_ISSU")</f>
        <v>#N/A Requesting Data...</v>
      </c>
      <c r="O1264" t="str">
        <f>_xll.BDP("578422SL Muni","BVAL_MID_YTM")</f>
        <v>#N/A Requesting Data...</v>
      </c>
      <c r="P1264" t="str">
        <f>_xll.BDP("578422SL Muni","MUNI_TAX_PROV")</f>
        <v>#N/A Requesting Data...</v>
      </c>
      <c r="Q1264" t="str">
        <f>_xll.BDP("578422SL Muni","MUNI_FED_TAX")</f>
        <v>#N/A Requesting Data...</v>
      </c>
      <c r="R1264" t="str">
        <f>_xll.BDP("578422SL Muni","MUNI_MSRB_VOLUME")</f>
        <v>#N/A Requesting Data...</v>
      </c>
      <c r="S1264" t="str">
        <f>_xll.BDP("578422SL Muni","BB_COMPOSITE")</f>
        <v>#N/A Requesting Data...</v>
      </c>
      <c r="T1264" t="str">
        <f>_xll.BDP("578422SL Muni","LQA_LIQUIDITY_SCORE")</f>
        <v>#N/A Requesting Data...</v>
      </c>
    </row>
    <row r="1265" spans="1:20" x14ac:dyDescent="0.25">
      <c r="A1265" t="str">
        <f>_xll.BDP("555758HQ Muni","ID_CUSIP")</f>
        <v>#N/A Requesting Data...</v>
      </c>
      <c r="B1265" t="s">
        <v>326</v>
      </c>
      <c r="C1265" t="str">
        <f>_xll.BDP("555758HQ Muni","INSURANCE_STATUS")</f>
        <v>#N/A Requesting Data...</v>
      </c>
      <c r="D1265" t="str">
        <f>_xll.BDP("555758HQ Muni","STATE_CODE")</f>
        <v>#N/A Requesting Data...</v>
      </c>
      <c r="E1265" t="str">
        <f>_xll.BDP("555758HQ Muni","COUNTY_LOCATION_ISSUER")</f>
        <v>#N/A Requesting Data...</v>
      </c>
      <c r="F1265" t="str">
        <f>_xll.BDP("555758HQ Muni","DUR_ADJ_MID")</f>
        <v>#N/A Requesting Data...</v>
      </c>
      <c r="G1265" t="str">
        <f>_xll.BDP("555758HQ Muni","SPREAD_AT_ISSUANCE_TO_WORST")</f>
        <v>#N/A Requesting Data...</v>
      </c>
      <c r="H1265" t="str">
        <f>_xll.BDP("555758HQ Muni","ISSUE_DT")</f>
        <v>#N/A Requesting Data...</v>
      </c>
      <c r="I1265" t="str">
        <f>_xll.BDS("555758HQ Muni","MUNI_PURPOSE_SCHED", "aggregate=y")</f>
        <v>#N/A Requesting Data...</v>
      </c>
      <c r="J1265" t="str">
        <f>_xll.BDP("555758HQ Muni","CPN")</f>
        <v>#N/A Requesting Data...</v>
      </c>
      <c r="K1265" t="str">
        <f>_xll.BDP("555758HQ Muni","MATURITY")</f>
        <v>#N/A Requesting Data...</v>
      </c>
      <c r="L1265">
        <v>435000</v>
      </c>
      <c r="M1265" t="str">
        <f>_xll.BDP("555758HQ Muni","YIELD_ON_ISSUE_DATE")</f>
        <v>#N/A Requesting Data...</v>
      </c>
      <c r="N1265" t="str">
        <f>_xll.BDP("555758HQ Muni","YTW_SPREAD_TO_MATURITY_AT_ISSU")</f>
        <v>#N/A Requesting Data...</v>
      </c>
      <c r="O1265" t="str">
        <f>_xll.BDP("555758HQ Muni","BVAL_MID_YTM")</f>
        <v>#N/A Requesting Data...</v>
      </c>
      <c r="P1265" t="str">
        <f>_xll.BDP("555758HQ Muni","MUNI_TAX_PROV")</f>
        <v>#N/A Requesting Data...</v>
      </c>
      <c r="Q1265" t="str">
        <f>_xll.BDP("555758HQ Muni","MUNI_FED_TAX")</f>
        <v>#N/A Requesting Data...</v>
      </c>
      <c r="R1265" t="str">
        <f>_xll.BDP("555758HQ Muni","MUNI_MSRB_VOLUME")</f>
        <v>#N/A Requesting Data...</v>
      </c>
      <c r="S1265" t="str">
        <f>_xll.BDP("555758HQ Muni","BB_COMPOSITE")</f>
        <v>#N/A Requesting Data...</v>
      </c>
      <c r="T1265" t="str">
        <f>_xll.BDP("555758HQ Muni","LQA_LIQUIDITY_SCORE")</f>
        <v>#N/A Requesting Data...</v>
      </c>
    </row>
    <row r="1266" spans="1:20" x14ac:dyDescent="0.25">
      <c r="A1266" t="str">
        <f>_xll.BDP("556775CE Muni","ID_CUSIP")</f>
        <v>#N/A Requesting Data...</v>
      </c>
      <c r="B1266" t="s">
        <v>327</v>
      </c>
      <c r="C1266" t="str">
        <f>_xll.BDP("556775CE Muni","INSURANCE_STATUS")</f>
        <v>#N/A Requesting Data...</v>
      </c>
      <c r="D1266" t="str">
        <f>_xll.BDP("556775CE Muni","STATE_CODE")</f>
        <v>#N/A Requesting Data...</v>
      </c>
      <c r="E1266" t="str">
        <f>_xll.BDP("556775CE Muni","COUNTY_LOCATION_ISSUER")</f>
        <v>#N/A Requesting Data...</v>
      </c>
      <c r="F1266" t="str">
        <f>_xll.BDP("556775CE Muni","DUR_ADJ_MID")</f>
        <v>#N/A Requesting Data...</v>
      </c>
      <c r="G1266" t="str">
        <f>_xll.BDP("556775CE Muni","SPREAD_AT_ISSUANCE_TO_WORST")</f>
        <v>#N/A Requesting Data...</v>
      </c>
      <c r="H1266" t="str">
        <f>_xll.BDP("556775CE Muni","ISSUE_DT")</f>
        <v>#N/A Requesting Data...</v>
      </c>
      <c r="I1266" t="str">
        <f>_xll.BDS("556775CE Muni","MUNI_PURPOSE_SCHED", "aggregate=y")</f>
        <v>#N/A Requesting Data...</v>
      </c>
      <c r="J1266" t="str">
        <f>_xll.BDP("556775CE Muni","CPN")</f>
        <v>#N/A Requesting Data...</v>
      </c>
      <c r="K1266" t="str">
        <f>_xll.BDP("556775CE Muni","MATURITY")</f>
        <v>#N/A Requesting Data...</v>
      </c>
      <c r="L1266">
        <v>985000</v>
      </c>
      <c r="M1266" t="str">
        <f>_xll.BDP("556775CE Muni","YIELD_ON_ISSUE_DATE")</f>
        <v>#N/A Requesting Data...</v>
      </c>
      <c r="N1266" t="str">
        <f>_xll.BDP("556775CE Muni","YTW_SPREAD_TO_MATURITY_AT_ISSU")</f>
        <v>#N/A Requesting Data...</v>
      </c>
      <c r="O1266" t="str">
        <f>_xll.BDP("556775CE Muni","BVAL_MID_YTM")</f>
        <v>#N/A Requesting Data...</v>
      </c>
      <c r="P1266" t="str">
        <f>_xll.BDP("556775CE Muni","MUNI_TAX_PROV")</f>
        <v>#N/A Requesting Data...</v>
      </c>
      <c r="Q1266" t="str">
        <f>_xll.BDP("556775CE Muni","MUNI_FED_TAX")</f>
        <v>#N/A Requesting Data...</v>
      </c>
      <c r="R1266" t="str">
        <f>_xll.BDP("556775CE Muni","MUNI_MSRB_VOLUME")</f>
        <v>#N/A Requesting Data...</v>
      </c>
      <c r="S1266" t="str">
        <f>_xll.BDP("556775CE Muni","BB_COMPOSITE")</f>
        <v>#N/A Requesting Data...</v>
      </c>
      <c r="T1266" t="str">
        <f>_xll.BDP("556775CE Muni","LQA_LIQUIDITY_SCORE")</f>
        <v>#N/A Requesting Data...</v>
      </c>
    </row>
    <row r="1267" spans="1:20" x14ac:dyDescent="0.25">
      <c r="A1267" t="str">
        <f>_xll.BDP("556775CF Muni","ID_CUSIP")</f>
        <v>#N/A Requesting Data...</v>
      </c>
      <c r="B1267" t="s">
        <v>327</v>
      </c>
      <c r="C1267" t="str">
        <f>_xll.BDP("556775CF Muni","INSURANCE_STATUS")</f>
        <v>#N/A Requesting Data...</v>
      </c>
      <c r="D1267" t="str">
        <f>_xll.BDP("556775CF Muni","STATE_CODE")</f>
        <v>#N/A Requesting Data...</v>
      </c>
      <c r="E1267" t="str">
        <f>_xll.BDP("556775CF Muni","COUNTY_LOCATION_ISSUER")</f>
        <v>#N/A Requesting Data...</v>
      </c>
      <c r="F1267" t="str">
        <f>_xll.BDP("556775CF Muni","DUR_ADJ_MID")</f>
        <v>#N/A Requesting Data...</v>
      </c>
      <c r="G1267" t="str">
        <f>_xll.BDP("556775CF Muni","SPREAD_AT_ISSUANCE_TO_WORST")</f>
        <v>#N/A Requesting Data...</v>
      </c>
      <c r="H1267" t="str">
        <f>_xll.BDP("556775CF Muni","ISSUE_DT")</f>
        <v>#N/A Requesting Data...</v>
      </c>
      <c r="I1267" t="str">
        <f>_xll.BDS("556775CF Muni","MUNI_PURPOSE_SCHED", "aggregate=y")</f>
        <v>#N/A Requesting Data...</v>
      </c>
      <c r="J1267" t="str">
        <f>_xll.BDP("556775CF Muni","CPN")</f>
        <v>#N/A Requesting Data...</v>
      </c>
      <c r="K1267" t="str">
        <f>_xll.BDP("556775CF Muni","MATURITY")</f>
        <v>#N/A Requesting Data...</v>
      </c>
      <c r="L1267">
        <v>1035000</v>
      </c>
      <c r="M1267" t="str">
        <f>_xll.BDP("556775CF Muni","YIELD_ON_ISSUE_DATE")</f>
        <v>#N/A Requesting Data...</v>
      </c>
      <c r="N1267" t="str">
        <f>_xll.BDP("556775CF Muni","YTW_SPREAD_TO_MATURITY_AT_ISSU")</f>
        <v>#N/A Requesting Data...</v>
      </c>
      <c r="O1267" t="str">
        <f>_xll.BDP("556775CF Muni","BVAL_MID_YTM")</f>
        <v>#N/A Requesting Data...</v>
      </c>
      <c r="P1267" t="str">
        <f>_xll.BDP("556775CF Muni","MUNI_TAX_PROV")</f>
        <v>#N/A Requesting Data...</v>
      </c>
      <c r="Q1267" t="str">
        <f>_xll.BDP("556775CF Muni","MUNI_FED_TAX")</f>
        <v>#N/A Requesting Data...</v>
      </c>
      <c r="R1267" t="str">
        <f>_xll.BDP("556775CF Muni","MUNI_MSRB_VOLUME")</f>
        <v>#N/A Requesting Data...</v>
      </c>
      <c r="S1267" t="str">
        <f>_xll.BDP("556775CF Muni","BB_COMPOSITE")</f>
        <v>#N/A Requesting Data...</v>
      </c>
      <c r="T1267" t="str">
        <f>_xll.BDP("556775CF Muni","LQA_LIQUIDITY_SCORE")</f>
        <v>#N/A Requesting Data...</v>
      </c>
    </row>
    <row r="1268" spans="1:20" x14ac:dyDescent="0.25">
      <c r="A1268" t="str">
        <f>_xll.BDP("59447TST Muni","ID_CUSIP")</f>
        <v>#N/A Requesting Data...</v>
      </c>
      <c r="B1268" t="s">
        <v>314</v>
      </c>
      <c r="C1268" t="str">
        <f>_xll.BDP("59447TST Muni","INSURANCE_STATUS")</f>
        <v>#N/A Requesting Data...</v>
      </c>
      <c r="D1268" t="str">
        <f>_xll.BDP("59447TST Muni","STATE_CODE")</f>
        <v>#N/A Requesting Data...</v>
      </c>
      <c r="E1268" t="str">
        <f>_xll.BDP("59447TST Muni","COUNTY_LOCATION_ISSUER")</f>
        <v>#N/A Requesting Data...</v>
      </c>
      <c r="F1268" t="str">
        <f>_xll.BDP("59447TST Muni","DUR_ADJ_MID")</f>
        <v>#N/A Requesting Data...</v>
      </c>
      <c r="G1268" t="str">
        <f>_xll.BDP("59447TST Muni","SPREAD_AT_ISSUANCE_TO_WORST")</f>
        <v>#N/A Requesting Data...</v>
      </c>
      <c r="H1268" t="str">
        <f>_xll.BDP("59447TST Muni","ISSUE_DT")</f>
        <v>#N/A Requesting Data...</v>
      </c>
      <c r="I1268" t="str">
        <f>_xll.BDS("59447TST Muni","MUNI_PURPOSE_SCHED", "aggregate=y")</f>
        <v>#N/A Requesting Data...</v>
      </c>
      <c r="J1268" t="str">
        <f>_xll.BDP("59447TST Muni","CPN")</f>
        <v>#N/A Requesting Data...</v>
      </c>
      <c r="K1268" t="str">
        <f>_xll.BDP("59447TST Muni","MATURITY")</f>
        <v>#N/A Requesting Data...</v>
      </c>
      <c r="L1268">
        <v>4920000</v>
      </c>
      <c r="M1268" t="str">
        <f>_xll.BDP("59447TST Muni","YIELD_ON_ISSUE_DATE")</f>
        <v>#N/A Requesting Data...</v>
      </c>
      <c r="N1268" t="str">
        <f>_xll.BDP("59447TST Muni","YTW_SPREAD_TO_MATURITY_AT_ISSU")</f>
        <v>#N/A Requesting Data...</v>
      </c>
      <c r="O1268" t="str">
        <f>_xll.BDP("59447TST Muni","BVAL_MID_YTM")</f>
        <v>#N/A Requesting Data...</v>
      </c>
      <c r="P1268" t="str">
        <f>_xll.BDP("59447TST Muni","MUNI_TAX_PROV")</f>
        <v>#N/A Requesting Data...</v>
      </c>
      <c r="Q1268" t="str">
        <f>_xll.BDP("59447TST Muni","MUNI_FED_TAX")</f>
        <v>#N/A Requesting Data...</v>
      </c>
      <c r="R1268" t="str">
        <f>_xll.BDP("59447TST Muni","MUNI_MSRB_VOLUME")</f>
        <v>#N/A Requesting Data...</v>
      </c>
      <c r="S1268" t="str">
        <f>_xll.BDP("59447TST Muni","BB_COMPOSITE")</f>
        <v>#N/A Requesting Data...</v>
      </c>
      <c r="T1268" t="str">
        <f>_xll.BDP("59447TST Muni","LQA_LIQUIDITY_SCORE")</f>
        <v>#N/A Requesting Data...</v>
      </c>
    </row>
    <row r="1269" spans="1:20" x14ac:dyDescent="0.25">
      <c r="A1269" t="str">
        <f>_xll.BDP("59447TSU Muni","ID_CUSIP")</f>
        <v>#N/A Requesting Data...</v>
      </c>
      <c r="B1269" t="s">
        <v>314</v>
      </c>
      <c r="C1269" t="str">
        <f>_xll.BDP("59447TSU Muni","INSURANCE_STATUS")</f>
        <v>#N/A Requesting Data...</v>
      </c>
      <c r="D1269" t="str">
        <f>_xll.BDP("59447TSU Muni","STATE_CODE")</f>
        <v>#N/A Requesting Data...</v>
      </c>
      <c r="E1269" t="str">
        <f>_xll.BDP("59447TSU Muni","COUNTY_LOCATION_ISSUER")</f>
        <v>#N/A Requesting Data...</v>
      </c>
      <c r="F1269" t="str">
        <f>_xll.BDP("59447TSU Muni","DUR_ADJ_MID")</f>
        <v>#N/A Requesting Data...</v>
      </c>
      <c r="G1269" t="str">
        <f>_xll.BDP("59447TSU Muni","SPREAD_AT_ISSUANCE_TO_WORST")</f>
        <v>#N/A Requesting Data...</v>
      </c>
      <c r="H1269" t="str">
        <f>_xll.BDP("59447TSU Muni","ISSUE_DT")</f>
        <v>#N/A Requesting Data...</v>
      </c>
      <c r="I1269" t="str">
        <f>_xll.BDS("59447TSU Muni","MUNI_PURPOSE_SCHED", "aggregate=y")</f>
        <v>#N/A Requesting Data...</v>
      </c>
      <c r="J1269" t="str">
        <f>_xll.BDP("59447TSU Muni","CPN")</f>
        <v>#N/A Requesting Data...</v>
      </c>
      <c r="K1269" t="str">
        <f>_xll.BDP("59447TSU Muni","MATURITY")</f>
        <v>#N/A Requesting Data...</v>
      </c>
      <c r="L1269">
        <v>13735000</v>
      </c>
      <c r="M1269" t="str">
        <f>_xll.BDP("59447TSU Muni","YIELD_ON_ISSUE_DATE")</f>
        <v>#N/A Requesting Data...</v>
      </c>
      <c r="N1269" t="str">
        <f>_xll.BDP("59447TSU Muni","YTW_SPREAD_TO_MATURITY_AT_ISSU")</f>
        <v>#N/A Requesting Data...</v>
      </c>
      <c r="O1269" t="str">
        <f>_xll.BDP("59447TSU Muni","BVAL_MID_YTM")</f>
        <v>#N/A Requesting Data...</v>
      </c>
      <c r="P1269" t="str">
        <f>_xll.BDP("59447TSU Muni","MUNI_TAX_PROV")</f>
        <v>#N/A Requesting Data...</v>
      </c>
      <c r="Q1269" t="str">
        <f>_xll.BDP("59447TSU Muni","MUNI_FED_TAX")</f>
        <v>#N/A Requesting Data...</v>
      </c>
      <c r="R1269" t="str">
        <f>_xll.BDP("59447TSU Muni","MUNI_MSRB_VOLUME")</f>
        <v>#N/A Requesting Data...</v>
      </c>
      <c r="S1269" t="str">
        <f>_xll.BDP("59447TSU Muni","BB_COMPOSITE")</f>
        <v>#N/A Requesting Data...</v>
      </c>
      <c r="T1269" t="str">
        <f>_xll.BDP("59447TSU Muni","LQA_LIQUIDITY_SCORE")</f>
        <v>#N/A Requesting Data...</v>
      </c>
    </row>
    <row r="1270" spans="1:20" x14ac:dyDescent="0.25">
      <c r="A1270" t="str">
        <f>_xll.BDP("59447TSX Muni","ID_CUSIP")</f>
        <v>#N/A Requesting Data...</v>
      </c>
      <c r="B1270" t="s">
        <v>314</v>
      </c>
      <c r="C1270" t="str">
        <f>_xll.BDP("59447TSX Muni","INSURANCE_STATUS")</f>
        <v>#N/A Requesting Data...</v>
      </c>
      <c r="D1270" t="str">
        <f>_xll.BDP("59447TSX Muni","STATE_CODE")</f>
        <v>#N/A Requesting Data...</v>
      </c>
      <c r="E1270" t="str">
        <f>_xll.BDP("59447TSX Muni","COUNTY_LOCATION_ISSUER")</f>
        <v>#N/A Requesting Data...</v>
      </c>
      <c r="F1270" t="str">
        <f>_xll.BDP("59447TSX Muni","DUR_ADJ_MID")</f>
        <v>#N/A Requesting Data...</v>
      </c>
      <c r="G1270" t="str">
        <f>_xll.BDP("59447TSX Muni","SPREAD_AT_ISSUANCE_TO_WORST")</f>
        <v>#N/A Requesting Data...</v>
      </c>
      <c r="H1270" t="str">
        <f>_xll.BDP("59447TSX Muni","ISSUE_DT")</f>
        <v>#N/A Requesting Data...</v>
      </c>
      <c r="I1270" t="str">
        <f>_xll.BDS("59447TSX Muni","MUNI_PURPOSE_SCHED", "aggregate=y")</f>
        <v>#N/A Requesting Data...</v>
      </c>
      <c r="J1270" t="str">
        <f>_xll.BDP("59447TSX Muni","CPN")</f>
        <v>#N/A Requesting Data...</v>
      </c>
      <c r="K1270" t="str">
        <f>_xll.BDP("59447TSX Muni","MATURITY")</f>
        <v>#N/A Requesting Data...</v>
      </c>
      <c r="L1270">
        <v>7265000</v>
      </c>
      <c r="M1270" t="str">
        <f>_xll.BDP("59447TSX Muni","YIELD_ON_ISSUE_DATE")</f>
        <v>#N/A Requesting Data...</v>
      </c>
      <c r="N1270" t="str">
        <f>_xll.BDP("59447TSX Muni","YTW_SPREAD_TO_MATURITY_AT_ISSU")</f>
        <v>#N/A Requesting Data...</v>
      </c>
      <c r="O1270" t="str">
        <f>_xll.BDP("59447TSX Muni","BVAL_MID_YTM")</f>
        <v>#N/A Requesting Data...</v>
      </c>
      <c r="P1270" t="str">
        <f>_xll.BDP("59447TSX Muni","MUNI_TAX_PROV")</f>
        <v>#N/A Requesting Data...</v>
      </c>
      <c r="Q1270" t="str">
        <f>_xll.BDP("59447TSX Muni","MUNI_FED_TAX")</f>
        <v>#N/A Requesting Data...</v>
      </c>
      <c r="R1270" t="str">
        <f>_xll.BDP("59447TSX Muni","MUNI_MSRB_VOLUME")</f>
        <v>#N/A Requesting Data...</v>
      </c>
      <c r="S1270" t="str">
        <f>_xll.BDP("59447TSX Muni","BB_COMPOSITE")</f>
        <v>#N/A Requesting Data...</v>
      </c>
      <c r="T1270" t="str">
        <f>_xll.BDP("59447TSX Muni","LQA_LIQUIDITY_SCORE")</f>
        <v>#N/A Requesting Data...</v>
      </c>
    </row>
    <row r="1271" spans="1:20" x14ac:dyDescent="0.25">
      <c r="A1271" t="str">
        <f>_xll.BDP("561851JR Muni","ID_CUSIP")</f>
        <v>#N/A Requesting Data...</v>
      </c>
      <c r="B1271" t="s">
        <v>311</v>
      </c>
      <c r="C1271" t="str">
        <f>_xll.BDP("561851JR Muni","INSURANCE_STATUS")</f>
        <v>#N/A Requesting Data...</v>
      </c>
      <c r="D1271" t="str">
        <f>_xll.BDP("561851JR Muni","STATE_CODE")</f>
        <v>#N/A Requesting Data...</v>
      </c>
      <c r="E1271" t="str">
        <f>_xll.BDP("561851JR Muni","COUNTY_LOCATION_ISSUER")</f>
        <v>#N/A Requesting Data...</v>
      </c>
      <c r="F1271" t="str">
        <f>_xll.BDP("561851JR Muni","DUR_ADJ_MID")</f>
        <v>#N/A Requesting Data...</v>
      </c>
      <c r="G1271" t="str">
        <f>_xll.BDP("561851JR Muni","SPREAD_AT_ISSUANCE_TO_WORST")</f>
        <v>#N/A Requesting Data...</v>
      </c>
      <c r="H1271" t="str">
        <f>_xll.BDP("561851JR Muni","ISSUE_DT")</f>
        <v>#N/A Requesting Data...</v>
      </c>
      <c r="I1271" t="str">
        <f>_xll.BDS("561851JR Muni","MUNI_PURPOSE_SCHED", "aggregate=y")</f>
        <v>#N/A Requesting Data...</v>
      </c>
      <c r="J1271" t="str">
        <f>_xll.BDP("561851JR Muni","CPN")</f>
        <v>#N/A Requesting Data...</v>
      </c>
      <c r="K1271" t="str">
        <f>_xll.BDP("561851JR Muni","MATURITY")</f>
        <v>#N/A Requesting Data...</v>
      </c>
      <c r="L1271">
        <v>1590000</v>
      </c>
      <c r="M1271" t="str">
        <f>_xll.BDP("561851JR Muni","YIELD_ON_ISSUE_DATE")</f>
        <v>#N/A Requesting Data...</v>
      </c>
      <c r="N1271" t="str">
        <f>_xll.BDP("561851JR Muni","YTW_SPREAD_TO_MATURITY_AT_ISSU")</f>
        <v>#N/A Requesting Data...</v>
      </c>
      <c r="O1271" t="str">
        <f>_xll.BDP("561851JR Muni","BVAL_MID_YTM")</f>
        <v>#N/A Requesting Data...</v>
      </c>
      <c r="P1271" t="str">
        <f>_xll.BDP("561851JR Muni","MUNI_TAX_PROV")</f>
        <v>#N/A Requesting Data...</v>
      </c>
      <c r="Q1271" t="str">
        <f>_xll.BDP("561851JR Muni","MUNI_FED_TAX")</f>
        <v>#N/A Requesting Data...</v>
      </c>
      <c r="R1271" t="str">
        <f>_xll.BDP("561851JR Muni","MUNI_MSRB_VOLUME")</f>
        <v>#N/A Requesting Data...</v>
      </c>
      <c r="S1271" t="str">
        <f>_xll.BDP("561851JR Muni","BB_COMPOSITE")</f>
        <v>#N/A Requesting Data...</v>
      </c>
      <c r="T1271" t="str">
        <f>_xll.BDP("561851JR Muni","LQA_LIQUIDITY_SCORE")</f>
        <v>#N/A Requesting Data...</v>
      </c>
    </row>
    <row r="1272" spans="1:20" x14ac:dyDescent="0.25">
      <c r="A1272" t="str">
        <f>_xll.BDP("561851JT Muni","ID_CUSIP")</f>
        <v>#N/A Requesting Data...</v>
      </c>
      <c r="B1272" t="s">
        <v>311</v>
      </c>
      <c r="C1272" t="str">
        <f>_xll.BDP("561851JT Muni","INSURANCE_STATUS")</f>
        <v>#N/A Requesting Data...</v>
      </c>
      <c r="D1272" t="str">
        <f>_xll.BDP("561851JT Muni","STATE_CODE")</f>
        <v>#N/A Requesting Data...</v>
      </c>
      <c r="E1272" t="str">
        <f>_xll.BDP("561851JT Muni","COUNTY_LOCATION_ISSUER")</f>
        <v>#N/A Requesting Data...</v>
      </c>
      <c r="F1272" t="str">
        <f>_xll.BDP("561851JT Muni","DUR_ADJ_MID")</f>
        <v>#N/A Requesting Data...</v>
      </c>
      <c r="G1272" t="str">
        <f>_xll.BDP("561851JT Muni","SPREAD_AT_ISSUANCE_TO_WORST")</f>
        <v>#N/A Requesting Data...</v>
      </c>
      <c r="H1272" t="str">
        <f>_xll.BDP("561851JT Muni","ISSUE_DT")</f>
        <v>#N/A Requesting Data...</v>
      </c>
      <c r="I1272" t="str">
        <f>_xll.BDS("561851JT Muni","MUNI_PURPOSE_SCHED", "aggregate=y")</f>
        <v>#N/A Requesting Data...</v>
      </c>
      <c r="J1272" t="str">
        <f>_xll.BDP("561851JT Muni","CPN")</f>
        <v>#N/A Requesting Data...</v>
      </c>
      <c r="K1272" t="str">
        <f>_xll.BDP("561851JT Muni","MATURITY")</f>
        <v>#N/A Requesting Data...</v>
      </c>
      <c r="L1272">
        <v>1750000</v>
      </c>
      <c r="M1272" t="str">
        <f>_xll.BDP("561851JT Muni","YIELD_ON_ISSUE_DATE")</f>
        <v>#N/A Requesting Data...</v>
      </c>
      <c r="N1272" t="str">
        <f>_xll.BDP("561851JT Muni","YTW_SPREAD_TO_MATURITY_AT_ISSU")</f>
        <v>#N/A Requesting Data...</v>
      </c>
      <c r="O1272" t="str">
        <f>_xll.BDP("561851JT Muni","BVAL_MID_YTM")</f>
        <v>#N/A Requesting Data...</v>
      </c>
      <c r="P1272" t="str">
        <f>_xll.BDP("561851JT Muni","MUNI_TAX_PROV")</f>
        <v>#N/A Requesting Data...</v>
      </c>
      <c r="Q1272" t="str">
        <f>_xll.BDP("561851JT Muni","MUNI_FED_TAX")</f>
        <v>#N/A Requesting Data...</v>
      </c>
      <c r="R1272" t="str">
        <f>_xll.BDP("561851JT Muni","MUNI_MSRB_VOLUME")</f>
        <v>#N/A Requesting Data...</v>
      </c>
      <c r="S1272" t="str">
        <f>_xll.BDP("561851JT Muni","BB_COMPOSITE")</f>
        <v>#N/A Requesting Data...</v>
      </c>
      <c r="T1272" t="str">
        <f>_xll.BDP("561851JT Muni","LQA_LIQUIDITY_SCORE")</f>
        <v>#N/A Requesting Data...</v>
      </c>
    </row>
    <row r="1273" spans="1:20" x14ac:dyDescent="0.25">
      <c r="A1273" t="str">
        <f>_xll.BDP("561851JV Muni","ID_CUSIP")</f>
        <v>#N/A Requesting Data...</v>
      </c>
      <c r="B1273" t="s">
        <v>311</v>
      </c>
      <c r="C1273" t="str">
        <f>_xll.BDP("561851JV Muni","INSURANCE_STATUS")</f>
        <v>#N/A Requesting Data...</v>
      </c>
      <c r="D1273" t="str">
        <f>_xll.BDP("561851JV Muni","STATE_CODE")</f>
        <v>#N/A Requesting Data...</v>
      </c>
      <c r="E1273" t="str">
        <f>_xll.BDP("561851JV Muni","COUNTY_LOCATION_ISSUER")</f>
        <v>#N/A Requesting Data...</v>
      </c>
      <c r="F1273" t="str">
        <f>_xll.BDP("561851JV Muni","DUR_ADJ_MID")</f>
        <v>#N/A Requesting Data...</v>
      </c>
      <c r="G1273" t="str">
        <f>_xll.BDP("561851JV Muni","SPREAD_AT_ISSUANCE_TO_WORST")</f>
        <v>#N/A Requesting Data...</v>
      </c>
      <c r="H1273" t="str">
        <f>_xll.BDP("561851JV Muni","ISSUE_DT")</f>
        <v>#N/A Requesting Data...</v>
      </c>
      <c r="I1273" t="str">
        <f>_xll.BDS("561851JV Muni","MUNI_PURPOSE_SCHED", "aggregate=y")</f>
        <v>#N/A Requesting Data...</v>
      </c>
      <c r="J1273" t="str">
        <f>_xll.BDP("561851JV Muni","CPN")</f>
        <v>#N/A Requesting Data...</v>
      </c>
      <c r="K1273" t="str">
        <f>_xll.BDP("561851JV Muni","MATURITY")</f>
        <v>#N/A Requesting Data...</v>
      </c>
      <c r="L1273">
        <v>1930000</v>
      </c>
      <c r="M1273" t="str">
        <f>_xll.BDP("561851JV Muni","YIELD_ON_ISSUE_DATE")</f>
        <v>#N/A Requesting Data...</v>
      </c>
      <c r="N1273" t="str">
        <f>_xll.BDP("561851JV Muni","YTW_SPREAD_TO_MATURITY_AT_ISSU")</f>
        <v>#N/A Requesting Data...</v>
      </c>
      <c r="O1273" t="str">
        <f>_xll.BDP("561851JV Muni","BVAL_MID_YTM")</f>
        <v>#N/A Requesting Data...</v>
      </c>
      <c r="P1273" t="str">
        <f>_xll.BDP("561851JV Muni","MUNI_TAX_PROV")</f>
        <v>#N/A Requesting Data...</v>
      </c>
      <c r="Q1273" t="str">
        <f>_xll.BDP("561851JV Muni","MUNI_FED_TAX")</f>
        <v>#N/A Requesting Data...</v>
      </c>
      <c r="R1273" t="str">
        <f>_xll.BDP("561851JV Muni","MUNI_MSRB_VOLUME")</f>
        <v>#N/A Requesting Data...</v>
      </c>
      <c r="S1273" t="str">
        <f>_xll.BDP("561851JV Muni","BB_COMPOSITE")</f>
        <v>#N/A Requesting Data...</v>
      </c>
      <c r="T1273" t="str">
        <f>_xll.BDP("561851JV Muni","LQA_LIQUIDITY_SCORE")</f>
        <v>#N/A Requesting Data...</v>
      </c>
    </row>
    <row r="1274" spans="1:20" x14ac:dyDescent="0.25">
      <c r="A1274" t="str">
        <f>_xll.BDP("561851JX Muni","ID_CUSIP")</f>
        <v>#N/A Requesting Data...</v>
      </c>
      <c r="B1274" t="s">
        <v>311</v>
      </c>
      <c r="C1274" t="str">
        <f>_xll.BDP("561851JX Muni","INSURANCE_STATUS")</f>
        <v>#N/A Requesting Data...</v>
      </c>
      <c r="D1274" t="str">
        <f>_xll.BDP("561851JX Muni","STATE_CODE")</f>
        <v>#N/A Requesting Data...</v>
      </c>
      <c r="E1274" t="str">
        <f>_xll.BDP("561851JX Muni","COUNTY_LOCATION_ISSUER")</f>
        <v>#N/A Requesting Data...</v>
      </c>
      <c r="F1274" t="str">
        <f>_xll.BDP("561851JX Muni","DUR_ADJ_MID")</f>
        <v>#N/A Requesting Data...</v>
      </c>
      <c r="G1274" t="str">
        <f>_xll.BDP("561851JX Muni","SPREAD_AT_ISSUANCE_TO_WORST")</f>
        <v>#N/A Requesting Data...</v>
      </c>
      <c r="H1274" t="str">
        <f>_xll.BDP("561851JX Muni","ISSUE_DT")</f>
        <v>#N/A Requesting Data...</v>
      </c>
      <c r="I1274" t="str">
        <f>_xll.BDS("561851JX Muni","MUNI_PURPOSE_SCHED", "aggregate=y")</f>
        <v>#N/A Requesting Data...</v>
      </c>
      <c r="J1274" t="str">
        <f>_xll.BDP("561851JX Muni","CPN")</f>
        <v>#N/A Requesting Data...</v>
      </c>
      <c r="K1274" t="str">
        <f>_xll.BDP("561851JX Muni","MATURITY")</f>
        <v>#N/A Requesting Data...</v>
      </c>
      <c r="L1274">
        <v>2130000</v>
      </c>
      <c r="M1274" t="str">
        <f>_xll.BDP("561851JX Muni","YIELD_ON_ISSUE_DATE")</f>
        <v>#N/A Requesting Data...</v>
      </c>
      <c r="N1274" t="str">
        <f>_xll.BDP("561851JX Muni","YTW_SPREAD_TO_MATURITY_AT_ISSU")</f>
        <v>#N/A Requesting Data...</v>
      </c>
      <c r="O1274" t="str">
        <f>_xll.BDP("561851JX Muni","BVAL_MID_YTM")</f>
        <v>#N/A Requesting Data...</v>
      </c>
      <c r="P1274" t="str">
        <f>_xll.BDP("561851JX Muni","MUNI_TAX_PROV")</f>
        <v>#N/A Requesting Data...</v>
      </c>
      <c r="Q1274" t="str">
        <f>_xll.BDP("561851JX Muni","MUNI_FED_TAX")</f>
        <v>#N/A Requesting Data...</v>
      </c>
      <c r="R1274" t="str">
        <f>_xll.BDP("561851JX Muni","MUNI_MSRB_VOLUME")</f>
        <v>#N/A Requesting Data...</v>
      </c>
      <c r="S1274" t="str">
        <f>_xll.BDP("561851JX Muni","BB_COMPOSITE")</f>
        <v>#N/A Requesting Data...</v>
      </c>
      <c r="T1274" t="str">
        <f>_xll.BDP("561851JX Muni","LQA_LIQUIDITY_SCORE")</f>
        <v>#N/A Requesting Data...</v>
      </c>
    </row>
    <row r="1275" spans="1:20" x14ac:dyDescent="0.25">
      <c r="A1275" t="str">
        <f>_xll.BDP("54628CEH Muni","ID_CUSIP")</f>
        <v>#N/A Requesting Data...</v>
      </c>
      <c r="B1275" t="s">
        <v>307</v>
      </c>
      <c r="C1275" t="str">
        <f>_xll.BDP("54628CEH Muni","INSURANCE_STATUS")</f>
        <v>#N/A Requesting Data...</v>
      </c>
      <c r="D1275" t="str">
        <f>_xll.BDP("54628CEH Muni","STATE_CODE")</f>
        <v>#N/A Requesting Data...</v>
      </c>
      <c r="E1275" t="str">
        <f>_xll.BDP("54628CEH Muni","COUNTY_LOCATION_ISSUER")</f>
        <v>#N/A Requesting Data...</v>
      </c>
      <c r="F1275" t="str">
        <f>_xll.BDP("54628CEH Muni","DUR_ADJ_MID")</f>
        <v>#N/A Requesting Data...</v>
      </c>
      <c r="G1275" t="str">
        <f>_xll.BDP("54628CEH Muni","SPREAD_AT_ISSUANCE_TO_WORST")</f>
        <v>#N/A Requesting Data...</v>
      </c>
      <c r="H1275" t="str">
        <f>_xll.BDP("54628CEH Muni","ISSUE_DT")</f>
        <v>#N/A Requesting Data...</v>
      </c>
      <c r="I1275" t="str">
        <f>_xll.BDS("54628CEH Muni","MUNI_PURPOSE_SCHED", "aggregate=y")</f>
        <v>#N/A Requesting Data...</v>
      </c>
      <c r="J1275" t="str">
        <f>_xll.BDP("54628CEH Muni","CPN")</f>
        <v>#N/A Requesting Data...</v>
      </c>
      <c r="K1275" t="str">
        <f>_xll.BDP("54628CEH Muni","MATURITY")</f>
        <v>#N/A Requesting Data...</v>
      </c>
      <c r="L1275">
        <v>1315000</v>
      </c>
      <c r="M1275" t="str">
        <f>_xll.BDP("54628CEH Muni","YIELD_ON_ISSUE_DATE")</f>
        <v>#N/A Requesting Data...</v>
      </c>
      <c r="N1275" t="str">
        <f>_xll.BDP("54628CEH Muni","YTW_SPREAD_TO_MATURITY_AT_ISSU")</f>
        <v>#N/A Requesting Data...</v>
      </c>
      <c r="O1275" t="str">
        <f>_xll.BDP("54628CEH Muni","BVAL_MID_YTM")</f>
        <v>#N/A Requesting Data...</v>
      </c>
      <c r="P1275" t="str">
        <f>_xll.BDP("54628CEH Muni","MUNI_TAX_PROV")</f>
        <v>#N/A Requesting Data...</v>
      </c>
      <c r="Q1275" t="str">
        <f>_xll.BDP("54628CEH Muni","MUNI_FED_TAX")</f>
        <v>#N/A Requesting Data...</v>
      </c>
      <c r="R1275" t="str">
        <f>_xll.BDP("54628CEH Muni","MUNI_MSRB_VOLUME")</f>
        <v>#N/A Requesting Data...</v>
      </c>
      <c r="S1275" t="str">
        <f>_xll.BDP("54628CEH Muni","BB_COMPOSITE")</f>
        <v>#N/A Requesting Data...</v>
      </c>
      <c r="T1275" t="str">
        <f>_xll.BDP("54628CEH Muni","LQA_LIQUIDITY_SCORE")</f>
        <v>#N/A Requesting Data...</v>
      </c>
    </row>
    <row r="1276" spans="1:20" x14ac:dyDescent="0.25">
      <c r="A1276" t="str">
        <f>_xll.BDP("54628CEM Muni","ID_CUSIP")</f>
        <v>#N/A Requesting Data...</v>
      </c>
      <c r="B1276" t="s">
        <v>307</v>
      </c>
      <c r="C1276" t="str">
        <f>_xll.BDP("54628CEM Muni","INSURANCE_STATUS")</f>
        <v>#N/A Requesting Data...</v>
      </c>
      <c r="D1276" t="str">
        <f>_xll.BDP("54628CEM Muni","STATE_CODE")</f>
        <v>#N/A Requesting Data...</v>
      </c>
      <c r="E1276" t="str">
        <f>_xll.BDP("54628CEM Muni","COUNTY_LOCATION_ISSUER")</f>
        <v>#N/A Requesting Data...</v>
      </c>
      <c r="F1276" t="str">
        <f>_xll.BDP("54628CEM Muni","DUR_ADJ_MID")</f>
        <v>#N/A Requesting Data...</v>
      </c>
      <c r="G1276" t="str">
        <f>_xll.BDP("54628CEM Muni","SPREAD_AT_ISSUANCE_TO_WORST")</f>
        <v>#N/A Requesting Data...</v>
      </c>
      <c r="H1276" t="str">
        <f>_xll.BDP("54628CEM Muni","ISSUE_DT")</f>
        <v>#N/A Requesting Data...</v>
      </c>
      <c r="I1276" t="str">
        <f>_xll.BDS("54628CEM Muni","MUNI_PURPOSE_SCHED", "aggregate=y")</f>
        <v>#N/A Requesting Data...</v>
      </c>
      <c r="J1276" t="str">
        <f>_xll.BDP("54628CEM Muni","CPN")</f>
        <v>#N/A Requesting Data...</v>
      </c>
      <c r="K1276" t="str">
        <f>_xll.BDP("54628CEM Muni","MATURITY")</f>
        <v>#N/A Requesting Data...</v>
      </c>
      <c r="L1276">
        <v>500000</v>
      </c>
      <c r="M1276" t="str">
        <f>_xll.BDP("54628CEM Muni","YIELD_ON_ISSUE_DATE")</f>
        <v>#N/A Requesting Data...</v>
      </c>
      <c r="N1276" t="str">
        <f>_xll.BDP("54628CEM Muni","YTW_SPREAD_TO_MATURITY_AT_ISSU")</f>
        <v>#N/A Requesting Data...</v>
      </c>
      <c r="O1276" t="str">
        <f>_xll.BDP("54628CEM Muni","BVAL_MID_YTM")</f>
        <v>#N/A Requesting Data...</v>
      </c>
      <c r="P1276" t="str">
        <f>_xll.BDP("54628CEM Muni","MUNI_TAX_PROV")</f>
        <v>#N/A Requesting Data...</v>
      </c>
      <c r="Q1276" t="str">
        <f>_xll.BDP("54628CEM Muni","MUNI_FED_TAX")</f>
        <v>#N/A Requesting Data...</v>
      </c>
      <c r="R1276" t="str">
        <f>_xll.BDP("54628CEM Muni","MUNI_MSRB_VOLUME")</f>
        <v>#N/A Requesting Data...</v>
      </c>
      <c r="S1276" t="str">
        <f>_xll.BDP("54628CEM Muni","BB_COMPOSITE")</f>
        <v>#N/A Requesting Data...</v>
      </c>
      <c r="T1276" t="str">
        <f>_xll.BDP("54628CEM Muni","LQA_LIQUIDITY_SCORE")</f>
        <v>#N/A Requesting Data...</v>
      </c>
    </row>
    <row r="1277" spans="1:20" x14ac:dyDescent="0.25">
      <c r="A1277" t="str">
        <f>_xll.BDP("499818P8 Muni","ID_CUSIP")</f>
        <v>#N/A Requesting Data...</v>
      </c>
      <c r="B1277" t="s">
        <v>315</v>
      </c>
      <c r="C1277" t="str">
        <f>_xll.BDP("499818P8 Muni","INSURANCE_STATUS")</f>
        <v>#N/A Requesting Data...</v>
      </c>
      <c r="D1277" t="str">
        <f>_xll.BDP("499818P8 Muni","STATE_CODE")</f>
        <v>#N/A Requesting Data...</v>
      </c>
      <c r="E1277" t="str">
        <f>_xll.BDP("499818P8 Muni","COUNTY_LOCATION_ISSUER")</f>
        <v>#N/A Requesting Data...</v>
      </c>
      <c r="F1277" t="str">
        <f>_xll.BDP("499818P8 Muni","DUR_ADJ_MID")</f>
        <v>#N/A Requesting Data...</v>
      </c>
      <c r="G1277" t="str">
        <f>_xll.BDP("499818P8 Muni","SPREAD_AT_ISSUANCE_TO_WORST")</f>
        <v>#N/A Requesting Data...</v>
      </c>
      <c r="H1277" t="str">
        <f>_xll.BDP("499818P8 Muni","ISSUE_DT")</f>
        <v>#N/A Requesting Data...</v>
      </c>
      <c r="I1277" t="str">
        <f>_xll.BDS("499818P8 Muni","MUNI_PURPOSE_SCHED", "aggregate=y")</f>
        <v>#N/A Requesting Data...</v>
      </c>
      <c r="J1277" t="str">
        <f>_xll.BDP("499818P8 Muni","CPN")</f>
        <v>#N/A Requesting Data...</v>
      </c>
      <c r="K1277" t="str">
        <f>_xll.BDP("499818P8 Muni","MATURITY")</f>
        <v>#N/A Requesting Data...</v>
      </c>
      <c r="L1277">
        <v>430000</v>
      </c>
      <c r="M1277" t="str">
        <f>_xll.BDP("499818P8 Muni","YIELD_ON_ISSUE_DATE")</f>
        <v>#N/A Requesting Data...</v>
      </c>
      <c r="N1277" t="str">
        <f>_xll.BDP("499818P8 Muni","YTW_SPREAD_TO_MATURITY_AT_ISSU")</f>
        <v>#N/A Requesting Data...</v>
      </c>
      <c r="O1277" t="str">
        <f>_xll.BDP("499818P8 Muni","BVAL_MID_YTM")</f>
        <v>#N/A Requesting Data...</v>
      </c>
      <c r="P1277" t="str">
        <f>_xll.BDP("499818P8 Muni","MUNI_TAX_PROV")</f>
        <v>#N/A Requesting Data...</v>
      </c>
      <c r="Q1277" t="str">
        <f>_xll.BDP("499818P8 Muni","MUNI_FED_TAX")</f>
        <v>#N/A Requesting Data...</v>
      </c>
      <c r="R1277" t="str">
        <f>_xll.BDP("499818P8 Muni","MUNI_MSRB_VOLUME")</f>
        <v>#N/A Requesting Data...</v>
      </c>
      <c r="S1277" t="str">
        <f>_xll.BDP("499818P8 Muni","BB_COMPOSITE")</f>
        <v>#N/A Requesting Data...</v>
      </c>
      <c r="T1277" t="str">
        <f>_xll.BDP("499818P8 Muni","LQA_LIQUIDITY_SCORE")</f>
        <v>#N/A Requesting Data...</v>
      </c>
    </row>
    <row r="1278" spans="1:20" x14ac:dyDescent="0.25">
      <c r="A1278" t="str">
        <f>_xll.BDP("499818Q2 Muni","ID_CUSIP")</f>
        <v>#N/A Requesting Data...</v>
      </c>
      <c r="B1278" t="s">
        <v>315</v>
      </c>
      <c r="C1278" t="str">
        <f>_xll.BDP("499818Q2 Muni","INSURANCE_STATUS")</f>
        <v>#N/A Requesting Data...</v>
      </c>
      <c r="D1278" t="str">
        <f>_xll.BDP("499818Q2 Muni","STATE_CODE")</f>
        <v>#N/A Requesting Data...</v>
      </c>
      <c r="E1278" t="str">
        <f>_xll.BDP("499818Q2 Muni","COUNTY_LOCATION_ISSUER")</f>
        <v>#N/A Requesting Data...</v>
      </c>
      <c r="F1278" t="str">
        <f>_xll.BDP("499818Q2 Muni","DUR_ADJ_MID")</f>
        <v>#N/A Requesting Data...</v>
      </c>
      <c r="G1278" t="str">
        <f>_xll.BDP("499818Q2 Muni","SPREAD_AT_ISSUANCE_TO_WORST")</f>
        <v>#N/A Requesting Data...</v>
      </c>
      <c r="H1278" t="str">
        <f>_xll.BDP("499818Q2 Muni","ISSUE_DT")</f>
        <v>#N/A Requesting Data...</v>
      </c>
      <c r="I1278" t="str">
        <f>_xll.BDS("499818Q2 Muni","MUNI_PURPOSE_SCHED", "aggregate=y")</f>
        <v>#N/A Requesting Data...</v>
      </c>
      <c r="J1278" t="str">
        <f>_xll.BDP("499818Q2 Muni","CPN")</f>
        <v>#N/A Requesting Data...</v>
      </c>
      <c r="K1278" t="str">
        <f>_xll.BDP("499818Q2 Muni","MATURITY")</f>
        <v>#N/A Requesting Data...</v>
      </c>
      <c r="L1278">
        <v>465000</v>
      </c>
      <c r="M1278" t="str">
        <f>_xll.BDP("499818Q2 Muni","YIELD_ON_ISSUE_DATE")</f>
        <v>#N/A Requesting Data...</v>
      </c>
      <c r="N1278" t="str">
        <f>_xll.BDP("499818Q2 Muni","YTW_SPREAD_TO_MATURITY_AT_ISSU")</f>
        <v>#N/A Requesting Data...</v>
      </c>
      <c r="O1278" t="str">
        <f>_xll.BDP("499818Q2 Muni","BVAL_MID_YTM")</f>
        <v>#N/A Requesting Data...</v>
      </c>
      <c r="P1278" t="str">
        <f>_xll.BDP("499818Q2 Muni","MUNI_TAX_PROV")</f>
        <v>#N/A Requesting Data...</v>
      </c>
      <c r="Q1278" t="str">
        <f>_xll.BDP("499818Q2 Muni","MUNI_FED_TAX")</f>
        <v>#N/A Requesting Data...</v>
      </c>
      <c r="R1278" t="str">
        <f>_xll.BDP("499818Q2 Muni","MUNI_MSRB_VOLUME")</f>
        <v>#N/A Requesting Data...</v>
      </c>
      <c r="S1278" t="str">
        <f>_xll.BDP("499818Q2 Muni","BB_COMPOSITE")</f>
        <v>#N/A Requesting Data...</v>
      </c>
      <c r="T1278" t="str">
        <f>_xll.BDP("499818Q2 Muni","LQA_LIQUIDITY_SCORE")</f>
        <v>#N/A Requesting Data...</v>
      </c>
    </row>
    <row r="1279" spans="1:20" x14ac:dyDescent="0.25">
      <c r="A1279" t="str">
        <f>_xll.BDP("496443UL Muni","ID_CUSIP")</f>
        <v>#N/A Requesting Data...</v>
      </c>
      <c r="B1279" t="s">
        <v>329</v>
      </c>
      <c r="C1279" t="str">
        <f>_xll.BDP("496443UL Muni","INSURANCE_STATUS")</f>
        <v>#N/A Requesting Data...</v>
      </c>
      <c r="D1279" t="str">
        <f>_xll.BDP("496443UL Muni","STATE_CODE")</f>
        <v>#N/A Requesting Data...</v>
      </c>
      <c r="E1279" t="str">
        <f>_xll.BDP("496443UL Muni","COUNTY_LOCATION_ISSUER")</f>
        <v>#N/A Requesting Data...</v>
      </c>
      <c r="F1279" t="str">
        <f>_xll.BDP("496443UL Muni","DUR_ADJ_MID")</f>
        <v>#N/A Requesting Data...</v>
      </c>
      <c r="G1279" t="str">
        <f>_xll.BDP("496443UL Muni","SPREAD_AT_ISSUANCE_TO_WORST")</f>
        <v>#N/A Requesting Data...</v>
      </c>
      <c r="H1279" t="str">
        <f>_xll.BDP("496443UL Muni","ISSUE_DT")</f>
        <v>#N/A Requesting Data...</v>
      </c>
      <c r="I1279" t="str">
        <f>_xll.BDS("496443UL Muni","MUNI_PURPOSE_SCHED", "aggregate=y")</f>
        <v>#N/A Requesting Data...</v>
      </c>
      <c r="J1279" t="str">
        <f>_xll.BDP("496443UL Muni","CPN")</f>
        <v>#N/A Requesting Data...</v>
      </c>
      <c r="K1279" t="str">
        <f>_xll.BDP("496443UL Muni","MATURITY")</f>
        <v>#N/A Requesting Data...</v>
      </c>
      <c r="L1279">
        <v>240000</v>
      </c>
      <c r="M1279" t="str">
        <f>_xll.BDP("496443UL Muni","YIELD_ON_ISSUE_DATE")</f>
        <v>#N/A Requesting Data...</v>
      </c>
      <c r="N1279" t="str">
        <f>_xll.BDP("496443UL Muni","YTW_SPREAD_TO_MATURITY_AT_ISSU")</f>
        <v>#N/A Requesting Data...</v>
      </c>
      <c r="O1279" t="str">
        <f>_xll.BDP("496443UL Muni","BVAL_MID_YTM")</f>
        <v>#N/A Requesting Data...</v>
      </c>
      <c r="P1279" t="str">
        <f>_xll.BDP("496443UL Muni","MUNI_TAX_PROV")</f>
        <v>#N/A Requesting Data...</v>
      </c>
      <c r="Q1279" t="str">
        <f>_xll.BDP("496443UL Muni","MUNI_FED_TAX")</f>
        <v>#N/A Requesting Data...</v>
      </c>
      <c r="R1279" t="str">
        <f>_xll.BDP("496443UL Muni","MUNI_MSRB_VOLUME")</f>
        <v>#N/A Requesting Data...</v>
      </c>
      <c r="S1279" t="str">
        <f>_xll.BDP("496443UL Muni","BB_COMPOSITE")</f>
        <v>#N/A Requesting Data...</v>
      </c>
      <c r="T1279" t="str">
        <f>_xll.BDP("496443UL Muni","LQA_LIQUIDITY_SCORE")</f>
        <v>#N/A Requesting Data...</v>
      </c>
    </row>
    <row r="1280" spans="1:20" x14ac:dyDescent="0.25">
      <c r="A1280" t="str">
        <f>_xll.BDP("496443UM Muni","ID_CUSIP")</f>
        <v>#N/A Requesting Data...</v>
      </c>
      <c r="B1280" t="s">
        <v>329</v>
      </c>
      <c r="C1280" t="str">
        <f>_xll.BDP("496443UM Muni","INSURANCE_STATUS")</f>
        <v>#N/A Requesting Data...</v>
      </c>
      <c r="D1280" t="str">
        <f>_xll.BDP("496443UM Muni","STATE_CODE")</f>
        <v>#N/A Requesting Data...</v>
      </c>
      <c r="E1280" t="str">
        <f>_xll.BDP("496443UM Muni","COUNTY_LOCATION_ISSUER")</f>
        <v>#N/A Requesting Data...</v>
      </c>
      <c r="F1280" t="str">
        <f>_xll.BDP("496443UM Muni","DUR_ADJ_MID")</f>
        <v>#N/A Requesting Data...</v>
      </c>
      <c r="G1280" t="str">
        <f>_xll.BDP("496443UM Muni","SPREAD_AT_ISSUANCE_TO_WORST")</f>
        <v>#N/A Requesting Data...</v>
      </c>
      <c r="H1280" t="str">
        <f>_xll.BDP("496443UM Muni","ISSUE_DT")</f>
        <v>#N/A Requesting Data...</v>
      </c>
      <c r="I1280" t="str">
        <f>_xll.BDS("496443UM Muni","MUNI_PURPOSE_SCHED", "aggregate=y")</f>
        <v>#N/A Requesting Data...</v>
      </c>
      <c r="J1280" t="str">
        <f>_xll.BDP("496443UM Muni","CPN")</f>
        <v>#N/A Requesting Data...</v>
      </c>
      <c r="K1280" t="str">
        <f>_xll.BDP("496443UM Muni","MATURITY")</f>
        <v>#N/A Requesting Data...</v>
      </c>
      <c r="L1280">
        <v>250000</v>
      </c>
      <c r="M1280" t="str">
        <f>_xll.BDP("496443UM Muni","YIELD_ON_ISSUE_DATE")</f>
        <v>#N/A Requesting Data...</v>
      </c>
      <c r="N1280" t="str">
        <f>_xll.BDP("496443UM Muni","YTW_SPREAD_TO_MATURITY_AT_ISSU")</f>
        <v>#N/A Requesting Data...</v>
      </c>
      <c r="O1280" t="str">
        <f>_xll.BDP("496443UM Muni","BVAL_MID_YTM")</f>
        <v>#N/A Requesting Data...</v>
      </c>
      <c r="P1280" t="str">
        <f>_xll.BDP("496443UM Muni","MUNI_TAX_PROV")</f>
        <v>#N/A Requesting Data...</v>
      </c>
      <c r="Q1280" t="str">
        <f>_xll.BDP("496443UM Muni","MUNI_FED_TAX")</f>
        <v>#N/A Requesting Data...</v>
      </c>
      <c r="R1280" t="str">
        <f>_xll.BDP("496443UM Muni","MUNI_MSRB_VOLUME")</f>
        <v>#N/A Requesting Data...</v>
      </c>
      <c r="S1280" t="str">
        <f>_xll.BDP("496443UM Muni","BB_COMPOSITE")</f>
        <v>#N/A Requesting Data...</v>
      </c>
      <c r="T1280" t="str">
        <f>_xll.BDP("496443UM Muni","LQA_LIQUIDITY_SCORE")</f>
        <v>#N/A Requesting Data...</v>
      </c>
    </row>
    <row r="1281" spans="1:20" x14ac:dyDescent="0.25">
      <c r="A1281" t="str">
        <f>_xll.BDP("496443UK Muni","ID_CUSIP")</f>
        <v>#N/A Requesting Data...</v>
      </c>
      <c r="B1281" t="s">
        <v>329</v>
      </c>
      <c r="C1281" t="str">
        <f>_xll.BDP("496443UK Muni","INSURANCE_STATUS")</f>
        <v>#N/A Requesting Data...</v>
      </c>
      <c r="D1281" t="str">
        <f>_xll.BDP("496443UK Muni","STATE_CODE")</f>
        <v>#N/A Requesting Data...</v>
      </c>
      <c r="E1281" t="str">
        <f>_xll.BDP("496443UK Muni","COUNTY_LOCATION_ISSUER")</f>
        <v>#N/A Requesting Data...</v>
      </c>
      <c r="F1281" t="str">
        <f>_xll.BDP("496443UK Muni","DUR_ADJ_MID")</f>
        <v>#N/A Requesting Data...</v>
      </c>
      <c r="G1281" t="str">
        <f>_xll.BDP("496443UK Muni","SPREAD_AT_ISSUANCE_TO_WORST")</f>
        <v>#N/A Requesting Data...</v>
      </c>
      <c r="H1281" t="str">
        <f>_xll.BDP("496443UK Muni","ISSUE_DT")</f>
        <v>#N/A Requesting Data...</v>
      </c>
      <c r="I1281" t="str">
        <f>_xll.BDS("496443UK Muni","MUNI_PURPOSE_SCHED", "aggregate=y")</f>
        <v>#N/A Requesting Data...</v>
      </c>
      <c r="J1281" t="str">
        <f>_xll.BDP("496443UK Muni","CPN")</f>
        <v>#N/A Requesting Data...</v>
      </c>
      <c r="K1281" t="str">
        <f>_xll.BDP("496443UK Muni","MATURITY")</f>
        <v>#N/A Requesting Data...</v>
      </c>
      <c r="L1281">
        <v>230000</v>
      </c>
      <c r="M1281" t="str">
        <f>_xll.BDP("496443UK Muni","YIELD_ON_ISSUE_DATE")</f>
        <v>#N/A Requesting Data...</v>
      </c>
      <c r="N1281" t="str">
        <f>_xll.BDP("496443UK Muni","YTW_SPREAD_TO_MATURITY_AT_ISSU")</f>
        <v>#N/A Requesting Data...</v>
      </c>
      <c r="O1281" t="str">
        <f>_xll.BDP("496443UK Muni","BVAL_MID_YTM")</f>
        <v>#N/A Requesting Data...</v>
      </c>
      <c r="P1281" t="str">
        <f>_xll.BDP("496443UK Muni","MUNI_TAX_PROV")</f>
        <v>#N/A Requesting Data...</v>
      </c>
      <c r="Q1281" t="str">
        <f>_xll.BDP("496443UK Muni","MUNI_FED_TAX")</f>
        <v>#N/A Requesting Data...</v>
      </c>
      <c r="R1281" t="str">
        <f>_xll.BDP("496443UK Muni","MUNI_MSRB_VOLUME")</f>
        <v>#N/A Requesting Data...</v>
      </c>
      <c r="S1281" t="str">
        <f>_xll.BDP("496443UK Muni","BB_COMPOSITE")</f>
        <v>#N/A Requesting Data...</v>
      </c>
      <c r="T1281" t="str">
        <f>_xll.BDP("496443UK Muni","LQA_LIQUIDITY_SCORE")</f>
        <v>#N/A Requesting Data...</v>
      </c>
    </row>
    <row r="1282" spans="1:20" x14ac:dyDescent="0.25">
      <c r="A1282" t="str">
        <f>_xll.BDP("365154RQ Muni","ID_CUSIP")</f>
        <v>#N/A Requesting Data...</v>
      </c>
      <c r="B1282" t="s">
        <v>316</v>
      </c>
      <c r="C1282" t="str">
        <f>_xll.BDP("365154RQ Muni","INSURANCE_STATUS")</f>
        <v>#N/A Requesting Data...</v>
      </c>
      <c r="D1282" t="str">
        <f>_xll.BDP("365154RQ Muni","STATE_CODE")</f>
        <v>#N/A Requesting Data...</v>
      </c>
      <c r="E1282" t="str">
        <f>_xll.BDP("365154RQ Muni","COUNTY_LOCATION_ISSUER")</f>
        <v>#N/A Requesting Data...</v>
      </c>
      <c r="F1282" t="str">
        <f>_xll.BDP("365154RQ Muni","DUR_ADJ_MID")</f>
        <v>#N/A Requesting Data...</v>
      </c>
      <c r="G1282" t="str">
        <f>_xll.BDP("365154RQ Muni","SPREAD_AT_ISSUANCE_TO_WORST")</f>
        <v>#N/A Requesting Data...</v>
      </c>
      <c r="H1282" t="str">
        <f>_xll.BDP("365154RQ Muni","ISSUE_DT")</f>
        <v>#N/A Requesting Data...</v>
      </c>
      <c r="I1282" t="str">
        <f>_xll.BDS("365154RQ Muni","MUNI_PURPOSE_SCHED", "aggregate=y")</f>
        <v>#N/A Requesting Data...</v>
      </c>
      <c r="J1282" t="str">
        <f>_xll.BDP("365154RQ Muni","CPN")</f>
        <v>#N/A Requesting Data...</v>
      </c>
      <c r="K1282" t="str">
        <f>_xll.BDP("365154RQ Muni","MATURITY")</f>
        <v>#N/A Requesting Data...</v>
      </c>
      <c r="L1282">
        <v>150000</v>
      </c>
      <c r="M1282" t="str">
        <f>_xll.BDP("365154RQ Muni","YIELD_ON_ISSUE_DATE")</f>
        <v>#N/A Requesting Data...</v>
      </c>
      <c r="N1282" t="str">
        <f>_xll.BDP("365154RQ Muni","YTW_SPREAD_TO_MATURITY_AT_ISSU")</f>
        <v>#N/A Requesting Data...</v>
      </c>
      <c r="O1282" t="str">
        <f>_xll.BDP("365154RQ Muni","BVAL_MID_YTM")</f>
        <v>#N/A Requesting Data...</v>
      </c>
      <c r="P1282" t="str">
        <f>_xll.BDP("365154RQ Muni","MUNI_TAX_PROV")</f>
        <v>#N/A Requesting Data...</v>
      </c>
      <c r="Q1282" t="str">
        <f>_xll.BDP("365154RQ Muni","MUNI_FED_TAX")</f>
        <v>#N/A Requesting Data...</v>
      </c>
      <c r="R1282" t="str">
        <f>_xll.BDP("365154RQ Muni","MUNI_MSRB_VOLUME")</f>
        <v>#N/A Requesting Data...</v>
      </c>
      <c r="S1282" t="str">
        <f>_xll.BDP("365154RQ Muni","BB_COMPOSITE")</f>
        <v>#N/A Requesting Data...</v>
      </c>
      <c r="T1282" t="str">
        <f>_xll.BDP("365154RQ Muni","LQA_LIQUIDITY_SCORE")</f>
        <v>#N/A Requesting Data...</v>
      </c>
    </row>
    <row r="1283" spans="1:20" x14ac:dyDescent="0.25">
      <c r="A1283" t="str">
        <f>_xll.BDP("365154RS Muni","ID_CUSIP")</f>
        <v>#N/A Requesting Data...</v>
      </c>
      <c r="B1283" t="s">
        <v>316</v>
      </c>
      <c r="C1283" t="str">
        <f>_xll.BDP("365154RS Muni","INSURANCE_STATUS")</f>
        <v>#N/A Requesting Data...</v>
      </c>
      <c r="D1283" t="str">
        <f>_xll.BDP("365154RS Muni","STATE_CODE")</f>
        <v>#N/A Requesting Data...</v>
      </c>
      <c r="E1283" t="str">
        <f>_xll.BDP("365154RS Muni","COUNTY_LOCATION_ISSUER")</f>
        <v>#N/A Requesting Data...</v>
      </c>
      <c r="F1283" t="str">
        <f>_xll.BDP("365154RS Muni","DUR_ADJ_MID")</f>
        <v>#N/A Requesting Data...</v>
      </c>
      <c r="G1283" t="str">
        <f>_xll.BDP("365154RS Muni","SPREAD_AT_ISSUANCE_TO_WORST")</f>
        <v>#N/A Requesting Data...</v>
      </c>
      <c r="H1283" t="str">
        <f>_xll.BDP("365154RS Muni","ISSUE_DT")</f>
        <v>#N/A Requesting Data...</v>
      </c>
      <c r="I1283" t="str">
        <f>_xll.BDS("365154RS Muni","MUNI_PURPOSE_SCHED", "aggregate=y")</f>
        <v>#N/A Requesting Data...</v>
      </c>
      <c r="J1283" t="str">
        <f>_xll.BDP("365154RS Muni","CPN")</f>
        <v>#N/A Requesting Data...</v>
      </c>
      <c r="K1283" t="str">
        <f>_xll.BDP("365154RS Muni","MATURITY")</f>
        <v>#N/A Requesting Data...</v>
      </c>
      <c r="L1283">
        <v>160000</v>
      </c>
      <c r="M1283" t="str">
        <f>_xll.BDP("365154RS Muni","YIELD_ON_ISSUE_DATE")</f>
        <v>#N/A Requesting Data...</v>
      </c>
      <c r="N1283" t="str">
        <f>_xll.BDP("365154RS Muni","YTW_SPREAD_TO_MATURITY_AT_ISSU")</f>
        <v>#N/A Requesting Data...</v>
      </c>
      <c r="O1283" t="str">
        <f>_xll.BDP("365154RS Muni","BVAL_MID_YTM")</f>
        <v>#N/A Requesting Data...</v>
      </c>
      <c r="P1283" t="str">
        <f>_xll.BDP("365154RS Muni","MUNI_TAX_PROV")</f>
        <v>#N/A Requesting Data...</v>
      </c>
      <c r="Q1283" t="str">
        <f>_xll.BDP("365154RS Muni","MUNI_FED_TAX")</f>
        <v>#N/A Requesting Data...</v>
      </c>
      <c r="R1283" t="str">
        <f>_xll.BDP("365154RS Muni","MUNI_MSRB_VOLUME")</f>
        <v>#N/A Requesting Data...</v>
      </c>
      <c r="S1283" t="str">
        <f>_xll.BDP("365154RS Muni","BB_COMPOSITE")</f>
        <v>#N/A Requesting Data...</v>
      </c>
      <c r="T1283" t="str">
        <f>_xll.BDP("365154RS Muni","LQA_LIQUIDITY_SCORE")</f>
        <v>#N/A Requesting Data...</v>
      </c>
    </row>
    <row r="1284" spans="1:20" x14ac:dyDescent="0.25">
      <c r="A1284" t="str">
        <f>_xll.BDP("496443UJ Muni","ID_CUSIP")</f>
        <v>#N/A Requesting Data...</v>
      </c>
      <c r="B1284" t="s">
        <v>329</v>
      </c>
      <c r="C1284" t="str">
        <f>_xll.BDP("496443UJ Muni","INSURANCE_STATUS")</f>
        <v>#N/A Requesting Data...</v>
      </c>
      <c r="D1284" t="str">
        <f>_xll.BDP("496443UJ Muni","STATE_CODE")</f>
        <v>#N/A Requesting Data...</v>
      </c>
      <c r="E1284" t="str">
        <f>_xll.BDP("496443UJ Muni","COUNTY_LOCATION_ISSUER")</f>
        <v>#N/A Requesting Data...</v>
      </c>
      <c r="F1284" t="str">
        <f>_xll.BDP("496443UJ Muni","DUR_ADJ_MID")</f>
        <v>#N/A Requesting Data...</v>
      </c>
      <c r="G1284" t="str">
        <f>_xll.BDP("496443UJ Muni","SPREAD_AT_ISSUANCE_TO_WORST")</f>
        <v>#N/A Requesting Data...</v>
      </c>
      <c r="H1284" t="str">
        <f>_xll.BDP("496443UJ Muni","ISSUE_DT")</f>
        <v>#N/A Requesting Data...</v>
      </c>
      <c r="I1284" t="str">
        <f>_xll.BDS("496443UJ Muni","MUNI_PURPOSE_SCHED", "aggregate=y")</f>
        <v>#N/A Requesting Data...</v>
      </c>
      <c r="J1284" t="str">
        <f>_xll.BDP("496443UJ Muni","CPN")</f>
        <v>#N/A Requesting Data...</v>
      </c>
      <c r="K1284" t="str">
        <f>_xll.BDP("496443UJ Muni","MATURITY")</f>
        <v>#N/A Requesting Data...</v>
      </c>
      <c r="L1284">
        <v>215000</v>
      </c>
      <c r="M1284" t="str">
        <f>_xll.BDP("496443UJ Muni","YIELD_ON_ISSUE_DATE")</f>
        <v>#N/A Requesting Data...</v>
      </c>
      <c r="N1284" t="str">
        <f>_xll.BDP("496443UJ Muni","YTW_SPREAD_TO_MATURITY_AT_ISSU")</f>
        <v>#N/A Requesting Data...</v>
      </c>
      <c r="O1284" t="str">
        <f>_xll.BDP("496443UJ Muni","BVAL_MID_YTM")</f>
        <v>#N/A Requesting Data...</v>
      </c>
      <c r="P1284" t="str">
        <f>_xll.BDP("496443UJ Muni","MUNI_TAX_PROV")</f>
        <v>#N/A Requesting Data...</v>
      </c>
      <c r="Q1284" t="str">
        <f>_xll.BDP("496443UJ Muni","MUNI_FED_TAX")</f>
        <v>#N/A Requesting Data...</v>
      </c>
      <c r="R1284" t="str">
        <f>_xll.BDP("496443UJ Muni","MUNI_MSRB_VOLUME")</f>
        <v>#N/A Requesting Data...</v>
      </c>
      <c r="S1284" t="str">
        <f>_xll.BDP("496443UJ Muni","BB_COMPOSITE")</f>
        <v>#N/A Requesting Data...</v>
      </c>
      <c r="T1284" t="str">
        <f>_xll.BDP("496443UJ Muni","LQA_LIQUIDITY_SCORE")</f>
        <v>#N/A Requesting Data...</v>
      </c>
    </row>
    <row r="1285" spans="1:20" x14ac:dyDescent="0.25">
      <c r="A1285" t="str">
        <f>_xll.BDP("445787PL Muni","ID_CUSIP")</f>
        <v>#N/A Requesting Data...</v>
      </c>
      <c r="B1285" t="s">
        <v>330</v>
      </c>
      <c r="C1285" t="str">
        <f>_xll.BDP("445787PL Muni","INSURANCE_STATUS")</f>
        <v>#N/A Requesting Data...</v>
      </c>
      <c r="D1285" t="str">
        <f>_xll.BDP("445787PL Muni","STATE_CODE")</f>
        <v>#N/A Requesting Data...</v>
      </c>
      <c r="E1285" t="str">
        <f>_xll.BDP("445787PL Muni","COUNTY_LOCATION_ISSUER")</f>
        <v>#N/A Requesting Data...</v>
      </c>
      <c r="F1285" t="str">
        <f>_xll.BDP("445787PL Muni","DUR_ADJ_MID")</f>
        <v>#N/A Requesting Data...</v>
      </c>
      <c r="G1285" t="str">
        <f>_xll.BDP("445787PL Muni","SPREAD_AT_ISSUANCE_TO_WORST")</f>
        <v>#N/A Requesting Data...</v>
      </c>
      <c r="H1285" t="str">
        <f>_xll.BDP("445787PL Muni","ISSUE_DT")</f>
        <v>#N/A Requesting Data...</v>
      </c>
      <c r="I1285" t="str">
        <f>_xll.BDS("445787PL Muni","MUNI_PURPOSE_SCHED", "aggregate=y")</f>
        <v>#N/A Requesting Data...</v>
      </c>
      <c r="J1285" t="str">
        <f>_xll.BDP("445787PL Muni","CPN")</f>
        <v>#N/A Requesting Data...</v>
      </c>
      <c r="K1285" t="str">
        <f>_xll.BDP("445787PL Muni","MATURITY")</f>
        <v>#N/A Requesting Data...</v>
      </c>
      <c r="L1285">
        <v>50000</v>
      </c>
      <c r="M1285" t="str">
        <f>_xll.BDP("445787PL Muni","YIELD_ON_ISSUE_DATE")</f>
        <v>#N/A Requesting Data...</v>
      </c>
      <c r="N1285" t="str">
        <f>_xll.BDP("445787PL Muni","YTW_SPREAD_TO_MATURITY_AT_ISSU")</f>
        <v>#N/A Requesting Data...</v>
      </c>
      <c r="O1285" t="str">
        <f>_xll.BDP("445787PL Muni","BVAL_MID_YTM")</f>
        <v>#N/A Requesting Data...</v>
      </c>
      <c r="P1285" t="str">
        <f>_xll.BDP("445787PL Muni","MUNI_TAX_PROV")</f>
        <v>#N/A Requesting Data...</v>
      </c>
      <c r="Q1285" t="str">
        <f>_xll.BDP("445787PL Muni","MUNI_FED_TAX")</f>
        <v>#N/A Requesting Data...</v>
      </c>
      <c r="R1285" t="str">
        <f>_xll.BDP("445787PL Muni","MUNI_MSRB_VOLUME")</f>
        <v>#N/A Requesting Data...</v>
      </c>
      <c r="S1285" t="str">
        <f>_xll.BDP("445787PL Muni","BB_COMPOSITE")</f>
        <v>#N/A Requesting Data...</v>
      </c>
      <c r="T1285" t="str">
        <f>_xll.BDP("445787PL Muni","LQA_LIQUIDITY_SCORE")</f>
        <v>#N/A Requesting Data...</v>
      </c>
    </row>
    <row r="1286" spans="1:20" x14ac:dyDescent="0.25">
      <c r="A1286" t="str">
        <f>_xll.BDP("446457YJ Muni","ID_CUSIP")</f>
        <v>#N/A Requesting Data...</v>
      </c>
      <c r="B1286" t="s">
        <v>331</v>
      </c>
      <c r="C1286" t="str">
        <f>_xll.BDP("446457YJ Muni","INSURANCE_STATUS")</f>
        <v>#N/A Requesting Data...</v>
      </c>
      <c r="D1286" t="str">
        <f>_xll.BDP("446457YJ Muni","STATE_CODE")</f>
        <v>#N/A Requesting Data...</v>
      </c>
      <c r="E1286" t="str">
        <f>_xll.BDP("446457YJ Muni","COUNTY_LOCATION_ISSUER")</f>
        <v>#N/A Requesting Data...</v>
      </c>
      <c r="F1286" t="str">
        <f>_xll.BDP("446457YJ Muni","DUR_ADJ_MID")</f>
        <v>#N/A Requesting Data...</v>
      </c>
      <c r="G1286" t="str">
        <f>_xll.BDP("446457YJ Muni","SPREAD_AT_ISSUANCE_TO_WORST")</f>
        <v>#N/A Requesting Data...</v>
      </c>
      <c r="H1286" t="str">
        <f>_xll.BDP("446457YJ Muni","ISSUE_DT")</f>
        <v>#N/A Requesting Data...</v>
      </c>
      <c r="I1286" t="str">
        <f>_xll.BDS("446457YJ Muni","MUNI_PURPOSE_SCHED", "aggregate=y")</f>
        <v>#N/A Requesting Data...</v>
      </c>
      <c r="J1286" t="str">
        <f>_xll.BDP("446457YJ Muni","CPN")</f>
        <v>#N/A Requesting Data...</v>
      </c>
      <c r="K1286" t="str">
        <f>_xll.BDP("446457YJ Muni","MATURITY")</f>
        <v>#N/A Requesting Data...</v>
      </c>
      <c r="L1286">
        <v>605000</v>
      </c>
      <c r="M1286" t="str">
        <f>_xll.BDP("446457YJ Muni","YIELD_ON_ISSUE_DATE")</f>
        <v>#N/A Requesting Data...</v>
      </c>
      <c r="N1286" t="str">
        <f>_xll.BDP("446457YJ Muni","YTW_SPREAD_TO_MATURITY_AT_ISSU")</f>
        <v>#N/A Requesting Data...</v>
      </c>
      <c r="O1286" t="str">
        <f>_xll.BDP("446457YJ Muni","BVAL_MID_YTM")</f>
        <v>#N/A Requesting Data...</v>
      </c>
      <c r="P1286" t="str">
        <f>_xll.BDP("446457YJ Muni","MUNI_TAX_PROV")</f>
        <v>#N/A Requesting Data...</v>
      </c>
      <c r="Q1286" t="str">
        <f>_xll.BDP("446457YJ Muni","MUNI_FED_TAX")</f>
        <v>#N/A Requesting Data...</v>
      </c>
      <c r="R1286" t="str">
        <f>_xll.BDP("446457YJ Muni","MUNI_MSRB_VOLUME")</f>
        <v>#N/A Requesting Data...</v>
      </c>
      <c r="S1286" t="str">
        <f>_xll.BDP("446457YJ Muni","BB_COMPOSITE")</f>
        <v>#N/A Requesting Data...</v>
      </c>
      <c r="T1286" t="str">
        <f>_xll.BDP("446457YJ Muni","LQA_LIQUIDITY_SCORE")</f>
        <v>#N/A Requesting Data...</v>
      </c>
    </row>
    <row r="1287" spans="1:20" x14ac:dyDescent="0.25">
      <c r="A1287" t="str">
        <f>_xll.BDP("446457YL Muni","ID_CUSIP")</f>
        <v>#N/A Requesting Data...</v>
      </c>
      <c r="B1287" t="s">
        <v>331</v>
      </c>
      <c r="C1287" t="str">
        <f>_xll.BDP("446457YL Muni","INSURANCE_STATUS")</f>
        <v>#N/A Requesting Data...</v>
      </c>
      <c r="D1287" t="str">
        <f>_xll.BDP("446457YL Muni","STATE_CODE")</f>
        <v>#N/A Requesting Data...</v>
      </c>
      <c r="E1287" t="str">
        <f>_xll.BDP("446457YL Muni","COUNTY_LOCATION_ISSUER")</f>
        <v>#N/A Requesting Data...</v>
      </c>
      <c r="F1287" t="str">
        <f>_xll.BDP("446457YL Muni","DUR_ADJ_MID")</f>
        <v>#N/A Requesting Data...</v>
      </c>
      <c r="G1287" t="str">
        <f>_xll.BDP("446457YL Muni","SPREAD_AT_ISSUANCE_TO_WORST")</f>
        <v>#N/A Requesting Data...</v>
      </c>
      <c r="H1287" t="str">
        <f>_xll.BDP("446457YL Muni","ISSUE_DT")</f>
        <v>#N/A Requesting Data...</v>
      </c>
      <c r="I1287" t="str">
        <f>_xll.BDS("446457YL Muni","MUNI_PURPOSE_SCHED", "aggregate=y")</f>
        <v>#N/A Requesting Data...</v>
      </c>
      <c r="J1287" t="str">
        <f>_xll.BDP("446457YL Muni","CPN")</f>
        <v>#N/A Requesting Data...</v>
      </c>
      <c r="K1287" t="str">
        <f>_xll.BDP("446457YL Muni","MATURITY")</f>
        <v>#N/A Requesting Data...</v>
      </c>
      <c r="L1287">
        <v>645000</v>
      </c>
      <c r="M1287" t="str">
        <f>_xll.BDP("446457YL Muni","YIELD_ON_ISSUE_DATE")</f>
        <v>#N/A Requesting Data...</v>
      </c>
      <c r="N1287" t="str">
        <f>_xll.BDP("446457YL Muni","YTW_SPREAD_TO_MATURITY_AT_ISSU")</f>
        <v>#N/A Requesting Data...</v>
      </c>
      <c r="O1287" t="str">
        <f>_xll.BDP("446457YL Muni","BVAL_MID_YTM")</f>
        <v>#N/A Requesting Data...</v>
      </c>
      <c r="P1287" t="str">
        <f>_xll.BDP("446457YL Muni","MUNI_TAX_PROV")</f>
        <v>#N/A Requesting Data...</v>
      </c>
      <c r="Q1287" t="str">
        <f>_xll.BDP("446457YL Muni","MUNI_FED_TAX")</f>
        <v>#N/A Requesting Data...</v>
      </c>
      <c r="R1287" t="str">
        <f>_xll.BDP("446457YL Muni","MUNI_MSRB_VOLUME")</f>
        <v>#N/A Requesting Data...</v>
      </c>
      <c r="S1287" t="str">
        <f>_xll.BDP("446457YL Muni","BB_COMPOSITE")</f>
        <v>#N/A Requesting Data...</v>
      </c>
      <c r="T1287" t="str">
        <f>_xll.BDP("446457YL Muni","LQA_LIQUIDITY_SCORE")</f>
        <v>#N/A Requesting Data...</v>
      </c>
    </row>
    <row r="1288" spans="1:20" x14ac:dyDescent="0.25">
      <c r="A1288" t="str">
        <f>_xll.BDP("447290AD Muni","ID_CUSIP")</f>
        <v>#N/A Requesting Data...</v>
      </c>
      <c r="B1288" t="s">
        <v>332</v>
      </c>
      <c r="C1288" t="str">
        <f>_xll.BDP("447290AD Muni","INSURANCE_STATUS")</f>
        <v>#N/A Requesting Data...</v>
      </c>
      <c r="D1288" t="str">
        <f>_xll.BDP("447290AD Muni","STATE_CODE")</f>
        <v>#N/A Requesting Data...</v>
      </c>
      <c r="E1288" t="str">
        <f>_xll.BDP("447290AD Muni","COUNTY_LOCATION_ISSUER")</f>
        <v>#N/A Requesting Data...</v>
      </c>
      <c r="F1288" t="str">
        <f>_xll.BDP("447290AD Muni","DUR_ADJ_MID")</f>
        <v>#N/A Requesting Data...</v>
      </c>
      <c r="G1288" t="str">
        <f>_xll.BDP("447290AD Muni","SPREAD_AT_ISSUANCE_TO_WORST")</f>
        <v>#N/A Requesting Data...</v>
      </c>
      <c r="H1288" t="str">
        <f>_xll.BDP("447290AD Muni","ISSUE_DT")</f>
        <v>#N/A Requesting Data...</v>
      </c>
      <c r="I1288" t="str">
        <f>_xll.BDS("447290AD Muni","MUNI_PURPOSE_SCHED", "aggregate=y")</f>
        <v>#N/A Requesting Data...</v>
      </c>
      <c r="J1288" t="str">
        <f>_xll.BDP("447290AD Muni","CPN")</f>
        <v>#N/A Requesting Data...</v>
      </c>
      <c r="K1288" t="str">
        <f>_xll.BDP("447290AD Muni","MATURITY")</f>
        <v>#N/A Requesting Data...</v>
      </c>
      <c r="L1288">
        <v>1200000</v>
      </c>
      <c r="M1288" t="str">
        <f>_xll.BDP("447290AD Muni","YIELD_ON_ISSUE_DATE")</f>
        <v>#N/A Requesting Data...</v>
      </c>
      <c r="N1288" t="str">
        <f>_xll.BDP("447290AD Muni","YTW_SPREAD_TO_MATURITY_AT_ISSU")</f>
        <v>#N/A Requesting Data...</v>
      </c>
      <c r="O1288" t="str">
        <f>_xll.BDP("447290AD Muni","BVAL_MID_YTM")</f>
        <v>#N/A Requesting Data...</v>
      </c>
      <c r="P1288" t="str">
        <f>_xll.BDP("447290AD Muni","MUNI_TAX_PROV")</f>
        <v>#N/A Requesting Data...</v>
      </c>
      <c r="Q1288" t="str">
        <f>_xll.BDP("447290AD Muni","MUNI_FED_TAX")</f>
        <v>#N/A Requesting Data...</v>
      </c>
      <c r="R1288" t="str">
        <f>_xll.BDP("447290AD Muni","MUNI_MSRB_VOLUME")</f>
        <v>#N/A Requesting Data...</v>
      </c>
      <c r="S1288" t="str">
        <f>_xll.BDP("447290AD Muni","BB_COMPOSITE")</f>
        <v>#N/A Requesting Data...</v>
      </c>
      <c r="T1288" t="str">
        <f>_xll.BDP("447290AD Muni","LQA_LIQUIDITY_SCORE")</f>
        <v>#N/A Requesting Data...</v>
      </c>
    </row>
    <row r="1289" spans="1:20" x14ac:dyDescent="0.25">
      <c r="A1289" t="str">
        <f>_xll.BDP("447290AE Muni","ID_CUSIP")</f>
        <v>#N/A Requesting Data...</v>
      </c>
      <c r="B1289" t="s">
        <v>332</v>
      </c>
      <c r="C1289" t="str">
        <f>_xll.BDP("447290AE Muni","INSURANCE_STATUS")</f>
        <v>#N/A Requesting Data...</v>
      </c>
      <c r="D1289" t="str">
        <f>_xll.BDP("447290AE Muni","STATE_CODE")</f>
        <v>#N/A Requesting Data...</v>
      </c>
      <c r="E1289" t="str">
        <f>_xll.BDP("447290AE Muni","COUNTY_LOCATION_ISSUER")</f>
        <v>#N/A Requesting Data...</v>
      </c>
      <c r="F1289" t="str">
        <f>_xll.BDP("447290AE Muni","DUR_ADJ_MID")</f>
        <v>#N/A Requesting Data...</v>
      </c>
      <c r="G1289" t="str">
        <f>_xll.BDP("447290AE Muni","SPREAD_AT_ISSUANCE_TO_WORST")</f>
        <v>#N/A Requesting Data...</v>
      </c>
      <c r="H1289" t="str">
        <f>_xll.BDP("447290AE Muni","ISSUE_DT")</f>
        <v>#N/A Requesting Data...</v>
      </c>
      <c r="I1289" t="str">
        <f>_xll.BDS("447290AE Muni","MUNI_PURPOSE_SCHED", "aggregate=y")</f>
        <v>#N/A Requesting Data...</v>
      </c>
      <c r="J1289" t="str">
        <f>_xll.BDP("447290AE Muni","CPN")</f>
        <v>#N/A Requesting Data...</v>
      </c>
      <c r="K1289" t="str">
        <f>_xll.BDP("447290AE Muni","MATURITY")</f>
        <v>#N/A Requesting Data...</v>
      </c>
      <c r="L1289">
        <v>1265000</v>
      </c>
      <c r="M1289" t="str">
        <f>_xll.BDP("447290AE Muni","YIELD_ON_ISSUE_DATE")</f>
        <v>#N/A Requesting Data...</v>
      </c>
      <c r="N1289" t="str">
        <f>_xll.BDP("447290AE Muni","YTW_SPREAD_TO_MATURITY_AT_ISSU")</f>
        <v>#N/A Requesting Data...</v>
      </c>
      <c r="O1289" t="str">
        <f>_xll.BDP("447290AE Muni","BVAL_MID_YTM")</f>
        <v>#N/A Requesting Data...</v>
      </c>
      <c r="P1289" t="str">
        <f>_xll.BDP("447290AE Muni","MUNI_TAX_PROV")</f>
        <v>#N/A Requesting Data...</v>
      </c>
      <c r="Q1289" t="str">
        <f>_xll.BDP("447290AE Muni","MUNI_FED_TAX")</f>
        <v>#N/A Requesting Data...</v>
      </c>
      <c r="R1289" t="str">
        <f>_xll.BDP("447290AE Muni","MUNI_MSRB_VOLUME")</f>
        <v>#N/A Requesting Data...</v>
      </c>
      <c r="S1289" t="str">
        <f>_xll.BDP("447290AE Muni","BB_COMPOSITE")</f>
        <v>#N/A Requesting Data...</v>
      </c>
      <c r="T1289" t="str">
        <f>_xll.BDP("447290AE Muni","LQA_LIQUIDITY_SCORE")</f>
        <v>#N/A Requesting Data...</v>
      </c>
    </row>
    <row r="1290" spans="1:20" x14ac:dyDescent="0.25">
      <c r="A1290" t="str">
        <f>_xll.BDP("447290AF Muni","ID_CUSIP")</f>
        <v>#N/A Requesting Data...</v>
      </c>
      <c r="B1290" t="s">
        <v>332</v>
      </c>
      <c r="C1290" t="str">
        <f>_xll.BDP("447290AF Muni","INSURANCE_STATUS")</f>
        <v>#N/A Requesting Data...</v>
      </c>
      <c r="D1290" t="str">
        <f>_xll.BDP("447290AF Muni","STATE_CODE")</f>
        <v>#N/A Requesting Data...</v>
      </c>
      <c r="E1290" t="str">
        <f>_xll.BDP("447290AF Muni","COUNTY_LOCATION_ISSUER")</f>
        <v>#N/A Requesting Data...</v>
      </c>
      <c r="F1290" t="str">
        <f>_xll.BDP("447290AF Muni","DUR_ADJ_MID")</f>
        <v>#N/A Requesting Data...</v>
      </c>
      <c r="G1290" t="str">
        <f>_xll.BDP("447290AF Muni","SPREAD_AT_ISSUANCE_TO_WORST")</f>
        <v>#N/A Requesting Data...</v>
      </c>
      <c r="H1290" t="str">
        <f>_xll.BDP("447290AF Muni","ISSUE_DT")</f>
        <v>#N/A Requesting Data...</v>
      </c>
      <c r="I1290" t="str">
        <f>_xll.BDS("447290AF Muni","MUNI_PURPOSE_SCHED", "aggregate=y")</f>
        <v>#N/A Requesting Data...</v>
      </c>
      <c r="J1290" t="str">
        <f>_xll.BDP("447290AF Muni","CPN")</f>
        <v>#N/A Requesting Data...</v>
      </c>
      <c r="K1290" t="str">
        <f>_xll.BDP("447290AF Muni","MATURITY")</f>
        <v>#N/A Requesting Data...</v>
      </c>
      <c r="L1290">
        <v>1325000</v>
      </c>
      <c r="M1290" t="str">
        <f>_xll.BDP("447290AF Muni","YIELD_ON_ISSUE_DATE")</f>
        <v>#N/A Requesting Data...</v>
      </c>
      <c r="N1290" t="str">
        <f>_xll.BDP("447290AF Muni","YTW_SPREAD_TO_MATURITY_AT_ISSU")</f>
        <v>#N/A Requesting Data...</v>
      </c>
      <c r="O1290" t="str">
        <f>_xll.BDP("447290AF Muni","BVAL_MID_YTM")</f>
        <v>#N/A Requesting Data...</v>
      </c>
      <c r="P1290" t="str">
        <f>_xll.BDP("447290AF Muni","MUNI_TAX_PROV")</f>
        <v>#N/A Requesting Data...</v>
      </c>
      <c r="Q1290" t="str">
        <f>_xll.BDP("447290AF Muni","MUNI_FED_TAX")</f>
        <v>#N/A Requesting Data...</v>
      </c>
      <c r="R1290" t="str">
        <f>_xll.BDP("447290AF Muni","MUNI_MSRB_VOLUME")</f>
        <v>#N/A Requesting Data...</v>
      </c>
      <c r="S1290" t="str">
        <f>_xll.BDP("447290AF Muni","BB_COMPOSITE")</f>
        <v>#N/A Requesting Data...</v>
      </c>
      <c r="T1290" t="str">
        <f>_xll.BDP("447290AF Muni","LQA_LIQUIDITY_SCORE")</f>
        <v>#N/A Requesting Data...</v>
      </c>
    </row>
    <row r="1291" spans="1:20" x14ac:dyDescent="0.25">
      <c r="A1291" t="str">
        <f>_xll.BDP("447290AG Muni","ID_CUSIP")</f>
        <v>#N/A Requesting Data...</v>
      </c>
      <c r="B1291" t="s">
        <v>332</v>
      </c>
      <c r="C1291" t="str">
        <f>_xll.BDP("447290AG Muni","INSURANCE_STATUS")</f>
        <v>#N/A Requesting Data...</v>
      </c>
      <c r="D1291" t="str">
        <f>_xll.BDP("447290AG Muni","STATE_CODE")</f>
        <v>#N/A Requesting Data...</v>
      </c>
      <c r="E1291" t="str">
        <f>_xll.BDP("447290AG Muni","COUNTY_LOCATION_ISSUER")</f>
        <v>#N/A Requesting Data...</v>
      </c>
      <c r="F1291" t="str">
        <f>_xll.BDP("447290AG Muni","DUR_ADJ_MID")</f>
        <v>#N/A Requesting Data...</v>
      </c>
      <c r="G1291" t="str">
        <f>_xll.BDP("447290AG Muni","SPREAD_AT_ISSUANCE_TO_WORST")</f>
        <v>#N/A Requesting Data...</v>
      </c>
      <c r="H1291" t="str">
        <f>_xll.BDP("447290AG Muni","ISSUE_DT")</f>
        <v>#N/A Requesting Data...</v>
      </c>
      <c r="I1291" t="str">
        <f>_xll.BDS("447290AG Muni","MUNI_PURPOSE_SCHED", "aggregate=y")</f>
        <v>#N/A Requesting Data...</v>
      </c>
      <c r="J1291" t="str">
        <f>_xll.BDP("447290AG Muni","CPN")</f>
        <v>#N/A Requesting Data...</v>
      </c>
      <c r="K1291" t="str">
        <f>_xll.BDP("447290AG Muni","MATURITY")</f>
        <v>#N/A Requesting Data...</v>
      </c>
      <c r="L1291">
        <v>1390000</v>
      </c>
      <c r="M1291" t="str">
        <f>_xll.BDP("447290AG Muni","YIELD_ON_ISSUE_DATE")</f>
        <v>#N/A Requesting Data...</v>
      </c>
      <c r="N1291" t="str">
        <f>_xll.BDP("447290AG Muni","YTW_SPREAD_TO_MATURITY_AT_ISSU")</f>
        <v>#N/A Requesting Data...</v>
      </c>
      <c r="O1291" t="str">
        <f>_xll.BDP("447290AG Muni","BVAL_MID_YTM")</f>
        <v>#N/A Requesting Data...</v>
      </c>
      <c r="P1291" t="str">
        <f>_xll.BDP("447290AG Muni","MUNI_TAX_PROV")</f>
        <v>#N/A Requesting Data...</v>
      </c>
      <c r="Q1291" t="str">
        <f>_xll.BDP("447290AG Muni","MUNI_FED_TAX")</f>
        <v>#N/A Requesting Data...</v>
      </c>
      <c r="R1291" t="str">
        <f>_xll.BDP("447290AG Muni","MUNI_MSRB_VOLUME")</f>
        <v>#N/A Requesting Data...</v>
      </c>
      <c r="S1291" t="str">
        <f>_xll.BDP("447290AG Muni","BB_COMPOSITE")</f>
        <v>#N/A Requesting Data...</v>
      </c>
      <c r="T1291" t="str">
        <f>_xll.BDP("447290AG Muni","LQA_LIQUIDITY_SCORE")</f>
        <v>#N/A Requesting Data...</v>
      </c>
    </row>
    <row r="1292" spans="1:20" x14ac:dyDescent="0.25">
      <c r="A1292" t="str">
        <f>_xll.BDP("447290AH Muni","ID_CUSIP")</f>
        <v>#N/A Requesting Data...</v>
      </c>
      <c r="B1292" t="s">
        <v>332</v>
      </c>
      <c r="C1292" t="str">
        <f>_xll.BDP("447290AH Muni","INSURANCE_STATUS")</f>
        <v>#N/A Requesting Data...</v>
      </c>
      <c r="D1292" t="str">
        <f>_xll.BDP("447290AH Muni","STATE_CODE")</f>
        <v>#N/A Requesting Data...</v>
      </c>
      <c r="E1292" t="str">
        <f>_xll.BDP("447290AH Muni","COUNTY_LOCATION_ISSUER")</f>
        <v>#N/A Requesting Data...</v>
      </c>
      <c r="F1292" t="str">
        <f>_xll.BDP("447290AH Muni","DUR_ADJ_MID")</f>
        <v>#N/A Requesting Data...</v>
      </c>
      <c r="G1292" t="str">
        <f>_xll.BDP("447290AH Muni","SPREAD_AT_ISSUANCE_TO_WORST")</f>
        <v>#N/A Requesting Data...</v>
      </c>
      <c r="H1292" t="str">
        <f>_xll.BDP("447290AH Muni","ISSUE_DT")</f>
        <v>#N/A Requesting Data...</v>
      </c>
      <c r="I1292" t="str">
        <f>_xll.BDS("447290AH Muni","MUNI_PURPOSE_SCHED", "aggregate=y")</f>
        <v>#N/A Requesting Data...</v>
      </c>
      <c r="J1292" t="str">
        <f>_xll.BDP("447290AH Muni","CPN")</f>
        <v>#N/A Requesting Data...</v>
      </c>
      <c r="K1292" t="str">
        <f>_xll.BDP("447290AH Muni","MATURITY")</f>
        <v>#N/A Requesting Data...</v>
      </c>
      <c r="L1292">
        <v>1460000</v>
      </c>
      <c r="M1292" t="str">
        <f>_xll.BDP("447290AH Muni","YIELD_ON_ISSUE_DATE")</f>
        <v>#N/A Requesting Data...</v>
      </c>
      <c r="N1292" t="str">
        <f>_xll.BDP("447290AH Muni","YTW_SPREAD_TO_MATURITY_AT_ISSU")</f>
        <v>#N/A Requesting Data...</v>
      </c>
      <c r="O1292" t="str">
        <f>_xll.BDP("447290AH Muni","BVAL_MID_YTM")</f>
        <v>#N/A Requesting Data...</v>
      </c>
      <c r="P1292" t="str">
        <f>_xll.BDP("447290AH Muni","MUNI_TAX_PROV")</f>
        <v>#N/A Requesting Data...</v>
      </c>
      <c r="Q1292" t="str">
        <f>_xll.BDP("447290AH Muni","MUNI_FED_TAX")</f>
        <v>#N/A Requesting Data...</v>
      </c>
      <c r="R1292" t="str">
        <f>_xll.BDP("447290AH Muni","MUNI_MSRB_VOLUME")</f>
        <v>#N/A Requesting Data...</v>
      </c>
      <c r="S1292" t="str">
        <f>_xll.BDP("447290AH Muni","BB_COMPOSITE")</f>
        <v>#N/A Requesting Data...</v>
      </c>
      <c r="T1292" t="str">
        <f>_xll.BDP("447290AH Muni","LQA_LIQUIDITY_SCORE")</f>
        <v>#N/A Requesting Data...</v>
      </c>
    </row>
    <row r="1293" spans="1:20" x14ac:dyDescent="0.25">
      <c r="A1293" t="str">
        <f>_xll.BDP("447290AJ Muni","ID_CUSIP")</f>
        <v>#N/A Requesting Data...</v>
      </c>
      <c r="B1293" t="s">
        <v>332</v>
      </c>
      <c r="C1293" t="str">
        <f>_xll.BDP("447290AJ Muni","INSURANCE_STATUS")</f>
        <v>#N/A Requesting Data...</v>
      </c>
      <c r="D1293" t="str">
        <f>_xll.BDP("447290AJ Muni","STATE_CODE")</f>
        <v>#N/A Requesting Data...</v>
      </c>
      <c r="E1293" t="str">
        <f>_xll.BDP("447290AJ Muni","COUNTY_LOCATION_ISSUER")</f>
        <v>#N/A Requesting Data...</v>
      </c>
      <c r="F1293" t="str">
        <f>_xll.BDP("447290AJ Muni","DUR_ADJ_MID")</f>
        <v>#N/A Requesting Data...</v>
      </c>
      <c r="G1293" t="str">
        <f>_xll.BDP("447290AJ Muni","SPREAD_AT_ISSUANCE_TO_WORST")</f>
        <v>#N/A Requesting Data...</v>
      </c>
      <c r="H1293" t="str">
        <f>_xll.BDP("447290AJ Muni","ISSUE_DT")</f>
        <v>#N/A Requesting Data...</v>
      </c>
      <c r="I1293" t="str">
        <f>_xll.BDS("447290AJ Muni","MUNI_PURPOSE_SCHED", "aggregate=y")</f>
        <v>#N/A Requesting Data...</v>
      </c>
      <c r="J1293" t="str">
        <f>_xll.BDP("447290AJ Muni","CPN")</f>
        <v>#N/A Requesting Data...</v>
      </c>
      <c r="K1293" t="str">
        <f>_xll.BDP("447290AJ Muni","MATURITY")</f>
        <v>#N/A Requesting Data...</v>
      </c>
      <c r="L1293">
        <v>1535000</v>
      </c>
      <c r="M1293" t="str">
        <f>_xll.BDP("447290AJ Muni","YIELD_ON_ISSUE_DATE")</f>
        <v>#N/A Requesting Data...</v>
      </c>
      <c r="N1293" t="str">
        <f>_xll.BDP("447290AJ Muni","YTW_SPREAD_TO_MATURITY_AT_ISSU")</f>
        <v>#N/A Requesting Data...</v>
      </c>
      <c r="O1293" t="str">
        <f>_xll.BDP("447290AJ Muni","BVAL_MID_YTM")</f>
        <v>#N/A Requesting Data...</v>
      </c>
      <c r="P1293" t="str">
        <f>_xll.BDP("447290AJ Muni","MUNI_TAX_PROV")</f>
        <v>#N/A Requesting Data...</v>
      </c>
      <c r="Q1293" t="str">
        <f>_xll.BDP("447290AJ Muni","MUNI_FED_TAX")</f>
        <v>#N/A Requesting Data...</v>
      </c>
      <c r="R1293" t="str">
        <f>_xll.BDP("447290AJ Muni","MUNI_MSRB_VOLUME")</f>
        <v>#N/A Requesting Data...</v>
      </c>
      <c r="S1293" t="str">
        <f>_xll.BDP("447290AJ Muni","BB_COMPOSITE")</f>
        <v>#N/A Requesting Data...</v>
      </c>
      <c r="T1293" t="str">
        <f>_xll.BDP("447290AJ Muni","LQA_LIQUIDITY_SCORE")</f>
        <v>#N/A Requesting Data...</v>
      </c>
    </row>
    <row r="1294" spans="1:20" x14ac:dyDescent="0.25">
      <c r="A1294" t="str">
        <f>_xll.BDP("447290AK Muni","ID_CUSIP")</f>
        <v>#N/A Requesting Data...</v>
      </c>
      <c r="B1294" t="s">
        <v>332</v>
      </c>
      <c r="C1294" t="str">
        <f>_xll.BDP("447290AK Muni","INSURANCE_STATUS")</f>
        <v>#N/A Requesting Data...</v>
      </c>
      <c r="D1294" t="str">
        <f>_xll.BDP("447290AK Muni","STATE_CODE")</f>
        <v>#N/A Requesting Data...</v>
      </c>
      <c r="E1294" t="str">
        <f>_xll.BDP("447290AK Muni","COUNTY_LOCATION_ISSUER")</f>
        <v>#N/A Requesting Data...</v>
      </c>
      <c r="F1294" t="str">
        <f>_xll.BDP("447290AK Muni","DUR_ADJ_MID")</f>
        <v>#N/A Requesting Data...</v>
      </c>
      <c r="G1294" t="str">
        <f>_xll.BDP("447290AK Muni","SPREAD_AT_ISSUANCE_TO_WORST")</f>
        <v>#N/A Requesting Data...</v>
      </c>
      <c r="H1294" t="str">
        <f>_xll.BDP("447290AK Muni","ISSUE_DT")</f>
        <v>#N/A Requesting Data...</v>
      </c>
      <c r="I1294" t="str">
        <f>_xll.BDS("447290AK Muni","MUNI_PURPOSE_SCHED", "aggregate=y")</f>
        <v>#N/A Requesting Data...</v>
      </c>
      <c r="J1294" t="str">
        <f>_xll.BDP("447290AK Muni","CPN")</f>
        <v>#N/A Requesting Data...</v>
      </c>
      <c r="K1294" t="str">
        <f>_xll.BDP("447290AK Muni","MATURITY")</f>
        <v>#N/A Requesting Data...</v>
      </c>
      <c r="L1294">
        <v>1610000</v>
      </c>
      <c r="M1294" t="str">
        <f>_xll.BDP("447290AK Muni","YIELD_ON_ISSUE_DATE")</f>
        <v>#N/A Requesting Data...</v>
      </c>
      <c r="N1294" t="str">
        <f>_xll.BDP("447290AK Muni","YTW_SPREAD_TO_MATURITY_AT_ISSU")</f>
        <v>#N/A Requesting Data...</v>
      </c>
      <c r="O1294" t="str">
        <f>_xll.BDP("447290AK Muni","BVAL_MID_YTM")</f>
        <v>#N/A Requesting Data...</v>
      </c>
      <c r="P1294" t="str">
        <f>_xll.BDP("447290AK Muni","MUNI_TAX_PROV")</f>
        <v>#N/A Requesting Data...</v>
      </c>
      <c r="Q1294" t="str">
        <f>_xll.BDP("447290AK Muni","MUNI_FED_TAX")</f>
        <v>#N/A Requesting Data...</v>
      </c>
      <c r="R1294" t="str">
        <f>_xll.BDP("447290AK Muni","MUNI_MSRB_VOLUME")</f>
        <v>#N/A Requesting Data...</v>
      </c>
      <c r="S1294" t="str">
        <f>_xll.BDP("447290AK Muni","BB_COMPOSITE")</f>
        <v>#N/A Requesting Data...</v>
      </c>
      <c r="T1294" t="str">
        <f>_xll.BDP("447290AK Muni","LQA_LIQUIDITY_SCORE")</f>
        <v>#N/A Requesting Data...</v>
      </c>
    </row>
    <row r="1295" spans="1:20" x14ac:dyDescent="0.25">
      <c r="A1295" t="str">
        <f>_xll.BDP("4511523E Muni","ID_CUSIP")</f>
        <v>#N/A Requesting Data...</v>
      </c>
      <c r="B1295" t="s">
        <v>333</v>
      </c>
      <c r="C1295" t="str">
        <f>_xll.BDP("4511523E Muni","INSURANCE_STATUS")</f>
        <v>#N/A Requesting Data...</v>
      </c>
      <c r="D1295" t="str">
        <f>_xll.BDP("4511523E Muni","STATE_CODE")</f>
        <v>#N/A Requesting Data...</v>
      </c>
      <c r="E1295" t="str">
        <f>_xll.BDP("4511523E Muni","COUNTY_LOCATION_ISSUER")</f>
        <v>#N/A Requesting Data...</v>
      </c>
      <c r="F1295" t="str">
        <f>_xll.BDP("4511523E Muni","DUR_ADJ_MID")</f>
        <v>#N/A Requesting Data...</v>
      </c>
      <c r="G1295" t="str">
        <f>_xll.BDP("4511523E Muni","SPREAD_AT_ISSUANCE_TO_WORST")</f>
        <v>#N/A Requesting Data...</v>
      </c>
      <c r="H1295" t="str">
        <f>_xll.BDP("4511523E Muni","ISSUE_DT")</f>
        <v>#N/A Requesting Data...</v>
      </c>
      <c r="I1295" t="str">
        <f>_xll.BDS("4511523E Muni","MUNI_PURPOSE_SCHED", "aggregate=y")</f>
        <v>#N/A Requesting Data...</v>
      </c>
      <c r="J1295" t="str">
        <f>_xll.BDP("4511523E Muni","CPN")</f>
        <v>#N/A Requesting Data...</v>
      </c>
      <c r="K1295" t="str">
        <f>_xll.BDP("4511523E Muni","MATURITY")</f>
        <v>#N/A Requesting Data...</v>
      </c>
      <c r="L1295">
        <v>90000</v>
      </c>
      <c r="M1295" t="str">
        <f>_xll.BDP("4511523E Muni","YIELD_ON_ISSUE_DATE")</f>
        <v>#N/A Requesting Data...</v>
      </c>
      <c r="N1295" t="str">
        <f>_xll.BDP("4511523E Muni","YTW_SPREAD_TO_MATURITY_AT_ISSU")</f>
        <v>#N/A Requesting Data...</v>
      </c>
      <c r="O1295" t="str">
        <f>_xll.BDP("4511523E Muni","BVAL_MID_YTM")</f>
        <v>#N/A Requesting Data...</v>
      </c>
      <c r="P1295" t="str">
        <f>_xll.BDP("4511523E Muni","MUNI_TAX_PROV")</f>
        <v>#N/A Requesting Data...</v>
      </c>
      <c r="Q1295" t="str">
        <f>_xll.BDP("4511523E Muni","MUNI_FED_TAX")</f>
        <v>#N/A Requesting Data...</v>
      </c>
      <c r="R1295" t="str">
        <f>_xll.BDP("4511523E Muni","MUNI_MSRB_VOLUME")</f>
        <v>#N/A Requesting Data...</v>
      </c>
      <c r="S1295" t="str">
        <f>_xll.BDP("4511523E Muni","BB_COMPOSITE")</f>
        <v>#N/A Requesting Data...</v>
      </c>
      <c r="T1295" t="str">
        <f>_xll.BDP("4511523E Muni","LQA_LIQUIDITY_SCORE")</f>
        <v>#N/A Requesting Data...</v>
      </c>
    </row>
    <row r="1296" spans="1:20" x14ac:dyDescent="0.25">
      <c r="A1296" t="str">
        <f>_xll.BDP("4511523H Muni","ID_CUSIP")</f>
        <v>#N/A Requesting Data...</v>
      </c>
      <c r="B1296" t="s">
        <v>333</v>
      </c>
      <c r="C1296" t="str">
        <f>_xll.BDP("4511523H Muni","INSURANCE_STATUS")</f>
        <v>#N/A Requesting Data...</v>
      </c>
      <c r="D1296" t="str">
        <f>_xll.BDP("4511523H Muni","STATE_CODE")</f>
        <v>#N/A Requesting Data...</v>
      </c>
      <c r="E1296" t="str">
        <f>_xll.BDP("4511523H Muni","COUNTY_LOCATION_ISSUER")</f>
        <v>#N/A Requesting Data...</v>
      </c>
      <c r="F1296" t="str">
        <f>_xll.BDP("4511523H Muni","DUR_ADJ_MID")</f>
        <v>#N/A Requesting Data...</v>
      </c>
      <c r="G1296" t="str">
        <f>_xll.BDP("4511523H Muni","SPREAD_AT_ISSUANCE_TO_WORST")</f>
        <v>#N/A Requesting Data...</v>
      </c>
      <c r="H1296" t="str">
        <f>_xll.BDP("4511523H Muni","ISSUE_DT")</f>
        <v>#N/A Requesting Data...</v>
      </c>
      <c r="I1296" t="str">
        <f>_xll.BDS("4511523H Muni","MUNI_PURPOSE_SCHED", "aggregate=y")</f>
        <v>#N/A Requesting Data...</v>
      </c>
      <c r="J1296" t="str">
        <f>_xll.BDP("4511523H Muni","CPN")</f>
        <v>#N/A Requesting Data...</v>
      </c>
      <c r="K1296" t="str">
        <f>_xll.BDP("4511523H Muni","MATURITY")</f>
        <v>#N/A Requesting Data...</v>
      </c>
      <c r="L1296">
        <v>100000</v>
      </c>
      <c r="M1296" t="str">
        <f>_xll.BDP("4511523H Muni","YIELD_ON_ISSUE_DATE")</f>
        <v>#N/A Requesting Data...</v>
      </c>
      <c r="N1296" t="str">
        <f>_xll.BDP("4511523H Muni","YTW_SPREAD_TO_MATURITY_AT_ISSU")</f>
        <v>#N/A Requesting Data...</v>
      </c>
      <c r="O1296" t="str">
        <f>_xll.BDP("4511523H Muni","BVAL_MID_YTM")</f>
        <v>#N/A Requesting Data...</v>
      </c>
      <c r="P1296" t="str">
        <f>_xll.BDP("4511523H Muni","MUNI_TAX_PROV")</f>
        <v>#N/A Requesting Data...</v>
      </c>
      <c r="Q1296" t="str">
        <f>_xll.BDP("4511523H Muni","MUNI_FED_TAX")</f>
        <v>#N/A Requesting Data...</v>
      </c>
      <c r="R1296" t="str">
        <f>_xll.BDP("4511523H Muni","MUNI_MSRB_VOLUME")</f>
        <v>#N/A Requesting Data...</v>
      </c>
      <c r="S1296" t="str">
        <f>_xll.BDP("4511523H Muni","BB_COMPOSITE")</f>
        <v>#N/A Requesting Data...</v>
      </c>
      <c r="T1296" t="str">
        <f>_xll.BDP("4511523H Muni","LQA_LIQUIDITY_SCORE")</f>
        <v>#N/A Requesting Data...</v>
      </c>
    </row>
    <row r="1297" spans="1:20" x14ac:dyDescent="0.25">
      <c r="A1297" t="str">
        <f>_xll.BDP("446457YK Muni","ID_CUSIP")</f>
        <v>#N/A Requesting Data...</v>
      </c>
      <c r="B1297" t="s">
        <v>331</v>
      </c>
      <c r="C1297" t="str">
        <f>_xll.BDP("446457YK Muni","INSURANCE_STATUS")</f>
        <v>#N/A Requesting Data...</v>
      </c>
      <c r="D1297" t="str">
        <f>_xll.BDP("446457YK Muni","STATE_CODE")</f>
        <v>#N/A Requesting Data...</v>
      </c>
      <c r="E1297" t="str">
        <f>_xll.BDP("446457YK Muni","COUNTY_LOCATION_ISSUER")</f>
        <v>#N/A Requesting Data...</v>
      </c>
      <c r="F1297" t="str">
        <f>_xll.BDP("446457YK Muni","DUR_ADJ_MID")</f>
        <v>#N/A Requesting Data...</v>
      </c>
      <c r="G1297" t="str">
        <f>_xll.BDP("446457YK Muni","SPREAD_AT_ISSUANCE_TO_WORST")</f>
        <v>#N/A Requesting Data...</v>
      </c>
      <c r="H1297" t="str">
        <f>_xll.BDP("446457YK Muni","ISSUE_DT")</f>
        <v>#N/A Requesting Data...</v>
      </c>
      <c r="I1297" t="str">
        <f>_xll.BDS("446457YK Muni","MUNI_PURPOSE_SCHED", "aggregate=y")</f>
        <v>#N/A Requesting Data...</v>
      </c>
      <c r="J1297" t="str">
        <f>_xll.BDP("446457YK Muni","CPN")</f>
        <v>#N/A Requesting Data...</v>
      </c>
      <c r="K1297" t="str">
        <f>_xll.BDP("446457YK Muni","MATURITY")</f>
        <v>#N/A Requesting Data...</v>
      </c>
      <c r="L1297">
        <v>625000</v>
      </c>
      <c r="M1297" t="str">
        <f>_xll.BDP("446457YK Muni","YIELD_ON_ISSUE_DATE")</f>
        <v>#N/A Requesting Data...</v>
      </c>
      <c r="N1297" t="str">
        <f>_xll.BDP("446457YK Muni","YTW_SPREAD_TO_MATURITY_AT_ISSU")</f>
        <v>#N/A Requesting Data...</v>
      </c>
      <c r="O1297" t="str">
        <f>_xll.BDP("446457YK Muni","BVAL_MID_YTM")</f>
        <v>#N/A Requesting Data...</v>
      </c>
      <c r="P1297" t="str">
        <f>_xll.BDP("446457YK Muni","MUNI_TAX_PROV")</f>
        <v>#N/A Requesting Data...</v>
      </c>
      <c r="Q1297" t="str">
        <f>_xll.BDP("446457YK Muni","MUNI_FED_TAX")</f>
        <v>#N/A Requesting Data...</v>
      </c>
      <c r="R1297" t="str">
        <f>_xll.BDP("446457YK Muni","MUNI_MSRB_VOLUME")</f>
        <v>#N/A Requesting Data...</v>
      </c>
      <c r="S1297" t="str">
        <f>_xll.BDP("446457YK Muni","BB_COMPOSITE")</f>
        <v>#N/A Requesting Data...</v>
      </c>
      <c r="T1297" t="str">
        <f>_xll.BDP("446457YK Muni","LQA_LIQUIDITY_SCORE")</f>
        <v>#N/A Requesting Data...</v>
      </c>
    </row>
    <row r="1298" spans="1:20" x14ac:dyDescent="0.25">
      <c r="A1298" t="str">
        <f>_xll.BDP("446457YM Muni","ID_CUSIP")</f>
        <v>#N/A Requesting Data...</v>
      </c>
      <c r="B1298" t="s">
        <v>331</v>
      </c>
      <c r="C1298" t="str">
        <f>_xll.BDP("446457YM Muni","INSURANCE_STATUS")</f>
        <v>#N/A Requesting Data...</v>
      </c>
      <c r="D1298" t="str">
        <f>_xll.BDP("446457YM Muni","STATE_CODE")</f>
        <v>#N/A Requesting Data...</v>
      </c>
      <c r="E1298" t="str">
        <f>_xll.BDP("446457YM Muni","COUNTY_LOCATION_ISSUER")</f>
        <v>#N/A Requesting Data...</v>
      </c>
      <c r="F1298" t="str">
        <f>_xll.BDP("446457YM Muni","DUR_ADJ_MID")</f>
        <v>#N/A Requesting Data...</v>
      </c>
      <c r="G1298" t="str">
        <f>_xll.BDP("446457YM Muni","SPREAD_AT_ISSUANCE_TO_WORST")</f>
        <v>#N/A Requesting Data...</v>
      </c>
      <c r="H1298" t="str">
        <f>_xll.BDP("446457YM Muni","ISSUE_DT")</f>
        <v>#N/A Requesting Data...</v>
      </c>
      <c r="I1298" t="str">
        <f>_xll.BDS("446457YM Muni","MUNI_PURPOSE_SCHED", "aggregate=y")</f>
        <v>#N/A Requesting Data...</v>
      </c>
      <c r="J1298" t="str">
        <f>_xll.BDP("446457YM Muni","CPN")</f>
        <v>#N/A Requesting Data...</v>
      </c>
      <c r="K1298" t="str">
        <f>_xll.BDP("446457YM Muni","MATURITY")</f>
        <v>#N/A Requesting Data...</v>
      </c>
      <c r="L1298">
        <v>670000</v>
      </c>
      <c r="M1298" t="str">
        <f>_xll.BDP("446457YM Muni","YIELD_ON_ISSUE_DATE")</f>
        <v>#N/A Requesting Data...</v>
      </c>
      <c r="N1298" t="str">
        <f>_xll.BDP("446457YM Muni","YTW_SPREAD_TO_MATURITY_AT_ISSU")</f>
        <v>#N/A Requesting Data...</v>
      </c>
      <c r="O1298" t="str">
        <f>_xll.BDP("446457YM Muni","BVAL_MID_YTM")</f>
        <v>#N/A Requesting Data...</v>
      </c>
      <c r="P1298" t="str">
        <f>_xll.BDP("446457YM Muni","MUNI_TAX_PROV")</f>
        <v>#N/A Requesting Data...</v>
      </c>
      <c r="Q1298" t="str">
        <f>_xll.BDP("446457YM Muni","MUNI_FED_TAX")</f>
        <v>#N/A Requesting Data...</v>
      </c>
      <c r="R1298" t="str">
        <f>_xll.BDP("446457YM Muni","MUNI_MSRB_VOLUME")</f>
        <v>#N/A Requesting Data...</v>
      </c>
      <c r="S1298" t="str">
        <f>_xll.BDP("446457YM Muni","BB_COMPOSITE")</f>
        <v>#N/A Requesting Data...</v>
      </c>
      <c r="T1298" t="str">
        <f>_xll.BDP("446457YM Muni","LQA_LIQUIDITY_SCORE")</f>
        <v>#N/A Requesting Data...</v>
      </c>
    </row>
    <row r="1299" spans="1:20" x14ac:dyDescent="0.25">
      <c r="A1299" t="str">
        <f>_xll.BDP("514282XA Muni","ID_CUSIP")</f>
        <v>#N/A Requesting Data...</v>
      </c>
      <c r="B1299" t="s">
        <v>303</v>
      </c>
      <c r="C1299" t="str">
        <f>_xll.BDP("514282XA Muni","INSURANCE_STATUS")</f>
        <v>#N/A Requesting Data...</v>
      </c>
      <c r="D1299" t="str">
        <f>_xll.BDP("514282XA Muni","STATE_CODE")</f>
        <v>#N/A Requesting Data...</v>
      </c>
      <c r="E1299" t="str">
        <f>_xll.BDP("514282XA Muni","COUNTY_LOCATION_ISSUER")</f>
        <v>#N/A Requesting Data...</v>
      </c>
      <c r="F1299" t="str">
        <f>_xll.BDP("514282XA Muni","DUR_ADJ_MID")</f>
        <v>#N/A Requesting Data...</v>
      </c>
      <c r="G1299" t="str">
        <f>_xll.BDP("514282XA Muni","SPREAD_AT_ISSUANCE_TO_WORST")</f>
        <v>#N/A Requesting Data...</v>
      </c>
      <c r="H1299" t="str">
        <f>_xll.BDP("514282XA Muni","ISSUE_DT")</f>
        <v>#N/A Requesting Data...</v>
      </c>
      <c r="I1299" t="str">
        <f>_xll.BDS("514282XA Muni","MUNI_PURPOSE_SCHED", "aggregate=y")</f>
        <v>#N/A Requesting Data...</v>
      </c>
      <c r="J1299" t="str">
        <f>_xll.BDP("514282XA Muni","CPN")</f>
        <v>#N/A Requesting Data...</v>
      </c>
      <c r="K1299" t="str">
        <f>_xll.BDP("514282XA Muni","MATURITY")</f>
        <v>#N/A Requesting Data...</v>
      </c>
      <c r="L1299">
        <v>800000</v>
      </c>
      <c r="M1299" t="str">
        <f>_xll.BDP("514282XA Muni","YIELD_ON_ISSUE_DATE")</f>
        <v>#N/A Requesting Data...</v>
      </c>
      <c r="N1299" t="str">
        <f>_xll.BDP("514282XA Muni","YTW_SPREAD_TO_MATURITY_AT_ISSU")</f>
        <v>#N/A Requesting Data...</v>
      </c>
      <c r="O1299" t="str">
        <f>_xll.BDP("514282XA Muni","BVAL_MID_YTM")</f>
        <v>#N/A Requesting Data...</v>
      </c>
      <c r="P1299" t="str">
        <f>_xll.BDP("514282XA Muni","MUNI_TAX_PROV")</f>
        <v>#N/A Requesting Data...</v>
      </c>
      <c r="Q1299" t="str">
        <f>_xll.BDP("514282XA Muni","MUNI_FED_TAX")</f>
        <v>#N/A Requesting Data...</v>
      </c>
      <c r="R1299" t="str">
        <f>_xll.BDP("514282XA Muni","MUNI_MSRB_VOLUME")</f>
        <v>#N/A Requesting Data...</v>
      </c>
      <c r="S1299" t="str">
        <f>_xll.BDP("514282XA Muni","BB_COMPOSITE")</f>
        <v>#N/A Requesting Data...</v>
      </c>
      <c r="T1299" t="str">
        <f>_xll.BDP("514282XA Muni","LQA_LIQUIDITY_SCORE")</f>
        <v>#N/A Requesting Data...</v>
      </c>
    </row>
    <row r="1300" spans="1:20" x14ac:dyDescent="0.25">
      <c r="A1300" t="str">
        <f>_xll.BDP("517496GZ Muni","ID_CUSIP")</f>
        <v>#N/A Requesting Data...</v>
      </c>
      <c r="B1300" t="s">
        <v>304</v>
      </c>
      <c r="C1300" t="str">
        <f>_xll.BDP("517496GZ Muni","INSURANCE_STATUS")</f>
        <v>#N/A Requesting Data...</v>
      </c>
      <c r="D1300" t="str">
        <f>_xll.BDP("517496GZ Muni","STATE_CODE")</f>
        <v>#N/A Requesting Data...</v>
      </c>
      <c r="E1300" t="str">
        <f>_xll.BDP("517496GZ Muni","COUNTY_LOCATION_ISSUER")</f>
        <v>#N/A Requesting Data...</v>
      </c>
      <c r="F1300" t="str">
        <f>_xll.BDP("517496GZ Muni","DUR_ADJ_MID")</f>
        <v>#N/A Requesting Data...</v>
      </c>
      <c r="G1300" t="str">
        <f>_xll.BDP("517496GZ Muni","SPREAD_AT_ISSUANCE_TO_WORST")</f>
        <v>#N/A Requesting Data...</v>
      </c>
      <c r="H1300" t="str">
        <f>_xll.BDP("517496GZ Muni","ISSUE_DT")</f>
        <v>#N/A Requesting Data...</v>
      </c>
      <c r="I1300" t="str">
        <f>_xll.BDS("517496GZ Muni","MUNI_PURPOSE_SCHED", "aggregate=y")</f>
        <v>#N/A Requesting Data...</v>
      </c>
      <c r="J1300" t="str">
        <f>_xll.BDP("517496GZ Muni","CPN")</f>
        <v>#N/A Requesting Data...</v>
      </c>
      <c r="K1300" t="str">
        <f>_xll.BDP("517496GZ Muni","MATURITY")</f>
        <v>#N/A Requesting Data...</v>
      </c>
      <c r="L1300">
        <v>815000</v>
      </c>
      <c r="M1300" t="str">
        <f>_xll.BDP("517496GZ Muni","YIELD_ON_ISSUE_DATE")</f>
        <v>#N/A Requesting Data...</v>
      </c>
      <c r="N1300" t="str">
        <f>_xll.BDP("517496GZ Muni","YTW_SPREAD_TO_MATURITY_AT_ISSU")</f>
        <v>#N/A Requesting Data...</v>
      </c>
      <c r="O1300" t="str">
        <f>_xll.BDP("517496GZ Muni","BVAL_MID_YTM")</f>
        <v>#N/A Requesting Data...</v>
      </c>
      <c r="P1300" t="str">
        <f>_xll.BDP("517496GZ Muni","MUNI_TAX_PROV")</f>
        <v>#N/A Requesting Data...</v>
      </c>
      <c r="Q1300" t="str">
        <f>_xll.BDP("517496GZ Muni","MUNI_FED_TAX")</f>
        <v>#N/A Requesting Data...</v>
      </c>
      <c r="R1300" t="str">
        <f>_xll.BDP("517496GZ Muni","MUNI_MSRB_VOLUME")</f>
        <v>#N/A Requesting Data...</v>
      </c>
      <c r="S1300" t="str">
        <f>_xll.BDP("517496GZ Muni","BB_COMPOSITE")</f>
        <v>#N/A Requesting Data...</v>
      </c>
      <c r="T1300" t="str">
        <f>_xll.BDP("517496GZ Muni","LQA_LIQUIDITY_SCORE")</f>
        <v>#N/A Requesting Data...</v>
      </c>
    </row>
    <row r="1301" spans="1:20" x14ac:dyDescent="0.25">
      <c r="A1301" t="str">
        <f>_xll.BDP("517496HA Muni","ID_CUSIP")</f>
        <v>#N/A Requesting Data...</v>
      </c>
      <c r="B1301" t="s">
        <v>304</v>
      </c>
      <c r="C1301" t="str">
        <f>_xll.BDP("517496HA Muni","INSURANCE_STATUS")</f>
        <v>#N/A Requesting Data...</v>
      </c>
      <c r="D1301" t="str">
        <f>_xll.BDP("517496HA Muni","STATE_CODE")</f>
        <v>#N/A Requesting Data...</v>
      </c>
      <c r="E1301" t="str">
        <f>_xll.BDP("517496HA Muni","COUNTY_LOCATION_ISSUER")</f>
        <v>#N/A Requesting Data...</v>
      </c>
      <c r="F1301" t="str">
        <f>_xll.BDP("517496HA Muni","DUR_ADJ_MID")</f>
        <v>#N/A Requesting Data...</v>
      </c>
      <c r="G1301" t="str">
        <f>_xll.BDP("517496HA Muni","SPREAD_AT_ISSUANCE_TO_WORST")</f>
        <v>#N/A Requesting Data...</v>
      </c>
      <c r="H1301" t="str">
        <f>_xll.BDP("517496HA Muni","ISSUE_DT")</f>
        <v>#N/A Requesting Data...</v>
      </c>
      <c r="I1301" t="str">
        <f>_xll.BDS("517496HA Muni","MUNI_PURPOSE_SCHED", "aggregate=y")</f>
        <v>#N/A Requesting Data...</v>
      </c>
      <c r="J1301" t="str">
        <f>_xll.BDP("517496HA Muni","CPN")</f>
        <v>#N/A Requesting Data...</v>
      </c>
      <c r="K1301" t="str">
        <f>_xll.BDP("517496HA Muni","MATURITY")</f>
        <v>#N/A Requesting Data...</v>
      </c>
      <c r="L1301">
        <v>780000</v>
      </c>
      <c r="M1301" t="str">
        <f>_xll.BDP("517496HA Muni","YIELD_ON_ISSUE_DATE")</f>
        <v>#N/A Requesting Data...</v>
      </c>
      <c r="N1301" t="str">
        <f>_xll.BDP("517496HA Muni","YTW_SPREAD_TO_MATURITY_AT_ISSU")</f>
        <v>#N/A Requesting Data...</v>
      </c>
      <c r="O1301" t="str">
        <f>_xll.BDP("517496HA Muni","BVAL_MID_YTM")</f>
        <v>#N/A Requesting Data...</v>
      </c>
      <c r="P1301" t="str">
        <f>_xll.BDP("517496HA Muni","MUNI_TAX_PROV")</f>
        <v>#N/A Requesting Data...</v>
      </c>
      <c r="Q1301" t="str">
        <f>_xll.BDP("517496HA Muni","MUNI_FED_TAX")</f>
        <v>#N/A Requesting Data...</v>
      </c>
      <c r="R1301" t="str">
        <f>_xll.BDP("517496HA Muni","MUNI_MSRB_VOLUME")</f>
        <v>#N/A Requesting Data...</v>
      </c>
      <c r="S1301" t="str">
        <f>_xll.BDP("517496HA Muni","BB_COMPOSITE")</f>
        <v>#N/A Requesting Data...</v>
      </c>
      <c r="T1301" t="str">
        <f>_xll.BDP("517496HA Muni","LQA_LIQUIDITY_SCORE")</f>
        <v>#N/A Requesting Data...</v>
      </c>
    </row>
    <row r="1302" spans="1:20" x14ac:dyDescent="0.25">
      <c r="A1302" t="str">
        <f>_xll.BDP("517496HC Muni","ID_CUSIP")</f>
        <v>#N/A Requesting Data...</v>
      </c>
      <c r="B1302" t="s">
        <v>304</v>
      </c>
      <c r="C1302" t="str">
        <f>_xll.BDP("517496HC Muni","INSURANCE_STATUS")</f>
        <v>#N/A Requesting Data...</v>
      </c>
      <c r="D1302" t="str">
        <f>_xll.BDP("517496HC Muni","STATE_CODE")</f>
        <v>#N/A Requesting Data...</v>
      </c>
      <c r="E1302" t="str">
        <f>_xll.BDP("517496HC Muni","COUNTY_LOCATION_ISSUER")</f>
        <v>#N/A Requesting Data...</v>
      </c>
      <c r="F1302" t="str">
        <f>_xll.BDP("517496HC Muni","DUR_ADJ_MID")</f>
        <v>#N/A Requesting Data...</v>
      </c>
      <c r="G1302" t="str">
        <f>_xll.BDP("517496HC Muni","SPREAD_AT_ISSUANCE_TO_WORST")</f>
        <v>#N/A Requesting Data...</v>
      </c>
      <c r="H1302" t="str">
        <f>_xll.BDP("517496HC Muni","ISSUE_DT")</f>
        <v>#N/A Requesting Data...</v>
      </c>
      <c r="I1302" t="str">
        <f>_xll.BDS("517496HC Muni","MUNI_PURPOSE_SCHED", "aggregate=y")</f>
        <v>#N/A Requesting Data...</v>
      </c>
      <c r="J1302" t="str">
        <f>_xll.BDP("517496HC Muni","CPN")</f>
        <v>#N/A Requesting Data...</v>
      </c>
      <c r="K1302" t="str">
        <f>_xll.BDP("517496HC Muni","MATURITY")</f>
        <v>#N/A Requesting Data...</v>
      </c>
      <c r="L1302">
        <v>1030000</v>
      </c>
      <c r="M1302" t="str">
        <f>_xll.BDP("517496HC Muni","YIELD_ON_ISSUE_DATE")</f>
        <v>#N/A Requesting Data...</v>
      </c>
      <c r="N1302" t="str">
        <f>_xll.BDP("517496HC Muni","YTW_SPREAD_TO_MATURITY_AT_ISSU")</f>
        <v>#N/A Requesting Data...</v>
      </c>
      <c r="O1302" t="str">
        <f>_xll.BDP("517496HC Muni","BVAL_MID_YTM")</f>
        <v>#N/A Requesting Data...</v>
      </c>
      <c r="P1302" t="str">
        <f>_xll.BDP("517496HC Muni","MUNI_TAX_PROV")</f>
        <v>#N/A Requesting Data...</v>
      </c>
      <c r="Q1302" t="str">
        <f>_xll.BDP("517496HC Muni","MUNI_FED_TAX")</f>
        <v>#N/A Requesting Data...</v>
      </c>
      <c r="R1302" t="str">
        <f>_xll.BDP("517496HC Muni","MUNI_MSRB_VOLUME")</f>
        <v>#N/A Requesting Data...</v>
      </c>
      <c r="S1302" t="str">
        <f>_xll.BDP("517496HC Muni","BB_COMPOSITE")</f>
        <v>#N/A Requesting Data...</v>
      </c>
      <c r="T1302" t="str">
        <f>_xll.BDP("517496HC Muni","LQA_LIQUIDITY_SCORE")</f>
        <v>#N/A Requesting Data...</v>
      </c>
    </row>
    <row r="1303" spans="1:20" x14ac:dyDescent="0.25">
      <c r="A1303" t="str">
        <f>_xll.BDP("4511523D Muni","ID_CUSIP")</f>
        <v>#N/A Requesting Data...</v>
      </c>
      <c r="B1303" t="s">
        <v>333</v>
      </c>
      <c r="C1303" t="str">
        <f>_xll.BDP("4511523D Muni","INSURANCE_STATUS")</f>
        <v>#N/A Requesting Data...</v>
      </c>
      <c r="D1303" t="str">
        <f>_xll.BDP("4511523D Muni","STATE_CODE")</f>
        <v>#N/A Requesting Data...</v>
      </c>
      <c r="E1303" t="str">
        <f>_xll.BDP("4511523D Muni","COUNTY_LOCATION_ISSUER")</f>
        <v>#N/A Requesting Data...</v>
      </c>
      <c r="F1303" t="str">
        <f>_xll.BDP("4511523D Muni","DUR_ADJ_MID")</f>
        <v>#N/A Requesting Data...</v>
      </c>
      <c r="G1303" t="str">
        <f>_xll.BDP("4511523D Muni","SPREAD_AT_ISSUANCE_TO_WORST")</f>
        <v>#N/A Requesting Data...</v>
      </c>
      <c r="H1303" t="str">
        <f>_xll.BDP("4511523D Muni","ISSUE_DT")</f>
        <v>#N/A Requesting Data...</v>
      </c>
      <c r="I1303" t="str">
        <f>_xll.BDS("4511523D Muni","MUNI_PURPOSE_SCHED", "aggregate=y")</f>
        <v>#N/A Requesting Data...</v>
      </c>
      <c r="J1303" t="str">
        <f>_xll.BDP("4511523D Muni","CPN")</f>
        <v>#N/A Requesting Data...</v>
      </c>
      <c r="K1303" t="str">
        <f>_xll.BDP("4511523D Muni","MATURITY")</f>
        <v>#N/A Requesting Data...</v>
      </c>
      <c r="L1303">
        <v>85000</v>
      </c>
      <c r="M1303" t="str">
        <f>_xll.BDP("4511523D Muni","YIELD_ON_ISSUE_DATE")</f>
        <v>#N/A Requesting Data...</v>
      </c>
      <c r="N1303" t="str">
        <f>_xll.BDP("4511523D Muni","YTW_SPREAD_TO_MATURITY_AT_ISSU")</f>
        <v>#N/A Requesting Data...</v>
      </c>
      <c r="O1303" t="str">
        <f>_xll.BDP("4511523D Muni","BVAL_MID_YTM")</f>
        <v>#N/A Requesting Data...</v>
      </c>
      <c r="P1303" t="str">
        <f>_xll.BDP("4511523D Muni","MUNI_TAX_PROV")</f>
        <v>#N/A Requesting Data...</v>
      </c>
      <c r="Q1303" t="str">
        <f>_xll.BDP("4511523D Muni","MUNI_FED_TAX")</f>
        <v>#N/A Requesting Data...</v>
      </c>
      <c r="R1303" t="str">
        <f>_xll.BDP("4511523D Muni","MUNI_MSRB_VOLUME")</f>
        <v>#N/A Requesting Data...</v>
      </c>
      <c r="S1303" t="str">
        <f>_xll.BDP("4511523D Muni","BB_COMPOSITE")</f>
        <v>#N/A Requesting Data...</v>
      </c>
      <c r="T1303" t="str">
        <f>_xll.BDP("4511523D Muni","LQA_LIQUIDITY_SCORE")</f>
        <v>#N/A Requesting Data...</v>
      </c>
    </row>
    <row r="1304" spans="1:20" x14ac:dyDescent="0.25">
      <c r="A1304" t="str">
        <f>_xll.BDP("4511523F Muni","ID_CUSIP")</f>
        <v>#N/A Requesting Data...</v>
      </c>
      <c r="B1304" t="s">
        <v>333</v>
      </c>
      <c r="C1304" t="str">
        <f>_xll.BDP("4511523F Muni","INSURANCE_STATUS")</f>
        <v>#N/A Requesting Data...</v>
      </c>
      <c r="D1304" t="str">
        <f>_xll.BDP("4511523F Muni","STATE_CODE")</f>
        <v>#N/A Requesting Data...</v>
      </c>
      <c r="E1304" t="str">
        <f>_xll.BDP("4511523F Muni","COUNTY_LOCATION_ISSUER")</f>
        <v>#N/A Requesting Data...</v>
      </c>
      <c r="F1304" t="str">
        <f>_xll.BDP("4511523F Muni","DUR_ADJ_MID")</f>
        <v>#N/A Requesting Data...</v>
      </c>
      <c r="G1304" t="str">
        <f>_xll.BDP("4511523F Muni","SPREAD_AT_ISSUANCE_TO_WORST")</f>
        <v>#N/A Requesting Data...</v>
      </c>
      <c r="H1304" t="str">
        <f>_xll.BDP("4511523F Muni","ISSUE_DT")</f>
        <v>#N/A Requesting Data...</v>
      </c>
      <c r="I1304" t="str">
        <f>_xll.BDS("4511523F Muni","MUNI_PURPOSE_SCHED", "aggregate=y")</f>
        <v>#N/A Requesting Data...</v>
      </c>
      <c r="J1304" t="str">
        <f>_xll.BDP("4511523F Muni","CPN")</f>
        <v>#N/A Requesting Data...</v>
      </c>
      <c r="K1304" t="str">
        <f>_xll.BDP("4511523F Muni","MATURITY")</f>
        <v>#N/A Requesting Data...</v>
      </c>
      <c r="L1304">
        <v>90000</v>
      </c>
      <c r="M1304" t="str">
        <f>_xll.BDP("4511523F Muni","YIELD_ON_ISSUE_DATE")</f>
        <v>#N/A Requesting Data...</v>
      </c>
      <c r="N1304" t="str">
        <f>_xll.BDP("4511523F Muni","YTW_SPREAD_TO_MATURITY_AT_ISSU")</f>
        <v>#N/A Requesting Data...</v>
      </c>
      <c r="O1304" t="str">
        <f>_xll.BDP("4511523F Muni","BVAL_MID_YTM")</f>
        <v>#N/A Requesting Data...</v>
      </c>
      <c r="P1304" t="str">
        <f>_xll.BDP("4511523F Muni","MUNI_TAX_PROV")</f>
        <v>#N/A Requesting Data...</v>
      </c>
      <c r="Q1304" t="str">
        <f>_xll.BDP("4511523F Muni","MUNI_FED_TAX")</f>
        <v>#N/A Requesting Data...</v>
      </c>
      <c r="R1304" t="str">
        <f>_xll.BDP("4511523F Muni","MUNI_MSRB_VOLUME")</f>
        <v>#N/A Requesting Data...</v>
      </c>
      <c r="S1304" t="str">
        <f>_xll.BDP("4511523F Muni","BB_COMPOSITE")</f>
        <v>#N/A Requesting Data...</v>
      </c>
      <c r="T1304" t="str">
        <f>_xll.BDP("4511523F Muni","LQA_LIQUIDITY_SCORE")</f>
        <v>#N/A Requesting Data...</v>
      </c>
    </row>
    <row r="1305" spans="1:20" x14ac:dyDescent="0.25">
      <c r="A1305" t="str">
        <f>_xll.BDP("4511523G Muni","ID_CUSIP")</f>
        <v>#N/A Requesting Data...</v>
      </c>
      <c r="B1305" t="s">
        <v>333</v>
      </c>
      <c r="C1305" t="str">
        <f>_xll.BDP("4511523G Muni","INSURANCE_STATUS")</f>
        <v>#N/A Requesting Data...</v>
      </c>
      <c r="D1305" t="str">
        <f>_xll.BDP("4511523G Muni","STATE_CODE")</f>
        <v>#N/A Requesting Data...</v>
      </c>
      <c r="E1305" t="str">
        <f>_xll.BDP("4511523G Muni","COUNTY_LOCATION_ISSUER")</f>
        <v>#N/A Requesting Data...</v>
      </c>
      <c r="F1305" t="str">
        <f>_xll.BDP("4511523G Muni","DUR_ADJ_MID")</f>
        <v>#N/A Requesting Data...</v>
      </c>
      <c r="G1305" t="str">
        <f>_xll.BDP("4511523G Muni","SPREAD_AT_ISSUANCE_TO_WORST")</f>
        <v>#N/A Requesting Data...</v>
      </c>
      <c r="H1305" t="str">
        <f>_xll.BDP("4511523G Muni","ISSUE_DT")</f>
        <v>#N/A Requesting Data...</v>
      </c>
      <c r="I1305" t="str">
        <f>_xll.BDS("4511523G Muni","MUNI_PURPOSE_SCHED", "aggregate=y")</f>
        <v>#N/A Requesting Data...</v>
      </c>
      <c r="J1305" t="str">
        <f>_xll.BDP("4511523G Muni","CPN")</f>
        <v>#N/A Requesting Data...</v>
      </c>
      <c r="K1305" t="str">
        <f>_xll.BDP("4511523G Muni","MATURITY")</f>
        <v>#N/A Requesting Data...</v>
      </c>
      <c r="L1305">
        <v>95000</v>
      </c>
      <c r="M1305" t="str">
        <f>_xll.BDP("4511523G Muni","YIELD_ON_ISSUE_DATE")</f>
        <v>#N/A Requesting Data...</v>
      </c>
      <c r="N1305" t="str">
        <f>_xll.BDP("4511523G Muni","YTW_SPREAD_TO_MATURITY_AT_ISSU")</f>
        <v>#N/A Requesting Data...</v>
      </c>
      <c r="O1305" t="str">
        <f>_xll.BDP("4511523G Muni","BVAL_MID_YTM")</f>
        <v>#N/A Requesting Data...</v>
      </c>
      <c r="P1305" t="str">
        <f>_xll.BDP("4511523G Muni","MUNI_TAX_PROV")</f>
        <v>#N/A Requesting Data...</v>
      </c>
      <c r="Q1305" t="str">
        <f>_xll.BDP("4511523G Muni","MUNI_FED_TAX")</f>
        <v>#N/A Requesting Data...</v>
      </c>
      <c r="R1305" t="str">
        <f>_xll.BDP("4511523G Muni","MUNI_MSRB_VOLUME")</f>
        <v>#N/A Requesting Data...</v>
      </c>
      <c r="S1305" t="str">
        <f>_xll.BDP("4511523G Muni","BB_COMPOSITE")</f>
        <v>#N/A Requesting Data...</v>
      </c>
      <c r="T1305" t="str">
        <f>_xll.BDP("4511523G Muni","LQA_LIQUIDITY_SCORE")</f>
        <v>#N/A Requesting Data...</v>
      </c>
    </row>
    <row r="1306" spans="1:20" x14ac:dyDescent="0.25">
      <c r="A1306" t="str">
        <f>_xll.BDP("561408DV Muni","ID_CUSIP")</f>
        <v>#N/A Requesting Data...</v>
      </c>
      <c r="B1306" t="s">
        <v>334</v>
      </c>
      <c r="C1306" t="str">
        <f>_xll.BDP("561408DV Muni","INSURANCE_STATUS")</f>
        <v>#N/A Requesting Data...</v>
      </c>
      <c r="D1306" t="str">
        <f>_xll.BDP("561408DV Muni","STATE_CODE")</f>
        <v>#N/A Requesting Data...</v>
      </c>
      <c r="E1306" t="str">
        <f>_xll.BDP("561408DV Muni","COUNTY_LOCATION_ISSUER")</f>
        <v>#N/A Requesting Data...</v>
      </c>
      <c r="F1306" t="str">
        <f>_xll.BDP("561408DV Muni","DUR_ADJ_MID")</f>
        <v>#N/A Requesting Data...</v>
      </c>
      <c r="G1306" t="str">
        <f>_xll.BDP("561408DV Muni","SPREAD_AT_ISSUANCE_TO_WORST")</f>
        <v>#N/A Requesting Data...</v>
      </c>
      <c r="H1306" t="str">
        <f>_xll.BDP("561408DV Muni","ISSUE_DT")</f>
        <v>#N/A Requesting Data...</v>
      </c>
      <c r="I1306" t="str">
        <f>_xll.BDS("561408DV Muni","MUNI_PURPOSE_SCHED", "aggregate=y")</f>
        <v>#N/A Requesting Data...</v>
      </c>
      <c r="J1306" t="str">
        <f>_xll.BDP("561408DV Muni","CPN")</f>
        <v>#N/A Requesting Data...</v>
      </c>
      <c r="K1306" t="str">
        <f>_xll.BDP("561408DV Muni","MATURITY")</f>
        <v>#N/A Requesting Data...</v>
      </c>
      <c r="L1306">
        <v>590000</v>
      </c>
      <c r="M1306" t="str">
        <f>_xll.BDP("561408DV Muni","YIELD_ON_ISSUE_DATE")</f>
        <v>#N/A Requesting Data...</v>
      </c>
      <c r="N1306" t="str">
        <f>_xll.BDP("561408DV Muni","YTW_SPREAD_TO_MATURITY_AT_ISSU")</f>
        <v>#N/A Requesting Data...</v>
      </c>
      <c r="O1306" t="str">
        <f>_xll.BDP("561408DV Muni","BVAL_MID_YTM")</f>
        <v>#N/A Requesting Data...</v>
      </c>
      <c r="P1306" t="str">
        <f>_xll.BDP("561408DV Muni","MUNI_TAX_PROV")</f>
        <v>#N/A Requesting Data...</v>
      </c>
      <c r="Q1306" t="str">
        <f>_xll.BDP("561408DV Muni","MUNI_FED_TAX")</f>
        <v>#N/A Requesting Data...</v>
      </c>
      <c r="R1306" t="str">
        <f>_xll.BDP("561408DV Muni","MUNI_MSRB_VOLUME")</f>
        <v>#N/A Requesting Data...</v>
      </c>
      <c r="S1306" t="str">
        <f>_xll.BDP("561408DV Muni","BB_COMPOSITE")</f>
        <v>#N/A Requesting Data...</v>
      </c>
      <c r="T1306" t="str">
        <f>_xll.BDP("561408DV Muni","LQA_LIQUIDITY_SCORE")</f>
        <v>#N/A Requesting Data...</v>
      </c>
    </row>
    <row r="1307" spans="1:20" x14ac:dyDescent="0.25">
      <c r="A1307" t="str">
        <f>_xll.BDP("561408DW Muni","ID_CUSIP")</f>
        <v>#N/A Requesting Data...</v>
      </c>
      <c r="B1307" t="s">
        <v>334</v>
      </c>
      <c r="C1307" t="str">
        <f>_xll.BDP("561408DW Muni","INSURANCE_STATUS")</f>
        <v>#N/A Requesting Data...</v>
      </c>
      <c r="D1307" t="str">
        <f>_xll.BDP("561408DW Muni","STATE_CODE")</f>
        <v>#N/A Requesting Data...</v>
      </c>
      <c r="E1307" t="str">
        <f>_xll.BDP("561408DW Muni","COUNTY_LOCATION_ISSUER")</f>
        <v>#N/A Requesting Data...</v>
      </c>
      <c r="F1307" t="str">
        <f>_xll.BDP("561408DW Muni","DUR_ADJ_MID")</f>
        <v>#N/A Requesting Data...</v>
      </c>
      <c r="G1307" t="str">
        <f>_xll.BDP("561408DW Muni","SPREAD_AT_ISSUANCE_TO_WORST")</f>
        <v>#N/A Requesting Data...</v>
      </c>
      <c r="H1307" t="str">
        <f>_xll.BDP("561408DW Muni","ISSUE_DT")</f>
        <v>#N/A Requesting Data...</v>
      </c>
      <c r="I1307" t="str">
        <f>_xll.BDS("561408DW Muni","MUNI_PURPOSE_SCHED", "aggregate=y")</f>
        <v>#N/A Requesting Data...</v>
      </c>
      <c r="J1307" t="str">
        <f>_xll.BDP("561408DW Muni","CPN")</f>
        <v>#N/A Requesting Data...</v>
      </c>
      <c r="K1307" t="str">
        <f>_xll.BDP("561408DW Muni","MATURITY")</f>
        <v>#N/A Requesting Data...</v>
      </c>
      <c r="L1307">
        <v>610000</v>
      </c>
      <c r="M1307" t="str">
        <f>_xll.BDP("561408DW Muni","YIELD_ON_ISSUE_DATE")</f>
        <v>#N/A Requesting Data...</v>
      </c>
      <c r="N1307" t="str">
        <f>_xll.BDP("561408DW Muni","YTW_SPREAD_TO_MATURITY_AT_ISSU")</f>
        <v>#N/A Requesting Data...</v>
      </c>
      <c r="O1307" t="str">
        <f>_xll.BDP("561408DW Muni","BVAL_MID_YTM")</f>
        <v>#N/A Requesting Data...</v>
      </c>
      <c r="P1307" t="str">
        <f>_xll.BDP("561408DW Muni","MUNI_TAX_PROV")</f>
        <v>#N/A Requesting Data...</v>
      </c>
      <c r="Q1307" t="str">
        <f>_xll.BDP("561408DW Muni","MUNI_FED_TAX")</f>
        <v>#N/A Requesting Data...</v>
      </c>
      <c r="R1307" t="str">
        <f>_xll.BDP("561408DW Muni","MUNI_MSRB_VOLUME")</f>
        <v>#N/A Requesting Data...</v>
      </c>
      <c r="S1307" t="str">
        <f>_xll.BDP("561408DW Muni","BB_COMPOSITE")</f>
        <v>#N/A Requesting Data...</v>
      </c>
      <c r="T1307" t="str">
        <f>_xll.BDP("561408DW Muni","LQA_LIQUIDITY_SCORE")</f>
        <v>#N/A Requesting Data...</v>
      </c>
    </row>
    <row r="1308" spans="1:20" x14ac:dyDescent="0.25">
      <c r="A1308" t="str">
        <f>_xll.BDP("561851JW Muni","ID_CUSIP")</f>
        <v>#N/A Requesting Data...</v>
      </c>
      <c r="B1308" t="s">
        <v>311</v>
      </c>
      <c r="C1308" t="str">
        <f>_xll.BDP("561851JW Muni","INSURANCE_STATUS")</f>
        <v>#N/A Requesting Data...</v>
      </c>
      <c r="D1308" t="str">
        <f>_xll.BDP("561851JW Muni","STATE_CODE")</f>
        <v>#N/A Requesting Data...</v>
      </c>
      <c r="E1308" t="str">
        <f>_xll.BDP("561851JW Muni","COUNTY_LOCATION_ISSUER")</f>
        <v>#N/A Requesting Data...</v>
      </c>
      <c r="F1308" t="str">
        <f>_xll.BDP("561851JW Muni","DUR_ADJ_MID")</f>
        <v>#N/A Requesting Data...</v>
      </c>
      <c r="G1308" t="str">
        <f>_xll.BDP("561851JW Muni","SPREAD_AT_ISSUANCE_TO_WORST")</f>
        <v>#N/A Requesting Data...</v>
      </c>
      <c r="H1308" t="str">
        <f>_xll.BDP("561851JW Muni","ISSUE_DT")</f>
        <v>#N/A Requesting Data...</v>
      </c>
      <c r="I1308" t="str">
        <f>_xll.BDS("561851JW Muni","MUNI_PURPOSE_SCHED", "aggregate=y")</f>
        <v>#N/A Requesting Data...</v>
      </c>
      <c r="J1308" t="str">
        <f>_xll.BDP("561851JW Muni","CPN")</f>
        <v>#N/A Requesting Data...</v>
      </c>
      <c r="K1308" t="str">
        <f>_xll.BDP("561851JW Muni","MATURITY")</f>
        <v>#N/A Requesting Data...</v>
      </c>
      <c r="L1308">
        <v>2025000</v>
      </c>
      <c r="M1308" t="str">
        <f>_xll.BDP("561851JW Muni","YIELD_ON_ISSUE_DATE")</f>
        <v>#N/A Requesting Data...</v>
      </c>
      <c r="N1308" t="str">
        <f>_xll.BDP("561851JW Muni","YTW_SPREAD_TO_MATURITY_AT_ISSU")</f>
        <v>#N/A Requesting Data...</v>
      </c>
      <c r="O1308" t="str">
        <f>_xll.BDP("561851JW Muni","BVAL_MID_YTM")</f>
        <v>#N/A Requesting Data...</v>
      </c>
      <c r="P1308" t="str">
        <f>_xll.BDP("561851JW Muni","MUNI_TAX_PROV")</f>
        <v>#N/A Requesting Data...</v>
      </c>
      <c r="Q1308" t="str">
        <f>_xll.BDP("561851JW Muni","MUNI_FED_TAX")</f>
        <v>#N/A Requesting Data...</v>
      </c>
      <c r="R1308" t="str">
        <f>_xll.BDP("561851JW Muni","MUNI_MSRB_VOLUME")</f>
        <v>#N/A Requesting Data...</v>
      </c>
      <c r="S1308" t="str">
        <f>_xll.BDP("561851JW Muni","BB_COMPOSITE")</f>
        <v>#N/A Requesting Data...</v>
      </c>
      <c r="T1308" t="str">
        <f>_xll.BDP("561851JW Muni","LQA_LIQUIDITY_SCORE")</f>
        <v>#N/A Requesting Data...</v>
      </c>
    </row>
    <row r="1309" spans="1:20" x14ac:dyDescent="0.25">
      <c r="A1309" t="str">
        <f>_xll.BDP("562102GN Muni","ID_CUSIP")</f>
        <v>#N/A Requesting Data...</v>
      </c>
      <c r="B1309" t="s">
        <v>312</v>
      </c>
      <c r="C1309" t="str">
        <f>_xll.BDP("562102GN Muni","INSURANCE_STATUS")</f>
        <v>#N/A Requesting Data...</v>
      </c>
      <c r="D1309" t="str">
        <f>_xll.BDP("562102GN Muni","STATE_CODE")</f>
        <v>#N/A Requesting Data...</v>
      </c>
      <c r="E1309" t="str">
        <f>_xll.BDP("562102GN Muni","COUNTY_LOCATION_ISSUER")</f>
        <v>#N/A Requesting Data...</v>
      </c>
      <c r="F1309" t="str">
        <f>_xll.BDP("562102GN Muni","DUR_ADJ_MID")</f>
        <v>#N/A Requesting Data...</v>
      </c>
      <c r="G1309" t="str">
        <f>_xll.BDP("562102GN Muni","SPREAD_AT_ISSUANCE_TO_WORST")</f>
        <v>#N/A Requesting Data...</v>
      </c>
      <c r="H1309" t="str">
        <f>_xll.BDP("562102GN Muni","ISSUE_DT")</f>
        <v>#N/A Requesting Data...</v>
      </c>
      <c r="I1309" t="str">
        <f>_xll.BDS("562102GN Muni","MUNI_PURPOSE_SCHED", "aggregate=y")</f>
        <v>#N/A Requesting Data...</v>
      </c>
      <c r="J1309" t="str">
        <f>_xll.BDP("562102GN Muni","CPN")</f>
        <v>#N/A Requesting Data...</v>
      </c>
      <c r="K1309" t="str">
        <f>_xll.BDP("562102GN Muni","MATURITY")</f>
        <v>#N/A Requesting Data...</v>
      </c>
      <c r="L1309">
        <v>305000</v>
      </c>
      <c r="M1309" t="str">
        <f>_xll.BDP("562102GN Muni","YIELD_ON_ISSUE_DATE")</f>
        <v>#N/A Requesting Data...</v>
      </c>
      <c r="N1309" t="str">
        <f>_xll.BDP("562102GN Muni","YTW_SPREAD_TO_MATURITY_AT_ISSU")</f>
        <v>#N/A Requesting Data...</v>
      </c>
      <c r="O1309" t="str">
        <f>_xll.BDP("562102GN Muni","BVAL_MID_YTM")</f>
        <v>#N/A Requesting Data...</v>
      </c>
      <c r="P1309" t="str">
        <f>_xll.BDP("562102GN Muni","MUNI_TAX_PROV")</f>
        <v>#N/A Requesting Data...</v>
      </c>
      <c r="Q1309" t="str">
        <f>_xll.BDP("562102GN Muni","MUNI_FED_TAX")</f>
        <v>#N/A Requesting Data...</v>
      </c>
      <c r="R1309" t="str">
        <f>_xll.BDP("562102GN Muni","MUNI_MSRB_VOLUME")</f>
        <v>#N/A Requesting Data...</v>
      </c>
      <c r="S1309" t="str">
        <f>_xll.BDP("562102GN Muni","BB_COMPOSITE")</f>
        <v>#N/A Requesting Data...</v>
      </c>
      <c r="T1309" t="str">
        <f>_xll.BDP("562102GN Muni","LQA_LIQUIDITY_SCORE")</f>
        <v>#N/A Requesting Data...</v>
      </c>
    </row>
    <row r="1310" spans="1:20" x14ac:dyDescent="0.25">
      <c r="A1310" t="str">
        <f>_xll.BDP("562102GR Muni","ID_CUSIP")</f>
        <v>#N/A Requesting Data...</v>
      </c>
      <c r="B1310" t="s">
        <v>312</v>
      </c>
      <c r="C1310" t="str">
        <f>_xll.BDP("562102GR Muni","INSURANCE_STATUS")</f>
        <v>#N/A Requesting Data...</v>
      </c>
      <c r="D1310" t="str">
        <f>_xll.BDP("562102GR Muni","STATE_CODE")</f>
        <v>#N/A Requesting Data...</v>
      </c>
      <c r="E1310" t="str">
        <f>_xll.BDP("562102GR Muni","COUNTY_LOCATION_ISSUER")</f>
        <v>#N/A Requesting Data...</v>
      </c>
      <c r="F1310" t="str">
        <f>_xll.BDP("562102GR Muni","DUR_ADJ_MID")</f>
        <v>#N/A Requesting Data...</v>
      </c>
      <c r="G1310" t="str">
        <f>_xll.BDP("562102GR Muni","SPREAD_AT_ISSUANCE_TO_WORST")</f>
        <v>#N/A Requesting Data...</v>
      </c>
      <c r="H1310" t="str">
        <f>_xll.BDP("562102GR Muni","ISSUE_DT")</f>
        <v>#N/A Requesting Data...</v>
      </c>
      <c r="I1310" t="str">
        <f>_xll.BDS("562102GR Muni","MUNI_PURPOSE_SCHED", "aggregate=y")</f>
        <v>#N/A Requesting Data...</v>
      </c>
      <c r="J1310" t="str">
        <f>_xll.BDP("562102GR Muni","CPN")</f>
        <v>#N/A Requesting Data...</v>
      </c>
      <c r="K1310" t="str">
        <f>_xll.BDP("562102GR Muni","MATURITY")</f>
        <v>#N/A Requesting Data...</v>
      </c>
      <c r="L1310">
        <v>360000</v>
      </c>
      <c r="M1310" t="str">
        <f>_xll.BDP("562102GR Muni","YIELD_ON_ISSUE_DATE")</f>
        <v>#N/A Requesting Data...</v>
      </c>
      <c r="N1310" t="str">
        <f>_xll.BDP("562102GR Muni","YTW_SPREAD_TO_MATURITY_AT_ISSU")</f>
        <v>#N/A Requesting Data...</v>
      </c>
      <c r="O1310" t="str">
        <f>_xll.BDP("562102GR Muni","BVAL_MID_YTM")</f>
        <v>#N/A Requesting Data...</v>
      </c>
      <c r="P1310" t="str">
        <f>_xll.BDP("562102GR Muni","MUNI_TAX_PROV")</f>
        <v>#N/A Requesting Data...</v>
      </c>
      <c r="Q1310" t="str">
        <f>_xll.BDP("562102GR Muni","MUNI_FED_TAX")</f>
        <v>#N/A Requesting Data...</v>
      </c>
      <c r="R1310" t="str">
        <f>_xll.BDP("562102GR Muni","MUNI_MSRB_VOLUME")</f>
        <v>#N/A Requesting Data...</v>
      </c>
      <c r="S1310" t="str">
        <f>_xll.BDP("562102GR Muni","BB_COMPOSITE")</f>
        <v>#N/A Requesting Data...</v>
      </c>
      <c r="T1310" t="str">
        <f>_xll.BDP("562102GR Muni","LQA_LIQUIDITY_SCORE")</f>
        <v>#N/A Requesting Data...</v>
      </c>
    </row>
    <row r="1311" spans="1:20" x14ac:dyDescent="0.25">
      <c r="A1311" t="str">
        <f>_xll.BDP("4511523J Muni","ID_CUSIP")</f>
        <v>#N/A Requesting Data...</v>
      </c>
      <c r="B1311" t="s">
        <v>333</v>
      </c>
      <c r="C1311" t="str">
        <f>_xll.BDP("4511523J Muni","INSURANCE_STATUS")</f>
        <v>#N/A Requesting Data...</v>
      </c>
      <c r="D1311" t="str">
        <f>_xll.BDP("4511523J Muni","STATE_CODE")</f>
        <v>#N/A Requesting Data...</v>
      </c>
      <c r="E1311" t="str">
        <f>_xll.BDP("4511523J Muni","COUNTY_LOCATION_ISSUER")</f>
        <v>#N/A Requesting Data...</v>
      </c>
      <c r="F1311" t="str">
        <f>_xll.BDP("4511523J Muni","DUR_ADJ_MID")</f>
        <v>#N/A Requesting Data...</v>
      </c>
      <c r="G1311" t="str">
        <f>_xll.BDP("4511523J Muni","SPREAD_AT_ISSUANCE_TO_WORST")</f>
        <v>#N/A Requesting Data...</v>
      </c>
      <c r="H1311" t="str">
        <f>_xll.BDP("4511523J Muni","ISSUE_DT")</f>
        <v>#N/A Requesting Data...</v>
      </c>
      <c r="I1311" t="str">
        <f>_xll.BDS("4511523J Muni","MUNI_PURPOSE_SCHED", "aggregate=y")</f>
        <v>#N/A Requesting Data...</v>
      </c>
      <c r="J1311" t="str">
        <f>_xll.BDP("4511523J Muni","CPN")</f>
        <v>#N/A Requesting Data...</v>
      </c>
      <c r="K1311" t="str">
        <f>_xll.BDP("4511523J Muni","MATURITY")</f>
        <v>#N/A Requesting Data...</v>
      </c>
      <c r="L1311">
        <v>105000</v>
      </c>
      <c r="M1311" t="str">
        <f>_xll.BDP("4511523J Muni","YIELD_ON_ISSUE_DATE")</f>
        <v>#N/A Requesting Data...</v>
      </c>
      <c r="N1311" t="str">
        <f>_xll.BDP("4511523J Muni","YTW_SPREAD_TO_MATURITY_AT_ISSU")</f>
        <v>#N/A Requesting Data...</v>
      </c>
      <c r="O1311" t="str">
        <f>_xll.BDP("4511523J Muni","BVAL_MID_YTM")</f>
        <v>#N/A Requesting Data...</v>
      </c>
      <c r="P1311" t="str">
        <f>_xll.BDP("4511523J Muni","MUNI_TAX_PROV")</f>
        <v>#N/A Requesting Data...</v>
      </c>
      <c r="Q1311" t="str">
        <f>_xll.BDP("4511523J Muni","MUNI_FED_TAX")</f>
        <v>#N/A Requesting Data...</v>
      </c>
      <c r="R1311" t="str">
        <f>_xll.BDP("4511523J Muni","MUNI_MSRB_VOLUME")</f>
        <v>#N/A Requesting Data...</v>
      </c>
      <c r="S1311" t="str">
        <f>_xll.BDP("4511523J Muni","BB_COMPOSITE")</f>
        <v>#N/A Requesting Data...</v>
      </c>
      <c r="T1311" t="str">
        <f>_xll.BDP("4511523J Muni","LQA_LIQUIDITY_SCORE")</f>
        <v>#N/A Requesting Data...</v>
      </c>
    </row>
    <row r="1312" spans="1:20" x14ac:dyDescent="0.25">
      <c r="A1312" t="str">
        <f>_xll.BDP("451427AE Muni","ID_CUSIP")</f>
        <v>#N/A Requesting Data...</v>
      </c>
      <c r="B1312" t="s">
        <v>335</v>
      </c>
      <c r="C1312" t="str">
        <f>_xll.BDP("451427AE Muni","INSURANCE_STATUS")</f>
        <v>#N/A Requesting Data...</v>
      </c>
      <c r="D1312" t="str">
        <f>_xll.BDP("451427AE Muni","STATE_CODE")</f>
        <v>#N/A Requesting Data...</v>
      </c>
      <c r="E1312" t="str">
        <f>_xll.BDP("451427AE Muni","COUNTY_LOCATION_ISSUER")</f>
        <v>#N/A Requesting Data...</v>
      </c>
      <c r="F1312" t="str">
        <f>_xll.BDP("451427AE Muni","DUR_ADJ_MID")</f>
        <v>#N/A Requesting Data...</v>
      </c>
      <c r="G1312" t="str">
        <f>_xll.BDP("451427AE Muni","SPREAD_AT_ISSUANCE_TO_WORST")</f>
        <v>#N/A Requesting Data...</v>
      </c>
      <c r="H1312" t="str">
        <f>_xll.BDP("451427AE Muni","ISSUE_DT")</f>
        <v>#N/A Requesting Data...</v>
      </c>
      <c r="I1312" t="str">
        <f>_xll.BDS("451427AE Muni","MUNI_PURPOSE_SCHED", "aggregate=y")</f>
        <v>#N/A Requesting Data...</v>
      </c>
      <c r="J1312" t="str">
        <f>_xll.BDP("451427AE Muni","CPN")</f>
        <v>#N/A Requesting Data...</v>
      </c>
      <c r="K1312" t="str">
        <f>_xll.BDP("451427AE Muni","MATURITY")</f>
        <v>#N/A Requesting Data...</v>
      </c>
      <c r="L1312">
        <v>220000</v>
      </c>
      <c r="M1312" t="str">
        <f>_xll.BDP("451427AE Muni","YIELD_ON_ISSUE_DATE")</f>
        <v>#N/A Requesting Data...</v>
      </c>
      <c r="N1312" t="str">
        <f>_xll.BDP("451427AE Muni","YTW_SPREAD_TO_MATURITY_AT_ISSU")</f>
        <v>#N/A Requesting Data...</v>
      </c>
      <c r="O1312" t="str">
        <f>_xll.BDP("451427AE Muni","BVAL_MID_YTM")</f>
        <v>#N/A Requesting Data...</v>
      </c>
      <c r="P1312" t="str">
        <f>_xll.BDP("451427AE Muni","MUNI_TAX_PROV")</f>
        <v>#N/A Requesting Data...</v>
      </c>
      <c r="Q1312" t="str">
        <f>_xll.BDP("451427AE Muni","MUNI_FED_TAX")</f>
        <v>#N/A Requesting Data...</v>
      </c>
      <c r="R1312" t="str">
        <f>_xll.BDP("451427AE Muni","MUNI_MSRB_VOLUME")</f>
        <v>#N/A Requesting Data...</v>
      </c>
      <c r="S1312" t="str">
        <f>_xll.BDP("451427AE Muni","BB_COMPOSITE")</f>
        <v>#N/A Requesting Data...</v>
      </c>
      <c r="T1312" t="str">
        <f>_xll.BDP("451427AE Muni","LQA_LIQUIDITY_SCORE")</f>
        <v>#N/A Requesting Data...</v>
      </c>
    </row>
    <row r="1313" spans="1:20" x14ac:dyDescent="0.25">
      <c r="A1313" t="str">
        <f>_xll.BDP("451427AG Muni","ID_CUSIP")</f>
        <v>#N/A Requesting Data...</v>
      </c>
      <c r="B1313" t="s">
        <v>335</v>
      </c>
      <c r="C1313" t="str">
        <f>_xll.BDP("451427AG Muni","INSURANCE_STATUS")</f>
        <v>#N/A Requesting Data...</v>
      </c>
      <c r="D1313" t="str">
        <f>_xll.BDP("451427AG Muni","STATE_CODE")</f>
        <v>#N/A Requesting Data...</v>
      </c>
      <c r="E1313" t="str">
        <f>_xll.BDP("451427AG Muni","COUNTY_LOCATION_ISSUER")</f>
        <v>#N/A Requesting Data...</v>
      </c>
      <c r="F1313" t="str">
        <f>_xll.BDP("451427AG Muni","DUR_ADJ_MID")</f>
        <v>#N/A Requesting Data...</v>
      </c>
      <c r="G1313" t="str">
        <f>_xll.BDP("451427AG Muni","SPREAD_AT_ISSUANCE_TO_WORST")</f>
        <v>#N/A Requesting Data...</v>
      </c>
      <c r="H1313" t="str">
        <f>_xll.BDP("451427AG Muni","ISSUE_DT")</f>
        <v>#N/A Requesting Data...</v>
      </c>
      <c r="I1313" t="str">
        <f>_xll.BDS("451427AG Muni","MUNI_PURPOSE_SCHED", "aggregate=y")</f>
        <v>#N/A Requesting Data...</v>
      </c>
      <c r="J1313" t="str">
        <f>_xll.BDP("451427AG Muni","CPN")</f>
        <v>#N/A Requesting Data...</v>
      </c>
      <c r="K1313" t="str">
        <f>_xll.BDP("451427AG Muni","MATURITY")</f>
        <v>#N/A Requesting Data...</v>
      </c>
      <c r="L1313">
        <v>250000</v>
      </c>
      <c r="M1313" t="str">
        <f>_xll.BDP("451427AG Muni","YIELD_ON_ISSUE_DATE")</f>
        <v>#N/A Requesting Data...</v>
      </c>
      <c r="N1313" t="str">
        <f>_xll.BDP("451427AG Muni","YTW_SPREAD_TO_MATURITY_AT_ISSU")</f>
        <v>#N/A Requesting Data...</v>
      </c>
      <c r="O1313" t="str">
        <f>_xll.BDP("451427AG Muni","BVAL_MID_YTM")</f>
        <v>#N/A Requesting Data...</v>
      </c>
      <c r="P1313" t="str">
        <f>_xll.BDP("451427AG Muni","MUNI_TAX_PROV")</f>
        <v>#N/A Requesting Data...</v>
      </c>
      <c r="Q1313" t="str">
        <f>_xll.BDP("451427AG Muni","MUNI_FED_TAX")</f>
        <v>#N/A Requesting Data...</v>
      </c>
      <c r="R1313" t="str">
        <f>_xll.BDP("451427AG Muni","MUNI_MSRB_VOLUME")</f>
        <v>#N/A Requesting Data...</v>
      </c>
      <c r="S1313" t="str">
        <f>_xll.BDP("451427AG Muni","BB_COMPOSITE")</f>
        <v>#N/A Requesting Data...</v>
      </c>
      <c r="T1313" t="str">
        <f>_xll.BDP("451427AG Muni","LQA_LIQUIDITY_SCORE")</f>
        <v>#N/A Requesting Data...</v>
      </c>
    </row>
    <row r="1314" spans="1:20" x14ac:dyDescent="0.25">
      <c r="A1314" t="str">
        <f>_xll.BDP("451427AH Muni","ID_CUSIP")</f>
        <v>#N/A Requesting Data...</v>
      </c>
      <c r="B1314" t="s">
        <v>335</v>
      </c>
      <c r="C1314" t="str">
        <f>_xll.BDP("451427AH Muni","INSURANCE_STATUS")</f>
        <v>#N/A Requesting Data...</v>
      </c>
      <c r="D1314" t="str">
        <f>_xll.BDP("451427AH Muni","STATE_CODE")</f>
        <v>#N/A Requesting Data...</v>
      </c>
      <c r="E1314" t="str">
        <f>_xll.BDP("451427AH Muni","COUNTY_LOCATION_ISSUER")</f>
        <v>#N/A Requesting Data...</v>
      </c>
      <c r="F1314" t="str">
        <f>_xll.BDP("451427AH Muni","DUR_ADJ_MID")</f>
        <v>#N/A Requesting Data...</v>
      </c>
      <c r="G1314" t="str">
        <f>_xll.BDP("451427AH Muni","SPREAD_AT_ISSUANCE_TO_WORST")</f>
        <v>#N/A Requesting Data...</v>
      </c>
      <c r="H1314" t="str">
        <f>_xll.BDP("451427AH Muni","ISSUE_DT")</f>
        <v>#N/A Requesting Data...</v>
      </c>
      <c r="I1314" t="str">
        <f>_xll.BDS("451427AH Muni","MUNI_PURPOSE_SCHED", "aggregate=y")</f>
        <v>#N/A Requesting Data...</v>
      </c>
      <c r="J1314" t="str">
        <f>_xll.BDP("451427AH Muni","CPN")</f>
        <v>#N/A Requesting Data...</v>
      </c>
      <c r="K1314" t="str">
        <f>_xll.BDP("451427AH Muni","MATURITY")</f>
        <v>#N/A Requesting Data...</v>
      </c>
      <c r="L1314">
        <v>270000</v>
      </c>
      <c r="M1314" t="str">
        <f>_xll.BDP("451427AH Muni","YIELD_ON_ISSUE_DATE")</f>
        <v>#N/A Requesting Data...</v>
      </c>
      <c r="N1314" t="str">
        <f>_xll.BDP("451427AH Muni","YTW_SPREAD_TO_MATURITY_AT_ISSU")</f>
        <v>#N/A Requesting Data...</v>
      </c>
      <c r="O1314" t="str">
        <f>_xll.BDP("451427AH Muni","BVAL_MID_YTM")</f>
        <v>#N/A Requesting Data...</v>
      </c>
      <c r="P1314" t="str">
        <f>_xll.BDP("451427AH Muni","MUNI_TAX_PROV")</f>
        <v>#N/A Requesting Data...</v>
      </c>
      <c r="Q1314" t="str">
        <f>_xll.BDP("451427AH Muni","MUNI_FED_TAX")</f>
        <v>#N/A Requesting Data...</v>
      </c>
      <c r="R1314" t="str">
        <f>_xll.BDP("451427AH Muni","MUNI_MSRB_VOLUME")</f>
        <v>#N/A Requesting Data...</v>
      </c>
      <c r="S1314" t="str">
        <f>_xll.BDP("451427AH Muni","BB_COMPOSITE")</f>
        <v>#N/A Requesting Data...</v>
      </c>
      <c r="T1314" t="str">
        <f>_xll.BDP("451427AH Muni","LQA_LIQUIDITY_SCORE")</f>
        <v>#N/A Requesting Data...</v>
      </c>
    </row>
    <row r="1315" spans="1:20" x14ac:dyDescent="0.25">
      <c r="A1315" t="str">
        <f>_xll.BDP("451427AJ Muni","ID_CUSIP")</f>
        <v>#N/A Requesting Data...</v>
      </c>
      <c r="B1315" t="s">
        <v>335</v>
      </c>
      <c r="C1315" t="str">
        <f>_xll.BDP("451427AJ Muni","INSURANCE_STATUS")</f>
        <v>#N/A Requesting Data...</v>
      </c>
      <c r="D1315" t="str">
        <f>_xll.BDP("451427AJ Muni","STATE_CODE")</f>
        <v>#N/A Requesting Data...</v>
      </c>
      <c r="E1315" t="str">
        <f>_xll.BDP("451427AJ Muni","COUNTY_LOCATION_ISSUER")</f>
        <v>#N/A Requesting Data...</v>
      </c>
      <c r="F1315" t="str">
        <f>_xll.BDP("451427AJ Muni","DUR_ADJ_MID")</f>
        <v>#N/A Requesting Data...</v>
      </c>
      <c r="G1315" t="str">
        <f>_xll.BDP("451427AJ Muni","SPREAD_AT_ISSUANCE_TO_WORST")</f>
        <v>#N/A Requesting Data...</v>
      </c>
      <c r="H1315" t="str">
        <f>_xll.BDP("451427AJ Muni","ISSUE_DT")</f>
        <v>#N/A Requesting Data...</v>
      </c>
      <c r="I1315" t="str">
        <f>_xll.BDS("451427AJ Muni","MUNI_PURPOSE_SCHED", "aggregate=y")</f>
        <v>#N/A Requesting Data...</v>
      </c>
      <c r="J1315" t="str">
        <f>_xll.BDP("451427AJ Muni","CPN")</f>
        <v>#N/A Requesting Data...</v>
      </c>
      <c r="K1315" t="str">
        <f>_xll.BDP("451427AJ Muni","MATURITY")</f>
        <v>#N/A Requesting Data...</v>
      </c>
      <c r="L1315">
        <v>290000</v>
      </c>
      <c r="M1315" t="str">
        <f>_xll.BDP("451427AJ Muni","YIELD_ON_ISSUE_DATE")</f>
        <v>#N/A Requesting Data...</v>
      </c>
      <c r="N1315" t="str">
        <f>_xll.BDP("451427AJ Muni","YTW_SPREAD_TO_MATURITY_AT_ISSU")</f>
        <v>#N/A Requesting Data...</v>
      </c>
      <c r="O1315" t="str">
        <f>_xll.BDP("451427AJ Muni","BVAL_MID_YTM")</f>
        <v>#N/A Requesting Data...</v>
      </c>
      <c r="P1315" t="str">
        <f>_xll.BDP("451427AJ Muni","MUNI_TAX_PROV")</f>
        <v>#N/A Requesting Data...</v>
      </c>
      <c r="Q1315" t="str">
        <f>_xll.BDP("451427AJ Muni","MUNI_FED_TAX")</f>
        <v>#N/A Requesting Data...</v>
      </c>
      <c r="R1315" t="str">
        <f>_xll.BDP("451427AJ Muni","MUNI_MSRB_VOLUME")</f>
        <v>#N/A Requesting Data...</v>
      </c>
      <c r="S1315" t="str">
        <f>_xll.BDP("451427AJ Muni","BB_COMPOSITE")</f>
        <v>#N/A Requesting Data...</v>
      </c>
      <c r="T1315" t="str">
        <f>_xll.BDP("451427AJ Muni","LQA_LIQUIDITY_SCORE")</f>
        <v>#N/A Requesting Data...</v>
      </c>
    </row>
    <row r="1316" spans="1:20" x14ac:dyDescent="0.25">
      <c r="A1316" t="str">
        <f>_xll.BDP("514282XB Muni","ID_CUSIP")</f>
        <v>#N/A Requesting Data...</v>
      </c>
      <c r="B1316" t="s">
        <v>303</v>
      </c>
      <c r="C1316" t="str">
        <f>_xll.BDP("514282XB Muni","INSURANCE_STATUS")</f>
        <v>#N/A Requesting Data...</v>
      </c>
      <c r="D1316" t="str">
        <f>_xll.BDP("514282XB Muni","STATE_CODE")</f>
        <v>#N/A Requesting Data...</v>
      </c>
      <c r="E1316" t="str">
        <f>_xll.BDP("514282XB Muni","COUNTY_LOCATION_ISSUER")</f>
        <v>#N/A Requesting Data...</v>
      </c>
      <c r="F1316" t="str">
        <f>_xll.BDP("514282XB Muni","DUR_ADJ_MID")</f>
        <v>#N/A Requesting Data...</v>
      </c>
      <c r="G1316" t="str">
        <f>_xll.BDP("514282XB Muni","SPREAD_AT_ISSUANCE_TO_WORST")</f>
        <v>#N/A Requesting Data...</v>
      </c>
      <c r="H1316" t="str">
        <f>_xll.BDP("514282XB Muni","ISSUE_DT")</f>
        <v>#N/A Requesting Data...</v>
      </c>
      <c r="I1316" t="str">
        <f>_xll.BDS("514282XB Muni","MUNI_PURPOSE_SCHED", "aggregate=y")</f>
        <v>#N/A Requesting Data...</v>
      </c>
      <c r="J1316" t="str">
        <f>_xll.BDP("514282XB Muni","CPN")</f>
        <v>#N/A Requesting Data...</v>
      </c>
      <c r="K1316" t="str">
        <f>_xll.BDP("514282XB Muni","MATURITY")</f>
        <v>#N/A Requesting Data...</v>
      </c>
      <c r="L1316">
        <v>820000</v>
      </c>
      <c r="M1316" t="str">
        <f>_xll.BDP("514282XB Muni","YIELD_ON_ISSUE_DATE")</f>
        <v>#N/A Requesting Data...</v>
      </c>
      <c r="N1316" t="str">
        <f>_xll.BDP("514282XB Muni","YTW_SPREAD_TO_MATURITY_AT_ISSU")</f>
        <v>#N/A Requesting Data...</v>
      </c>
      <c r="O1316" t="str">
        <f>_xll.BDP("514282XB Muni","BVAL_MID_YTM")</f>
        <v>#N/A Requesting Data...</v>
      </c>
      <c r="P1316" t="str">
        <f>_xll.BDP("514282XB Muni","MUNI_TAX_PROV")</f>
        <v>#N/A Requesting Data...</v>
      </c>
      <c r="Q1316" t="str">
        <f>_xll.BDP("514282XB Muni","MUNI_FED_TAX")</f>
        <v>#N/A Requesting Data...</v>
      </c>
      <c r="R1316" t="str">
        <f>_xll.BDP("514282XB Muni","MUNI_MSRB_VOLUME")</f>
        <v>#N/A Requesting Data...</v>
      </c>
      <c r="S1316" t="str">
        <f>_xll.BDP("514282XB Muni","BB_COMPOSITE")</f>
        <v>#N/A Requesting Data...</v>
      </c>
      <c r="T1316" t="str">
        <f>_xll.BDP("514282XB Muni","LQA_LIQUIDITY_SCORE")</f>
        <v>#N/A Requesting Data...</v>
      </c>
    </row>
    <row r="1317" spans="1:20" x14ac:dyDescent="0.25">
      <c r="A1317" t="str">
        <f>_xll.BDP("514282XC Muni","ID_CUSIP")</f>
        <v>#N/A Requesting Data...</v>
      </c>
      <c r="B1317" t="s">
        <v>303</v>
      </c>
      <c r="C1317" t="str">
        <f>_xll.BDP("514282XC Muni","INSURANCE_STATUS")</f>
        <v>#N/A Requesting Data...</v>
      </c>
      <c r="D1317" t="str">
        <f>_xll.BDP("514282XC Muni","STATE_CODE")</f>
        <v>#N/A Requesting Data...</v>
      </c>
      <c r="E1317" t="str">
        <f>_xll.BDP("514282XC Muni","COUNTY_LOCATION_ISSUER")</f>
        <v>#N/A Requesting Data...</v>
      </c>
      <c r="F1317" t="str">
        <f>_xll.BDP("514282XC Muni","DUR_ADJ_MID")</f>
        <v>#N/A Requesting Data...</v>
      </c>
      <c r="G1317" t="str">
        <f>_xll.BDP("514282XC Muni","SPREAD_AT_ISSUANCE_TO_WORST")</f>
        <v>#N/A Requesting Data...</v>
      </c>
      <c r="H1317" t="str">
        <f>_xll.BDP("514282XC Muni","ISSUE_DT")</f>
        <v>#N/A Requesting Data...</v>
      </c>
      <c r="I1317" t="str">
        <f>_xll.BDS("514282XC Muni","MUNI_PURPOSE_SCHED", "aggregate=y")</f>
        <v>#N/A Requesting Data...</v>
      </c>
      <c r="J1317" t="str">
        <f>_xll.BDP("514282XC Muni","CPN")</f>
        <v>#N/A Requesting Data...</v>
      </c>
      <c r="K1317" t="str">
        <f>_xll.BDP("514282XC Muni","MATURITY")</f>
        <v>#N/A Requesting Data...</v>
      </c>
      <c r="L1317">
        <v>855000</v>
      </c>
      <c r="M1317" t="str">
        <f>_xll.BDP("514282XC Muni","YIELD_ON_ISSUE_DATE")</f>
        <v>#N/A Requesting Data...</v>
      </c>
      <c r="N1317" t="str">
        <f>_xll.BDP("514282XC Muni","YTW_SPREAD_TO_MATURITY_AT_ISSU")</f>
        <v>#N/A Requesting Data...</v>
      </c>
      <c r="O1317" t="str">
        <f>_xll.BDP("514282XC Muni","BVAL_MID_YTM")</f>
        <v>#N/A Requesting Data...</v>
      </c>
      <c r="P1317" t="str">
        <f>_xll.BDP("514282XC Muni","MUNI_TAX_PROV")</f>
        <v>#N/A Requesting Data...</v>
      </c>
      <c r="Q1317" t="str">
        <f>_xll.BDP("514282XC Muni","MUNI_FED_TAX")</f>
        <v>#N/A Requesting Data...</v>
      </c>
      <c r="R1317" t="str">
        <f>_xll.BDP("514282XC Muni","MUNI_MSRB_VOLUME")</f>
        <v>#N/A Requesting Data...</v>
      </c>
      <c r="S1317" t="str">
        <f>_xll.BDP("514282XC Muni","BB_COMPOSITE")</f>
        <v>#N/A Requesting Data...</v>
      </c>
      <c r="T1317" t="str">
        <f>_xll.BDP("514282XC Muni","LQA_LIQUIDITY_SCORE")</f>
        <v>#N/A Requesting Data...</v>
      </c>
    </row>
    <row r="1318" spans="1:20" x14ac:dyDescent="0.25">
      <c r="A1318" t="str">
        <f>_xll.BDP("514282XG Muni","ID_CUSIP")</f>
        <v>#N/A Requesting Data...</v>
      </c>
      <c r="B1318" t="s">
        <v>303</v>
      </c>
      <c r="C1318" t="str">
        <f>_xll.BDP("514282XG Muni","INSURANCE_STATUS")</f>
        <v>#N/A Requesting Data...</v>
      </c>
      <c r="D1318" t="str">
        <f>_xll.BDP("514282XG Muni","STATE_CODE")</f>
        <v>#N/A Requesting Data...</v>
      </c>
      <c r="E1318" t="str">
        <f>_xll.BDP("514282XG Muni","COUNTY_LOCATION_ISSUER")</f>
        <v>#N/A Requesting Data...</v>
      </c>
      <c r="F1318" t="str">
        <f>_xll.BDP("514282XG Muni","DUR_ADJ_MID")</f>
        <v>#N/A Requesting Data...</v>
      </c>
      <c r="G1318" t="str">
        <f>_xll.BDP("514282XG Muni","SPREAD_AT_ISSUANCE_TO_WORST")</f>
        <v>#N/A Requesting Data...</v>
      </c>
      <c r="H1318" t="str">
        <f>_xll.BDP("514282XG Muni","ISSUE_DT")</f>
        <v>#N/A Requesting Data...</v>
      </c>
      <c r="I1318" t="str">
        <f>_xll.BDS("514282XG Muni","MUNI_PURPOSE_SCHED", "aggregate=y")</f>
        <v>#N/A Requesting Data...</v>
      </c>
      <c r="J1318" t="str">
        <f>_xll.BDP("514282XG Muni","CPN")</f>
        <v>#N/A Requesting Data...</v>
      </c>
      <c r="K1318" t="str">
        <f>_xll.BDP("514282XG Muni","MATURITY")</f>
        <v>#N/A Requesting Data...</v>
      </c>
      <c r="L1318">
        <v>1330000</v>
      </c>
      <c r="M1318" t="str">
        <f>_xll.BDP("514282XG Muni","YIELD_ON_ISSUE_DATE")</f>
        <v>#N/A Requesting Data...</v>
      </c>
      <c r="N1318" t="str">
        <f>_xll.BDP("514282XG Muni","YTW_SPREAD_TO_MATURITY_AT_ISSU")</f>
        <v>#N/A Requesting Data...</v>
      </c>
      <c r="O1318" t="str">
        <f>_xll.BDP("514282XG Muni","BVAL_MID_YTM")</f>
        <v>#N/A Requesting Data...</v>
      </c>
      <c r="P1318" t="str">
        <f>_xll.BDP("514282XG Muni","MUNI_TAX_PROV")</f>
        <v>#N/A Requesting Data...</v>
      </c>
      <c r="Q1318" t="str">
        <f>_xll.BDP("514282XG Muni","MUNI_FED_TAX")</f>
        <v>#N/A Requesting Data...</v>
      </c>
      <c r="R1318" t="str">
        <f>_xll.BDP("514282XG Muni","MUNI_MSRB_VOLUME")</f>
        <v>#N/A Requesting Data...</v>
      </c>
      <c r="S1318" t="str">
        <f>_xll.BDP("514282XG Muni","BB_COMPOSITE")</f>
        <v>#N/A Requesting Data...</v>
      </c>
      <c r="T1318" t="str">
        <f>_xll.BDP("514282XG Muni","LQA_LIQUIDITY_SCORE")</f>
        <v>#N/A Requesting Data...</v>
      </c>
    </row>
    <row r="1319" spans="1:20" x14ac:dyDescent="0.25">
      <c r="A1319" t="str">
        <f>_xll.BDP("398526KK Muni","ID_CUSIP")</f>
        <v>#N/A Requesting Data...</v>
      </c>
      <c r="B1319" t="s">
        <v>336</v>
      </c>
      <c r="C1319" t="str">
        <f>_xll.BDP("398526KK Muni","INSURANCE_STATUS")</f>
        <v>#N/A Requesting Data...</v>
      </c>
      <c r="D1319" t="str">
        <f>_xll.BDP("398526KK Muni","STATE_CODE")</f>
        <v>#N/A Requesting Data...</v>
      </c>
      <c r="E1319" t="str">
        <f>_xll.BDP("398526KK Muni","COUNTY_LOCATION_ISSUER")</f>
        <v>#N/A Requesting Data...</v>
      </c>
      <c r="F1319" t="str">
        <f>_xll.BDP("398526KK Muni","DUR_ADJ_MID")</f>
        <v>#N/A Requesting Data...</v>
      </c>
      <c r="G1319" t="str">
        <f>_xll.BDP("398526KK Muni","SPREAD_AT_ISSUANCE_TO_WORST")</f>
        <v>#N/A Requesting Data...</v>
      </c>
      <c r="H1319" t="str">
        <f>_xll.BDP("398526KK Muni","ISSUE_DT")</f>
        <v>#N/A Requesting Data...</v>
      </c>
      <c r="I1319" t="str">
        <f>_xll.BDS("398526KK Muni","MUNI_PURPOSE_SCHED", "aggregate=y")</f>
        <v>#N/A Requesting Data...</v>
      </c>
      <c r="J1319" t="str">
        <f>_xll.BDP("398526KK Muni","CPN")</f>
        <v>#N/A Requesting Data...</v>
      </c>
      <c r="K1319" t="str">
        <f>_xll.BDP("398526KK Muni","MATURITY")</f>
        <v>#N/A Requesting Data...</v>
      </c>
      <c r="L1319">
        <v>300000</v>
      </c>
      <c r="M1319" t="str">
        <f>_xll.BDP("398526KK Muni","YIELD_ON_ISSUE_DATE")</f>
        <v>#N/A Requesting Data...</v>
      </c>
      <c r="N1319" t="str">
        <f>_xll.BDP("398526KK Muni","YTW_SPREAD_TO_MATURITY_AT_ISSU")</f>
        <v>#N/A Requesting Data...</v>
      </c>
      <c r="O1319" t="str">
        <f>_xll.BDP("398526KK Muni","BVAL_MID_YTM")</f>
        <v>#N/A Requesting Data...</v>
      </c>
      <c r="P1319" t="str">
        <f>_xll.BDP("398526KK Muni","MUNI_TAX_PROV")</f>
        <v>#N/A Requesting Data...</v>
      </c>
      <c r="Q1319" t="str">
        <f>_xll.BDP("398526KK Muni","MUNI_FED_TAX")</f>
        <v>#N/A Requesting Data...</v>
      </c>
      <c r="R1319" t="str">
        <f>_xll.BDP("398526KK Muni","MUNI_MSRB_VOLUME")</f>
        <v>#N/A Requesting Data...</v>
      </c>
      <c r="S1319" t="str">
        <f>_xll.BDP("398526KK Muni","BB_COMPOSITE")</f>
        <v>#N/A Requesting Data...</v>
      </c>
      <c r="T1319" t="str">
        <f>_xll.BDP("398526KK Muni","LQA_LIQUIDITY_SCORE")</f>
        <v>#N/A Requesting Data...</v>
      </c>
    </row>
    <row r="1320" spans="1:20" x14ac:dyDescent="0.25">
      <c r="A1320" t="str">
        <f>_xll.BDP("398526KL Muni","ID_CUSIP")</f>
        <v>#N/A Requesting Data...</v>
      </c>
      <c r="B1320" t="s">
        <v>336</v>
      </c>
      <c r="C1320" t="str">
        <f>_xll.BDP("398526KL Muni","INSURANCE_STATUS")</f>
        <v>#N/A Requesting Data...</v>
      </c>
      <c r="D1320" t="str">
        <f>_xll.BDP("398526KL Muni","STATE_CODE")</f>
        <v>#N/A Requesting Data...</v>
      </c>
      <c r="E1320" t="str">
        <f>_xll.BDP("398526KL Muni","COUNTY_LOCATION_ISSUER")</f>
        <v>#N/A Requesting Data...</v>
      </c>
      <c r="F1320" t="str">
        <f>_xll.BDP("398526KL Muni","DUR_ADJ_MID")</f>
        <v>#N/A Requesting Data...</v>
      </c>
      <c r="G1320" t="str">
        <f>_xll.BDP("398526KL Muni","SPREAD_AT_ISSUANCE_TO_WORST")</f>
        <v>#N/A Requesting Data...</v>
      </c>
      <c r="H1320" t="str">
        <f>_xll.BDP("398526KL Muni","ISSUE_DT")</f>
        <v>#N/A Requesting Data...</v>
      </c>
      <c r="I1320" t="str">
        <f>_xll.BDS("398526KL Muni","MUNI_PURPOSE_SCHED", "aggregate=y")</f>
        <v>#N/A Requesting Data...</v>
      </c>
      <c r="J1320" t="str">
        <f>_xll.BDP("398526KL Muni","CPN")</f>
        <v>#N/A Requesting Data...</v>
      </c>
      <c r="K1320" t="str">
        <f>_xll.BDP("398526KL Muni","MATURITY")</f>
        <v>#N/A Requesting Data...</v>
      </c>
      <c r="L1320">
        <v>300000</v>
      </c>
      <c r="M1320" t="str">
        <f>_xll.BDP("398526KL Muni","YIELD_ON_ISSUE_DATE")</f>
        <v>#N/A Requesting Data...</v>
      </c>
      <c r="N1320" t="str">
        <f>_xll.BDP("398526KL Muni","YTW_SPREAD_TO_MATURITY_AT_ISSU")</f>
        <v>#N/A Requesting Data...</v>
      </c>
      <c r="O1320" t="str">
        <f>_xll.BDP("398526KL Muni","BVAL_MID_YTM")</f>
        <v>#N/A Requesting Data...</v>
      </c>
      <c r="P1320" t="str">
        <f>_xll.BDP("398526KL Muni","MUNI_TAX_PROV")</f>
        <v>#N/A Requesting Data...</v>
      </c>
      <c r="Q1320" t="str">
        <f>_xll.BDP("398526KL Muni","MUNI_FED_TAX")</f>
        <v>#N/A Requesting Data...</v>
      </c>
      <c r="R1320" t="str">
        <f>_xll.BDP("398526KL Muni","MUNI_MSRB_VOLUME")</f>
        <v>#N/A Requesting Data...</v>
      </c>
      <c r="S1320" t="str">
        <f>_xll.BDP("398526KL Muni","BB_COMPOSITE")</f>
        <v>#N/A Requesting Data...</v>
      </c>
      <c r="T1320" t="str">
        <f>_xll.BDP("398526KL Muni","LQA_LIQUIDITY_SCORE")</f>
        <v>#N/A Requesting Data...</v>
      </c>
    </row>
    <row r="1321" spans="1:20" x14ac:dyDescent="0.25">
      <c r="A1321" t="str">
        <f>_xll.BDP("451427AF Muni","ID_CUSIP")</f>
        <v>#N/A Requesting Data...</v>
      </c>
      <c r="B1321" t="s">
        <v>335</v>
      </c>
      <c r="C1321" t="str">
        <f>_xll.BDP("451427AF Muni","INSURANCE_STATUS")</f>
        <v>#N/A Requesting Data...</v>
      </c>
      <c r="D1321" t="str">
        <f>_xll.BDP("451427AF Muni","STATE_CODE")</f>
        <v>#N/A Requesting Data...</v>
      </c>
      <c r="E1321" t="str">
        <f>_xll.BDP("451427AF Muni","COUNTY_LOCATION_ISSUER")</f>
        <v>#N/A Requesting Data...</v>
      </c>
      <c r="F1321" t="str">
        <f>_xll.BDP("451427AF Muni","DUR_ADJ_MID")</f>
        <v>#N/A Requesting Data...</v>
      </c>
      <c r="G1321" t="str">
        <f>_xll.BDP("451427AF Muni","SPREAD_AT_ISSUANCE_TO_WORST")</f>
        <v>#N/A Requesting Data...</v>
      </c>
      <c r="H1321" t="str">
        <f>_xll.BDP("451427AF Muni","ISSUE_DT")</f>
        <v>#N/A Requesting Data...</v>
      </c>
      <c r="I1321" t="str">
        <f>_xll.BDS("451427AF Muni","MUNI_PURPOSE_SCHED", "aggregate=y")</f>
        <v>#N/A Requesting Data...</v>
      </c>
      <c r="J1321" t="str">
        <f>_xll.BDP("451427AF Muni","CPN")</f>
        <v>#N/A Requesting Data...</v>
      </c>
      <c r="K1321" t="str">
        <f>_xll.BDP("451427AF Muni","MATURITY")</f>
        <v>#N/A Requesting Data...</v>
      </c>
      <c r="L1321">
        <v>240000</v>
      </c>
      <c r="M1321" t="str">
        <f>_xll.BDP("451427AF Muni","YIELD_ON_ISSUE_DATE")</f>
        <v>#N/A Requesting Data...</v>
      </c>
      <c r="N1321" t="str">
        <f>_xll.BDP("451427AF Muni","YTW_SPREAD_TO_MATURITY_AT_ISSU")</f>
        <v>#N/A Requesting Data...</v>
      </c>
      <c r="O1321" t="str">
        <f>_xll.BDP("451427AF Muni","BVAL_MID_YTM")</f>
        <v>#N/A Requesting Data...</v>
      </c>
      <c r="P1321" t="str">
        <f>_xll.BDP("451427AF Muni","MUNI_TAX_PROV")</f>
        <v>#N/A Requesting Data...</v>
      </c>
      <c r="Q1321" t="str">
        <f>_xll.BDP("451427AF Muni","MUNI_FED_TAX")</f>
        <v>#N/A Requesting Data...</v>
      </c>
      <c r="R1321" t="str">
        <f>_xll.BDP("451427AF Muni","MUNI_MSRB_VOLUME")</f>
        <v>#N/A Requesting Data...</v>
      </c>
      <c r="S1321" t="str">
        <f>_xll.BDP("451427AF Muni","BB_COMPOSITE")</f>
        <v>#N/A Requesting Data...</v>
      </c>
      <c r="T1321" t="str">
        <f>_xll.BDP("451427AF Muni","LQA_LIQUIDITY_SCORE")</f>
        <v>#N/A Requesting Data...</v>
      </c>
    </row>
    <row r="1322" spans="1:20" x14ac:dyDescent="0.25">
      <c r="A1322" t="str">
        <f>_xll.BDP("383392AS Muni","ID_CUSIP")</f>
        <v>#N/A Requesting Data...</v>
      </c>
      <c r="B1322" t="s">
        <v>337</v>
      </c>
      <c r="C1322" t="str">
        <f>_xll.BDP("383392AS Muni","INSURANCE_STATUS")</f>
        <v>#N/A Requesting Data...</v>
      </c>
      <c r="D1322" t="str">
        <f>_xll.BDP("383392AS Muni","STATE_CODE")</f>
        <v>#N/A Requesting Data...</v>
      </c>
      <c r="E1322" t="str">
        <f>_xll.BDP("383392AS Muni","COUNTY_LOCATION_ISSUER")</f>
        <v>#N/A Requesting Data...</v>
      </c>
      <c r="F1322" t="str">
        <f>_xll.BDP("383392AS Muni","DUR_ADJ_MID")</f>
        <v>#N/A Requesting Data...</v>
      </c>
      <c r="G1322" t="str">
        <f>_xll.BDP("383392AS Muni","SPREAD_AT_ISSUANCE_TO_WORST")</f>
        <v>#N/A Requesting Data...</v>
      </c>
      <c r="H1322" t="str">
        <f>_xll.BDP("383392AS Muni","ISSUE_DT")</f>
        <v>#N/A Requesting Data...</v>
      </c>
      <c r="I1322" t="str">
        <f>_xll.BDS("383392AS Muni","MUNI_PURPOSE_SCHED", "aggregate=y")</f>
        <v>#N/A Requesting Data...</v>
      </c>
      <c r="J1322" t="str">
        <f>_xll.BDP("383392AS Muni","CPN")</f>
        <v>#N/A Requesting Data...</v>
      </c>
      <c r="K1322" t="str">
        <f>_xll.BDP("383392AS Muni","MATURITY")</f>
        <v>#N/A Requesting Data...</v>
      </c>
      <c r="L1322">
        <v>120000</v>
      </c>
      <c r="M1322" t="str">
        <f>_xll.BDP("383392AS Muni","YIELD_ON_ISSUE_DATE")</f>
        <v>#N/A Requesting Data...</v>
      </c>
      <c r="N1322" t="str">
        <f>_xll.BDP("383392AS Muni","YTW_SPREAD_TO_MATURITY_AT_ISSU")</f>
        <v>#N/A Requesting Data...</v>
      </c>
      <c r="O1322" t="str">
        <f>_xll.BDP("383392AS Muni","BVAL_MID_YTM")</f>
        <v>#N/A Requesting Data...</v>
      </c>
      <c r="P1322" t="str">
        <f>_xll.BDP("383392AS Muni","MUNI_TAX_PROV")</f>
        <v>#N/A Requesting Data...</v>
      </c>
      <c r="Q1322" t="str">
        <f>_xll.BDP("383392AS Muni","MUNI_FED_TAX")</f>
        <v>#N/A Requesting Data...</v>
      </c>
      <c r="R1322" t="str">
        <f>_xll.BDP("383392AS Muni","MUNI_MSRB_VOLUME")</f>
        <v>#N/A Requesting Data...</v>
      </c>
      <c r="S1322" t="str">
        <f>_xll.BDP("383392AS Muni","BB_COMPOSITE")</f>
        <v>#N/A Requesting Data...</v>
      </c>
      <c r="T1322" t="str">
        <f>_xll.BDP("383392AS Muni","LQA_LIQUIDITY_SCORE")</f>
        <v>#N/A Requesting Data...</v>
      </c>
    </row>
    <row r="1323" spans="1:20" x14ac:dyDescent="0.25">
      <c r="A1323" t="str">
        <f>_xll.BDP("396093AG Muni","ID_CUSIP")</f>
        <v>#N/A Requesting Data...</v>
      </c>
      <c r="B1323" t="s">
        <v>338</v>
      </c>
      <c r="C1323" t="str">
        <f>_xll.BDP("396093AG Muni","INSURANCE_STATUS")</f>
        <v>#N/A Requesting Data...</v>
      </c>
      <c r="D1323" t="str">
        <f>_xll.BDP("396093AG Muni","STATE_CODE")</f>
        <v>#N/A Requesting Data...</v>
      </c>
      <c r="E1323" t="str">
        <f>_xll.BDP("396093AG Muni","COUNTY_LOCATION_ISSUER")</f>
        <v>#N/A Requesting Data...</v>
      </c>
      <c r="F1323" t="str">
        <f>_xll.BDP("396093AG Muni","DUR_ADJ_MID")</f>
        <v>#N/A Requesting Data...</v>
      </c>
      <c r="G1323" t="str">
        <f>_xll.BDP("396093AG Muni","SPREAD_AT_ISSUANCE_TO_WORST")</f>
        <v>#N/A Requesting Data...</v>
      </c>
      <c r="H1323" t="str">
        <f>_xll.BDP("396093AG Muni","ISSUE_DT")</f>
        <v>#N/A Requesting Data...</v>
      </c>
      <c r="I1323" t="str">
        <f>_xll.BDS("396093AG Muni","MUNI_PURPOSE_SCHED", "aggregate=y")</f>
        <v>#N/A Requesting Data...</v>
      </c>
      <c r="J1323" t="str">
        <f>_xll.BDP("396093AG Muni","CPN")</f>
        <v>#N/A Requesting Data...</v>
      </c>
      <c r="K1323" t="str">
        <f>_xll.BDP("396093AG Muni","MATURITY")</f>
        <v>#N/A Requesting Data...</v>
      </c>
      <c r="L1323">
        <v>345000</v>
      </c>
      <c r="M1323" t="str">
        <f>_xll.BDP("396093AG Muni","YIELD_ON_ISSUE_DATE")</f>
        <v>#N/A Requesting Data...</v>
      </c>
      <c r="N1323" t="str">
        <f>_xll.BDP("396093AG Muni","YTW_SPREAD_TO_MATURITY_AT_ISSU")</f>
        <v>#N/A Requesting Data...</v>
      </c>
      <c r="O1323" t="str">
        <f>_xll.BDP("396093AG Muni","BVAL_MID_YTM")</f>
        <v>#N/A Requesting Data...</v>
      </c>
      <c r="P1323" t="str">
        <f>_xll.BDP("396093AG Muni","MUNI_TAX_PROV")</f>
        <v>#N/A Requesting Data...</v>
      </c>
      <c r="Q1323" t="str">
        <f>_xll.BDP("396093AG Muni","MUNI_FED_TAX")</f>
        <v>#N/A Requesting Data...</v>
      </c>
      <c r="R1323" t="str">
        <f>_xll.BDP("396093AG Muni","MUNI_MSRB_VOLUME")</f>
        <v>#N/A Requesting Data...</v>
      </c>
      <c r="S1323" t="str">
        <f>_xll.BDP("396093AG Muni","BB_COMPOSITE")</f>
        <v>#N/A Requesting Data...</v>
      </c>
      <c r="T1323" t="str">
        <f>_xll.BDP("396093AG Muni","LQA_LIQUIDITY_SCORE")</f>
        <v>#N/A Requesting Data...</v>
      </c>
    </row>
    <row r="1324" spans="1:20" x14ac:dyDescent="0.25">
      <c r="A1324" t="str">
        <f>_xll.BDP("397378HF Muni","ID_CUSIP")</f>
        <v>#N/A Requesting Data...</v>
      </c>
      <c r="B1324" t="s">
        <v>301</v>
      </c>
      <c r="C1324" t="str">
        <f>_xll.BDP("397378HF Muni","INSURANCE_STATUS")</f>
        <v>#N/A Requesting Data...</v>
      </c>
      <c r="D1324" t="str">
        <f>_xll.BDP("397378HF Muni","STATE_CODE")</f>
        <v>#N/A Requesting Data...</v>
      </c>
      <c r="E1324" t="str">
        <f>_xll.BDP("397378HF Muni","COUNTY_LOCATION_ISSUER")</f>
        <v>#N/A Requesting Data...</v>
      </c>
      <c r="F1324" t="str">
        <f>_xll.BDP("397378HF Muni","DUR_ADJ_MID")</f>
        <v>#N/A Requesting Data...</v>
      </c>
      <c r="G1324" t="str">
        <f>_xll.BDP("397378HF Muni","SPREAD_AT_ISSUANCE_TO_WORST")</f>
        <v>#N/A Requesting Data...</v>
      </c>
      <c r="H1324" t="str">
        <f>_xll.BDP("397378HF Muni","ISSUE_DT")</f>
        <v>#N/A Requesting Data...</v>
      </c>
      <c r="I1324" t="str">
        <f>_xll.BDS("397378HF Muni","MUNI_PURPOSE_SCHED", "aggregate=y")</f>
        <v>#N/A Requesting Data...</v>
      </c>
      <c r="J1324" t="str">
        <f>_xll.BDP("397378HF Muni","CPN")</f>
        <v>#N/A Requesting Data...</v>
      </c>
      <c r="K1324" t="str">
        <f>_xll.BDP("397378HF Muni","MATURITY")</f>
        <v>#N/A Requesting Data...</v>
      </c>
      <c r="L1324">
        <v>120000</v>
      </c>
      <c r="M1324" t="str">
        <f>_xll.BDP("397378HF Muni","YIELD_ON_ISSUE_DATE")</f>
        <v>#N/A Requesting Data...</v>
      </c>
      <c r="N1324" t="str">
        <f>_xll.BDP("397378HF Muni","YTW_SPREAD_TO_MATURITY_AT_ISSU")</f>
        <v>#N/A Requesting Data...</v>
      </c>
      <c r="O1324" t="str">
        <f>_xll.BDP("397378HF Muni","BVAL_MID_YTM")</f>
        <v>#N/A Requesting Data...</v>
      </c>
      <c r="P1324" t="str">
        <f>_xll.BDP("397378HF Muni","MUNI_TAX_PROV")</f>
        <v>#N/A Requesting Data...</v>
      </c>
      <c r="Q1324" t="str">
        <f>_xll.BDP("397378HF Muni","MUNI_FED_TAX")</f>
        <v>#N/A Requesting Data...</v>
      </c>
      <c r="R1324" t="str">
        <f>_xll.BDP("397378HF Muni","MUNI_MSRB_VOLUME")</f>
        <v>#N/A Requesting Data...</v>
      </c>
      <c r="S1324" t="str">
        <f>_xll.BDP("397378HF Muni","BB_COMPOSITE")</f>
        <v>#N/A Requesting Data...</v>
      </c>
      <c r="T1324" t="str">
        <f>_xll.BDP("397378HF Muni","LQA_LIQUIDITY_SCORE")</f>
        <v>#N/A Requesting Data...</v>
      </c>
    </row>
    <row r="1325" spans="1:20" x14ac:dyDescent="0.25">
      <c r="A1325" t="str">
        <f>_xll.BDP("397378HG Muni","ID_CUSIP")</f>
        <v>#N/A Requesting Data...</v>
      </c>
      <c r="B1325" t="s">
        <v>301</v>
      </c>
      <c r="C1325" t="str">
        <f>_xll.BDP("397378HG Muni","INSURANCE_STATUS")</f>
        <v>#N/A Requesting Data...</v>
      </c>
      <c r="D1325" t="str">
        <f>_xll.BDP("397378HG Muni","STATE_CODE")</f>
        <v>#N/A Requesting Data...</v>
      </c>
      <c r="E1325" t="str">
        <f>_xll.BDP("397378HG Muni","COUNTY_LOCATION_ISSUER")</f>
        <v>#N/A Requesting Data...</v>
      </c>
      <c r="F1325" t="str">
        <f>_xll.BDP("397378HG Muni","DUR_ADJ_MID")</f>
        <v>#N/A Requesting Data...</v>
      </c>
      <c r="G1325" t="str">
        <f>_xll.BDP("397378HG Muni","SPREAD_AT_ISSUANCE_TO_WORST")</f>
        <v>#N/A Requesting Data...</v>
      </c>
      <c r="H1325" t="str">
        <f>_xll.BDP("397378HG Muni","ISSUE_DT")</f>
        <v>#N/A Requesting Data...</v>
      </c>
      <c r="I1325" t="str">
        <f>_xll.BDS("397378HG Muni","MUNI_PURPOSE_SCHED", "aggregate=y")</f>
        <v>#N/A Requesting Data...</v>
      </c>
      <c r="J1325" t="str">
        <f>_xll.BDP("397378HG Muni","CPN")</f>
        <v>#N/A Requesting Data...</v>
      </c>
      <c r="K1325" t="str">
        <f>_xll.BDP("397378HG Muni","MATURITY")</f>
        <v>#N/A Requesting Data...</v>
      </c>
      <c r="L1325">
        <v>125000</v>
      </c>
      <c r="M1325" t="str">
        <f>_xll.BDP("397378HG Muni","YIELD_ON_ISSUE_DATE")</f>
        <v>#N/A Requesting Data...</v>
      </c>
      <c r="N1325" t="str">
        <f>_xll.BDP("397378HG Muni","YTW_SPREAD_TO_MATURITY_AT_ISSU")</f>
        <v>#N/A Requesting Data...</v>
      </c>
      <c r="O1325" t="str">
        <f>_xll.BDP("397378HG Muni","BVAL_MID_YTM")</f>
        <v>#N/A Requesting Data...</v>
      </c>
      <c r="P1325" t="str">
        <f>_xll.BDP("397378HG Muni","MUNI_TAX_PROV")</f>
        <v>#N/A Requesting Data...</v>
      </c>
      <c r="Q1325" t="str">
        <f>_xll.BDP("397378HG Muni","MUNI_FED_TAX")</f>
        <v>#N/A Requesting Data...</v>
      </c>
      <c r="R1325" t="str">
        <f>_xll.BDP("397378HG Muni","MUNI_MSRB_VOLUME")</f>
        <v>#N/A Requesting Data...</v>
      </c>
      <c r="S1325" t="str">
        <f>_xll.BDP("397378HG Muni","BB_COMPOSITE")</f>
        <v>#N/A Requesting Data...</v>
      </c>
      <c r="T1325" t="str">
        <f>_xll.BDP("397378HG Muni","LQA_LIQUIDITY_SCORE")</f>
        <v>#N/A Requesting Data...</v>
      </c>
    </row>
    <row r="1326" spans="1:20" x14ac:dyDescent="0.25">
      <c r="A1326" t="str">
        <f>_xll.BDP("397378HH Muni","ID_CUSIP")</f>
        <v>#N/A Requesting Data...</v>
      </c>
      <c r="B1326" t="s">
        <v>301</v>
      </c>
      <c r="C1326" t="str">
        <f>_xll.BDP("397378HH Muni","INSURANCE_STATUS")</f>
        <v>#N/A Requesting Data...</v>
      </c>
      <c r="D1326" t="str">
        <f>_xll.BDP("397378HH Muni","STATE_CODE")</f>
        <v>#N/A Requesting Data...</v>
      </c>
      <c r="E1326" t="str">
        <f>_xll.BDP("397378HH Muni","COUNTY_LOCATION_ISSUER")</f>
        <v>#N/A Requesting Data...</v>
      </c>
      <c r="F1326" t="str">
        <f>_xll.BDP("397378HH Muni","DUR_ADJ_MID")</f>
        <v>#N/A Requesting Data...</v>
      </c>
      <c r="G1326" t="str">
        <f>_xll.BDP("397378HH Muni","SPREAD_AT_ISSUANCE_TO_WORST")</f>
        <v>#N/A Requesting Data...</v>
      </c>
      <c r="H1326" t="str">
        <f>_xll.BDP("397378HH Muni","ISSUE_DT")</f>
        <v>#N/A Requesting Data...</v>
      </c>
      <c r="I1326" t="str">
        <f>_xll.BDS("397378HH Muni","MUNI_PURPOSE_SCHED", "aggregate=y")</f>
        <v>#N/A Requesting Data...</v>
      </c>
      <c r="J1326" t="str">
        <f>_xll.BDP("397378HH Muni","CPN")</f>
        <v>#N/A Requesting Data...</v>
      </c>
      <c r="K1326" t="str">
        <f>_xll.BDP("397378HH Muni","MATURITY")</f>
        <v>#N/A Requesting Data...</v>
      </c>
      <c r="L1326">
        <v>130000</v>
      </c>
      <c r="M1326" t="str">
        <f>_xll.BDP("397378HH Muni","YIELD_ON_ISSUE_DATE")</f>
        <v>#N/A Requesting Data...</v>
      </c>
      <c r="N1326" t="str">
        <f>_xll.BDP("397378HH Muni","YTW_SPREAD_TO_MATURITY_AT_ISSU")</f>
        <v>#N/A Requesting Data...</v>
      </c>
      <c r="O1326" t="str">
        <f>_xll.BDP("397378HH Muni","BVAL_MID_YTM")</f>
        <v>#N/A Requesting Data...</v>
      </c>
      <c r="P1326" t="str">
        <f>_xll.BDP("397378HH Muni","MUNI_TAX_PROV")</f>
        <v>#N/A Requesting Data...</v>
      </c>
      <c r="Q1326" t="str">
        <f>_xll.BDP("397378HH Muni","MUNI_FED_TAX")</f>
        <v>#N/A Requesting Data...</v>
      </c>
      <c r="R1326" t="str">
        <f>_xll.BDP("397378HH Muni","MUNI_MSRB_VOLUME")</f>
        <v>#N/A Requesting Data...</v>
      </c>
      <c r="S1326" t="str">
        <f>_xll.BDP("397378HH Muni","BB_COMPOSITE")</f>
        <v>#N/A Requesting Data...</v>
      </c>
      <c r="T1326" t="str">
        <f>_xll.BDP("397378HH Muni","LQA_LIQUIDITY_SCORE")</f>
        <v>#N/A Requesting Data...</v>
      </c>
    </row>
    <row r="1327" spans="1:20" x14ac:dyDescent="0.25">
      <c r="A1327" t="str">
        <f>_xll.BDP("506372EG Muni","ID_CUSIP")</f>
        <v>#N/A Requesting Data...</v>
      </c>
      <c r="B1327" t="s">
        <v>339</v>
      </c>
      <c r="C1327" t="str">
        <f>_xll.BDP("506372EG Muni","INSURANCE_STATUS")</f>
        <v>#N/A Requesting Data...</v>
      </c>
      <c r="D1327" t="str">
        <f>_xll.BDP("506372EG Muni","STATE_CODE")</f>
        <v>#N/A Requesting Data...</v>
      </c>
      <c r="E1327" t="str">
        <f>_xll.BDP("506372EG Muni","COUNTY_LOCATION_ISSUER")</f>
        <v>#N/A Requesting Data...</v>
      </c>
      <c r="F1327" t="str">
        <f>_xll.BDP("506372EG Muni","DUR_ADJ_MID")</f>
        <v>#N/A Requesting Data...</v>
      </c>
      <c r="G1327" t="str">
        <f>_xll.BDP("506372EG Muni","SPREAD_AT_ISSUANCE_TO_WORST")</f>
        <v>#N/A Requesting Data...</v>
      </c>
      <c r="H1327" t="str">
        <f>_xll.BDP("506372EG Muni","ISSUE_DT")</f>
        <v>#N/A Requesting Data...</v>
      </c>
      <c r="I1327" t="str">
        <f>_xll.BDS("506372EG Muni","MUNI_PURPOSE_SCHED", "aggregate=y")</f>
        <v>#N/A Requesting Data...</v>
      </c>
      <c r="J1327" t="str">
        <f>_xll.BDP("506372EG Muni","CPN")</f>
        <v>#N/A Requesting Data...</v>
      </c>
      <c r="K1327" t="str">
        <f>_xll.BDP("506372EG Muni","MATURITY")</f>
        <v>#N/A Requesting Data...</v>
      </c>
      <c r="L1327">
        <v>470000</v>
      </c>
      <c r="M1327" t="str">
        <f>_xll.BDP("506372EG Muni","YIELD_ON_ISSUE_DATE")</f>
        <v>#N/A Requesting Data...</v>
      </c>
      <c r="N1327" t="str">
        <f>_xll.BDP("506372EG Muni","YTW_SPREAD_TO_MATURITY_AT_ISSU")</f>
        <v>#N/A Requesting Data...</v>
      </c>
      <c r="O1327" t="str">
        <f>_xll.BDP("506372EG Muni","BVAL_MID_YTM")</f>
        <v>#N/A Requesting Data...</v>
      </c>
      <c r="P1327" t="str">
        <f>_xll.BDP("506372EG Muni","MUNI_TAX_PROV")</f>
        <v>#N/A Requesting Data...</v>
      </c>
      <c r="Q1327" t="str">
        <f>_xll.BDP("506372EG Muni","MUNI_FED_TAX")</f>
        <v>#N/A Requesting Data...</v>
      </c>
      <c r="R1327" t="str">
        <f>_xll.BDP("506372EG Muni","MUNI_MSRB_VOLUME")</f>
        <v>#N/A Requesting Data...</v>
      </c>
      <c r="S1327" t="str">
        <f>_xll.BDP("506372EG Muni","BB_COMPOSITE")</f>
        <v>#N/A Requesting Data...</v>
      </c>
      <c r="T1327" t="str">
        <f>_xll.BDP("506372EG Muni","LQA_LIQUIDITY_SCORE")</f>
        <v>#N/A Requesting Data...</v>
      </c>
    </row>
    <row r="1328" spans="1:20" x14ac:dyDescent="0.25">
      <c r="A1328" t="str">
        <f>_xll.BDP("513733BL Muni","ID_CUSIP")</f>
        <v>#N/A Requesting Data...</v>
      </c>
      <c r="B1328" t="s">
        <v>340</v>
      </c>
      <c r="C1328" t="str">
        <f>_xll.BDP("513733BL Muni","INSURANCE_STATUS")</f>
        <v>#N/A Requesting Data...</v>
      </c>
      <c r="D1328" t="str">
        <f>_xll.BDP("513733BL Muni","STATE_CODE")</f>
        <v>#N/A Requesting Data...</v>
      </c>
      <c r="E1328" t="str">
        <f>_xll.BDP("513733BL Muni","COUNTY_LOCATION_ISSUER")</f>
        <v>#N/A Requesting Data...</v>
      </c>
      <c r="F1328" t="str">
        <f>_xll.BDP("513733BL Muni","DUR_ADJ_MID")</f>
        <v>#N/A Requesting Data...</v>
      </c>
      <c r="G1328" t="str">
        <f>_xll.BDP("513733BL Muni","SPREAD_AT_ISSUANCE_TO_WORST")</f>
        <v>#N/A Requesting Data...</v>
      </c>
      <c r="H1328" t="str">
        <f>_xll.BDP("513733BL Muni","ISSUE_DT")</f>
        <v>#N/A Requesting Data...</v>
      </c>
      <c r="I1328" t="str">
        <f>_xll.BDS("513733BL Muni","MUNI_PURPOSE_SCHED", "aggregate=y")</f>
        <v>#N/A Requesting Data...</v>
      </c>
      <c r="J1328" t="str">
        <f>_xll.BDP("513733BL Muni","CPN")</f>
        <v>#N/A Requesting Data...</v>
      </c>
      <c r="K1328" t="str">
        <f>_xll.BDP("513733BL Muni","MATURITY")</f>
        <v>#N/A Requesting Data...</v>
      </c>
      <c r="L1328">
        <v>95000</v>
      </c>
      <c r="M1328" t="str">
        <f>_xll.BDP("513733BL Muni","YIELD_ON_ISSUE_DATE")</f>
        <v>#N/A Requesting Data...</v>
      </c>
      <c r="N1328" t="str">
        <f>_xll.BDP("513733BL Muni","YTW_SPREAD_TO_MATURITY_AT_ISSU")</f>
        <v>#N/A Requesting Data...</v>
      </c>
      <c r="O1328" t="str">
        <f>_xll.BDP("513733BL Muni","BVAL_MID_YTM")</f>
        <v>#N/A Requesting Data...</v>
      </c>
      <c r="P1328" t="str">
        <f>_xll.BDP("513733BL Muni","MUNI_TAX_PROV")</f>
        <v>#N/A Requesting Data...</v>
      </c>
      <c r="Q1328" t="str">
        <f>_xll.BDP("513733BL Muni","MUNI_FED_TAX")</f>
        <v>#N/A Requesting Data...</v>
      </c>
      <c r="R1328" t="str">
        <f>_xll.BDP("513733BL Muni","MUNI_MSRB_VOLUME")</f>
        <v>#N/A Requesting Data...</v>
      </c>
      <c r="S1328" t="str">
        <f>_xll.BDP("513733BL Muni","BB_COMPOSITE")</f>
        <v>#N/A Requesting Data...</v>
      </c>
      <c r="T1328" t="str">
        <f>_xll.BDP("513733BL Muni","LQA_LIQUIDITY_SCORE")</f>
        <v>#N/A Requesting Data...</v>
      </c>
    </row>
    <row r="1329" spans="1:20" x14ac:dyDescent="0.25">
      <c r="A1329" t="str">
        <f>_xll.BDP("513733BM Muni","ID_CUSIP")</f>
        <v>#N/A Requesting Data...</v>
      </c>
      <c r="B1329" t="s">
        <v>340</v>
      </c>
      <c r="C1329" t="str">
        <f>_xll.BDP("513733BM Muni","INSURANCE_STATUS")</f>
        <v>#N/A Requesting Data...</v>
      </c>
      <c r="D1329" t="str">
        <f>_xll.BDP("513733BM Muni","STATE_CODE")</f>
        <v>#N/A Requesting Data...</v>
      </c>
      <c r="E1329" t="str">
        <f>_xll.BDP("513733BM Muni","COUNTY_LOCATION_ISSUER")</f>
        <v>#N/A Requesting Data...</v>
      </c>
      <c r="F1329" t="str">
        <f>_xll.BDP("513733BM Muni","DUR_ADJ_MID")</f>
        <v>#N/A Requesting Data...</v>
      </c>
      <c r="G1329" t="str">
        <f>_xll.BDP("513733BM Muni","SPREAD_AT_ISSUANCE_TO_WORST")</f>
        <v>#N/A Requesting Data...</v>
      </c>
      <c r="H1329" t="str">
        <f>_xll.BDP("513733BM Muni","ISSUE_DT")</f>
        <v>#N/A Requesting Data...</v>
      </c>
      <c r="I1329" t="str">
        <f>_xll.BDS("513733BM Muni","MUNI_PURPOSE_SCHED", "aggregate=y")</f>
        <v>#N/A Requesting Data...</v>
      </c>
      <c r="J1329" t="str">
        <f>_xll.BDP("513733BM Muni","CPN")</f>
        <v>#N/A Requesting Data...</v>
      </c>
      <c r="K1329" t="str">
        <f>_xll.BDP("513733BM Muni","MATURITY")</f>
        <v>#N/A Requesting Data...</v>
      </c>
      <c r="L1329">
        <v>100000</v>
      </c>
      <c r="M1329" t="str">
        <f>_xll.BDP("513733BM Muni","YIELD_ON_ISSUE_DATE")</f>
        <v>#N/A Requesting Data...</v>
      </c>
      <c r="N1329" t="str">
        <f>_xll.BDP("513733BM Muni","YTW_SPREAD_TO_MATURITY_AT_ISSU")</f>
        <v>#N/A Requesting Data...</v>
      </c>
      <c r="O1329" t="str">
        <f>_xll.BDP("513733BM Muni","BVAL_MID_YTM")</f>
        <v>#N/A Requesting Data...</v>
      </c>
      <c r="P1329" t="str">
        <f>_xll.BDP("513733BM Muni","MUNI_TAX_PROV")</f>
        <v>#N/A Requesting Data...</v>
      </c>
      <c r="Q1329" t="str">
        <f>_xll.BDP("513733BM Muni","MUNI_FED_TAX")</f>
        <v>#N/A Requesting Data...</v>
      </c>
      <c r="R1329" t="str">
        <f>_xll.BDP("513733BM Muni","MUNI_MSRB_VOLUME")</f>
        <v>#N/A Requesting Data...</v>
      </c>
      <c r="S1329" t="str">
        <f>_xll.BDP("513733BM Muni","BB_COMPOSITE")</f>
        <v>#N/A Requesting Data...</v>
      </c>
      <c r="T1329" t="str">
        <f>_xll.BDP("513733BM Muni","LQA_LIQUIDITY_SCORE")</f>
        <v>#N/A Requesting Data...</v>
      </c>
    </row>
    <row r="1330" spans="1:20" x14ac:dyDescent="0.25">
      <c r="A1330" t="str">
        <f>_xll.BDP("513733BN Muni","ID_CUSIP")</f>
        <v>#N/A Requesting Data...</v>
      </c>
      <c r="B1330" t="s">
        <v>340</v>
      </c>
      <c r="C1330" t="str">
        <f>_xll.BDP("513733BN Muni","INSURANCE_STATUS")</f>
        <v>#N/A Requesting Data...</v>
      </c>
      <c r="D1330" t="str">
        <f>_xll.BDP("513733BN Muni","STATE_CODE")</f>
        <v>#N/A Requesting Data...</v>
      </c>
      <c r="E1330" t="str">
        <f>_xll.BDP("513733BN Muni","COUNTY_LOCATION_ISSUER")</f>
        <v>#N/A Requesting Data...</v>
      </c>
      <c r="F1330" t="str">
        <f>_xll.BDP("513733BN Muni","DUR_ADJ_MID")</f>
        <v>#N/A Requesting Data...</v>
      </c>
      <c r="G1330" t="str">
        <f>_xll.BDP("513733BN Muni","SPREAD_AT_ISSUANCE_TO_WORST")</f>
        <v>#N/A Requesting Data...</v>
      </c>
      <c r="H1330" t="str">
        <f>_xll.BDP("513733BN Muni","ISSUE_DT")</f>
        <v>#N/A Requesting Data...</v>
      </c>
      <c r="I1330" t="str">
        <f>_xll.BDS("513733BN Muni","MUNI_PURPOSE_SCHED", "aggregate=y")</f>
        <v>#N/A Requesting Data...</v>
      </c>
      <c r="J1330" t="str">
        <f>_xll.BDP("513733BN Muni","CPN")</f>
        <v>#N/A Requesting Data...</v>
      </c>
      <c r="K1330" t="str">
        <f>_xll.BDP("513733BN Muni","MATURITY")</f>
        <v>#N/A Requesting Data...</v>
      </c>
      <c r="L1330">
        <v>100000</v>
      </c>
      <c r="M1330" t="str">
        <f>_xll.BDP("513733BN Muni","YIELD_ON_ISSUE_DATE")</f>
        <v>#N/A Requesting Data...</v>
      </c>
      <c r="N1330" t="str">
        <f>_xll.BDP("513733BN Muni","YTW_SPREAD_TO_MATURITY_AT_ISSU")</f>
        <v>#N/A Requesting Data...</v>
      </c>
      <c r="O1330" t="str">
        <f>_xll.BDP("513733BN Muni","BVAL_MID_YTM")</f>
        <v>#N/A Requesting Data...</v>
      </c>
      <c r="P1330" t="str">
        <f>_xll.BDP("513733BN Muni","MUNI_TAX_PROV")</f>
        <v>#N/A Requesting Data...</v>
      </c>
      <c r="Q1330" t="str">
        <f>_xll.BDP("513733BN Muni","MUNI_FED_TAX")</f>
        <v>#N/A Requesting Data...</v>
      </c>
      <c r="R1330" t="str">
        <f>_xll.BDP("513733BN Muni","MUNI_MSRB_VOLUME")</f>
        <v>#N/A Requesting Data...</v>
      </c>
      <c r="S1330" t="str">
        <f>_xll.BDP("513733BN Muni","BB_COMPOSITE")</f>
        <v>#N/A Requesting Data...</v>
      </c>
      <c r="T1330" t="str">
        <f>_xll.BDP("513733BN Muni","LQA_LIQUIDITY_SCORE")</f>
        <v>#N/A Requesting Data...</v>
      </c>
    </row>
    <row r="1331" spans="1:20" x14ac:dyDescent="0.25">
      <c r="A1331" t="str">
        <f>_xll.BDP("514192GM Muni","ID_CUSIP")</f>
        <v>#N/A Requesting Data...</v>
      </c>
      <c r="B1331" t="s">
        <v>242</v>
      </c>
      <c r="C1331" t="str">
        <f>_xll.BDP("514192GM Muni","INSURANCE_STATUS")</f>
        <v>#N/A Requesting Data...</v>
      </c>
      <c r="D1331" t="str">
        <f>_xll.BDP("514192GM Muni","STATE_CODE")</f>
        <v>#N/A Requesting Data...</v>
      </c>
      <c r="E1331" t="str">
        <f>_xll.BDP("514192GM Muni","COUNTY_LOCATION_ISSUER")</f>
        <v>#N/A Requesting Data...</v>
      </c>
      <c r="F1331" t="str">
        <f>_xll.BDP("514192GM Muni","DUR_ADJ_MID")</f>
        <v>#N/A Requesting Data...</v>
      </c>
      <c r="G1331" t="str">
        <f>_xll.BDP("514192GM Muni","SPREAD_AT_ISSUANCE_TO_WORST")</f>
        <v>#N/A Requesting Data...</v>
      </c>
      <c r="H1331" t="str">
        <f>_xll.BDP("514192GM Muni","ISSUE_DT")</f>
        <v>#N/A Requesting Data...</v>
      </c>
      <c r="I1331" t="str">
        <f>_xll.BDS("514192GM Muni","MUNI_PURPOSE_SCHED", "aggregate=y")</f>
        <v>#N/A Requesting Data...</v>
      </c>
      <c r="J1331" t="str">
        <f>_xll.BDP("514192GM Muni","CPN")</f>
        <v>#N/A Requesting Data...</v>
      </c>
      <c r="K1331" t="str">
        <f>_xll.BDP("514192GM Muni","MATURITY")</f>
        <v>#N/A Requesting Data...</v>
      </c>
      <c r="L1331">
        <v>175000</v>
      </c>
      <c r="M1331" t="str">
        <f>_xll.BDP("514192GM Muni","YIELD_ON_ISSUE_DATE")</f>
        <v>#N/A Requesting Data...</v>
      </c>
      <c r="N1331" t="str">
        <f>_xll.BDP("514192GM Muni","YTW_SPREAD_TO_MATURITY_AT_ISSU")</f>
        <v>#N/A Requesting Data...</v>
      </c>
      <c r="O1331" t="str">
        <f>_xll.BDP("514192GM Muni","BVAL_MID_YTM")</f>
        <v>#N/A Requesting Data...</v>
      </c>
      <c r="P1331" t="str">
        <f>_xll.BDP("514192GM Muni","MUNI_TAX_PROV")</f>
        <v>#N/A Requesting Data...</v>
      </c>
      <c r="Q1331" t="str">
        <f>_xll.BDP("514192GM Muni","MUNI_FED_TAX")</f>
        <v>#N/A Requesting Data...</v>
      </c>
      <c r="R1331" t="str">
        <f>_xll.BDP("514192GM Muni","MUNI_MSRB_VOLUME")</f>
        <v>#N/A Requesting Data...</v>
      </c>
      <c r="S1331" t="str">
        <f>_xll.BDP("514192GM Muni","BB_COMPOSITE")</f>
        <v>#N/A Requesting Data...</v>
      </c>
      <c r="T1331" t="str">
        <f>_xll.BDP("514192GM Muni","LQA_LIQUIDITY_SCORE")</f>
        <v>#N/A Requesting Data...</v>
      </c>
    </row>
    <row r="1332" spans="1:20" x14ac:dyDescent="0.25">
      <c r="A1332" t="str">
        <f>_xll.BDP("506372DW Muni","ID_CUSIP")</f>
        <v>#N/A Requesting Data...</v>
      </c>
      <c r="B1332" t="s">
        <v>339</v>
      </c>
      <c r="C1332" t="str">
        <f>_xll.BDP("506372DW Muni","INSURANCE_STATUS")</f>
        <v>#N/A Requesting Data...</v>
      </c>
      <c r="D1332" t="str">
        <f>_xll.BDP("506372DW Muni","STATE_CODE")</f>
        <v>#N/A Requesting Data...</v>
      </c>
      <c r="E1332" t="str">
        <f>_xll.BDP("506372DW Muni","COUNTY_LOCATION_ISSUER")</f>
        <v>#N/A Requesting Data...</v>
      </c>
      <c r="F1332" t="str">
        <f>_xll.BDP("506372DW Muni","DUR_ADJ_MID")</f>
        <v>#N/A Requesting Data...</v>
      </c>
      <c r="G1332" t="str">
        <f>_xll.BDP("506372DW Muni","SPREAD_AT_ISSUANCE_TO_WORST")</f>
        <v>#N/A Requesting Data...</v>
      </c>
      <c r="H1332" t="str">
        <f>_xll.BDP("506372DW Muni","ISSUE_DT")</f>
        <v>#N/A Requesting Data...</v>
      </c>
      <c r="I1332" t="str">
        <f>_xll.BDS("506372DW Muni","MUNI_PURPOSE_SCHED", "aggregate=y")</f>
        <v>#N/A Requesting Data...</v>
      </c>
      <c r="J1332" t="str">
        <f>_xll.BDP("506372DW Muni","CPN")</f>
        <v>#N/A Requesting Data...</v>
      </c>
      <c r="K1332" t="str">
        <f>_xll.BDP("506372DW Muni","MATURITY")</f>
        <v>#N/A Requesting Data...</v>
      </c>
      <c r="L1332">
        <v>400000</v>
      </c>
      <c r="M1332" t="str">
        <f>_xll.BDP("506372DW Muni","YIELD_ON_ISSUE_DATE")</f>
        <v>#N/A Requesting Data...</v>
      </c>
      <c r="N1332" t="str">
        <f>_xll.BDP("506372DW Muni","YTW_SPREAD_TO_MATURITY_AT_ISSU")</f>
        <v>#N/A Requesting Data...</v>
      </c>
      <c r="O1332" t="str">
        <f>_xll.BDP("506372DW Muni","BVAL_MID_YTM")</f>
        <v>#N/A Requesting Data...</v>
      </c>
      <c r="P1332" t="str">
        <f>_xll.BDP("506372DW Muni","MUNI_TAX_PROV")</f>
        <v>#N/A Requesting Data...</v>
      </c>
      <c r="Q1332" t="str">
        <f>_xll.BDP("506372DW Muni","MUNI_FED_TAX")</f>
        <v>#N/A Requesting Data...</v>
      </c>
      <c r="R1332" t="str">
        <f>_xll.BDP("506372DW Muni","MUNI_MSRB_VOLUME")</f>
        <v>#N/A Requesting Data...</v>
      </c>
      <c r="S1332" t="str">
        <f>_xll.BDP("506372DW Muni","BB_COMPOSITE")</f>
        <v>#N/A Requesting Data...</v>
      </c>
      <c r="T1332" t="str">
        <f>_xll.BDP("506372DW Muni","LQA_LIQUIDITY_SCORE")</f>
        <v>#N/A Requesting Data...</v>
      </c>
    </row>
    <row r="1333" spans="1:20" x14ac:dyDescent="0.25">
      <c r="A1333" t="str">
        <f>_xll.BDP("506372DY Muni","ID_CUSIP")</f>
        <v>#N/A Requesting Data...</v>
      </c>
      <c r="B1333" t="s">
        <v>339</v>
      </c>
      <c r="C1333" t="str">
        <f>_xll.BDP("506372DY Muni","INSURANCE_STATUS")</f>
        <v>#N/A Requesting Data...</v>
      </c>
      <c r="D1333" t="str">
        <f>_xll.BDP("506372DY Muni","STATE_CODE")</f>
        <v>#N/A Requesting Data...</v>
      </c>
      <c r="E1333" t="str">
        <f>_xll.BDP("506372DY Muni","COUNTY_LOCATION_ISSUER")</f>
        <v>#N/A Requesting Data...</v>
      </c>
      <c r="F1333" t="str">
        <f>_xll.BDP("506372DY Muni","DUR_ADJ_MID")</f>
        <v>#N/A Requesting Data...</v>
      </c>
      <c r="G1333" t="str">
        <f>_xll.BDP("506372DY Muni","SPREAD_AT_ISSUANCE_TO_WORST")</f>
        <v>#N/A Requesting Data...</v>
      </c>
      <c r="H1333" t="str">
        <f>_xll.BDP("506372DY Muni","ISSUE_DT")</f>
        <v>#N/A Requesting Data...</v>
      </c>
      <c r="I1333" t="str">
        <f>_xll.BDS("506372DY Muni","MUNI_PURPOSE_SCHED", "aggregate=y")</f>
        <v>#N/A Requesting Data...</v>
      </c>
      <c r="J1333" t="str">
        <f>_xll.BDP("506372DY Muni","CPN")</f>
        <v>#N/A Requesting Data...</v>
      </c>
      <c r="K1333" t="str">
        <f>_xll.BDP("506372DY Muni","MATURITY")</f>
        <v>#N/A Requesting Data...</v>
      </c>
      <c r="L1333">
        <v>415000</v>
      </c>
      <c r="M1333" t="str">
        <f>_xll.BDP("506372DY Muni","YIELD_ON_ISSUE_DATE")</f>
        <v>#N/A Requesting Data...</v>
      </c>
      <c r="N1333" t="str">
        <f>_xll.BDP("506372DY Muni","YTW_SPREAD_TO_MATURITY_AT_ISSU")</f>
        <v>#N/A Requesting Data...</v>
      </c>
      <c r="O1333" t="str">
        <f>_xll.BDP("506372DY Muni","BVAL_MID_YTM")</f>
        <v>#N/A Requesting Data...</v>
      </c>
      <c r="P1333" t="str">
        <f>_xll.BDP("506372DY Muni","MUNI_TAX_PROV")</f>
        <v>#N/A Requesting Data...</v>
      </c>
      <c r="Q1333" t="str">
        <f>_xll.BDP("506372DY Muni","MUNI_FED_TAX")</f>
        <v>#N/A Requesting Data...</v>
      </c>
      <c r="R1333" t="str">
        <f>_xll.BDP("506372DY Muni","MUNI_MSRB_VOLUME")</f>
        <v>#N/A Requesting Data...</v>
      </c>
      <c r="S1333" t="str">
        <f>_xll.BDP("506372DY Muni","BB_COMPOSITE")</f>
        <v>#N/A Requesting Data...</v>
      </c>
      <c r="T1333" t="str">
        <f>_xll.BDP("506372DY Muni","LQA_LIQUIDITY_SCORE")</f>
        <v>#N/A Requesting Data...</v>
      </c>
    </row>
    <row r="1334" spans="1:20" x14ac:dyDescent="0.25">
      <c r="A1334" t="str">
        <f>_xll.BDP("506372EA Muni","ID_CUSIP")</f>
        <v>#N/A Requesting Data...</v>
      </c>
      <c r="B1334" t="s">
        <v>339</v>
      </c>
      <c r="C1334" t="str">
        <f>_xll.BDP("506372EA Muni","INSURANCE_STATUS")</f>
        <v>#N/A Requesting Data...</v>
      </c>
      <c r="D1334" t="str">
        <f>_xll.BDP("506372EA Muni","STATE_CODE")</f>
        <v>#N/A Requesting Data...</v>
      </c>
      <c r="E1334" t="str">
        <f>_xll.BDP("506372EA Muni","COUNTY_LOCATION_ISSUER")</f>
        <v>#N/A Requesting Data...</v>
      </c>
      <c r="F1334" t="str">
        <f>_xll.BDP("506372EA Muni","DUR_ADJ_MID")</f>
        <v>#N/A Requesting Data...</v>
      </c>
      <c r="G1334" t="str">
        <f>_xll.BDP("506372EA Muni","SPREAD_AT_ISSUANCE_TO_WORST")</f>
        <v>#N/A Requesting Data...</v>
      </c>
      <c r="H1334" t="str">
        <f>_xll.BDP("506372EA Muni","ISSUE_DT")</f>
        <v>#N/A Requesting Data...</v>
      </c>
      <c r="I1334" t="str">
        <f>_xll.BDS("506372EA Muni","MUNI_PURPOSE_SCHED", "aggregate=y")</f>
        <v>#N/A Requesting Data...</v>
      </c>
      <c r="J1334" t="str">
        <f>_xll.BDP("506372EA Muni","CPN")</f>
        <v>#N/A Requesting Data...</v>
      </c>
      <c r="K1334" t="str">
        <f>_xll.BDP("506372EA Muni","MATURITY")</f>
        <v>#N/A Requesting Data...</v>
      </c>
      <c r="L1334">
        <v>425000</v>
      </c>
      <c r="M1334" t="str">
        <f>_xll.BDP("506372EA Muni","YIELD_ON_ISSUE_DATE")</f>
        <v>#N/A Requesting Data...</v>
      </c>
      <c r="N1334" t="str">
        <f>_xll.BDP("506372EA Muni","YTW_SPREAD_TO_MATURITY_AT_ISSU")</f>
        <v>#N/A Requesting Data...</v>
      </c>
      <c r="O1334" t="str">
        <f>_xll.BDP("506372EA Muni","BVAL_MID_YTM")</f>
        <v>#N/A Requesting Data...</v>
      </c>
      <c r="P1334" t="str">
        <f>_xll.BDP("506372EA Muni","MUNI_TAX_PROV")</f>
        <v>#N/A Requesting Data...</v>
      </c>
      <c r="Q1334" t="str">
        <f>_xll.BDP("506372EA Muni","MUNI_FED_TAX")</f>
        <v>#N/A Requesting Data...</v>
      </c>
      <c r="R1334" t="str">
        <f>_xll.BDP("506372EA Muni","MUNI_MSRB_VOLUME")</f>
        <v>#N/A Requesting Data...</v>
      </c>
      <c r="S1334" t="str">
        <f>_xll.BDP("506372EA Muni","BB_COMPOSITE")</f>
        <v>#N/A Requesting Data...</v>
      </c>
      <c r="T1334" t="str">
        <f>_xll.BDP("506372EA Muni","LQA_LIQUIDITY_SCORE")</f>
        <v>#N/A Requesting Data...</v>
      </c>
    </row>
    <row r="1335" spans="1:20" x14ac:dyDescent="0.25">
      <c r="A1335" t="str">
        <f>_xll.BDP("506372EC Muni","ID_CUSIP")</f>
        <v>#N/A Requesting Data...</v>
      </c>
      <c r="B1335" t="s">
        <v>339</v>
      </c>
      <c r="C1335" t="str">
        <f>_xll.BDP("506372EC Muni","INSURANCE_STATUS")</f>
        <v>#N/A Requesting Data...</v>
      </c>
      <c r="D1335" t="str">
        <f>_xll.BDP("506372EC Muni","STATE_CODE")</f>
        <v>#N/A Requesting Data...</v>
      </c>
      <c r="E1335" t="str">
        <f>_xll.BDP("506372EC Muni","COUNTY_LOCATION_ISSUER")</f>
        <v>#N/A Requesting Data...</v>
      </c>
      <c r="F1335" t="str">
        <f>_xll.BDP("506372EC Muni","DUR_ADJ_MID")</f>
        <v>#N/A Requesting Data...</v>
      </c>
      <c r="G1335" t="str">
        <f>_xll.BDP("506372EC Muni","SPREAD_AT_ISSUANCE_TO_WORST")</f>
        <v>#N/A Requesting Data...</v>
      </c>
      <c r="H1335" t="str">
        <f>_xll.BDP("506372EC Muni","ISSUE_DT")</f>
        <v>#N/A Requesting Data...</v>
      </c>
      <c r="I1335" t="str">
        <f>_xll.BDS("506372EC Muni","MUNI_PURPOSE_SCHED", "aggregate=y")</f>
        <v>#N/A Requesting Data...</v>
      </c>
      <c r="J1335" t="str">
        <f>_xll.BDP("506372EC Muni","CPN")</f>
        <v>#N/A Requesting Data...</v>
      </c>
      <c r="K1335" t="str">
        <f>_xll.BDP("506372EC Muni","MATURITY")</f>
        <v>#N/A Requesting Data...</v>
      </c>
      <c r="L1335">
        <v>440000</v>
      </c>
      <c r="M1335" t="str">
        <f>_xll.BDP("506372EC Muni","YIELD_ON_ISSUE_DATE")</f>
        <v>#N/A Requesting Data...</v>
      </c>
      <c r="N1335" t="str">
        <f>_xll.BDP("506372EC Muni","YTW_SPREAD_TO_MATURITY_AT_ISSU")</f>
        <v>#N/A Requesting Data...</v>
      </c>
      <c r="O1335" t="str">
        <f>_xll.BDP("506372EC Muni","BVAL_MID_YTM")</f>
        <v>#N/A Requesting Data...</v>
      </c>
      <c r="P1335" t="str">
        <f>_xll.BDP("506372EC Muni","MUNI_TAX_PROV")</f>
        <v>#N/A Requesting Data...</v>
      </c>
      <c r="Q1335" t="str">
        <f>_xll.BDP("506372EC Muni","MUNI_FED_TAX")</f>
        <v>#N/A Requesting Data...</v>
      </c>
      <c r="R1335" t="str">
        <f>_xll.BDP("506372EC Muni","MUNI_MSRB_VOLUME")</f>
        <v>#N/A Requesting Data...</v>
      </c>
      <c r="S1335" t="str">
        <f>_xll.BDP("506372EC Muni","BB_COMPOSITE")</f>
        <v>#N/A Requesting Data...</v>
      </c>
      <c r="T1335" t="str">
        <f>_xll.BDP("506372EC Muni","LQA_LIQUIDITY_SCORE")</f>
        <v>#N/A Requesting Data...</v>
      </c>
    </row>
    <row r="1336" spans="1:20" x14ac:dyDescent="0.25">
      <c r="A1336" t="str">
        <f>_xll.BDP("506372ED Muni","ID_CUSIP")</f>
        <v>#N/A Requesting Data...</v>
      </c>
      <c r="B1336" t="s">
        <v>339</v>
      </c>
      <c r="C1336" t="str">
        <f>_xll.BDP("506372ED Muni","INSURANCE_STATUS")</f>
        <v>#N/A Requesting Data...</v>
      </c>
      <c r="D1336" t="str">
        <f>_xll.BDP("506372ED Muni","STATE_CODE")</f>
        <v>#N/A Requesting Data...</v>
      </c>
      <c r="E1336" t="str">
        <f>_xll.BDP("506372ED Muni","COUNTY_LOCATION_ISSUER")</f>
        <v>#N/A Requesting Data...</v>
      </c>
      <c r="F1336" t="str">
        <f>_xll.BDP("506372ED Muni","DUR_ADJ_MID")</f>
        <v>#N/A Requesting Data...</v>
      </c>
      <c r="G1336" t="str">
        <f>_xll.BDP("506372ED Muni","SPREAD_AT_ISSUANCE_TO_WORST")</f>
        <v>#N/A Requesting Data...</v>
      </c>
      <c r="H1336" t="str">
        <f>_xll.BDP("506372ED Muni","ISSUE_DT")</f>
        <v>#N/A Requesting Data...</v>
      </c>
      <c r="I1336" t="str">
        <f>_xll.BDS("506372ED Muni","MUNI_PURPOSE_SCHED", "aggregate=y")</f>
        <v>#N/A Requesting Data...</v>
      </c>
      <c r="J1336" t="str">
        <f>_xll.BDP("506372ED Muni","CPN")</f>
        <v>#N/A Requesting Data...</v>
      </c>
      <c r="K1336" t="str">
        <f>_xll.BDP("506372ED Muni","MATURITY")</f>
        <v>#N/A Requesting Data...</v>
      </c>
      <c r="L1336">
        <v>445000</v>
      </c>
      <c r="M1336" t="str">
        <f>_xll.BDP("506372ED Muni","YIELD_ON_ISSUE_DATE")</f>
        <v>#N/A Requesting Data...</v>
      </c>
      <c r="N1336" t="str">
        <f>_xll.BDP("506372ED Muni","YTW_SPREAD_TO_MATURITY_AT_ISSU")</f>
        <v>#N/A Requesting Data...</v>
      </c>
      <c r="O1336" t="str">
        <f>_xll.BDP("506372ED Muni","BVAL_MID_YTM")</f>
        <v>#N/A Requesting Data...</v>
      </c>
      <c r="P1336" t="str">
        <f>_xll.BDP("506372ED Muni","MUNI_TAX_PROV")</f>
        <v>#N/A Requesting Data...</v>
      </c>
      <c r="Q1336" t="str">
        <f>_xll.BDP("506372ED Muni","MUNI_FED_TAX")</f>
        <v>#N/A Requesting Data...</v>
      </c>
      <c r="R1336" t="str">
        <f>_xll.BDP("506372ED Muni","MUNI_MSRB_VOLUME")</f>
        <v>#N/A Requesting Data...</v>
      </c>
      <c r="S1336" t="str">
        <f>_xll.BDP("506372ED Muni","BB_COMPOSITE")</f>
        <v>#N/A Requesting Data...</v>
      </c>
      <c r="T1336" t="str">
        <f>_xll.BDP("506372ED Muni","LQA_LIQUIDITY_SCORE")</f>
        <v>#N/A Requesting Data...</v>
      </c>
    </row>
    <row r="1337" spans="1:20" x14ac:dyDescent="0.25">
      <c r="A1337" t="str">
        <f>_xll.BDP("506372EF Muni","ID_CUSIP")</f>
        <v>#N/A Requesting Data...</v>
      </c>
      <c r="B1337" t="s">
        <v>339</v>
      </c>
      <c r="C1337" t="str">
        <f>_xll.BDP("506372EF Muni","INSURANCE_STATUS")</f>
        <v>#N/A Requesting Data...</v>
      </c>
      <c r="D1337" t="str">
        <f>_xll.BDP("506372EF Muni","STATE_CODE")</f>
        <v>#N/A Requesting Data...</v>
      </c>
      <c r="E1337" t="str">
        <f>_xll.BDP("506372EF Muni","COUNTY_LOCATION_ISSUER")</f>
        <v>#N/A Requesting Data...</v>
      </c>
      <c r="F1337" t="str">
        <f>_xll.BDP("506372EF Muni","DUR_ADJ_MID")</f>
        <v>#N/A Requesting Data...</v>
      </c>
      <c r="G1337" t="str">
        <f>_xll.BDP("506372EF Muni","SPREAD_AT_ISSUANCE_TO_WORST")</f>
        <v>#N/A Requesting Data...</v>
      </c>
      <c r="H1337" t="str">
        <f>_xll.BDP("506372EF Muni","ISSUE_DT")</f>
        <v>#N/A Requesting Data...</v>
      </c>
      <c r="I1337" t="str">
        <f>_xll.BDS("506372EF Muni","MUNI_PURPOSE_SCHED", "aggregate=y")</f>
        <v>#N/A Requesting Data...</v>
      </c>
      <c r="J1337" t="str">
        <f>_xll.BDP("506372EF Muni","CPN")</f>
        <v>#N/A Requesting Data...</v>
      </c>
      <c r="K1337" t="str">
        <f>_xll.BDP("506372EF Muni","MATURITY")</f>
        <v>#N/A Requesting Data...</v>
      </c>
      <c r="L1337">
        <v>460000</v>
      </c>
      <c r="M1337" t="str">
        <f>_xll.BDP("506372EF Muni","YIELD_ON_ISSUE_DATE")</f>
        <v>#N/A Requesting Data...</v>
      </c>
      <c r="N1337" t="str">
        <f>_xll.BDP("506372EF Muni","YTW_SPREAD_TO_MATURITY_AT_ISSU")</f>
        <v>#N/A Requesting Data...</v>
      </c>
      <c r="O1337" t="str">
        <f>_xll.BDP("506372EF Muni","BVAL_MID_YTM")</f>
        <v>#N/A Requesting Data...</v>
      </c>
      <c r="P1337" t="str">
        <f>_xll.BDP("506372EF Muni","MUNI_TAX_PROV")</f>
        <v>#N/A Requesting Data...</v>
      </c>
      <c r="Q1337" t="str">
        <f>_xll.BDP("506372EF Muni","MUNI_FED_TAX")</f>
        <v>#N/A Requesting Data...</v>
      </c>
      <c r="R1337" t="str">
        <f>_xll.BDP("506372EF Muni","MUNI_MSRB_VOLUME")</f>
        <v>#N/A Requesting Data...</v>
      </c>
      <c r="S1337" t="str">
        <f>_xll.BDP("506372EF Muni","BB_COMPOSITE")</f>
        <v>#N/A Requesting Data...</v>
      </c>
      <c r="T1337" t="str">
        <f>_xll.BDP("506372EF Muni","LQA_LIQUIDITY_SCORE")</f>
        <v>#N/A Requesting Data...</v>
      </c>
    </row>
    <row r="1338" spans="1:20" x14ac:dyDescent="0.25">
      <c r="A1338" t="str">
        <f>_xll.BDP("506372EH Muni","ID_CUSIP")</f>
        <v>#N/A Requesting Data...</v>
      </c>
      <c r="B1338" t="s">
        <v>339</v>
      </c>
      <c r="C1338" t="str">
        <f>_xll.BDP("506372EH Muni","INSURANCE_STATUS")</f>
        <v>#N/A Requesting Data...</v>
      </c>
      <c r="D1338" t="str">
        <f>_xll.BDP("506372EH Muni","STATE_CODE")</f>
        <v>#N/A Requesting Data...</v>
      </c>
      <c r="E1338" t="str">
        <f>_xll.BDP("506372EH Muni","COUNTY_LOCATION_ISSUER")</f>
        <v>#N/A Requesting Data...</v>
      </c>
      <c r="F1338" t="str">
        <f>_xll.BDP("506372EH Muni","DUR_ADJ_MID")</f>
        <v>#N/A Requesting Data...</v>
      </c>
      <c r="G1338" t="str">
        <f>_xll.BDP("506372EH Muni","SPREAD_AT_ISSUANCE_TO_WORST")</f>
        <v>#N/A Requesting Data...</v>
      </c>
      <c r="H1338" t="str">
        <f>_xll.BDP("506372EH Muni","ISSUE_DT")</f>
        <v>#N/A Requesting Data...</v>
      </c>
      <c r="I1338" t="str">
        <f>_xll.BDS("506372EH Muni","MUNI_PURPOSE_SCHED", "aggregate=y")</f>
        <v>#N/A Requesting Data...</v>
      </c>
      <c r="J1338" t="str">
        <f>_xll.BDP("506372EH Muni","CPN")</f>
        <v>#N/A Requesting Data...</v>
      </c>
      <c r="K1338" t="str">
        <f>_xll.BDP("506372EH Muni","MATURITY")</f>
        <v>#N/A Requesting Data...</v>
      </c>
      <c r="L1338">
        <v>475000</v>
      </c>
      <c r="M1338" t="str">
        <f>_xll.BDP("506372EH Muni","YIELD_ON_ISSUE_DATE")</f>
        <v>#N/A Requesting Data...</v>
      </c>
      <c r="N1338" t="str">
        <f>_xll.BDP("506372EH Muni","YTW_SPREAD_TO_MATURITY_AT_ISSU")</f>
        <v>#N/A Requesting Data...</v>
      </c>
      <c r="O1338" t="str">
        <f>_xll.BDP("506372EH Muni","BVAL_MID_YTM")</f>
        <v>#N/A Requesting Data...</v>
      </c>
      <c r="P1338" t="str">
        <f>_xll.BDP("506372EH Muni","MUNI_TAX_PROV")</f>
        <v>#N/A Requesting Data...</v>
      </c>
      <c r="Q1338" t="str">
        <f>_xll.BDP("506372EH Muni","MUNI_FED_TAX")</f>
        <v>#N/A Requesting Data...</v>
      </c>
      <c r="R1338" t="str">
        <f>_xll.BDP("506372EH Muni","MUNI_MSRB_VOLUME")</f>
        <v>#N/A Requesting Data...</v>
      </c>
      <c r="S1338" t="str">
        <f>_xll.BDP("506372EH Muni","BB_COMPOSITE")</f>
        <v>#N/A Requesting Data...</v>
      </c>
      <c r="T1338" t="str">
        <f>_xll.BDP("506372EH Muni","LQA_LIQUIDITY_SCORE")</f>
        <v>#N/A Requesting Data...</v>
      </c>
    </row>
    <row r="1339" spans="1:20" x14ac:dyDescent="0.25">
      <c r="A1339" t="str">
        <f>_xll.BDP("506372DX Muni","ID_CUSIP")</f>
        <v>#N/A Requesting Data...</v>
      </c>
      <c r="B1339" t="s">
        <v>339</v>
      </c>
      <c r="C1339" t="str">
        <f>_xll.BDP("506372DX Muni","INSURANCE_STATUS")</f>
        <v>#N/A Requesting Data...</v>
      </c>
      <c r="D1339" t="str">
        <f>_xll.BDP("506372DX Muni","STATE_CODE")</f>
        <v>#N/A Requesting Data...</v>
      </c>
      <c r="E1339" t="str">
        <f>_xll.BDP("506372DX Muni","COUNTY_LOCATION_ISSUER")</f>
        <v>#N/A Requesting Data...</v>
      </c>
      <c r="F1339" t="str">
        <f>_xll.BDP("506372DX Muni","DUR_ADJ_MID")</f>
        <v>#N/A Requesting Data...</v>
      </c>
      <c r="G1339" t="str">
        <f>_xll.BDP("506372DX Muni","SPREAD_AT_ISSUANCE_TO_WORST")</f>
        <v>#N/A Requesting Data...</v>
      </c>
      <c r="H1339" t="str">
        <f>_xll.BDP("506372DX Muni","ISSUE_DT")</f>
        <v>#N/A Requesting Data...</v>
      </c>
      <c r="I1339" t="str">
        <f>_xll.BDS("506372DX Muni","MUNI_PURPOSE_SCHED", "aggregate=y")</f>
        <v>#N/A Requesting Data...</v>
      </c>
      <c r="J1339" t="str">
        <f>_xll.BDP("506372DX Muni","CPN")</f>
        <v>#N/A Requesting Data...</v>
      </c>
      <c r="K1339" t="str">
        <f>_xll.BDP("506372DX Muni","MATURITY")</f>
        <v>#N/A Requesting Data...</v>
      </c>
      <c r="L1339">
        <v>405000</v>
      </c>
      <c r="M1339" t="str">
        <f>_xll.BDP("506372DX Muni","YIELD_ON_ISSUE_DATE")</f>
        <v>#N/A Requesting Data...</v>
      </c>
      <c r="N1339" t="str">
        <f>_xll.BDP("506372DX Muni","YTW_SPREAD_TO_MATURITY_AT_ISSU")</f>
        <v>#N/A Requesting Data...</v>
      </c>
      <c r="O1339" t="str">
        <f>_xll.BDP("506372DX Muni","BVAL_MID_YTM")</f>
        <v>#N/A Requesting Data...</v>
      </c>
      <c r="P1339" t="str">
        <f>_xll.BDP("506372DX Muni","MUNI_TAX_PROV")</f>
        <v>#N/A Requesting Data...</v>
      </c>
      <c r="Q1339" t="str">
        <f>_xll.BDP("506372DX Muni","MUNI_FED_TAX")</f>
        <v>#N/A Requesting Data...</v>
      </c>
      <c r="R1339" t="str">
        <f>_xll.BDP("506372DX Muni","MUNI_MSRB_VOLUME")</f>
        <v>#N/A Requesting Data...</v>
      </c>
      <c r="S1339" t="str">
        <f>_xll.BDP("506372DX Muni","BB_COMPOSITE")</f>
        <v>#N/A Requesting Data...</v>
      </c>
      <c r="T1339" t="str">
        <f>_xll.BDP("506372DX Muni","LQA_LIQUIDITY_SCORE")</f>
        <v>#N/A Requesting Data...</v>
      </c>
    </row>
    <row r="1340" spans="1:20" x14ac:dyDescent="0.25">
      <c r="A1340" t="str">
        <f>_xll.BDP("506372DZ Muni","ID_CUSIP")</f>
        <v>#N/A Requesting Data...</v>
      </c>
      <c r="B1340" t="s">
        <v>339</v>
      </c>
      <c r="C1340" t="str">
        <f>_xll.BDP("506372DZ Muni","INSURANCE_STATUS")</f>
        <v>#N/A Requesting Data...</v>
      </c>
      <c r="D1340" t="str">
        <f>_xll.BDP("506372DZ Muni","STATE_CODE")</f>
        <v>#N/A Requesting Data...</v>
      </c>
      <c r="E1340" t="str">
        <f>_xll.BDP("506372DZ Muni","COUNTY_LOCATION_ISSUER")</f>
        <v>#N/A Requesting Data...</v>
      </c>
      <c r="F1340" t="str">
        <f>_xll.BDP("506372DZ Muni","DUR_ADJ_MID")</f>
        <v>#N/A Requesting Data...</v>
      </c>
      <c r="G1340" t="str">
        <f>_xll.BDP("506372DZ Muni","SPREAD_AT_ISSUANCE_TO_WORST")</f>
        <v>#N/A Requesting Data...</v>
      </c>
      <c r="H1340" t="str">
        <f>_xll.BDP("506372DZ Muni","ISSUE_DT")</f>
        <v>#N/A Requesting Data...</v>
      </c>
      <c r="I1340" t="str">
        <f>_xll.BDS("506372DZ Muni","MUNI_PURPOSE_SCHED", "aggregate=y")</f>
        <v>#N/A Requesting Data...</v>
      </c>
      <c r="J1340" t="str">
        <f>_xll.BDP("506372DZ Muni","CPN")</f>
        <v>#N/A Requesting Data...</v>
      </c>
      <c r="K1340" t="str">
        <f>_xll.BDP("506372DZ Muni","MATURITY")</f>
        <v>#N/A Requesting Data...</v>
      </c>
      <c r="L1340">
        <v>420000</v>
      </c>
      <c r="M1340" t="str">
        <f>_xll.BDP("506372DZ Muni","YIELD_ON_ISSUE_DATE")</f>
        <v>#N/A Requesting Data...</v>
      </c>
      <c r="N1340" t="str">
        <f>_xll.BDP("506372DZ Muni","YTW_SPREAD_TO_MATURITY_AT_ISSU")</f>
        <v>#N/A Requesting Data...</v>
      </c>
      <c r="O1340" t="str">
        <f>_xll.BDP("506372DZ Muni","BVAL_MID_YTM")</f>
        <v>#N/A Requesting Data...</v>
      </c>
      <c r="P1340" t="str">
        <f>_xll.BDP("506372DZ Muni","MUNI_TAX_PROV")</f>
        <v>#N/A Requesting Data...</v>
      </c>
      <c r="Q1340" t="str">
        <f>_xll.BDP("506372DZ Muni","MUNI_FED_TAX")</f>
        <v>#N/A Requesting Data...</v>
      </c>
      <c r="R1340" t="str">
        <f>_xll.BDP("506372DZ Muni","MUNI_MSRB_VOLUME")</f>
        <v>#N/A Requesting Data...</v>
      </c>
      <c r="S1340" t="str">
        <f>_xll.BDP("506372DZ Muni","BB_COMPOSITE")</f>
        <v>#N/A Requesting Data...</v>
      </c>
      <c r="T1340" t="str">
        <f>_xll.BDP("506372DZ Muni","LQA_LIQUIDITY_SCORE")</f>
        <v>#N/A Requesting Data...</v>
      </c>
    </row>
    <row r="1341" spans="1:20" x14ac:dyDescent="0.25">
      <c r="A1341" t="str">
        <f>_xll.BDP("506372EB Muni","ID_CUSIP")</f>
        <v>#N/A Requesting Data...</v>
      </c>
      <c r="B1341" t="s">
        <v>339</v>
      </c>
      <c r="C1341" t="str">
        <f>_xll.BDP("506372EB Muni","INSURANCE_STATUS")</f>
        <v>#N/A Requesting Data...</v>
      </c>
      <c r="D1341" t="str">
        <f>_xll.BDP("506372EB Muni","STATE_CODE")</f>
        <v>#N/A Requesting Data...</v>
      </c>
      <c r="E1341" t="str">
        <f>_xll.BDP("506372EB Muni","COUNTY_LOCATION_ISSUER")</f>
        <v>#N/A Requesting Data...</v>
      </c>
      <c r="F1341" t="str">
        <f>_xll.BDP("506372EB Muni","DUR_ADJ_MID")</f>
        <v>#N/A Requesting Data...</v>
      </c>
      <c r="G1341" t="str">
        <f>_xll.BDP("506372EB Muni","SPREAD_AT_ISSUANCE_TO_WORST")</f>
        <v>#N/A Requesting Data...</v>
      </c>
      <c r="H1341" t="str">
        <f>_xll.BDP("506372EB Muni","ISSUE_DT")</f>
        <v>#N/A Requesting Data...</v>
      </c>
      <c r="I1341" t="str">
        <f>_xll.BDS("506372EB Muni","MUNI_PURPOSE_SCHED", "aggregate=y")</f>
        <v>#N/A Requesting Data...</v>
      </c>
      <c r="J1341" t="str">
        <f>_xll.BDP("506372EB Muni","CPN")</f>
        <v>#N/A Requesting Data...</v>
      </c>
      <c r="K1341" t="str">
        <f>_xll.BDP("506372EB Muni","MATURITY")</f>
        <v>#N/A Requesting Data...</v>
      </c>
      <c r="L1341">
        <v>430000</v>
      </c>
      <c r="M1341" t="str">
        <f>_xll.BDP("506372EB Muni","YIELD_ON_ISSUE_DATE")</f>
        <v>#N/A Requesting Data...</v>
      </c>
      <c r="N1341" t="str">
        <f>_xll.BDP("506372EB Muni","YTW_SPREAD_TO_MATURITY_AT_ISSU")</f>
        <v>#N/A Requesting Data...</v>
      </c>
      <c r="O1341" t="str">
        <f>_xll.BDP("506372EB Muni","BVAL_MID_YTM")</f>
        <v>#N/A Requesting Data...</v>
      </c>
      <c r="P1341" t="str">
        <f>_xll.BDP("506372EB Muni","MUNI_TAX_PROV")</f>
        <v>#N/A Requesting Data...</v>
      </c>
      <c r="Q1341" t="str">
        <f>_xll.BDP("506372EB Muni","MUNI_FED_TAX")</f>
        <v>#N/A Requesting Data...</v>
      </c>
      <c r="R1341" t="str">
        <f>_xll.BDP("506372EB Muni","MUNI_MSRB_VOLUME")</f>
        <v>#N/A Requesting Data...</v>
      </c>
      <c r="S1341" t="str">
        <f>_xll.BDP("506372EB Muni","BB_COMPOSITE")</f>
        <v>#N/A Requesting Data...</v>
      </c>
      <c r="T1341" t="str">
        <f>_xll.BDP("506372EB Muni","LQA_LIQUIDITY_SCORE")</f>
        <v>#N/A Requesting Data...</v>
      </c>
    </row>
    <row r="1342" spans="1:20" x14ac:dyDescent="0.25">
      <c r="A1342" t="str">
        <f>_xll.BDP("506372EE Muni","ID_CUSIP")</f>
        <v>#N/A Requesting Data...</v>
      </c>
      <c r="B1342" t="s">
        <v>339</v>
      </c>
      <c r="C1342" t="str">
        <f>_xll.BDP("506372EE Muni","INSURANCE_STATUS")</f>
        <v>#N/A Requesting Data...</v>
      </c>
      <c r="D1342" t="str">
        <f>_xll.BDP("506372EE Muni","STATE_CODE")</f>
        <v>#N/A Requesting Data...</v>
      </c>
      <c r="E1342" t="str">
        <f>_xll.BDP("506372EE Muni","COUNTY_LOCATION_ISSUER")</f>
        <v>#N/A Requesting Data...</v>
      </c>
      <c r="F1342" t="str">
        <f>_xll.BDP("506372EE Muni","DUR_ADJ_MID")</f>
        <v>#N/A Requesting Data...</v>
      </c>
      <c r="G1342" t="str">
        <f>_xll.BDP("506372EE Muni","SPREAD_AT_ISSUANCE_TO_WORST")</f>
        <v>#N/A Requesting Data...</v>
      </c>
      <c r="H1342" t="str">
        <f>_xll.BDP("506372EE Muni","ISSUE_DT")</f>
        <v>#N/A Requesting Data...</v>
      </c>
      <c r="I1342" t="str">
        <f>_xll.BDS("506372EE Muni","MUNI_PURPOSE_SCHED", "aggregate=y")</f>
        <v>#N/A Requesting Data...</v>
      </c>
      <c r="J1342" t="str">
        <f>_xll.BDP("506372EE Muni","CPN")</f>
        <v>#N/A Requesting Data...</v>
      </c>
      <c r="K1342" t="str">
        <f>_xll.BDP("506372EE Muni","MATURITY")</f>
        <v>#N/A Requesting Data...</v>
      </c>
      <c r="L1342">
        <v>455000</v>
      </c>
      <c r="M1342" t="str">
        <f>_xll.BDP("506372EE Muni","YIELD_ON_ISSUE_DATE")</f>
        <v>#N/A Requesting Data...</v>
      </c>
      <c r="N1342" t="str">
        <f>_xll.BDP("506372EE Muni","YTW_SPREAD_TO_MATURITY_AT_ISSU")</f>
        <v>#N/A Requesting Data...</v>
      </c>
      <c r="O1342" t="str">
        <f>_xll.BDP("506372EE Muni","BVAL_MID_YTM")</f>
        <v>#N/A Requesting Data...</v>
      </c>
      <c r="P1342" t="str">
        <f>_xll.BDP("506372EE Muni","MUNI_TAX_PROV")</f>
        <v>#N/A Requesting Data...</v>
      </c>
      <c r="Q1342" t="str">
        <f>_xll.BDP("506372EE Muni","MUNI_FED_TAX")</f>
        <v>#N/A Requesting Data...</v>
      </c>
      <c r="R1342" t="str">
        <f>_xll.BDP("506372EE Muni","MUNI_MSRB_VOLUME")</f>
        <v>#N/A Requesting Data...</v>
      </c>
      <c r="S1342" t="str">
        <f>_xll.BDP("506372EE Muni","BB_COMPOSITE")</f>
        <v>#N/A Requesting Data...</v>
      </c>
      <c r="T1342" t="str">
        <f>_xll.BDP("506372EE Muni","LQA_LIQUIDITY_SCORE")</f>
        <v>#N/A Requesting Data...</v>
      </c>
    </row>
    <row r="1343" spans="1:20" x14ac:dyDescent="0.25">
      <c r="A1343" t="str">
        <f>_xll.BDP("489332HQ Muni","ID_CUSIP")</f>
        <v>#N/A Requesting Data...</v>
      </c>
      <c r="B1343" t="s">
        <v>341</v>
      </c>
      <c r="C1343" t="str">
        <f>_xll.BDP("489332HQ Muni","INSURANCE_STATUS")</f>
        <v>#N/A Requesting Data...</v>
      </c>
      <c r="D1343" t="str">
        <f>_xll.BDP("489332HQ Muni","STATE_CODE")</f>
        <v>#N/A Requesting Data...</v>
      </c>
      <c r="E1343" t="str">
        <f>_xll.BDP("489332HQ Muni","COUNTY_LOCATION_ISSUER")</f>
        <v>#N/A Requesting Data...</v>
      </c>
      <c r="F1343" t="str">
        <f>_xll.BDP("489332HQ Muni","DUR_ADJ_MID")</f>
        <v>#N/A Requesting Data...</v>
      </c>
      <c r="G1343" t="str">
        <f>_xll.BDP("489332HQ Muni","SPREAD_AT_ISSUANCE_TO_WORST")</f>
        <v>#N/A Requesting Data...</v>
      </c>
      <c r="H1343" t="str">
        <f>_xll.BDP("489332HQ Muni","ISSUE_DT")</f>
        <v>#N/A Requesting Data...</v>
      </c>
      <c r="I1343" t="str">
        <f>_xll.BDS("489332HQ Muni","MUNI_PURPOSE_SCHED", "aggregate=y")</f>
        <v>#N/A Requesting Data...</v>
      </c>
      <c r="J1343" t="str">
        <f>_xll.BDP("489332HQ Muni","CPN")</f>
        <v>#N/A Requesting Data...</v>
      </c>
      <c r="K1343" t="str">
        <f>_xll.BDP("489332HQ Muni","MATURITY")</f>
        <v>#N/A Requesting Data...</v>
      </c>
      <c r="L1343">
        <v>135000</v>
      </c>
      <c r="M1343" t="str">
        <f>_xll.BDP("489332HQ Muni","YIELD_ON_ISSUE_DATE")</f>
        <v>#N/A Requesting Data...</v>
      </c>
      <c r="N1343" t="str">
        <f>_xll.BDP("489332HQ Muni","YTW_SPREAD_TO_MATURITY_AT_ISSU")</f>
        <v>#N/A Requesting Data...</v>
      </c>
      <c r="O1343" t="str">
        <f>_xll.BDP("489332HQ Muni","BVAL_MID_YTM")</f>
        <v>#N/A Requesting Data...</v>
      </c>
      <c r="P1343" t="str">
        <f>_xll.BDP("489332HQ Muni","MUNI_TAX_PROV")</f>
        <v>#N/A Requesting Data...</v>
      </c>
      <c r="Q1343" t="str">
        <f>_xll.BDP("489332HQ Muni","MUNI_FED_TAX")</f>
        <v>#N/A Requesting Data...</v>
      </c>
      <c r="R1343" t="str">
        <f>_xll.BDP("489332HQ Muni","MUNI_MSRB_VOLUME")</f>
        <v>#N/A Requesting Data...</v>
      </c>
      <c r="S1343" t="str">
        <f>_xll.BDP("489332HQ Muni","BB_COMPOSITE")</f>
        <v>#N/A Requesting Data...</v>
      </c>
      <c r="T1343" t="str">
        <f>_xll.BDP("489332HQ Muni","LQA_LIQUIDITY_SCORE")</f>
        <v>#N/A Requesting Data...</v>
      </c>
    </row>
    <row r="1344" spans="1:20" x14ac:dyDescent="0.25">
      <c r="A1344" t="str">
        <f>_xll.BDP("489332HU Muni","ID_CUSIP")</f>
        <v>#N/A Requesting Data...</v>
      </c>
      <c r="B1344" t="s">
        <v>341</v>
      </c>
      <c r="C1344" t="str">
        <f>_xll.BDP("489332HU Muni","INSURANCE_STATUS")</f>
        <v>#N/A Requesting Data...</v>
      </c>
      <c r="D1344" t="str">
        <f>_xll.BDP("489332HU Muni","STATE_CODE")</f>
        <v>#N/A Requesting Data...</v>
      </c>
      <c r="E1344" t="str">
        <f>_xll.BDP("489332HU Muni","COUNTY_LOCATION_ISSUER")</f>
        <v>#N/A Requesting Data...</v>
      </c>
      <c r="F1344" t="str">
        <f>_xll.BDP("489332HU Muni","DUR_ADJ_MID")</f>
        <v>#N/A Requesting Data...</v>
      </c>
      <c r="G1344" t="str">
        <f>_xll.BDP("489332HU Muni","SPREAD_AT_ISSUANCE_TO_WORST")</f>
        <v>#N/A Requesting Data...</v>
      </c>
      <c r="H1344" t="str">
        <f>_xll.BDP("489332HU Muni","ISSUE_DT")</f>
        <v>#N/A Requesting Data...</v>
      </c>
      <c r="I1344" t="str">
        <f>_xll.BDS("489332HU Muni","MUNI_PURPOSE_SCHED", "aggregate=y")</f>
        <v>#N/A Requesting Data...</v>
      </c>
      <c r="J1344" t="str">
        <f>_xll.BDP("489332HU Muni","CPN")</f>
        <v>#N/A Requesting Data...</v>
      </c>
      <c r="K1344" t="str">
        <f>_xll.BDP("489332HU Muni","MATURITY")</f>
        <v>#N/A Requesting Data...</v>
      </c>
      <c r="L1344">
        <v>160000</v>
      </c>
      <c r="M1344" t="str">
        <f>_xll.BDP("489332HU Muni","YIELD_ON_ISSUE_DATE")</f>
        <v>#N/A Requesting Data...</v>
      </c>
      <c r="N1344" t="str">
        <f>_xll.BDP("489332HU Muni","YTW_SPREAD_TO_MATURITY_AT_ISSU")</f>
        <v>#N/A Requesting Data...</v>
      </c>
      <c r="O1344" t="str">
        <f>_xll.BDP("489332HU Muni","BVAL_MID_YTM")</f>
        <v>#N/A Requesting Data...</v>
      </c>
      <c r="P1344" t="str">
        <f>_xll.BDP("489332HU Muni","MUNI_TAX_PROV")</f>
        <v>#N/A Requesting Data...</v>
      </c>
      <c r="Q1344" t="str">
        <f>_xll.BDP("489332HU Muni","MUNI_FED_TAX")</f>
        <v>#N/A Requesting Data...</v>
      </c>
      <c r="R1344" t="str">
        <f>_xll.BDP("489332HU Muni","MUNI_MSRB_VOLUME")</f>
        <v>#N/A Requesting Data...</v>
      </c>
      <c r="S1344" t="str">
        <f>_xll.BDP("489332HU Muni","BB_COMPOSITE")</f>
        <v>#N/A Requesting Data...</v>
      </c>
      <c r="T1344" t="str">
        <f>_xll.BDP("489332HU Muni","LQA_LIQUIDITY_SCORE")</f>
        <v>#N/A Requesting Data...</v>
      </c>
    </row>
    <row r="1345" spans="1:20" x14ac:dyDescent="0.25">
      <c r="A1345" t="str">
        <f>_xll.BDP("489332HV Muni","ID_CUSIP")</f>
        <v>#N/A Requesting Data...</v>
      </c>
      <c r="B1345" t="s">
        <v>341</v>
      </c>
      <c r="C1345" t="str">
        <f>_xll.BDP("489332HV Muni","INSURANCE_STATUS")</f>
        <v>#N/A Requesting Data...</v>
      </c>
      <c r="D1345" t="str">
        <f>_xll.BDP("489332HV Muni","STATE_CODE")</f>
        <v>#N/A Requesting Data...</v>
      </c>
      <c r="E1345" t="str">
        <f>_xll.BDP("489332HV Muni","COUNTY_LOCATION_ISSUER")</f>
        <v>#N/A Requesting Data...</v>
      </c>
      <c r="F1345" t="str">
        <f>_xll.BDP("489332HV Muni","DUR_ADJ_MID")</f>
        <v>#N/A Requesting Data...</v>
      </c>
      <c r="G1345" t="str">
        <f>_xll.BDP("489332HV Muni","SPREAD_AT_ISSUANCE_TO_WORST")</f>
        <v>#N/A Requesting Data...</v>
      </c>
      <c r="H1345" t="str">
        <f>_xll.BDP("489332HV Muni","ISSUE_DT")</f>
        <v>#N/A Requesting Data...</v>
      </c>
      <c r="I1345" t="str">
        <f>_xll.BDS("489332HV Muni","MUNI_PURPOSE_SCHED", "aggregate=y")</f>
        <v>#N/A Requesting Data...</v>
      </c>
      <c r="J1345" t="str">
        <f>_xll.BDP("489332HV Muni","CPN")</f>
        <v>#N/A Requesting Data...</v>
      </c>
      <c r="K1345" t="str">
        <f>_xll.BDP("489332HV Muni","MATURITY")</f>
        <v>#N/A Requesting Data...</v>
      </c>
      <c r="L1345">
        <v>160000</v>
      </c>
      <c r="M1345" t="str">
        <f>_xll.BDP("489332HV Muni","YIELD_ON_ISSUE_DATE")</f>
        <v>#N/A Requesting Data...</v>
      </c>
      <c r="N1345" t="str">
        <f>_xll.BDP("489332HV Muni","YTW_SPREAD_TO_MATURITY_AT_ISSU")</f>
        <v>#N/A Requesting Data...</v>
      </c>
      <c r="O1345" t="str">
        <f>_xll.BDP("489332HV Muni","BVAL_MID_YTM")</f>
        <v>#N/A Requesting Data...</v>
      </c>
      <c r="P1345" t="str">
        <f>_xll.BDP("489332HV Muni","MUNI_TAX_PROV")</f>
        <v>#N/A Requesting Data...</v>
      </c>
      <c r="Q1345" t="str">
        <f>_xll.BDP("489332HV Muni","MUNI_FED_TAX")</f>
        <v>#N/A Requesting Data...</v>
      </c>
      <c r="R1345" t="str">
        <f>_xll.BDP("489332HV Muni","MUNI_MSRB_VOLUME")</f>
        <v>#N/A Requesting Data...</v>
      </c>
      <c r="S1345" t="str">
        <f>_xll.BDP("489332HV Muni","BB_COMPOSITE")</f>
        <v>#N/A Requesting Data...</v>
      </c>
      <c r="T1345" t="str">
        <f>_xll.BDP("489332HV Muni","LQA_LIQUIDITY_SCORE")</f>
        <v>#N/A Requesting Data...</v>
      </c>
    </row>
    <row r="1346" spans="1:20" x14ac:dyDescent="0.25">
      <c r="A1346" t="str">
        <f>_xll.BDP("489134PH Muni","ID_CUSIP")</f>
        <v>#N/A Requesting Data...</v>
      </c>
      <c r="B1346" t="s">
        <v>342</v>
      </c>
      <c r="C1346" t="str">
        <f>_xll.BDP("489134PH Muni","INSURANCE_STATUS")</f>
        <v>#N/A Requesting Data...</v>
      </c>
      <c r="D1346" t="str">
        <f>_xll.BDP("489134PH Muni","STATE_CODE")</f>
        <v>#N/A Requesting Data...</v>
      </c>
      <c r="E1346" t="str">
        <f>_xll.BDP("489134PH Muni","COUNTY_LOCATION_ISSUER")</f>
        <v>#N/A Requesting Data...</v>
      </c>
      <c r="F1346" t="str">
        <f>_xll.BDP("489134PH Muni","DUR_ADJ_MID")</f>
        <v>#N/A Requesting Data...</v>
      </c>
      <c r="G1346" t="str">
        <f>_xll.BDP("489134PH Muni","SPREAD_AT_ISSUANCE_TO_WORST")</f>
        <v>#N/A Requesting Data...</v>
      </c>
      <c r="H1346" t="str">
        <f>_xll.BDP("489134PH Muni","ISSUE_DT")</f>
        <v>#N/A Requesting Data...</v>
      </c>
      <c r="I1346" t="str">
        <f>_xll.BDS("489134PH Muni","MUNI_PURPOSE_SCHED", "aggregate=y")</f>
        <v>#N/A Requesting Data...</v>
      </c>
      <c r="J1346" t="str">
        <f>_xll.BDP("489134PH Muni","CPN")</f>
        <v>#N/A Requesting Data...</v>
      </c>
      <c r="K1346" t="str">
        <f>_xll.BDP("489134PH Muni","MATURITY")</f>
        <v>#N/A Requesting Data...</v>
      </c>
      <c r="L1346">
        <v>105000</v>
      </c>
      <c r="M1346" t="str">
        <f>_xll.BDP("489134PH Muni","YIELD_ON_ISSUE_DATE")</f>
        <v>#N/A Requesting Data...</v>
      </c>
      <c r="N1346" t="str">
        <f>_xll.BDP("489134PH Muni","YTW_SPREAD_TO_MATURITY_AT_ISSU")</f>
        <v>#N/A Requesting Data...</v>
      </c>
      <c r="O1346" t="str">
        <f>_xll.BDP("489134PH Muni","BVAL_MID_YTM")</f>
        <v>#N/A Requesting Data...</v>
      </c>
      <c r="P1346" t="str">
        <f>_xll.BDP("489134PH Muni","MUNI_TAX_PROV")</f>
        <v>#N/A Requesting Data...</v>
      </c>
      <c r="Q1346" t="str">
        <f>_xll.BDP("489134PH Muni","MUNI_FED_TAX")</f>
        <v>#N/A Requesting Data...</v>
      </c>
      <c r="R1346" t="str">
        <f>_xll.BDP("489134PH Muni","MUNI_MSRB_VOLUME")</f>
        <v>#N/A Requesting Data...</v>
      </c>
      <c r="S1346" t="str">
        <f>_xll.BDP("489134PH Muni","BB_COMPOSITE")</f>
        <v>#N/A Requesting Data...</v>
      </c>
      <c r="T1346" t="str">
        <f>_xll.BDP("489134PH Muni","LQA_LIQUIDITY_SCORE")</f>
        <v>#N/A Requesting Data...</v>
      </c>
    </row>
    <row r="1347" spans="1:20" x14ac:dyDescent="0.25">
      <c r="A1347" t="str">
        <f>_xll.BDP("53833PAG Muni","ID_CUSIP")</f>
        <v>#N/A Requesting Data...</v>
      </c>
      <c r="B1347" t="s">
        <v>343</v>
      </c>
      <c r="C1347" t="str">
        <f>_xll.BDP("53833PAG Muni","INSURANCE_STATUS")</f>
        <v>#N/A Requesting Data...</v>
      </c>
      <c r="D1347" t="str">
        <f>_xll.BDP("53833PAG Muni","STATE_CODE")</f>
        <v>#N/A Requesting Data...</v>
      </c>
      <c r="E1347" t="str">
        <f>_xll.BDP("53833PAG Muni","COUNTY_LOCATION_ISSUER")</f>
        <v>#N/A Requesting Data...</v>
      </c>
      <c r="F1347" t="str">
        <f>_xll.BDP("53833PAG Muni","DUR_ADJ_MID")</f>
        <v>#N/A Requesting Data...</v>
      </c>
      <c r="G1347" t="str">
        <f>_xll.BDP("53833PAG Muni","SPREAD_AT_ISSUANCE_TO_WORST")</f>
        <v>#N/A Requesting Data...</v>
      </c>
      <c r="H1347" t="str">
        <f>_xll.BDP("53833PAG Muni","ISSUE_DT")</f>
        <v>#N/A Requesting Data...</v>
      </c>
      <c r="I1347" t="str">
        <f>_xll.BDS("53833PAG Muni","MUNI_PURPOSE_SCHED", "aggregate=y")</f>
        <v>#N/A Requesting Data...</v>
      </c>
      <c r="J1347" t="str">
        <f>_xll.BDP("53833PAG Muni","CPN")</f>
        <v>#N/A Requesting Data...</v>
      </c>
      <c r="K1347" t="str">
        <f>_xll.BDP("53833PAG Muni","MATURITY")</f>
        <v>#N/A Requesting Data...</v>
      </c>
      <c r="L1347">
        <v>1770000</v>
      </c>
      <c r="M1347" t="str">
        <f>_xll.BDP("53833PAG Muni","YIELD_ON_ISSUE_DATE")</f>
        <v>#N/A Requesting Data...</v>
      </c>
      <c r="N1347" t="str">
        <f>_xll.BDP("53833PAG Muni","YTW_SPREAD_TO_MATURITY_AT_ISSU")</f>
        <v>#N/A Requesting Data...</v>
      </c>
      <c r="O1347" t="str">
        <f>_xll.BDP("53833PAG Muni","BVAL_MID_YTM")</f>
        <v>#N/A Requesting Data...</v>
      </c>
      <c r="P1347" t="str">
        <f>_xll.BDP("53833PAG Muni","MUNI_TAX_PROV")</f>
        <v>#N/A Requesting Data...</v>
      </c>
      <c r="Q1347" t="str">
        <f>_xll.BDP("53833PAG Muni","MUNI_FED_TAX")</f>
        <v>#N/A Requesting Data...</v>
      </c>
      <c r="R1347" t="str">
        <f>_xll.BDP("53833PAG Muni","MUNI_MSRB_VOLUME")</f>
        <v>#N/A Requesting Data...</v>
      </c>
      <c r="S1347" t="str">
        <f>_xll.BDP("53833PAG Muni","BB_COMPOSITE")</f>
        <v>#N/A Requesting Data...</v>
      </c>
      <c r="T1347" t="str">
        <f>_xll.BDP("53833PAG Muni","LQA_LIQUIDITY_SCORE")</f>
        <v>#N/A Requesting Data...</v>
      </c>
    </row>
    <row r="1348" spans="1:20" x14ac:dyDescent="0.25">
      <c r="A1348" t="str">
        <f>_xll.BDP("535783KL Muni","ID_CUSIP")</f>
        <v>#N/A Requesting Data...</v>
      </c>
      <c r="B1348" t="s">
        <v>296</v>
      </c>
      <c r="C1348" t="str">
        <f>_xll.BDP("535783KL Muni","INSURANCE_STATUS")</f>
        <v>#N/A Requesting Data...</v>
      </c>
      <c r="D1348" t="str">
        <f>_xll.BDP("535783KL Muni","STATE_CODE")</f>
        <v>#N/A Requesting Data...</v>
      </c>
      <c r="E1348" t="str">
        <f>_xll.BDP("535783KL Muni","COUNTY_LOCATION_ISSUER")</f>
        <v>#N/A Requesting Data...</v>
      </c>
      <c r="F1348" t="str">
        <f>_xll.BDP("535783KL Muni","DUR_ADJ_MID")</f>
        <v>#N/A Requesting Data...</v>
      </c>
      <c r="G1348" t="str">
        <f>_xll.BDP("535783KL Muni","SPREAD_AT_ISSUANCE_TO_WORST")</f>
        <v>#N/A Requesting Data...</v>
      </c>
      <c r="H1348" t="str">
        <f>_xll.BDP("535783KL Muni","ISSUE_DT")</f>
        <v>#N/A Requesting Data...</v>
      </c>
      <c r="I1348" t="str">
        <f>_xll.BDS("535783KL Muni","MUNI_PURPOSE_SCHED", "aggregate=y")</f>
        <v>#N/A Requesting Data...</v>
      </c>
      <c r="J1348" t="str">
        <f>_xll.BDP("535783KL Muni","CPN")</f>
        <v>#N/A Requesting Data...</v>
      </c>
      <c r="K1348" t="str">
        <f>_xll.BDP("535783KL Muni","MATURITY")</f>
        <v>#N/A Requesting Data...</v>
      </c>
      <c r="L1348">
        <v>230000</v>
      </c>
      <c r="M1348" t="str">
        <f>_xll.BDP("535783KL Muni","YIELD_ON_ISSUE_DATE")</f>
        <v>#N/A Requesting Data...</v>
      </c>
      <c r="N1348" t="str">
        <f>_xll.BDP("535783KL Muni","YTW_SPREAD_TO_MATURITY_AT_ISSU")</f>
        <v>#N/A Requesting Data...</v>
      </c>
      <c r="O1348" t="str">
        <f>_xll.BDP("535783KL Muni","BVAL_MID_YTM")</f>
        <v>#N/A Requesting Data...</v>
      </c>
      <c r="P1348" t="str">
        <f>_xll.BDP("535783KL Muni","MUNI_TAX_PROV")</f>
        <v>#N/A Requesting Data...</v>
      </c>
      <c r="Q1348" t="str">
        <f>_xll.BDP("535783KL Muni","MUNI_FED_TAX")</f>
        <v>#N/A Requesting Data...</v>
      </c>
      <c r="R1348" t="str">
        <f>_xll.BDP("535783KL Muni","MUNI_MSRB_VOLUME")</f>
        <v>#N/A Requesting Data...</v>
      </c>
      <c r="S1348" t="str">
        <f>_xll.BDP("535783KL Muni","BB_COMPOSITE")</f>
        <v>#N/A Requesting Data...</v>
      </c>
      <c r="T1348" t="str">
        <f>_xll.BDP("535783KL Muni","LQA_LIQUIDITY_SCORE")</f>
        <v>#N/A Requesting Data...</v>
      </c>
    </row>
    <row r="1349" spans="1:20" x14ac:dyDescent="0.25">
      <c r="A1349" t="str">
        <f>_xll.BDP("535783KN Muni","ID_CUSIP")</f>
        <v>#N/A Requesting Data...</v>
      </c>
      <c r="B1349" t="s">
        <v>296</v>
      </c>
      <c r="C1349" t="str">
        <f>_xll.BDP("535783KN Muni","INSURANCE_STATUS")</f>
        <v>#N/A Requesting Data...</v>
      </c>
      <c r="D1349" t="str">
        <f>_xll.BDP("535783KN Muni","STATE_CODE")</f>
        <v>#N/A Requesting Data...</v>
      </c>
      <c r="E1349" t="str">
        <f>_xll.BDP("535783KN Muni","COUNTY_LOCATION_ISSUER")</f>
        <v>#N/A Requesting Data...</v>
      </c>
      <c r="F1349" t="str">
        <f>_xll.BDP("535783KN Muni","DUR_ADJ_MID")</f>
        <v>#N/A Requesting Data...</v>
      </c>
      <c r="G1349" t="str">
        <f>_xll.BDP("535783KN Muni","SPREAD_AT_ISSUANCE_TO_WORST")</f>
        <v>#N/A Requesting Data...</v>
      </c>
      <c r="H1349" t="str">
        <f>_xll.BDP("535783KN Muni","ISSUE_DT")</f>
        <v>#N/A Requesting Data...</v>
      </c>
      <c r="I1349" t="str">
        <f>_xll.BDS("535783KN Muni","MUNI_PURPOSE_SCHED", "aggregate=y")</f>
        <v>#N/A Requesting Data...</v>
      </c>
      <c r="J1349" t="str">
        <f>_xll.BDP("535783KN Muni","CPN")</f>
        <v>#N/A Requesting Data...</v>
      </c>
      <c r="K1349" t="str">
        <f>_xll.BDP("535783KN Muni","MATURITY")</f>
        <v>#N/A Requesting Data...</v>
      </c>
      <c r="L1349">
        <v>245000</v>
      </c>
      <c r="M1349" t="str">
        <f>_xll.BDP("535783KN Muni","YIELD_ON_ISSUE_DATE")</f>
        <v>#N/A Requesting Data...</v>
      </c>
      <c r="N1349" t="str">
        <f>_xll.BDP("535783KN Muni","YTW_SPREAD_TO_MATURITY_AT_ISSU")</f>
        <v>#N/A Requesting Data...</v>
      </c>
      <c r="O1349" t="str">
        <f>_xll.BDP("535783KN Muni","BVAL_MID_YTM")</f>
        <v>#N/A Requesting Data...</v>
      </c>
      <c r="P1349" t="str">
        <f>_xll.BDP("535783KN Muni","MUNI_TAX_PROV")</f>
        <v>#N/A Requesting Data...</v>
      </c>
      <c r="Q1349" t="str">
        <f>_xll.BDP("535783KN Muni","MUNI_FED_TAX")</f>
        <v>#N/A Requesting Data...</v>
      </c>
      <c r="R1349" t="str">
        <f>_xll.BDP("535783KN Muni","MUNI_MSRB_VOLUME")</f>
        <v>#N/A Requesting Data...</v>
      </c>
      <c r="S1349" t="str">
        <f>_xll.BDP("535783KN Muni","BB_COMPOSITE")</f>
        <v>#N/A Requesting Data...</v>
      </c>
      <c r="T1349" t="str">
        <f>_xll.BDP("535783KN Muni","LQA_LIQUIDITY_SCORE")</f>
        <v>#N/A Requesting Data...</v>
      </c>
    </row>
    <row r="1350" spans="1:20" x14ac:dyDescent="0.25">
      <c r="A1350" t="str">
        <f>_xll.BDP("536060QL Muni","ID_CUSIP")</f>
        <v>#N/A Requesting Data...</v>
      </c>
      <c r="B1350" t="s">
        <v>297</v>
      </c>
      <c r="C1350" t="str">
        <f>_xll.BDP("536060QL Muni","INSURANCE_STATUS")</f>
        <v>#N/A Requesting Data...</v>
      </c>
      <c r="D1350" t="str">
        <f>_xll.BDP("536060QL Muni","STATE_CODE")</f>
        <v>#N/A Requesting Data...</v>
      </c>
      <c r="E1350" t="str">
        <f>_xll.BDP("536060QL Muni","COUNTY_LOCATION_ISSUER")</f>
        <v>#N/A Requesting Data...</v>
      </c>
      <c r="F1350" t="str">
        <f>_xll.BDP("536060QL Muni","DUR_ADJ_MID")</f>
        <v>#N/A Requesting Data...</v>
      </c>
      <c r="G1350" t="str">
        <f>_xll.BDP("536060QL Muni","SPREAD_AT_ISSUANCE_TO_WORST")</f>
        <v>#N/A Requesting Data...</v>
      </c>
      <c r="H1350" t="str">
        <f>_xll.BDP("536060QL Muni","ISSUE_DT")</f>
        <v>#N/A Requesting Data...</v>
      </c>
      <c r="I1350" t="str">
        <f>_xll.BDS("536060QL Muni","MUNI_PURPOSE_SCHED", "aggregate=y")</f>
        <v>#N/A Requesting Data...</v>
      </c>
      <c r="J1350" t="str">
        <f>_xll.BDP("536060QL Muni","CPN")</f>
        <v>#N/A Requesting Data...</v>
      </c>
      <c r="K1350" t="str">
        <f>_xll.BDP("536060QL Muni","MATURITY")</f>
        <v>#N/A Requesting Data...</v>
      </c>
      <c r="L1350">
        <v>410000</v>
      </c>
      <c r="M1350" t="str">
        <f>_xll.BDP("536060QL Muni","YIELD_ON_ISSUE_DATE")</f>
        <v>#N/A Requesting Data...</v>
      </c>
      <c r="N1350" t="str">
        <f>_xll.BDP("536060QL Muni","YTW_SPREAD_TO_MATURITY_AT_ISSU")</f>
        <v>#N/A Requesting Data...</v>
      </c>
      <c r="O1350" t="str">
        <f>_xll.BDP("536060QL Muni","BVAL_MID_YTM")</f>
        <v>#N/A Requesting Data...</v>
      </c>
      <c r="P1350" t="str">
        <f>_xll.BDP("536060QL Muni","MUNI_TAX_PROV")</f>
        <v>#N/A Requesting Data...</v>
      </c>
      <c r="Q1350" t="str">
        <f>_xll.BDP("536060QL Muni","MUNI_FED_TAX")</f>
        <v>#N/A Requesting Data...</v>
      </c>
      <c r="R1350" t="str">
        <f>_xll.BDP("536060QL Muni","MUNI_MSRB_VOLUME")</f>
        <v>#N/A Requesting Data...</v>
      </c>
      <c r="S1350" t="str">
        <f>_xll.BDP("536060QL Muni","BB_COMPOSITE")</f>
        <v>#N/A Requesting Data...</v>
      </c>
      <c r="T1350" t="str">
        <f>_xll.BDP("536060QL Muni","LQA_LIQUIDITY_SCORE")</f>
        <v>#N/A Requesting Data...</v>
      </c>
    </row>
    <row r="1351" spans="1:20" x14ac:dyDescent="0.25">
      <c r="A1351" t="str">
        <f>_xll.BDP("536060QQ Muni","ID_CUSIP")</f>
        <v>#N/A Requesting Data...</v>
      </c>
      <c r="B1351" t="s">
        <v>297</v>
      </c>
      <c r="C1351" t="str">
        <f>_xll.BDP("536060QQ Muni","INSURANCE_STATUS")</f>
        <v>#N/A Requesting Data...</v>
      </c>
      <c r="D1351" t="str">
        <f>_xll.BDP("536060QQ Muni","STATE_CODE")</f>
        <v>#N/A Requesting Data...</v>
      </c>
      <c r="E1351" t="str">
        <f>_xll.BDP("536060QQ Muni","COUNTY_LOCATION_ISSUER")</f>
        <v>#N/A Requesting Data...</v>
      </c>
      <c r="F1351" t="str">
        <f>_xll.BDP("536060QQ Muni","DUR_ADJ_MID")</f>
        <v>#N/A Requesting Data...</v>
      </c>
      <c r="G1351" t="str">
        <f>_xll.BDP("536060QQ Muni","SPREAD_AT_ISSUANCE_TO_WORST")</f>
        <v>#N/A Requesting Data...</v>
      </c>
      <c r="H1351" t="str">
        <f>_xll.BDP("536060QQ Muni","ISSUE_DT")</f>
        <v>#N/A Requesting Data...</v>
      </c>
      <c r="I1351" t="str">
        <f>_xll.BDS("536060QQ Muni","MUNI_PURPOSE_SCHED", "aggregate=y")</f>
        <v>#N/A Requesting Data...</v>
      </c>
      <c r="J1351" t="str">
        <f>_xll.BDP("536060QQ Muni","CPN")</f>
        <v>#N/A Requesting Data...</v>
      </c>
      <c r="K1351" t="str">
        <f>_xll.BDP("536060QQ Muni","MATURITY")</f>
        <v>#N/A Requesting Data...</v>
      </c>
      <c r="L1351">
        <v>490000</v>
      </c>
      <c r="M1351" t="str">
        <f>_xll.BDP("536060QQ Muni","YIELD_ON_ISSUE_DATE")</f>
        <v>#N/A Requesting Data...</v>
      </c>
      <c r="N1351" t="str">
        <f>_xll.BDP("536060QQ Muni","YTW_SPREAD_TO_MATURITY_AT_ISSU")</f>
        <v>#N/A Requesting Data...</v>
      </c>
      <c r="O1351" t="str">
        <f>_xll.BDP("536060QQ Muni","BVAL_MID_YTM")</f>
        <v>#N/A Requesting Data...</v>
      </c>
      <c r="P1351" t="str">
        <f>_xll.BDP("536060QQ Muni","MUNI_TAX_PROV")</f>
        <v>#N/A Requesting Data...</v>
      </c>
      <c r="Q1351" t="str">
        <f>_xll.BDP("536060QQ Muni","MUNI_FED_TAX")</f>
        <v>#N/A Requesting Data...</v>
      </c>
      <c r="R1351" t="str">
        <f>_xll.BDP("536060QQ Muni","MUNI_MSRB_VOLUME")</f>
        <v>#N/A Requesting Data...</v>
      </c>
      <c r="S1351" t="str">
        <f>_xll.BDP("536060QQ Muni","BB_COMPOSITE")</f>
        <v>#N/A Requesting Data...</v>
      </c>
      <c r="T1351" t="str">
        <f>_xll.BDP("536060QQ Muni","LQA_LIQUIDITY_SCORE")</f>
        <v>#N/A Requesting Data...</v>
      </c>
    </row>
    <row r="1352" spans="1:20" x14ac:dyDescent="0.25">
      <c r="A1352" t="str">
        <f>_xll.BDP("53833PAF Muni","ID_CUSIP")</f>
        <v>#N/A Requesting Data...</v>
      </c>
      <c r="B1352" t="s">
        <v>343</v>
      </c>
      <c r="C1352" t="str">
        <f>_xll.BDP("53833PAF Muni","INSURANCE_STATUS")</f>
        <v>#N/A Requesting Data...</v>
      </c>
      <c r="D1352" t="str">
        <f>_xll.BDP("53833PAF Muni","STATE_CODE")</f>
        <v>#N/A Requesting Data...</v>
      </c>
      <c r="E1352" t="str">
        <f>_xll.BDP("53833PAF Muni","COUNTY_LOCATION_ISSUER")</f>
        <v>#N/A Requesting Data...</v>
      </c>
      <c r="F1352" t="str">
        <f>_xll.BDP("53833PAF Muni","DUR_ADJ_MID")</f>
        <v>#N/A Requesting Data...</v>
      </c>
      <c r="G1352" t="str">
        <f>_xll.BDP("53833PAF Muni","SPREAD_AT_ISSUANCE_TO_WORST")</f>
        <v>#N/A Requesting Data...</v>
      </c>
      <c r="H1352" t="str">
        <f>_xll.BDP("53833PAF Muni","ISSUE_DT")</f>
        <v>#N/A Requesting Data...</v>
      </c>
      <c r="I1352" t="str">
        <f>_xll.BDS("53833PAF Muni","MUNI_PURPOSE_SCHED", "aggregate=y")</f>
        <v>#N/A Requesting Data...</v>
      </c>
      <c r="J1352" t="str">
        <f>_xll.BDP("53833PAF Muni","CPN")</f>
        <v>#N/A Requesting Data...</v>
      </c>
      <c r="K1352" t="str">
        <f>_xll.BDP("53833PAF Muni","MATURITY")</f>
        <v>#N/A Requesting Data...</v>
      </c>
      <c r="L1352">
        <v>1680000</v>
      </c>
      <c r="M1352" t="str">
        <f>_xll.BDP("53833PAF Muni","YIELD_ON_ISSUE_DATE")</f>
        <v>#N/A Requesting Data...</v>
      </c>
      <c r="N1352" t="str">
        <f>_xll.BDP("53833PAF Muni","YTW_SPREAD_TO_MATURITY_AT_ISSU")</f>
        <v>#N/A Requesting Data...</v>
      </c>
      <c r="O1352" t="str">
        <f>_xll.BDP("53833PAF Muni","BVAL_MID_YTM")</f>
        <v>#N/A Requesting Data...</v>
      </c>
      <c r="P1352" t="str">
        <f>_xll.BDP("53833PAF Muni","MUNI_TAX_PROV")</f>
        <v>#N/A Requesting Data...</v>
      </c>
      <c r="Q1352" t="str">
        <f>_xll.BDP("53833PAF Muni","MUNI_FED_TAX")</f>
        <v>#N/A Requesting Data...</v>
      </c>
      <c r="R1352" t="str">
        <f>_xll.BDP("53833PAF Muni","MUNI_MSRB_VOLUME")</f>
        <v>#N/A Requesting Data...</v>
      </c>
      <c r="S1352" t="str">
        <f>_xll.BDP("53833PAF Muni","BB_COMPOSITE")</f>
        <v>#N/A Requesting Data...</v>
      </c>
      <c r="T1352" t="str">
        <f>_xll.BDP("53833PAF Muni","LQA_LIQUIDITY_SCORE")</f>
        <v>#N/A Requesting Data...</v>
      </c>
    </row>
    <row r="1353" spans="1:20" x14ac:dyDescent="0.25">
      <c r="A1353" t="str">
        <f>_xll.BDP("53833PAH Muni","ID_CUSIP")</f>
        <v>#N/A Requesting Data...</v>
      </c>
      <c r="B1353" t="s">
        <v>343</v>
      </c>
      <c r="C1353" t="str">
        <f>_xll.BDP("53833PAH Muni","INSURANCE_STATUS")</f>
        <v>#N/A Requesting Data...</v>
      </c>
      <c r="D1353" t="str">
        <f>_xll.BDP("53833PAH Muni","STATE_CODE")</f>
        <v>#N/A Requesting Data...</v>
      </c>
      <c r="E1353" t="str">
        <f>_xll.BDP("53833PAH Muni","COUNTY_LOCATION_ISSUER")</f>
        <v>#N/A Requesting Data...</v>
      </c>
      <c r="F1353" t="str">
        <f>_xll.BDP("53833PAH Muni","DUR_ADJ_MID")</f>
        <v>#N/A Requesting Data...</v>
      </c>
      <c r="G1353" t="str">
        <f>_xll.BDP("53833PAH Muni","SPREAD_AT_ISSUANCE_TO_WORST")</f>
        <v>#N/A Requesting Data...</v>
      </c>
      <c r="H1353" t="str">
        <f>_xll.BDP("53833PAH Muni","ISSUE_DT")</f>
        <v>#N/A Requesting Data...</v>
      </c>
      <c r="I1353" t="str">
        <f>_xll.BDS("53833PAH Muni","MUNI_PURPOSE_SCHED", "aggregate=y")</f>
        <v>#N/A Requesting Data...</v>
      </c>
      <c r="J1353" t="str">
        <f>_xll.BDP("53833PAH Muni","CPN")</f>
        <v>#N/A Requesting Data...</v>
      </c>
      <c r="K1353" t="str">
        <f>_xll.BDP("53833PAH Muni","MATURITY")</f>
        <v>#N/A Requesting Data...</v>
      </c>
      <c r="L1353">
        <v>1855000</v>
      </c>
      <c r="M1353" t="str">
        <f>_xll.BDP("53833PAH Muni","YIELD_ON_ISSUE_DATE")</f>
        <v>#N/A Requesting Data...</v>
      </c>
      <c r="N1353" t="str">
        <f>_xll.BDP("53833PAH Muni","YTW_SPREAD_TO_MATURITY_AT_ISSU")</f>
        <v>#N/A Requesting Data...</v>
      </c>
      <c r="O1353" t="str">
        <f>_xll.BDP("53833PAH Muni","BVAL_MID_YTM")</f>
        <v>#N/A Requesting Data...</v>
      </c>
      <c r="P1353" t="str">
        <f>_xll.BDP("53833PAH Muni","MUNI_TAX_PROV")</f>
        <v>#N/A Requesting Data...</v>
      </c>
      <c r="Q1353" t="str">
        <f>_xll.BDP("53833PAH Muni","MUNI_FED_TAX")</f>
        <v>#N/A Requesting Data...</v>
      </c>
      <c r="R1353" t="str">
        <f>_xll.BDP("53833PAH Muni","MUNI_MSRB_VOLUME")</f>
        <v>#N/A Requesting Data...</v>
      </c>
      <c r="S1353" t="str">
        <f>_xll.BDP("53833PAH Muni","BB_COMPOSITE")</f>
        <v>#N/A Requesting Data...</v>
      </c>
      <c r="T1353" t="str">
        <f>_xll.BDP("53833PAH Muni","LQA_LIQUIDITY_SCORE")</f>
        <v>#N/A Requesting Data...</v>
      </c>
    </row>
    <row r="1354" spans="1:20" x14ac:dyDescent="0.25">
      <c r="A1354" t="str">
        <f>_xll.BDP("53833PAE Muni","ID_CUSIP")</f>
        <v>#N/A Requesting Data...</v>
      </c>
      <c r="B1354" t="s">
        <v>343</v>
      </c>
      <c r="C1354" t="str">
        <f>_xll.BDP("53833PAE Muni","INSURANCE_STATUS")</f>
        <v>#N/A Requesting Data...</v>
      </c>
      <c r="D1354" t="str">
        <f>_xll.BDP("53833PAE Muni","STATE_CODE")</f>
        <v>#N/A Requesting Data...</v>
      </c>
      <c r="E1354" t="str">
        <f>_xll.BDP("53833PAE Muni","COUNTY_LOCATION_ISSUER")</f>
        <v>#N/A Requesting Data...</v>
      </c>
      <c r="F1354" t="str">
        <f>_xll.BDP("53833PAE Muni","DUR_ADJ_MID")</f>
        <v>#N/A Requesting Data...</v>
      </c>
      <c r="G1354" t="str">
        <f>_xll.BDP("53833PAE Muni","SPREAD_AT_ISSUANCE_TO_WORST")</f>
        <v>#N/A Requesting Data...</v>
      </c>
      <c r="H1354" t="str">
        <f>_xll.BDP("53833PAE Muni","ISSUE_DT")</f>
        <v>#N/A Requesting Data...</v>
      </c>
      <c r="I1354" t="str">
        <f>_xll.BDS("53833PAE Muni","MUNI_PURPOSE_SCHED", "aggregate=y")</f>
        <v>#N/A Requesting Data...</v>
      </c>
      <c r="J1354" t="str">
        <f>_xll.BDP("53833PAE Muni","CPN")</f>
        <v>#N/A Requesting Data...</v>
      </c>
      <c r="K1354" t="str">
        <f>_xll.BDP("53833PAE Muni","MATURITY")</f>
        <v>#N/A Requesting Data...</v>
      </c>
      <c r="L1354">
        <v>1595000</v>
      </c>
      <c r="M1354" t="str">
        <f>_xll.BDP("53833PAE Muni","YIELD_ON_ISSUE_DATE")</f>
        <v>#N/A Requesting Data...</v>
      </c>
      <c r="N1354" t="str">
        <f>_xll.BDP("53833PAE Muni","YTW_SPREAD_TO_MATURITY_AT_ISSU")</f>
        <v>#N/A Requesting Data...</v>
      </c>
      <c r="O1354" t="str">
        <f>_xll.BDP("53833PAE Muni","BVAL_MID_YTM")</f>
        <v>#N/A Requesting Data...</v>
      </c>
      <c r="P1354" t="str">
        <f>_xll.BDP("53833PAE Muni","MUNI_TAX_PROV")</f>
        <v>#N/A Requesting Data...</v>
      </c>
      <c r="Q1354" t="str">
        <f>_xll.BDP("53833PAE Muni","MUNI_FED_TAX")</f>
        <v>#N/A Requesting Data...</v>
      </c>
      <c r="R1354" t="str">
        <f>_xll.BDP("53833PAE Muni","MUNI_MSRB_VOLUME")</f>
        <v>#N/A Requesting Data...</v>
      </c>
      <c r="S1354" t="str">
        <f>_xll.BDP("53833PAE Muni","BB_COMPOSITE")</f>
        <v>#N/A Requesting Data...</v>
      </c>
      <c r="T1354" t="str">
        <f>_xll.BDP("53833PAE Muni","LQA_LIQUIDITY_SCORE")</f>
        <v>#N/A Requesting Data...</v>
      </c>
    </row>
    <row r="1355" spans="1:20" x14ac:dyDescent="0.25">
      <c r="A1355" t="str">
        <f>_xll.BDP("53833PAJ Muni","ID_CUSIP")</f>
        <v>#N/A Requesting Data...</v>
      </c>
      <c r="B1355" t="s">
        <v>343</v>
      </c>
      <c r="C1355" t="str">
        <f>_xll.BDP("53833PAJ Muni","INSURANCE_STATUS")</f>
        <v>#N/A Requesting Data...</v>
      </c>
      <c r="D1355" t="str">
        <f>_xll.BDP("53833PAJ Muni","STATE_CODE")</f>
        <v>#N/A Requesting Data...</v>
      </c>
      <c r="E1355" t="str">
        <f>_xll.BDP("53833PAJ Muni","COUNTY_LOCATION_ISSUER")</f>
        <v>#N/A Requesting Data...</v>
      </c>
      <c r="F1355" t="str">
        <f>_xll.BDP("53833PAJ Muni","DUR_ADJ_MID")</f>
        <v>#N/A Requesting Data...</v>
      </c>
      <c r="G1355" t="str">
        <f>_xll.BDP("53833PAJ Muni","SPREAD_AT_ISSUANCE_TO_WORST")</f>
        <v>#N/A Requesting Data...</v>
      </c>
      <c r="H1355" t="str">
        <f>_xll.BDP("53833PAJ Muni","ISSUE_DT")</f>
        <v>#N/A Requesting Data...</v>
      </c>
      <c r="I1355" t="str">
        <f>_xll.BDS("53833PAJ Muni","MUNI_PURPOSE_SCHED", "aggregate=y")</f>
        <v>#N/A Requesting Data...</v>
      </c>
      <c r="J1355" t="str">
        <f>_xll.BDP("53833PAJ Muni","CPN")</f>
        <v>#N/A Requesting Data...</v>
      </c>
      <c r="K1355" t="str">
        <f>_xll.BDP("53833PAJ Muni","MATURITY")</f>
        <v>#N/A Requesting Data...</v>
      </c>
      <c r="L1355">
        <v>1955000</v>
      </c>
      <c r="M1355" t="str">
        <f>_xll.BDP("53833PAJ Muni","YIELD_ON_ISSUE_DATE")</f>
        <v>#N/A Requesting Data...</v>
      </c>
      <c r="N1355" t="str">
        <f>_xll.BDP("53833PAJ Muni","YTW_SPREAD_TO_MATURITY_AT_ISSU")</f>
        <v>#N/A Requesting Data...</v>
      </c>
      <c r="O1355" t="str">
        <f>_xll.BDP("53833PAJ Muni","BVAL_MID_YTM")</f>
        <v>#N/A Requesting Data...</v>
      </c>
      <c r="P1355" t="str">
        <f>_xll.BDP("53833PAJ Muni","MUNI_TAX_PROV")</f>
        <v>#N/A Requesting Data...</v>
      </c>
      <c r="Q1355" t="str">
        <f>_xll.BDP("53833PAJ Muni","MUNI_FED_TAX")</f>
        <v>#N/A Requesting Data...</v>
      </c>
      <c r="R1355" t="str">
        <f>_xll.BDP("53833PAJ Muni","MUNI_MSRB_VOLUME")</f>
        <v>#N/A Requesting Data...</v>
      </c>
      <c r="S1355" t="str">
        <f>_xll.BDP("53833PAJ Muni","BB_COMPOSITE")</f>
        <v>#N/A Requesting Data...</v>
      </c>
      <c r="T1355" t="str">
        <f>_xll.BDP("53833PAJ Muni","LQA_LIQUIDITY_SCORE")</f>
        <v>#N/A Requesting Data...</v>
      </c>
    </row>
    <row r="1356" spans="1:20" x14ac:dyDescent="0.25">
      <c r="A1356" t="str">
        <f>_xll.BDP("378136Y8 Muni","ID_CUSIP")</f>
        <v>#N/A Requesting Data...</v>
      </c>
      <c r="B1356" t="s">
        <v>344</v>
      </c>
      <c r="C1356" t="str">
        <f>_xll.BDP("378136Y8 Muni","INSURANCE_STATUS")</f>
        <v>#N/A Requesting Data...</v>
      </c>
      <c r="D1356" t="str">
        <f>_xll.BDP("378136Y8 Muni","STATE_CODE")</f>
        <v>#N/A Requesting Data...</v>
      </c>
      <c r="E1356" t="str">
        <f>_xll.BDP("378136Y8 Muni","COUNTY_LOCATION_ISSUER")</f>
        <v>#N/A Requesting Data...</v>
      </c>
      <c r="F1356" t="str">
        <f>_xll.BDP("378136Y8 Muni","DUR_ADJ_MID")</f>
        <v>#N/A Requesting Data...</v>
      </c>
      <c r="G1356" t="str">
        <f>_xll.BDP("378136Y8 Muni","SPREAD_AT_ISSUANCE_TO_WORST")</f>
        <v>#N/A Requesting Data...</v>
      </c>
      <c r="H1356" t="str">
        <f>_xll.BDP("378136Y8 Muni","ISSUE_DT")</f>
        <v>#N/A Requesting Data...</v>
      </c>
      <c r="I1356" t="str">
        <f>_xll.BDS("378136Y8 Muni","MUNI_PURPOSE_SCHED", "aggregate=y")</f>
        <v>#N/A Requesting Data...</v>
      </c>
      <c r="J1356" t="str">
        <f>_xll.BDP("378136Y8 Muni","CPN")</f>
        <v>#N/A Requesting Data...</v>
      </c>
      <c r="K1356" t="str">
        <f>_xll.BDP("378136Y8 Muni","MATURITY")</f>
        <v>#N/A Requesting Data...</v>
      </c>
      <c r="L1356">
        <v>275000</v>
      </c>
      <c r="M1356" t="str">
        <f>_xll.BDP("378136Y8 Muni","YIELD_ON_ISSUE_DATE")</f>
        <v>#N/A Requesting Data...</v>
      </c>
      <c r="N1356" t="str">
        <f>_xll.BDP("378136Y8 Muni","YTW_SPREAD_TO_MATURITY_AT_ISSU")</f>
        <v>#N/A Requesting Data...</v>
      </c>
      <c r="O1356" t="str">
        <f>_xll.BDP("378136Y8 Muni","BVAL_MID_YTM")</f>
        <v>#N/A Requesting Data...</v>
      </c>
      <c r="P1356" t="str">
        <f>_xll.BDP("378136Y8 Muni","MUNI_TAX_PROV")</f>
        <v>#N/A Requesting Data...</v>
      </c>
      <c r="Q1356" t="str">
        <f>_xll.BDP("378136Y8 Muni","MUNI_FED_TAX")</f>
        <v>#N/A Requesting Data...</v>
      </c>
      <c r="R1356" t="str">
        <f>_xll.BDP("378136Y8 Muni","MUNI_MSRB_VOLUME")</f>
        <v>#N/A Requesting Data...</v>
      </c>
      <c r="S1356" t="str">
        <f>_xll.BDP("378136Y8 Muni","BB_COMPOSITE")</f>
        <v>#N/A Requesting Data...</v>
      </c>
      <c r="T1356" t="str">
        <f>_xll.BDP("378136Y8 Muni","LQA_LIQUIDITY_SCORE")</f>
        <v>#N/A Requesting Data...</v>
      </c>
    </row>
    <row r="1357" spans="1:20" x14ac:dyDescent="0.25">
      <c r="A1357" t="str">
        <f>_xll.BDP("378136Z3 Muni","ID_CUSIP")</f>
        <v>#N/A Requesting Data...</v>
      </c>
      <c r="B1357" t="s">
        <v>344</v>
      </c>
      <c r="C1357" t="str">
        <f>_xll.BDP("378136Z3 Muni","INSURANCE_STATUS")</f>
        <v>#N/A Requesting Data...</v>
      </c>
      <c r="D1357" t="str">
        <f>_xll.BDP("378136Z3 Muni","STATE_CODE")</f>
        <v>#N/A Requesting Data...</v>
      </c>
      <c r="E1357" t="str">
        <f>_xll.BDP("378136Z3 Muni","COUNTY_LOCATION_ISSUER")</f>
        <v>#N/A Requesting Data...</v>
      </c>
      <c r="F1357" t="str">
        <f>_xll.BDP("378136Z3 Muni","DUR_ADJ_MID")</f>
        <v>#N/A Requesting Data...</v>
      </c>
      <c r="G1357" t="str">
        <f>_xll.BDP("378136Z3 Muni","SPREAD_AT_ISSUANCE_TO_WORST")</f>
        <v>#N/A Requesting Data...</v>
      </c>
      <c r="H1357" t="str">
        <f>_xll.BDP("378136Z3 Muni","ISSUE_DT")</f>
        <v>#N/A Requesting Data...</v>
      </c>
      <c r="I1357" t="str">
        <f>_xll.BDS("378136Z3 Muni","MUNI_PURPOSE_SCHED", "aggregate=y")</f>
        <v>#N/A Requesting Data...</v>
      </c>
      <c r="J1357" t="str">
        <f>_xll.BDP("378136Z3 Muni","CPN")</f>
        <v>#N/A Requesting Data...</v>
      </c>
      <c r="K1357" t="str">
        <f>_xll.BDP("378136Z3 Muni","MATURITY")</f>
        <v>#N/A Requesting Data...</v>
      </c>
      <c r="L1357">
        <v>305000</v>
      </c>
      <c r="M1357" t="str">
        <f>_xll.BDP("378136Z3 Muni","YIELD_ON_ISSUE_DATE")</f>
        <v>#N/A Requesting Data...</v>
      </c>
      <c r="N1357" t="str">
        <f>_xll.BDP("378136Z3 Muni","YTW_SPREAD_TO_MATURITY_AT_ISSU")</f>
        <v>#N/A Requesting Data...</v>
      </c>
      <c r="O1357" t="str">
        <f>_xll.BDP("378136Z3 Muni","BVAL_MID_YTM")</f>
        <v>#N/A Requesting Data...</v>
      </c>
      <c r="P1357" t="str">
        <f>_xll.BDP("378136Z3 Muni","MUNI_TAX_PROV")</f>
        <v>#N/A Requesting Data...</v>
      </c>
      <c r="Q1357" t="str">
        <f>_xll.BDP("378136Z3 Muni","MUNI_FED_TAX")</f>
        <v>#N/A Requesting Data...</v>
      </c>
      <c r="R1357" t="str">
        <f>_xll.BDP("378136Z3 Muni","MUNI_MSRB_VOLUME")</f>
        <v>#N/A Requesting Data...</v>
      </c>
      <c r="S1357" t="str">
        <f>_xll.BDP("378136Z3 Muni","BB_COMPOSITE")</f>
        <v>#N/A Requesting Data...</v>
      </c>
      <c r="T1357" t="str">
        <f>_xll.BDP("378136Z3 Muni","LQA_LIQUIDITY_SCORE")</f>
        <v>#N/A Requesting Data...</v>
      </c>
    </row>
    <row r="1358" spans="1:20" x14ac:dyDescent="0.25">
      <c r="A1358" t="str">
        <f>_xll.BDP("5288352U Muni","ID_CUSIP")</f>
        <v>#N/A Requesting Data...</v>
      </c>
      <c r="B1358" t="s">
        <v>318</v>
      </c>
      <c r="C1358" t="str">
        <f>_xll.BDP("5288352U Muni","INSURANCE_STATUS")</f>
        <v>#N/A Requesting Data...</v>
      </c>
      <c r="D1358" t="str">
        <f>_xll.BDP("5288352U Muni","STATE_CODE")</f>
        <v>#N/A Requesting Data...</v>
      </c>
      <c r="E1358" t="str">
        <f>_xll.BDP("5288352U Muni","COUNTY_LOCATION_ISSUER")</f>
        <v>#N/A Requesting Data...</v>
      </c>
      <c r="F1358" t="str">
        <f>_xll.BDP("5288352U Muni","DUR_ADJ_MID")</f>
        <v>#N/A Requesting Data...</v>
      </c>
      <c r="G1358" t="str">
        <f>_xll.BDP("5288352U Muni","SPREAD_AT_ISSUANCE_TO_WORST")</f>
        <v>#N/A Requesting Data...</v>
      </c>
      <c r="H1358" t="str">
        <f>_xll.BDP("5288352U Muni","ISSUE_DT")</f>
        <v>#N/A Requesting Data...</v>
      </c>
      <c r="I1358" t="str">
        <f>_xll.BDS("5288352U Muni","MUNI_PURPOSE_SCHED", "aggregate=y")</f>
        <v>#N/A Requesting Data...</v>
      </c>
      <c r="J1358" t="str">
        <f>_xll.BDP("5288352U Muni","CPN")</f>
        <v>#N/A Requesting Data...</v>
      </c>
      <c r="K1358" t="str">
        <f>_xll.BDP("5288352U Muni","MATURITY")</f>
        <v>#N/A Requesting Data...</v>
      </c>
      <c r="L1358">
        <v>440000</v>
      </c>
      <c r="M1358" t="str">
        <f>_xll.BDP("5288352U Muni","YIELD_ON_ISSUE_DATE")</f>
        <v>#N/A Requesting Data...</v>
      </c>
      <c r="N1358" t="str">
        <f>_xll.BDP("5288352U Muni","YTW_SPREAD_TO_MATURITY_AT_ISSU")</f>
        <v>#N/A Requesting Data...</v>
      </c>
      <c r="O1358" t="str">
        <f>_xll.BDP("5288352U Muni","BVAL_MID_YTM")</f>
        <v>#N/A Requesting Data...</v>
      </c>
      <c r="P1358" t="str">
        <f>_xll.BDP("5288352U Muni","MUNI_TAX_PROV")</f>
        <v>#N/A Requesting Data...</v>
      </c>
      <c r="Q1358" t="str">
        <f>_xll.BDP("5288352U Muni","MUNI_FED_TAX")</f>
        <v>#N/A Requesting Data...</v>
      </c>
      <c r="R1358" t="str">
        <f>_xll.BDP("5288352U Muni","MUNI_MSRB_VOLUME")</f>
        <v>#N/A Requesting Data...</v>
      </c>
      <c r="S1358" t="str">
        <f>_xll.BDP("5288352U Muni","BB_COMPOSITE")</f>
        <v>#N/A Requesting Data...</v>
      </c>
      <c r="T1358" t="str">
        <f>_xll.BDP("5288352U Muni","LQA_LIQUIDITY_SCORE")</f>
        <v>#N/A Requesting Data...</v>
      </c>
    </row>
    <row r="1359" spans="1:20" x14ac:dyDescent="0.25">
      <c r="A1359" t="str">
        <f>_xll.BDP("5288352W Muni","ID_CUSIP")</f>
        <v>#N/A Requesting Data...</v>
      </c>
      <c r="B1359" t="s">
        <v>318</v>
      </c>
      <c r="C1359" t="str">
        <f>_xll.BDP("5288352W Muni","INSURANCE_STATUS")</f>
        <v>#N/A Requesting Data...</v>
      </c>
      <c r="D1359" t="str">
        <f>_xll.BDP("5288352W Muni","STATE_CODE")</f>
        <v>#N/A Requesting Data...</v>
      </c>
      <c r="E1359" t="str">
        <f>_xll.BDP("5288352W Muni","COUNTY_LOCATION_ISSUER")</f>
        <v>#N/A Requesting Data...</v>
      </c>
      <c r="F1359" t="str">
        <f>_xll.BDP("5288352W Muni","DUR_ADJ_MID")</f>
        <v>#N/A Requesting Data...</v>
      </c>
      <c r="G1359" t="str">
        <f>_xll.BDP("5288352W Muni","SPREAD_AT_ISSUANCE_TO_WORST")</f>
        <v>#N/A Requesting Data...</v>
      </c>
      <c r="H1359" t="str">
        <f>_xll.BDP("5288352W Muni","ISSUE_DT")</f>
        <v>#N/A Requesting Data...</v>
      </c>
      <c r="I1359" t="str">
        <f>_xll.BDS("5288352W Muni","MUNI_PURPOSE_SCHED", "aggregate=y")</f>
        <v>#N/A Requesting Data...</v>
      </c>
      <c r="J1359" t="str">
        <f>_xll.BDP("5288352W Muni","CPN")</f>
        <v>#N/A Requesting Data...</v>
      </c>
      <c r="K1359" t="str">
        <f>_xll.BDP("5288352W Muni","MATURITY")</f>
        <v>#N/A Requesting Data...</v>
      </c>
      <c r="L1359">
        <v>475000</v>
      </c>
      <c r="M1359" t="str">
        <f>_xll.BDP("5288352W Muni","YIELD_ON_ISSUE_DATE")</f>
        <v>#N/A Requesting Data...</v>
      </c>
      <c r="N1359" t="str">
        <f>_xll.BDP("5288352W Muni","YTW_SPREAD_TO_MATURITY_AT_ISSU")</f>
        <v>#N/A Requesting Data...</v>
      </c>
      <c r="O1359" t="str">
        <f>_xll.BDP("5288352W Muni","BVAL_MID_YTM")</f>
        <v>#N/A Requesting Data...</v>
      </c>
      <c r="P1359" t="str">
        <f>_xll.BDP("5288352W Muni","MUNI_TAX_PROV")</f>
        <v>#N/A Requesting Data...</v>
      </c>
      <c r="Q1359" t="str">
        <f>_xll.BDP("5288352W Muni","MUNI_FED_TAX")</f>
        <v>#N/A Requesting Data...</v>
      </c>
      <c r="R1359" t="str">
        <f>_xll.BDP("5288352W Muni","MUNI_MSRB_VOLUME")</f>
        <v>#N/A Requesting Data...</v>
      </c>
      <c r="S1359" t="str">
        <f>_xll.BDP("5288352W Muni","BB_COMPOSITE")</f>
        <v>#N/A Requesting Data...</v>
      </c>
      <c r="T1359" t="str">
        <f>_xll.BDP("5288352W Muni","LQA_LIQUIDITY_SCORE")</f>
        <v>#N/A Requesting Data...</v>
      </c>
    </row>
    <row r="1360" spans="1:20" x14ac:dyDescent="0.25">
      <c r="A1360" t="str">
        <f>_xll.BDP("5288352Y Muni","ID_CUSIP")</f>
        <v>#N/A Requesting Data...</v>
      </c>
      <c r="B1360" t="s">
        <v>318</v>
      </c>
      <c r="C1360" t="str">
        <f>_xll.BDP("5288352Y Muni","INSURANCE_STATUS")</f>
        <v>#N/A Requesting Data...</v>
      </c>
      <c r="D1360" t="str">
        <f>_xll.BDP("5288352Y Muni","STATE_CODE")</f>
        <v>#N/A Requesting Data...</v>
      </c>
      <c r="E1360" t="str">
        <f>_xll.BDP("5288352Y Muni","COUNTY_LOCATION_ISSUER")</f>
        <v>#N/A Requesting Data...</v>
      </c>
      <c r="F1360" t="str">
        <f>_xll.BDP("5288352Y Muni","DUR_ADJ_MID")</f>
        <v>#N/A Requesting Data...</v>
      </c>
      <c r="G1360" t="str">
        <f>_xll.BDP("5288352Y Muni","SPREAD_AT_ISSUANCE_TO_WORST")</f>
        <v>#N/A Requesting Data...</v>
      </c>
      <c r="H1360" t="str">
        <f>_xll.BDP("5288352Y Muni","ISSUE_DT")</f>
        <v>#N/A Requesting Data...</v>
      </c>
      <c r="I1360" t="str">
        <f>_xll.BDS("5288352Y Muni","MUNI_PURPOSE_SCHED", "aggregate=y")</f>
        <v>#N/A Requesting Data...</v>
      </c>
      <c r="J1360" t="str">
        <f>_xll.BDP("5288352Y Muni","CPN")</f>
        <v>#N/A Requesting Data...</v>
      </c>
      <c r="K1360" t="str">
        <f>_xll.BDP("5288352Y Muni","MATURITY")</f>
        <v>#N/A Requesting Data...</v>
      </c>
      <c r="L1360">
        <v>515000</v>
      </c>
      <c r="M1360" t="str">
        <f>_xll.BDP("5288352Y Muni","YIELD_ON_ISSUE_DATE")</f>
        <v>#N/A Requesting Data...</v>
      </c>
      <c r="N1360" t="str">
        <f>_xll.BDP("5288352Y Muni","YTW_SPREAD_TO_MATURITY_AT_ISSU")</f>
        <v>#N/A Requesting Data...</v>
      </c>
      <c r="O1360" t="str">
        <f>_xll.BDP("5288352Y Muni","BVAL_MID_YTM")</f>
        <v>#N/A Requesting Data...</v>
      </c>
      <c r="P1360" t="str">
        <f>_xll.BDP("5288352Y Muni","MUNI_TAX_PROV")</f>
        <v>#N/A Requesting Data...</v>
      </c>
      <c r="Q1360" t="str">
        <f>_xll.BDP("5288352Y Muni","MUNI_FED_TAX")</f>
        <v>#N/A Requesting Data...</v>
      </c>
      <c r="R1360" t="str">
        <f>_xll.BDP("5288352Y Muni","MUNI_MSRB_VOLUME")</f>
        <v>#N/A Requesting Data...</v>
      </c>
      <c r="S1360" t="str">
        <f>_xll.BDP("5288352Y Muni","BB_COMPOSITE")</f>
        <v>#N/A Requesting Data...</v>
      </c>
      <c r="T1360" t="str">
        <f>_xll.BDP("5288352Y Muni","LQA_LIQUIDITY_SCORE")</f>
        <v>#N/A Requesting Data...</v>
      </c>
    </row>
    <row r="1361" spans="1:20" x14ac:dyDescent="0.25">
      <c r="A1361" t="str">
        <f>_xll.BDP("489134PL Muni","ID_CUSIP")</f>
        <v>#N/A Requesting Data...</v>
      </c>
      <c r="B1361" t="s">
        <v>342</v>
      </c>
      <c r="C1361" t="str">
        <f>_xll.BDP("489134PL Muni","INSURANCE_STATUS")</f>
        <v>#N/A Requesting Data...</v>
      </c>
      <c r="D1361" t="str">
        <f>_xll.BDP("489134PL Muni","STATE_CODE")</f>
        <v>#N/A Requesting Data...</v>
      </c>
      <c r="E1361" t="str">
        <f>_xll.BDP("489134PL Muni","COUNTY_LOCATION_ISSUER")</f>
        <v>#N/A Requesting Data...</v>
      </c>
      <c r="F1361" t="str">
        <f>_xll.BDP("489134PL Muni","DUR_ADJ_MID")</f>
        <v>#N/A Requesting Data...</v>
      </c>
      <c r="G1361" t="str">
        <f>_xll.BDP("489134PL Muni","SPREAD_AT_ISSUANCE_TO_WORST")</f>
        <v>#N/A Requesting Data...</v>
      </c>
      <c r="H1361" t="str">
        <f>_xll.BDP("489134PL Muni","ISSUE_DT")</f>
        <v>#N/A Requesting Data...</v>
      </c>
      <c r="I1361" t="str">
        <f>_xll.BDS("489134PL Muni","MUNI_PURPOSE_SCHED", "aggregate=y")</f>
        <v>#N/A Requesting Data...</v>
      </c>
      <c r="J1361" t="str">
        <f>_xll.BDP("489134PL Muni","CPN")</f>
        <v>#N/A Requesting Data...</v>
      </c>
      <c r="K1361" t="str">
        <f>_xll.BDP("489134PL Muni","MATURITY")</f>
        <v>#N/A Requesting Data...</v>
      </c>
      <c r="L1361">
        <v>110000</v>
      </c>
      <c r="M1361" t="str">
        <f>_xll.BDP("489134PL Muni","YIELD_ON_ISSUE_DATE")</f>
        <v>#N/A Requesting Data...</v>
      </c>
      <c r="N1361" t="str">
        <f>_xll.BDP("489134PL Muni","YTW_SPREAD_TO_MATURITY_AT_ISSU")</f>
        <v>#N/A Requesting Data...</v>
      </c>
      <c r="O1361" t="str">
        <f>_xll.BDP("489134PL Muni","BVAL_MID_YTM")</f>
        <v>#N/A Requesting Data...</v>
      </c>
      <c r="P1361" t="str">
        <f>_xll.BDP("489134PL Muni","MUNI_TAX_PROV")</f>
        <v>#N/A Requesting Data...</v>
      </c>
      <c r="Q1361" t="str">
        <f>_xll.BDP("489134PL Muni","MUNI_FED_TAX")</f>
        <v>#N/A Requesting Data...</v>
      </c>
      <c r="R1361" t="str">
        <f>_xll.BDP("489134PL Muni","MUNI_MSRB_VOLUME")</f>
        <v>#N/A Requesting Data...</v>
      </c>
      <c r="S1361" t="str">
        <f>_xll.BDP("489134PL Muni","BB_COMPOSITE")</f>
        <v>#N/A Requesting Data...</v>
      </c>
      <c r="T1361" t="str">
        <f>_xll.BDP("489134PL Muni","LQA_LIQUIDITY_SCORE")</f>
        <v>#N/A Requesting Data...</v>
      </c>
    </row>
    <row r="1362" spans="1:20" x14ac:dyDescent="0.25">
      <c r="A1362" t="str">
        <f>_xll.BDP("48872TBD Muni","ID_CUSIP")</f>
        <v>#N/A Requesting Data...</v>
      </c>
      <c r="B1362" t="s">
        <v>229</v>
      </c>
      <c r="C1362" t="str">
        <f>_xll.BDP("48872TBD Muni","INSURANCE_STATUS")</f>
        <v>#N/A Requesting Data...</v>
      </c>
      <c r="D1362" t="str">
        <f>_xll.BDP("48872TBD Muni","STATE_CODE")</f>
        <v>#N/A Requesting Data...</v>
      </c>
      <c r="E1362" t="str">
        <f>_xll.BDP("48872TBD Muni","COUNTY_LOCATION_ISSUER")</f>
        <v>#N/A Requesting Data...</v>
      </c>
      <c r="F1362" t="str">
        <f>_xll.BDP("48872TBD Muni","DUR_ADJ_MID")</f>
        <v>#N/A Requesting Data...</v>
      </c>
      <c r="G1362" t="str">
        <f>_xll.BDP("48872TBD Muni","SPREAD_AT_ISSUANCE_TO_WORST")</f>
        <v>#N/A Requesting Data...</v>
      </c>
      <c r="H1362" t="str">
        <f>_xll.BDP("48872TBD Muni","ISSUE_DT")</f>
        <v>#N/A Requesting Data...</v>
      </c>
      <c r="I1362" t="str">
        <f>_xll.BDS("48872TBD Muni","MUNI_PURPOSE_SCHED", "aggregate=y")</f>
        <v>#N/A Requesting Data...</v>
      </c>
      <c r="J1362" t="str">
        <f>_xll.BDP("48872TBD Muni","CPN")</f>
        <v>#N/A Requesting Data...</v>
      </c>
      <c r="K1362" t="str">
        <f>_xll.BDP("48872TBD Muni","MATURITY")</f>
        <v>#N/A Requesting Data...</v>
      </c>
      <c r="L1362">
        <v>80000</v>
      </c>
      <c r="M1362" t="str">
        <f>_xll.BDP("48872TBD Muni","YIELD_ON_ISSUE_DATE")</f>
        <v>#N/A Requesting Data...</v>
      </c>
      <c r="N1362" t="str">
        <f>_xll.BDP("48872TBD Muni","YTW_SPREAD_TO_MATURITY_AT_ISSU")</f>
        <v>#N/A Requesting Data...</v>
      </c>
      <c r="O1362" t="str">
        <f>_xll.BDP("48872TBD Muni","BVAL_MID_YTM")</f>
        <v>#N/A Requesting Data...</v>
      </c>
      <c r="P1362" t="str">
        <f>_xll.BDP("48872TBD Muni","MUNI_TAX_PROV")</f>
        <v>#N/A Requesting Data...</v>
      </c>
      <c r="Q1362" t="str">
        <f>_xll.BDP("48872TBD Muni","MUNI_FED_TAX")</f>
        <v>#N/A Requesting Data...</v>
      </c>
      <c r="R1362" t="str">
        <f>_xll.BDP("48872TBD Muni","MUNI_MSRB_VOLUME")</f>
        <v>#N/A Requesting Data...</v>
      </c>
      <c r="S1362" t="str">
        <f>_xll.BDP("48872TBD Muni","BB_COMPOSITE")</f>
        <v>#N/A Requesting Data...</v>
      </c>
      <c r="T1362" t="str">
        <f>_xll.BDP("48872TBD Muni","LQA_LIQUIDITY_SCORE")</f>
        <v>#N/A Requesting Data...</v>
      </c>
    </row>
    <row r="1363" spans="1:20" x14ac:dyDescent="0.25">
      <c r="A1363" t="str">
        <f>_xll.BDP("489134PJ Muni","ID_CUSIP")</f>
        <v>#N/A Requesting Data...</v>
      </c>
      <c r="B1363" t="s">
        <v>342</v>
      </c>
      <c r="C1363" t="str">
        <f>_xll.BDP("489134PJ Muni","INSURANCE_STATUS")</f>
        <v>#N/A Requesting Data...</v>
      </c>
      <c r="D1363" t="str">
        <f>_xll.BDP("489134PJ Muni","STATE_CODE")</f>
        <v>#N/A Requesting Data...</v>
      </c>
      <c r="E1363" t="str">
        <f>_xll.BDP("489134PJ Muni","COUNTY_LOCATION_ISSUER")</f>
        <v>#N/A Requesting Data...</v>
      </c>
      <c r="F1363" t="str">
        <f>_xll.BDP("489134PJ Muni","DUR_ADJ_MID")</f>
        <v>#N/A Requesting Data...</v>
      </c>
      <c r="G1363" t="str">
        <f>_xll.BDP("489134PJ Muni","SPREAD_AT_ISSUANCE_TO_WORST")</f>
        <v>#N/A Requesting Data...</v>
      </c>
      <c r="H1363" t="str">
        <f>_xll.BDP("489134PJ Muni","ISSUE_DT")</f>
        <v>#N/A Requesting Data...</v>
      </c>
      <c r="I1363" t="str">
        <f>_xll.BDS("489134PJ Muni","MUNI_PURPOSE_SCHED", "aggregate=y")</f>
        <v>#N/A Requesting Data...</v>
      </c>
      <c r="J1363" t="str">
        <f>_xll.BDP("489134PJ Muni","CPN")</f>
        <v>#N/A Requesting Data...</v>
      </c>
      <c r="K1363" t="str">
        <f>_xll.BDP("489134PJ Muni","MATURITY")</f>
        <v>#N/A Requesting Data...</v>
      </c>
      <c r="L1363">
        <v>105000</v>
      </c>
      <c r="M1363" t="str">
        <f>_xll.BDP("489134PJ Muni","YIELD_ON_ISSUE_DATE")</f>
        <v>#N/A Requesting Data...</v>
      </c>
      <c r="N1363" t="str">
        <f>_xll.BDP("489134PJ Muni","YTW_SPREAD_TO_MATURITY_AT_ISSU")</f>
        <v>#N/A Requesting Data...</v>
      </c>
      <c r="O1363" t="str">
        <f>_xll.BDP("489134PJ Muni","BVAL_MID_YTM")</f>
        <v>#N/A Requesting Data...</v>
      </c>
      <c r="P1363" t="str">
        <f>_xll.BDP("489134PJ Muni","MUNI_TAX_PROV")</f>
        <v>#N/A Requesting Data...</v>
      </c>
      <c r="Q1363" t="str">
        <f>_xll.BDP("489134PJ Muni","MUNI_FED_TAX")</f>
        <v>#N/A Requesting Data...</v>
      </c>
      <c r="R1363" t="str">
        <f>_xll.BDP("489134PJ Muni","MUNI_MSRB_VOLUME")</f>
        <v>#N/A Requesting Data...</v>
      </c>
      <c r="S1363" t="str">
        <f>_xll.BDP("489134PJ Muni","BB_COMPOSITE")</f>
        <v>#N/A Requesting Data...</v>
      </c>
      <c r="T1363" t="str">
        <f>_xll.BDP("489134PJ Muni","LQA_LIQUIDITY_SCORE")</f>
        <v>#N/A Requesting Data...</v>
      </c>
    </row>
    <row r="1364" spans="1:20" x14ac:dyDescent="0.25">
      <c r="A1364" t="str">
        <f>_xll.BDP("489134PK Muni","ID_CUSIP")</f>
        <v>#N/A Requesting Data...</v>
      </c>
      <c r="B1364" t="s">
        <v>342</v>
      </c>
      <c r="C1364" t="str">
        <f>_xll.BDP("489134PK Muni","INSURANCE_STATUS")</f>
        <v>#N/A Requesting Data...</v>
      </c>
      <c r="D1364" t="str">
        <f>_xll.BDP("489134PK Muni","STATE_CODE")</f>
        <v>#N/A Requesting Data...</v>
      </c>
      <c r="E1364" t="str">
        <f>_xll.BDP("489134PK Muni","COUNTY_LOCATION_ISSUER")</f>
        <v>#N/A Requesting Data...</v>
      </c>
      <c r="F1364" t="str">
        <f>_xll.BDP("489134PK Muni","DUR_ADJ_MID")</f>
        <v>#N/A Requesting Data...</v>
      </c>
      <c r="G1364" t="str">
        <f>_xll.BDP("489134PK Muni","SPREAD_AT_ISSUANCE_TO_WORST")</f>
        <v>#N/A Requesting Data...</v>
      </c>
      <c r="H1364" t="str">
        <f>_xll.BDP("489134PK Muni","ISSUE_DT")</f>
        <v>#N/A Requesting Data...</v>
      </c>
      <c r="I1364" t="str">
        <f>_xll.BDS("489134PK Muni","MUNI_PURPOSE_SCHED", "aggregate=y")</f>
        <v>#N/A Requesting Data...</v>
      </c>
      <c r="J1364" t="str">
        <f>_xll.BDP("489134PK Muni","CPN")</f>
        <v>#N/A Requesting Data...</v>
      </c>
      <c r="K1364" t="str">
        <f>_xll.BDP("489134PK Muni","MATURITY")</f>
        <v>#N/A Requesting Data...</v>
      </c>
      <c r="L1364">
        <v>110000</v>
      </c>
      <c r="M1364" t="str">
        <f>_xll.BDP("489134PK Muni","YIELD_ON_ISSUE_DATE")</f>
        <v>#N/A Requesting Data...</v>
      </c>
      <c r="N1364" t="str">
        <f>_xll.BDP("489134PK Muni","YTW_SPREAD_TO_MATURITY_AT_ISSU")</f>
        <v>#N/A Requesting Data...</v>
      </c>
      <c r="O1364" t="str">
        <f>_xll.BDP("489134PK Muni","BVAL_MID_YTM")</f>
        <v>#N/A Requesting Data...</v>
      </c>
      <c r="P1364" t="str">
        <f>_xll.BDP("489134PK Muni","MUNI_TAX_PROV")</f>
        <v>#N/A Requesting Data...</v>
      </c>
      <c r="Q1364" t="str">
        <f>_xll.BDP("489134PK Muni","MUNI_FED_TAX")</f>
        <v>#N/A Requesting Data...</v>
      </c>
      <c r="R1364" t="str">
        <f>_xll.BDP("489134PK Muni","MUNI_MSRB_VOLUME")</f>
        <v>#N/A Requesting Data...</v>
      </c>
      <c r="S1364" t="str">
        <f>_xll.BDP("489134PK Muni","BB_COMPOSITE")</f>
        <v>#N/A Requesting Data...</v>
      </c>
      <c r="T1364" t="str">
        <f>_xll.BDP("489134PK Muni","LQA_LIQUIDITY_SCORE")</f>
        <v>#N/A Requesting Data...</v>
      </c>
    </row>
    <row r="1365" spans="1:20" x14ac:dyDescent="0.25">
      <c r="A1365" t="str">
        <f>_xll.BDP("489332HR Muni","ID_CUSIP")</f>
        <v>#N/A Requesting Data...</v>
      </c>
      <c r="B1365" t="s">
        <v>341</v>
      </c>
      <c r="C1365" t="str">
        <f>_xll.BDP("489332HR Muni","INSURANCE_STATUS")</f>
        <v>#N/A Requesting Data...</v>
      </c>
      <c r="D1365" t="str">
        <f>_xll.BDP("489332HR Muni","STATE_CODE")</f>
        <v>#N/A Requesting Data...</v>
      </c>
      <c r="E1365" t="str">
        <f>_xll.BDP("489332HR Muni","COUNTY_LOCATION_ISSUER")</f>
        <v>#N/A Requesting Data...</v>
      </c>
      <c r="F1365" t="str">
        <f>_xll.BDP("489332HR Muni","DUR_ADJ_MID")</f>
        <v>#N/A Requesting Data...</v>
      </c>
      <c r="G1365" t="str">
        <f>_xll.BDP("489332HR Muni","SPREAD_AT_ISSUANCE_TO_WORST")</f>
        <v>#N/A Requesting Data...</v>
      </c>
      <c r="H1365" t="str">
        <f>_xll.BDP("489332HR Muni","ISSUE_DT")</f>
        <v>#N/A Requesting Data...</v>
      </c>
      <c r="I1365" t="str">
        <f>_xll.BDS("489332HR Muni","MUNI_PURPOSE_SCHED", "aggregate=y")</f>
        <v>#N/A Requesting Data...</v>
      </c>
      <c r="J1365" t="str">
        <f>_xll.BDP("489332HR Muni","CPN")</f>
        <v>#N/A Requesting Data...</v>
      </c>
      <c r="K1365" t="str">
        <f>_xll.BDP("489332HR Muni","MATURITY")</f>
        <v>#N/A Requesting Data...</v>
      </c>
      <c r="L1365">
        <v>140000</v>
      </c>
      <c r="M1365" t="str">
        <f>_xll.BDP("489332HR Muni","YIELD_ON_ISSUE_DATE")</f>
        <v>#N/A Requesting Data...</v>
      </c>
      <c r="N1365" t="str">
        <f>_xll.BDP("489332HR Muni","YTW_SPREAD_TO_MATURITY_AT_ISSU")</f>
        <v>#N/A Requesting Data...</v>
      </c>
      <c r="O1365" t="str">
        <f>_xll.BDP("489332HR Muni","BVAL_MID_YTM")</f>
        <v>#N/A Requesting Data...</v>
      </c>
      <c r="P1365" t="str">
        <f>_xll.BDP("489332HR Muni","MUNI_TAX_PROV")</f>
        <v>#N/A Requesting Data...</v>
      </c>
      <c r="Q1365" t="str">
        <f>_xll.BDP("489332HR Muni","MUNI_FED_TAX")</f>
        <v>#N/A Requesting Data...</v>
      </c>
      <c r="R1365" t="str">
        <f>_xll.BDP("489332HR Muni","MUNI_MSRB_VOLUME")</f>
        <v>#N/A Requesting Data...</v>
      </c>
      <c r="S1365" t="str">
        <f>_xll.BDP("489332HR Muni","BB_COMPOSITE")</f>
        <v>#N/A Requesting Data...</v>
      </c>
      <c r="T1365" t="str">
        <f>_xll.BDP("489332HR Muni","LQA_LIQUIDITY_SCORE")</f>
        <v>#N/A Requesting Data...</v>
      </c>
    </row>
    <row r="1366" spans="1:20" x14ac:dyDescent="0.25">
      <c r="A1366" t="str">
        <f>_xll.BDP("489332HS Muni","ID_CUSIP")</f>
        <v>#N/A Requesting Data...</v>
      </c>
      <c r="B1366" t="s">
        <v>341</v>
      </c>
      <c r="C1366" t="str">
        <f>_xll.BDP("489332HS Muni","INSURANCE_STATUS")</f>
        <v>#N/A Requesting Data...</v>
      </c>
      <c r="D1366" t="str">
        <f>_xll.BDP("489332HS Muni","STATE_CODE")</f>
        <v>#N/A Requesting Data...</v>
      </c>
      <c r="E1366" t="str">
        <f>_xll.BDP("489332HS Muni","COUNTY_LOCATION_ISSUER")</f>
        <v>#N/A Requesting Data...</v>
      </c>
      <c r="F1366" t="str">
        <f>_xll.BDP("489332HS Muni","DUR_ADJ_MID")</f>
        <v>#N/A Requesting Data...</v>
      </c>
      <c r="G1366" t="str">
        <f>_xll.BDP("489332HS Muni","SPREAD_AT_ISSUANCE_TO_WORST")</f>
        <v>#N/A Requesting Data...</v>
      </c>
      <c r="H1366" t="str">
        <f>_xll.BDP("489332HS Muni","ISSUE_DT")</f>
        <v>#N/A Requesting Data...</v>
      </c>
      <c r="I1366" t="str">
        <f>_xll.BDS("489332HS Muni","MUNI_PURPOSE_SCHED", "aggregate=y")</f>
        <v>#N/A Requesting Data...</v>
      </c>
      <c r="J1366" t="str">
        <f>_xll.BDP("489332HS Muni","CPN")</f>
        <v>#N/A Requesting Data...</v>
      </c>
      <c r="K1366" t="str">
        <f>_xll.BDP("489332HS Muni","MATURITY")</f>
        <v>#N/A Requesting Data...</v>
      </c>
      <c r="L1366">
        <v>145000</v>
      </c>
      <c r="M1366" t="str">
        <f>_xll.BDP("489332HS Muni","YIELD_ON_ISSUE_DATE")</f>
        <v>#N/A Requesting Data...</v>
      </c>
      <c r="N1366" t="str">
        <f>_xll.BDP("489332HS Muni","YTW_SPREAD_TO_MATURITY_AT_ISSU")</f>
        <v>#N/A Requesting Data...</v>
      </c>
      <c r="O1366" t="str">
        <f>_xll.BDP("489332HS Muni","BVAL_MID_YTM")</f>
        <v>#N/A Requesting Data...</v>
      </c>
      <c r="P1366" t="str">
        <f>_xll.BDP("489332HS Muni","MUNI_TAX_PROV")</f>
        <v>#N/A Requesting Data...</v>
      </c>
      <c r="Q1366" t="str">
        <f>_xll.BDP("489332HS Muni","MUNI_FED_TAX")</f>
        <v>#N/A Requesting Data...</v>
      </c>
      <c r="R1366" t="str">
        <f>_xll.BDP("489332HS Muni","MUNI_MSRB_VOLUME")</f>
        <v>#N/A Requesting Data...</v>
      </c>
      <c r="S1366" t="str">
        <f>_xll.BDP("489332HS Muni","BB_COMPOSITE")</f>
        <v>#N/A Requesting Data...</v>
      </c>
      <c r="T1366" t="str">
        <f>_xll.BDP("489332HS Muni","LQA_LIQUIDITY_SCORE")</f>
        <v>#N/A Requesting Data...</v>
      </c>
    </row>
    <row r="1367" spans="1:20" x14ac:dyDescent="0.25">
      <c r="A1367" t="str">
        <f>_xll.BDP("489332HT Muni","ID_CUSIP")</f>
        <v>#N/A Requesting Data...</v>
      </c>
      <c r="B1367" t="s">
        <v>341</v>
      </c>
      <c r="C1367" t="str">
        <f>_xll.BDP("489332HT Muni","INSURANCE_STATUS")</f>
        <v>#N/A Requesting Data...</v>
      </c>
      <c r="D1367" t="str">
        <f>_xll.BDP("489332HT Muni","STATE_CODE")</f>
        <v>#N/A Requesting Data...</v>
      </c>
      <c r="E1367" t="str">
        <f>_xll.BDP("489332HT Muni","COUNTY_LOCATION_ISSUER")</f>
        <v>#N/A Requesting Data...</v>
      </c>
      <c r="F1367" t="str">
        <f>_xll.BDP("489332HT Muni","DUR_ADJ_MID")</f>
        <v>#N/A Requesting Data...</v>
      </c>
      <c r="G1367" t="str">
        <f>_xll.BDP("489332HT Muni","SPREAD_AT_ISSUANCE_TO_WORST")</f>
        <v>#N/A Requesting Data...</v>
      </c>
      <c r="H1367" t="str">
        <f>_xll.BDP("489332HT Muni","ISSUE_DT")</f>
        <v>#N/A Requesting Data...</v>
      </c>
      <c r="I1367" t="str">
        <f>_xll.BDS("489332HT Muni","MUNI_PURPOSE_SCHED", "aggregate=y")</f>
        <v>#N/A Requesting Data...</v>
      </c>
      <c r="J1367" t="str">
        <f>_xll.BDP("489332HT Muni","CPN")</f>
        <v>#N/A Requesting Data...</v>
      </c>
      <c r="K1367" t="str">
        <f>_xll.BDP("489332HT Muni","MATURITY")</f>
        <v>#N/A Requesting Data...</v>
      </c>
      <c r="L1367">
        <v>150000</v>
      </c>
      <c r="M1367" t="str">
        <f>_xll.BDP("489332HT Muni","YIELD_ON_ISSUE_DATE")</f>
        <v>#N/A Requesting Data...</v>
      </c>
      <c r="N1367" t="str">
        <f>_xll.BDP("489332HT Muni","YTW_SPREAD_TO_MATURITY_AT_ISSU")</f>
        <v>#N/A Requesting Data...</v>
      </c>
      <c r="O1367" t="str">
        <f>_xll.BDP("489332HT Muni","BVAL_MID_YTM")</f>
        <v>#N/A Requesting Data...</v>
      </c>
      <c r="P1367" t="str">
        <f>_xll.BDP("489332HT Muni","MUNI_TAX_PROV")</f>
        <v>#N/A Requesting Data...</v>
      </c>
      <c r="Q1367" t="str">
        <f>_xll.BDP("489332HT Muni","MUNI_FED_TAX")</f>
        <v>#N/A Requesting Data...</v>
      </c>
      <c r="R1367" t="str">
        <f>_xll.BDP("489332HT Muni","MUNI_MSRB_VOLUME")</f>
        <v>#N/A Requesting Data...</v>
      </c>
      <c r="S1367" t="str">
        <f>_xll.BDP("489332HT Muni","BB_COMPOSITE")</f>
        <v>#N/A Requesting Data...</v>
      </c>
      <c r="T1367" t="str">
        <f>_xll.BDP("489332HT Muni","LQA_LIQUIDITY_SCORE")</f>
        <v>#N/A Requesting Data...</v>
      </c>
    </row>
    <row r="1368" spans="1:20" x14ac:dyDescent="0.25">
      <c r="A1368" t="str">
        <f>_xll.BDP("771694ND Muni","ID_CUSIP")</f>
        <v>#N/A Requesting Data...</v>
      </c>
      <c r="B1368" t="s">
        <v>345</v>
      </c>
      <c r="C1368" t="str">
        <f>_xll.BDP("771694ND Muni","INSURANCE_STATUS")</f>
        <v>#N/A Requesting Data...</v>
      </c>
      <c r="D1368" t="str">
        <f>_xll.BDP("771694ND Muni","STATE_CODE")</f>
        <v>#N/A Requesting Data...</v>
      </c>
      <c r="E1368" t="str">
        <f>_xll.BDP("771694ND Muni","COUNTY_LOCATION_ISSUER")</f>
        <v>#N/A Requesting Data...</v>
      </c>
      <c r="F1368" t="str">
        <f>_xll.BDP("771694ND Muni","DUR_ADJ_MID")</f>
        <v>#N/A Requesting Data...</v>
      </c>
      <c r="G1368" t="str">
        <f>_xll.BDP("771694ND Muni","SPREAD_AT_ISSUANCE_TO_WORST")</f>
        <v>#N/A Requesting Data...</v>
      </c>
      <c r="H1368" t="str">
        <f>_xll.BDP("771694ND Muni","ISSUE_DT")</f>
        <v>#N/A Requesting Data...</v>
      </c>
      <c r="I1368" t="str">
        <f>_xll.BDS("771694ND Muni","MUNI_PURPOSE_SCHED", "aggregate=y")</f>
        <v>#N/A Requesting Data...</v>
      </c>
      <c r="J1368" t="str">
        <f>_xll.BDP("771694ND Muni","CPN")</f>
        <v>#N/A Requesting Data...</v>
      </c>
      <c r="K1368" t="str">
        <f>_xll.BDP("771694ND Muni","MATURITY")</f>
        <v>#N/A Requesting Data...</v>
      </c>
      <c r="L1368">
        <v>3310000</v>
      </c>
      <c r="M1368" t="str">
        <f>_xll.BDP("771694ND Muni","YIELD_ON_ISSUE_DATE")</f>
        <v>#N/A Requesting Data...</v>
      </c>
      <c r="N1368" t="str">
        <f>_xll.BDP("771694ND Muni","YTW_SPREAD_TO_MATURITY_AT_ISSU")</f>
        <v>#N/A Requesting Data...</v>
      </c>
      <c r="O1368" t="str">
        <f>_xll.BDP("771694ND Muni","BVAL_MID_YTM")</f>
        <v>#N/A Requesting Data...</v>
      </c>
      <c r="P1368" t="str">
        <f>_xll.BDP("771694ND Muni","MUNI_TAX_PROV")</f>
        <v>#N/A Requesting Data...</v>
      </c>
      <c r="Q1368" t="str">
        <f>_xll.BDP("771694ND Muni","MUNI_FED_TAX")</f>
        <v>#N/A Requesting Data...</v>
      </c>
      <c r="R1368" t="str">
        <f>_xll.BDP("771694ND Muni","MUNI_MSRB_VOLUME")</f>
        <v>#N/A Requesting Data...</v>
      </c>
      <c r="S1368" t="str">
        <f>_xll.BDP("771694ND Muni","BB_COMPOSITE")</f>
        <v>#N/A Requesting Data...</v>
      </c>
      <c r="T1368" t="str">
        <f>_xll.BDP("771694ND Muni","LQA_LIQUIDITY_SCORE")</f>
        <v>#N/A Requesting Data...</v>
      </c>
    </row>
    <row r="1369" spans="1:20" x14ac:dyDescent="0.25">
      <c r="A1369" t="str">
        <f>_xll.BDP("771694NE Muni","ID_CUSIP")</f>
        <v>#N/A Requesting Data...</v>
      </c>
      <c r="B1369" t="s">
        <v>345</v>
      </c>
      <c r="C1369" t="str">
        <f>_xll.BDP("771694NE Muni","INSURANCE_STATUS")</f>
        <v>#N/A Requesting Data...</v>
      </c>
      <c r="D1369" t="str">
        <f>_xll.BDP("771694NE Muni","STATE_CODE")</f>
        <v>#N/A Requesting Data...</v>
      </c>
      <c r="E1369" t="str">
        <f>_xll.BDP("771694NE Muni","COUNTY_LOCATION_ISSUER")</f>
        <v>#N/A Requesting Data...</v>
      </c>
      <c r="F1369" t="str">
        <f>_xll.BDP("771694NE Muni","DUR_ADJ_MID")</f>
        <v>#N/A Requesting Data...</v>
      </c>
      <c r="G1369" t="str">
        <f>_xll.BDP("771694NE Muni","SPREAD_AT_ISSUANCE_TO_WORST")</f>
        <v>#N/A Requesting Data...</v>
      </c>
      <c r="H1369" t="str">
        <f>_xll.BDP("771694NE Muni","ISSUE_DT")</f>
        <v>#N/A Requesting Data...</v>
      </c>
      <c r="I1369" t="str">
        <f>_xll.BDS("771694NE Muni","MUNI_PURPOSE_SCHED", "aggregate=y")</f>
        <v>#N/A Requesting Data...</v>
      </c>
      <c r="J1369" t="str">
        <f>_xll.BDP("771694NE Muni","CPN")</f>
        <v>#N/A Requesting Data...</v>
      </c>
      <c r="K1369" t="str">
        <f>_xll.BDP("771694NE Muni","MATURITY")</f>
        <v>#N/A Requesting Data...</v>
      </c>
      <c r="L1369">
        <v>2525000</v>
      </c>
      <c r="M1369" t="str">
        <f>_xll.BDP("771694NE Muni","YIELD_ON_ISSUE_DATE")</f>
        <v>#N/A Requesting Data...</v>
      </c>
      <c r="N1369" t="str">
        <f>_xll.BDP("771694NE Muni","YTW_SPREAD_TO_MATURITY_AT_ISSU")</f>
        <v>#N/A Requesting Data...</v>
      </c>
      <c r="O1369" t="str">
        <f>_xll.BDP("771694NE Muni","BVAL_MID_YTM")</f>
        <v>#N/A Requesting Data...</v>
      </c>
      <c r="P1369" t="str">
        <f>_xll.BDP("771694NE Muni","MUNI_TAX_PROV")</f>
        <v>#N/A Requesting Data...</v>
      </c>
      <c r="Q1369" t="str">
        <f>_xll.BDP("771694NE Muni","MUNI_FED_TAX")</f>
        <v>#N/A Requesting Data...</v>
      </c>
      <c r="R1369" t="str">
        <f>_xll.BDP("771694NE Muni","MUNI_MSRB_VOLUME")</f>
        <v>#N/A Requesting Data...</v>
      </c>
      <c r="S1369" t="str">
        <f>_xll.BDP("771694NE Muni","BB_COMPOSITE")</f>
        <v>#N/A Requesting Data...</v>
      </c>
      <c r="T1369" t="str">
        <f>_xll.BDP("771694NE Muni","LQA_LIQUIDITY_SCORE")</f>
        <v>#N/A Requesting Data...</v>
      </c>
    </row>
    <row r="1370" spans="1:20" x14ac:dyDescent="0.25">
      <c r="A1370" t="str">
        <f>_xll.BDP("771694NF Muni","ID_CUSIP")</f>
        <v>#N/A Requesting Data...</v>
      </c>
      <c r="B1370" t="s">
        <v>345</v>
      </c>
      <c r="C1370" t="str">
        <f>_xll.BDP("771694NF Muni","INSURANCE_STATUS")</f>
        <v>#N/A Requesting Data...</v>
      </c>
      <c r="D1370" t="str">
        <f>_xll.BDP("771694NF Muni","STATE_CODE")</f>
        <v>#N/A Requesting Data...</v>
      </c>
      <c r="E1370" t="str">
        <f>_xll.BDP("771694NF Muni","COUNTY_LOCATION_ISSUER")</f>
        <v>#N/A Requesting Data...</v>
      </c>
      <c r="F1370" t="str">
        <f>_xll.BDP("771694NF Muni","DUR_ADJ_MID")</f>
        <v>#N/A Requesting Data...</v>
      </c>
      <c r="G1370" t="str">
        <f>_xll.BDP("771694NF Muni","SPREAD_AT_ISSUANCE_TO_WORST")</f>
        <v>#N/A Requesting Data...</v>
      </c>
      <c r="H1370" t="str">
        <f>_xll.BDP("771694NF Muni","ISSUE_DT")</f>
        <v>#N/A Requesting Data...</v>
      </c>
      <c r="I1370" t="str">
        <f>_xll.BDS("771694NF Muni","MUNI_PURPOSE_SCHED", "aggregate=y")</f>
        <v>#N/A Requesting Data...</v>
      </c>
      <c r="J1370" t="str">
        <f>_xll.BDP("771694NF Muni","CPN")</f>
        <v>#N/A Requesting Data...</v>
      </c>
      <c r="K1370" t="str">
        <f>_xll.BDP("771694NF Muni","MATURITY")</f>
        <v>#N/A Requesting Data...</v>
      </c>
      <c r="L1370">
        <v>1530000</v>
      </c>
      <c r="M1370" t="str">
        <f>_xll.BDP("771694NF Muni","YIELD_ON_ISSUE_DATE")</f>
        <v>#N/A Requesting Data...</v>
      </c>
      <c r="N1370" t="str">
        <f>_xll.BDP("771694NF Muni","YTW_SPREAD_TO_MATURITY_AT_ISSU")</f>
        <v>#N/A Requesting Data...</v>
      </c>
      <c r="O1370" t="str">
        <f>_xll.BDP("771694NF Muni","BVAL_MID_YTM")</f>
        <v>#N/A Requesting Data...</v>
      </c>
      <c r="P1370" t="str">
        <f>_xll.BDP("771694NF Muni","MUNI_TAX_PROV")</f>
        <v>#N/A Requesting Data...</v>
      </c>
      <c r="Q1370" t="str">
        <f>_xll.BDP("771694NF Muni","MUNI_FED_TAX")</f>
        <v>#N/A Requesting Data...</v>
      </c>
      <c r="R1370" t="str">
        <f>_xll.BDP("771694NF Muni","MUNI_MSRB_VOLUME")</f>
        <v>#N/A Requesting Data...</v>
      </c>
      <c r="S1370" t="str">
        <f>_xll.BDP("771694NF Muni","BB_COMPOSITE")</f>
        <v>#N/A Requesting Data...</v>
      </c>
      <c r="T1370" t="str">
        <f>_xll.BDP("771694NF Muni","LQA_LIQUIDITY_SCORE")</f>
        <v>#N/A Requesting Data...</v>
      </c>
    </row>
    <row r="1371" spans="1:20" x14ac:dyDescent="0.25">
      <c r="A1371" t="str">
        <f>_xll.BDP("771694NG Muni","ID_CUSIP")</f>
        <v>#N/A Requesting Data...</v>
      </c>
      <c r="B1371" t="s">
        <v>345</v>
      </c>
      <c r="C1371" t="str">
        <f>_xll.BDP("771694NG Muni","INSURANCE_STATUS")</f>
        <v>#N/A Requesting Data...</v>
      </c>
      <c r="D1371" t="str">
        <f>_xll.BDP("771694NG Muni","STATE_CODE")</f>
        <v>#N/A Requesting Data...</v>
      </c>
      <c r="E1371" t="str">
        <f>_xll.BDP("771694NG Muni","COUNTY_LOCATION_ISSUER")</f>
        <v>#N/A Requesting Data...</v>
      </c>
      <c r="F1371" t="str">
        <f>_xll.BDP("771694NG Muni","DUR_ADJ_MID")</f>
        <v>#N/A Requesting Data...</v>
      </c>
      <c r="G1371" t="str">
        <f>_xll.BDP("771694NG Muni","SPREAD_AT_ISSUANCE_TO_WORST")</f>
        <v>#N/A Requesting Data...</v>
      </c>
      <c r="H1371" t="str">
        <f>_xll.BDP("771694NG Muni","ISSUE_DT")</f>
        <v>#N/A Requesting Data...</v>
      </c>
      <c r="I1371" t="str">
        <f>_xll.BDS("771694NG Muni","MUNI_PURPOSE_SCHED", "aggregate=y")</f>
        <v>#N/A Requesting Data...</v>
      </c>
      <c r="J1371" t="str">
        <f>_xll.BDP("771694NG Muni","CPN")</f>
        <v>#N/A Requesting Data...</v>
      </c>
      <c r="K1371" t="str">
        <f>_xll.BDP("771694NG Muni","MATURITY")</f>
        <v>#N/A Requesting Data...</v>
      </c>
      <c r="L1371">
        <v>1515000</v>
      </c>
      <c r="M1371" t="str">
        <f>_xll.BDP("771694NG Muni","YIELD_ON_ISSUE_DATE")</f>
        <v>#N/A Requesting Data...</v>
      </c>
      <c r="N1371" t="str">
        <f>_xll.BDP("771694NG Muni","YTW_SPREAD_TO_MATURITY_AT_ISSU")</f>
        <v>#N/A Requesting Data...</v>
      </c>
      <c r="O1371" t="str">
        <f>_xll.BDP("771694NG Muni","BVAL_MID_YTM")</f>
        <v>#N/A Requesting Data...</v>
      </c>
      <c r="P1371" t="str">
        <f>_xll.BDP("771694NG Muni","MUNI_TAX_PROV")</f>
        <v>#N/A Requesting Data...</v>
      </c>
      <c r="Q1371" t="str">
        <f>_xll.BDP("771694NG Muni","MUNI_FED_TAX")</f>
        <v>#N/A Requesting Data...</v>
      </c>
      <c r="R1371" t="str">
        <f>_xll.BDP("771694NG Muni","MUNI_MSRB_VOLUME")</f>
        <v>#N/A Requesting Data...</v>
      </c>
      <c r="S1371" t="str">
        <f>_xll.BDP("771694NG Muni","BB_COMPOSITE")</f>
        <v>#N/A Requesting Data...</v>
      </c>
      <c r="T1371" t="str">
        <f>_xll.BDP("771694NG Muni","LQA_LIQUIDITY_SCORE")</f>
        <v>#N/A Requesting Data...</v>
      </c>
    </row>
    <row r="1372" spans="1:20" x14ac:dyDescent="0.25">
      <c r="A1372" t="str">
        <f>_xll.BDP("772096KJ Muni","ID_CUSIP")</f>
        <v>#N/A Requesting Data...</v>
      </c>
      <c r="B1372" t="s">
        <v>346</v>
      </c>
      <c r="C1372" t="str">
        <f>_xll.BDP("772096KJ Muni","INSURANCE_STATUS")</f>
        <v>#N/A Requesting Data...</v>
      </c>
      <c r="D1372" t="str">
        <f>_xll.BDP("772096KJ Muni","STATE_CODE")</f>
        <v>#N/A Requesting Data...</v>
      </c>
      <c r="E1372" t="str">
        <f>_xll.BDP("772096KJ Muni","COUNTY_LOCATION_ISSUER")</f>
        <v>#N/A Requesting Data...</v>
      </c>
      <c r="F1372" t="str">
        <f>_xll.BDP("772096KJ Muni","DUR_ADJ_MID")</f>
        <v>#N/A Requesting Data...</v>
      </c>
      <c r="G1372" t="str">
        <f>_xll.BDP("772096KJ Muni","SPREAD_AT_ISSUANCE_TO_WORST")</f>
        <v>#N/A Requesting Data...</v>
      </c>
      <c r="H1372" t="str">
        <f>_xll.BDP("772096KJ Muni","ISSUE_DT")</f>
        <v>#N/A Requesting Data...</v>
      </c>
      <c r="I1372" t="str">
        <f>_xll.BDS("772096KJ Muni","MUNI_PURPOSE_SCHED", "aggregate=y")</f>
        <v>#N/A Requesting Data...</v>
      </c>
      <c r="J1372" t="str">
        <f>_xll.BDP("772096KJ Muni","CPN")</f>
        <v>#N/A Requesting Data...</v>
      </c>
      <c r="K1372" t="str">
        <f>_xll.BDP("772096KJ Muni","MATURITY")</f>
        <v>#N/A Requesting Data...</v>
      </c>
      <c r="L1372">
        <v>55000</v>
      </c>
      <c r="M1372" t="str">
        <f>_xll.BDP("772096KJ Muni","YIELD_ON_ISSUE_DATE")</f>
        <v>#N/A Requesting Data...</v>
      </c>
      <c r="N1372" t="str">
        <f>_xll.BDP("772096KJ Muni","YTW_SPREAD_TO_MATURITY_AT_ISSU")</f>
        <v>#N/A Requesting Data...</v>
      </c>
      <c r="O1372" t="str">
        <f>_xll.BDP("772096KJ Muni","BVAL_MID_YTM")</f>
        <v>#N/A Requesting Data...</v>
      </c>
      <c r="P1372" t="str">
        <f>_xll.BDP("772096KJ Muni","MUNI_TAX_PROV")</f>
        <v>#N/A Requesting Data...</v>
      </c>
      <c r="Q1372" t="str">
        <f>_xll.BDP("772096KJ Muni","MUNI_FED_TAX")</f>
        <v>#N/A Requesting Data...</v>
      </c>
      <c r="R1372" t="str">
        <f>_xll.BDP("772096KJ Muni","MUNI_MSRB_VOLUME")</f>
        <v>#N/A Requesting Data...</v>
      </c>
      <c r="S1372" t="str">
        <f>_xll.BDP("772096KJ Muni","BB_COMPOSITE")</f>
        <v>#N/A Requesting Data...</v>
      </c>
      <c r="T1372" t="str">
        <f>_xll.BDP("772096KJ Muni","LQA_LIQUIDITY_SCORE")</f>
        <v>#N/A Requesting Data...</v>
      </c>
    </row>
    <row r="1373" spans="1:20" x14ac:dyDescent="0.25">
      <c r="A1373" t="str">
        <f>_xll.BDP("772096KK Muni","ID_CUSIP")</f>
        <v>#N/A Requesting Data...</v>
      </c>
      <c r="B1373" t="s">
        <v>346</v>
      </c>
      <c r="C1373" t="str">
        <f>_xll.BDP("772096KK Muni","INSURANCE_STATUS")</f>
        <v>#N/A Requesting Data...</v>
      </c>
      <c r="D1373" t="str">
        <f>_xll.BDP("772096KK Muni","STATE_CODE")</f>
        <v>#N/A Requesting Data...</v>
      </c>
      <c r="E1373" t="str">
        <f>_xll.BDP("772096KK Muni","COUNTY_LOCATION_ISSUER")</f>
        <v>#N/A Requesting Data...</v>
      </c>
      <c r="F1373" t="str">
        <f>_xll.BDP("772096KK Muni","DUR_ADJ_MID")</f>
        <v>#N/A Requesting Data...</v>
      </c>
      <c r="G1373" t="str">
        <f>_xll.BDP("772096KK Muni","SPREAD_AT_ISSUANCE_TO_WORST")</f>
        <v>#N/A Requesting Data...</v>
      </c>
      <c r="H1373" t="str">
        <f>_xll.BDP("772096KK Muni","ISSUE_DT")</f>
        <v>#N/A Requesting Data...</v>
      </c>
      <c r="I1373" t="str">
        <f>_xll.BDS("772096KK Muni","MUNI_PURPOSE_SCHED", "aggregate=y")</f>
        <v>#N/A Requesting Data...</v>
      </c>
      <c r="J1373" t="str">
        <f>_xll.BDP("772096KK Muni","CPN")</f>
        <v>#N/A Requesting Data...</v>
      </c>
      <c r="K1373" t="str">
        <f>_xll.BDP("772096KK Muni","MATURITY")</f>
        <v>#N/A Requesting Data...</v>
      </c>
      <c r="L1373">
        <v>60000</v>
      </c>
      <c r="M1373" t="str">
        <f>_xll.BDP("772096KK Muni","YIELD_ON_ISSUE_DATE")</f>
        <v>#N/A Requesting Data...</v>
      </c>
      <c r="N1373" t="str">
        <f>_xll.BDP("772096KK Muni","YTW_SPREAD_TO_MATURITY_AT_ISSU")</f>
        <v>#N/A Requesting Data...</v>
      </c>
      <c r="O1373" t="str">
        <f>_xll.BDP("772096KK Muni","BVAL_MID_YTM")</f>
        <v>#N/A Requesting Data...</v>
      </c>
      <c r="P1373" t="str">
        <f>_xll.BDP("772096KK Muni","MUNI_TAX_PROV")</f>
        <v>#N/A Requesting Data...</v>
      </c>
      <c r="Q1373" t="str">
        <f>_xll.BDP("772096KK Muni","MUNI_FED_TAX")</f>
        <v>#N/A Requesting Data...</v>
      </c>
      <c r="R1373" t="str">
        <f>_xll.BDP("772096KK Muni","MUNI_MSRB_VOLUME")</f>
        <v>#N/A Requesting Data...</v>
      </c>
      <c r="S1373" t="str">
        <f>_xll.BDP("772096KK Muni","BB_COMPOSITE")</f>
        <v>#N/A Requesting Data...</v>
      </c>
      <c r="T1373" t="str">
        <f>_xll.BDP("772096KK Muni","LQA_LIQUIDITY_SCORE")</f>
        <v>#N/A Requesting Data...</v>
      </c>
    </row>
    <row r="1374" spans="1:20" x14ac:dyDescent="0.25">
      <c r="A1374" t="str">
        <f>_xll.BDP("772096KL Muni","ID_CUSIP")</f>
        <v>#N/A Requesting Data...</v>
      </c>
      <c r="B1374" t="s">
        <v>346</v>
      </c>
      <c r="C1374" t="str">
        <f>_xll.BDP("772096KL Muni","INSURANCE_STATUS")</f>
        <v>#N/A Requesting Data...</v>
      </c>
      <c r="D1374" t="str">
        <f>_xll.BDP("772096KL Muni","STATE_CODE")</f>
        <v>#N/A Requesting Data...</v>
      </c>
      <c r="E1374" t="str">
        <f>_xll.BDP("772096KL Muni","COUNTY_LOCATION_ISSUER")</f>
        <v>#N/A Requesting Data...</v>
      </c>
      <c r="F1374" t="str">
        <f>_xll.BDP("772096KL Muni","DUR_ADJ_MID")</f>
        <v>#N/A Requesting Data...</v>
      </c>
      <c r="G1374" t="str">
        <f>_xll.BDP("772096KL Muni","SPREAD_AT_ISSUANCE_TO_WORST")</f>
        <v>#N/A Requesting Data...</v>
      </c>
      <c r="H1374" t="str">
        <f>_xll.BDP("772096KL Muni","ISSUE_DT")</f>
        <v>#N/A Requesting Data...</v>
      </c>
      <c r="I1374" t="str">
        <f>_xll.BDS("772096KL Muni","MUNI_PURPOSE_SCHED", "aggregate=y")</f>
        <v>#N/A Requesting Data...</v>
      </c>
      <c r="J1374" t="str">
        <f>_xll.BDP("772096KL Muni","CPN")</f>
        <v>#N/A Requesting Data...</v>
      </c>
      <c r="K1374" t="str">
        <f>_xll.BDP("772096KL Muni","MATURITY")</f>
        <v>#N/A Requesting Data...</v>
      </c>
      <c r="L1374">
        <v>60000</v>
      </c>
      <c r="M1374" t="str">
        <f>_xll.BDP("772096KL Muni","YIELD_ON_ISSUE_DATE")</f>
        <v>#N/A Requesting Data...</v>
      </c>
      <c r="N1374" t="str">
        <f>_xll.BDP("772096KL Muni","YTW_SPREAD_TO_MATURITY_AT_ISSU")</f>
        <v>#N/A Requesting Data...</v>
      </c>
      <c r="O1374" t="str">
        <f>_xll.BDP("772096KL Muni","BVAL_MID_YTM")</f>
        <v>#N/A Requesting Data...</v>
      </c>
      <c r="P1374" t="str">
        <f>_xll.BDP("772096KL Muni","MUNI_TAX_PROV")</f>
        <v>#N/A Requesting Data...</v>
      </c>
      <c r="Q1374" t="str">
        <f>_xll.BDP("772096KL Muni","MUNI_FED_TAX")</f>
        <v>#N/A Requesting Data...</v>
      </c>
      <c r="R1374" t="str">
        <f>_xll.BDP("772096KL Muni","MUNI_MSRB_VOLUME")</f>
        <v>#N/A Requesting Data...</v>
      </c>
      <c r="S1374" t="str">
        <f>_xll.BDP("772096KL Muni","BB_COMPOSITE")</f>
        <v>#N/A Requesting Data...</v>
      </c>
      <c r="T1374" t="str">
        <f>_xll.BDP("772096KL Muni","LQA_LIQUIDITY_SCORE")</f>
        <v>#N/A Requesting Data...</v>
      </c>
    </row>
    <row r="1375" spans="1:20" x14ac:dyDescent="0.25">
      <c r="A1375" t="str">
        <f>_xll.BDP("772096KM Muni","ID_CUSIP")</f>
        <v>#N/A Requesting Data...</v>
      </c>
      <c r="B1375" t="s">
        <v>346</v>
      </c>
      <c r="C1375" t="str">
        <f>_xll.BDP("772096KM Muni","INSURANCE_STATUS")</f>
        <v>#N/A Requesting Data...</v>
      </c>
      <c r="D1375" t="str">
        <f>_xll.BDP("772096KM Muni","STATE_CODE")</f>
        <v>#N/A Requesting Data...</v>
      </c>
      <c r="E1375" t="str">
        <f>_xll.BDP("772096KM Muni","COUNTY_LOCATION_ISSUER")</f>
        <v>#N/A Requesting Data...</v>
      </c>
      <c r="F1375" t="str">
        <f>_xll.BDP("772096KM Muni","DUR_ADJ_MID")</f>
        <v>#N/A Requesting Data...</v>
      </c>
      <c r="G1375" t="str">
        <f>_xll.BDP("772096KM Muni","SPREAD_AT_ISSUANCE_TO_WORST")</f>
        <v>#N/A Requesting Data...</v>
      </c>
      <c r="H1375" t="str">
        <f>_xll.BDP("772096KM Muni","ISSUE_DT")</f>
        <v>#N/A Requesting Data...</v>
      </c>
      <c r="I1375" t="str">
        <f>_xll.BDS("772096KM Muni","MUNI_PURPOSE_SCHED", "aggregate=y")</f>
        <v>#N/A Requesting Data...</v>
      </c>
      <c r="J1375" t="str">
        <f>_xll.BDP("772096KM Muni","CPN")</f>
        <v>#N/A Requesting Data...</v>
      </c>
      <c r="K1375" t="str">
        <f>_xll.BDP("772096KM Muni","MATURITY")</f>
        <v>#N/A Requesting Data...</v>
      </c>
      <c r="L1375">
        <v>60000</v>
      </c>
      <c r="M1375" t="str">
        <f>_xll.BDP("772096KM Muni","YIELD_ON_ISSUE_DATE")</f>
        <v>#N/A Requesting Data...</v>
      </c>
      <c r="N1375" t="str">
        <f>_xll.BDP("772096KM Muni","YTW_SPREAD_TO_MATURITY_AT_ISSU")</f>
        <v>#N/A Requesting Data...</v>
      </c>
      <c r="O1375" t="str">
        <f>_xll.BDP("772096KM Muni","BVAL_MID_YTM")</f>
        <v>#N/A Requesting Data...</v>
      </c>
      <c r="P1375" t="str">
        <f>_xll.BDP("772096KM Muni","MUNI_TAX_PROV")</f>
        <v>#N/A Requesting Data...</v>
      </c>
      <c r="Q1375" t="str">
        <f>_xll.BDP("772096KM Muni","MUNI_FED_TAX")</f>
        <v>#N/A Requesting Data...</v>
      </c>
      <c r="R1375" t="str">
        <f>_xll.BDP("772096KM Muni","MUNI_MSRB_VOLUME")</f>
        <v>#N/A Requesting Data...</v>
      </c>
      <c r="S1375" t="str">
        <f>_xll.BDP("772096KM Muni","BB_COMPOSITE")</f>
        <v>#N/A Requesting Data...</v>
      </c>
      <c r="T1375" t="str">
        <f>_xll.BDP("772096KM Muni","LQA_LIQUIDITY_SCORE")</f>
        <v>#N/A Requesting Data...</v>
      </c>
    </row>
    <row r="1376" spans="1:20" x14ac:dyDescent="0.25">
      <c r="A1376" t="str">
        <f>_xll.BDP("520192QU Muni","ID_CUSIP")</f>
        <v>#N/A Requesting Data...</v>
      </c>
      <c r="B1376" t="s">
        <v>299</v>
      </c>
      <c r="C1376" t="str">
        <f>_xll.BDP("520192QU Muni","INSURANCE_STATUS")</f>
        <v>#N/A Requesting Data...</v>
      </c>
      <c r="D1376" t="str">
        <f>_xll.BDP("520192QU Muni","STATE_CODE")</f>
        <v>#N/A Requesting Data...</v>
      </c>
      <c r="E1376" t="str">
        <f>_xll.BDP("520192QU Muni","COUNTY_LOCATION_ISSUER")</f>
        <v>#N/A Requesting Data...</v>
      </c>
      <c r="F1376" t="str">
        <f>_xll.BDP("520192QU Muni","DUR_ADJ_MID")</f>
        <v>#N/A Requesting Data...</v>
      </c>
      <c r="G1376" t="str">
        <f>_xll.BDP("520192QU Muni","SPREAD_AT_ISSUANCE_TO_WORST")</f>
        <v>#N/A Requesting Data...</v>
      </c>
      <c r="H1376" t="str">
        <f>_xll.BDP("520192QU Muni","ISSUE_DT")</f>
        <v>#N/A Requesting Data...</v>
      </c>
      <c r="I1376" t="str">
        <f>_xll.BDS("520192QU Muni","MUNI_PURPOSE_SCHED", "aggregate=y")</f>
        <v>#N/A Requesting Data...</v>
      </c>
      <c r="J1376" t="str">
        <f>_xll.BDP("520192QU Muni","CPN")</f>
        <v>#N/A Requesting Data...</v>
      </c>
      <c r="K1376" t="str">
        <f>_xll.BDP("520192QU Muni","MATURITY")</f>
        <v>#N/A Requesting Data...</v>
      </c>
      <c r="L1376">
        <v>760000</v>
      </c>
      <c r="M1376" t="str">
        <f>_xll.BDP("520192QU Muni","YIELD_ON_ISSUE_DATE")</f>
        <v>#N/A Requesting Data...</v>
      </c>
      <c r="N1376" t="str">
        <f>_xll.BDP("520192QU Muni","YTW_SPREAD_TO_MATURITY_AT_ISSU")</f>
        <v>#N/A Requesting Data...</v>
      </c>
      <c r="O1376" t="str">
        <f>_xll.BDP("520192QU Muni","BVAL_MID_YTM")</f>
        <v>#N/A Requesting Data...</v>
      </c>
      <c r="P1376" t="str">
        <f>_xll.BDP("520192QU Muni","MUNI_TAX_PROV")</f>
        <v>#N/A Requesting Data...</v>
      </c>
      <c r="Q1376" t="str">
        <f>_xll.BDP("520192QU Muni","MUNI_FED_TAX")</f>
        <v>#N/A Requesting Data...</v>
      </c>
      <c r="R1376" t="str">
        <f>_xll.BDP("520192QU Muni","MUNI_MSRB_VOLUME")</f>
        <v>#N/A Requesting Data...</v>
      </c>
      <c r="S1376" t="str">
        <f>_xll.BDP("520192QU Muni","BB_COMPOSITE")</f>
        <v>#N/A Requesting Data...</v>
      </c>
      <c r="T1376" t="str">
        <f>_xll.BDP("520192QU Muni","LQA_LIQUIDITY_SCORE")</f>
        <v>#N/A Requesting Data...</v>
      </c>
    </row>
    <row r="1377" spans="1:20" x14ac:dyDescent="0.25">
      <c r="A1377" t="str">
        <f>_xll.BDP("520192QX Muni","ID_CUSIP")</f>
        <v>#N/A Requesting Data...</v>
      </c>
      <c r="B1377" t="s">
        <v>299</v>
      </c>
      <c r="C1377" t="str">
        <f>_xll.BDP("520192QX Muni","INSURANCE_STATUS")</f>
        <v>#N/A Requesting Data...</v>
      </c>
      <c r="D1377" t="str">
        <f>_xll.BDP("520192QX Muni","STATE_CODE")</f>
        <v>#N/A Requesting Data...</v>
      </c>
      <c r="E1377" t="str">
        <f>_xll.BDP("520192QX Muni","COUNTY_LOCATION_ISSUER")</f>
        <v>#N/A Requesting Data...</v>
      </c>
      <c r="F1377" t="str">
        <f>_xll.BDP("520192QX Muni","DUR_ADJ_MID")</f>
        <v>#N/A Requesting Data...</v>
      </c>
      <c r="G1377" t="str">
        <f>_xll.BDP("520192QX Muni","SPREAD_AT_ISSUANCE_TO_WORST")</f>
        <v>#N/A Requesting Data...</v>
      </c>
      <c r="H1377" t="str">
        <f>_xll.BDP("520192QX Muni","ISSUE_DT")</f>
        <v>#N/A Requesting Data...</v>
      </c>
      <c r="I1377" t="str">
        <f>_xll.BDS("520192QX Muni","MUNI_PURPOSE_SCHED", "aggregate=y")</f>
        <v>#N/A Requesting Data...</v>
      </c>
      <c r="J1377" t="str">
        <f>_xll.BDP("520192QX Muni","CPN")</f>
        <v>#N/A Requesting Data...</v>
      </c>
      <c r="K1377" t="str">
        <f>_xll.BDP("520192QX Muni","MATURITY")</f>
        <v>#N/A Requesting Data...</v>
      </c>
      <c r="L1377">
        <v>875000</v>
      </c>
      <c r="M1377" t="str">
        <f>_xll.BDP("520192QX Muni","YIELD_ON_ISSUE_DATE")</f>
        <v>#N/A Requesting Data...</v>
      </c>
      <c r="N1377" t="str">
        <f>_xll.BDP("520192QX Muni","YTW_SPREAD_TO_MATURITY_AT_ISSU")</f>
        <v>#N/A Requesting Data...</v>
      </c>
      <c r="O1377" t="str">
        <f>_xll.BDP("520192QX Muni","BVAL_MID_YTM")</f>
        <v>#N/A Requesting Data...</v>
      </c>
      <c r="P1377" t="str">
        <f>_xll.BDP("520192QX Muni","MUNI_TAX_PROV")</f>
        <v>#N/A Requesting Data...</v>
      </c>
      <c r="Q1377" t="str">
        <f>_xll.BDP("520192QX Muni","MUNI_FED_TAX")</f>
        <v>#N/A Requesting Data...</v>
      </c>
      <c r="R1377" t="str">
        <f>_xll.BDP("520192QX Muni","MUNI_MSRB_VOLUME")</f>
        <v>#N/A Requesting Data...</v>
      </c>
      <c r="S1377" t="str">
        <f>_xll.BDP("520192QX Muni","BB_COMPOSITE")</f>
        <v>#N/A Requesting Data...</v>
      </c>
      <c r="T1377" t="str">
        <f>_xll.BDP("520192QX Muni","LQA_LIQUIDITY_SCORE")</f>
        <v>#N/A Requesting Data...</v>
      </c>
    </row>
    <row r="1378" spans="1:20" x14ac:dyDescent="0.25">
      <c r="A1378" t="str">
        <f>_xll.BDP("558614HW Muni","ID_CUSIP")</f>
        <v>#N/A Requesting Data...</v>
      </c>
      <c r="B1378" t="s">
        <v>323</v>
      </c>
      <c r="C1378" t="str">
        <f>_xll.BDP("558614HW Muni","INSURANCE_STATUS")</f>
        <v>#N/A Requesting Data...</v>
      </c>
      <c r="D1378" t="str">
        <f>_xll.BDP("558614HW Muni","STATE_CODE")</f>
        <v>#N/A Requesting Data...</v>
      </c>
      <c r="E1378" t="str">
        <f>_xll.BDP("558614HW Muni","COUNTY_LOCATION_ISSUER")</f>
        <v>#N/A Requesting Data...</v>
      </c>
      <c r="F1378" t="str">
        <f>_xll.BDP("558614HW Muni","DUR_ADJ_MID")</f>
        <v>#N/A Requesting Data...</v>
      </c>
      <c r="G1378" t="str">
        <f>_xll.BDP("558614HW Muni","SPREAD_AT_ISSUANCE_TO_WORST")</f>
        <v>#N/A Requesting Data...</v>
      </c>
      <c r="H1378" t="str">
        <f>_xll.BDP("558614HW Muni","ISSUE_DT")</f>
        <v>#N/A Requesting Data...</v>
      </c>
      <c r="I1378" t="str">
        <f>_xll.BDS("558614HW Muni","MUNI_PURPOSE_SCHED", "aggregate=y")</f>
        <v>#N/A Requesting Data...</v>
      </c>
      <c r="J1378" t="str">
        <f>_xll.BDP("558614HW Muni","CPN")</f>
        <v>#N/A Requesting Data...</v>
      </c>
      <c r="K1378" t="str">
        <f>_xll.BDP("558614HW Muni","MATURITY")</f>
        <v>#N/A Requesting Data...</v>
      </c>
      <c r="L1378">
        <v>1165000</v>
      </c>
      <c r="M1378" t="str">
        <f>_xll.BDP("558614HW Muni","YIELD_ON_ISSUE_DATE")</f>
        <v>#N/A Requesting Data...</v>
      </c>
      <c r="N1378" t="str">
        <f>_xll.BDP("558614HW Muni","YTW_SPREAD_TO_MATURITY_AT_ISSU")</f>
        <v>#N/A Requesting Data...</v>
      </c>
      <c r="O1378" t="str">
        <f>_xll.BDP("558614HW Muni","BVAL_MID_YTM")</f>
        <v>#N/A Requesting Data...</v>
      </c>
      <c r="P1378" t="str">
        <f>_xll.BDP("558614HW Muni","MUNI_TAX_PROV")</f>
        <v>#N/A Requesting Data...</v>
      </c>
      <c r="Q1378" t="str">
        <f>_xll.BDP("558614HW Muni","MUNI_FED_TAX")</f>
        <v>#N/A Requesting Data...</v>
      </c>
      <c r="R1378" t="str">
        <f>_xll.BDP("558614HW Muni","MUNI_MSRB_VOLUME")</f>
        <v>#N/A Requesting Data...</v>
      </c>
      <c r="S1378" t="str">
        <f>_xll.BDP("558614HW Muni","BB_COMPOSITE")</f>
        <v>#N/A Requesting Data...</v>
      </c>
      <c r="T1378" t="str">
        <f>_xll.BDP("558614HW Muni","LQA_LIQUIDITY_SCORE")</f>
        <v>#N/A Requesting Data...</v>
      </c>
    </row>
    <row r="1379" spans="1:20" x14ac:dyDescent="0.25">
      <c r="A1379" t="str">
        <f>_xll.BDP("558614HX Muni","ID_CUSIP")</f>
        <v>#N/A Requesting Data...</v>
      </c>
      <c r="B1379" t="s">
        <v>323</v>
      </c>
      <c r="C1379" t="str">
        <f>_xll.BDP("558614HX Muni","INSURANCE_STATUS")</f>
        <v>#N/A Requesting Data...</v>
      </c>
      <c r="D1379" t="str">
        <f>_xll.BDP("558614HX Muni","STATE_CODE")</f>
        <v>#N/A Requesting Data...</v>
      </c>
      <c r="E1379" t="str">
        <f>_xll.BDP("558614HX Muni","COUNTY_LOCATION_ISSUER")</f>
        <v>#N/A Requesting Data...</v>
      </c>
      <c r="F1379" t="str">
        <f>_xll.BDP("558614HX Muni","DUR_ADJ_MID")</f>
        <v>#N/A Requesting Data...</v>
      </c>
      <c r="G1379" t="str">
        <f>_xll.BDP("558614HX Muni","SPREAD_AT_ISSUANCE_TO_WORST")</f>
        <v>#N/A Requesting Data...</v>
      </c>
      <c r="H1379" t="str">
        <f>_xll.BDP("558614HX Muni","ISSUE_DT")</f>
        <v>#N/A Requesting Data...</v>
      </c>
      <c r="I1379" t="str">
        <f>_xll.BDS("558614HX Muni","MUNI_PURPOSE_SCHED", "aggregate=y")</f>
        <v>#N/A Requesting Data...</v>
      </c>
      <c r="J1379" t="str">
        <f>_xll.BDP("558614HX Muni","CPN")</f>
        <v>#N/A Requesting Data...</v>
      </c>
      <c r="K1379" t="str">
        <f>_xll.BDP("558614HX Muni","MATURITY")</f>
        <v>#N/A Requesting Data...</v>
      </c>
      <c r="L1379">
        <v>1210000</v>
      </c>
      <c r="M1379" t="str">
        <f>_xll.BDP("558614HX Muni","YIELD_ON_ISSUE_DATE")</f>
        <v>#N/A Requesting Data...</v>
      </c>
      <c r="N1379" t="str">
        <f>_xll.BDP("558614HX Muni","YTW_SPREAD_TO_MATURITY_AT_ISSU")</f>
        <v>#N/A Requesting Data...</v>
      </c>
      <c r="O1379" t="str">
        <f>_xll.BDP("558614HX Muni","BVAL_MID_YTM")</f>
        <v>#N/A Requesting Data...</v>
      </c>
      <c r="P1379" t="str">
        <f>_xll.BDP("558614HX Muni","MUNI_TAX_PROV")</f>
        <v>#N/A Requesting Data...</v>
      </c>
      <c r="Q1379" t="str">
        <f>_xll.BDP("558614HX Muni","MUNI_FED_TAX")</f>
        <v>#N/A Requesting Data...</v>
      </c>
      <c r="R1379" t="str">
        <f>_xll.BDP("558614HX Muni","MUNI_MSRB_VOLUME")</f>
        <v>#N/A Requesting Data...</v>
      </c>
      <c r="S1379" t="str">
        <f>_xll.BDP("558614HX Muni","BB_COMPOSITE")</f>
        <v>#N/A Requesting Data...</v>
      </c>
      <c r="T1379" t="str">
        <f>_xll.BDP("558614HX Muni","LQA_LIQUIDITY_SCORE")</f>
        <v>#N/A Requesting Data...</v>
      </c>
    </row>
    <row r="1380" spans="1:20" x14ac:dyDescent="0.25">
      <c r="A1380" t="str">
        <f>_xll.BDP("558614HZ Muni","ID_CUSIP")</f>
        <v>#N/A Requesting Data...</v>
      </c>
      <c r="B1380" t="s">
        <v>323</v>
      </c>
      <c r="C1380" t="str">
        <f>_xll.BDP("558614HZ Muni","INSURANCE_STATUS")</f>
        <v>#N/A Requesting Data...</v>
      </c>
      <c r="D1380" t="str">
        <f>_xll.BDP("558614HZ Muni","STATE_CODE")</f>
        <v>#N/A Requesting Data...</v>
      </c>
      <c r="E1380" t="str">
        <f>_xll.BDP("558614HZ Muni","COUNTY_LOCATION_ISSUER")</f>
        <v>#N/A Requesting Data...</v>
      </c>
      <c r="F1380" t="str">
        <f>_xll.BDP("558614HZ Muni","DUR_ADJ_MID")</f>
        <v>#N/A Requesting Data...</v>
      </c>
      <c r="G1380" t="str">
        <f>_xll.BDP("558614HZ Muni","SPREAD_AT_ISSUANCE_TO_WORST")</f>
        <v>#N/A Requesting Data...</v>
      </c>
      <c r="H1380" t="str">
        <f>_xll.BDP("558614HZ Muni","ISSUE_DT")</f>
        <v>#N/A Requesting Data...</v>
      </c>
      <c r="I1380" t="str">
        <f>_xll.BDS("558614HZ Muni","MUNI_PURPOSE_SCHED", "aggregate=y")</f>
        <v>#N/A Requesting Data...</v>
      </c>
      <c r="J1380" t="str">
        <f>_xll.BDP("558614HZ Muni","CPN")</f>
        <v>#N/A Requesting Data...</v>
      </c>
      <c r="K1380" t="str">
        <f>_xll.BDP("558614HZ Muni","MATURITY")</f>
        <v>#N/A Requesting Data...</v>
      </c>
      <c r="L1380">
        <v>1310000</v>
      </c>
      <c r="M1380" t="str">
        <f>_xll.BDP("558614HZ Muni","YIELD_ON_ISSUE_DATE")</f>
        <v>#N/A Requesting Data...</v>
      </c>
      <c r="N1380" t="str">
        <f>_xll.BDP("558614HZ Muni","YTW_SPREAD_TO_MATURITY_AT_ISSU")</f>
        <v>#N/A Requesting Data...</v>
      </c>
      <c r="O1380" t="str">
        <f>_xll.BDP("558614HZ Muni","BVAL_MID_YTM")</f>
        <v>#N/A Requesting Data...</v>
      </c>
      <c r="P1380" t="str">
        <f>_xll.BDP("558614HZ Muni","MUNI_TAX_PROV")</f>
        <v>#N/A Requesting Data...</v>
      </c>
      <c r="Q1380" t="str">
        <f>_xll.BDP("558614HZ Muni","MUNI_FED_TAX")</f>
        <v>#N/A Requesting Data...</v>
      </c>
      <c r="R1380" t="str">
        <f>_xll.BDP("558614HZ Muni","MUNI_MSRB_VOLUME")</f>
        <v>#N/A Requesting Data...</v>
      </c>
      <c r="S1380" t="str">
        <f>_xll.BDP("558614HZ Muni","BB_COMPOSITE")</f>
        <v>#N/A Requesting Data...</v>
      </c>
      <c r="T1380" t="str">
        <f>_xll.BDP("558614HZ Muni","LQA_LIQUIDITY_SCORE")</f>
        <v>#N/A Requesting Data...</v>
      </c>
    </row>
    <row r="1381" spans="1:20" x14ac:dyDescent="0.25">
      <c r="A1381" t="str">
        <f>_xll.BDP("558614JA Muni","ID_CUSIP")</f>
        <v>#N/A Requesting Data...</v>
      </c>
      <c r="B1381" t="s">
        <v>323</v>
      </c>
      <c r="C1381" t="str">
        <f>_xll.BDP("558614JA Muni","INSURANCE_STATUS")</f>
        <v>#N/A Requesting Data...</v>
      </c>
      <c r="D1381" t="str">
        <f>_xll.BDP("558614JA Muni","STATE_CODE")</f>
        <v>#N/A Requesting Data...</v>
      </c>
      <c r="E1381" t="str">
        <f>_xll.BDP("558614JA Muni","COUNTY_LOCATION_ISSUER")</f>
        <v>#N/A Requesting Data...</v>
      </c>
      <c r="F1381" t="str">
        <f>_xll.BDP("558614JA Muni","DUR_ADJ_MID")</f>
        <v>#N/A Requesting Data...</v>
      </c>
      <c r="G1381" t="str">
        <f>_xll.BDP("558614JA Muni","SPREAD_AT_ISSUANCE_TO_WORST")</f>
        <v>#N/A Requesting Data...</v>
      </c>
      <c r="H1381" t="str">
        <f>_xll.BDP("558614JA Muni","ISSUE_DT")</f>
        <v>#N/A Requesting Data...</v>
      </c>
      <c r="I1381" t="str">
        <f>_xll.BDS("558614JA Muni","MUNI_PURPOSE_SCHED", "aggregate=y")</f>
        <v>#N/A Requesting Data...</v>
      </c>
      <c r="J1381" t="str">
        <f>_xll.BDP("558614JA Muni","CPN")</f>
        <v>#N/A Requesting Data...</v>
      </c>
      <c r="K1381" t="str">
        <f>_xll.BDP("558614JA Muni","MATURITY")</f>
        <v>#N/A Requesting Data...</v>
      </c>
      <c r="L1381">
        <v>1360000</v>
      </c>
      <c r="M1381" t="str">
        <f>_xll.BDP("558614JA Muni","YIELD_ON_ISSUE_DATE")</f>
        <v>#N/A Requesting Data...</v>
      </c>
      <c r="N1381" t="str">
        <f>_xll.BDP("558614JA Muni","YTW_SPREAD_TO_MATURITY_AT_ISSU")</f>
        <v>#N/A Requesting Data...</v>
      </c>
      <c r="O1381" t="str">
        <f>_xll.BDP("558614JA Muni","BVAL_MID_YTM")</f>
        <v>#N/A Requesting Data...</v>
      </c>
      <c r="P1381" t="str">
        <f>_xll.BDP("558614JA Muni","MUNI_TAX_PROV")</f>
        <v>#N/A Requesting Data...</v>
      </c>
      <c r="Q1381" t="str">
        <f>_xll.BDP("558614JA Muni","MUNI_FED_TAX")</f>
        <v>#N/A Requesting Data...</v>
      </c>
      <c r="R1381" t="str">
        <f>_xll.BDP("558614JA Muni","MUNI_MSRB_VOLUME")</f>
        <v>#N/A Requesting Data...</v>
      </c>
      <c r="S1381" t="str">
        <f>_xll.BDP("558614JA Muni","BB_COMPOSITE")</f>
        <v>#N/A Requesting Data...</v>
      </c>
      <c r="T1381" t="str">
        <f>_xll.BDP("558614JA Muni","LQA_LIQUIDITY_SCORE")</f>
        <v>#N/A Requesting Data...</v>
      </c>
    </row>
    <row r="1382" spans="1:20" x14ac:dyDescent="0.25">
      <c r="A1382" t="str">
        <f>_xll.BDP("558614JT Muni","ID_CUSIP")</f>
        <v>#N/A Requesting Data...</v>
      </c>
      <c r="B1382" t="s">
        <v>323</v>
      </c>
      <c r="C1382" t="str">
        <f>_xll.BDP("558614JT Muni","INSURANCE_STATUS")</f>
        <v>#N/A Requesting Data...</v>
      </c>
      <c r="D1382" t="str">
        <f>_xll.BDP("558614JT Muni","STATE_CODE")</f>
        <v>#N/A Requesting Data...</v>
      </c>
      <c r="E1382" t="str">
        <f>_xll.BDP("558614JT Muni","COUNTY_LOCATION_ISSUER")</f>
        <v>#N/A Requesting Data...</v>
      </c>
      <c r="F1382" t="str">
        <f>_xll.BDP("558614JT Muni","DUR_ADJ_MID")</f>
        <v>#N/A Requesting Data...</v>
      </c>
      <c r="G1382" t="str">
        <f>_xll.BDP("558614JT Muni","SPREAD_AT_ISSUANCE_TO_WORST")</f>
        <v>#N/A Requesting Data...</v>
      </c>
      <c r="H1382" t="str">
        <f>_xll.BDP("558614JT Muni","ISSUE_DT")</f>
        <v>#N/A Requesting Data...</v>
      </c>
      <c r="I1382" t="str">
        <f>_xll.BDS("558614JT Muni","MUNI_PURPOSE_SCHED", "aggregate=y")</f>
        <v>#N/A Requesting Data...</v>
      </c>
      <c r="J1382" t="str">
        <f>_xll.BDP("558614JT Muni","CPN")</f>
        <v>#N/A Requesting Data...</v>
      </c>
      <c r="K1382" t="str">
        <f>_xll.BDP("558614JT Muni","MATURITY")</f>
        <v>#N/A Requesting Data...</v>
      </c>
      <c r="L1382">
        <v>1040000</v>
      </c>
      <c r="M1382" t="str">
        <f>_xll.BDP("558614JT Muni","YIELD_ON_ISSUE_DATE")</f>
        <v>#N/A Requesting Data...</v>
      </c>
      <c r="N1382" t="str">
        <f>_xll.BDP("558614JT Muni","YTW_SPREAD_TO_MATURITY_AT_ISSU")</f>
        <v>#N/A Requesting Data...</v>
      </c>
      <c r="O1382" t="str">
        <f>_xll.BDP("558614JT Muni","BVAL_MID_YTM")</f>
        <v>#N/A Requesting Data...</v>
      </c>
      <c r="P1382" t="str">
        <f>_xll.BDP("558614JT Muni","MUNI_TAX_PROV")</f>
        <v>#N/A Requesting Data...</v>
      </c>
      <c r="Q1382" t="str">
        <f>_xll.BDP("558614JT Muni","MUNI_FED_TAX")</f>
        <v>#N/A Requesting Data...</v>
      </c>
      <c r="R1382" t="str">
        <f>_xll.BDP("558614JT Muni","MUNI_MSRB_VOLUME")</f>
        <v>#N/A Requesting Data...</v>
      </c>
      <c r="S1382" t="str">
        <f>_xll.BDP("558614JT Muni","BB_COMPOSITE")</f>
        <v>#N/A Requesting Data...</v>
      </c>
      <c r="T1382" t="str">
        <f>_xll.BDP("558614JT Muni","LQA_LIQUIDITY_SCORE")</f>
        <v>#N/A Requesting Data...</v>
      </c>
    </row>
    <row r="1383" spans="1:20" x14ac:dyDescent="0.25">
      <c r="A1383" t="str">
        <f>_xll.BDP("558614JU Muni","ID_CUSIP")</f>
        <v>#N/A Requesting Data...</v>
      </c>
      <c r="B1383" t="s">
        <v>323</v>
      </c>
      <c r="C1383" t="str">
        <f>_xll.BDP("558614JU Muni","INSURANCE_STATUS")</f>
        <v>#N/A Requesting Data...</v>
      </c>
      <c r="D1383" t="str">
        <f>_xll.BDP("558614JU Muni","STATE_CODE")</f>
        <v>#N/A Requesting Data...</v>
      </c>
      <c r="E1383" t="str">
        <f>_xll.BDP("558614JU Muni","COUNTY_LOCATION_ISSUER")</f>
        <v>#N/A Requesting Data...</v>
      </c>
      <c r="F1383" t="str">
        <f>_xll.BDP("558614JU Muni","DUR_ADJ_MID")</f>
        <v>#N/A Requesting Data...</v>
      </c>
      <c r="G1383" t="str">
        <f>_xll.BDP("558614JU Muni","SPREAD_AT_ISSUANCE_TO_WORST")</f>
        <v>#N/A Requesting Data...</v>
      </c>
      <c r="H1383" t="str">
        <f>_xll.BDP("558614JU Muni","ISSUE_DT")</f>
        <v>#N/A Requesting Data...</v>
      </c>
      <c r="I1383" t="str">
        <f>_xll.BDS("558614JU Muni","MUNI_PURPOSE_SCHED", "aggregate=y")</f>
        <v>#N/A Requesting Data...</v>
      </c>
      <c r="J1383" t="str">
        <f>_xll.BDP("558614JU Muni","CPN")</f>
        <v>#N/A Requesting Data...</v>
      </c>
      <c r="K1383" t="str">
        <f>_xll.BDP("558614JU Muni","MATURITY")</f>
        <v>#N/A Requesting Data...</v>
      </c>
      <c r="L1383">
        <v>1070000</v>
      </c>
      <c r="M1383" t="str">
        <f>_xll.BDP("558614JU Muni","YIELD_ON_ISSUE_DATE")</f>
        <v>#N/A Requesting Data...</v>
      </c>
      <c r="N1383" t="str">
        <f>_xll.BDP("558614JU Muni","YTW_SPREAD_TO_MATURITY_AT_ISSU")</f>
        <v>#N/A Requesting Data...</v>
      </c>
      <c r="O1383" t="str">
        <f>_xll.BDP("558614JU Muni","BVAL_MID_YTM")</f>
        <v>#N/A Requesting Data...</v>
      </c>
      <c r="P1383" t="str">
        <f>_xll.BDP("558614JU Muni","MUNI_TAX_PROV")</f>
        <v>#N/A Requesting Data...</v>
      </c>
      <c r="Q1383" t="str">
        <f>_xll.BDP("558614JU Muni","MUNI_FED_TAX")</f>
        <v>#N/A Requesting Data...</v>
      </c>
      <c r="R1383" t="str">
        <f>_xll.BDP("558614JU Muni","MUNI_MSRB_VOLUME")</f>
        <v>#N/A Requesting Data...</v>
      </c>
      <c r="S1383" t="str">
        <f>_xll.BDP("558614JU Muni","BB_COMPOSITE")</f>
        <v>#N/A Requesting Data...</v>
      </c>
      <c r="T1383" t="str">
        <f>_xll.BDP("558614JU Muni","LQA_LIQUIDITY_SCORE")</f>
        <v>#N/A Requesting Data...</v>
      </c>
    </row>
    <row r="1384" spans="1:20" x14ac:dyDescent="0.25">
      <c r="A1384" t="str">
        <f>_xll.BDP("558614JV Muni","ID_CUSIP")</f>
        <v>#N/A Requesting Data...</v>
      </c>
      <c r="B1384" t="s">
        <v>323</v>
      </c>
      <c r="C1384" t="str">
        <f>_xll.BDP("558614JV Muni","INSURANCE_STATUS")</f>
        <v>#N/A Requesting Data...</v>
      </c>
      <c r="D1384" t="str">
        <f>_xll.BDP("558614JV Muni","STATE_CODE")</f>
        <v>#N/A Requesting Data...</v>
      </c>
      <c r="E1384" t="str">
        <f>_xll.BDP("558614JV Muni","COUNTY_LOCATION_ISSUER")</f>
        <v>#N/A Requesting Data...</v>
      </c>
      <c r="F1384" t="str">
        <f>_xll.BDP("558614JV Muni","DUR_ADJ_MID")</f>
        <v>#N/A Requesting Data...</v>
      </c>
      <c r="G1384" t="str">
        <f>_xll.BDP("558614JV Muni","SPREAD_AT_ISSUANCE_TO_WORST")</f>
        <v>#N/A Requesting Data...</v>
      </c>
      <c r="H1384" t="str">
        <f>_xll.BDP("558614JV Muni","ISSUE_DT")</f>
        <v>#N/A Requesting Data...</v>
      </c>
      <c r="I1384" t="str">
        <f>_xll.BDS("558614JV Muni","MUNI_PURPOSE_SCHED", "aggregate=y")</f>
        <v>#N/A Requesting Data...</v>
      </c>
      <c r="J1384" t="str">
        <f>_xll.BDP("558614JV Muni","CPN")</f>
        <v>#N/A Requesting Data...</v>
      </c>
      <c r="K1384" t="str">
        <f>_xll.BDP("558614JV Muni","MATURITY")</f>
        <v>#N/A Requesting Data...</v>
      </c>
      <c r="L1384">
        <v>1110000</v>
      </c>
      <c r="M1384" t="str">
        <f>_xll.BDP("558614JV Muni","YIELD_ON_ISSUE_DATE")</f>
        <v>#N/A Requesting Data...</v>
      </c>
      <c r="N1384" t="str">
        <f>_xll.BDP("558614JV Muni","YTW_SPREAD_TO_MATURITY_AT_ISSU")</f>
        <v>#N/A Requesting Data...</v>
      </c>
      <c r="O1384" t="str">
        <f>_xll.BDP("558614JV Muni","BVAL_MID_YTM")</f>
        <v>#N/A Requesting Data...</v>
      </c>
      <c r="P1384" t="str">
        <f>_xll.BDP("558614JV Muni","MUNI_TAX_PROV")</f>
        <v>#N/A Requesting Data...</v>
      </c>
      <c r="Q1384" t="str">
        <f>_xll.BDP("558614JV Muni","MUNI_FED_TAX")</f>
        <v>#N/A Requesting Data...</v>
      </c>
      <c r="R1384" t="str">
        <f>_xll.BDP("558614JV Muni","MUNI_MSRB_VOLUME")</f>
        <v>#N/A Requesting Data...</v>
      </c>
      <c r="S1384" t="str">
        <f>_xll.BDP("558614JV Muni","BB_COMPOSITE")</f>
        <v>#N/A Requesting Data...</v>
      </c>
      <c r="T1384" t="str">
        <f>_xll.BDP("558614JV Muni","LQA_LIQUIDITY_SCORE")</f>
        <v>#N/A Requesting Data...</v>
      </c>
    </row>
    <row r="1385" spans="1:20" x14ac:dyDescent="0.25">
      <c r="A1385" t="str">
        <f>_xll.BDP("578422SH Muni","ID_CUSIP")</f>
        <v>#N/A Requesting Data...</v>
      </c>
      <c r="B1385" t="s">
        <v>324</v>
      </c>
      <c r="C1385" t="str">
        <f>_xll.BDP("578422SH Muni","INSURANCE_STATUS")</f>
        <v>#N/A Requesting Data...</v>
      </c>
      <c r="D1385" t="str">
        <f>_xll.BDP("578422SH Muni","STATE_CODE")</f>
        <v>#N/A Requesting Data...</v>
      </c>
      <c r="E1385" t="str">
        <f>_xll.BDP("578422SH Muni","COUNTY_LOCATION_ISSUER")</f>
        <v>#N/A Requesting Data...</v>
      </c>
      <c r="F1385" t="str">
        <f>_xll.BDP("578422SH Muni","DUR_ADJ_MID")</f>
        <v>#N/A Requesting Data...</v>
      </c>
      <c r="G1385" t="str">
        <f>_xll.BDP("578422SH Muni","SPREAD_AT_ISSUANCE_TO_WORST")</f>
        <v>#N/A Requesting Data...</v>
      </c>
      <c r="H1385" t="str">
        <f>_xll.BDP("578422SH Muni","ISSUE_DT")</f>
        <v>#N/A Requesting Data...</v>
      </c>
      <c r="I1385" t="str">
        <f>_xll.BDS("578422SH Muni","MUNI_PURPOSE_SCHED", "aggregate=y")</f>
        <v>#N/A Requesting Data...</v>
      </c>
      <c r="J1385" t="str">
        <f>_xll.BDP("578422SH Muni","CPN")</f>
        <v>#N/A Requesting Data...</v>
      </c>
      <c r="K1385" t="str">
        <f>_xll.BDP("578422SH Muni","MATURITY")</f>
        <v>#N/A Requesting Data...</v>
      </c>
      <c r="L1385">
        <v>90000</v>
      </c>
      <c r="M1385" t="str">
        <f>_xll.BDP("578422SH Muni","YIELD_ON_ISSUE_DATE")</f>
        <v>#N/A Requesting Data...</v>
      </c>
      <c r="N1385" t="str">
        <f>_xll.BDP("578422SH Muni","YTW_SPREAD_TO_MATURITY_AT_ISSU")</f>
        <v>#N/A Requesting Data...</v>
      </c>
      <c r="O1385" t="str">
        <f>_xll.BDP("578422SH Muni","BVAL_MID_YTM")</f>
        <v>#N/A Requesting Data...</v>
      </c>
      <c r="P1385" t="str">
        <f>_xll.BDP("578422SH Muni","MUNI_TAX_PROV")</f>
        <v>#N/A Requesting Data...</v>
      </c>
      <c r="Q1385" t="str">
        <f>_xll.BDP("578422SH Muni","MUNI_FED_TAX")</f>
        <v>#N/A Requesting Data...</v>
      </c>
      <c r="R1385" t="str">
        <f>_xll.BDP("578422SH Muni","MUNI_MSRB_VOLUME")</f>
        <v>#N/A Requesting Data...</v>
      </c>
      <c r="S1385" t="str">
        <f>_xll.BDP("578422SH Muni","BB_COMPOSITE")</f>
        <v>#N/A Requesting Data...</v>
      </c>
      <c r="T1385" t="str">
        <f>_xll.BDP("578422SH Muni","LQA_LIQUIDITY_SCORE")</f>
        <v>#N/A Requesting Data...</v>
      </c>
    </row>
    <row r="1386" spans="1:20" x14ac:dyDescent="0.25">
      <c r="A1386" t="str">
        <f>_xll.BDP("578422SK Muni","ID_CUSIP")</f>
        <v>#N/A Requesting Data...</v>
      </c>
      <c r="B1386" t="s">
        <v>324</v>
      </c>
      <c r="C1386" t="str">
        <f>_xll.BDP("578422SK Muni","INSURANCE_STATUS")</f>
        <v>#N/A Requesting Data...</v>
      </c>
      <c r="D1386" t="str">
        <f>_xll.BDP("578422SK Muni","STATE_CODE")</f>
        <v>#N/A Requesting Data...</v>
      </c>
      <c r="E1386" t="str">
        <f>_xll.BDP("578422SK Muni","COUNTY_LOCATION_ISSUER")</f>
        <v>#N/A Requesting Data...</v>
      </c>
      <c r="F1386" t="str">
        <f>_xll.BDP("578422SK Muni","DUR_ADJ_MID")</f>
        <v>#N/A Requesting Data...</v>
      </c>
      <c r="G1386" t="str">
        <f>_xll.BDP("578422SK Muni","SPREAD_AT_ISSUANCE_TO_WORST")</f>
        <v>#N/A Requesting Data...</v>
      </c>
      <c r="H1386" t="str">
        <f>_xll.BDP("578422SK Muni","ISSUE_DT")</f>
        <v>#N/A Requesting Data...</v>
      </c>
      <c r="I1386" t="str">
        <f>_xll.BDS("578422SK Muni","MUNI_PURPOSE_SCHED", "aggregate=y")</f>
        <v>#N/A Requesting Data...</v>
      </c>
      <c r="J1386" t="str">
        <f>_xll.BDP("578422SK Muni","CPN")</f>
        <v>#N/A Requesting Data...</v>
      </c>
      <c r="K1386" t="str">
        <f>_xll.BDP("578422SK Muni","MATURITY")</f>
        <v>#N/A Requesting Data...</v>
      </c>
      <c r="L1386">
        <v>95000</v>
      </c>
      <c r="M1386" t="str">
        <f>_xll.BDP("578422SK Muni","YIELD_ON_ISSUE_DATE")</f>
        <v>#N/A Requesting Data...</v>
      </c>
      <c r="N1386" t="str">
        <f>_xll.BDP("578422SK Muni","YTW_SPREAD_TO_MATURITY_AT_ISSU")</f>
        <v>#N/A Requesting Data...</v>
      </c>
      <c r="O1386" t="str">
        <f>_xll.BDP("578422SK Muni","BVAL_MID_YTM")</f>
        <v>#N/A Requesting Data...</v>
      </c>
      <c r="P1386" t="str">
        <f>_xll.BDP("578422SK Muni","MUNI_TAX_PROV")</f>
        <v>#N/A Requesting Data...</v>
      </c>
      <c r="Q1386" t="str">
        <f>_xll.BDP("578422SK Muni","MUNI_FED_TAX")</f>
        <v>#N/A Requesting Data...</v>
      </c>
      <c r="R1386" t="str">
        <f>_xll.BDP("578422SK Muni","MUNI_MSRB_VOLUME")</f>
        <v>#N/A Requesting Data...</v>
      </c>
      <c r="S1386" t="str">
        <f>_xll.BDP("578422SK Muni","BB_COMPOSITE")</f>
        <v>#N/A Requesting Data...</v>
      </c>
      <c r="T1386" t="str">
        <f>_xll.BDP("578422SK Muni","LQA_LIQUIDITY_SCORE")</f>
        <v>#N/A Requesting Data...</v>
      </c>
    </row>
    <row r="1387" spans="1:20" x14ac:dyDescent="0.25">
      <c r="A1387" t="str">
        <f>_xll.BDP("578422SN Muni","ID_CUSIP")</f>
        <v>#N/A Requesting Data...</v>
      </c>
      <c r="B1387" t="s">
        <v>324</v>
      </c>
      <c r="C1387" t="str">
        <f>_xll.BDP("578422SN Muni","INSURANCE_STATUS")</f>
        <v>#N/A Requesting Data...</v>
      </c>
      <c r="D1387" t="str">
        <f>_xll.BDP("578422SN Muni","STATE_CODE")</f>
        <v>#N/A Requesting Data...</v>
      </c>
      <c r="E1387" t="str">
        <f>_xll.BDP("578422SN Muni","COUNTY_LOCATION_ISSUER")</f>
        <v>#N/A Requesting Data...</v>
      </c>
      <c r="F1387" t="str">
        <f>_xll.BDP("578422SN Muni","DUR_ADJ_MID")</f>
        <v>#N/A Requesting Data...</v>
      </c>
      <c r="G1387" t="str">
        <f>_xll.BDP("578422SN Muni","SPREAD_AT_ISSUANCE_TO_WORST")</f>
        <v>#N/A Requesting Data...</v>
      </c>
      <c r="H1387" t="str">
        <f>_xll.BDP("578422SN Muni","ISSUE_DT")</f>
        <v>#N/A Requesting Data...</v>
      </c>
      <c r="I1387" t="str">
        <f>_xll.BDS("578422SN Muni","MUNI_PURPOSE_SCHED", "aggregate=y")</f>
        <v>#N/A Requesting Data...</v>
      </c>
      <c r="J1387" t="str">
        <f>_xll.BDP("578422SN Muni","CPN")</f>
        <v>#N/A Requesting Data...</v>
      </c>
      <c r="K1387" t="str">
        <f>_xll.BDP("578422SN Muni","MATURITY")</f>
        <v>#N/A Requesting Data...</v>
      </c>
      <c r="L1387">
        <v>105000</v>
      </c>
      <c r="M1387" t="str">
        <f>_xll.BDP("578422SN Muni","YIELD_ON_ISSUE_DATE")</f>
        <v>#N/A Requesting Data...</v>
      </c>
      <c r="N1387" t="str">
        <f>_xll.BDP("578422SN Muni","YTW_SPREAD_TO_MATURITY_AT_ISSU")</f>
        <v>#N/A Requesting Data...</v>
      </c>
      <c r="O1387" t="str">
        <f>_xll.BDP("578422SN Muni","BVAL_MID_YTM")</f>
        <v>#N/A Requesting Data...</v>
      </c>
      <c r="P1387" t="str">
        <f>_xll.BDP("578422SN Muni","MUNI_TAX_PROV")</f>
        <v>#N/A Requesting Data...</v>
      </c>
      <c r="Q1387" t="str">
        <f>_xll.BDP("578422SN Muni","MUNI_FED_TAX")</f>
        <v>#N/A Requesting Data...</v>
      </c>
      <c r="R1387" t="str">
        <f>_xll.BDP("578422SN Muni","MUNI_MSRB_VOLUME")</f>
        <v>#N/A Requesting Data...</v>
      </c>
      <c r="S1387" t="str">
        <f>_xll.BDP("578422SN Muni","BB_COMPOSITE")</f>
        <v>#N/A Requesting Data...</v>
      </c>
      <c r="T1387" t="str">
        <f>_xll.BDP("578422SN Muni","LQA_LIQUIDITY_SCORE")</f>
        <v>#N/A Requesting Data...</v>
      </c>
    </row>
    <row r="1388" spans="1:20" x14ac:dyDescent="0.25">
      <c r="A1388" t="str">
        <f>_xll.BDP("560194VV Muni","ID_CUSIP")</f>
        <v>#N/A Requesting Data...</v>
      </c>
      <c r="B1388" t="s">
        <v>321</v>
      </c>
      <c r="C1388" t="str">
        <f>_xll.BDP("560194VV Muni","INSURANCE_STATUS")</f>
        <v>#N/A Requesting Data...</v>
      </c>
      <c r="D1388" t="str">
        <f>_xll.BDP("560194VV Muni","STATE_CODE")</f>
        <v>#N/A Requesting Data...</v>
      </c>
      <c r="E1388" t="str">
        <f>_xll.BDP("560194VV Muni","COUNTY_LOCATION_ISSUER")</f>
        <v>#N/A Requesting Data...</v>
      </c>
      <c r="F1388" t="str">
        <f>_xll.BDP("560194VV Muni","DUR_ADJ_MID")</f>
        <v>#N/A Requesting Data...</v>
      </c>
      <c r="G1388" t="str">
        <f>_xll.BDP("560194VV Muni","SPREAD_AT_ISSUANCE_TO_WORST")</f>
        <v>#N/A Requesting Data...</v>
      </c>
      <c r="H1388" t="str">
        <f>_xll.BDP("560194VV Muni","ISSUE_DT")</f>
        <v>#N/A Requesting Data...</v>
      </c>
      <c r="I1388" t="str">
        <f>_xll.BDS("560194VV Muni","MUNI_PURPOSE_SCHED", "aggregate=y")</f>
        <v>#N/A Requesting Data...</v>
      </c>
      <c r="J1388" t="str">
        <f>_xll.BDP("560194VV Muni","CPN")</f>
        <v>#N/A Requesting Data...</v>
      </c>
      <c r="K1388" t="str">
        <f>_xll.BDP("560194VV Muni","MATURITY")</f>
        <v>#N/A Requesting Data...</v>
      </c>
      <c r="L1388">
        <v>560000</v>
      </c>
      <c r="M1388" t="str">
        <f>_xll.BDP("560194VV Muni","YIELD_ON_ISSUE_DATE")</f>
        <v>#N/A Requesting Data...</v>
      </c>
      <c r="N1388" t="str">
        <f>_xll.BDP("560194VV Muni","YTW_SPREAD_TO_MATURITY_AT_ISSU")</f>
        <v>#N/A Requesting Data...</v>
      </c>
      <c r="O1388" t="str">
        <f>_xll.BDP("560194VV Muni","BVAL_MID_YTM")</f>
        <v>#N/A Requesting Data...</v>
      </c>
      <c r="P1388" t="str">
        <f>_xll.BDP("560194VV Muni","MUNI_TAX_PROV")</f>
        <v>#N/A Requesting Data...</v>
      </c>
      <c r="Q1388" t="str">
        <f>_xll.BDP("560194VV Muni","MUNI_FED_TAX")</f>
        <v>#N/A Requesting Data...</v>
      </c>
      <c r="R1388" t="str">
        <f>_xll.BDP("560194VV Muni","MUNI_MSRB_VOLUME")</f>
        <v>#N/A Requesting Data...</v>
      </c>
      <c r="S1388" t="str">
        <f>_xll.BDP("560194VV Muni","BB_COMPOSITE")</f>
        <v>#N/A Requesting Data...</v>
      </c>
      <c r="T1388" t="str">
        <f>_xll.BDP("560194VV Muni","LQA_LIQUIDITY_SCORE")</f>
        <v>#N/A Requesting Data...</v>
      </c>
    </row>
    <row r="1389" spans="1:20" x14ac:dyDescent="0.25">
      <c r="A1389" t="str">
        <f>_xll.BDP("580713FD Muni","ID_CUSIP")</f>
        <v>#N/A Requesting Data...</v>
      </c>
      <c r="B1389" t="s">
        <v>325</v>
      </c>
      <c r="C1389" t="str">
        <f>_xll.BDP("580713FD Muni","INSURANCE_STATUS")</f>
        <v>#N/A Requesting Data...</v>
      </c>
      <c r="D1389" t="str">
        <f>_xll.BDP("580713FD Muni","STATE_CODE")</f>
        <v>#N/A Requesting Data...</v>
      </c>
      <c r="E1389" t="str">
        <f>_xll.BDP("580713FD Muni","COUNTY_LOCATION_ISSUER")</f>
        <v>#N/A Requesting Data...</v>
      </c>
      <c r="F1389" t="str">
        <f>_xll.BDP("580713FD Muni","DUR_ADJ_MID")</f>
        <v>#N/A Requesting Data...</v>
      </c>
      <c r="G1389" t="str">
        <f>_xll.BDP("580713FD Muni","SPREAD_AT_ISSUANCE_TO_WORST")</f>
        <v>#N/A Requesting Data...</v>
      </c>
      <c r="H1389" t="str">
        <f>_xll.BDP("580713FD Muni","ISSUE_DT")</f>
        <v>#N/A Requesting Data...</v>
      </c>
      <c r="I1389" t="str">
        <f>_xll.BDS("580713FD Muni","MUNI_PURPOSE_SCHED", "aggregate=y")</f>
        <v>#N/A Requesting Data...</v>
      </c>
      <c r="J1389" t="str">
        <f>_xll.BDP("580713FD Muni","CPN")</f>
        <v>#N/A Requesting Data...</v>
      </c>
      <c r="K1389" t="str">
        <f>_xll.BDP("580713FD Muni","MATURITY")</f>
        <v>#N/A Requesting Data...</v>
      </c>
      <c r="L1389">
        <v>60000</v>
      </c>
      <c r="M1389" t="str">
        <f>_xll.BDP("580713FD Muni","YIELD_ON_ISSUE_DATE")</f>
        <v>#N/A Requesting Data...</v>
      </c>
      <c r="N1389" t="str">
        <f>_xll.BDP("580713FD Muni","YTW_SPREAD_TO_MATURITY_AT_ISSU")</f>
        <v>#N/A Requesting Data...</v>
      </c>
      <c r="O1389" t="str">
        <f>_xll.BDP("580713FD Muni","BVAL_MID_YTM")</f>
        <v>#N/A Requesting Data...</v>
      </c>
      <c r="P1389" t="str">
        <f>_xll.BDP("580713FD Muni","MUNI_TAX_PROV")</f>
        <v>#N/A Requesting Data...</v>
      </c>
      <c r="Q1389" t="str">
        <f>_xll.BDP("580713FD Muni","MUNI_FED_TAX")</f>
        <v>#N/A Requesting Data...</v>
      </c>
      <c r="R1389" t="str">
        <f>_xll.BDP("580713FD Muni","MUNI_MSRB_VOLUME")</f>
        <v>#N/A Requesting Data...</v>
      </c>
      <c r="S1389" t="str">
        <f>_xll.BDP("580713FD Muni","BB_COMPOSITE")</f>
        <v>#N/A Requesting Data...</v>
      </c>
      <c r="T1389" t="str">
        <f>_xll.BDP("580713FD Muni","LQA_LIQUIDITY_SCORE")</f>
        <v>#N/A Requesting Data...</v>
      </c>
    </row>
    <row r="1390" spans="1:20" x14ac:dyDescent="0.25">
      <c r="A1390" t="str">
        <f>_xll.BDP("580713FF Muni","ID_CUSIP")</f>
        <v>#N/A Requesting Data...</v>
      </c>
      <c r="B1390" t="s">
        <v>325</v>
      </c>
      <c r="C1390" t="str">
        <f>_xll.BDP("580713FF Muni","INSURANCE_STATUS")</f>
        <v>#N/A Requesting Data...</v>
      </c>
      <c r="D1390" t="str">
        <f>_xll.BDP("580713FF Muni","STATE_CODE")</f>
        <v>#N/A Requesting Data...</v>
      </c>
      <c r="E1390" t="str">
        <f>_xll.BDP("580713FF Muni","COUNTY_LOCATION_ISSUER")</f>
        <v>#N/A Requesting Data...</v>
      </c>
      <c r="F1390" t="str">
        <f>_xll.BDP("580713FF Muni","DUR_ADJ_MID")</f>
        <v>#N/A Requesting Data...</v>
      </c>
      <c r="G1390" t="str">
        <f>_xll.BDP("580713FF Muni","SPREAD_AT_ISSUANCE_TO_WORST")</f>
        <v>#N/A Requesting Data...</v>
      </c>
      <c r="H1390" t="str">
        <f>_xll.BDP("580713FF Muni","ISSUE_DT")</f>
        <v>#N/A Requesting Data...</v>
      </c>
      <c r="I1390" t="str">
        <f>_xll.BDS("580713FF Muni","MUNI_PURPOSE_SCHED", "aggregate=y")</f>
        <v>#N/A Requesting Data...</v>
      </c>
      <c r="J1390" t="str">
        <f>_xll.BDP("580713FF Muni","CPN")</f>
        <v>#N/A Requesting Data...</v>
      </c>
      <c r="K1390" t="str">
        <f>_xll.BDP("580713FF Muni","MATURITY")</f>
        <v>#N/A Requesting Data...</v>
      </c>
      <c r="L1390">
        <v>95000</v>
      </c>
      <c r="M1390" t="str">
        <f>_xll.BDP("580713FF Muni","YIELD_ON_ISSUE_DATE")</f>
        <v>#N/A Requesting Data...</v>
      </c>
      <c r="N1390" t="str">
        <f>_xll.BDP("580713FF Muni","YTW_SPREAD_TO_MATURITY_AT_ISSU")</f>
        <v>#N/A Requesting Data...</v>
      </c>
      <c r="O1390" t="str">
        <f>_xll.BDP("580713FF Muni","BVAL_MID_YTM")</f>
        <v>#N/A Requesting Data...</v>
      </c>
      <c r="P1390" t="str">
        <f>_xll.BDP("580713FF Muni","MUNI_TAX_PROV")</f>
        <v>#N/A Requesting Data...</v>
      </c>
      <c r="Q1390" t="str">
        <f>_xll.BDP("580713FF Muni","MUNI_FED_TAX")</f>
        <v>#N/A Requesting Data...</v>
      </c>
      <c r="R1390" t="str">
        <f>_xll.BDP("580713FF Muni","MUNI_MSRB_VOLUME")</f>
        <v>#N/A Requesting Data...</v>
      </c>
      <c r="S1390" t="str">
        <f>_xll.BDP("580713FF Muni","BB_COMPOSITE")</f>
        <v>#N/A Requesting Data...</v>
      </c>
      <c r="T1390" t="str">
        <f>_xll.BDP("580713FF Muni","LQA_LIQUIDITY_SCORE")</f>
        <v>#N/A Requesting Data...</v>
      </c>
    </row>
    <row r="1391" spans="1:20" x14ac:dyDescent="0.25">
      <c r="A1391" t="str">
        <f>_xll.BDP("580713FH Muni","ID_CUSIP")</f>
        <v>#N/A Requesting Data...</v>
      </c>
      <c r="B1391" t="s">
        <v>325</v>
      </c>
      <c r="C1391" t="str">
        <f>_xll.BDP("580713FH Muni","INSURANCE_STATUS")</f>
        <v>#N/A Requesting Data...</v>
      </c>
      <c r="D1391" t="str">
        <f>_xll.BDP("580713FH Muni","STATE_CODE")</f>
        <v>#N/A Requesting Data...</v>
      </c>
      <c r="E1391" t="str">
        <f>_xll.BDP("580713FH Muni","COUNTY_LOCATION_ISSUER")</f>
        <v>#N/A Requesting Data...</v>
      </c>
      <c r="F1391" t="str">
        <f>_xll.BDP("580713FH Muni","DUR_ADJ_MID")</f>
        <v>#N/A Requesting Data...</v>
      </c>
      <c r="G1391" t="str">
        <f>_xll.BDP("580713FH Muni","SPREAD_AT_ISSUANCE_TO_WORST")</f>
        <v>#N/A Requesting Data...</v>
      </c>
      <c r="H1391" t="str">
        <f>_xll.BDP("580713FH Muni","ISSUE_DT")</f>
        <v>#N/A Requesting Data...</v>
      </c>
      <c r="I1391" t="str">
        <f>_xll.BDS("580713FH Muni","MUNI_PURPOSE_SCHED", "aggregate=y")</f>
        <v>#N/A Requesting Data...</v>
      </c>
      <c r="J1391" t="str">
        <f>_xll.BDP("580713FH Muni","CPN")</f>
        <v>#N/A Requesting Data...</v>
      </c>
      <c r="K1391" t="str">
        <f>_xll.BDP("580713FH Muni","MATURITY")</f>
        <v>#N/A Requesting Data...</v>
      </c>
      <c r="L1391">
        <v>100000</v>
      </c>
      <c r="M1391" t="str">
        <f>_xll.BDP("580713FH Muni","YIELD_ON_ISSUE_DATE")</f>
        <v>#N/A Requesting Data...</v>
      </c>
      <c r="N1391" t="str">
        <f>_xll.BDP("580713FH Muni","YTW_SPREAD_TO_MATURITY_AT_ISSU")</f>
        <v>#N/A Requesting Data...</v>
      </c>
      <c r="O1391" t="str">
        <f>_xll.BDP("580713FH Muni","BVAL_MID_YTM")</f>
        <v>#N/A Requesting Data...</v>
      </c>
      <c r="P1391" t="str">
        <f>_xll.BDP("580713FH Muni","MUNI_TAX_PROV")</f>
        <v>#N/A Requesting Data...</v>
      </c>
      <c r="Q1391" t="str">
        <f>_xll.BDP("580713FH Muni","MUNI_FED_TAX")</f>
        <v>#N/A Requesting Data...</v>
      </c>
      <c r="R1391" t="str">
        <f>_xll.BDP("580713FH Muni","MUNI_MSRB_VOLUME")</f>
        <v>#N/A Requesting Data...</v>
      </c>
      <c r="S1391" t="str">
        <f>_xll.BDP("580713FH Muni","BB_COMPOSITE")</f>
        <v>#N/A Requesting Data...</v>
      </c>
      <c r="T1391" t="str">
        <f>_xll.BDP("580713FH Muni","LQA_LIQUIDITY_SCORE")</f>
        <v>#N/A Requesting Data...</v>
      </c>
    </row>
    <row r="1392" spans="1:20" x14ac:dyDescent="0.25">
      <c r="A1392" t="str">
        <f>_xll.BDP("603092NX Muni","ID_CUSIP")</f>
        <v>#N/A Requesting Data...</v>
      </c>
      <c r="B1392" t="s">
        <v>347</v>
      </c>
      <c r="C1392" t="str">
        <f>_xll.BDP("603092NX Muni","INSURANCE_STATUS")</f>
        <v>#N/A Requesting Data...</v>
      </c>
      <c r="D1392" t="str">
        <f>_xll.BDP("603092NX Muni","STATE_CODE")</f>
        <v>#N/A Requesting Data...</v>
      </c>
      <c r="E1392" t="str">
        <f>_xll.BDP("603092NX Muni","COUNTY_LOCATION_ISSUER")</f>
        <v>#N/A Requesting Data...</v>
      </c>
      <c r="F1392" t="str">
        <f>_xll.BDP("603092NX Muni","DUR_ADJ_MID")</f>
        <v>#N/A Requesting Data...</v>
      </c>
      <c r="G1392" t="str">
        <f>_xll.BDP("603092NX Muni","SPREAD_AT_ISSUANCE_TO_WORST")</f>
        <v>#N/A Requesting Data...</v>
      </c>
      <c r="H1392" t="str">
        <f>_xll.BDP("603092NX Muni","ISSUE_DT")</f>
        <v>#N/A Requesting Data...</v>
      </c>
      <c r="I1392" t="str">
        <f>_xll.BDS("603092NX Muni","MUNI_PURPOSE_SCHED", "aggregate=y")</f>
        <v>#N/A Requesting Data...</v>
      </c>
      <c r="J1392" t="str">
        <f>_xll.BDP("603092NX Muni","CPN")</f>
        <v>#N/A Requesting Data...</v>
      </c>
      <c r="K1392" t="str">
        <f>_xll.BDP("603092NX Muni","MATURITY")</f>
        <v>#N/A Requesting Data...</v>
      </c>
      <c r="L1392">
        <v>300000</v>
      </c>
      <c r="M1392" t="str">
        <f>_xll.BDP("603092NX Muni","YIELD_ON_ISSUE_DATE")</f>
        <v>#N/A Requesting Data...</v>
      </c>
      <c r="N1392" t="str">
        <f>_xll.BDP("603092NX Muni","YTW_SPREAD_TO_MATURITY_AT_ISSU")</f>
        <v>#N/A Requesting Data...</v>
      </c>
      <c r="O1392" t="str">
        <f>_xll.BDP("603092NX Muni","BVAL_MID_YTM")</f>
        <v>#N/A Requesting Data...</v>
      </c>
      <c r="P1392" t="str">
        <f>_xll.BDP("603092NX Muni","MUNI_TAX_PROV")</f>
        <v>#N/A Requesting Data...</v>
      </c>
      <c r="Q1392" t="str">
        <f>_xll.BDP("603092NX Muni","MUNI_FED_TAX")</f>
        <v>#N/A Requesting Data...</v>
      </c>
      <c r="R1392" t="str">
        <f>_xll.BDP("603092NX Muni","MUNI_MSRB_VOLUME")</f>
        <v>#N/A Requesting Data...</v>
      </c>
      <c r="S1392" t="str">
        <f>_xll.BDP("603092NX Muni","BB_COMPOSITE")</f>
        <v>#N/A Requesting Data...</v>
      </c>
      <c r="T1392" t="str">
        <f>_xll.BDP("603092NX Muni","LQA_LIQUIDITY_SCORE")</f>
        <v>#N/A Requesting Data...</v>
      </c>
    </row>
    <row r="1393" spans="1:20" x14ac:dyDescent="0.25">
      <c r="A1393" t="str">
        <f>_xll.BDP("603092NY Muni","ID_CUSIP")</f>
        <v>#N/A Requesting Data...</v>
      </c>
      <c r="B1393" t="s">
        <v>347</v>
      </c>
      <c r="C1393" t="str">
        <f>_xll.BDP("603092NY Muni","INSURANCE_STATUS")</f>
        <v>#N/A Requesting Data...</v>
      </c>
      <c r="D1393" t="str">
        <f>_xll.BDP("603092NY Muni","STATE_CODE")</f>
        <v>#N/A Requesting Data...</v>
      </c>
      <c r="E1393" t="str">
        <f>_xll.BDP("603092NY Muni","COUNTY_LOCATION_ISSUER")</f>
        <v>#N/A Requesting Data...</v>
      </c>
      <c r="F1393" t="str">
        <f>_xll.BDP("603092NY Muni","DUR_ADJ_MID")</f>
        <v>#N/A Requesting Data...</v>
      </c>
      <c r="G1393" t="str">
        <f>_xll.BDP("603092NY Muni","SPREAD_AT_ISSUANCE_TO_WORST")</f>
        <v>#N/A Requesting Data...</v>
      </c>
      <c r="H1393" t="str">
        <f>_xll.BDP("603092NY Muni","ISSUE_DT")</f>
        <v>#N/A Requesting Data...</v>
      </c>
      <c r="I1393" t="str">
        <f>_xll.BDS("603092NY Muni","MUNI_PURPOSE_SCHED", "aggregate=y")</f>
        <v>#N/A Requesting Data...</v>
      </c>
      <c r="J1393" t="str">
        <f>_xll.BDP("603092NY Muni","CPN")</f>
        <v>#N/A Requesting Data...</v>
      </c>
      <c r="K1393" t="str">
        <f>_xll.BDP("603092NY Muni","MATURITY")</f>
        <v>#N/A Requesting Data...</v>
      </c>
      <c r="L1393">
        <v>315000</v>
      </c>
      <c r="M1393" t="str">
        <f>_xll.BDP("603092NY Muni","YIELD_ON_ISSUE_DATE")</f>
        <v>#N/A Requesting Data...</v>
      </c>
      <c r="N1393" t="str">
        <f>_xll.BDP("603092NY Muni","YTW_SPREAD_TO_MATURITY_AT_ISSU")</f>
        <v>#N/A Requesting Data...</v>
      </c>
      <c r="O1393" t="str">
        <f>_xll.BDP("603092NY Muni","BVAL_MID_YTM")</f>
        <v>#N/A Requesting Data...</v>
      </c>
      <c r="P1393" t="str">
        <f>_xll.BDP("603092NY Muni","MUNI_TAX_PROV")</f>
        <v>#N/A Requesting Data...</v>
      </c>
      <c r="Q1393" t="str">
        <f>_xll.BDP("603092NY Muni","MUNI_FED_TAX")</f>
        <v>#N/A Requesting Data...</v>
      </c>
      <c r="R1393" t="str">
        <f>_xll.BDP("603092NY Muni","MUNI_MSRB_VOLUME")</f>
        <v>#N/A Requesting Data...</v>
      </c>
      <c r="S1393" t="str">
        <f>_xll.BDP("603092NY Muni","BB_COMPOSITE")</f>
        <v>#N/A Requesting Data...</v>
      </c>
      <c r="T1393" t="str">
        <f>_xll.BDP("603092NY Muni","LQA_LIQUIDITY_SCORE")</f>
        <v>#N/A Requesting Data...</v>
      </c>
    </row>
    <row r="1394" spans="1:20" x14ac:dyDescent="0.25">
      <c r="A1394" t="str">
        <f>_xll.BDP("603092NZ Muni","ID_CUSIP")</f>
        <v>#N/A Requesting Data...</v>
      </c>
      <c r="B1394" t="s">
        <v>347</v>
      </c>
      <c r="C1394" t="str">
        <f>_xll.BDP("603092NZ Muni","INSURANCE_STATUS")</f>
        <v>#N/A Requesting Data...</v>
      </c>
      <c r="D1394" t="str">
        <f>_xll.BDP("603092NZ Muni","STATE_CODE")</f>
        <v>#N/A Requesting Data...</v>
      </c>
      <c r="E1394" t="str">
        <f>_xll.BDP("603092NZ Muni","COUNTY_LOCATION_ISSUER")</f>
        <v>#N/A Requesting Data...</v>
      </c>
      <c r="F1394" t="str">
        <f>_xll.BDP("603092NZ Muni","DUR_ADJ_MID")</f>
        <v>#N/A Requesting Data...</v>
      </c>
      <c r="G1394" t="str">
        <f>_xll.BDP("603092NZ Muni","SPREAD_AT_ISSUANCE_TO_WORST")</f>
        <v>#N/A Requesting Data...</v>
      </c>
      <c r="H1394" t="str">
        <f>_xll.BDP("603092NZ Muni","ISSUE_DT")</f>
        <v>#N/A Requesting Data...</v>
      </c>
      <c r="I1394" t="str">
        <f>_xll.BDS("603092NZ Muni","MUNI_PURPOSE_SCHED", "aggregate=y")</f>
        <v>#N/A Requesting Data...</v>
      </c>
      <c r="J1394" t="str">
        <f>_xll.BDP("603092NZ Muni","CPN")</f>
        <v>#N/A Requesting Data...</v>
      </c>
      <c r="K1394" t="str">
        <f>_xll.BDP("603092NZ Muni","MATURITY")</f>
        <v>#N/A Requesting Data...</v>
      </c>
      <c r="L1394">
        <v>325000</v>
      </c>
      <c r="M1394" t="str">
        <f>_xll.BDP("603092NZ Muni","YIELD_ON_ISSUE_DATE")</f>
        <v>#N/A Requesting Data...</v>
      </c>
      <c r="N1394" t="str">
        <f>_xll.BDP("603092NZ Muni","YTW_SPREAD_TO_MATURITY_AT_ISSU")</f>
        <v>#N/A Requesting Data...</v>
      </c>
      <c r="O1394" t="str">
        <f>_xll.BDP("603092NZ Muni","BVAL_MID_YTM")</f>
        <v>#N/A Requesting Data...</v>
      </c>
      <c r="P1394" t="str">
        <f>_xll.BDP("603092NZ Muni","MUNI_TAX_PROV")</f>
        <v>#N/A Requesting Data...</v>
      </c>
      <c r="Q1394" t="str">
        <f>_xll.BDP("603092NZ Muni","MUNI_FED_TAX")</f>
        <v>#N/A Requesting Data...</v>
      </c>
      <c r="R1394" t="str">
        <f>_xll.BDP("603092NZ Muni","MUNI_MSRB_VOLUME")</f>
        <v>#N/A Requesting Data...</v>
      </c>
      <c r="S1394" t="str">
        <f>_xll.BDP("603092NZ Muni","BB_COMPOSITE")</f>
        <v>#N/A Requesting Data...</v>
      </c>
      <c r="T1394" t="str">
        <f>_xll.BDP("603092NZ Muni","LQA_LIQUIDITY_SCORE")</f>
        <v>#N/A Requesting Data...</v>
      </c>
    </row>
    <row r="1395" spans="1:20" x14ac:dyDescent="0.25">
      <c r="A1395" t="str">
        <f>_xll.BDP("603092PA Muni","ID_CUSIP")</f>
        <v>#N/A Requesting Data...</v>
      </c>
      <c r="B1395" t="s">
        <v>347</v>
      </c>
      <c r="C1395" t="str">
        <f>_xll.BDP("603092PA Muni","INSURANCE_STATUS")</f>
        <v>#N/A Requesting Data...</v>
      </c>
      <c r="D1395" t="str">
        <f>_xll.BDP("603092PA Muni","STATE_CODE")</f>
        <v>#N/A Requesting Data...</v>
      </c>
      <c r="E1395" t="str">
        <f>_xll.BDP("603092PA Muni","COUNTY_LOCATION_ISSUER")</f>
        <v>#N/A Requesting Data...</v>
      </c>
      <c r="F1395" t="str">
        <f>_xll.BDP("603092PA Muni","DUR_ADJ_MID")</f>
        <v>#N/A Requesting Data...</v>
      </c>
      <c r="G1395" t="str">
        <f>_xll.BDP("603092PA Muni","SPREAD_AT_ISSUANCE_TO_WORST")</f>
        <v>#N/A Requesting Data...</v>
      </c>
      <c r="H1395" t="str">
        <f>_xll.BDP("603092PA Muni","ISSUE_DT")</f>
        <v>#N/A Requesting Data...</v>
      </c>
      <c r="I1395" t="str">
        <f>_xll.BDS("603092PA Muni","MUNI_PURPOSE_SCHED", "aggregate=y")</f>
        <v>#N/A Requesting Data...</v>
      </c>
      <c r="J1395" t="str">
        <f>_xll.BDP("603092PA Muni","CPN")</f>
        <v>#N/A Requesting Data...</v>
      </c>
      <c r="K1395" t="str">
        <f>_xll.BDP("603092PA Muni","MATURITY")</f>
        <v>#N/A Requesting Data...</v>
      </c>
      <c r="L1395">
        <v>335000</v>
      </c>
      <c r="M1395" t="str">
        <f>_xll.BDP("603092PA Muni","YIELD_ON_ISSUE_DATE")</f>
        <v>#N/A Requesting Data...</v>
      </c>
      <c r="N1395" t="str">
        <f>_xll.BDP("603092PA Muni","YTW_SPREAD_TO_MATURITY_AT_ISSU")</f>
        <v>#N/A Requesting Data...</v>
      </c>
      <c r="O1395" t="str">
        <f>_xll.BDP("603092PA Muni","BVAL_MID_YTM")</f>
        <v>#N/A Requesting Data...</v>
      </c>
      <c r="P1395" t="str">
        <f>_xll.BDP("603092PA Muni","MUNI_TAX_PROV")</f>
        <v>#N/A Requesting Data...</v>
      </c>
      <c r="Q1395" t="str">
        <f>_xll.BDP("603092PA Muni","MUNI_FED_TAX")</f>
        <v>#N/A Requesting Data...</v>
      </c>
      <c r="R1395" t="str">
        <f>_xll.BDP("603092PA Muni","MUNI_MSRB_VOLUME")</f>
        <v>#N/A Requesting Data...</v>
      </c>
      <c r="S1395" t="str">
        <f>_xll.BDP("603092PA Muni","BB_COMPOSITE")</f>
        <v>#N/A Requesting Data...</v>
      </c>
      <c r="T1395" t="str">
        <f>_xll.BDP("603092PA Muni","LQA_LIQUIDITY_SCORE")</f>
        <v>#N/A Requesting Data...</v>
      </c>
    </row>
    <row r="1396" spans="1:20" x14ac:dyDescent="0.25">
      <c r="A1396" t="str">
        <f>_xll.BDP("603092PB Muni","ID_CUSIP")</f>
        <v>#N/A Requesting Data...</v>
      </c>
      <c r="B1396" t="s">
        <v>347</v>
      </c>
      <c r="C1396" t="str">
        <f>_xll.BDP("603092PB Muni","INSURANCE_STATUS")</f>
        <v>#N/A Requesting Data...</v>
      </c>
      <c r="D1396" t="str">
        <f>_xll.BDP("603092PB Muni","STATE_CODE")</f>
        <v>#N/A Requesting Data...</v>
      </c>
      <c r="E1396" t="str">
        <f>_xll.BDP("603092PB Muni","COUNTY_LOCATION_ISSUER")</f>
        <v>#N/A Requesting Data...</v>
      </c>
      <c r="F1396" t="str">
        <f>_xll.BDP("603092PB Muni","DUR_ADJ_MID")</f>
        <v>#N/A Requesting Data...</v>
      </c>
      <c r="G1396" t="str">
        <f>_xll.BDP("603092PB Muni","SPREAD_AT_ISSUANCE_TO_WORST")</f>
        <v>#N/A Requesting Data...</v>
      </c>
      <c r="H1396" t="str">
        <f>_xll.BDP("603092PB Muni","ISSUE_DT")</f>
        <v>#N/A Requesting Data...</v>
      </c>
      <c r="I1396" t="str">
        <f>_xll.BDS("603092PB Muni","MUNI_PURPOSE_SCHED", "aggregate=y")</f>
        <v>#N/A Requesting Data...</v>
      </c>
      <c r="J1396" t="str">
        <f>_xll.BDP("603092PB Muni","CPN")</f>
        <v>#N/A Requesting Data...</v>
      </c>
      <c r="K1396" t="str">
        <f>_xll.BDP("603092PB Muni","MATURITY")</f>
        <v>#N/A Requesting Data...</v>
      </c>
      <c r="L1396">
        <v>350000</v>
      </c>
      <c r="M1396" t="str">
        <f>_xll.BDP("603092PB Muni","YIELD_ON_ISSUE_DATE")</f>
        <v>#N/A Requesting Data...</v>
      </c>
      <c r="N1396" t="str">
        <f>_xll.BDP("603092PB Muni","YTW_SPREAD_TO_MATURITY_AT_ISSU")</f>
        <v>#N/A Requesting Data...</v>
      </c>
      <c r="O1396" t="str">
        <f>_xll.BDP("603092PB Muni","BVAL_MID_YTM")</f>
        <v>#N/A Requesting Data...</v>
      </c>
      <c r="P1396" t="str">
        <f>_xll.BDP("603092PB Muni","MUNI_TAX_PROV")</f>
        <v>#N/A Requesting Data...</v>
      </c>
      <c r="Q1396" t="str">
        <f>_xll.BDP("603092PB Muni","MUNI_FED_TAX")</f>
        <v>#N/A Requesting Data...</v>
      </c>
      <c r="R1396" t="str">
        <f>_xll.BDP("603092PB Muni","MUNI_MSRB_VOLUME")</f>
        <v>#N/A Requesting Data...</v>
      </c>
      <c r="S1396" t="str">
        <f>_xll.BDP("603092PB Muni","BB_COMPOSITE")</f>
        <v>#N/A Requesting Data...</v>
      </c>
      <c r="T1396" t="str">
        <f>_xll.BDP("603092PB Muni","LQA_LIQUIDITY_SCORE")</f>
        <v>#N/A Requesting Data...</v>
      </c>
    </row>
    <row r="1397" spans="1:20" x14ac:dyDescent="0.25">
      <c r="A1397" t="str">
        <f>_xll.BDP("6041785Z Muni","ID_CUSIP")</f>
        <v>#N/A Requesting Data...</v>
      </c>
      <c r="B1397" t="s">
        <v>348</v>
      </c>
      <c r="C1397" t="str">
        <f>_xll.BDP("6041785Z Muni","INSURANCE_STATUS")</f>
        <v>#N/A Requesting Data...</v>
      </c>
      <c r="D1397" t="str">
        <f>_xll.BDP("6041785Z Muni","STATE_CODE")</f>
        <v>#N/A Requesting Data...</v>
      </c>
      <c r="E1397" t="str">
        <f>_xll.BDP("6041785Z Muni","COUNTY_LOCATION_ISSUER")</f>
        <v>#N/A Requesting Data...</v>
      </c>
      <c r="F1397" t="str">
        <f>_xll.BDP("6041785Z Muni","DUR_ADJ_MID")</f>
        <v>#N/A Requesting Data...</v>
      </c>
      <c r="G1397" t="str">
        <f>_xll.BDP("6041785Z Muni","SPREAD_AT_ISSUANCE_TO_WORST")</f>
        <v>#N/A Requesting Data...</v>
      </c>
      <c r="H1397" t="str">
        <f>_xll.BDP("6041785Z Muni","ISSUE_DT")</f>
        <v>#N/A Requesting Data...</v>
      </c>
      <c r="I1397" t="str">
        <f>_xll.BDS("6041785Z Muni","MUNI_PURPOSE_SCHED", "aggregate=y")</f>
        <v>#N/A Requesting Data...</v>
      </c>
      <c r="J1397" t="str">
        <f>_xll.BDP("6041785Z Muni","CPN")</f>
        <v>#N/A Requesting Data...</v>
      </c>
      <c r="K1397" t="str">
        <f>_xll.BDP("6041785Z Muni","MATURITY")</f>
        <v>#N/A Requesting Data...</v>
      </c>
      <c r="L1397">
        <v>370000</v>
      </c>
      <c r="M1397" t="str">
        <f>_xll.BDP("6041785Z Muni","YIELD_ON_ISSUE_DATE")</f>
        <v>#N/A Requesting Data...</v>
      </c>
      <c r="N1397" t="str">
        <f>_xll.BDP("6041785Z Muni","YTW_SPREAD_TO_MATURITY_AT_ISSU")</f>
        <v>#N/A Requesting Data...</v>
      </c>
      <c r="O1397" t="str">
        <f>_xll.BDP("6041785Z Muni","BVAL_MID_YTM")</f>
        <v>#N/A Requesting Data...</v>
      </c>
      <c r="P1397" t="str">
        <f>_xll.BDP("6041785Z Muni","MUNI_TAX_PROV")</f>
        <v>#N/A Requesting Data...</v>
      </c>
      <c r="Q1397" t="str">
        <f>_xll.BDP("6041785Z Muni","MUNI_FED_TAX")</f>
        <v>#N/A Requesting Data...</v>
      </c>
      <c r="R1397" t="str">
        <f>_xll.BDP("6041785Z Muni","MUNI_MSRB_VOLUME")</f>
        <v>#N/A Requesting Data...</v>
      </c>
      <c r="S1397" t="str">
        <f>_xll.BDP("6041785Z Muni","BB_COMPOSITE")</f>
        <v>#N/A Requesting Data...</v>
      </c>
      <c r="T1397" t="str">
        <f>_xll.BDP("6041785Z Muni","LQA_LIQUIDITY_SCORE")</f>
        <v>#N/A Requesting Data...</v>
      </c>
    </row>
    <row r="1398" spans="1:20" x14ac:dyDescent="0.25">
      <c r="A1398" t="str">
        <f>_xll.BDP("6041786A Muni","ID_CUSIP")</f>
        <v>#N/A Requesting Data...</v>
      </c>
      <c r="B1398" t="s">
        <v>348</v>
      </c>
      <c r="C1398" t="str">
        <f>_xll.BDP("6041786A Muni","INSURANCE_STATUS")</f>
        <v>#N/A Requesting Data...</v>
      </c>
      <c r="D1398" t="str">
        <f>_xll.BDP("6041786A Muni","STATE_CODE")</f>
        <v>#N/A Requesting Data...</v>
      </c>
      <c r="E1398" t="str">
        <f>_xll.BDP("6041786A Muni","COUNTY_LOCATION_ISSUER")</f>
        <v>#N/A Requesting Data...</v>
      </c>
      <c r="F1398" t="str">
        <f>_xll.BDP("6041786A Muni","DUR_ADJ_MID")</f>
        <v>#N/A Requesting Data...</v>
      </c>
      <c r="G1398" t="str">
        <f>_xll.BDP("6041786A Muni","SPREAD_AT_ISSUANCE_TO_WORST")</f>
        <v>#N/A Requesting Data...</v>
      </c>
      <c r="H1398" t="str">
        <f>_xll.BDP("6041786A Muni","ISSUE_DT")</f>
        <v>#N/A Requesting Data...</v>
      </c>
      <c r="I1398" t="str">
        <f>_xll.BDS("6041786A Muni","MUNI_PURPOSE_SCHED", "aggregate=y")</f>
        <v>#N/A Requesting Data...</v>
      </c>
      <c r="J1398" t="str">
        <f>_xll.BDP("6041786A Muni","CPN")</f>
        <v>#N/A Requesting Data...</v>
      </c>
      <c r="K1398" t="str">
        <f>_xll.BDP("6041786A Muni","MATURITY")</f>
        <v>#N/A Requesting Data...</v>
      </c>
      <c r="L1398">
        <v>390000</v>
      </c>
      <c r="M1398" t="str">
        <f>_xll.BDP("6041786A Muni","YIELD_ON_ISSUE_DATE")</f>
        <v>#N/A Requesting Data...</v>
      </c>
      <c r="N1398" t="str">
        <f>_xll.BDP("6041786A Muni","YTW_SPREAD_TO_MATURITY_AT_ISSU")</f>
        <v>#N/A Requesting Data...</v>
      </c>
      <c r="O1398" t="str">
        <f>_xll.BDP("6041786A Muni","BVAL_MID_YTM")</f>
        <v>#N/A Requesting Data...</v>
      </c>
      <c r="P1398" t="str">
        <f>_xll.BDP("6041786A Muni","MUNI_TAX_PROV")</f>
        <v>#N/A Requesting Data...</v>
      </c>
      <c r="Q1398" t="str">
        <f>_xll.BDP("6041786A Muni","MUNI_FED_TAX")</f>
        <v>#N/A Requesting Data...</v>
      </c>
      <c r="R1398" t="str">
        <f>_xll.BDP("6041786A Muni","MUNI_MSRB_VOLUME")</f>
        <v>#N/A Requesting Data...</v>
      </c>
      <c r="S1398" t="str">
        <f>_xll.BDP("6041786A Muni","BB_COMPOSITE")</f>
        <v>#N/A Requesting Data...</v>
      </c>
      <c r="T1398" t="str">
        <f>_xll.BDP("6041786A Muni","LQA_LIQUIDITY_SCORE")</f>
        <v>#N/A Requesting Data...</v>
      </c>
    </row>
    <row r="1399" spans="1:20" x14ac:dyDescent="0.25">
      <c r="A1399" t="str">
        <f>_xll.BDP("6041786B Muni","ID_CUSIP")</f>
        <v>#N/A Requesting Data...</v>
      </c>
      <c r="B1399" t="s">
        <v>348</v>
      </c>
      <c r="C1399" t="str">
        <f>_xll.BDP("6041786B Muni","INSURANCE_STATUS")</f>
        <v>#N/A Requesting Data...</v>
      </c>
      <c r="D1399" t="str">
        <f>_xll.BDP("6041786B Muni","STATE_CODE")</f>
        <v>#N/A Requesting Data...</v>
      </c>
      <c r="E1399" t="str">
        <f>_xll.BDP("6041786B Muni","COUNTY_LOCATION_ISSUER")</f>
        <v>#N/A Requesting Data...</v>
      </c>
      <c r="F1399" t="str">
        <f>_xll.BDP("6041786B Muni","DUR_ADJ_MID")</f>
        <v>#N/A Requesting Data...</v>
      </c>
      <c r="G1399" t="str">
        <f>_xll.BDP("6041786B Muni","SPREAD_AT_ISSUANCE_TO_WORST")</f>
        <v>#N/A Requesting Data...</v>
      </c>
      <c r="H1399" t="str">
        <f>_xll.BDP("6041786B Muni","ISSUE_DT")</f>
        <v>#N/A Requesting Data...</v>
      </c>
      <c r="I1399" t="str">
        <f>_xll.BDS("6041786B Muni","MUNI_PURPOSE_SCHED", "aggregate=y")</f>
        <v>#N/A Requesting Data...</v>
      </c>
      <c r="J1399" t="str">
        <f>_xll.BDP("6041786B Muni","CPN")</f>
        <v>#N/A Requesting Data...</v>
      </c>
      <c r="K1399" t="str">
        <f>_xll.BDP("6041786B Muni","MATURITY")</f>
        <v>#N/A Requesting Data...</v>
      </c>
      <c r="L1399">
        <v>410000</v>
      </c>
      <c r="M1399" t="str">
        <f>_xll.BDP("6041786B Muni","YIELD_ON_ISSUE_DATE")</f>
        <v>#N/A Requesting Data...</v>
      </c>
      <c r="N1399" t="str">
        <f>_xll.BDP("6041786B Muni","YTW_SPREAD_TO_MATURITY_AT_ISSU")</f>
        <v>#N/A Requesting Data...</v>
      </c>
      <c r="O1399" t="str">
        <f>_xll.BDP("6041786B Muni","BVAL_MID_YTM")</f>
        <v>#N/A Requesting Data...</v>
      </c>
      <c r="P1399" t="str">
        <f>_xll.BDP("6041786B Muni","MUNI_TAX_PROV")</f>
        <v>#N/A Requesting Data...</v>
      </c>
      <c r="Q1399" t="str">
        <f>_xll.BDP("6041786B Muni","MUNI_FED_TAX")</f>
        <v>#N/A Requesting Data...</v>
      </c>
      <c r="R1399" t="str">
        <f>_xll.BDP("6041786B Muni","MUNI_MSRB_VOLUME")</f>
        <v>#N/A Requesting Data...</v>
      </c>
      <c r="S1399" t="str">
        <f>_xll.BDP("6041786B Muni","BB_COMPOSITE")</f>
        <v>#N/A Requesting Data...</v>
      </c>
      <c r="T1399" t="str">
        <f>_xll.BDP("6041786B Muni","LQA_LIQUIDITY_SCORE")</f>
        <v>#N/A Requesting Data...</v>
      </c>
    </row>
    <row r="1400" spans="1:20" x14ac:dyDescent="0.25">
      <c r="A1400" t="str">
        <f>_xll.BDP("6041786C Muni","ID_CUSIP")</f>
        <v>#N/A Requesting Data...</v>
      </c>
      <c r="B1400" t="s">
        <v>348</v>
      </c>
      <c r="C1400" t="str">
        <f>_xll.BDP("6041786C Muni","INSURANCE_STATUS")</f>
        <v>#N/A Requesting Data...</v>
      </c>
      <c r="D1400" t="str">
        <f>_xll.BDP("6041786C Muni","STATE_CODE")</f>
        <v>#N/A Requesting Data...</v>
      </c>
      <c r="E1400" t="str">
        <f>_xll.BDP("6041786C Muni","COUNTY_LOCATION_ISSUER")</f>
        <v>#N/A Requesting Data...</v>
      </c>
      <c r="F1400" t="str">
        <f>_xll.BDP("6041786C Muni","DUR_ADJ_MID")</f>
        <v>#N/A Requesting Data...</v>
      </c>
      <c r="G1400" t="str">
        <f>_xll.BDP("6041786C Muni","SPREAD_AT_ISSUANCE_TO_WORST")</f>
        <v>#N/A Requesting Data...</v>
      </c>
      <c r="H1400" t="str">
        <f>_xll.BDP("6041786C Muni","ISSUE_DT")</f>
        <v>#N/A Requesting Data...</v>
      </c>
      <c r="I1400" t="str">
        <f>_xll.BDS("6041786C Muni","MUNI_PURPOSE_SCHED", "aggregate=y")</f>
        <v>#N/A Requesting Data...</v>
      </c>
      <c r="J1400" t="str">
        <f>_xll.BDP("6041786C Muni","CPN")</f>
        <v>#N/A Requesting Data...</v>
      </c>
      <c r="K1400" t="str">
        <f>_xll.BDP("6041786C Muni","MATURITY")</f>
        <v>#N/A Requesting Data...</v>
      </c>
      <c r="L1400">
        <v>430000</v>
      </c>
      <c r="M1400" t="str">
        <f>_xll.BDP("6041786C Muni","YIELD_ON_ISSUE_DATE")</f>
        <v>#N/A Requesting Data...</v>
      </c>
      <c r="N1400" t="str">
        <f>_xll.BDP("6041786C Muni","YTW_SPREAD_TO_MATURITY_AT_ISSU")</f>
        <v>#N/A Requesting Data...</v>
      </c>
      <c r="O1400" t="str">
        <f>_xll.BDP("6041786C Muni","BVAL_MID_YTM")</f>
        <v>#N/A Requesting Data...</v>
      </c>
      <c r="P1400" t="str">
        <f>_xll.BDP("6041786C Muni","MUNI_TAX_PROV")</f>
        <v>#N/A Requesting Data...</v>
      </c>
      <c r="Q1400" t="str">
        <f>_xll.BDP("6041786C Muni","MUNI_FED_TAX")</f>
        <v>#N/A Requesting Data...</v>
      </c>
      <c r="R1400" t="str">
        <f>_xll.BDP("6041786C Muni","MUNI_MSRB_VOLUME")</f>
        <v>#N/A Requesting Data...</v>
      </c>
      <c r="S1400" t="str">
        <f>_xll.BDP("6041786C Muni","BB_COMPOSITE")</f>
        <v>#N/A Requesting Data...</v>
      </c>
      <c r="T1400" t="str">
        <f>_xll.BDP("6041786C Muni","LQA_LIQUIDITY_SCORE")</f>
        <v>#N/A Requesting Data...</v>
      </c>
    </row>
    <row r="1401" spans="1:20" x14ac:dyDescent="0.25">
      <c r="A1401" t="str">
        <f>_xll.BDP("611089AD Muni","ID_CUSIP")</f>
        <v>#N/A Requesting Data...</v>
      </c>
      <c r="B1401" t="s">
        <v>349</v>
      </c>
      <c r="C1401" t="str">
        <f>_xll.BDP("611089AD Muni","INSURANCE_STATUS")</f>
        <v>#N/A Requesting Data...</v>
      </c>
      <c r="D1401" t="str">
        <f>_xll.BDP("611089AD Muni","STATE_CODE")</f>
        <v>#N/A Requesting Data...</v>
      </c>
      <c r="E1401" t="str">
        <f>_xll.BDP("611089AD Muni","COUNTY_LOCATION_ISSUER")</f>
        <v>#N/A Requesting Data...</v>
      </c>
      <c r="F1401" t="str">
        <f>_xll.BDP("611089AD Muni","DUR_ADJ_MID")</f>
        <v>#N/A Requesting Data...</v>
      </c>
      <c r="G1401" t="str">
        <f>_xll.BDP("611089AD Muni","SPREAD_AT_ISSUANCE_TO_WORST")</f>
        <v>#N/A Requesting Data...</v>
      </c>
      <c r="H1401" t="str">
        <f>_xll.BDP("611089AD Muni","ISSUE_DT")</f>
        <v>#N/A Requesting Data...</v>
      </c>
      <c r="I1401" t="str">
        <f>_xll.BDS("611089AD Muni","MUNI_PURPOSE_SCHED", "aggregate=y")</f>
        <v>#N/A Requesting Data...</v>
      </c>
      <c r="J1401" t="str">
        <f>_xll.BDP("611089AD Muni","CPN")</f>
        <v>#N/A Requesting Data...</v>
      </c>
      <c r="K1401" t="str">
        <f>_xll.BDP("611089AD Muni","MATURITY")</f>
        <v>#N/A Requesting Data...</v>
      </c>
      <c r="L1401">
        <v>640000</v>
      </c>
      <c r="M1401" t="str">
        <f>_xll.BDP("611089AD Muni","YIELD_ON_ISSUE_DATE")</f>
        <v>#N/A Requesting Data...</v>
      </c>
      <c r="N1401" t="str">
        <f>_xll.BDP("611089AD Muni","YTW_SPREAD_TO_MATURITY_AT_ISSU")</f>
        <v>#N/A Requesting Data...</v>
      </c>
      <c r="O1401" t="str">
        <f>_xll.BDP("611089AD Muni","BVAL_MID_YTM")</f>
        <v>#N/A Requesting Data...</v>
      </c>
      <c r="P1401" t="str">
        <f>_xll.BDP("611089AD Muni","MUNI_TAX_PROV")</f>
        <v>#N/A Requesting Data...</v>
      </c>
      <c r="Q1401" t="str">
        <f>_xll.BDP("611089AD Muni","MUNI_FED_TAX")</f>
        <v>#N/A Requesting Data...</v>
      </c>
      <c r="R1401" t="str">
        <f>_xll.BDP("611089AD Muni","MUNI_MSRB_VOLUME")</f>
        <v>#N/A Requesting Data...</v>
      </c>
      <c r="S1401" t="str">
        <f>_xll.BDP("611089AD Muni","BB_COMPOSITE")</f>
        <v>#N/A Requesting Data...</v>
      </c>
      <c r="T1401" t="str">
        <f>_xll.BDP("611089AD Muni","LQA_LIQUIDITY_SCORE")</f>
        <v>#N/A Requesting Data...</v>
      </c>
    </row>
    <row r="1402" spans="1:20" x14ac:dyDescent="0.25">
      <c r="A1402" t="str">
        <f>_xll.BDP("611089AE Muni","ID_CUSIP")</f>
        <v>#N/A Requesting Data...</v>
      </c>
      <c r="B1402" t="s">
        <v>349</v>
      </c>
      <c r="C1402" t="str">
        <f>_xll.BDP("611089AE Muni","INSURANCE_STATUS")</f>
        <v>#N/A Requesting Data...</v>
      </c>
      <c r="D1402" t="str">
        <f>_xll.BDP("611089AE Muni","STATE_CODE")</f>
        <v>#N/A Requesting Data...</v>
      </c>
      <c r="E1402" t="str">
        <f>_xll.BDP("611089AE Muni","COUNTY_LOCATION_ISSUER")</f>
        <v>#N/A Requesting Data...</v>
      </c>
      <c r="F1402" t="str">
        <f>_xll.BDP("611089AE Muni","DUR_ADJ_MID")</f>
        <v>#N/A Requesting Data...</v>
      </c>
      <c r="G1402" t="str">
        <f>_xll.BDP("611089AE Muni","SPREAD_AT_ISSUANCE_TO_WORST")</f>
        <v>#N/A Requesting Data...</v>
      </c>
      <c r="H1402" t="str">
        <f>_xll.BDP("611089AE Muni","ISSUE_DT")</f>
        <v>#N/A Requesting Data...</v>
      </c>
      <c r="I1402" t="str">
        <f>_xll.BDS("611089AE Muni","MUNI_PURPOSE_SCHED", "aggregate=y")</f>
        <v>#N/A Requesting Data...</v>
      </c>
      <c r="J1402" t="str">
        <f>_xll.BDP("611089AE Muni","CPN")</f>
        <v>#N/A Requesting Data...</v>
      </c>
      <c r="K1402" t="str">
        <f>_xll.BDP("611089AE Muni","MATURITY")</f>
        <v>#N/A Requesting Data...</v>
      </c>
      <c r="L1402">
        <v>665000</v>
      </c>
      <c r="M1402" t="str">
        <f>_xll.BDP("611089AE Muni","YIELD_ON_ISSUE_DATE")</f>
        <v>#N/A Requesting Data...</v>
      </c>
      <c r="N1402" t="str">
        <f>_xll.BDP("611089AE Muni","YTW_SPREAD_TO_MATURITY_AT_ISSU")</f>
        <v>#N/A Requesting Data...</v>
      </c>
      <c r="O1402" t="str">
        <f>_xll.BDP("611089AE Muni","BVAL_MID_YTM")</f>
        <v>#N/A Requesting Data...</v>
      </c>
      <c r="P1402" t="str">
        <f>_xll.BDP("611089AE Muni","MUNI_TAX_PROV")</f>
        <v>#N/A Requesting Data...</v>
      </c>
      <c r="Q1402" t="str">
        <f>_xll.BDP("611089AE Muni","MUNI_FED_TAX")</f>
        <v>#N/A Requesting Data...</v>
      </c>
      <c r="R1402" t="str">
        <f>_xll.BDP("611089AE Muni","MUNI_MSRB_VOLUME")</f>
        <v>#N/A Requesting Data...</v>
      </c>
      <c r="S1402" t="str">
        <f>_xll.BDP("611089AE Muni","BB_COMPOSITE")</f>
        <v>#N/A Requesting Data...</v>
      </c>
      <c r="T1402" t="str">
        <f>_xll.BDP("611089AE Muni","LQA_LIQUIDITY_SCORE")</f>
        <v>#N/A Requesting Data...</v>
      </c>
    </row>
    <row r="1403" spans="1:20" x14ac:dyDescent="0.25">
      <c r="A1403" t="str">
        <f>_xll.BDP("611089AF Muni","ID_CUSIP")</f>
        <v>#N/A Requesting Data...</v>
      </c>
      <c r="B1403" t="s">
        <v>349</v>
      </c>
      <c r="C1403" t="str">
        <f>_xll.BDP("611089AF Muni","INSURANCE_STATUS")</f>
        <v>#N/A Requesting Data...</v>
      </c>
      <c r="D1403" t="str">
        <f>_xll.BDP("611089AF Muni","STATE_CODE")</f>
        <v>#N/A Requesting Data...</v>
      </c>
      <c r="E1403" t="str">
        <f>_xll.BDP("611089AF Muni","COUNTY_LOCATION_ISSUER")</f>
        <v>#N/A Requesting Data...</v>
      </c>
      <c r="F1403" t="str">
        <f>_xll.BDP("611089AF Muni","DUR_ADJ_MID")</f>
        <v>#N/A Requesting Data...</v>
      </c>
      <c r="G1403" t="str">
        <f>_xll.BDP("611089AF Muni","SPREAD_AT_ISSUANCE_TO_WORST")</f>
        <v>#N/A Requesting Data...</v>
      </c>
      <c r="H1403" t="str">
        <f>_xll.BDP("611089AF Muni","ISSUE_DT")</f>
        <v>#N/A Requesting Data...</v>
      </c>
      <c r="I1403" t="str">
        <f>_xll.BDS("611089AF Muni","MUNI_PURPOSE_SCHED", "aggregate=y")</f>
        <v>#N/A Requesting Data...</v>
      </c>
      <c r="J1403" t="str">
        <f>_xll.BDP("611089AF Muni","CPN")</f>
        <v>#N/A Requesting Data...</v>
      </c>
      <c r="K1403" t="str">
        <f>_xll.BDP("611089AF Muni","MATURITY")</f>
        <v>#N/A Requesting Data...</v>
      </c>
      <c r="L1403">
        <v>690000</v>
      </c>
      <c r="M1403" t="str">
        <f>_xll.BDP("611089AF Muni","YIELD_ON_ISSUE_DATE")</f>
        <v>#N/A Requesting Data...</v>
      </c>
      <c r="N1403" t="str">
        <f>_xll.BDP("611089AF Muni","YTW_SPREAD_TO_MATURITY_AT_ISSU")</f>
        <v>#N/A Requesting Data...</v>
      </c>
      <c r="O1403" t="str">
        <f>_xll.BDP("611089AF Muni","BVAL_MID_YTM")</f>
        <v>#N/A Requesting Data...</v>
      </c>
      <c r="P1403" t="str">
        <f>_xll.BDP("611089AF Muni","MUNI_TAX_PROV")</f>
        <v>#N/A Requesting Data...</v>
      </c>
      <c r="Q1403" t="str">
        <f>_xll.BDP("611089AF Muni","MUNI_FED_TAX")</f>
        <v>#N/A Requesting Data...</v>
      </c>
      <c r="R1403" t="str">
        <f>_xll.BDP("611089AF Muni","MUNI_MSRB_VOLUME")</f>
        <v>#N/A Requesting Data...</v>
      </c>
      <c r="S1403" t="str">
        <f>_xll.BDP("611089AF Muni","BB_COMPOSITE")</f>
        <v>#N/A Requesting Data...</v>
      </c>
      <c r="T1403" t="str">
        <f>_xll.BDP("611089AF Muni","LQA_LIQUIDITY_SCORE")</f>
        <v>#N/A Requesting Data...</v>
      </c>
    </row>
    <row r="1404" spans="1:20" x14ac:dyDescent="0.25">
      <c r="A1404" t="str">
        <f>_xll.BDP("611089AG Muni","ID_CUSIP")</f>
        <v>#N/A Requesting Data...</v>
      </c>
      <c r="B1404" t="s">
        <v>349</v>
      </c>
      <c r="C1404" t="str">
        <f>_xll.BDP("611089AG Muni","INSURANCE_STATUS")</f>
        <v>#N/A Requesting Data...</v>
      </c>
      <c r="D1404" t="str">
        <f>_xll.BDP("611089AG Muni","STATE_CODE")</f>
        <v>#N/A Requesting Data...</v>
      </c>
      <c r="E1404" t="str">
        <f>_xll.BDP("611089AG Muni","COUNTY_LOCATION_ISSUER")</f>
        <v>#N/A Requesting Data...</v>
      </c>
      <c r="F1404" t="str">
        <f>_xll.BDP("611089AG Muni","DUR_ADJ_MID")</f>
        <v>#N/A Requesting Data...</v>
      </c>
      <c r="G1404" t="str">
        <f>_xll.BDP("611089AG Muni","SPREAD_AT_ISSUANCE_TO_WORST")</f>
        <v>#N/A Requesting Data...</v>
      </c>
      <c r="H1404" t="str">
        <f>_xll.BDP("611089AG Muni","ISSUE_DT")</f>
        <v>#N/A Requesting Data...</v>
      </c>
      <c r="I1404" t="str">
        <f>_xll.BDS("611089AG Muni","MUNI_PURPOSE_SCHED", "aggregate=y")</f>
        <v>#N/A Requesting Data...</v>
      </c>
      <c r="J1404" t="str">
        <f>_xll.BDP("611089AG Muni","CPN")</f>
        <v>#N/A Requesting Data...</v>
      </c>
      <c r="K1404" t="str">
        <f>_xll.BDP("611089AG Muni","MATURITY")</f>
        <v>#N/A Requesting Data...</v>
      </c>
      <c r="L1404">
        <v>725000</v>
      </c>
      <c r="M1404" t="str">
        <f>_xll.BDP("611089AG Muni","YIELD_ON_ISSUE_DATE")</f>
        <v>#N/A Requesting Data...</v>
      </c>
      <c r="N1404" t="str">
        <f>_xll.BDP("611089AG Muni","YTW_SPREAD_TO_MATURITY_AT_ISSU")</f>
        <v>#N/A Requesting Data...</v>
      </c>
      <c r="O1404" t="str">
        <f>_xll.BDP("611089AG Muni","BVAL_MID_YTM")</f>
        <v>#N/A Requesting Data...</v>
      </c>
      <c r="P1404" t="str">
        <f>_xll.BDP("611089AG Muni","MUNI_TAX_PROV")</f>
        <v>#N/A Requesting Data...</v>
      </c>
      <c r="Q1404" t="str">
        <f>_xll.BDP("611089AG Muni","MUNI_FED_TAX")</f>
        <v>#N/A Requesting Data...</v>
      </c>
      <c r="R1404" t="str">
        <f>_xll.BDP("611089AG Muni","MUNI_MSRB_VOLUME")</f>
        <v>#N/A Requesting Data...</v>
      </c>
      <c r="S1404" t="str">
        <f>_xll.BDP("611089AG Muni","BB_COMPOSITE")</f>
        <v>#N/A Requesting Data...</v>
      </c>
      <c r="T1404" t="str">
        <f>_xll.BDP("611089AG Muni","LQA_LIQUIDITY_SCORE")</f>
        <v>#N/A Requesting Data...</v>
      </c>
    </row>
    <row r="1405" spans="1:20" x14ac:dyDescent="0.25">
      <c r="A1405" t="str">
        <f>_xll.BDP("611089AH Muni","ID_CUSIP")</f>
        <v>#N/A Requesting Data...</v>
      </c>
      <c r="B1405" t="s">
        <v>349</v>
      </c>
      <c r="C1405" t="str">
        <f>_xll.BDP("611089AH Muni","INSURANCE_STATUS")</f>
        <v>#N/A Requesting Data...</v>
      </c>
      <c r="D1405" t="str">
        <f>_xll.BDP("611089AH Muni","STATE_CODE")</f>
        <v>#N/A Requesting Data...</v>
      </c>
      <c r="E1405" t="str">
        <f>_xll.BDP("611089AH Muni","COUNTY_LOCATION_ISSUER")</f>
        <v>#N/A Requesting Data...</v>
      </c>
      <c r="F1405" t="str">
        <f>_xll.BDP("611089AH Muni","DUR_ADJ_MID")</f>
        <v>#N/A Requesting Data...</v>
      </c>
      <c r="G1405" t="str">
        <f>_xll.BDP("611089AH Muni","SPREAD_AT_ISSUANCE_TO_WORST")</f>
        <v>#N/A Requesting Data...</v>
      </c>
      <c r="H1405" t="str">
        <f>_xll.BDP("611089AH Muni","ISSUE_DT")</f>
        <v>#N/A Requesting Data...</v>
      </c>
      <c r="I1405" t="str">
        <f>_xll.BDS("611089AH Muni","MUNI_PURPOSE_SCHED", "aggregate=y")</f>
        <v>#N/A Requesting Data...</v>
      </c>
      <c r="J1405" t="str">
        <f>_xll.BDP("611089AH Muni","CPN")</f>
        <v>#N/A Requesting Data...</v>
      </c>
      <c r="K1405" t="str">
        <f>_xll.BDP("611089AH Muni","MATURITY")</f>
        <v>#N/A Requesting Data...</v>
      </c>
      <c r="L1405">
        <v>760000</v>
      </c>
      <c r="M1405" t="str">
        <f>_xll.BDP("611089AH Muni","YIELD_ON_ISSUE_DATE")</f>
        <v>#N/A Requesting Data...</v>
      </c>
      <c r="N1405" t="str">
        <f>_xll.BDP("611089AH Muni","YTW_SPREAD_TO_MATURITY_AT_ISSU")</f>
        <v>#N/A Requesting Data...</v>
      </c>
      <c r="O1405" t="str">
        <f>_xll.BDP("611089AH Muni","BVAL_MID_YTM")</f>
        <v>#N/A Requesting Data...</v>
      </c>
      <c r="P1405" t="str">
        <f>_xll.BDP("611089AH Muni","MUNI_TAX_PROV")</f>
        <v>#N/A Requesting Data...</v>
      </c>
      <c r="Q1405" t="str">
        <f>_xll.BDP("611089AH Muni","MUNI_FED_TAX")</f>
        <v>#N/A Requesting Data...</v>
      </c>
      <c r="R1405" t="str">
        <f>_xll.BDP("611089AH Muni","MUNI_MSRB_VOLUME")</f>
        <v>#N/A Requesting Data...</v>
      </c>
      <c r="S1405" t="str">
        <f>_xll.BDP("611089AH Muni","BB_COMPOSITE")</f>
        <v>#N/A Requesting Data...</v>
      </c>
      <c r="T1405" t="str">
        <f>_xll.BDP("611089AH Muni","LQA_LIQUIDITY_SCORE")</f>
        <v>#N/A Requesting Data...</v>
      </c>
    </row>
    <row r="1406" spans="1:20" x14ac:dyDescent="0.25">
      <c r="A1406" t="str">
        <f>_xll.BDP("611089AJ Muni","ID_CUSIP")</f>
        <v>#N/A Requesting Data...</v>
      </c>
      <c r="B1406" t="s">
        <v>349</v>
      </c>
      <c r="C1406" t="str">
        <f>_xll.BDP("611089AJ Muni","INSURANCE_STATUS")</f>
        <v>#N/A Requesting Data...</v>
      </c>
      <c r="D1406" t="str">
        <f>_xll.BDP("611089AJ Muni","STATE_CODE")</f>
        <v>#N/A Requesting Data...</v>
      </c>
      <c r="E1406" t="str">
        <f>_xll.BDP("611089AJ Muni","COUNTY_LOCATION_ISSUER")</f>
        <v>#N/A Requesting Data...</v>
      </c>
      <c r="F1406" t="str">
        <f>_xll.BDP("611089AJ Muni","DUR_ADJ_MID")</f>
        <v>#N/A Requesting Data...</v>
      </c>
      <c r="G1406" t="str">
        <f>_xll.BDP("611089AJ Muni","SPREAD_AT_ISSUANCE_TO_WORST")</f>
        <v>#N/A Requesting Data...</v>
      </c>
      <c r="H1406" t="str">
        <f>_xll.BDP("611089AJ Muni","ISSUE_DT")</f>
        <v>#N/A Requesting Data...</v>
      </c>
      <c r="I1406" t="str">
        <f>_xll.BDS("611089AJ Muni","MUNI_PURPOSE_SCHED", "aggregate=y")</f>
        <v>#N/A Requesting Data...</v>
      </c>
      <c r="J1406" t="str">
        <f>_xll.BDP("611089AJ Muni","CPN")</f>
        <v>#N/A Requesting Data...</v>
      </c>
      <c r="K1406" t="str">
        <f>_xll.BDP("611089AJ Muni","MATURITY")</f>
        <v>#N/A Requesting Data...</v>
      </c>
      <c r="L1406">
        <v>800000</v>
      </c>
      <c r="M1406" t="str">
        <f>_xll.BDP("611089AJ Muni","YIELD_ON_ISSUE_DATE")</f>
        <v>#N/A Requesting Data...</v>
      </c>
      <c r="N1406" t="str">
        <f>_xll.BDP("611089AJ Muni","YTW_SPREAD_TO_MATURITY_AT_ISSU")</f>
        <v>#N/A Requesting Data...</v>
      </c>
      <c r="O1406" t="str">
        <f>_xll.BDP("611089AJ Muni","BVAL_MID_YTM")</f>
        <v>#N/A Requesting Data...</v>
      </c>
      <c r="P1406" t="str">
        <f>_xll.BDP("611089AJ Muni","MUNI_TAX_PROV")</f>
        <v>#N/A Requesting Data...</v>
      </c>
      <c r="Q1406" t="str">
        <f>_xll.BDP("611089AJ Muni","MUNI_FED_TAX")</f>
        <v>#N/A Requesting Data...</v>
      </c>
      <c r="R1406" t="str">
        <f>_xll.BDP("611089AJ Muni","MUNI_MSRB_VOLUME")</f>
        <v>#N/A Requesting Data...</v>
      </c>
      <c r="S1406" t="str">
        <f>_xll.BDP("611089AJ Muni","BB_COMPOSITE")</f>
        <v>#N/A Requesting Data...</v>
      </c>
      <c r="T1406" t="str">
        <f>_xll.BDP("611089AJ Muni","LQA_LIQUIDITY_SCORE")</f>
        <v>#N/A Requesting Data...</v>
      </c>
    </row>
    <row r="1407" spans="1:20" x14ac:dyDescent="0.25">
      <c r="A1407" t="str">
        <f>_xll.BDP("611089AK Muni","ID_CUSIP")</f>
        <v>#N/A Requesting Data...</v>
      </c>
      <c r="B1407" t="s">
        <v>349</v>
      </c>
      <c r="C1407" t="str">
        <f>_xll.BDP("611089AK Muni","INSURANCE_STATUS")</f>
        <v>#N/A Requesting Data...</v>
      </c>
      <c r="D1407" t="str">
        <f>_xll.BDP("611089AK Muni","STATE_CODE")</f>
        <v>#N/A Requesting Data...</v>
      </c>
      <c r="E1407" t="str">
        <f>_xll.BDP("611089AK Muni","COUNTY_LOCATION_ISSUER")</f>
        <v>#N/A Requesting Data...</v>
      </c>
      <c r="F1407" t="str">
        <f>_xll.BDP("611089AK Muni","DUR_ADJ_MID")</f>
        <v>#N/A Requesting Data...</v>
      </c>
      <c r="G1407" t="str">
        <f>_xll.BDP("611089AK Muni","SPREAD_AT_ISSUANCE_TO_WORST")</f>
        <v>#N/A Requesting Data...</v>
      </c>
      <c r="H1407" t="str">
        <f>_xll.BDP("611089AK Muni","ISSUE_DT")</f>
        <v>#N/A Requesting Data...</v>
      </c>
      <c r="I1407" t="str">
        <f>_xll.BDS("611089AK Muni","MUNI_PURPOSE_SCHED", "aggregate=y")</f>
        <v>#N/A Requesting Data...</v>
      </c>
      <c r="J1407" t="str">
        <f>_xll.BDP("611089AK Muni","CPN")</f>
        <v>#N/A Requesting Data...</v>
      </c>
      <c r="K1407" t="str">
        <f>_xll.BDP("611089AK Muni","MATURITY")</f>
        <v>#N/A Requesting Data...</v>
      </c>
      <c r="L1407">
        <v>840000</v>
      </c>
      <c r="M1407" t="str">
        <f>_xll.BDP("611089AK Muni","YIELD_ON_ISSUE_DATE")</f>
        <v>#N/A Requesting Data...</v>
      </c>
      <c r="N1407" t="str">
        <f>_xll.BDP("611089AK Muni","YTW_SPREAD_TO_MATURITY_AT_ISSU")</f>
        <v>#N/A Requesting Data...</v>
      </c>
      <c r="O1407" t="str">
        <f>_xll.BDP("611089AK Muni","BVAL_MID_YTM")</f>
        <v>#N/A Requesting Data...</v>
      </c>
      <c r="P1407" t="str">
        <f>_xll.BDP("611089AK Muni","MUNI_TAX_PROV")</f>
        <v>#N/A Requesting Data...</v>
      </c>
      <c r="Q1407" t="str">
        <f>_xll.BDP("611089AK Muni","MUNI_FED_TAX")</f>
        <v>#N/A Requesting Data...</v>
      </c>
      <c r="R1407" t="str">
        <f>_xll.BDP("611089AK Muni","MUNI_MSRB_VOLUME")</f>
        <v>#N/A Requesting Data...</v>
      </c>
      <c r="S1407" t="str">
        <f>_xll.BDP("611089AK Muni","BB_COMPOSITE")</f>
        <v>#N/A Requesting Data...</v>
      </c>
      <c r="T1407" t="str">
        <f>_xll.BDP("611089AK Muni","LQA_LIQUIDITY_SCORE")</f>
        <v>#N/A Requesting Data...</v>
      </c>
    </row>
    <row r="1408" spans="1:20" x14ac:dyDescent="0.25">
      <c r="A1408" t="str">
        <f>_xll.BDP("570833GE Muni","ID_CUSIP")</f>
        <v>#N/A Requesting Data...</v>
      </c>
      <c r="B1408" t="s">
        <v>350</v>
      </c>
      <c r="C1408" t="str">
        <f>_xll.BDP("570833GE Muni","INSURANCE_STATUS")</f>
        <v>#N/A Requesting Data...</v>
      </c>
      <c r="D1408" t="str">
        <f>_xll.BDP("570833GE Muni","STATE_CODE")</f>
        <v>#N/A Requesting Data...</v>
      </c>
      <c r="E1408" t="str">
        <f>_xll.BDP("570833GE Muni","COUNTY_LOCATION_ISSUER")</f>
        <v>#N/A Requesting Data...</v>
      </c>
      <c r="F1408" t="str">
        <f>_xll.BDP("570833GE Muni","DUR_ADJ_MID")</f>
        <v>#N/A Requesting Data...</v>
      </c>
      <c r="G1408" t="str">
        <f>_xll.BDP("570833GE Muni","SPREAD_AT_ISSUANCE_TO_WORST")</f>
        <v>#N/A Requesting Data...</v>
      </c>
      <c r="H1408" t="str">
        <f>_xll.BDP("570833GE Muni","ISSUE_DT")</f>
        <v>#N/A Requesting Data...</v>
      </c>
      <c r="I1408" t="str">
        <f>_xll.BDS("570833GE Muni","MUNI_PURPOSE_SCHED", "aggregate=y")</f>
        <v>#N/A Requesting Data...</v>
      </c>
      <c r="J1408" t="str">
        <f>_xll.BDP("570833GE Muni","CPN")</f>
        <v>#N/A Requesting Data...</v>
      </c>
      <c r="K1408" t="str">
        <f>_xll.BDP("570833GE Muni","MATURITY")</f>
        <v>#N/A Requesting Data...</v>
      </c>
      <c r="L1408">
        <v>625000</v>
      </c>
      <c r="M1408" t="str">
        <f>_xll.BDP("570833GE Muni","YIELD_ON_ISSUE_DATE")</f>
        <v>#N/A Requesting Data...</v>
      </c>
      <c r="N1408" t="str">
        <f>_xll.BDP("570833GE Muni","YTW_SPREAD_TO_MATURITY_AT_ISSU")</f>
        <v>#N/A Requesting Data...</v>
      </c>
      <c r="O1408" t="str">
        <f>_xll.BDP("570833GE Muni","BVAL_MID_YTM")</f>
        <v>#N/A Requesting Data...</v>
      </c>
      <c r="P1408" t="str">
        <f>_xll.BDP("570833GE Muni","MUNI_TAX_PROV")</f>
        <v>#N/A Requesting Data...</v>
      </c>
      <c r="Q1408" t="str">
        <f>_xll.BDP("570833GE Muni","MUNI_FED_TAX")</f>
        <v>#N/A Requesting Data...</v>
      </c>
      <c r="R1408" t="str">
        <f>_xll.BDP("570833GE Muni","MUNI_MSRB_VOLUME")</f>
        <v>#N/A Requesting Data...</v>
      </c>
      <c r="S1408" t="str">
        <f>_xll.BDP("570833GE Muni","BB_COMPOSITE")</f>
        <v>#N/A Requesting Data...</v>
      </c>
      <c r="T1408" t="str">
        <f>_xll.BDP("570833GE Muni","LQA_LIQUIDITY_SCORE")</f>
        <v>#N/A Requesting Data...</v>
      </c>
    </row>
    <row r="1409" spans="1:20" x14ac:dyDescent="0.25">
      <c r="A1409" t="str">
        <f>_xll.BDP("570833GG Muni","ID_CUSIP")</f>
        <v>#N/A Requesting Data...</v>
      </c>
      <c r="B1409" t="s">
        <v>350</v>
      </c>
      <c r="C1409" t="str">
        <f>_xll.BDP("570833GG Muni","INSURANCE_STATUS")</f>
        <v>#N/A Requesting Data...</v>
      </c>
      <c r="D1409" t="str">
        <f>_xll.BDP("570833GG Muni","STATE_CODE")</f>
        <v>#N/A Requesting Data...</v>
      </c>
      <c r="E1409" t="str">
        <f>_xll.BDP("570833GG Muni","COUNTY_LOCATION_ISSUER")</f>
        <v>#N/A Requesting Data...</v>
      </c>
      <c r="F1409" t="str">
        <f>_xll.BDP("570833GG Muni","DUR_ADJ_MID")</f>
        <v>#N/A Requesting Data...</v>
      </c>
      <c r="G1409" t="str">
        <f>_xll.BDP("570833GG Muni","SPREAD_AT_ISSUANCE_TO_WORST")</f>
        <v>#N/A Requesting Data...</v>
      </c>
      <c r="H1409" t="str">
        <f>_xll.BDP("570833GG Muni","ISSUE_DT")</f>
        <v>#N/A Requesting Data...</v>
      </c>
      <c r="I1409" t="str">
        <f>_xll.BDS("570833GG Muni","MUNI_PURPOSE_SCHED", "aggregate=y")</f>
        <v>#N/A Requesting Data...</v>
      </c>
      <c r="J1409" t="str">
        <f>_xll.BDP("570833GG Muni","CPN")</f>
        <v>#N/A Requesting Data...</v>
      </c>
      <c r="K1409" t="str">
        <f>_xll.BDP("570833GG Muni","MATURITY")</f>
        <v>#N/A Requesting Data...</v>
      </c>
      <c r="L1409">
        <v>820000</v>
      </c>
      <c r="M1409" t="str">
        <f>_xll.BDP("570833GG Muni","YIELD_ON_ISSUE_DATE")</f>
        <v>#N/A Requesting Data...</v>
      </c>
      <c r="N1409" t="str">
        <f>_xll.BDP("570833GG Muni","YTW_SPREAD_TO_MATURITY_AT_ISSU")</f>
        <v>#N/A Requesting Data...</v>
      </c>
      <c r="O1409" t="str">
        <f>_xll.BDP("570833GG Muni","BVAL_MID_YTM")</f>
        <v>#N/A Requesting Data...</v>
      </c>
      <c r="P1409" t="str">
        <f>_xll.BDP("570833GG Muni","MUNI_TAX_PROV")</f>
        <v>#N/A Requesting Data...</v>
      </c>
      <c r="Q1409" t="str">
        <f>_xll.BDP("570833GG Muni","MUNI_FED_TAX")</f>
        <v>#N/A Requesting Data...</v>
      </c>
      <c r="R1409" t="str">
        <f>_xll.BDP("570833GG Muni","MUNI_MSRB_VOLUME")</f>
        <v>#N/A Requesting Data...</v>
      </c>
      <c r="S1409" t="str">
        <f>_xll.BDP("570833GG Muni","BB_COMPOSITE")</f>
        <v>#N/A Requesting Data...</v>
      </c>
      <c r="T1409" t="str">
        <f>_xll.BDP("570833GG Muni","LQA_LIQUIDITY_SCORE")</f>
        <v>#N/A Requesting Data...</v>
      </c>
    </row>
    <row r="1410" spans="1:20" x14ac:dyDescent="0.25">
      <c r="A1410" t="str">
        <f>_xll.BDP("572767YM Muni","ID_CUSIP")</f>
        <v>#N/A Requesting Data...</v>
      </c>
      <c r="B1410" t="s">
        <v>351</v>
      </c>
      <c r="C1410" t="str">
        <f>_xll.BDP("572767YM Muni","INSURANCE_STATUS")</f>
        <v>#N/A Requesting Data...</v>
      </c>
      <c r="D1410" t="str">
        <f>_xll.BDP("572767YM Muni","STATE_CODE")</f>
        <v>#N/A Requesting Data...</v>
      </c>
      <c r="E1410" t="str">
        <f>_xll.BDP("572767YM Muni","COUNTY_LOCATION_ISSUER")</f>
        <v>#N/A Requesting Data...</v>
      </c>
      <c r="F1410" t="str">
        <f>_xll.BDP("572767YM Muni","DUR_ADJ_MID")</f>
        <v>#N/A Requesting Data...</v>
      </c>
      <c r="G1410" t="str">
        <f>_xll.BDP("572767YM Muni","SPREAD_AT_ISSUANCE_TO_WORST")</f>
        <v>#N/A Requesting Data...</v>
      </c>
      <c r="H1410" t="str">
        <f>_xll.BDP("572767YM Muni","ISSUE_DT")</f>
        <v>#N/A Requesting Data...</v>
      </c>
      <c r="I1410" t="str">
        <f>_xll.BDS("572767YM Muni","MUNI_PURPOSE_SCHED", "aggregate=y")</f>
        <v>#N/A Requesting Data...</v>
      </c>
      <c r="J1410" t="str">
        <f>_xll.BDP("572767YM Muni","CPN")</f>
        <v>#N/A Requesting Data...</v>
      </c>
      <c r="K1410" t="str">
        <f>_xll.BDP("572767YM Muni","MATURITY")</f>
        <v>#N/A Requesting Data...</v>
      </c>
      <c r="L1410">
        <v>350000</v>
      </c>
      <c r="M1410" t="str">
        <f>_xll.BDP("572767YM Muni","YIELD_ON_ISSUE_DATE")</f>
        <v>#N/A Requesting Data...</v>
      </c>
      <c r="N1410" t="str">
        <f>_xll.BDP("572767YM Muni","YTW_SPREAD_TO_MATURITY_AT_ISSU")</f>
        <v>#N/A Requesting Data...</v>
      </c>
      <c r="O1410" t="str">
        <f>_xll.BDP("572767YM Muni","BVAL_MID_YTM")</f>
        <v>#N/A Requesting Data...</v>
      </c>
      <c r="P1410" t="str">
        <f>_xll.BDP("572767YM Muni","MUNI_TAX_PROV")</f>
        <v>#N/A Requesting Data...</v>
      </c>
      <c r="Q1410" t="str">
        <f>_xll.BDP("572767YM Muni","MUNI_FED_TAX")</f>
        <v>#N/A Requesting Data...</v>
      </c>
      <c r="R1410" t="str">
        <f>_xll.BDP("572767YM Muni","MUNI_MSRB_VOLUME")</f>
        <v>#N/A Requesting Data...</v>
      </c>
      <c r="S1410" t="str">
        <f>_xll.BDP("572767YM Muni","BB_COMPOSITE")</f>
        <v>#N/A Requesting Data...</v>
      </c>
      <c r="T1410" t="str">
        <f>_xll.BDP("572767YM Muni","LQA_LIQUIDITY_SCORE")</f>
        <v>#N/A Requesting Data...</v>
      </c>
    </row>
    <row r="1411" spans="1:20" x14ac:dyDescent="0.25">
      <c r="A1411" t="str">
        <f>_xll.BDP("67920QNP Muni","ID_CUSIP")</f>
        <v>#N/A Requesting Data...</v>
      </c>
      <c r="B1411" t="s">
        <v>352</v>
      </c>
      <c r="C1411" t="str">
        <f>_xll.BDP("67920QNP Muni","INSURANCE_STATUS")</f>
        <v>#N/A Requesting Data...</v>
      </c>
      <c r="D1411" t="str">
        <f>_xll.BDP("67920QNP Muni","STATE_CODE")</f>
        <v>#N/A Requesting Data...</v>
      </c>
      <c r="E1411" t="str">
        <f>_xll.BDP("67920QNP Muni","COUNTY_LOCATION_ISSUER")</f>
        <v>#N/A Requesting Data...</v>
      </c>
      <c r="F1411" t="str">
        <f>_xll.BDP("67920QNP Muni","DUR_ADJ_MID")</f>
        <v>#N/A Requesting Data...</v>
      </c>
      <c r="G1411" t="str">
        <f>_xll.BDP("67920QNP Muni","SPREAD_AT_ISSUANCE_TO_WORST")</f>
        <v>#N/A Requesting Data...</v>
      </c>
      <c r="H1411" t="str">
        <f>_xll.BDP("67920QNP Muni","ISSUE_DT")</f>
        <v>#N/A Requesting Data...</v>
      </c>
      <c r="I1411" t="str">
        <f>_xll.BDS("67920QNP Muni","MUNI_PURPOSE_SCHED", "aggregate=y")</f>
        <v>#N/A Requesting Data...</v>
      </c>
      <c r="J1411" t="str">
        <f>_xll.BDP("67920QNP Muni","CPN")</f>
        <v>#N/A Requesting Data...</v>
      </c>
      <c r="K1411" t="str">
        <f>_xll.BDP("67920QNP Muni","MATURITY")</f>
        <v>#N/A Requesting Data...</v>
      </c>
      <c r="L1411">
        <v>420000</v>
      </c>
      <c r="M1411" t="str">
        <f>_xll.BDP("67920QNP Muni","YIELD_ON_ISSUE_DATE")</f>
        <v>#N/A Requesting Data...</v>
      </c>
      <c r="N1411" t="str">
        <f>_xll.BDP("67920QNP Muni","YTW_SPREAD_TO_MATURITY_AT_ISSU")</f>
        <v>#N/A Requesting Data...</v>
      </c>
      <c r="O1411" t="str">
        <f>_xll.BDP("67920QNP Muni","BVAL_MID_YTM")</f>
        <v>#N/A Requesting Data...</v>
      </c>
      <c r="P1411" t="str">
        <f>_xll.BDP("67920QNP Muni","MUNI_TAX_PROV")</f>
        <v>#N/A Requesting Data...</v>
      </c>
      <c r="Q1411" t="str">
        <f>_xll.BDP("67920QNP Muni","MUNI_FED_TAX")</f>
        <v>#N/A Requesting Data...</v>
      </c>
      <c r="R1411" t="str">
        <f>_xll.BDP("67920QNP Muni","MUNI_MSRB_VOLUME")</f>
        <v>#N/A Requesting Data...</v>
      </c>
      <c r="S1411" t="str">
        <f>_xll.BDP("67920QNP Muni","BB_COMPOSITE")</f>
        <v>#N/A Requesting Data...</v>
      </c>
      <c r="T1411" t="str">
        <f>_xll.BDP("67920QNP Muni","LQA_LIQUIDITY_SCORE")</f>
        <v>#N/A Requesting Data...</v>
      </c>
    </row>
    <row r="1412" spans="1:20" x14ac:dyDescent="0.25">
      <c r="A1412" t="str">
        <f>_xll.BDP("67920QNQ Muni","ID_CUSIP")</f>
        <v>#N/A Requesting Data...</v>
      </c>
      <c r="B1412" t="s">
        <v>352</v>
      </c>
      <c r="C1412" t="str">
        <f>_xll.BDP("67920QNQ Muni","INSURANCE_STATUS")</f>
        <v>#N/A Requesting Data...</v>
      </c>
      <c r="D1412" t="str">
        <f>_xll.BDP("67920QNQ Muni","STATE_CODE")</f>
        <v>#N/A Requesting Data...</v>
      </c>
      <c r="E1412" t="str">
        <f>_xll.BDP("67920QNQ Muni","COUNTY_LOCATION_ISSUER")</f>
        <v>#N/A Requesting Data...</v>
      </c>
      <c r="F1412" t="str">
        <f>_xll.BDP("67920QNQ Muni","DUR_ADJ_MID")</f>
        <v>#N/A Requesting Data...</v>
      </c>
      <c r="G1412" t="str">
        <f>_xll.BDP("67920QNQ Muni","SPREAD_AT_ISSUANCE_TO_WORST")</f>
        <v>#N/A Requesting Data...</v>
      </c>
      <c r="H1412" t="str">
        <f>_xll.BDP("67920QNQ Muni","ISSUE_DT")</f>
        <v>#N/A Requesting Data...</v>
      </c>
      <c r="I1412" t="str">
        <f>_xll.BDS("67920QNQ Muni","MUNI_PURPOSE_SCHED", "aggregate=y")</f>
        <v>#N/A Requesting Data...</v>
      </c>
      <c r="J1412" t="str">
        <f>_xll.BDP("67920QNQ Muni","CPN")</f>
        <v>#N/A Requesting Data...</v>
      </c>
      <c r="K1412" t="str">
        <f>_xll.BDP("67920QNQ Muni","MATURITY")</f>
        <v>#N/A Requesting Data...</v>
      </c>
      <c r="L1412">
        <v>425000</v>
      </c>
      <c r="M1412" t="str">
        <f>_xll.BDP("67920QNQ Muni","YIELD_ON_ISSUE_DATE")</f>
        <v>#N/A Requesting Data...</v>
      </c>
      <c r="N1412" t="str">
        <f>_xll.BDP("67920QNQ Muni","YTW_SPREAD_TO_MATURITY_AT_ISSU")</f>
        <v>#N/A Requesting Data...</v>
      </c>
      <c r="O1412" t="str">
        <f>_xll.BDP("67920QNQ Muni","BVAL_MID_YTM")</f>
        <v>#N/A Requesting Data...</v>
      </c>
      <c r="P1412" t="str">
        <f>_xll.BDP("67920QNQ Muni","MUNI_TAX_PROV")</f>
        <v>#N/A Requesting Data...</v>
      </c>
      <c r="Q1412" t="str">
        <f>_xll.BDP("67920QNQ Muni","MUNI_FED_TAX")</f>
        <v>#N/A Requesting Data...</v>
      </c>
      <c r="R1412" t="str">
        <f>_xll.BDP("67920QNQ Muni","MUNI_MSRB_VOLUME")</f>
        <v>#N/A Requesting Data...</v>
      </c>
      <c r="S1412" t="str">
        <f>_xll.BDP("67920QNQ Muni","BB_COMPOSITE")</f>
        <v>#N/A Requesting Data...</v>
      </c>
      <c r="T1412" t="str">
        <f>_xll.BDP("67920QNQ Muni","LQA_LIQUIDITY_SCORE")</f>
        <v>#N/A Requesting Data...</v>
      </c>
    </row>
    <row r="1413" spans="1:20" x14ac:dyDescent="0.25">
      <c r="A1413" t="str">
        <f>_xll.BDP("67920QNR Muni","ID_CUSIP")</f>
        <v>#N/A Requesting Data...</v>
      </c>
      <c r="B1413" t="s">
        <v>352</v>
      </c>
      <c r="C1413" t="str">
        <f>_xll.BDP("67920QNR Muni","INSURANCE_STATUS")</f>
        <v>#N/A Requesting Data...</v>
      </c>
      <c r="D1413" t="str">
        <f>_xll.BDP("67920QNR Muni","STATE_CODE")</f>
        <v>#N/A Requesting Data...</v>
      </c>
      <c r="E1413" t="str">
        <f>_xll.BDP("67920QNR Muni","COUNTY_LOCATION_ISSUER")</f>
        <v>#N/A Requesting Data...</v>
      </c>
      <c r="F1413" t="str">
        <f>_xll.BDP("67920QNR Muni","DUR_ADJ_MID")</f>
        <v>#N/A Requesting Data...</v>
      </c>
      <c r="G1413" t="str">
        <f>_xll.BDP("67920QNR Muni","SPREAD_AT_ISSUANCE_TO_WORST")</f>
        <v>#N/A Requesting Data...</v>
      </c>
      <c r="H1413" t="str">
        <f>_xll.BDP("67920QNR Muni","ISSUE_DT")</f>
        <v>#N/A Requesting Data...</v>
      </c>
      <c r="I1413" t="str">
        <f>_xll.BDS("67920QNR Muni","MUNI_PURPOSE_SCHED", "aggregate=y")</f>
        <v>#N/A Requesting Data...</v>
      </c>
      <c r="J1413" t="str">
        <f>_xll.BDP("67920QNR Muni","CPN")</f>
        <v>#N/A Requesting Data...</v>
      </c>
      <c r="K1413" t="str">
        <f>_xll.BDP("67920QNR Muni","MATURITY")</f>
        <v>#N/A Requesting Data...</v>
      </c>
      <c r="L1413">
        <v>440000</v>
      </c>
      <c r="M1413" t="str">
        <f>_xll.BDP("67920QNR Muni","YIELD_ON_ISSUE_DATE")</f>
        <v>#N/A Requesting Data...</v>
      </c>
      <c r="N1413" t="str">
        <f>_xll.BDP("67920QNR Muni","YTW_SPREAD_TO_MATURITY_AT_ISSU")</f>
        <v>#N/A Requesting Data...</v>
      </c>
      <c r="O1413" t="str">
        <f>_xll.BDP("67920QNR Muni","BVAL_MID_YTM")</f>
        <v>#N/A Requesting Data...</v>
      </c>
      <c r="P1413" t="str">
        <f>_xll.BDP("67920QNR Muni","MUNI_TAX_PROV")</f>
        <v>#N/A Requesting Data...</v>
      </c>
      <c r="Q1413" t="str">
        <f>_xll.BDP("67920QNR Muni","MUNI_FED_TAX")</f>
        <v>#N/A Requesting Data...</v>
      </c>
      <c r="R1413" t="str">
        <f>_xll.BDP("67920QNR Muni","MUNI_MSRB_VOLUME")</f>
        <v>#N/A Requesting Data...</v>
      </c>
      <c r="S1413" t="str">
        <f>_xll.BDP("67920QNR Muni","BB_COMPOSITE")</f>
        <v>#N/A Requesting Data...</v>
      </c>
      <c r="T1413" t="str">
        <f>_xll.BDP("67920QNR Muni","LQA_LIQUIDITY_SCORE")</f>
        <v>#N/A Requesting Data...</v>
      </c>
    </row>
    <row r="1414" spans="1:20" x14ac:dyDescent="0.25">
      <c r="A1414" t="str">
        <f>_xll.BDP("67920QNS Muni","ID_CUSIP")</f>
        <v>#N/A Requesting Data...</v>
      </c>
      <c r="B1414" t="s">
        <v>352</v>
      </c>
      <c r="C1414" t="str">
        <f>_xll.BDP("67920QNS Muni","INSURANCE_STATUS")</f>
        <v>#N/A Requesting Data...</v>
      </c>
      <c r="D1414" t="str">
        <f>_xll.BDP("67920QNS Muni","STATE_CODE")</f>
        <v>#N/A Requesting Data...</v>
      </c>
      <c r="E1414" t="str">
        <f>_xll.BDP("67920QNS Muni","COUNTY_LOCATION_ISSUER")</f>
        <v>#N/A Requesting Data...</v>
      </c>
      <c r="F1414" t="str">
        <f>_xll.BDP("67920QNS Muni","DUR_ADJ_MID")</f>
        <v>#N/A Requesting Data...</v>
      </c>
      <c r="G1414" t="str">
        <f>_xll.BDP("67920QNS Muni","SPREAD_AT_ISSUANCE_TO_WORST")</f>
        <v>#N/A Requesting Data...</v>
      </c>
      <c r="H1414" t="str">
        <f>_xll.BDP("67920QNS Muni","ISSUE_DT")</f>
        <v>#N/A Requesting Data...</v>
      </c>
      <c r="I1414" t="str">
        <f>_xll.BDS("67920QNS Muni","MUNI_PURPOSE_SCHED", "aggregate=y")</f>
        <v>#N/A Requesting Data...</v>
      </c>
      <c r="J1414" t="str">
        <f>_xll.BDP("67920QNS Muni","CPN")</f>
        <v>#N/A Requesting Data...</v>
      </c>
      <c r="K1414" t="str">
        <f>_xll.BDP("67920QNS Muni","MATURITY")</f>
        <v>#N/A Requesting Data...</v>
      </c>
      <c r="L1414">
        <v>455000</v>
      </c>
      <c r="M1414" t="str">
        <f>_xll.BDP("67920QNS Muni","YIELD_ON_ISSUE_DATE")</f>
        <v>#N/A Requesting Data...</v>
      </c>
      <c r="N1414" t="str">
        <f>_xll.BDP("67920QNS Muni","YTW_SPREAD_TO_MATURITY_AT_ISSU")</f>
        <v>#N/A Requesting Data...</v>
      </c>
      <c r="O1414" t="str">
        <f>_xll.BDP("67920QNS Muni","BVAL_MID_YTM")</f>
        <v>#N/A Requesting Data...</v>
      </c>
      <c r="P1414" t="str">
        <f>_xll.BDP("67920QNS Muni","MUNI_TAX_PROV")</f>
        <v>#N/A Requesting Data...</v>
      </c>
      <c r="Q1414" t="str">
        <f>_xll.BDP("67920QNS Muni","MUNI_FED_TAX")</f>
        <v>#N/A Requesting Data...</v>
      </c>
      <c r="R1414" t="str">
        <f>_xll.BDP("67920QNS Muni","MUNI_MSRB_VOLUME")</f>
        <v>#N/A Requesting Data...</v>
      </c>
      <c r="S1414" t="str">
        <f>_xll.BDP("67920QNS Muni","BB_COMPOSITE")</f>
        <v>#N/A Requesting Data...</v>
      </c>
      <c r="T1414" t="str">
        <f>_xll.BDP("67920QNS Muni","LQA_LIQUIDITY_SCORE")</f>
        <v>#N/A Requesting Data...</v>
      </c>
    </row>
    <row r="1415" spans="1:20" x14ac:dyDescent="0.25">
      <c r="A1415" t="str">
        <f>_xll.BDP("67920QPD Muni","ID_CUSIP")</f>
        <v>#N/A Requesting Data...</v>
      </c>
      <c r="B1415" t="s">
        <v>352</v>
      </c>
      <c r="C1415" t="str">
        <f>_xll.BDP("67920QPD Muni","INSURANCE_STATUS")</f>
        <v>#N/A Requesting Data...</v>
      </c>
      <c r="D1415" t="str">
        <f>_xll.BDP("67920QPD Muni","STATE_CODE")</f>
        <v>#N/A Requesting Data...</v>
      </c>
      <c r="E1415" t="str">
        <f>_xll.BDP("67920QPD Muni","COUNTY_LOCATION_ISSUER")</f>
        <v>#N/A Requesting Data...</v>
      </c>
      <c r="F1415" t="str">
        <f>_xll.BDP("67920QPD Muni","DUR_ADJ_MID")</f>
        <v>#N/A Requesting Data...</v>
      </c>
      <c r="G1415" t="str">
        <f>_xll.BDP("67920QPD Muni","SPREAD_AT_ISSUANCE_TO_WORST")</f>
        <v>#N/A Requesting Data...</v>
      </c>
      <c r="H1415" t="str">
        <f>_xll.BDP("67920QPD Muni","ISSUE_DT")</f>
        <v>#N/A Requesting Data...</v>
      </c>
      <c r="I1415" t="str">
        <f>_xll.BDS("67920QPD Muni","MUNI_PURPOSE_SCHED", "aggregate=y")</f>
        <v>#N/A Requesting Data...</v>
      </c>
      <c r="J1415" t="str">
        <f>_xll.BDP("67920QPD Muni","CPN")</f>
        <v>#N/A Requesting Data...</v>
      </c>
      <c r="K1415" t="str">
        <f>_xll.BDP("67920QPD Muni","MATURITY")</f>
        <v>#N/A Requesting Data...</v>
      </c>
      <c r="L1415">
        <v>625000</v>
      </c>
      <c r="M1415" t="str">
        <f>_xll.BDP("67920QPD Muni","YIELD_ON_ISSUE_DATE")</f>
        <v>#N/A Requesting Data...</v>
      </c>
      <c r="N1415" t="str">
        <f>_xll.BDP("67920QPD Muni","YTW_SPREAD_TO_MATURITY_AT_ISSU")</f>
        <v>#N/A Requesting Data...</v>
      </c>
      <c r="O1415" t="str">
        <f>_xll.BDP("67920QPD Muni","BVAL_MID_YTM")</f>
        <v>#N/A Requesting Data...</v>
      </c>
      <c r="P1415" t="str">
        <f>_xll.BDP("67920QPD Muni","MUNI_TAX_PROV")</f>
        <v>#N/A Requesting Data...</v>
      </c>
      <c r="Q1415" t="str">
        <f>_xll.BDP("67920QPD Muni","MUNI_FED_TAX")</f>
        <v>#N/A Requesting Data...</v>
      </c>
      <c r="R1415" t="str">
        <f>_xll.BDP("67920QPD Muni","MUNI_MSRB_VOLUME")</f>
        <v>#N/A Requesting Data...</v>
      </c>
      <c r="S1415" t="str">
        <f>_xll.BDP("67920QPD Muni","BB_COMPOSITE")</f>
        <v>#N/A Requesting Data...</v>
      </c>
      <c r="T1415" t="str">
        <f>_xll.BDP("67920QPD Muni","LQA_LIQUIDITY_SCORE")</f>
        <v>#N/A Requesting Data...</v>
      </c>
    </row>
    <row r="1416" spans="1:20" x14ac:dyDescent="0.25">
      <c r="A1416" t="str">
        <f>_xll.BDP("67920QPE Muni","ID_CUSIP")</f>
        <v>#N/A Requesting Data...</v>
      </c>
      <c r="B1416" t="s">
        <v>352</v>
      </c>
      <c r="C1416" t="str">
        <f>_xll.BDP("67920QPE Muni","INSURANCE_STATUS")</f>
        <v>#N/A Requesting Data...</v>
      </c>
      <c r="D1416" t="str">
        <f>_xll.BDP("67920QPE Muni","STATE_CODE")</f>
        <v>#N/A Requesting Data...</v>
      </c>
      <c r="E1416" t="str">
        <f>_xll.BDP("67920QPE Muni","COUNTY_LOCATION_ISSUER")</f>
        <v>#N/A Requesting Data...</v>
      </c>
      <c r="F1416" t="str">
        <f>_xll.BDP("67920QPE Muni","DUR_ADJ_MID")</f>
        <v>#N/A Requesting Data...</v>
      </c>
      <c r="G1416" t="str">
        <f>_xll.BDP("67920QPE Muni","SPREAD_AT_ISSUANCE_TO_WORST")</f>
        <v>#N/A Requesting Data...</v>
      </c>
      <c r="H1416" t="str">
        <f>_xll.BDP("67920QPE Muni","ISSUE_DT")</f>
        <v>#N/A Requesting Data...</v>
      </c>
      <c r="I1416" t="str">
        <f>_xll.BDS("67920QPE Muni","MUNI_PURPOSE_SCHED", "aggregate=y")</f>
        <v>#N/A Requesting Data...</v>
      </c>
      <c r="J1416" t="str">
        <f>_xll.BDP("67920QPE Muni","CPN")</f>
        <v>#N/A Requesting Data...</v>
      </c>
      <c r="K1416" t="str">
        <f>_xll.BDP("67920QPE Muni","MATURITY")</f>
        <v>#N/A Requesting Data...</v>
      </c>
      <c r="L1416">
        <v>660000</v>
      </c>
      <c r="M1416" t="str">
        <f>_xll.BDP("67920QPE Muni","YIELD_ON_ISSUE_DATE")</f>
        <v>#N/A Requesting Data...</v>
      </c>
      <c r="N1416" t="str">
        <f>_xll.BDP("67920QPE Muni","YTW_SPREAD_TO_MATURITY_AT_ISSU")</f>
        <v>#N/A Requesting Data...</v>
      </c>
      <c r="O1416" t="str">
        <f>_xll.BDP("67920QPE Muni","BVAL_MID_YTM")</f>
        <v>#N/A Requesting Data...</v>
      </c>
      <c r="P1416" t="str">
        <f>_xll.BDP("67920QPE Muni","MUNI_TAX_PROV")</f>
        <v>#N/A Requesting Data...</v>
      </c>
      <c r="Q1416" t="str">
        <f>_xll.BDP("67920QPE Muni","MUNI_FED_TAX")</f>
        <v>#N/A Requesting Data...</v>
      </c>
      <c r="R1416" t="str">
        <f>_xll.BDP("67920QPE Muni","MUNI_MSRB_VOLUME")</f>
        <v>#N/A Requesting Data...</v>
      </c>
      <c r="S1416" t="str">
        <f>_xll.BDP("67920QPE Muni","BB_COMPOSITE")</f>
        <v>#N/A Requesting Data...</v>
      </c>
      <c r="T1416" t="str">
        <f>_xll.BDP("67920QPE Muni","LQA_LIQUIDITY_SCORE")</f>
        <v>#N/A Requesting Data...</v>
      </c>
    </row>
    <row r="1417" spans="1:20" x14ac:dyDescent="0.25">
      <c r="A1417" t="str">
        <f>_xll.BDP("67920QPF Muni","ID_CUSIP")</f>
        <v>#N/A Requesting Data...</v>
      </c>
      <c r="B1417" t="s">
        <v>352</v>
      </c>
      <c r="C1417" t="str">
        <f>_xll.BDP("67920QPF Muni","INSURANCE_STATUS")</f>
        <v>#N/A Requesting Data...</v>
      </c>
      <c r="D1417" t="str">
        <f>_xll.BDP("67920QPF Muni","STATE_CODE")</f>
        <v>#N/A Requesting Data...</v>
      </c>
      <c r="E1417" t="str">
        <f>_xll.BDP("67920QPF Muni","COUNTY_LOCATION_ISSUER")</f>
        <v>#N/A Requesting Data...</v>
      </c>
      <c r="F1417" t="str">
        <f>_xll.BDP("67920QPF Muni","DUR_ADJ_MID")</f>
        <v>#N/A Requesting Data...</v>
      </c>
      <c r="G1417" t="str">
        <f>_xll.BDP("67920QPF Muni","SPREAD_AT_ISSUANCE_TO_WORST")</f>
        <v>#N/A Requesting Data...</v>
      </c>
      <c r="H1417" t="str">
        <f>_xll.BDP("67920QPF Muni","ISSUE_DT")</f>
        <v>#N/A Requesting Data...</v>
      </c>
      <c r="I1417" t="str">
        <f>_xll.BDS("67920QPF Muni","MUNI_PURPOSE_SCHED", "aggregate=y")</f>
        <v>#N/A Requesting Data...</v>
      </c>
      <c r="J1417" t="str">
        <f>_xll.BDP("67920QPF Muni","CPN")</f>
        <v>#N/A Requesting Data...</v>
      </c>
      <c r="K1417" t="str">
        <f>_xll.BDP("67920QPF Muni","MATURITY")</f>
        <v>#N/A Requesting Data...</v>
      </c>
      <c r="L1417">
        <v>895000</v>
      </c>
      <c r="M1417" t="str">
        <f>_xll.BDP("67920QPF Muni","YIELD_ON_ISSUE_DATE")</f>
        <v>#N/A Requesting Data...</v>
      </c>
      <c r="N1417" t="str">
        <f>_xll.BDP("67920QPF Muni","YTW_SPREAD_TO_MATURITY_AT_ISSU")</f>
        <v>#N/A Requesting Data...</v>
      </c>
      <c r="O1417" t="str">
        <f>_xll.BDP("67920QPF Muni","BVAL_MID_YTM")</f>
        <v>#N/A Requesting Data...</v>
      </c>
      <c r="P1417" t="str">
        <f>_xll.BDP("67920QPF Muni","MUNI_TAX_PROV")</f>
        <v>#N/A Requesting Data...</v>
      </c>
      <c r="Q1417" t="str">
        <f>_xll.BDP("67920QPF Muni","MUNI_FED_TAX")</f>
        <v>#N/A Requesting Data...</v>
      </c>
      <c r="R1417" t="str">
        <f>_xll.BDP("67920QPF Muni","MUNI_MSRB_VOLUME")</f>
        <v>#N/A Requesting Data...</v>
      </c>
      <c r="S1417" t="str">
        <f>_xll.BDP("67920QPF Muni","BB_COMPOSITE")</f>
        <v>#N/A Requesting Data...</v>
      </c>
      <c r="T1417" t="str">
        <f>_xll.BDP("67920QPF Muni","LQA_LIQUIDITY_SCORE")</f>
        <v>#N/A Requesting Data...</v>
      </c>
    </row>
    <row r="1418" spans="1:20" x14ac:dyDescent="0.25">
      <c r="A1418" t="str">
        <f>_xll.BDP("67920QPG Muni","ID_CUSIP")</f>
        <v>#N/A Requesting Data...</v>
      </c>
      <c r="B1418" t="s">
        <v>352</v>
      </c>
      <c r="C1418" t="str">
        <f>_xll.BDP("67920QPG Muni","INSURANCE_STATUS")</f>
        <v>#N/A Requesting Data...</v>
      </c>
      <c r="D1418" t="str">
        <f>_xll.BDP("67920QPG Muni","STATE_CODE")</f>
        <v>#N/A Requesting Data...</v>
      </c>
      <c r="E1418" t="str">
        <f>_xll.BDP("67920QPG Muni","COUNTY_LOCATION_ISSUER")</f>
        <v>#N/A Requesting Data...</v>
      </c>
      <c r="F1418" t="str">
        <f>_xll.BDP("67920QPG Muni","DUR_ADJ_MID")</f>
        <v>#N/A Requesting Data...</v>
      </c>
      <c r="G1418" t="str">
        <f>_xll.BDP("67920QPG Muni","SPREAD_AT_ISSUANCE_TO_WORST")</f>
        <v>#N/A Requesting Data...</v>
      </c>
      <c r="H1418" t="str">
        <f>_xll.BDP("67920QPG Muni","ISSUE_DT")</f>
        <v>#N/A Requesting Data...</v>
      </c>
      <c r="I1418" t="str">
        <f>_xll.BDS("67920QPG Muni","MUNI_PURPOSE_SCHED", "aggregate=y")</f>
        <v>#N/A Requesting Data...</v>
      </c>
      <c r="J1418" t="str">
        <f>_xll.BDP("67920QPG Muni","CPN")</f>
        <v>#N/A Requesting Data...</v>
      </c>
      <c r="K1418" t="str">
        <f>_xll.BDP("67920QPG Muni","MATURITY")</f>
        <v>#N/A Requesting Data...</v>
      </c>
      <c r="L1418">
        <v>1515000</v>
      </c>
      <c r="M1418" t="str">
        <f>_xll.BDP("67920QPG Muni","YIELD_ON_ISSUE_DATE")</f>
        <v>#N/A Requesting Data...</v>
      </c>
      <c r="N1418" t="str">
        <f>_xll.BDP("67920QPG Muni","YTW_SPREAD_TO_MATURITY_AT_ISSU")</f>
        <v>#N/A Requesting Data...</v>
      </c>
      <c r="O1418" t="str">
        <f>_xll.BDP("67920QPG Muni","BVAL_MID_YTM")</f>
        <v>#N/A Requesting Data...</v>
      </c>
      <c r="P1418" t="str">
        <f>_xll.BDP("67920QPG Muni","MUNI_TAX_PROV")</f>
        <v>#N/A Requesting Data...</v>
      </c>
      <c r="Q1418" t="str">
        <f>_xll.BDP("67920QPG Muni","MUNI_FED_TAX")</f>
        <v>#N/A Requesting Data...</v>
      </c>
      <c r="R1418" t="str">
        <f>_xll.BDP("67920QPG Muni","MUNI_MSRB_VOLUME")</f>
        <v>#N/A Requesting Data...</v>
      </c>
      <c r="S1418" t="str">
        <f>_xll.BDP("67920QPG Muni","BB_COMPOSITE")</f>
        <v>#N/A Requesting Data...</v>
      </c>
      <c r="T1418" t="str">
        <f>_xll.BDP("67920QPG Muni","LQA_LIQUIDITY_SCORE")</f>
        <v>#N/A Requesting Data...</v>
      </c>
    </row>
    <row r="1419" spans="1:20" x14ac:dyDescent="0.25">
      <c r="A1419" t="str">
        <f>_xll.BDP("67920QPH Muni","ID_CUSIP")</f>
        <v>#N/A Requesting Data...</v>
      </c>
      <c r="B1419" t="s">
        <v>352</v>
      </c>
      <c r="C1419" t="str">
        <f>_xll.BDP("67920QPH Muni","INSURANCE_STATUS")</f>
        <v>#N/A Requesting Data...</v>
      </c>
      <c r="D1419" t="str">
        <f>_xll.BDP("67920QPH Muni","STATE_CODE")</f>
        <v>#N/A Requesting Data...</v>
      </c>
      <c r="E1419" t="str">
        <f>_xll.BDP("67920QPH Muni","COUNTY_LOCATION_ISSUER")</f>
        <v>#N/A Requesting Data...</v>
      </c>
      <c r="F1419" t="str">
        <f>_xll.BDP("67920QPH Muni","DUR_ADJ_MID")</f>
        <v>#N/A Requesting Data...</v>
      </c>
      <c r="G1419" t="str">
        <f>_xll.BDP("67920QPH Muni","SPREAD_AT_ISSUANCE_TO_WORST")</f>
        <v>#N/A Requesting Data...</v>
      </c>
      <c r="H1419" t="str">
        <f>_xll.BDP("67920QPH Muni","ISSUE_DT")</f>
        <v>#N/A Requesting Data...</v>
      </c>
      <c r="I1419" t="str">
        <f>_xll.BDS("67920QPH Muni","MUNI_PURPOSE_SCHED", "aggregate=y")</f>
        <v>#N/A Requesting Data...</v>
      </c>
      <c r="J1419" t="str">
        <f>_xll.BDP("67920QPH Muni","CPN")</f>
        <v>#N/A Requesting Data...</v>
      </c>
      <c r="K1419" t="str">
        <f>_xll.BDP("67920QPH Muni","MATURITY")</f>
        <v>#N/A Requesting Data...</v>
      </c>
      <c r="L1419">
        <v>2210000</v>
      </c>
      <c r="M1419" t="str">
        <f>_xll.BDP("67920QPH Muni","YIELD_ON_ISSUE_DATE")</f>
        <v>#N/A Requesting Data...</v>
      </c>
      <c r="N1419" t="str">
        <f>_xll.BDP("67920QPH Muni","YTW_SPREAD_TO_MATURITY_AT_ISSU")</f>
        <v>#N/A Requesting Data...</v>
      </c>
      <c r="O1419" t="str">
        <f>_xll.BDP("67920QPH Muni","BVAL_MID_YTM")</f>
        <v>#N/A Requesting Data...</v>
      </c>
      <c r="P1419" t="str">
        <f>_xll.BDP("67920QPH Muni","MUNI_TAX_PROV")</f>
        <v>#N/A Requesting Data...</v>
      </c>
      <c r="Q1419" t="str">
        <f>_xll.BDP("67920QPH Muni","MUNI_FED_TAX")</f>
        <v>#N/A Requesting Data...</v>
      </c>
      <c r="R1419" t="str">
        <f>_xll.BDP("67920QPH Muni","MUNI_MSRB_VOLUME")</f>
        <v>#N/A Requesting Data...</v>
      </c>
      <c r="S1419" t="str">
        <f>_xll.BDP("67920QPH Muni","BB_COMPOSITE")</f>
        <v>#N/A Requesting Data...</v>
      </c>
      <c r="T1419" t="str">
        <f>_xll.BDP("67920QPH Muni","LQA_LIQUIDITY_SCORE")</f>
        <v>#N/A Requesting Data...</v>
      </c>
    </row>
    <row r="1420" spans="1:20" x14ac:dyDescent="0.25">
      <c r="A1420" t="str">
        <f>_xll.BDP("67920QPW Muni","ID_CUSIP")</f>
        <v>#N/A Requesting Data...</v>
      </c>
      <c r="B1420" t="s">
        <v>352</v>
      </c>
      <c r="C1420" t="str">
        <f>_xll.BDP("67920QPW Muni","INSURANCE_STATUS")</f>
        <v>#N/A Requesting Data...</v>
      </c>
      <c r="D1420" t="str">
        <f>_xll.BDP("67920QPW Muni","STATE_CODE")</f>
        <v>#N/A Requesting Data...</v>
      </c>
      <c r="E1420" t="str">
        <f>_xll.BDP("67920QPW Muni","COUNTY_LOCATION_ISSUER")</f>
        <v>#N/A Requesting Data...</v>
      </c>
      <c r="F1420" t="str">
        <f>_xll.BDP("67920QPW Muni","DUR_ADJ_MID")</f>
        <v>#N/A Requesting Data...</v>
      </c>
      <c r="G1420" t="str">
        <f>_xll.BDP("67920QPW Muni","SPREAD_AT_ISSUANCE_TO_WORST")</f>
        <v>#N/A Requesting Data...</v>
      </c>
      <c r="H1420" t="str">
        <f>_xll.BDP("67920QPW Muni","ISSUE_DT")</f>
        <v>#N/A Requesting Data...</v>
      </c>
      <c r="I1420" t="str">
        <f>_xll.BDS("67920QPW Muni","MUNI_PURPOSE_SCHED", "aggregate=y")</f>
        <v>#N/A Requesting Data...</v>
      </c>
      <c r="J1420" t="str">
        <f>_xll.BDP("67920QPW Muni","CPN")</f>
        <v>#N/A Requesting Data...</v>
      </c>
      <c r="K1420" t="str">
        <f>_xll.BDP("67920QPW Muni","MATURITY")</f>
        <v>#N/A Requesting Data...</v>
      </c>
      <c r="L1420">
        <v>830000</v>
      </c>
      <c r="M1420" t="str">
        <f>_xll.BDP("67920QPW Muni","YIELD_ON_ISSUE_DATE")</f>
        <v>#N/A Requesting Data...</v>
      </c>
      <c r="N1420" t="str">
        <f>_xll.BDP("67920QPW Muni","YTW_SPREAD_TO_MATURITY_AT_ISSU")</f>
        <v>#N/A Requesting Data...</v>
      </c>
      <c r="O1420" t="str">
        <f>_xll.BDP("67920QPW Muni","BVAL_MID_YTM")</f>
        <v>#N/A Requesting Data...</v>
      </c>
      <c r="P1420" t="str">
        <f>_xll.BDP("67920QPW Muni","MUNI_TAX_PROV")</f>
        <v>#N/A Requesting Data...</v>
      </c>
      <c r="Q1420" t="str">
        <f>_xll.BDP("67920QPW Muni","MUNI_FED_TAX")</f>
        <v>#N/A Requesting Data...</v>
      </c>
      <c r="R1420" t="str">
        <f>_xll.BDP("67920QPW Muni","MUNI_MSRB_VOLUME")</f>
        <v>#N/A Requesting Data...</v>
      </c>
      <c r="S1420" t="str">
        <f>_xll.BDP("67920QPW Muni","BB_COMPOSITE")</f>
        <v>#N/A Requesting Data...</v>
      </c>
      <c r="T1420" t="str">
        <f>_xll.BDP("67920QPW Muni","LQA_LIQUIDITY_SCORE")</f>
        <v>#N/A Requesting Data...</v>
      </c>
    </row>
    <row r="1421" spans="1:20" x14ac:dyDescent="0.25">
      <c r="A1421" t="str">
        <f>_xll.BDP("67920QPX Muni","ID_CUSIP")</f>
        <v>#N/A Requesting Data...</v>
      </c>
      <c r="B1421" t="s">
        <v>352</v>
      </c>
      <c r="C1421" t="str">
        <f>_xll.BDP("67920QPX Muni","INSURANCE_STATUS")</f>
        <v>#N/A Requesting Data...</v>
      </c>
      <c r="D1421" t="str">
        <f>_xll.BDP("67920QPX Muni","STATE_CODE")</f>
        <v>#N/A Requesting Data...</v>
      </c>
      <c r="E1421" t="str">
        <f>_xll.BDP("67920QPX Muni","COUNTY_LOCATION_ISSUER")</f>
        <v>#N/A Requesting Data...</v>
      </c>
      <c r="F1421" t="str">
        <f>_xll.BDP("67920QPX Muni","DUR_ADJ_MID")</f>
        <v>#N/A Requesting Data...</v>
      </c>
      <c r="G1421" t="str">
        <f>_xll.BDP("67920QPX Muni","SPREAD_AT_ISSUANCE_TO_WORST")</f>
        <v>#N/A Requesting Data...</v>
      </c>
      <c r="H1421" t="str">
        <f>_xll.BDP("67920QPX Muni","ISSUE_DT")</f>
        <v>#N/A Requesting Data...</v>
      </c>
      <c r="I1421" t="str">
        <f>_xll.BDS("67920QPX Muni","MUNI_PURPOSE_SCHED", "aggregate=y")</f>
        <v>#N/A Requesting Data...</v>
      </c>
      <c r="J1421" t="str">
        <f>_xll.BDP("67920QPX Muni","CPN")</f>
        <v>#N/A Requesting Data...</v>
      </c>
      <c r="K1421" t="str">
        <f>_xll.BDP("67920QPX Muni","MATURITY")</f>
        <v>#N/A Requesting Data...</v>
      </c>
      <c r="L1421">
        <v>870000</v>
      </c>
      <c r="M1421" t="str">
        <f>_xll.BDP("67920QPX Muni","YIELD_ON_ISSUE_DATE")</f>
        <v>#N/A Requesting Data...</v>
      </c>
      <c r="N1421" t="str">
        <f>_xll.BDP("67920QPX Muni","YTW_SPREAD_TO_MATURITY_AT_ISSU")</f>
        <v>#N/A Requesting Data...</v>
      </c>
      <c r="O1421" t="str">
        <f>_xll.BDP("67920QPX Muni","BVAL_MID_YTM")</f>
        <v>#N/A Requesting Data...</v>
      </c>
      <c r="P1421" t="str">
        <f>_xll.BDP("67920QPX Muni","MUNI_TAX_PROV")</f>
        <v>#N/A Requesting Data...</v>
      </c>
      <c r="Q1421" t="str">
        <f>_xll.BDP("67920QPX Muni","MUNI_FED_TAX")</f>
        <v>#N/A Requesting Data...</v>
      </c>
      <c r="R1421" t="str">
        <f>_xll.BDP("67920QPX Muni","MUNI_MSRB_VOLUME")</f>
        <v>#N/A Requesting Data...</v>
      </c>
      <c r="S1421" t="str">
        <f>_xll.BDP("67920QPX Muni","BB_COMPOSITE")</f>
        <v>#N/A Requesting Data...</v>
      </c>
      <c r="T1421" t="str">
        <f>_xll.BDP("67920QPX Muni","LQA_LIQUIDITY_SCORE")</f>
        <v>#N/A Requesting Data...</v>
      </c>
    </row>
    <row r="1422" spans="1:20" x14ac:dyDescent="0.25">
      <c r="A1422" t="str">
        <f>_xll.BDP("67920QPY Muni","ID_CUSIP")</f>
        <v>#N/A Requesting Data...</v>
      </c>
      <c r="B1422" t="s">
        <v>352</v>
      </c>
      <c r="C1422" t="str">
        <f>_xll.BDP("67920QPY Muni","INSURANCE_STATUS")</f>
        <v>#N/A Requesting Data...</v>
      </c>
      <c r="D1422" t="str">
        <f>_xll.BDP("67920QPY Muni","STATE_CODE")</f>
        <v>#N/A Requesting Data...</v>
      </c>
      <c r="E1422" t="str">
        <f>_xll.BDP("67920QPY Muni","COUNTY_LOCATION_ISSUER")</f>
        <v>#N/A Requesting Data...</v>
      </c>
      <c r="F1422" t="str">
        <f>_xll.BDP("67920QPY Muni","DUR_ADJ_MID")</f>
        <v>#N/A Requesting Data...</v>
      </c>
      <c r="G1422" t="str">
        <f>_xll.BDP("67920QPY Muni","SPREAD_AT_ISSUANCE_TO_WORST")</f>
        <v>#N/A Requesting Data...</v>
      </c>
      <c r="H1422" t="str">
        <f>_xll.BDP("67920QPY Muni","ISSUE_DT")</f>
        <v>#N/A Requesting Data...</v>
      </c>
      <c r="I1422" t="str">
        <f>_xll.BDS("67920QPY Muni","MUNI_PURPOSE_SCHED", "aggregate=y")</f>
        <v>#N/A Requesting Data...</v>
      </c>
      <c r="J1422" t="str">
        <f>_xll.BDP("67920QPY Muni","CPN")</f>
        <v>#N/A Requesting Data...</v>
      </c>
      <c r="K1422" t="str">
        <f>_xll.BDP("67920QPY Muni","MATURITY")</f>
        <v>#N/A Requesting Data...</v>
      </c>
      <c r="L1422">
        <v>915000</v>
      </c>
      <c r="M1422" t="str">
        <f>_xll.BDP("67920QPY Muni","YIELD_ON_ISSUE_DATE")</f>
        <v>#N/A Requesting Data...</v>
      </c>
      <c r="N1422" t="str">
        <f>_xll.BDP("67920QPY Muni","YTW_SPREAD_TO_MATURITY_AT_ISSU")</f>
        <v>#N/A Requesting Data...</v>
      </c>
      <c r="O1422" t="str">
        <f>_xll.BDP("67920QPY Muni","BVAL_MID_YTM")</f>
        <v>#N/A Requesting Data...</v>
      </c>
      <c r="P1422" t="str">
        <f>_xll.BDP("67920QPY Muni","MUNI_TAX_PROV")</f>
        <v>#N/A Requesting Data...</v>
      </c>
      <c r="Q1422" t="str">
        <f>_xll.BDP("67920QPY Muni","MUNI_FED_TAX")</f>
        <v>#N/A Requesting Data...</v>
      </c>
      <c r="R1422" t="str">
        <f>_xll.BDP("67920QPY Muni","MUNI_MSRB_VOLUME")</f>
        <v>#N/A Requesting Data...</v>
      </c>
      <c r="S1422" t="str">
        <f>_xll.BDP("67920QPY Muni","BB_COMPOSITE")</f>
        <v>#N/A Requesting Data...</v>
      </c>
      <c r="T1422" t="str">
        <f>_xll.BDP("67920QPY Muni","LQA_LIQUIDITY_SCORE")</f>
        <v>#N/A Requesting Data...</v>
      </c>
    </row>
    <row r="1423" spans="1:20" x14ac:dyDescent="0.25">
      <c r="A1423" t="str">
        <f>_xll.BDP("67920QPZ Muni","ID_CUSIP")</f>
        <v>#N/A Requesting Data...</v>
      </c>
      <c r="B1423" t="s">
        <v>352</v>
      </c>
      <c r="C1423" t="str">
        <f>_xll.BDP("67920QPZ Muni","INSURANCE_STATUS")</f>
        <v>#N/A Requesting Data...</v>
      </c>
      <c r="D1423" t="str">
        <f>_xll.BDP("67920QPZ Muni","STATE_CODE")</f>
        <v>#N/A Requesting Data...</v>
      </c>
      <c r="E1423" t="str">
        <f>_xll.BDP("67920QPZ Muni","COUNTY_LOCATION_ISSUER")</f>
        <v>#N/A Requesting Data...</v>
      </c>
      <c r="F1423" t="str">
        <f>_xll.BDP("67920QPZ Muni","DUR_ADJ_MID")</f>
        <v>#N/A Requesting Data...</v>
      </c>
      <c r="G1423" t="str">
        <f>_xll.BDP("67920QPZ Muni","SPREAD_AT_ISSUANCE_TO_WORST")</f>
        <v>#N/A Requesting Data...</v>
      </c>
      <c r="H1423" t="str">
        <f>_xll.BDP("67920QPZ Muni","ISSUE_DT")</f>
        <v>#N/A Requesting Data...</v>
      </c>
      <c r="I1423" t="str">
        <f>_xll.BDS("67920QPZ Muni","MUNI_PURPOSE_SCHED", "aggregate=y")</f>
        <v>#N/A Requesting Data...</v>
      </c>
      <c r="J1423" t="str">
        <f>_xll.BDP("67920QPZ Muni","CPN")</f>
        <v>#N/A Requesting Data...</v>
      </c>
      <c r="K1423" t="str">
        <f>_xll.BDP("67920QPZ Muni","MATURITY")</f>
        <v>#N/A Requesting Data...</v>
      </c>
      <c r="L1423">
        <v>965000</v>
      </c>
      <c r="M1423" t="str">
        <f>_xll.BDP("67920QPZ Muni","YIELD_ON_ISSUE_DATE")</f>
        <v>#N/A Requesting Data...</v>
      </c>
      <c r="N1423" t="str">
        <f>_xll.BDP("67920QPZ Muni","YTW_SPREAD_TO_MATURITY_AT_ISSU")</f>
        <v>#N/A Requesting Data...</v>
      </c>
      <c r="O1423" t="str">
        <f>_xll.BDP("67920QPZ Muni","BVAL_MID_YTM")</f>
        <v>#N/A Requesting Data...</v>
      </c>
      <c r="P1423" t="str">
        <f>_xll.BDP("67920QPZ Muni","MUNI_TAX_PROV")</f>
        <v>#N/A Requesting Data...</v>
      </c>
      <c r="Q1423" t="str">
        <f>_xll.BDP("67920QPZ Muni","MUNI_FED_TAX")</f>
        <v>#N/A Requesting Data...</v>
      </c>
      <c r="R1423" t="str">
        <f>_xll.BDP("67920QPZ Muni","MUNI_MSRB_VOLUME")</f>
        <v>#N/A Requesting Data...</v>
      </c>
      <c r="S1423" t="str">
        <f>_xll.BDP("67920QPZ Muni","BB_COMPOSITE")</f>
        <v>#N/A Requesting Data...</v>
      </c>
      <c r="T1423" t="str">
        <f>_xll.BDP("67920QPZ Muni","LQA_LIQUIDITY_SCORE")</f>
        <v>#N/A Requesting Data...</v>
      </c>
    </row>
    <row r="1424" spans="1:20" x14ac:dyDescent="0.25">
      <c r="A1424" t="str">
        <f>_xll.BDP("67920QQA Muni","ID_CUSIP")</f>
        <v>#N/A Requesting Data...</v>
      </c>
      <c r="B1424" t="s">
        <v>352</v>
      </c>
      <c r="C1424" t="str">
        <f>_xll.BDP("67920QQA Muni","INSURANCE_STATUS")</f>
        <v>#N/A Requesting Data...</v>
      </c>
      <c r="D1424" t="str">
        <f>_xll.BDP("67920QQA Muni","STATE_CODE")</f>
        <v>#N/A Requesting Data...</v>
      </c>
      <c r="E1424" t="str">
        <f>_xll.BDP("67920QQA Muni","COUNTY_LOCATION_ISSUER")</f>
        <v>#N/A Requesting Data...</v>
      </c>
      <c r="F1424" t="str">
        <f>_xll.BDP("67920QQA Muni","DUR_ADJ_MID")</f>
        <v>#N/A Requesting Data...</v>
      </c>
      <c r="G1424" t="str">
        <f>_xll.BDP("67920QQA Muni","SPREAD_AT_ISSUANCE_TO_WORST")</f>
        <v>#N/A Requesting Data...</v>
      </c>
      <c r="H1424" t="str">
        <f>_xll.BDP("67920QQA Muni","ISSUE_DT")</f>
        <v>#N/A Requesting Data...</v>
      </c>
      <c r="I1424" t="str">
        <f>_xll.BDS("67920QQA Muni","MUNI_PURPOSE_SCHED", "aggregate=y")</f>
        <v>#N/A Requesting Data...</v>
      </c>
      <c r="J1424" t="str">
        <f>_xll.BDP("67920QQA Muni","CPN")</f>
        <v>#N/A Requesting Data...</v>
      </c>
      <c r="K1424" t="str">
        <f>_xll.BDP("67920QQA Muni","MATURITY")</f>
        <v>#N/A Requesting Data...</v>
      </c>
      <c r="L1424">
        <v>1015000</v>
      </c>
      <c r="M1424" t="str">
        <f>_xll.BDP("67920QQA Muni","YIELD_ON_ISSUE_DATE")</f>
        <v>#N/A Requesting Data...</v>
      </c>
      <c r="N1424" t="str">
        <f>_xll.BDP("67920QQA Muni","YTW_SPREAD_TO_MATURITY_AT_ISSU")</f>
        <v>#N/A Requesting Data...</v>
      </c>
      <c r="O1424" t="str">
        <f>_xll.BDP("67920QQA Muni","BVAL_MID_YTM")</f>
        <v>#N/A Requesting Data...</v>
      </c>
      <c r="P1424" t="str">
        <f>_xll.BDP("67920QQA Muni","MUNI_TAX_PROV")</f>
        <v>#N/A Requesting Data...</v>
      </c>
      <c r="Q1424" t="str">
        <f>_xll.BDP("67920QQA Muni","MUNI_FED_TAX")</f>
        <v>#N/A Requesting Data...</v>
      </c>
      <c r="R1424" t="str">
        <f>_xll.BDP("67920QQA Muni","MUNI_MSRB_VOLUME")</f>
        <v>#N/A Requesting Data...</v>
      </c>
      <c r="S1424" t="str">
        <f>_xll.BDP("67920QQA Muni","BB_COMPOSITE")</f>
        <v>#N/A Requesting Data...</v>
      </c>
      <c r="T1424" t="str">
        <f>_xll.BDP("67920QQA Muni","LQA_LIQUIDITY_SCORE")</f>
        <v>#N/A Requesting Data...</v>
      </c>
    </row>
    <row r="1425" spans="1:20" x14ac:dyDescent="0.25">
      <c r="A1425" t="str">
        <f>_xll.BDP("67920QQX Muni","ID_CUSIP")</f>
        <v>#N/A Requesting Data...</v>
      </c>
      <c r="B1425" t="s">
        <v>352</v>
      </c>
      <c r="C1425" t="str">
        <f>_xll.BDP("67920QQX Muni","INSURANCE_STATUS")</f>
        <v>#N/A Requesting Data...</v>
      </c>
      <c r="D1425" t="str">
        <f>_xll.BDP("67920QQX Muni","STATE_CODE")</f>
        <v>#N/A Requesting Data...</v>
      </c>
      <c r="E1425" t="str">
        <f>_xll.BDP("67920QQX Muni","COUNTY_LOCATION_ISSUER")</f>
        <v>#N/A Requesting Data...</v>
      </c>
      <c r="F1425" t="str">
        <f>_xll.BDP("67920QQX Muni","DUR_ADJ_MID")</f>
        <v>#N/A Requesting Data...</v>
      </c>
      <c r="G1425" t="str">
        <f>_xll.BDP("67920QQX Muni","SPREAD_AT_ISSUANCE_TO_WORST")</f>
        <v>#N/A Requesting Data...</v>
      </c>
      <c r="H1425" t="str">
        <f>_xll.BDP("67920QQX Muni","ISSUE_DT")</f>
        <v>#N/A Requesting Data...</v>
      </c>
      <c r="I1425" t="str">
        <f>_xll.BDS("67920QQX Muni","MUNI_PURPOSE_SCHED", "aggregate=y")</f>
        <v>#N/A Requesting Data...</v>
      </c>
      <c r="J1425" t="str">
        <f>_xll.BDP("67920QQX Muni","CPN")</f>
        <v>#N/A Requesting Data...</v>
      </c>
      <c r="K1425" t="str">
        <f>_xll.BDP("67920QQX Muni","MATURITY")</f>
        <v>#N/A Requesting Data...</v>
      </c>
      <c r="L1425">
        <v>100000</v>
      </c>
      <c r="M1425" t="str">
        <f>_xll.BDP("67920QQX Muni","YIELD_ON_ISSUE_DATE")</f>
        <v>#N/A Requesting Data...</v>
      </c>
      <c r="N1425" t="str">
        <f>_xll.BDP("67920QQX Muni","YTW_SPREAD_TO_MATURITY_AT_ISSU")</f>
        <v>#N/A Requesting Data...</v>
      </c>
      <c r="O1425" t="str">
        <f>_xll.BDP("67920QQX Muni","BVAL_MID_YTM")</f>
        <v>#N/A Requesting Data...</v>
      </c>
      <c r="P1425" t="str">
        <f>_xll.BDP("67920QQX Muni","MUNI_TAX_PROV")</f>
        <v>#N/A Requesting Data...</v>
      </c>
      <c r="Q1425" t="str">
        <f>_xll.BDP("67920QQX Muni","MUNI_FED_TAX")</f>
        <v>#N/A Requesting Data...</v>
      </c>
      <c r="R1425" t="str">
        <f>_xll.BDP("67920QQX Muni","MUNI_MSRB_VOLUME")</f>
        <v>#N/A Requesting Data...</v>
      </c>
      <c r="S1425" t="str">
        <f>_xll.BDP("67920QQX Muni","BB_COMPOSITE")</f>
        <v>#N/A Requesting Data...</v>
      </c>
      <c r="T1425" t="str">
        <f>_xll.BDP("67920QQX Muni","LQA_LIQUIDITY_SCORE")</f>
        <v>#N/A Requesting Data...</v>
      </c>
    </row>
    <row r="1426" spans="1:20" x14ac:dyDescent="0.25">
      <c r="A1426" t="str">
        <f>_xll.BDP("67920QQY Muni","ID_CUSIP")</f>
        <v>#N/A Requesting Data...</v>
      </c>
      <c r="B1426" t="s">
        <v>352</v>
      </c>
      <c r="C1426" t="str">
        <f>_xll.BDP("67920QQY Muni","INSURANCE_STATUS")</f>
        <v>#N/A Requesting Data...</v>
      </c>
      <c r="D1426" t="str">
        <f>_xll.BDP("67920QQY Muni","STATE_CODE")</f>
        <v>#N/A Requesting Data...</v>
      </c>
      <c r="E1426" t="str">
        <f>_xll.BDP("67920QQY Muni","COUNTY_LOCATION_ISSUER")</f>
        <v>#N/A Requesting Data...</v>
      </c>
      <c r="F1426" t="str">
        <f>_xll.BDP("67920QQY Muni","DUR_ADJ_MID")</f>
        <v>#N/A Requesting Data...</v>
      </c>
      <c r="G1426" t="str">
        <f>_xll.BDP("67920QQY Muni","SPREAD_AT_ISSUANCE_TO_WORST")</f>
        <v>#N/A Requesting Data...</v>
      </c>
      <c r="H1426" t="str">
        <f>_xll.BDP("67920QQY Muni","ISSUE_DT")</f>
        <v>#N/A Requesting Data...</v>
      </c>
      <c r="I1426" t="str">
        <f>_xll.BDS("67920QQY Muni","MUNI_PURPOSE_SCHED", "aggregate=y")</f>
        <v>#N/A Requesting Data...</v>
      </c>
      <c r="J1426" t="str">
        <f>_xll.BDP("67920QQY Muni","CPN")</f>
        <v>#N/A Requesting Data...</v>
      </c>
      <c r="K1426" t="str">
        <f>_xll.BDP("67920QQY Muni","MATURITY")</f>
        <v>#N/A Requesting Data...</v>
      </c>
      <c r="L1426">
        <v>200000</v>
      </c>
      <c r="M1426" t="str">
        <f>_xll.BDP("67920QQY Muni","YIELD_ON_ISSUE_DATE")</f>
        <v>#N/A Requesting Data...</v>
      </c>
      <c r="N1426" t="str">
        <f>_xll.BDP("67920QQY Muni","YTW_SPREAD_TO_MATURITY_AT_ISSU")</f>
        <v>#N/A Requesting Data...</v>
      </c>
      <c r="O1426" t="str">
        <f>_xll.BDP("67920QQY Muni","BVAL_MID_YTM")</f>
        <v>#N/A Requesting Data...</v>
      </c>
      <c r="P1426" t="str">
        <f>_xll.BDP("67920QQY Muni","MUNI_TAX_PROV")</f>
        <v>#N/A Requesting Data...</v>
      </c>
      <c r="Q1426" t="str">
        <f>_xll.BDP("67920QQY Muni","MUNI_FED_TAX")</f>
        <v>#N/A Requesting Data...</v>
      </c>
      <c r="R1426" t="str">
        <f>_xll.BDP("67920QQY Muni","MUNI_MSRB_VOLUME")</f>
        <v>#N/A Requesting Data...</v>
      </c>
      <c r="S1426" t="str">
        <f>_xll.BDP("67920QQY Muni","BB_COMPOSITE")</f>
        <v>#N/A Requesting Data...</v>
      </c>
      <c r="T1426" t="str">
        <f>_xll.BDP("67920QQY Muni","LQA_LIQUIDITY_SCORE")</f>
        <v>#N/A Requesting Data...</v>
      </c>
    </row>
    <row r="1427" spans="1:20" x14ac:dyDescent="0.25">
      <c r="A1427" t="str">
        <f>_xll.BDP("67920QQZ Muni","ID_CUSIP")</f>
        <v>#N/A Requesting Data...</v>
      </c>
      <c r="B1427" t="s">
        <v>352</v>
      </c>
      <c r="C1427" t="str">
        <f>_xll.BDP("67920QQZ Muni","INSURANCE_STATUS")</f>
        <v>#N/A Requesting Data...</v>
      </c>
      <c r="D1427" t="str">
        <f>_xll.BDP("67920QQZ Muni","STATE_CODE")</f>
        <v>#N/A Requesting Data...</v>
      </c>
      <c r="E1427" t="str">
        <f>_xll.BDP("67920QQZ Muni","COUNTY_LOCATION_ISSUER")</f>
        <v>#N/A Requesting Data...</v>
      </c>
      <c r="F1427" t="str">
        <f>_xll.BDP("67920QQZ Muni","DUR_ADJ_MID")</f>
        <v>#N/A Requesting Data...</v>
      </c>
      <c r="G1427" t="str">
        <f>_xll.BDP("67920QQZ Muni","SPREAD_AT_ISSUANCE_TO_WORST")</f>
        <v>#N/A Requesting Data...</v>
      </c>
      <c r="H1427" t="str">
        <f>_xll.BDP("67920QQZ Muni","ISSUE_DT")</f>
        <v>#N/A Requesting Data...</v>
      </c>
      <c r="I1427" t="str">
        <f>_xll.BDS("67920QQZ Muni","MUNI_PURPOSE_SCHED", "aggregate=y")</f>
        <v>#N/A Requesting Data...</v>
      </c>
      <c r="J1427" t="str">
        <f>_xll.BDP("67920QQZ Muni","CPN")</f>
        <v>#N/A Requesting Data...</v>
      </c>
      <c r="K1427" t="str">
        <f>_xll.BDP("67920QQZ Muni","MATURITY")</f>
        <v>#N/A Requesting Data...</v>
      </c>
      <c r="L1427">
        <v>455000</v>
      </c>
      <c r="M1427" t="str">
        <f>_xll.BDP("67920QQZ Muni","YIELD_ON_ISSUE_DATE")</f>
        <v>#N/A Requesting Data...</v>
      </c>
      <c r="N1427" t="str">
        <f>_xll.BDP("67920QQZ Muni","YTW_SPREAD_TO_MATURITY_AT_ISSU")</f>
        <v>#N/A Requesting Data...</v>
      </c>
      <c r="O1427" t="str">
        <f>_xll.BDP("67920QQZ Muni","BVAL_MID_YTM")</f>
        <v>#N/A Requesting Data...</v>
      </c>
      <c r="P1427" t="str">
        <f>_xll.BDP("67920QQZ Muni","MUNI_TAX_PROV")</f>
        <v>#N/A Requesting Data...</v>
      </c>
      <c r="Q1427" t="str">
        <f>_xll.BDP("67920QQZ Muni","MUNI_FED_TAX")</f>
        <v>#N/A Requesting Data...</v>
      </c>
      <c r="R1427" t="str">
        <f>_xll.BDP("67920QQZ Muni","MUNI_MSRB_VOLUME")</f>
        <v>#N/A Requesting Data...</v>
      </c>
      <c r="S1427" t="str">
        <f>_xll.BDP("67920QQZ Muni","BB_COMPOSITE")</f>
        <v>#N/A Requesting Data...</v>
      </c>
      <c r="T1427" t="str">
        <f>_xll.BDP("67920QQZ Muni","LQA_LIQUIDITY_SCORE")</f>
        <v>#N/A Requesting Data...</v>
      </c>
    </row>
    <row r="1428" spans="1:20" x14ac:dyDescent="0.25">
      <c r="A1428" t="str">
        <f>_xll.BDP("679468XT Muni","ID_CUSIP")</f>
        <v>#N/A Requesting Data...</v>
      </c>
      <c r="B1428" t="s">
        <v>353</v>
      </c>
      <c r="C1428" t="str">
        <f>_xll.BDP("679468XT Muni","INSURANCE_STATUS")</f>
        <v>#N/A Requesting Data...</v>
      </c>
      <c r="D1428" t="str">
        <f>_xll.BDP("679468XT Muni","STATE_CODE")</f>
        <v>#N/A Requesting Data...</v>
      </c>
      <c r="E1428" t="str">
        <f>_xll.BDP("679468XT Muni","COUNTY_LOCATION_ISSUER")</f>
        <v>#N/A Requesting Data...</v>
      </c>
      <c r="F1428" t="str">
        <f>_xll.BDP("679468XT Muni","DUR_ADJ_MID")</f>
        <v>#N/A Requesting Data...</v>
      </c>
      <c r="G1428" t="str">
        <f>_xll.BDP("679468XT Muni","SPREAD_AT_ISSUANCE_TO_WORST")</f>
        <v>#N/A Requesting Data...</v>
      </c>
      <c r="H1428" t="str">
        <f>_xll.BDP("679468XT Muni","ISSUE_DT")</f>
        <v>#N/A Requesting Data...</v>
      </c>
      <c r="I1428" t="str">
        <f>_xll.BDS("679468XT Muni","MUNI_PURPOSE_SCHED", "aggregate=y")</f>
        <v>#N/A Requesting Data...</v>
      </c>
      <c r="J1428" t="str">
        <f>_xll.BDP("679468XT Muni","CPN")</f>
        <v>#N/A Requesting Data...</v>
      </c>
      <c r="K1428" t="str">
        <f>_xll.BDP("679468XT Muni","MATURITY")</f>
        <v>#N/A Requesting Data...</v>
      </c>
      <c r="L1428">
        <v>525000</v>
      </c>
      <c r="M1428" t="str">
        <f>_xll.BDP("679468XT Muni","YIELD_ON_ISSUE_DATE")</f>
        <v>#N/A Requesting Data...</v>
      </c>
      <c r="N1428" t="str">
        <f>_xll.BDP("679468XT Muni","YTW_SPREAD_TO_MATURITY_AT_ISSU")</f>
        <v>#N/A Requesting Data...</v>
      </c>
      <c r="O1428" t="str">
        <f>_xll.BDP("679468XT Muni","BVAL_MID_YTM")</f>
        <v>#N/A Requesting Data...</v>
      </c>
      <c r="P1428" t="str">
        <f>_xll.BDP("679468XT Muni","MUNI_TAX_PROV")</f>
        <v>#N/A Requesting Data...</v>
      </c>
      <c r="Q1428" t="str">
        <f>_xll.BDP("679468XT Muni","MUNI_FED_TAX")</f>
        <v>#N/A Requesting Data...</v>
      </c>
      <c r="R1428" t="str">
        <f>_xll.BDP("679468XT Muni","MUNI_MSRB_VOLUME")</f>
        <v>#N/A Requesting Data...</v>
      </c>
      <c r="S1428" t="str">
        <f>_xll.BDP("679468XT Muni","BB_COMPOSITE")</f>
        <v>#N/A Requesting Data...</v>
      </c>
      <c r="T1428" t="str">
        <f>_xll.BDP("679468XT Muni","LQA_LIQUIDITY_SCORE")</f>
        <v>#N/A Requesting Data...</v>
      </c>
    </row>
    <row r="1429" spans="1:20" x14ac:dyDescent="0.25">
      <c r="A1429" t="str">
        <f>_xll.BDP("7741323U Muni","ID_CUSIP")</f>
        <v>#N/A Requesting Data...</v>
      </c>
      <c r="B1429" t="s">
        <v>354</v>
      </c>
      <c r="C1429" t="str">
        <f>_xll.BDP("7741323U Muni","INSURANCE_STATUS")</f>
        <v>#N/A Requesting Data...</v>
      </c>
      <c r="D1429" t="str">
        <f>_xll.BDP("7741323U Muni","STATE_CODE")</f>
        <v>#N/A Requesting Data...</v>
      </c>
      <c r="E1429" t="str">
        <f>_xll.BDP("7741323U Muni","COUNTY_LOCATION_ISSUER")</f>
        <v>#N/A Requesting Data...</v>
      </c>
      <c r="F1429" t="str">
        <f>_xll.BDP("7741323U Muni","DUR_ADJ_MID")</f>
        <v>#N/A Requesting Data...</v>
      </c>
      <c r="G1429" t="str">
        <f>_xll.BDP("7741323U Muni","SPREAD_AT_ISSUANCE_TO_WORST")</f>
        <v>#N/A Requesting Data...</v>
      </c>
      <c r="H1429" t="str">
        <f>_xll.BDP("7741323U Muni","ISSUE_DT")</f>
        <v>#N/A Requesting Data...</v>
      </c>
      <c r="I1429" t="str">
        <f>_xll.BDS("7741323U Muni","MUNI_PURPOSE_SCHED", "aggregate=y")</f>
        <v>#N/A Requesting Data...</v>
      </c>
      <c r="J1429" t="str">
        <f>_xll.BDP("7741323U Muni","CPN")</f>
        <v>#N/A Requesting Data...</v>
      </c>
      <c r="K1429" t="str">
        <f>_xll.BDP("7741323U Muni","MATURITY")</f>
        <v>#N/A Requesting Data...</v>
      </c>
      <c r="L1429">
        <v>355000</v>
      </c>
      <c r="M1429" t="str">
        <f>_xll.BDP("7741323U Muni","YIELD_ON_ISSUE_DATE")</f>
        <v>#N/A Requesting Data...</v>
      </c>
      <c r="N1429" t="str">
        <f>_xll.BDP("7741323U Muni","YTW_SPREAD_TO_MATURITY_AT_ISSU")</f>
        <v>#N/A Requesting Data...</v>
      </c>
      <c r="O1429" t="str">
        <f>_xll.BDP("7741323U Muni","BVAL_MID_YTM")</f>
        <v>#N/A Requesting Data...</v>
      </c>
      <c r="P1429" t="str">
        <f>_xll.BDP("7741323U Muni","MUNI_TAX_PROV")</f>
        <v>#N/A Requesting Data...</v>
      </c>
      <c r="Q1429" t="str">
        <f>_xll.BDP("7741323U Muni","MUNI_FED_TAX")</f>
        <v>#N/A Requesting Data...</v>
      </c>
      <c r="R1429" t="str">
        <f>_xll.BDP("7741323U Muni","MUNI_MSRB_VOLUME")</f>
        <v>#N/A Requesting Data...</v>
      </c>
      <c r="S1429" t="str">
        <f>_xll.BDP("7741323U Muni","BB_COMPOSITE")</f>
        <v>#N/A Requesting Data...</v>
      </c>
      <c r="T1429" t="str">
        <f>_xll.BDP("7741323U Muni","LQA_LIQUIDITY_SCORE")</f>
        <v>#N/A Requesting Data...</v>
      </c>
    </row>
    <row r="1430" spans="1:20" x14ac:dyDescent="0.25">
      <c r="A1430" t="str">
        <f>_xll.BDP("7741323V Muni","ID_CUSIP")</f>
        <v>#N/A Requesting Data...</v>
      </c>
      <c r="B1430" t="s">
        <v>354</v>
      </c>
      <c r="C1430" t="str">
        <f>_xll.BDP("7741323V Muni","INSURANCE_STATUS")</f>
        <v>#N/A Requesting Data...</v>
      </c>
      <c r="D1430" t="str">
        <f>_xll.BDP("7741323V Muni","STATE_CODE")</f>
        <v>#N/A Requesting Data...</v>
      </c>
      <c r="E1430" t="str">
        <f>_xll.BDP("7741323V Muni","COUNTY_LOCATION_ISSUER")</f>
        <v>#N/A Requesting Data...</v>
      </c>
      <c r="F1430" t="str">
        <f>_xll.BDP("7741323V Muni","DUR_ADJ_MID")</f>
        <v>#N/A Requesting Data...</v>
      </c>
      <c r="G1430" t="str">
        <f>_xll.BDP("7741323V Muni","SPREAD_AT_ISSUANCE_TO_WORST")</f>
        <v>#N/A Requesting Data...</v>
      </c>
      <c r="H1430" t="str">
        <f>_xll.BDP("7741323V Muni","ISSUE_DT")</f>
        <v>#N/A Requesting Data...</v>
      </c>
      <c r="I1430" t="str">
        <f>_xll.BDS("7741323V Muni","MUNI_PURPOSE_SCHED", "aggregate=y")</f>
        <v>#N/A Requesting Data...</v>
      </c>
      <c r="J1430" t="str">
        <f>_xll.BDP("7741323V Muni","CPN")</f>
        <v>#N/A Requesting Data...</v>
      </c>
      <c r="K1430" t="str">
        <f>_xll.BDP("7741323V Muni","MATURITY")</f>
        <v>#N/A Requesting Data...</v>
      </c>
      <c r="L1430">
        <v>360000</v>
      </c>
      <c r="M1430" t="str">
        <f>_xll.BDP("7741323V Muni","YIELD_ON_ISSUE_DATE")</f>
        <v>#N/A Requesting Data...</v>
      </c>
      <c r="N1430" t="str">
        <f>_xll.BDP("7741323V Muni","YTW_SPREAD_TO_MATURITY_AT_ISSU")</f>
        <v>#N/A Requesting Data...</v>
      </c>
      <c r="O1430" t="str">
        <f>_xll.BDP("7741323V Muni","BVAL_MID_YTM")</f>
        <v>#N/A Requesting Data...</v>
      </c>
      <c r="P1430" t="str">
        <f>_xll.BDP("7741323V Muni","MUNI_TAX_PROV")</f>
        <v>#N/A Requesting Data...</v>
      </c>
      <c r="Q1430" t="str">
        <f>_xll.BDP("7741323V Muni","MUNI_FED_TAX")</f>
        <v>#N/A Requesting Data...</v>
      </c>
      <c r="R1430" t="str">
        <f>_xll.BDP("7741323V Muni","MUNI_MSRB_VOLUME")</f>
        <v>#N/A Requesting Data...</v>
      </c>
      <c r="S1430" t="str">
        <f>_xll.BDP("7741323V Muni","BB_COMPOSITE")</f>
        <v>#N/A Requesting Data...</v>
      </c>
      <c r="T1430" t="str">
        <f>_xll.BDP("7741323V Muni","LQA_LIQUIDITY_SCORE")</f>
        <v>#N/A Requesting Data...</v>
      </c>
    </row>
    <row r="1431" spans="1:20" x14ac:dyDescent="0.25">
      <c r="A1431" t="str">
        <f>_xll.BDP("7741323W Muni","ID_CUSIP")</f>
        <v>#N/A Requesting Data...</v>
      </c>
      <c r="B1431" t="s">
        <v>354</v>
      </c>
      <c r="C1431" t="str">
        <f>_xll.BDP("7741323W Muni","INSURANCE_STATUS")</f>
        <v>#N/A Requesting Data...</v>
      </c>
      <c r="D1431" t="str">
        <f>_xll.BDP("7741323W Muni","STATE_CODE")</f>
        <v>#N/A Requesting Data...</v>
      </c>
      <c r="E1431" t="str">
        <f>_xll.BDP("7741323W Muni","COUNTY_LOCATION_ISSUER")</f>
        <v>#N/A Requesting Data...</v>
      </c>
      <c r="F1431" t="str">
        <f>_xll.BDP("7741323W Muni","DUR_ADJ_MID")</f>
        <v>#N/A Requesting Data...</v>
      </c>
      <c r="G1431" t="str">
        <f>_xll.BDP("7741323W Muni","SPREAD_AT_ISSUANCE_TO_WORST")</f>
        <v>#N/A Requesting Data...</v>
      </c>
      <c r="H1431" t="str">
        <f>_xll.BDP("7741323W Muni","ISSUE_DT")</f>
        <v>#N/A Requesting Data...</v>
      </c>
      <c r="I1431" t="str">
        <f>_xll.BDS("7741323W Muni","MUNI_PURPOSE_SCHED", "aggregate=y")</f>
        <v>#N/A Requesting Data...</v>
      </c>
      <c r="J1431" t="str">
        <f>_xll.BDP("7741323W Muni","CPN")</f>
        <v>#N/A Requesting Data...</v>
      </c>
      <c r="K1431" t="str">
        <f>_xll.BDP("7741323W Muni","MATURITY")</f>
        <v>#N/A Requesting Data...</v>
      </c>
      <c r="L1431">
        <v>370000</v>
      </c>
      <c r="M1431" t="str">
        <f>_xll.BDP("7741323W Muni","YIELD_ON_ISSUE_DATE")</f>
        <v>#N/A Requesting Data...</v>
      </c>
      <c r="N1431" t="str">
        <f>_xll.BDP("7741323W Muni","YTW_SPREAD_TO_MATURITY_AT_ISSU")</f>
        <v>#N/A Requesting Data...</v>
      </c>
      <c r="O1431" t="str">
        <f>_xll.BDP("7741323W Muni","BVAL_MID_YTM")</f>
        <v>#N/A Requesting Data...</v>
      </c>
      <c r="P1431" t="str">
        <f>_xll.BDP("7741323W Muni","MUNI_TAX_PROV")</f>
        <v>#N/A Requesting Data...</v>
      </c>
      <c r="Q1431" t="str">
        <f>_xll.BDP("7741323W Muni","MUNI_FED_TAX")</f>
        <v>#N/A Requesting Data...</v>
      </c>
      <c r="R1431" t="str">
        <f>_xll.BDP("7741323W Muni","MUNI_MSRB_VOLUME")</f>
        <v>#N/A Requesting Data...</v>
      </c>
      <c r="S1431" t="str">
        <f>_xll.BDP("7741323W Muni","BB_COMPOSITE")</f>
        <v>#N/A Requesting Data...</v>
      </c>
      <c r="T1431" t="str">
        <f>_xll.BDP("7741323W Muni","LQA_LIQUIDITY_SCORE")</f>
        <v>#N/A Requesting Data...</v>
      </c>
    </row>
    <row r="1432" spans="1:20" x14ac:dyDescent="0.25">
      <c r="A1432" t="str">
        <f>_xll.BDP("7741323X Muni","ID_CUSIP")</f>
        <v>#N/A Requesting Data...</v>
      </c>
      <c r="B1432" t="s">
        <v>354</v>
      </c>
      <c r="C1432" t="str">
        <f>_xll.BDP("7741323X Muni","INSURANCE_STATUS")</f>
        <v>#N/A Requesting Data...</v>
      </c>
      <c r="D1432" t="str">
        <f>_xll.BDP("7741323X Muni","STATE_CODE")</f>
        <v>#N/A Requesting Data...</v>
      </c>
      <c r="E1432" t="str">
        <f>_xll.BDP("7741323X Muni","COUNTY_LOCATION_ISSUER")</f>
        <v>#N/A Requesting Data...</v>
      </c>
      <c r="F1432" t="str">
        <f>_xll.BDP("7741323X Muni","DUR_ADJ_MID")</f>
        <v>#N/A Requesting Data...</v>
      </c>
      <c r="G1432" t="str">
        <f>_xll.BDP("7741323X Muni","SPREAD_AT_ISSUANCE_TO_WORST")</f>
        <v>#N/A Requesting Data...</v>
      </c>
      <c r="H1432" t="str">
        <f>_xll.BDP("7741323X Muni","ISSUE_DT")</f>
        <v>#N/A Requesting Data...</v>
      </c>
      <c r="I1432" t="str">
        <f>_xll.BDS("7741323X Muni","MUNI_PURPOSE_SCHED", "aggregate=y")</f>
        <v>#N/A Requesting Data...</v>
      </c>
      <c r="J1432" t="str">
        <f>_xll.BDP("7741323X Muni","CPN")</f>
        <v>#N/A Requesting Data...</v>
      </c>
      <c r="K1432" t="str">
        <f>_xll.BDP("7741323X Muni","MATURITY")</f>
        <v>#N/A Requesting Data...</v>
      </c>
      <c r="L1432">
        <v>380000</v>
      </c>
      <c r="M1432" t="str">
        <f>_xll.BDP("7741323X Muni","YIELD_ON_ISSUE_DATE")</f>
        <v>#N/A Requesting Data...</v>
      </c>
      <c r="N1432" t="str">
        <f>_xll.BDP("7741323X Muni","YTW_SPREAD_TO_MATURITY_AT_ISSU")</f>
        <v>#N/A Requesting Data...</v>
      </c>
      <c r="O1432" t="str">
        <f>_xll.BDP("7741323X Muni","BVAL_MID_YTM")</f>
        <v>#N/A Requesting Data...</v>
      </c>
      <c r="P1432" t="str">
        <f>_xll.BDP("7741323X Muni","MUNI_TAX_PROV")</f>
        <v>#N/A Requesting Data...</v>
      </c>
      <c r="Q1432" t="str">
        <f>_xll.BDP("7741323X Muni","MUNI_FED_TAX")</f>
        <v>#N/A Requesting Data...</v>
      </c>
      <c r="R1432" t="str">
        <f>_xll.BDP("7741323X Muni","MUNI_MSRB_VOLUME")</f>
        <v>#N/A Requesting Data...</v>
      </c>
      <c r="S1432" t="str">
        <f>_xll.BDP("7741323X Muni","BB_COMPOSITE")</f>
        <v>#N/A Requesting Data...</v>
      </c>
      <c r="T1432" t="str">
        <f>_xll.BDP("7741323X Muni","LQA_LIQUIDITY_SCORE")</f>
        <v>#N/A Requesting Data...</v>
      </c>
    </row>
    <row r="1433" spans="1:20" x14ac:dyDescent="0.25">
      <c r="A1433" t="str">
        <f>_xll.BDP("7741323Y Muni","ID_CUSIP")</f>
        <v>#N/A Requesting Data...</v>
      </c>
      <c r="B1433" t="s">
        <v>354</v>
      </c>
      <c r="C1433" t="str">
        <f>_xll.BDP("7741323Y Muni","INSURANCE_STATUS")</f>
        <v>#N/A Requesting Data...</v>
      </c>
      <c r="D1433" t="str">
        <f>_xll.BDP("7741323Y Muni","STATE_CODE")</f>
        <v>#N/A Requesting Data...</v>
      </c>
      <c r="E1433" t="str">
        <f>_xll.BDP("7741323Y Muni","COUNTY_LOCATION_ISSUER")</f>
        <v>#N/A Requesting Data...</v>
      </c>
      <c r="F1433" t="str">
        <f>_xll.BDP("7741323Y Muni","DUR_ADJ_MID")</f>
        <v>#N/A Requesting Data...</v>
      </c>
      <c r="G1433" t="str">
        <f>_xll.BDP("7741323Y Muni","SPREAD_AT_ISSUANCE_TO_WORST")</f>
        <v>#N/A Requesting Data...</v>
      </c>
      <c r="H1433" t="str">
        <f>_xll.BDP("7741323Y Muni","ISSUE_DT")</f>
        <v>#N/A Requesting Data...</v>
      </c>
      <c r="I1433" t="str">
        <f>_xll.BDS("7741323Y Muni","MUNI_PURPOSE_SCHED", "aggregate=y")</f>
        <v>#N/A Requesting Data...</v>
      </c>
      <c r="J1433" t="str">
        <f>_xll.BDP("7741323Y Muni","CPN")</f>
        <v>#N/A Requesting Data...</v>
      </c>
      <c r="K1433" t="str">
        <f>_xll.BDP("7741323Y Muni","MATURITY")</f>
        <v>#N/A Requesting Data...</v>
      </c>
      <c r="L1433">
        <v>390000</v>
      </c>
      <c r="M1433" t="str">
        <f>_xll.BDP("7741323Y Muni","YIELD_ON_ISSUE_DATE")</f>
        <v>#N/A Requesting Data...</v>
      </c>
      <c r="N1433" t="str">
        <f>_xll.BDP("7741323Y Muni","YTW_SPREAD_TO_MATURITY_AT_ISSU")</f>
        <v>#N/A Requesting Data...</v>
      </c>
      <c r="O1433" t="str">
        <f>_xll.BDP("7741323Y Muni","BVAL_MID_YTM")</f>
        <v>#N/A Requesting Data...</v>
      </c>
      <c r="P1433" t="str">
        <f>_xll.BDP("7741323Y Muni","MUNI_TAX_PROV")</f>
        <v>#N/A Requesting Data...</v>
      </c>
      <c r="Q1433" t="str">
        <f>_xll.BDP("7741323Y Muni","MUNI_FED_TAX")</f>
        <v>#N/A Requesting Data...</v>
      </c>
      <c r="R1433" t="str">
        <f>_xll.BDP("7741323Y Muni","MUNI_MSRB_VOLUME")</f>
        <v>#N/A Requesting Data...</v>
      </c>
      <c r="S1433" t="str">
        <f>_xll.BDP("7741323Y Muni","BB_COMPOSITE")</f>
        <v>#N/A Requesting Data...</v>
      </c>
      <c r="T1433" t="str">
        <f>_xll.BDP("7741323Y Muni","LQA_LIQUIDITY_SCORE")</f>
        <v>#N/A Requesting Data...</v>
      </c>
    </row>
    <row r="1434" spans="1:20" x14ac:dyDescent="0.25">
      <c r="A1434" t="str">
        <f>_xll.BDP("77426PEF Muni","ID_CUSIP")</f>
        <v>#N/A Requesting Data...</v>
      </c>
      <c r="B1434" t="s">
        <v>355</v>
      </c>
      <c r="C1434" t="str">
        <f>_xll.BDP("77426PEF Muni","INSURANCE_STATUS")</f>
        <v>#N/A Requesting Data...</v>
      </c>
      <c r="D1434" t="str">
        <f>_xll.BDP("77426PEF Muni","STATE_CODE")</f>
        <v>#N/A Requesting Data...</v>
      </c>
      <c r="E1434" t="str">
        <f>_xll.BDP("77426PEF Muni","COUNTY_LOCATION_ISSUER")</f>
        <v>#N/A Requesting Data...</v>
      </c>
      <c r="F1434" t="str">
        <f>_xll.BDP("77426PEF Muni","DUR_ADJ_MID")</f>
        <v>#N/A Requesting Data...</v>
      </c>
      <c r="G1434" t="str">
        <f>_xll.BDP("77426PEF Muni","SPREAD_AT_ISSUANCE_TO_WORST")</f>
        <v>#N/A Requesting Data...</v>
      </c>
      <c r="H1434" t="str">
        <f>_xll.BDP("77426PEF Muni","ISSUE_DT")</f>
        <v>#N/A Requesting Data...</v>
      </c>
      <c r="I1434" t="str">
        <f>_xll.BDS("77426PEF Muni","MUNI_PURPOSE_SCHED", "aggregate=y")</f>
        <v>#N/A Requesting Data...</v>
      </c>
      <c r="J1434" t="str">
        <f>_xll.BDP("77426PEF Muni","CPN")</f>
        <v>#N/A Requesting Data...</v>
      </c>
      <c r="K1434" t="str">
        <f>_xll.BDP("77426PEF Muni","MATURITY")</f>
        <v>#N/A Requesting Data...</v>
      </c>
      <c r="L1434">
        <v>205000</v>
      </c>
      <c r="M1434" t="str">
        <f>_xll.BDP("77426PEF Muni","YIELD_ON_ISSUE_DATE")</f>
        <v>#N/A Requesting Data...</v>
      </c>
      <c r="N1434" t="str">
        <f>_xll.BDP("77426PEF Muni","YTW_SPREAD_TO_MATURITY_AT_ISSU")</f>
        <v>#N/A Requesting Data...</v>
      </c>
      <c r="O1434" t="str">
        <f>_xll.BDP("77426PEF Muni","BVAL_MID_YTM")</f>
        <v>#N/A Requesting Data...</v>
      </c>
      <c r="P1434" t="str">
        <f>_xll.BDP("77426PEF Muni","MUNI_TAX_PROV")</f>
        <v>#N/A Requesting Data...</v>
      </c>
      <c r="Q1434" t="str">
        <f>_xll.BDP("77426PEF Muni","MUNI_FED_TAX")</f>
        <v>#N/A Requesting Data...</v>
      </c>
      <c r="R1434" t="str">
        <f>_xll.BDP("77426PEF Muni","MUNI_MSRB_VOLUME")</f>
        <v>#N/A Requesting Data...</v>
      </c>
      <c r="S1434" t="str">
        <f>_xll.BDP("77426PEF Muni","BB_COMPOSITE")</f>
        <v>#N/A Requesting Data...</v>
      </c>
      <c r="T1434" t="str">
        <f>_xll.BDP("77426PEF Muni","LQA_LIQUIDITY_SCORE")</f>
        <v>#N/A Requesting Data...</v>
      </c>
    </row>
    <row r="1435" spans="1:20" x14ac:dyDescent="0.25">
      <c r="A1435" t="str">
        <f>_xll.BDP("775337JP Muni","ID_CUSIP")</f>
        <v>#N/A Requesting Data...</v>
      </c>
      <c r="B1435" t="s">
        <v>356</v>
      </c>
      <c r="C1435" t="str">
        <f>_xll.BDP("775337JP Muni","INSURANCE_STATUS")</f>
        <v>#N/A Requesting Data...</v>
      </c>
      <c r="D1435" t="str">
        <f>_xll.BDP("775337JP Muni","STATE_CODE")</f>
        <v>#N/A Requesting Data...</v>
      </c>
      <c r="E1435" t="str">
        <f>_xll.BDP("775337JP Muni","COUNTY_LOCATION_ISSUER")</f>
        <v>#N/A Requesting Data...</v>
      </c>
      <c r="F1435" t="str">
        <f>_xll.BDP("775337JP Muni","DUR_ADJ_MID")</f>
        <v>#N/A Requesting Data...</v>
      </c>
      <c r="G1435" t="str">
        <f>_xll.BDP("775337JP Muni","SPREAD_AT_ISSUANCE_TO_WORST")</f>
        <v>#N/A Requesting Data...</v>
      </c>
      <c r="H1435" t="str">
        <f>_xll.BDP("775337JP Muni","ISSUE_DT")</f>
        <v>#N/A Requesting Data...</v>
      </c>
      <c r="I1435" t="str">
        <f>_xll.BDS("775337JP Muni","MUNI_PURPOSE_SCHED", "aggregate=y")</f>
        <v>#N/A Requesting Data...</v>
      </c>
      <c r="J1435" t="str">
        <f>_xll.BDP("775337JP Muni","CPN")</f>
        <v>#N/A Requesting Data...</v>
      </c>
      <c r="K1435" t="str">
        <f>_xll.BDP("775337JP Muni","MATURITY")</f>
        <v>#N/A Requesting Data...</v>
      </c>
      <c r="L1435">
        <v>80000</v>
      </c>
      <c r="M1435" t="str">
        <f>_xll.BDP("775337JP Muni","YIELD_ON_ISSUE_DATE")</f>
        <v>#N/A Requesting Data...</v>
      </c>
      <c r="N1435" t="str">
        <f>_xll.BDP("775337JP Muni","YTW_SPREAD_TO_MATURITY_AT_ISSU")</f>
        <v>#N/A Requesting Data...</v>
      </c>
      <c r="O1435" t="str">
        <f>_xll.BDP("775337JP Muni","BVAL_MID_YTM")</f>
        <v>#N/A Requesting Data...</v>
      </c>
      <c r="P1435" t="str">
        <f>_xll.BDP("775337JP Muni","MUNI_TAX_PROV")</f>
        <v>#N/A Requesting Data...</v>
      </c>
      <c r="Q1435" t="str">
        <f>_xll.BDP("775337JP Muni","MUNI_FED_TAX")</f>
        <v>#N/A Requesting Data...</v>
      </c>
      <c r="R1435" t="str">
        <f>_xll.BDP("775337JP Muni","MUNI_MSRB_VOLUME")</f>
        <v>#N/A Requesting Data...</v>
      </c>
      <c r="S1435" t="str">
        <f>_xll.BDP("775337JP Muni","BB_COMPOSITE")</f>
        <v>#N/A Requesting Data...</v>
      </c>
      <c r="T1435" t="str">
        <f>_xll.BDP("775337JP Muni","LQA_LIQUIDITY_SCORE")</f>
        <v>#N/A Requesting Data...</v>
      </c>
    </row>
    <row r="1436" spans="1:20" x14ac:dyDescent="0.25">
      <c r="A1436" t="str">
        <f>_xll.BDP("775337JQ Muni","ID_CUSIP")</f>
        <v>#N/A Requesting Data...</v>
      </c>
      <c r="B1436" t="s">
        <v>356</v>
      </c>
      <c r="C1436" t="str">
        <f>_xll.BDP("775337JQ Muni","INSURANCE_STATUS")</f>
        <v>#N/A Requesting Data...</v>
      </c>
      <c r="D1436" t="str">
        <f>_xll.BDP("775337JQ Muni","STATE_CODE")</f>
        <v>#N/A Requesting Data...</v>
      </c>
      <c r="E1436" t="str">
        <f>_xll.BDP("775337JQ Muni","COUNTY_LOCATION_ISSUER")</f>
        <v>#N/A Requesting Data...</v>
      </c>
      <c r="F1436" t="str">
        <f>_xll.BDP("775337JQ Muni","DUR_ADJ_MID")</f>
        <v>#N/A Requesting Data...</v>
      </c>
      <c r="G1436" t="str">
        <f>_xll.BDP("775337JQ Muni","SPREAD_AT_ISSUANCE_TO_WORST")</f>
        <v>#N/A Requesting Data...</v>
      </c>
      <c r="H1436" t="str">
        <f>_xll.BDP("775337JQ Muni","ISSUE_DT")</f>
        <v>#N/A Requesting Data...</v>
      </c>
      <c r="I1436" t="str">
        <f>_xll.BDS("775337JQ Muni","MUNI_PURPOSE_SCHED", "aggregate=y")</f>
        <v>#N/A Requesting Data...</v>
      </c>
      <c r="J1436" t="str">
        <f>_xll.BDP("775337JQ Muni","CPN")</f>
        <v>#N/A Requesting Data...</v>
      </c>
      <c r="K1436" t="str">
        <f>_xll.BDP("775337JQ Muni","MATURITY")</f>
        <v>#N/A Requesting Data...</v>
      </c>
      <c r="L1436">
        <v>80000</v>
      </c>
      <c r="M1436" t="str">
        <f>_xll.BDP("775337JQ Muni","YIELD_ON_ISSUE_DATE")</f>
        <v>#N/A Requesting Data...</v>
      </c>
      <c r="N1436" t="str">
        <f>_xll.BDP("775337JQ Muni","YTW_SPREAD_TO_MATURITY_AT_ISSU")</f>
        <v>#N/A Requesting Data...</v>
      </c>
      <c r="O1436" t="str">
        <f>_xll.BDP("775337JQ Muni","BVAL_MID_YTM")</f>
        <v>#N/A Requesting Data...</v>
      </c>
      <c r="P1436" t="str">
        <f>_xll.BDP("775337JQ Muni","MUNI_TAX_PROV")</f>
        <v>#N/A Requesting Data...</v>
      </c>
      <c r="Q1436" t="str">
        <f>_xll.BDP("775337JQ Muni","MUNI_FED_TAX")</f>
        <v>#N/A Requesting Data...</v>
      </c>
      <c r="R1436" t="str">
        <f>_xll.BDP("775337JQ Muni","MUNI_MSRB_VOLUME")</f>
        <v>#N/A Requesting Data...</v>
      </c>
      <c r="S1436" t="str">
        <f>_xll.BDP("775337JQ Muni","BB_COMPOSITE")</f>
        <v>#N/A Requesting Data...</v>
      </c>
      <c r="T1436" t="str">
        <f>_xll.BDP("775337JQ Muni","LQA_LIQUIDITY_SCORE")</f>
        <v>#N/A Requesting Data...</v>
      </c>
    </row>
    <row r="1437" spans="1:20" x14ac:dyDescent="0.25">
      <c r="A1437" t="str">
        <f>_xll.BDP("776192QS Muni","ID_CUSIP")</f>
        <v>#N/A Requesting Data...</v>
      </c>
      <c r="B1437" t="s">
        <v>357</v>
      </c>
      <c r="C1437" t="str">
        <f>_xll.BDP("776192QS Muni","INSURANCE_STATUS")</f>
        <v>#N/A Requesting Data...</v>
      </c>
      <c r="D1437" t="str">
        <f>_xll.BDP("776192QS Muni","STATE_CODE")</f>
        <v>#N/A Requesting Data...</v>
      </c>
      <c r="E1437" t="str">
        <f>_xll.BDP("776192QS Muni","COUNTY_LOCATION_ISSUER")</f>
        <v>#N/A Requesting Data...</v>
      </c>
      <c r="F1437" t="str">
        <f>_xll.BDP("776192QS Muni","DUR_ADJ_MID")</f>
        <v>#N/A Requesting Data...</v>
      </c>
      <c r="G1437" t="str">
        <f>_xll.BDP("776192QS Muni","SPREAD_AT_ISSUANCE_TO_WORST")</f>
        <v>#N/A Requesting Data...</v>
      </c>
      <c r="H1437" t="str">
        <f>_xll.BDP("776192QS Muni","ISSUE_DT")</f>
        <v>#N/A Requesting Data...</v>
      </c>
      <c r="I1437" t="str">
        <f>_xll.BDS("776192QS Muni","MUNI_PURPOSE_SCHED", "aggregate=y")</f>
        <v>#N/A Requesting Data...</v>
      </c>
      <c r="J1437" t="str">
        <f>_xll.BDP("776192QS Muni","CPN")</f>
        <v>#N/A Requesting Data...</v>
      </c>
      <c r="K1437" t="str">
        <f>_xll.BDP("776192QS Muni","MATURITY")</f>
        <v>#N/A Requesting Data...</v>
      </c>
      <c r="L1437">
        <v>195000</v>
      </c>
      <c r="M1437" t="str">
        <f>_xll.BDP("776192QS Muni","YIELD_ON_ISSUE_DATE")</f>
        <v>#N/A Requesting Data...</v>
      </c>
      <c r="N1437" t="str">
        <f>_xll.BDP("776192QS Muni","YTW_SPREAD_TO_MATURITY_AT_ISSU")</f>
        <v>#N/A Requesting Data...</v>
      </c>
      <c r="O1437" t="str">
        <f>_xll.BDP("776192QS Muni","BVAL_MID_YTM")</f>
        <v>#N/A Requesting Data...</v>
      </c>
      <c r="P1437" t="str">
        <f>_xll.BDP("776192QS Muni","MUNI_TAX_PROV")</f>
        <v>#N/A Requesting Data...</v>
      </c>
      <c r="Q1437" t="str">
        <f>_xll.BDP("776192QS Muni","MUNI_FED_TAX")</f>
        <v>#N/A Requesting Data...</v>
      </c>
      <c r="R1437" t="str">
        <f>_xll.BDP("776192QS Muni","MUNI_MSRB_VOLUME")</f>
        <v>#N/A Requesting Data...</v>
      </c>
      <c r="S1437" t="str">
        <f>_xll.BDP("776192QS Muni","BB_COMPOSITE")</f>
        <v>#N/A Requesting Data...</v>
      </c>
      <c r="T1437" t="str">
        <f>_xll.BDP("776192QS Muni","LQA_LIQUIDITY_SCORE")</f>
        <v>#N/A Requesting Data...</v>
      </c>
    </row>
    <row r="1438" spans="1:20" x14ac:dyDescent="0.25">
      <c r="A1438" t="str">
        <f>_xll.BDP("776192QT Muni","ID_CUSIP")</f>
        <v>#N/A Requesting Data...</v>
      </c>
      <c r="B1438" t="s">
        <v>357</v>
      </c>
      <c r="C1438" t="str">
        <f>_xll.BDP("776192QT Muni","INSURANCE_STATUS")</f>
        <v>#N/A Requesting Data...</v>
      </c>
      <c r="D1438" t="str">
        <f>_xll.BDP("776192QT Muni","STATE_CODE")</f>
        <v>#N/A Requesting Data...</v>
      </c>
      <c r="E1438" t="str">
        <f>_xll.BDP("776192QT Muni","COUNTY_LOCATION_ISSUER")</f>
        <v>#N/A Requesting Data...</v>
      </c>
      <c r="F1438" t="str">
        <f>_xll.BDP("776192QT Muni","DUR_ADJ_MID")</f>
        <v>#N/A Requesting Data...</v>
      </c>
      <c r="G1438" t="str">
        <f>_xll.BDP("776192QT Muni","SPREAD_AT_ISSUANCE_TO_WORST")</f>
        <v>#N/A Requesting Data...</v>
      </c>
      <c r="H1438" t="str">
        <f>_xll.BDP("776192QT Muni","ISSUE_DT")</f>
        <v>#N/A Requesting Data...</v>
      </c>
      <c r="I1438" t="str">
        <f>_xll.BDS("776192QT Muni","MUNI_PURPOSE_SCHED", "aggregate=y")</f>
        <v>#N/A Requesting Data...</v>
      </c>
      <c r="J1438" t="str">
        <f>_xll.BDP("776192QT Muni","CPN")</f>
        <v>#N/A Requesting Data...</v>
      </c>
      <c r="K1438" t="str">
        <f>_xll.BDP("776192QT Muni","MATURITY")</f>
        <v>#N/A Requesting Data...</v>
      </c>
      <c r="L1438">
        <v>230000</v>
      </c>
      <c r="M1438" t="str">
        <f>_xll.BDP("776192QT Muni","YIELD_ON_ISSUE_DATE")</f>
        <v>#N/A Requesting Data...</v>
      </c>
      <c r="N1438" t="str">
        <f>_xll.BDP("776192QT Muni","YTW_SPREAD_TO_MATURITY_AT_ISSU")</f>
        <v>#N/A Requesting Data...</v>
      </c>
      <c r="O1438" t="str">
        <f>_xll.BDP("776192QT Muni","BVAL_MID_YTM")</f>
        <v>#N/A Requesting Data...</v>
      </c>
      <c r="P1438" t="str">
        <f>_xll.BDP("776192QT Muni","MUNI_TAX_PROV")</f>
        <v>#N/A Requesting Data...</v>
      </c>
      <c r="Q1438" t="str">
        <f>_xll.BDP("776192QT Muni","MUNI_FED_TAX")</f>
        <v>#N/A Requesting Data...</v>
      </c>
      <c r="R1438" t="str">
        <f>_xll.BDP("776192QT Muni","MUNI_MSRB_VOLUME")</f>
        <v>#N/A Requesting Data...</v>
      </c>
      <c r="S1438" t="str">
        <f>_xll.BDP("776192QT Muni","BB_COMPOSITE")</f>
        <v>#N/A Requesting Data...</v>
      </c>
      <c r="T1438" t="str">
        <f>_xll.BDP("776192QT Muni","LQA_LIQUIDITY_SCORE")</f>
        <v>#N/A Requesting Data...</v>
      </c>
    </row>
    <row r="1439" spans="1:20" x14ac:dyDescent="0.25">
      <c r="A1439" t="str">
        <f>_xll.BDP("776192QU Muni","ID_CUSIP")</f>
        <v>#N/A Requesting Data...</v>
      </c>
      <c r="B1439" t="s">
        <v>357</v>
      </c>
      <c r="C1439" t="str">
        <f>_xll.BDP("776192QU Muni","INSURANCE_STATUS")</f>
        <v>#N/A Requesting Data...</v>
      </c>
      <c r="D1439" t="str">
        <f>_xll.BDP("776192QU Muni","STATE_CODE")</f>
        <v>#N/A Requesting Data...</v>
      </c>
      <c r="E1439" t="str">
        <f>_xll.BDP("776192QU Muni","COUNTY_LOCATION_ISSUER")</f>
        <v>#N/A Requesting Data...</v>
      </c>
      <c r="F1439" t="str">
        <f>_xll.BDP("776192QU Muni","DUR_ADJ_MID")</f>
        <v>#N/A Requesting Data...</v>
      </c>
      <c r="G1439" t="str">
        <f>_xll.BDP("776192QU Muni","SPREAD_AT_ISSUANCE_TO_WORST")</f>
        <v>#N/A Requesting Data...</v>
      </c>
      <c r="H1439" t="str">
        <f>_xll.BDP("776192QU Muni","ISSUE_DT")</f>
        <v>#N/A Requesting Data...</v>
      </c>
      <c r="I1439" t="str">
        <f>_xll.BDS("776192QU Muni","MUNI_PURPOSE_SCHED", "aggregate=y")</f>
        <v>#N/A Requesting Data...</v>
      </c>
      <c r="J1439" t="str">
        <f>_xll.BDP("776192QU Muni","CPN")</f>
        <v>#N/A Requesting Data...</v>
      </c>
      <c r="K1439" t="str">
        <f>_xll.BDP("776192QU Muni","MATURITY")</f>
        <v>#N/A Requesting Data...</v>
      </c>
      <c r="L1439">
        <v>275000</v>
      </c>
      <c r="M1439" t="str">
        <f>_xll.BDP("776192QU Muni","YIELD_ON_ISSUE_DATE")</f>
        <v>#N/A Requesting Data...</v>
      </c>
      <c r="N1439" t="str">
        <f>_xll.BDP("776192QU Muni","YTW_SPREAD_TO_MATURITY_AT_ISSU")</f>
        <v>#N/A Requesting Data...</v>
      </c>
      <c r="O1439" t="str">
        <f>_xll.BDP("776192QU Muni","BVAL_MID_YTM")</f>
        <v>#N/A Requesting Data...</v>
      </c>
      <c r="P1439" t="str">
        <f>_xll.BDP("776192QU Muni","MUNI_TAX_PROV")</f>
        <v>#N/A Requesting Data...</v>
      </c>
      <c r="Q1439" t="str">
        <f>_xll.BDP("776192QU Muni","MUNI_FED_TAX")</f>
        <v>#N/A Requesting Data...</v>
      </c>
      <c r="R1439" t="str">
        <f>_xll.BDP("776192QU Muni","MUNI_MSRB_VOLUME")</f>
        <v>#N/A Requesting Data...</v>
      </c>
      <c r="S1439" t="str">
        <f>_xll.BDP("776192QU Muni","BB_COMPOSITE")</f>
        <v>#N/A Requesting Data...</v>
      </c>
      <c r="T1439" t="str">
        <f>_xll.BDP("776192QU Muni","LQA_LIQUIDITY_SCORE")</f>
        <v>#N/A Requesting Data...</v>
      </c>
    </row>
    <row r="1440" spans="1:20" x14ac:dyDescent="0.25">
      <c r="A1440" t="str">
        <f>_xll.BDP("776192QV Muni","ID_CUSIP")</f>
        <v>#N/A Requesting Data...</v>
      </c>
      <c r="B1440" t="s">
        <v>357</v>
      </c>
      <c r="C1440" t="str">
        <f>_xll.BDP("776192QV Muni","INSURANCE_STATUS")</f>
        <v>#N/A Requesting Data...</v>
      </c>
      <c r="D1440" t="str">
        <f>_xll.BDP("776192QV Muni","STATE_CODE")</f>
        <v>#N/A Requesting Data...</v>
      </c>
      <c r="E1440" t="str">
        <f>_xll.BDP("776192QV Muni","COUNTY_LOCATION_ISSUER")</f>
        <v>#N/A Requesting Data...</v>
      </c>
      <c r="F1440" t="str">
        <f>_xll.BDP("776192QV Muni","DUR_ADJ_MID")</f>
        <v>#N/A Requesting Data...</v>
      </c>
      <c r="G1440" t="str">
        <f>_xll.BDP("776192QV Muni","SPREAD_AT_ISSUANCE_TO_WORST")</f>
        <v>#N/A Requesting Data...</v>
      </c>
      <c r="H1440" t="str">
        <f>_xll.BDP("776192QV Muni","ISSUE_DT")</f>
        <v>#N/A Requesting Data...</v>
      </c>
      <c r="I1440" t="str">
        <f>_xll.BDS("776192QV Muni","MUNI_PURPOSE_SCHED", "aggregate=y")</f>
        <v>#N/A Requesting Data...</v>
      </c>
      <c r="J1440" t="str">
        <f>_xll.BDP("776192QV Muni","CPN")</f>
        <v>#N/A Requesting Data...</v>
      </c>
      <c r="K1440" t="str">
        <f>_xll.BDP("776192QV Muni","MATURITY")</f>
        <v>#N/A Requesting Data...</v>
      </c>
      <c r="L1440">
        <v>320000</v>
      </c>
      <c r="M1440" t="str">
        <f>_xll.BDP("776192QV Muni","YIELD_ON_ISSUE_DATE")</f>
        <v>#N/A Requesting Data...</v>
      </c>
      <c r="N1440" t="str">
        <f>_xll.BDP("776192QV Muni","YTW_SPREAD_TO_MATURITY_AT_ISSU")</f>
        <v>#N/A Requesting Data...</v>
      </c>
      <c r="O1440" t="str">
        <f>_xll.BDP("776192QV Muni","BVAL_MID_YTM")</f>
        <v>#N/A Requesting Data...</v>
      </c>
      <c r="P1440" t="str">
        <f>_xll.BDP("776192QV Muni","MUNI_TAX_PROV")</f>
        <v>#N/A Requesting Data...</v>
      </c>
      <c r="Q1440" t="str">
        <f>_xll.BDP("776192QV Muni","MUNI_FED_TAX")</f>
        <v>#N/A Requesting Data...</v>
      </c>
      <c r="R1440" t="str">
        <f>_xll.BDP("776192QV Muni","MUNI_MSRB_VOLUME")</f>
        <v>#N/A Requesting Data...</v>
      </c>
      <c r="S1440" t="str">
        <f>_xll.BDP("776192QV Muni","BB_COMPOSITE")</f>
        <v>#N/A Requesting Data...</v>
      </c>
      <c r="T1440" t="str">
        <f>_xll.BDP("776192QV Muni","LQA_LIQUIDITY_SCORE")</f>
        <v>#N/A Requesting Data...</v>
      </c>
    </row>
    <row r="1441" spans="1:20" x14ac:dyDescent="0.25">
      <c r="A1441" t="str">
        <f>_xll.BDP("569781JB Muni","ID_CUSIP")</f>
        <v>#N/A Requesting Data...</v>
      </c>
      <c r="B1441" t="s">
        <v>358</v>
      </c>
      <c r="C1441" t="str">
        <f>_xll.BDP("569781JB Muni","INSURANCE_STATUS")</f>
        <v>#N/A Requesting Data...</v>
      </c>
      <c r="D1441" t="str">
        <f>_xll.BDP("569781JB Muni","STATE_CODE")</f>
        <v>#N/A Requesting Data...</v>
      </c>
      <c r="E1441" t="str">
        <f>_xll.BDP("569781JB Muni","COUNTY_LOCATION_ISSUER")</f>
        <v>#N/A Requesting Data...</v>
      </c>
      <c r="F1441" t="str">
        <f>_xll.BDP("569781JB Muni","DUR_ADJ_MID")</f>
        <v>#N/A Requesting Data...</v>
      </c>
      <c r="G1441" t="str">
        <f>_xll.BDP("569781JB Muni","SPREAD_AT_ISSUANCE_TO_WORST")</f>
        <v>#N/A Requesting Data...</v>
      </c>
      <c r="H1441" t="str">
        <f>_xll.BDP("569781JB Muni","ISSUE_DT")</f>
        <v>#N/A Requesting Data...</v>
      </c>
      <c r="I1441" t="str">
        <f>_xll.BDS("569781JB Muni","MUNI_PURPOSE_SCHED", "aggregate=y")</f>
        <v>#N/A Requesting Data...</v>
      </c>
      <c r="J1441" t="str">
        <f>_xll.BDP("569781JB Muni","CPN")</f>
        <v>#N/A Requesting Data...</v>
      </c>
      <c r="K1441" t="str">
        <f>_xll.BDP("569781JB Muni","MATURITY")</f>
        <v>#N/A Requesting Data...</v>
      </c>
      <c r="L1441">
        <v>670000</v>
      </c>
      <c r="M1441" t="str">
        <f>_xll.BDP("569781JB Muni","YIELD_ON_ISSUE_DATE")</f>
        <v>#N/A Requesting Data...</v>
      </c>
      <c r="N1441" t="str">
        <f>_xll.BDP("569781JB Muni","YTW_SPREAD_TO_MATURITY_AT_ISSU")</f>
        <v>#N/A Requesting Data...</v>
      </c>
      <c r="O1441" t="str">
        <f>_xll.BDP("569781JB Muni","BVAL_MID_YTM")</f>
        <v>#N/A Requesting Data...</v>
      </c>
      <c r="P1441" t="str">
        <f>_xll.BDP("569781JB Muni","MUNI_TAX_PROV")</f>
        <v>#N/A Requesting Data...</v>
      </c>
      <c r="Q1441" t="str">
        <f>_xll.BDP("569781JB Muni","MUNI_FED_TAX")</f>
        <v>#N/A Requesting Data...</v>
      </c>
      <c r="R1441" t="str">
        <f>_xll.BDP("569781JB Muni","MUNI_MSRB_VOLUME")</f>
        <v>#N/A Requesting Data...</v>
      </c>
      <c r="S1441" t="str">
        <f>_xll.BDP("569781JB Muni","BB_COMPOSITE")</f>
        <v>#N/A Requesting Data...</v>
      </c>
      <c r="T1441" t="str">
        <f>_xll.BDP("569781JB Muni","LQA_LIQUIDITY_SCORE")</f>
        <v>#N/A Requesting Data...</v>
      </c>
    </row>
    <row r="1442" spans="1:20" x14ac:dyDescent="0.25">
      <c r="A1442" t="str">
        <f>_xll.BDP("569781JD Muni","ID_CUSIP")</f>
        <v>#N/A Requesting Data...</v>
      </c>
      <c r="B1442" t="s">
        <v>358</v>
      </c>
      <c r="C1442" t="str">
        <f>_xll.BDP("569781JD Muni","INSURANCE_STATUS")</f>
        <v>#N/A Requesting Data...</v>
      </c>
      <c r="D1442" t="str">
        <f>_xll.BDP("569781JD Muni","STATE_CODE")</f>
        <v>#N/A Requesting Data...</v>
      </c>
      <c r="E1442" t="str">
        <f>_xll.BDP("569781JD Muni","COUNTY_LOCATION_ISSUER")</f>
        <v>#N/A Requesting Data...</v>
      </c>
      <c r="F1442" t="str">
        <f>_xll.BDP("569781JD Muni","DUR_ADJ_MID")</f>
        <v>#N/A Requesting Data...</v>
      </c>
      <c r="G1442" t="str">
        <f>_xll.BDP("569781JD Muni","SPREAD_AT_ISSUANCE_TO_WORST")</f>
        <v>#N/A Requesting Data...</v>
      </c>
      <c r="H1442" t="str">
        <f>_xll.BDP("569781JD Muni","ISSUE_DT")</f>
        <v>#N/A Requesting Data...</v>
      </c>
      <c r="I1442" t="str">
        <f>_xll.BDS("569781JD Muni","MUNI_PURPOSE_SCHED", "aggregate=y")</f>
        <v>#N/A Requesting Data...</v>
      </c>
      <c r="J1442" t="str">
        <f>_xll.BDP("569781JD Muni","CPN")</f>
        <v>#N/A Requesting Data...</v>
      </c>
      <c r="K1442" t="str">
        <f>_xll.BDP("569781JD Muni","MATURITY")</f>
        <v>#N/A Requesting Data...</v>
      </c>
      <c r="L1442">
        <v>665000</v>
      </c>
      <c r="M1442" t="str">
        <f>_xll.BDP("569781JD Muni","YIELD_ON_ISSUE_DATE")</f>
        <v>#N/A Requesting Data...</v>
      </c>
      <c r="N1442" t="str">
        <f>_xll.BDP("569781JD Muni","YTW_SPREAD_TO_MATURITY_AT_ISSU")</f>
        <v>#N/A Requesting Data...</v>
      </c>
      <c r="O1442" t="str">
        <f>_xll.BDP("569781JD Muni","BVAL_MID_YTM")</f>
        <v>#N/A Requesting Data...</v>
      </c>
      <c r="P1442" t="str">
        <f>_xll.BDP("569781JD Muni","MUNI_TAX_PROV")</f>
        <v>#N/A Requesting Data...</v>
      </c>
      <c r="Q1442" t="str">
        <f>_xll.BDP("569781JD Muni","MUNI_FED_TAX")</f>
        <v>#N/A Requesting Data...</v>
      </c>
      <c r="R1442" t="str">
        <f>_xll.BDP("569781JD Muni","MUNI_MSRB_VOLUME")</f>
        <v>#N/A Requesting Data...</v>
      </c>
      <c r="S1442" t="str">
        <f>_xll.BDP("569781JD Muni","BB_COMPOSITE")</f>
        <v>#N/A Requesting Data...</v>
      </c>
      <c r="T1442" t="str">
        <f>_xll.BDP("569781JD Muni","LQA_LIQUIDITY_SCORE")</f>
        <v>#N/A Requesting Data...</v>
      </c>
    </row>
    <row r="1443" spans="1:20" x14ac:dyDescent="0.25">
      <c r="A1443" t="str">
        <f>_xll.BDP("569781JF Muni","ID_CUSIP")</f>
        <v>#N/A Requesting Data...</v>
      </c>
      <c r="B1443" t="s">
        <v>358</v>
      </c>
      <c r="C1443" t="str">
        <f>_xll.BDP("569781JF Muni","INSURANCE_STATUS")</f>
        <v>#N/A Requesting Data...</v>
      </c>
      <c r="D1443" t="str">
        <f>_xll.BDP("569781JF Muni","STATE_CODE")</f>
        <v>#N/A Requesting Data...</v>
      </c>
      <c r="E1443" t="str">
        <f>_xll.BDP("569781JF Muni","COUNTY_LOCATION_ISSUER")</f>
        <v>#N/A Requesting Data...</v>
      </c>
      <c r="F1443" t="str">
        <f>_xll.BDP("569781JF Muni","DUR_ADJ_MID")</f>
        <v>#N/A Requesting Data...</v>
      </c>
      <c r="G1443" t="str">
        <f>_xll.BDP("569781JF Muni","SPREAD_AT_ISSUANCE_TO_WORST")</f>
        <v>#N/A Requesting Data...</v>
      </c>
      <c r="H1443" t="str">
        <f>_xll.BDP("569781JF Muni","ISSUE_DT")</f>
        <v>#N/A Requesting Data...</v>
      </c>
      <c r="I1443" t="str">
        <f>_xll.BDS("569781JF Muni","MUNI_PURPOSE_SCHED", "aggregate=y")</f>
        <v>#N/A Requesting Data...</v>
      </c>
      <c r="J1443" t="str">
        <f>_xll.BDP("569781JF Muni","CPN")</f>
        <v>#N/A Requesting Data...</v>
      </c>
      <c r="K1443" t="str">
        <f>_xll.BDP("569781JF Muni","MATURITY")</f>
        <v>#N/A Requesting Data...</v>
      </c>
      <c r="L1443">
        <v>615000</v>
      </c>
      <c r="M1443" t="str">
        <f>_xll.BDP("569781JF Muni","YIELD_ON_ISSUE_DATE")</f>
        <v>#N/A Requesting Data...</v>
      </c>
      <c r="N1443" t="str">
        <f>_xll.BDP("569781JF Muni","YTW_SPREAD_TO_MATURITY_AT_ISSU")</f>
        <v>#N/A Requesting Data...</v>
      </c>
      <c r="O1443" t="str">
        <f>_xll.BDP("569781JF Muni","BVAL_MID_YTM")</f>
        <v>#N/A Requesting Data...</v>
      </c>
      <c r="P1443" t="str">
        <f>_xll.BDP("569781JF Muni","MUNI_TAX_PROV")</f>
        <v>#N/A Requesting Data...</v>
      </c>
      <c r="Q1443" t="str">
        <f>_xll.BDP("569781JF Muni","MUNI_FED_TAX")</f>
        <v>#N/A Requesting Data...</v>
      </c>
      <c r="R1443" t="str">
        <f>_xll.BDP("569781JF Muni","MUNI_MSRB_VOLUME")</f>
        <v>#N/A Requesting Data...</v>
      </c>
      <c r="S1443" t="str">
        <f>_xll.BDP("569781JF Muni","BB_COMPOSITE")</f>
        <v>#N/A Requesting Data...</v>
      </c>
      <c r="T1443" t="str">
        <f>_xll.BDP("569781JF Muni","LQA_LIQUIDITY_SCORE")</f>
        <v>#N/A Requesting Data...</v>
      </c>
    </row>
    <row r="1444" spans="1:20" x14ac:dyDescent="0.25">
      <c r="A1444" t="str">
        <f>_xll.BDP("671765CD Muni","ID_CUSIP")</f>
        <v>#N/A Requesting Data...</v>
      </c>
      <c r="B1444" t="s">
        <v>359</v>
      </c>
      <c r="C1444" t="str">
        <f>_xll.BDP("671765CD Muni","INSURANCE_STATUS")</f>
        <v>#N/A Requesting Data...</v>
      </c>
      <c r="D1444" t="str">
        <f>_xll.BDP("671765CD Muni","STATE_CODE")</f>
        <v>#N/A Requesting Data...</v>
      </c>
      <c r="E1444" t="str">
        <f>_xll.BDP("671765CD Muni","COUNTY_LOCATION_ISSUER")</f>
        <v>#N/A Requesting Data...</v>
      </c>
      <c r="F1444" t="str">
        <f>_xll.BDP("671765CD Muni","DUR_ADJ_MID")</f>
        <v>#N/A Requesting Data...</v>
      </c>
      <c r="G1444" t="str">
        <f>_xll.BDP("671765CD Muni","SPREAD_AT_ISSUANCE_TO_WORST")</f>
        <v>#N/A Requesting Data...</v>
      </c>
      <c r="H1444" t="str">
        <f>_xll.BDP("671765CD Muni","ISSUE_DT")</f>
        <v>#N/A Requesting Data...</v>
      </c>
      <c r="I1444" t="str">
        <f>_xll.BDS("671765CD Muni","MUNI_PURPOSE_SCHED", "aggregate=y")</f>
        <v>#N/A Requesting Data...</v>
      </c>
      <c r="J1444" t="str">
        <f>_xll.BDP("671765CD Muni","CPN")</f>
        <v>#N/A Requesting Data...</v>
      </c>
      <c r="K1444" t="str">
        <f>_xll.BDP("671765CD Muni","MATURITY")</f>
        <v>#N/A Requesting Data...</v>
      </c>
      <c r="L1444">
        <v>105000</v>
      </c>
      <c r="M1444" t="str">
        <f>_xll.BDP("671765CD Muni","YIELD_ON_ISSUE_DATE")</f>
        <v>#N/A Requesting Data...</v>
      </c>
      <c r="N1444" t="str">
        <f>_xll.BDP("671765CD Muni","YTW_SPREAD_TO_MATURITY_AT_ISSU")</f>
        <v>#N/A Requesting Data...</v>
      </c>
      <c r="O1444" t="str">
        <f>_xll.BDP("671765CD Muni","BVAL_MID_YTM")</f>
        <v>#N/A Requesting Data...</v>
      </c>
      <c r="P1444" t="str">
        <f>_xll.BDP("671765CD Muni","MUNI_TAX_PROV")</f>
        <v>#N/A Requesting Data...</v>
      </c>
      <c r="Q1444" t="str">
        <f>_xll.BDP("671765CD Muni","MUNI_FED_TAX")</f>
        <v>#N/A Requesting Data...</v>
      </c>
      <c r="R1444" t="str">
        <f>_xll.BDP("671765CD Muni","MUNI_MSRB_VOLUME")</f>
        <v>#N/A Requesting Data...</v>
      </c>
      <c r="S1444" t="str">
        <f>_xll.BDP("671765CD Muni","BB_COMPOSITE")</f>
        <v>#N/A Requesting Data...</v>
      </c>
      <c r="T1444" t="str">
        <f>_xll.BDP("671765CD Muni","LQA_LIQUIDITY_SCORE")</f>
        <v>#N/A Requesting Data...</v>
      </c>
    </row>
    <row r="1445" spans="1:20" x14ac:dyDescent="0.25">
      <c r="A1445" t="str">
        <f>_xll.BDP("671765CE Muni","ID_CUSIP")</f>
        <v>#N/A Requesting Data...</v>
      </c>
      <c r="B1445" t="s">
        <v>359</v>
      </c>
      <c r="C1445" t="str">
        <f>_xll.BDP("671765CE Muni","INSURANCE_STATUS")</f>
        <v>#N/A Requesting Data...</v>
      </c>
      <c r="D1445" t="str">
        <f>_xll.BDP("671765CE Muni","STATE_CODE")</f>
        <v>#N/A Requesting Data...</v>
      </c>
      <c r="E1445" t="str">
        <f>_xll.BDP("671765CE Muni","COUNTY_LOCATION_ISSUER")</f>
        <v>#N/A Requesting Data...</v>
      </c>
      <c r="F1445" t="str">
        <f>_xll.BDP("671765CE Muni","DUR_ADJ_MID")</f>
        <v>#N/A Requesting Data...</v>
      </c>
      <c r="G1445" t="str">
        <f>_xll.BDP("671765CE Muni","SPREAD_AT_ISSUANCE_TO_WORST")</f>
        <v>#N/A Requesting Data...</v>
      </c>
      <c r="H1445" t="str">
        <f>_xll.BDP("671765CE Muni","ISSUE_DT")</f>
        <v>#N/A Requesting Data...</v>
      </c>
      <c r="I1445" t="str">
        <f>_xll.BDS("671765CE Muni","MUNI_PURPOSE_SCHED", "aggregate=y")</f>
        <v>#N/A Requesting Data...</v>
      </c>
      <c r="J1445" t="str">
        <f>_xll.BDP("671765CE Muni","CPN")</f>
        <v>#N/A Requesting Data...</v>
      </c>
      <c r="K1445" t="str">
        <f>_xll.BDP("671765CE Muni","MATURITY")</f>
        <v>#N/A Requesting Data...</v>
      </c>
      <c r="L1445">
        <v>105000</v>
      </c>
      <c r="M1445" t="str">
        <f>_xll.BDP("671765CE Muni","YIELD_ON_ISSUE_DATE")</f>
        <v>#N/A Requesting Data...</v>
      </c>
      <c r="N1445" t="str">
        <f>_xll.BDP("671765CE Muni","YTW_SPREAD_TO_MATURITY_AT_ISSU")</f>
        <v>#N/A Requesting Data...</v>
      </c>
      <c r="O1445" t="str">
        <f>_xll.BDP("671765CE Muni","BVAL_MID_YTM")</f>
        <v>#N/A Requesting Data...</v>
      </c>
      <c r="P1445" t="str">
        <f>_xll.BDP("671765CE Muni","MUNI_TAX_PROV")</f>
        <v>#N/A Requesting Data...</v>
      </c>
      <c r="Q1445" t="str">
        <f>_xll.BDP("671765CE Muni","MUNI_FED_TAX")</f>
        <v>#N/A Requesting Data...</v>
      </c>
      <c r="R1445" t="str">
        <f>_xll.BDP("671765CE Muni","MUNI_MSRB_VOLUME")</f>
        <v>#N/A Requesting Data...</v>
      </c>
      <c r="S1445" t="str">
        <f>_xll.BDP("671765CE Muni","BB_COMPOSITE")</f>
        <v>#N/A Requesting Data...</v>
      </c>
      <c r="T1445" t="str">
        <f>_xll.BDP("671765CE Muni","LQA_LIQUIDITY_SCORE")</f>
        <v>#N/A Requesting Data...</v>
      </c>
    </row>
    <row r="1446" spans="1:20" x14ac:dyDescent="0.25">
      <c r="A1446" t="str">
        <f>_xll.BDP("671765CF Muni","ID_CUSIP")</f>
        <v>#N/A Requesting Data...</v>
      </c>
      <c r="B1446" t="s">
        <v>359</v>
      </c>
      <c r="C1446" t="str">
        <f>_xll.BDP("671765CF Muni","INSURANCE_STATUS")</f>
        <v>#N/A Requesting Data...</v>
      </c>
      <c r="D1446" t="str">
        <f>_xll.BDP("671765CF Muni","STATE_CODE")</f>
        <v>#N/A Requesting Data...</v>
      </c>
      <c r="E1446" t="str">
        <f>_xll.BDP("671765CF Muni","COUNTY_LOCATION_ISSUER")</f>
        <v>#N/A Requesting Data...</v>
      </c>
      <c r="F1446" t="str">
        <f>_xll.BDP("671765CF Muni","DUR_ADJ_MID")</f>
        <v>#N/A Requesting Data...</v>
      </c>
      <c r="G1446" t="str">
        <f>_xll.BDP("671765CF Muni","SPREAD_AT_ISSUANCE_TO_WORST")</f>
        <v>#N/A Requesting Data...</v>
      </c>
      <c r="H1446" t="str">
        <f>_xll.BDP("671765CF Muni","ISSUE_DT")</f>
        <v>#N/A Requesting Data...</v>
      </c>
      <c r="I1446" t="str">
        <f>_xll.BDS("671765CF Muni","MUNI_PURPOSE_SCHED", "aggregate=y")</f>
        <v>#N/A Requesting Data...</v>
      </c>
      <c r="J1446" t="str">
        <f>_xll.BDP("671765CF Muni","CPN")</f>
        <v>#N/A Requesting Data...</v>
      </c>
      <c r="K1446" t="str">
        <f>_xll.BDP("671765CF Muni","MATURITY")</f>
        <v>#N/A Requesting Data...</v>
      </c>
      <c r="L1446">
        <v>110000</v>
      </c>
      <c r="M1446" t="str">
        <f>_xll.BDP("671765CF Muni","YIELD_ON_ISSUE_DATE")</f>
        <v>#N/A Requesting Data...</v>
      </c>
      <c r="N1446" t="str">
        <f>_xll.BDP("671765CF Muni","YTW_SPREAD_TO_MATURITY_AT_ISSU")</f>
        <v>#N/A Requesting Data...</v>
      </c>
      <c r="O1446" t="str">
        <f>_xll.BDP("671765CF Muni","BVAL_MID_YTM")</f>
        <v>#N/A Requesting Data...</v>
      </c>
      <c r="P1446" t="str">
        <f>_xll.BDP("671765CF Muni","MUNI_TAX_PROV")</f>
        <v>#N/A Requesting Data...</v>
      </c>
      <c r="Q1446" t="str">
        <f>_xll.BDP("671765CF Muni","MUNI_FED_TAX")</f>
        <v>#N/A Requesting Data...</v>
      </c>
      <c r="R1446" t="str">
        <f>_xll.BDP("671765CF Muni","MUNI_MSRB_VOLUME")</f>
        <v>#N/A Requesting Data...</v>
      </c>
      <c r="S1446" t="str">
        <f>_xll.BDP("671765CF Muni","BB_COMPOSITE")</f>
        <v>#N/A Requesting Data...</v>
      </c>
      <c r="T1446" t="str">
        <f>_xll.BDP("671765CF Muni","LQA_LIQUIDITY_SCORE")</f>
        <v>#N/A Requesting Data...</v>
      </c>
    </row>
    <row r="1447" spans="1:20" x14ac:dyDescent="0.25">
      <c r="A1447" t="str">
        <f>_xll.BDP("671765CG Muni","ID_CUSIP")</f>
        <v>#N/A Requesting Data...</v>
      </c>
      <c r="B1447" t="s">
        <v>359</v>
      </c>
      <c r="C1447" t="str">
        <f>_xll.BDP("671765CG Muni","INSURANCE_STATUS")</f>
        <v>#N/A Requesting Data...</v>
      </c>
      <c r="D1447" t="str">
        <f>_xll.BDP("671765CG Muni","STATE_CODE")</f>
        <v>#N/A Requesting Data...</v>
      </c>
      <c r="E1447" t="str">
        <f>_xll.BDP("671765CG Muni","COUNTY_LOCATION_ISSUER")</f>
        <v>#N/A Requesting Data...</v>
      </c>
      <c r="F1447" t="str">
        <f>_xll.BDP("671765CG Muni","DUR_ADJ_MID")</f>
        <v>#N/A Requesting Data...</v>
      </c>
      <c r="G1447" t="str">
        <f>_xll.BDP("671765CG Muni","SPREAD_AT_ISSUANCE_TO_WORST")</f>
        <v>#N/A Requesting Data...</v>
      </c>
      <c r="H1447" t="str">
        <f>_xll.BDP("671765CG Muni","ISSUE_DT")</f>
        <v>#N/A Requesting Data...</v>
      </c>
      <c r="I1447" t="str">
        <f>_xll.BDS("671765CG Muni","MUNI_PURPOSE_SCHED", "aggregate=y")</f>
        <v>#N/A Requesting Data...</v>
      </c>
      <c r="J1447" t="str">
        <f>_xll.BDP("671765CG Muni","CPN")</f>
        <v>#N/A Requesting Data...</v>
      </c>
      <c r="K1447" t="str">
        <f>_xll.BDP("671765CG Muni","MATURITY")</f>
        <v>#N/A Requesting Data...</v>
      </c>
      <c r="L1447">
        <v>110000</v>
      </c>
      <c r="M1447" t="str">
        <f>_xll.BDP("671765CG Muni","YIELD_ON_ISSUE_DATE")</f>
        <v>#N/A Requesting Data...</v>
      </c>
      <c r="N1447" t="str">
        <f>_xll.BDP("671765CG Muni","YTW_SPREAD_TO_MATURITY_AT_ISSU")</f>
        <v>#N/A Requesting Data...</v>
      </c>
      <c r="O1447" t="str">
        <f>_xll.BDP("671765CG Muni","BVAL_MID_YTM")</f>
        <v>#N/A Requesting Data...</v>
      </c>
      <c r="P1447" t="str">
        <f>_xll.BDP("671765CG Muni","MUNI_TAX_PROV")</f>
        <v>#N/A Requesting Data...</v>
      </c>
      <c r="Q1447" t="str">
        <f>_xll.BDP("671765CG Muni","MUNI_FED_TAX")</f>
        <v>#N/A Requesting Data...</v>
      </c>
      <c r="R1447" t="str">
        <f>_xll.BDP("671765CG Muni","MUNI_MSRB_VOLUME")</f>
        <v>#N/A Requesting Data...</v>
      </c>
      <c r="S1447" t="str">
        <f>_xll.BDP("671765CG Muni","BB_COMPOSITE")</f>
        <v>#N/A Requesting Data...</v>
      </c>
      <c r="T1447" t="str">
        <f>_xll.BDP("671765CG Muni","LQA_LIQUIDITY_SCORE")</f>
        <v>#N/A Requesting Data...</v>
      </c>
    </row>
    <row r="1448" spans="1:20" x14ac:dyDescent="0.25">
      <c r="A1448" t="str">
        <f>_xll.BDP("671765CH Muni","ID_CUSIP")</f>
        <v>#N/A Requesting Data...</v>
      </c>
      <c r="B1448" t="s">
        <v>359</v>
      </c>
      <c r="C1448" t="str">
        <f>_xll.BDP("671765CH Muni","INSURANCE_STATUS")</f>
        <v>#N/A Requesting Data...</v>
      </c>
      <c r="D1448" t="str">
        <f>_xll.BDP("671765CH Muni","STATE_CODE")</f>
        <v>#N/A Requesting Data...</v>
      </c>
      <c r="E1448" t="str">
        <f>_xll.BDP("671765CH Muni","COUNTY_LOCATION_ISSUER")</f>
        <v>#N/A Requesting Data...</v>
      </c>
      <c r="F1448" t="str">
        <f>_xll.BDP("671765CH Muni","DUR_ADJ_MID")</f>
        <v>#N/A Requesting Data...</v>
      </c>
      <c r="G1448" t="str">
        <f>_xll.BDP("671765CH Muni","SPREAD_AT_ISSUANCE_TO_WORST")</f>
        <v>#N/A Requesting Data...</v>
      </c>
      <c r="H1448" t="str">
        <f>_xll.BDP("671765CH Muni","ISSUE_DT")</f>
        <v>#N/A Requesting Data...</v>
      </c>
      <c r="I1448" t="str">
        <f>_xll.BDS("671765CH Muni","MUNI_PURPOSE_SCHED", "aggregate=y")</f>
        <v>#N/A Requesting Data...</v>
      </c>
      <c r="J1448" t="str">
        <f>_xll.BDP("671765CH Muni","CPN")</f>
        <v>#N/A Requesting Data...</v>
      </c>
      <c r="K1448" t="str">
        <f>_xll.BDP("671765CH Muni","MATURITY")</f>
        <v>#N/A Requesting Data...</v>
      </c>
      <c r="L1448">
        <v>115000</v>
      </c>
      <c r="M1448" t="str">
        <f>_xll.BDP("671765CH Muni","YIELD_ON_ISSUE_DATE")</f>
        <v>#N/A Requesting Data...</v>
      </c>
      <c r="N1448" t="str">
        <f>_xll.BDP("671765CH Muni","YTW_SPREAD_TO_MATURITY_AT_ISSU")</f>
        <v>#N/A Requesting Data...</v>
      </c>
      <c r="O1448" t="str">
        <f>_xll.BDP("671765CH Muni","BVAL_MID_YTM")</f>
        <v>#N/A Requesting Data...</v>
      </c>
      <c r="P1448" t="str">
        <f>_xll.BDP("671765CH Muni","MUNI_TAX_PROV")</f>
        <v>#N/A Requesting Data...</v>
      </c>
      <c r="Q1448" t="str">
        <f>_xll.BDP("671765CH Muni","MUNI_FED_TAX")</f>
        <v>#N/A Requesting Data...</v>
      </c>
      <c r="R1448" t="str">
        <f>_xll.BDP("671765CH Muni","MUNI_MSRB_VOLUME")</f>
        <v>#N/A Requesting Data...</v>
      </c>
      <c r="S1448" t="str">
        <f>_xll.BDP("671765CH Muni","BB_COMPOSITE")</f>
        <v>#N/A Requesting Data...</v>
      </c>
      <c r="T1448" t="str">
        <f>_xll.BDP("671765CH Muni","LQA_LIQUIDITY_SCORE")</f>
        <v>#N/A Requesting Data...</v>
      </c>
    </row>
    <row r="1449" spans="1:20" x14ac:dyDescent="0.25">
      <c r="A1449" t="str">
        <f>_xll.BDP("67176RAC Muni","ID_CUSIP")</f>
        <v>#N/A Requesting Data...</v>
      </c>
      <c r="B1449" t="s">
        <v>360</v>
      </c>
      <c r="C1449" t="str">
        <f>_xll.BDP("67176RAC Muni","INSURANCE_STATUS")</f>
        <v>#N/A Requesting Data...</v>
      </c>
      <c r="D1449" t="str">
        <f>_xll.BDP("67176RAC Muni","STATE_CODE")</f>
        <v>#N/A Requesting Data...</v>
      </c>
      <c r="E1449" t="str">
        <f>_xll.BDP("67176RAC Muni","COUNTY_LOCATION_ISSUER")</f>
        <v>#N/A Requesting Data...</v>
      </c>
      <c r="F1449" t="str">
        <f>_xll.BDP("67176RAC Muni","DUR_ADJ_MID")</f>
        <v>#N/A Requesting Data...</v>
      </c>
      <c r="G1449" t="str">
        <f>_xll.BDP("67176RAC Muni","SPREAD_AT_ISSUANCE_TO_WORST")</f>
        <v>#N/A Requesting Data...</v>
      </c>
      <c r="H1449" t="str">
        <f>_xll.BDP("67176RAC Muni","ISSUE_DT")</f>
        <v>#N/A Requesting Data...</v>
      </c>
      <c r="I1449" t="str">
        <f>_xll.BDS("67176RAC Muni","MUNI_PURPOSE_SCHED", "aggregate=y")</f>
        <v>#N/A Requesting Data...</v>
      </c>
      <c r="J1449" t="str">
        <f>_xll.BDP("67176RAC Muni","CPN")</f>
        <v>#N/A Requesting Data...</v>
      </c>
      <c r="K1449" t="str">
        <f>_xll.BDP("67176RAC Muni","MATURITY")</f>
        <v>#N/A Requesting Data...</v>
      </c>
      <c r="L1449">
        <v>135000</v>
      </c>
      <c r="M1449" t="str">
        <f>_xll.BDP("67176RAC Muni","YIELD_ON_ISSUE_DATE")</f>
        <v>#N/A Requesting Data...</v>
      </c>
      <c r="N1449" t="str">
        <f>_xll.BDP("67176RAC Muni","YTW_SPREAD_TO_MATURITY_AT_ISSU")</f>
        <v>#N/A Requesting Data...</v>
      </c>
      <c r="O1449" t="str">
        <f>_xll.BDP("67176RAC Muni","BVAL_MID_YTM")</f>
        <v>#N/A Requesting Data...</v>
      </c>
      <c r="P1449" t="str">
        <f>_xll.BDP("67176RAC Muni","MUNI_TAX_PROV")</f>
        <v>#N/A Requesting Data...</v>
      </c>
      <c r="Q1449" t="str">
        <f>_xll.BDP("67176RAC Muni","MUNI_FED_TAX")</f>
        <v>#N/A Requesting Data...</v>
      </c>
      <c r="R1449" t="str">
        <f>_xll.BDP("67176RAC Muni","MUNI_MSRB_VOLUME")</f>
        <v>#N/A Requesting Data...</v>
      </c>
      <c r="S1449" t="str">
        <f>_xll.BDP("67176RAC Muni","BB_COMPOSITE")</f>
        <v>#N/A Requesting Data...</v>
      </c>
      <c r="T1449" t="str">
        <f>_xll.BDP("67176RAC Muni","LQA_LIQUIDITY_SCORE")</f>
        <v>#N/A Requesting Data...</v>
      </c>
    </row>
    <row r="1450" spans="1:20" x14ac:dyDescent="0.25">
      <c r="A1450" t="str">
        <f>_xll.BDP("67176RAD Muni","ID_CUSIP")</f>
        <v>#N/A Requesting Data...</v>
      </c>
      <c r="B1450" t="s">
        <v>360</v>
      </c>
      <c r="C1450" t="str">
        <f>_xll.BDP("67176RAD Muni","INSURANCE_STATUS")</f>
        <v>#N/A Requesting Data...</v>
      </c>
      <c r="D1450" t="str">
        <f>_xll.BDP("67176RAD Muni","STATE_CODE")</f>
        <v>#N/A Requesting Data...</v>
      </c>
      <c r="E1450" t="str">
        <f>_xll.BDP("67176RAD Muni","COUNTY_LOCATION_ISSUER")</f>
        <v>#N/A Requesting Data...</v>
      </c>
      <c r="F1450" t="str">
        <f>_xll.BDP("67176RAD Muni","DUR_ADJ_MID")</f>
        <v>#N/A Requesting Data...</v>
      </c>
      <c r="G1450" t="str">
        <f>_xll.BDP("67176RAD Muni","SPREAD_AT_ISSUANCE_TO_WORST")</f>
        <v>#N/A Requesting Data...</v>
      </c>
      <c r="H1450" t="str">
        <f>_xll.BDP("67176RAD Muni","ISSUE_DT")</f>
        <v>#N/A Requesting Data...</v>
      </c>
      <c r="I1450" t="str">
        <f>_xll.BDS("67176RAD Muni","MUNI_PURPOSE_SCHED", "aggregate=y")</f>
        <v>#N/A Requesting Data...</v>
      </c>
      <c r="J1450" t="str">
        <f>_xll.BDP("67176RAD Muni","CPN")</f>
        <v>#N/A Requesting Data...</v>
      </c>
      <c r="K1450" t="str">
        <f>_xll.BDP("67176RAD Muni","MATURITY")</f>
        <v>#N/A Requesting Data...</v>
      </c>
      <c r="L1450">
        <v>140000</v>
      </c>
      <c r="M1450" t="str">
        <f>_xll.BDP("67176RAD Muni","YIELD_ON_ISSUE_DATE")</f>
        <v>#N/A Requesting Data...</v>
      </c>
      <c r="N1450" t="str">
        <f>_xll.BDP("67176RAD Muni","YTW_SPREAD_TO_MATURITY_AT_ISSU")</f>
        <v>#N/A Requesting Data...</v>
      </c>
      <c r="O1450" t="str">
        <f>_xll.BDP("67176RAD Muni","BVAL_MID_YTM")</f>
        <v>#N/A Requesting Data...</v>
      </c>
      <c r="P1450" t="str">
        <f>_xll.BDP("67176RAD Muni","MUNI_TAX_PROV")</f>
        <v>#N/A Requesting Data...</v>
      </c>
      <c r="Q1450" t="str">
        <f>_xll.BDP("67176RAD Muni","MUNI_FED_TAX")</f>
        <v>#N/A Requesting Data...</v>
      </c>
      <c r="R1450" t="str">
        <f>_xll.BDP("67176RAD Muni","MUNI_MSRB_VOLUME")</f>
        <v>#N/A Requesting Data...</v>
      </c>
      <c r="S1450" t="str">
        <f>_xll.BDP("67176RAD Muni","BB_COMPOSITE")</f>
        <v>#N/A Requesting Data...</v>
      </c>
      <c r="T1450" t="str">
        <f>_xll.BDP("67176RAD Muni","LQA_LIQUIDITY_SCORE")</f>
        <v>#N/A Requesting Data...</v>
      </c>
    </row>
    <row r="1451" spans="1:20" x14ac:dyDescent="0.25">
      <c r="A1451" t="str">
        <f>_xll.BDP("666495DH Muni","ID_CUSIP")</f>
        <v>#N/A Requesting Data...</v>
      </c>
      <c r="B1451" t="s">
        <v>361</v>
      </c>
      <c r="C1451" t="str">
        <f>_xll.BDP("666495DH Muni","INSURANCE_STATUS")</f>
        <v>#N/A Requesting Data...</v>
      </c>
      <c r="D1451" t="str">
        <f>_xll.BDP("666495DH Muni","STATE_CODE")</f>
        <v>#N/A Requesting Data...</v>
      </c>
      <c r="E1451" t="str">
        <f>_xll.BDP("666495DH Muni","COUNTY_LOCATION_ISSUER")</f>
        <v>#N/A Requesting Data...</v>
      </c>
      <c r="F1451" t="str">
        <f>_xll.BDP("666495DH Muni","DUR_ADJ_MID")</f>
        <v>#N/A Requesting Data...</v>
      </c>
      <c r="G1451" t="str">
        <f>_xll.BDP("666495DH Muni","SPREAD_AT_ISSUANCE_TO_WORST")</f>
        <v>#N/A Requesting Data...</v>
      </c>
      <c r="H1451" t="str">
        <f>_xll.BDP("666495DH Muni","ISSUE_DT")</f>
        <v>#N/A Requesting Data...</v>
      </c>
      <c r="I1451" t="str">
        <f>_xll.BDS("666495DH Muni","MUNI_PURPOSE_SCHED", "aggregate=y")</f>
        <v>#N/A Requesting Data...</v>
      </c>
      <c r="J1451" t="str">
        <f>_xll.BDP("666495DH Muni","CPN")</f>
        <v>#N/A Requesting Data...</v>
      </c>
      <c r="K1451" t="str">
        <f>_xll.BDP("666495DH Muni","MATURITY")</f>
        <v>#N/A Requesting Data...</v>
      </c>
      <c r="L1451">
        <v>35000</v>
      </c>
      <c r="M1451" t="str">
        <f>_xll.BDP("666495DH Muni","YIELD_ON_ISSUE_DATE")</f>
        <v>#N/A Requesting Data...</v>
      </c>
      <c r="N1451" t="str">
        <f>_xll.BDP("666495DH Muni","YTW_SPREAD_TO_MATURITY_AT_ISSU")</f>
        <v>#N/A Requesting Data...</v>
      </c>
      <c r="O1451" t="str">
        <f>_xll.BDP("666495DH Muni","BVAL_MID_YTM")</f>
        <v>#N/A Requesting Data...</v>
      </c>
      <c r="P1451" t="str">
        <f>_xll.BDP("666495DH Muni","MUNI_TAX_PROV")</f>
        <v>#N/A Requesting Data...</v>
      </c>
      <c r="Q1451" t="str">
        <f>_xll.BDP("666495DH Muni","MUNI_FED_TAX")</f>
        <v>#N/A Requesting Data...</v>
      </c>
      <c r="R1451" t="str">
        <f>_xll.BDP("666495DH Muni","MUNI_MSRB_VOLUME")</f>
        <v>#N/A Requesting Data...</v>
      </c>
      <c r="S1451" t="str">
        <f>_xll.BDP("666495DH Muni","BB_COMPOSITE")</f>
        <v>#N/A Requesting Data...</v>
      </c>
      <c r="T1451" t="str">
        <f>_xll.BDP("666495DH Muni","LQA_LIQUIDITY_SCORE")</f>
        <v>#N/A Requesting Data...</v>
      </c>
    </row>
    <row r="1452" spans="1:20" x14ac:dyDescent="0.25">
      <c r="A1452" t="str">
        <f>_xll.BDP("666495DJ Muni","ID_CUSIP")</f>
        <v>#N/A Requesting Data...</v>
      </c>
      <c r="B1452" t="s">
        <v>361</v>
      </c>
      <c r="C1452" t="str">
        <f>_xll.BDP("666495DJ Muni","INSURANCE_STATUS")</f>
        <v>#N/A Requesting Data...</v>
      </c>
      <c r="D1452" t="str">
        <f>_xll.BDP("666495DJ Muni","STATE_CODE")</f>
        <v>#N/A Requesting Data...</v>
      </c>
      <c r="E1452" t="str">
        <f>_xll.BDP("666495DJ Muni","COUNTY_LOCATION_ISSUER")</f>
        <v>#N/A Requesting Data...</v>
      </c>
      <c r="F1452" t="str">
        <f>_xll.BDP("666495DJ Muni","DUR_ADJ_MID")</f>
        <v>#N/A Requesting Data...</v>
      </c>
      <c r="G1452" t="str">
        <f>_xll.BDP("666495DJ Muni","SPREAD_AT_ISSUANCE_TO_WORST")</f>
        <v>#N/A Requesting Data...</v>
      </c>
      <c r="H1452" t="str">
        <f>_xll.BDP("666495DJ Muni","ISSUE_DT")</f>
        <v>#N/A Requesting Data...</v>
      </c>
      <c r="I1452" t="str">
        <f>_xll.BDS("666495DJ Muni","MUNI_PURPOSE_SCHED", "aggregate=y")</f>
        <v>#N/A Requesting Data...</v>
      </c>
      <c r="J1452" t="str">
        <f>_xll.BDP("666495DJ Muni","CPN")</f>
        <v>#N/A Requesting Data...</v>
      </c>
      <c r="K1452" t="str">
        <f>_xll.BDP("666495DJ Muni","MATURITY")</f>
        <v>#N/A Requesting Data...</v>
      </c>
      <c r="L1452">
        <v>130000</v>
      </c>
      <c r="M1452" t="str">
        <f>_xll.BDP("666495DJ Muni","YIELD_ON_ISSUE_DATE")</f>
        <v>#N/A Requesting Data...</v>
      </c>
      <c r="N1452" t="str">
        <f>_xll.BDP("666495DJ Muni","YTW_SPREAD_TO_MATURITY_AT_ISSU")</f>
        <v>#N/A Requesting Data...</v>
      </c>
      <c r="O1452" t="str">
        <f>_xll.BDP("666495DJ Muni","BVAL_MID_YTM")</f>
        <v>#N/A Requesting Data...</v>
      </c>
      <c r="P1452" t="str">
        <f>_xll.BDP("666495DJ Muni","MUNI_TAX_PROV")</f>
        <v>#N/A Requesting Data...</v>
      </c>
      <c r="Q1452" t="str">
        <f>_xll.BDP("666495DJ Muni","MUNI_FED_TAX")</f>
        <v>#N/A Requesting Data...</v>
      </c>
      <c r="R1452" t="str">
        <f>_xll.BDP("666495DJ Muni","MUNI_MSRB_VOLUME")</f>
        <v>#N/A Requesting Data...</v>
      </c>
      <c r="S1452" t="str">
        <f>_xll.BDP("666495DJ Muni","BB_COMPOSITE")</f>
        <v>#N/A Requesting Data...</v>
      </c>
      <c r="T1452" t="str">
        <f>_xll.BDP("666495DJ Muni","LQA_LIQUIDITY_SCORE")</f>
        <v>#N/A Requesting Data...</v>
      </c>
    </row>
    <row r="1453" spans="1:20" x14ac:dyDescent="0.25">
      <c r="A1453" t="str">
        <f>_xll.BDP("667476GG Muni","ID_CUSIP")</f>
        <v>#N/A Requesting Data...</v>
      </c>
      <c r="B1453" t="s">
        <v>362</v>
      </c>
      <c r="C1453" t="str">
        <f>_xll.BDP("667476GG Muni","INSURANCE_STATUS")</f>
        <v>#N/A Requesting Data...</v>
      </c>
      <c r="D1453" t="str">
        <f>_xll.BDP("667476GG Muni","STATE_CODE")</f>
        <v>#N/A Requesting Data...</v>
      </c>
      <c r="E1453" t="str">
        <f>_xll.BDP("667476GG Muni","COUNTY_LOCATION_ISSUER")</f>
        <v>#N/A Requesting Data...</v>
      </c>
      <c r="F1453" t="str">
        <f>_xll.BDP("667476GG Muni","DUR_ADJ_MID")</f>
        <v>#N/A Requesting Data...</v>
      </c>
      <c r="G1453" t="str">
        <f>_xll.BDP("667476GG Muni","SPREAD_AT_ISSUANCE_TO_WORST")</f>
        <v>#N/A Requesting Data...</v>
      </c>
      <c r="H1453" t="str">
        <f>_xll.BDP("667476GG Muni","ISSUE_DT")</f>
        <v>#N/A Requesting Data...</v>
      </c>
      <c r="I1453" t="str">
        <f>_xll.BDS("667476GG Muni","MUNI_PURPOSE_SCHED", "aggregate=y")</f>
        <v>#N/A Requesting Data...</v>
      </c>
      <c r="J1453" t="str">
        <f>_xll.BDP("667476GG Muni","CPN")</f>
        <v>#N/A Requesting Data...</v>
      </c>
      <c r="K1453" t="str">
        <f>_xll.BDP("667476GG Muni","MATURITY")</f>
        <v>#N/A Requesting Data...</v>
      </c>
      <c r="L1453">
        <v>150000</v>
      </c>
      <c r="M1453" t="str">
        <f>_xll.BDP("667476GG Muni","YIELD_ON_ISSUE_DATE")</f>
        <v>#N/A Requesting Data...</v>
      </c>
      <c r="N1453" t="str">
        <f>_xll.BDP("667476GG Muni","YTW_SPREAD_TO_MATURITY_AT_ISSU")</f>
        <v>#N/A Requesting Data...</v>
      </c>
      <c r="O1453" t="str">
        <f>_xll.BDP("667476GG Muni","BVAL_MID_YTM")</f>
        <v>#N/A Requesting Data...</v>
      </c>
      <c r="P1453" t="str">
        <f>_xll.BDP("667476GG Muni","MUNI_TAX_PROV")</f>
        <v>#N/A Requesting Data...</v>
      </c>
      <c r="Q1453" t="str">
        <f>_xll.BDP("667476GG Muni","MUNI_FED_TAX")</f>
        <v>#N/A Requesting Data...</v>
      </c>
      <c r="R1453" t="str">
        <f>_xll.BDP("667476GG Muni","MUNI_MSRB_VOLUME")</f>
        <v>#N/A Requesting Data...</v>
      </c>
      <c r="S1453" t="str">
        <f>_xll.BDP("667476GG Muni","BB_COMPOSITE")</f>
        <v>#N/A Requesting Data...</v>
      </c>
      <c r="T1453" t="str">
        <f>_xll.BDP("667476GG Muni","LQA_LIQUIDITY_SCORE")</f>
        <v>#N/A Requesting Data...</v>
      </c>
    </row>
    <row r="1454" spans="1:20" x14ac:dyDescent="0.25">
      <c r="A1454" t="str">
        <f>_xll.BDP("667488RS Muni","ID_CUSIP")</f>
        <v>#N/A Requesting Data...</v>
      </c>
      <c r="B1454" t="s">
        <v>363</v>
      </c>
      <c r="C1454" t="str">
        <f>_xll.BDP("667488RS Muni","INSURANCE_STATUS")</f>
        <v>#N/A Requesting Data...</v>
      </c>
      <c r="D1454" t="str">
        <f>_xll.BDP("667488RS Muni","STATE_CODE")</f>
        <v>#N/A Requesting Data...</v>
      </c>
      <c r="E1454" t="str">
        <f>_xll.BDP("667488RS Muni","COUNTY_LOCATION_ISSUER")</f>
        <v>#N/A Requesting Data...</v>
      </c>
      <c r="F1454" t="str">
        <f>_xll.BDP("667488RS Muni","DUR_ADJ_MID")</f>
        <v>#N/A Requesting Data...</v>
      </c>
      <c r="G1454" t="str">
        <f>_xll.BDP("667488RS Muni","SPREAD_AT_ISSUANCE_TO_WORST")</f>
        <v>#N/A Requesting Data...</v>
      </c>
      <c r="H1454" t="str">
        <f>_xll.BDP("667488RS Muni","ISSUE_DT")</f>
        <v>#N/A Requesting Data...</v>
      </c>
      <c r="I1454" t="str">
        <f>_xll.BDS("667488RS Muni","MUNI_PURPOSE_SCHED", "aggregate=y")</f>
        <v>#N/A Requesting Data...</v>
      </c>
      <c r="J1454" t="str">
        <f>_xll.BDP("667488RS Muni","CPN")</f>
        <v>#N/A Requesting Data...</v>
      </c>
      <c r="K1454" t="str">
        <f>_xll.BDP("667488RS Muni","MATURITY")</f>
        <v>#N/A Requesting Data...</v>
      </c>
      <c r="L1454">
        <v>865000</v>
      </c>
      <c r="M1454" t="str">
        <f>_xll.BDP("667488RS Muni","YIELD_ON_ISSUE_DATE")</f>
        <v>#N/A Requesting Data...</v>
      </c>
      <c r="N1454" t="str">
        <f>_xll.BDP("667488RS Muni","YTW_SPREAD_TO_MATURITY_AT_ISSU")</f>
        <v>#N/A Requesting Data...</v>
      </c>
      <c r="O1454" t="str">
        <f>_xll.BDP("667488RS Muni","BVAL_MID_YTM")</f>
        <v>#N/A Requesting Data...</v>
      </c>
      <c r="P1454" t="str">
        <f>_xll.BDP("667488RS Muni","MUNI_TAX_PROV")</f>
        <v>#N/A Requesting Data...</v>
      </c>
      <c r="Q1454" t="str">
        <f>_xll.BDP("667488RS Muni","MUNI_FED_TAX")</f>
        <v>#N/A Requesting Data...</v>
      </c>
      <c r="R1454" t="str">
        <f>_xll.BDP("667488RS Muni","MUNI_MSRB_VOLUME")</f>
        <v>#N/A Requesting Data...</v>
      </c>
      <c r="S1454" t="str">
        <f>_xll.BDP("667488RS Muni","BB_COMPOSITE")</f>
        <v>#N/A Requesting Data...</v>
      </c>
      <c r="T1454" t="str">
        <f>_xll.BDP("667488RS Muni","LQA_LIQUIDITY_SCORE")</f>
        <v>#N/A Requesting Data...</v>
      </c>
    </row>
    <row r="1455" spans="1:20" x14ac:dyDescent="0.25">
      <c r="A1455" t="str">
        <f>_xll.BDP("667902TJ Muni","ID_CUSIP")</f>
        <v>#N/A Requesting Data...</v>
      </c>
      <c r="B1455" t="s">
        <v>364</v>
      </c>
      <c r="C1455" t="str">
        <f>_xll.BDP("667902TJ Muni","INSURANCE_STATUS")</f>
        <v>#N/A Requesting Data...</v>
      </c>
      <c r="D1455" t="str">
        <f>_xll.BDP("667902TJ Muni","STATE_CODE")</f>
        <v>#N/A Requesting Data...</v>
      </c>
      <c r="E1455" t="str">
        <f>_xll.BDP("667902TJ Muni","COUNTY_LOCATION_ISSUER")</f>
        <v>#N/A Requesting Data...</v>
      </c>
      <c r="F1455" t="str">
        <f>_xll.BDP("667902TJ Muni","DUR_ADJ_MID")</f>
        <v>#N/A Requesting Data...</v>
      </c>
      <c r="G1455" t="str">
        <f>_xll.BDP("667902TJ Muni","SPREAD_AT_ISSUANCE_TO_WORST")</f>
        <v>#N/A Requesting Data...</v>
      </c>
      <c r="H1455" t="str">
        <f>_xll.BDP("667902TJ Muni","ISSUE_DT")</f>
        <v>#N/A Requesting Data...</v>
      </c>
      <c r="I1455" t="str">
        <f>_xll.BDS("667902TJ Muni","MUNI_PURPOSE_SCHED", "aggregate=y")</f>
        <v>#N/A Requesting Data...</v>
      </c>
      <c r="J1455" t="str">
        <f>_xll.BDP("667902TJ Muni","CPN")</f>
        <v>#N/A Requesting Data...</v>
      </c>
      <c r="K1455" t="str">
        <f>_xll.BDP("667902TJ Muni","MATURITY")</f>
        <v>#N/A Requesting Data...</v>
      </c>
      <c r="L1455">
        <v>150000</v>
      </c>
      <c r="M1455" t="str">
        <f>_xll.BDP("667902TJ Muni","YIELD_ON_ISSUE_DATE")</f>
        <v>#N/A Requesting Data...</v>
      </c>
      <c r="N1455" t="str">
        <f>_xll.BDP("667902TJ Muni","YTW_SPREAD_TO_MATURITY_AT_ISSU")</f>
        <v>#N/A Requesting Data...</v>
      </c>
      <c r="O1455" t="str">
        <f>_xll.BDP("667902TJ Muni","BVAL_MID_YTM")</f>
        <v>#N/A Requesting Data...</v>
      </c>
      <c r="P1455" t="str">
        <f>_xll.BDP("667902TJ Muni","MUNI_TAX_PROV")</f>
        <v>#N/A Requesting Data...</v>
      </c>
      <c r="Q1455" t="str">
        <f>_xll.BDP("667902TJ Muni","MUNI_FED_TAX")</f>
        <v>#N/A Requesting Data...</v>
      </c>
      <c r="R1455" t="str">
        <f>_xll.BDP("667902TJ Muni","MUNI_MSRB_VOLUME")</f>
        <v>#N/A Requesting Data...</v>
      </c>
      <c r="S1455" t="str">
        <f>_xll.BDP("667902TJ Muni","BB_COMPOSITE")</f>
        <v>#N/A Requesting Data...</v>
      </c>
      <c r="T1455" t="str">
        <f>_xll.BDP("667902TJ Muni","LQA_LIQUIDITY_SCORE")</f>
        <v>#N/A Requesting Data...</v>
      </c>
    </row>
    <row r="1456" spans="1:20" x14ac:dyDescent="0.25">
      <c r="A1456" t="str">
        <f>_xll.BDP("669075AS Muni","ID_CUSIP")</f>
        <v>#N/A Requesting Data...</v>
      </c>
      <c r="B1456" t="s">
        <v>365</v>
      </c>
      <c r="C1456" t="str">
        <f>_xll.BDP("669075AS Muni","INSURANCE_STATUS")</f>
        <v>#N/A Requesting Data...</v>
      </c>
      <c r="D1456" t="str">
        <f>_xll.BDP("669075AS Muni","STATE_CODE")</f>
        <v>#N/A Requesting Data...</v>
      </c>
      <c r="E1456" t="str">
        <f>_xll.BDP("669075AS Muni","COUNTY_LOCATION_ISSUER")</f>
        <v>#N/A Requesting Data...</v>
      </c>
      <c r="F1456" t="str">
        <f>_xll.BDP("669075AS Muni","DUR_ADJ_MID")</f>
        <v>#N/A Requesting Data...</v>
      </c>
      <c r="G1456" t="str">
        <f>_xll.BDP("669075AS Muni","SPREAD_AT_ISSUANCE_TO_WORST")</f>
        <v>#N/A Requesting Data...</v>
      </c>
      <c r="H1456" t="str">
        <f>_xll.BDP("669075AS Muni","ISSUE_DT")</f>
        <v>#N/A Requesting Data...</v>
      </c>
      <c r="I1456" t="str">
        <f>_xll.BDS("669075AS Muni","MUNI_PURPOSE_SCHED", "aggregate=y")</f>
        <v>#N/A Requesting Data...</v>
      </c>
      <c r="J1456" t="str">
        <f>_xll.BDP("669075AS Muni","CPN")</f>
        <v>#N/A Requesting Data...</v>
      </c>
      <c r="K1456" t="str">
        <f>_xll.BDP("669075AS Muni","MATURITY")</f>
        <v>#N/A Requesting Data...</v>
      </c>
      <c r="L1456">
        <v>180000</v>
      </c>
      <c r="M1456" t="str">
        <f>_xll.BDP("669075AS Muni","YIELD_ON_ISSUE_DATE")</f>
        <v>#N/A Requesting Data...</v>
      </c>
      <c r="N1456" t="str">
        <f>_xll.BDP("669075AS Muni","YTW_SPREAD_TO_MATURITY_AT_ISSU")</f>
        <v>#N/A Requesting Data...</v>
      </c>
      <c r="O1456" t="str">
        <f>_xll.BDP("669075AS Muni","BVAL_MID_YTM")</f>
        <v>#N/A Requesting Data...</v>
      </c>
      <c r="P1456" t="str">
        <f>_xll.BDP("669075AS Muni","MUNI_TAX_PROV")</f>
        <v>#N/A Requesting Data...</v>
      </c>
      <c r="Q1456" t="str">
        <f>_xll.BDP("669075AS Muni","MUNI_FED_TAX")</f>
        <v>#N/A Requesting Data...</v>
      </c>
      <c r="R1456" t="str">
        <f>_xll.BDP("669075AS Muni","MUNI_MSRB_VOLUME")</f>
        <v>#N/A Requesting Data...</v>
      </c>
      <c r="S1456" t="str">
        <f>_xll.BDP("669075AS Muni","BB_COMPOSITE")</f>
        <v>#N/A Requesting Data...</v>
      </c>
      <c r="T1456" t="str">
        <f>_xll.BDP("669075AS Muni","LQA_LIQUIDITY_SCORE")</f>
        <v>#N/A Requesting Data...</v>
      </c>
    </row>
    <row r="1457" spans="1:20" x14ac:dyDescent="0.25">
      <c r="A1457" t="str">
        <f>_xll.BDP("669075AT Muni","ID_CUSIP")</f>
        <v>#N/A Requesting Data...</v>
      </c>
      <c r="B1457" t="s">
        <v>365</v>
      </c>
      <c r="C1457" t="str">
        <f>_xll.BDP("669075AT Muni","INSURANCE_STATUS")</f>
        <v>#N/A Requesting Data...</v>
      </c>
      <c r="D1457" t="str">
        <f>_xll.BDP("669075AT Muni","STATE_CODE")</f>
        <v>#N/A Requesting Data...</v>
      </c>
      <c r="E1457" t="str">
        <f>_xll.BDP("669075AT Muni","COUNTY_LOCATION_ISSUER")</f>
        <v>#N/A Requesting Data...</v>
      </c>
      <c r="F1457" t="str">
        <f>_xll.BDP("669075AT Muni","DUR_ADJ_MID")</f>
        <v>#N/A Requesting Data...</v>
      </c>
      <c r="G1457" t="str">
        <f>_xll.BDP("669075AT Muni","SPREAD_AT_ISSUANCE_TO_WORST")</f>
        <v>#N/A Requesting Data...</v>
      </c>
      <c r="H1457" t="str">
        <f>_xll.BDP("669075AT Muni","ISSUE_DT")</f>
        <v>#N/A Requesting Data...</v>
      </c>
      <c r="I1457" t="str">
        <f>_xll.BDS("669075AT Muni","MUNI_PURPOSE_SCHED", "aggregate=y")</f>
        <v>#N/A Requesting Data...</v>
      </c>
      <c r="J1457" t="str">
        <f>_xll.BDP("669075AT Muni","CPN")</f>
        <v>#N/A Requesting Data...</v>
      </c>
      <c r="K1457" t="str">
        <f>_xll.BDP("669075AT Muni","MATURITY")</f>
        <v>#N/A Requesting Data...</v>
      </c>
      <c r="L1457">
        <v>185000</v>
      </c>
      <c r="M1457" t="str">
        <f>_xll.BDP("669075AT Muni","YIELD_ON_ISSUE_DATE")</f>
        <v>#N/A Requesting Data...</v>
      </c>
      <c r="N1457" t="str">
        <f>_xll.BDP("669075AT Muni","YTW_SPREAD_TO_MATURITY_AT_ISSU")</f>
        <v>#N/A Requesting Data...</v>
      </c>
      <c r="O1457" t="str">
        <f>_xll.BDP("669075AT Muni","BVAL_MID_YTM")</f>
        <v>#N/A Requesting Data...</v>
      </c>
      <c r="P1457" t="str">
        <f>_xll.BDP("669075AT Muni","MUNI_TAX_PROV")</f>
        <v>#N/A Requesting Data...</v>
      </c>
      <c r="Q1457" t="str">
        <f>_xll.BDP("669075AT Muni","MUNI_FED_TAX")</f>
        <v>#N/A Requesting Data...</v>
      </c>
      <c r="R1457" t="str">
        <f>_xll.BDP("669075AT Muni","MUNI_MSRB_VOLUME")</f>
        <v>#N/A Requesting Data...</v>
      </c>
      <c r="S1457" t="str">
        <f>_xll.BDP("669075AT Muni","BB_COMPOSITE")</f>
        <v>#N/A Requesting Data...</v>
      </c>
      <c r="T1457" t="str">
        <f>_xll.BDP("669075AT Muni","LQA_LIQUIDITY_SCORE")</f>
        <v>#N/A Requesting Data...</v>
      </c>
    </row>
    <row r="1458" spans="1:20" x14ac:dyDescent="0.25">
      <c r="A1458" t="str">
        <f>_xll.BDP("669075AU Muni","ID_CUSIP")</f>
        <v>#N/A Requesting Data...</v>
      </c>
      <c r="B1458" t="s">
        <v>365</v>
      </c>
      <c r="C1458" t="str">
        <f>_xll.BDP("669075AU Muni","INSURANCE_STATUS")</f>
        <v>#N/A Requesting Data...</v>
      </c>
      <c r="D1458" t="str">
        <f>_xll.BDP("669075AU Muni","STATE_CODE")</f>
        <v>#N/A Requesting Data...</v>
      </c>
      <c r="E1458" t="str">
        <f>_xll.BDP("669075AU Muni","COUNTY_LOCATION_ISSUER")</f>
        <v>#N/A Requesting Data...</v>
      </c>
      <c r="F1458" t="str">
        <f>_xll.BDP("669075AU Muni","DUR_ADJ_MID")</f>
        <v>#N/A Requesting Data...</v>
      </c>
      <c r="G1458" t="str">
        <f>_xll.BDP("669075AU Muni","SPREAD_AT_ISSUANCE_TO_WORST")</f>
        <v>#N/A Requesting Data...</v>
      </c>
      <c r="H1458" t="str">
        <f>_xll.BDP("669075AU Muni","ISSUE_DT")</f>
        <v>#N/A Requesting Data...</v>
      </c>
      <c r="I1458" t="str">
        <f>_xll.BDS("669075AU Muni","MUNI_PURPOSE_SCHED", "aggregate=y")</f>
        <v>#N/A Requesting Data...</v>
      </c>
      <c r="J1458" t="str">
        <f>_xll.BDP("669075AU Muni","CPN")</f>
        <v>#N/A Requesting Data...</v>
      </c>
      <c r="K1458" t="str">
        <f>_xll.BDP("669075AU Muni","MATURITY")</f>
        <v>#N/A Requesting Data...</v>
      </c>
      <c r="L1458">
        <v>195000</v>
      </c>
      <c r="M1458" t="str">
        <f>_xll.BDP("669075AU Muni","YIELD_ON_ISSUE_DATE")</f>
        <v>#N/A Requesting Data...</v>
      </c>
      <c r="N1458" t="str">
        <f>_xll.BDP("669075AU Muni","YTW_SPREAD_TO_MATURITY_AT_ISSU")</f>
        <v>#N/A Requesting Data...</v>
      </c>
      <c r="O1458" t="str">
        <f>_xll.BDP("669075AU Muni","BVAL_MID_YTM")</f>
        <v>#N/A Requesting Data...</v>
      </c>
      <c r="P1458" t="str">
        <f>_xll.BDP("669075AU Muni","MUNI_TAX_PROV")</f>
        <v>#N/A Requesting Data...</v>
      </c>
      <c r="Q1458" t="str">
        <f>_xll.BDP("669075AU Muni","MUNI_FED_TAX")</f>
        <v>#N/A Requesting Data...</v>
      </c>
      <c r="R1458" t="str">
        <f>_xll.BDP("669075AU Muni","MUNI_MSRB_VOLUME")</f>
        <v>#N/A Requesting Data...</v>
      </c>
      <c r="S1458" t="str">
        <f>_xll.BDP("669075AU Muni","BB_COMPOSITE")</f>
        <v>#N/A Requesting Data...</v>
      </c>
      <c r="T1458" t="str">
        <f>_xll.BDP("669075AU Muni","LQA_LIQUIDITY_SCORE")</f>
        <v>#N/A Requesting Data...</v>
      </c>
    </row>
    <row r="1459" spans="1:20" x14ac:dyDescent="0.25">
      <c r="A1459" t="str">
        <f>_xll.BDP("61074PUC Muni","ID_CUSIP")</f>
        <v>#N/A Requesting Data...</v>
      </c>
      <c r="B1459" t="s">
        <v>366</v>
      </c>
      <c r="C1459" t="str">
        <f>_xll.BDP("61074PUC Muni","INSURANCE_STATUS")</f>
        <v>#N/A Requesting Data...</v>
      </c>
      <c r="D1459" t="str">
        <f>_xll.BDP("61074PUC Muni","STATE_CODE")</f>
        <v>#N/A Requesting Data...</v>
      </c>
      <c r="E1459" t="str">
        <f>_xll.BDP("61074PUC Muni","COUNTY_LOCATION_ISSUER")</f>
        <v>#N/A Requesting Data...</v>
      </c>
      <c r="F1459" t="str">
        <f>_xll.BDP("61074PUC Muni","DUR_ADJ_MID")</f>
        <v>#N/A Requesting Data...</v>
      </c>
      <c r="G1459" t="str">
        <f>_xll.BDP("61074PUC Muni","SPREAD_AT_ISSUANCE_TO_WORST")</f>
        <v>#N/A Requesting Data...</v>
      </c>
      <c r="H1459" t="str">
        <f>_xll.BDP("61074PUC Muni","ISSUE_DT")</f>
        <v>#N/A Requesting Data...</v>
      </c>
      <c r="I1459" t="str">
        <f>_xll.BDS("61074PUC Muni","MUNI_PURPOSE_SCHED", "aggregate=y")</f>
        <v>#N/A Requesting Data...</v>
      </c>
      <c r="J1459" t="str">
        <f>_xll.BDP("61074PUC Muni","CPN")</f>
        <v>#N/A Requesting Data...</v>
      </c>
      <c r="K1459" t="str">
        <f>_xll.BDP("61074PUC Muni","MATURITY")</f>
        <v>#N/A Requesting Data...</v>
      </c>
      <c r="L1459">
        <v>5740000</v>
      </c>
      <c r="M1459" t="str">
        <f>_xll.BDP("61074PUC Muni","YIELD_ON_ISSUE_DATE")</f>
        <v>#N/A Requesting Data...</v>
      </c>
      <c r="N1459" t="str">
        <f>_xll.BDP("61074PUC Muni","YTW_SPREAD_TO_MATURITY_AT_ISSU")</f>
        <v>#N/A Requesting Data...</v>
      </c>
      <c r="O1459" t="str">
        <f>_xll.BDP("61074PUC Muni","BVAL_MID_YTM")</f>
        <v>#N/A Requesting Data...</v>
      </c>
      <c r="P1459" t="str">
        <f>_xll.BDP("61074PUC Muni","MUNI_TAX_PROV")</f>
        <v>#N/A Requesting Data...</v>
      </c>
      <c r="Q1459" t="str">
        <f>_xll.BDP("61074PUC Muni","MUNI_FED_TAX")</f>
        <v>#N/A Requesting Data...</v>
      </c>
      <c r="R1459" t="str">
        <f>_xll.BDP("61074PUC Muni","MUNI_MSRB_VOLUME")</f>
        <v>#N/A Requesting Data...</v>
      </c>
      <c r="S1459" t="str">
        <f>_xll.BDP("61074PUC Muni","BB_COMPOSITE")</f>
        <v>#N/A Requesting Data...</v>
      </c>
      <c r="T1459" t="str">
        <f>_xll.BDP("61074PUC Muni","LQA_LIQUIDITY_SCORE")</f>
        <v>#N/A Requesting Data...</v>
      </c>
    </row>
    <row r="1460" spans="1:20" x14ac:dyDescent="0.25">
      <c r="A1460" t="str">
        <f>_xll.BDP("61074PUD Muni","ID_CUSIP")</f>
        <v>#N/A Requesting Data...</v>
      </c>
      <c r="B1460" t="s">
        <v>366</v>
      </c>
      <c r="C1460" t="str">
        <f>_xll.BDP("61074PUD Muni","INSURANCE_STATUS")</f>
        <v>#N/A Requesting Data...</v>
      </c>
      <c r="D1460" t="str">
        <f>_xll.BDP("61074PUD Muni","STATE_CODE")</f>
        <v>#N/A Requesting Data...</v>
      </c>
      <c r="E1460" t="str">
        <f>_xll.BDP("61074PUD Muni","COUNTY_LOCATION_ISSUER")</f>
        <v>#N/A Requesting Data...</v>
      </c>
      <c r="F1460" t="str">
        <f>_xll.BDP("61074PUD Muni","DUR_ADJ_MID")</f>
        <v>#N/A Requesting Data...</v>
      </c>
      <c r="G1460" t="str">
        <f>_xll.BDP("61074PUD Muni","SPREAD_AT_ISSUANCE_TO_WORST")</f>
        <v>#N/A Requesting Data...</v>
      </c>
      <c r="H1460" t="str">
        <f>_xll.BDP("61074PUD Muni","ISSUE_DT")</f>
        <v>#N/A Requesting Data...</v>
      </c>
      <c r="I1460" t="str">
        <f>_xll.BDS("61074PUD Muni","MUNI_PURPOSE_SCHED", "aggregate=y")</f>
        <v>#N/A Requesting Data...</v>
      </c>
      <c r="J1460" t="str">
        <f>_xll.BDP("61074PUD Muni","CPN")</f>
        <v>#N/A Requesting Data...</v>
      </c>
      <c r="K1460" t="str">
        <f>_xll.BDP("61074PUD Muni","MATURITY")</f>
        <v>#N/A Requesting Data...</v>
      </c>
      <c r="L1460">
        <v>5300000</v>
      </c>
      <c r="M1460" t="str">
        <f>_xll.BDP("61074PUD Muni","YIELD_ON_ISSUE_DATE")</f>
        <v>#N/A Requesting Data...</v>
      </c>
      <c r="N1460" t="str">
        <f>_xll.BDP("61074PUD Muni","YTW_SPREAD_TO_MATURITY_AT_ISSU")</f>
        <v>#N/A Requesting Data...</v>
      </c>
      <c r="O1460" t="str">
        <f>_xll.BDP("61074PUD Muni","BVAL_MID_YTM")</f>
        <v>#N/A Requesting Data...</v>
      </c>
      <c r="P1460" t="str">
        <f>_xll.BDP("61074PUD Muni","MUNI_TAX_PROV")</f>
        <v>#N/A Requesting Data...</v>
      </c>
      <c r="Q1460" t="str">
        <f>_xll.BDP("61074PUD Muni","MUNI_FED_TAX")</f>
        <v>#N/A Requesting Data...</v>
      </c>
      <c r="R1460" t="str">
        <f>_xll.BDP("61074PUD Muni","MUNI_MSRB_VOLUME")</f>
        <v>#N/A Requesting Data...</v>
      </c>
      <c r="S1460" t="str">
        <f>_xll.BDP("61074PUD Muni","BB_COMPOSITE")</f>
        <v>#N/A Requesting Data...</v>
      </c>
      <c r="T1460" t="str">
        <f>_xll.BDP("61074PUD Muni","LQA_LIQUIDITY_SCORE")</f>
        <v>#N/A Requesting Data...</v>
      </c>
    </row>
    <row r="1461" spans="1:20" x14ac:dyDescent="0.25">
      <c r="A1461" t="str">
        <f>_xll.BDP("61074PUE Muni","ID_CUSIP")</f>
        <v>#N/A Requesting Data...</v>
      </c>
      <c r="B1461" t="s">
        <v>366</v>
      </c>
      <c r="C1461" t="str">
        <f>_xll.BDP("61074PUE Muni","INSURANCE_STATUS")</f>
        <v>#N/A Requesting Data...</v>
      </c>
      <c r="D1461" t="str">
        <f>_xll.BDP("61074PUE Muni","STATE_CODE")</f>
        <v>#N/A Requesting Data...</v>
      </c>
      <c r="E1461" t="str">
        <f>_xll.BDP("61074PUE Muni","COUNTY_LOCATION_ISSUER")</f>
        <v>#N/A Requesting Data...</v>
      </c>
      <c r="F1461" t="str">
        <f>_xll.BDP("61074PUE Muni","DUR_ADJ_MID")</f>
        <v>#N/A Requesting Data...</v>
      </c>
      <c r="G1461" t="str">
        <f>_xll.BDP("61074PUE Muni","SPREAD_AT_ISSUANCE_TO_WORST")</f>
        <v>#N/A Requesting Data...</v>
      </c>
      <c r="H1461" t="str">
        <f>_xll.BDP("61074PUE Muni","ISSUE_DT")</f>
        <v>#N/A Requesting Data...</v>
      </c>
      <c r="I1461" t="str">
        <f>_xll.BDS("61074PUE Muni","MUNI_PURPOSE_SCHED", "aggregate=y")</f>
        <v>#N/A Requesting Data...</v>
      </c>
      <c r="J1461" t="str">
        <f>_xll.BDP("61074PUE Muni","CPN")</f>
        <v>#N/A Requesting Data...</v>
      </c>
      <c r="K1461" t="str">
        <f>_xll.BDP("61074PUE Muni","MATURITY")</f>
        <v>#N/A Requesting Data...</v>
      </c>
      <c r="L1461">
        <v>5055000</v>
      </c>
      <c r="M1461" t="str">
        <f>_xll.BDP("61074PUE Muni","YIELD_ON_ISSUE_DATE")</f>
        <v>#N/A Requesting Data...</v>
      </c>
      <c r="N1461" t="str">
        <f>_xll.BDP("61074PUE Muni","YTW_SPREAD_TO_MATURITY_AT_ISSU")</f>
        <v>#N/A Requesting Data...</v>
      </c>
      <c r="O1461" t="str">
        <f>_xll.BDP("61074PUE Muni","BVAL_MID_YTM")</f>
        <v>#N/A Requesting Data...</v>
      </c>
      <c r="P1461" t="str">
        <f>_xll.BDP("61074PUE Muni","MUNI_TAX_PROV")</f>
        <v>#N/A Requesting Data...</v>
      </c>
      <c r="Q1461" t="str">
        <f>_xll.BDP("61074PUE Muni","MUNI_FED_TAX")</f>
        <v>#N/A Requesting Data...</v>
      </c>
      <c r="R1461" t="str">
        <f>_xll.BDP("61074PUE Muni","MUNI_MSRB_VOLUME")</f>
        <v>#N/A Requesting Data...</v>
      </c>
      <c r="S1461" t="str">
        <f>_xll.BDP("61074PUE Muni","BB_COMPOSITE")</f>
        <v>#N/A Requesting Data...</v>
      </c>
      <c r="T1461" t="str">
        <f>_xll.BDP("61074PUE Muni","LQA_LIQUIDITY_SCORE")</f>
        <v>#N/A Requesting Data...</v>
      </c>
    </row>
    <row r="1462" spans="1:20" x14ac:dyDescent="0.25">
      <c r="A1462" t="str">
        <f>_xll.BDP("61074PUF Muni","ID_CUSIP")</f>
        <v>#N/A Requesting Data...</v>
      </c>
      <c r="B1462" t="s">
        <v>366</v>
      </c>
      <c r="C1462" t="str">
        <f>_xll.BDP("61074PUF Muni","INSURANCE_STATUS")</f>
        <v>#N/A Requesting Data...</v>
      </c>
      <c r="D1462" t="str">
        <f>_xll.BDP("61074PUF Muni","STATE_CODE")</f>
        <v>#N/A Requesting Data...</v>
      </c>
      <c r="E1462" t="str">
        <f>_xll.BDP("61074PUF Muni","COUNTY_LOCATION_ISSUER")</f>
        <v>#N/A Requesting Data...</v>
      </c>
      <c r="F1462" t="str">
        <f>_xll.BDP("61074PUF Muni","DUR_ADJ_MID")</f>
        <v>#N/A Requesting Data...</v>
      </c>
      <c r="G1462" t="str">
        <f>_xll.BDP("61074PUF Muni","SPREAD_AT_ISSUANCE_TO_WORST")</f>
        <v>#N/A Requesting Data...</v>
      </c>
      <c r="H1462" t="str">
        <f>_xll.BDP("61074PUF Muni","ISSUE_DT")</f>
        <v>#N/A Requesting Data...</v>
      </c>
      <c r="I1462" t="str">
        <f>_xll.BDS("61074PUF Muni","MUNI_PURPOSE_SCHED", "aggregate=y")</f>
        <v>#N/A Requesting Data...</v>
      </c>
      <c r="J1462" t="str">
        <f>_xll.BDP("61074PUF Muni","CPN")</f>
        <v>#N/A Requesting Data...</v>
      </c>
      <c r="K1462" t="str">
        <f>_xll.BDP("61074PUF Muni","MATURITY")</f>
        <v>#N/A Requesting Data...</v>
      </c>
      <c r="L1462">
        <v>4850000</v>
      </c>
      <c r="M1462" t="str">
        <f>_xll.BDP("61074PUF Muni","YIELD_ON_ISSUE_DATE")</f>
        <v>#N/A Requesting Data...</v>
      </c>
      <c r="N1462" t="str">
        <f>_xll.BDP("61074PUF Muni","YTW_SPREAD_TO_MATURITY_AT_ISSU")</f>
        <v>#N/A Requesting Data...</v>
      </c>
      <c r="O1462" t="str">
        <f>_xll.BDP("61074PUF Muni","BVAL_MID_YTM")</f>
        <v>#N/A Requesting Data...</v>
      </c>
      <c r="P1462" t="str">
        <f>_xll.BDP("61074PUF Muni","MUNI_TAX_PROV")</f>
        <v>#N/A Requesting Data...</v>
      </c>
      <c r="Q1462" t="str">
        <f>_xll.BDP("61074PUF Muni","MUNI_FED_TAX")</f>
        <v>#N/A Requesting Data...</v>
      </c>
      <c r="R1462" t="str">
        <f>_xll.BDP("61074PUF Muni","MUNI_MSRB_VOLUME")</f>
        <v>#N/A Requesting Data...</v>
      </c>
      <c r="S1462" t="str">
        <f>_xll.BDP("61074PUF Muni","BB_COMPOSITE")</f>
        <v>#N/A Requesting Data...</v>
      </c>
      <c r="T1462" t="str">
        <f>_xll.BDP("61074PUF Muni","LQA_LIQUIDITY_SCORE")</f>
        <v>#N/A Requesting Data...</v>
      </c>
    </row>
    <row r="1463" spans="1:20" x14ac:dyDescent="0.25">
      <c r="A1463" t="str">
        <f>_xll.BDP("566022TD Muni","ID_CUSIP")</f>
        <v>#N/A Requesting Data...</v>
      </c>
      <c r="B1463" t="s">
        <v>367</v>
      </c>
      <c r="C1463" t="str">
        <f>_xll.BDP("566022TD Muni","INSURANCE_STATUS")</f>
        <v>#N/A Requesting Data...</v>
      </c>
      <c r="D1463" t="str">
        <f>_xll.BDP("566022TD Muni","STATE_CODE")</f>
        <v>#N/A Requesting Data...</v>
      </c>
      <c r="E1463" t="str">
        <f>_xll.BDP("566022TD Muni","COUNTY_LOCATION_ISSUER")</f>
        <v>#N/A Requesting Data...</v>
      </c>
      <c r="F1463" t="str">
        <f>_xll.BDP("566022TD Muni","DUR_ADJ_MID")</f>
        <v>#N/A Requesting Data...</v>
      </c>
      <c r="G1463" t="str">
        <f>_xll.BDP("566022TD Muni","SPREAD_AT_ISSUANCE_TO_WORST")</f>
        <v>#N/A Requesting Data...</v>
      </c>
      <c r="H1463" t="str">
        <f>_xll.BDP("566022TD Muni","ISSUE_DT")</f>
        <v>#N/A Requesting Data...</v>
      </c>
      <c r="I1463" t="str">
        <f>_xll.BDS("566022TD Muni","MUNI_PURPOSE_SCHED", "aggregate=y")</f>
        <v>#N/A Requesting Data...</v>
      </c>
      <c r="J1463" t="str">
        <f>_xll.BDP("566022TD Muni","CPN")</f>
        <v>#N/A Requesting Data...</v>
      </c>
      <c r="K1463" t="str">
        <f>_xll.BDP("566022TD Muni","MATURITY")</f>
        <v>#N/A Requesting Data...</v>
      </c>
      <c r="L1463">
        <v>325000</v>
      </c>
      <c r="M1463" t="str">
        <f>_xll.BDP("566022TD Muni","YIELD_ON_ISSUE_DATE")</f>
        <v>#N/A Requesting Data...</v>
      </c>
      <c r="N1463" t="str">
        <f>_xll.BDP("566022TD Muni","YTW_SPREAD_TO_MATURITY_AT_ISSU")</f>
        <v>#N/A Requesting Data...</v>
      </c>
      <c r="O1463" t="str">
        <f>_xll.BDP("566022TD Muni","BVAL_MID_YTM")</f>
        <v>#N/A Requesting Data...</v>
      </c>
      <c r="P1463" t="str">
        <f>_xll.BDP("566022TD Muni","MUNI_TAX_PROV")</f>
        <v>#N/A Requesting Data...</v>
      </c>
      <c r="Q1463" t="str">
        <f>_xll.BDP("566022TD Muni","MUNI_FED_TAX")</f>
        <v>#N/A Requesting Data...</v>
      </c>
      <c r="R1463" t="str">
        <f>_xll.BDP("566022TD Muni","MUNI_MSRB_VOLUME")</f>
        <v>#N/A Requesting Data...</v>
      </c>
      <c r="S1463" t="str">
        <f>_xll.BDP("566022TD Muni","BB_COMPOSITE")</f>
        <v>#N/A Requesting Data...</v>
      </c>
      <c r="T1463" t="str">
        <f>_xll.BDP("566022TD Muni","LQA_LIQUIDITY_SCORE")</f>
        <v>#N/A Requesting Data...</v>
      </c>
    </row>
    <row r="1464" spans="1:20" x14ac:dyDescent="0.25">
      <c r="A1464" t="str">
        <f>_xll.BDP("566022TE Muni","ID_CUSIP")</f>
        <v>#N/A Requesting Data...</v>
      </c>
      <c r="B1464" t="s">
        <v>367</v>
      </c>
      <c r="C1464" t="str">
        <f>_xll.BDP("566022TE Muni","INSURANCE_STATUS")</f>
        <v>#N/A Requesting Data...</v>
      </c>
      <c r="D1464" t="str">
        <f>_xll.BDP("566022TE Muni","STATE_CODE")</f>
        <v>#N/A Requesting Data...</v>
      </c>
      <c r="E1464" t="str">
        <f>_xll.BDP("566022TE Muni","COUNTY_LOCATION_ISSUER")</f>
        <v>#N/A Requesting Data...</v>
      </c>
      <c r="F1464" t="str">
        <f>_xll.BDP("566022TE Muni","DUR_ADJ_MID")</f>
        <v>#N/A Requesting Data...</v>
      </c>
      <c r="G1464" t="str">
        <f>_xll.BDP("566022TE Muni","SPREAD_AT_ISSUANCE_TO_WORST")</f>
        <v>#N/A Requesting Data...</v>
      </c>
      <c r="H1464" t="str">
        <f>_xll.BDP("566022TE Muni","ISSUE_DT")</f>
        <v>#N/A Requesting Data...</v>
      </c>
      <c r="I1464" t="str">
        <f>_xll.BDS("566022TE Muni","MUNI_PURPOSE_SCHED", "aggregate=y")</f>
        <v>#N/A Requesting Data...</v>
      </c>
      <c r="J1464" t="str">
        <f>_xll.BDP("566022TE Muni","CPN")</f>
        <v>#N/A Requesting Data...</v>
      </c>
      <c r="K1464" t="str">
        <f>_xll.BDP("566022TE Muni","MATURITY")</f>
        <v>#N/A Requesting Data...</v>
      </c>
      <c r="L1464">
        <v>330000</v>
      </c>
      <c r="M1464" t="str">
        <f>_xll.BDP("566022TE Muni","YIELD_ON_ISSUE_DATE")</f>
        <v>#N/A Requesting Data...</v>
      </c>
      <c r="N1464" t="str">
        <f>_xll.BDP("566022TE Muni","YTW_SPREAD_TO_MATURITY_AT_ISSU")</f>
        <v>#N/A Requesting Data...</v>
      </c>
      <c r="O1464" t="str">
        <f>_xll.BDP("566022TE Muni","BVAL_MID_YTM")</f>
        <v>#N/A Requesting Data...</v>
      </c>
      <c r="P1464" t="str">
        <f>_xll.BDP("566022TE Muni","MUNI_TAX_PROV")</f>
        <v>#N/A Requesting Data...</v>
      </c>
      <c r="Q1464" t="str">
        <f>_xll.BDP("566022TE Muni","MUNI_FED_TAX")</f>
        <v>#N/A Requesting Data...</v>
      </c>
      <c r="R1464" t="str">
        <f>_xll.BDP("566022TE Muni","MUNI_MSRB_VOLUME")</f>
        <v>#N/A Requesting Data...</v>
      </c>
      <c r="S1464" t="str">
        <f>_xll.BDP("566022TE Muni","BB_COMPOSITE")</f>
        <v>#N/A Requesting Data...</v>
      </c>
      <c r="T1464" t="str">
        <f>_xll.BDP("566022TE Muni","LQA_LIQUIDITY_SCORE")</f>
        <v>#N/A Requesting Data...</v>
      </c>
    </row>
    <row r="1465" spans="1:20" x14ac:dyDescent="0.25">
      <c r="A1465" t="str">
        <f>_xll.BDP("575829DY Muni","ID_CUSIP")</f>
        <v>#N/A Requesting Data...</v>
      </c>
      <c r="B1465" t="s">
        <v>368</v>
      </c>
      <c r="C1465" t="str">
        <f>_xll.BDP("575829DY Muni","INSURANCE_STATUS")</f>
        <v>#N/A Requesting Data...</v>
      </c>
      <c r="D1465" t="str">
        <f>_xll.BDP("575829DY Muni","STATE_CODE")</f>
        <v>#N/A Requesting Data...</v>
      </c>
      <c r="E1465" t="str">
        <f>_xll.BDP("575829DY Muni","COUNTY_LOCATION_ISSUER")</f>
        <v>#N/A Requesting Data...</v>
      </c>
      <c r="F1465" t="str">
        <f>_xll.BDP("575829DY Muni","DUR_ADJ_MID")</f>
        <v>#N/A Requesting Data...</v>
      </c>
      <c r="G1465" t="str">
        <f>_xll.BDP("575829DY Muni","SPREAD_AT_ISSUANCE_TO_WORST")</f>
        <v>#N/A Requesting Data...</v>
      </c>
      <c r="H1465" t="str">
        <f>_xll.BDP("575829DY Muni","ISSUE_DT")</f>
        <v>#N/A Requesting Data...</v>
      </c>
      <c r="I1465" t="str">
        <f>_xll.BDS("575829DY Muni","MUNI_PURPOSE_SCHED", "aggregate=y")</f>
        <v>#N/A Requesting Data...</v>
      </c>
      <c r="J1465" t="str">
        <f>_xll.BDP("575829DY Muni","CPN")</f>
        <v>#N/A Requesting Data...</v>
      </c>
      <c r="K1465" t="str">
        <f>_xll.BDP("575829DY Muni","MATURITY")</f>
        <v>#N/A Requesting Data...</v>
      </c>
      <c r="L1465">
        <v>6785000</v>
      </c>
      <c r="M1465" t="str">
        <f>_xll.BDP("575829DY Muni","YIELD_ON_ISSUE_DATE")</f>
        <v>#N/A Requesting Data...</v>
      </c>
      <c r="N1465" t="str">
        <f>_xll.BDP("575829DY Muni","YTW_SPREAD_TO_MATURITY_AT_ISSU")</f>
        <v>#N/A Requesting Data...</v>
      </c>
      <c r="O1465" t="str">
        <f>_xll.BDP("575829DY Muni","BVAL_MID_YTM")</f>
        <v>#N/A Requesting Data...</v>
      </c>
      <c r="P1465" t="str">
        <f>_xll.BDP("575829DY Muni","MUNI_TAX_PROV")</f>
        <v>#N/A Requesting Data...</v>
      </c>
      <c r="Q1465" t="str">
        <f>_xll.BDP("575829DY Muni","MUNI_FED_TAX")</f>
        <v>#N/A Requesting Data...</v>
      </c>
      <c r="R1465" t="str">
        <f>_xll.BDP("575829DY Muni","MUNI_MSRB_VOLUME")</f>
        <v>#N/A Requesting Data...</v>
      </c>
      <c r="S1465" t="str">
        <f>_xll.BDP("575829DY Muni","BB_COMPOSITE")</f>
        <v>#N/A Requesting Data...</v>
      </c>
      <c r="T1465" t="str">
        <f>_xll.BDP("575829DY Muni","LQA_LIQUIDITY_SCORE")</f>
        <v>#N/A Requesting Data...</v>
      </c>
    </row>
    <row r="1466" spans="1:20" x14ac:dyDescent="0.25">
      <c r="A1466" t="str">
        <f>_xll.BDP("575829DZ Muni","ID_CUSIP")</f>
        <v>#N/A Requesting Data...</v>
      </c>
      <c r="B1466" t="s">
        <v>368</v>
      </c>
      <c r="C1466" t="str">
        <f>_xll.BDP("575829DZ Muni","INSURANCE_STATUS")</f>
        <v>#N/A Requesting Data...</v>
      </c>
      <c r="D1466" t="str">
        <f>_xll.BDP("575829DZ Muni","STATE_CODE")</f>
        <v>#N/A Requesting Data...</v>
      </c>
      <c r="E1466" t="str">
        <f>_xll.BDP("575829DZ Muni","COUNTY_LOCATION_ISSUER")</f>
        <v>#N/A Requesting Data...</v>
      </c>
      <c r="F1466" t="str">
        <f>_xll.BDP("575829DZ Muni","DUR_ADJ_MID")</f>
        <v>#N/A Requesting Data...</v>
      </c>
      <c r="G1466" t="str">
        <f>_xll.BDP("575829DZ Muni","SPREAD_AT_ISSUANCE_TO_WORST")</f>
        <v>#N/A Requesting Data...</v>
      </c>
      <c r="H1466" t="str">
        <f>_xll.BDP("575829DZ Muni","ISSUE_DT")</f>
        <v>#N/A Requesting Data...</v>
      </c>
      <c r="I1466" t="str">
        <f>_xll.BDS("575829DZ Muni","MUNI_PURPOSE_SCHED", "aggregate=y")</f>
        <v>#N/A Requesting Data...</v>
      </c>
      <c r="J1466" t="str">
        <f>_xll.BDP("575829DZ Muni","CPN")</f>
        <v>#N/A Requesting Data...</v>
      </c>
      <c r="K1466" t="str">
        <f>_xll.BDP("575829DZ Muni","MATURITY")</f>
        <v>#N/A Requesting Data...</v>
      </c>
      <c r="L1466">
        <v>6945000</v>
      </c>
      <c r="M1466" t="str">
        <f>_xll.BDP("575829DZ Muni","YIELD_ON_ISSUE_DATE")</f>
        <v>#N/A Requesting Data...</v>
      </c>
      <c r="N1466" t="str">
        <f>_xll.BDP("575829DZ Muni","YTW_SPREAD_TO_MATURITY_AT_ISSU")</f>
        <v>#N/A Requesting Data...</v>
      </c>
      <c r="O1466" t="str">
        <f>_xll.BDP("575829DZ Muni","BVAL_MID_YTM")</f>
        <v>#N/A Requesting Data...</v>
      </c>
      <c r="P1466" t="str">
        <f>_xll.BDP("575829DZ Muni","MUNI_TAX_PROV")</f>
        <v>#N/A Requesting Data...</v>
      </c>
      <c r="Q1466" t="str">
        <f>_xll.BDP("575829DZ Muni","MUNI_FED_TAX")</f>
        <v>#N/A Requesting Data...</v>
      </c>
      <c r="R1466" t="str">
        <f>_xll.BDP("575829DZ Muni","MUNI_MSRB_VOLUME")</f>
        <v>#N/A Requesting Data...</v>
      </c>
      <c r="S1466" t="str">
        <f>_xll.BDP("575829DZ Muni","BB_COMPOSITE")</f>
        <v>#N/A Requesting Data...</v>
      </c>
      <c r="T1466" t="str">
        <f>_xll.BDP("575829DZ Muni","LQA_LIQUIDITY_SCORE")</f>
        <v>#N/A Requesting Data...</v>
      </c>
    </row>
    <row r="1467" spans="1:20" x14ac:dyDescent="0.25">
      <c r="A1467" t="str">
        <f>_xll.BDP("575829EA Muni","ID_CUSIP")</f>
        <v>#N/A Requesting Data...</v>
      </c>
      <c r="B1467" t="s">
        <v>368</v>
      </c>
      <c r="C1467" t="str">
        <f>_xll.BDP("575829EA Muni","INSURANCE_STATUS")</f>
        <v>#N/A Requesting Data...</v>
      </c>
      <c r="D1467" t="str">
        <f>_xll.BDP("575829EA Muni","STATE_CODE")</f>
        <v>#N/A Requesting Data...</v>
      </c>
      <c r="E1467" t="str">
        <f>_xll.BDP("575829EA Muni","COUNTY_LOCATION_ISSUER")</f>
        <v>#N/A Requesting Data...</v>
      </c>
      <c r="F1467" t="str">
        <f>_xll.BDP("575829EA Muni","DUR_ADJ_MID")</f>
        <v>#N/A Requesting Data...</v>
      </c>
      <c r="G1467" t="str">
        <f>_xll.BDP("575829EA Muni","SPREAD_AT_ISSUANCE_TO_WORST")</f>
        <v>#N/A Requesting Data...</v>
      </c>
      <c r="H1467" t="str">
        <f>_xll.BDP("575829EA Muni","ISSUE_DT")</f>
        <v>#N/A Requesting Data...</v>
      </c>
      <c r="I1467" t="str">
        <f>_xll.BDS("575829EA Muni","MUNI_PURPOSE_SCHED", "aggregate=y")</f>
        <v>#N/A Requesting Data...</v>
      </c>
      <c r="J1467" t="str">
        <f>_xll.BDP("575829EA Muni","CPN")</f>
        <v>#N/A Requesting Data...</v>
      </c>
      <c r="K1467" t="str">
        <f>_xll.BDP("575829EA Muni","MATURITY")</f>
        <v>#N/A Requesting Data...</v>
      </c>
      <c r="L1467">
        <v>6995000</v>
      </c>
      <c r="M1467" t="str">
        <f>_xll.BDP("575829EA Muni","YIELD_ON_ISSUE_DATE")</f>
        <v>#N/A Requesting Data...</v>
      </c>
      <c r="N1467" t="str">
        <f>_xll.BDP("575829EA Muni","YTW_SPREAD_TO_MATURITY_AT_ISSU")</f>
        <v>#N/A Requesting Data...</v>
      </c>
      <c r="O1467" t="str">
        <f>_xll.BDP("575829EA Muni","BVAL_MID_YTM")</f>
        <v>#N/A Requesting Data...</v>
      </c>
      <c r="P1467" t="str">
        <f>_xll.BDP("575829EA Muni","MUNI_TAX_PROV")</f>
        <v>#N/A Requesting Data...</v>
      </c>
      <c r="Q1467" t="str">
        <f>_xll.BDP("575829EA Muni","MUNI_FED_TAX")</f>
        <v>#N/A Requesting Data...</v>
      </c>
      <c r="R1467" t="str">
        <f>_xll.BDP("575829EA Muni","MUNI_MSRB_VOLUME")</f>
        <v>#N/A Requesting Data...</v>
      </c>
      <c r="S1467" t="str">
        <f>_xll.BDP("575829EA Muni","BB_COMPOSITE")</f>
        <v>#N/A Requesting Data...</v>
      </c>
      <c r="T1467" t="str">
        <f>_xll.BDP("575829EA Muni","LQA_LIQUIDITY_SCORE")</f>
        <v>#N/A Requesting Data...</v>
      </c>
    </row>
    <row r="1468" spans="1:20" x14ac:dyDescent="0.25">
      <c r="A1468" t="str">
        <f>_xll.BDP("575829EB Muni","ID_CUSIP")</f>
        <v>#N/A Requesting Data...</v>
      </c>
      <c r="B1468" t="s">
        <v>368</v>
      </c>
      <c r="C1468" t="str">
        <f>_xll.BDP("575829EB Muni","INSURANCE_STATUS")</f>
        <v>#N/A Requesting Data...</v>
      </c>
      <c r="D1468" t="str">
        <f>_xll.BDP("575829EB Muni","STATE_CODE")</f>
        <v>#N/A Requesting Data...</v>
      </c>
      <c r="E1468" t="str">
        <f>_xll.BDP("575829EB Muni","COUNTY_LOCATION_ISSUER")</f>
        <v>#N/A Requesting Data...</v>
      </c>
      <c r="F1468" t="str">
        <f>_xll.BDP("575829EB Muni","DUR_ADJ_MID")</f>
        <v>#N/A Requesting Data...</v>
      </c>
      <c r="G1468" t="str">
        <f>_xll.BDP("575829EB Muni","SPREAD_AT_ISSUANCE_TO_WORST")</f>
        <v>#N/A Requesting Data...</v>
      </c>
      <c r="H1468" t="str">
        <f>_xll.BDP("575829EB Muni","ISSUE_DT")</f>
        <v>#N/A Requesting Data...</v>
      </c>
      <c r="I1468" t="str">
        <f>_xll.BDS("575829EB Muni","MUNI_PURPOSE_SCHED", "aggregate=y")</f>
        <v>#N/A Requesting Data...</v>
      </c>
      <c r="J1468" t="str">
        <f>_xll.BDP("575829EB Muni","CPN")</f>
        <v>#N/A Requesting Data...</v>
      </c>
      <c r="K1468" t="str">
        <f>_xll.BDP("575829EB Muni","MATURITY")</f>
        <v>#N/A Requesting Data...</v>
      </c>
      <c r="L1468">
        <v>7230000</v>
      </c>
      <c r="M1468" t="str">
        <f>_xll.BDP("575829EB Muni","YIELD_ON_ISSUE_DATE")</f>
        <v>#N/A Requesting Data...</v>
      </c>
      <c r="N1468" t="str">
        <f>_xll.BDP("575829EB Muni","YTW_SPREAD_TO_MATURITY_AT_ISSU")</f>
        <v>#N/A Requesting Data...</v>
      </c>
      <c r="O1468" t="str">
        <f>_xll.BDP("575829EB Muni","BVAL_MID_YTM")</f>
        <v>#N/A Requesting Data...</v>
      </c>
      <c r="P1468" t="str">
        <f>_xll.BDP("575829EB Muni","MUNI_TAX_PROV")</f>
        <v>#N/A Requesting Data...</v>
      </c>
      <c r="Q1468" t="str">
        <f>_xll.BDP("575829EB Muni","MUNI_FED_TAX")</f>
        <v>#N/A Requesting Data...</v>
      </c>
      <c r="R1468" t="str">
        <f>_xll.BDP("575829EB Muni","MUNI_MSRB_VOLUME")</f>
        <v>#N/A Requesting Data...</v>
      </c>
      <c r="S1468" t="str">
        <f>_xll.BDP("575829EB Muni","BB_COMPOSITE")</f>
        <v>#N/A Requesting Data...</v>
      </c>
      <c r="T1468" t="str">
        <f>_xll.BDP("575829EB Muni","LQA_LIQUIDITY_SCORE")</f>
        <v>#N/A Requesting Data...</v>
      </c>
    </row>
    <row r="1469" spans="1:20" x14ac:dyDescent="0.25">
      <c r="A1469" t="str">
        <f>_xll.BDP("575829EC Muni","ID_CUSIP")</f>
        <v>#N/A Requesting Data...</v>
      </c>
      <c r="B1469" t="s">
        <v>368</v>
      </c>
      <c r="C1469" t="str">
        <f>_xll.BDP("575829EC Muni","INSURANCE_STATUS")</f>
        <v>#N/A Requesting Data...</v>
      </c>
      <c r="D1469" t="str">
        <f>_xll.BDP("575829EC Muni","STATE_CODE")</f>
        <v>#N/A Requesting Data...</v>
      </c>
      <c r="E1469" t="str">
        <f>_xll.BDP("575829EC Muni","COUNTY_LOCATION_ISSUER")</f>
        <v>#N/A Requesting Data...</v>
      </c>
      <c r="F1469" t="str">
        <f>_xll.BDP("575829EC Muni","DUR_ADJ_MID")</f>
        <v>#N/A Requesting Data...</v>
      </c>
      <c r="G1469" t="str">
        <f>_xll.BDP("575829EC Muni","SPREAD_AT_ISSUANCE_TO_WORST")</f>
        <v>#N/A Requesting Data...</v>
      </c>
      <c r="H1469" t="str">
        <f>_xll.BDP("575829EC Muni","ISSUE_DT")</f>
        <v>#N/A Requesting Data...</v>
      </c>
      <c r="I1469" t="str">
        <f>_xll.BDS("575829EC Muni","MUNI_PURPOSE_SCHED", "aggregate=y")</f>
        <v>#N/A Requesting Data...</v>
      </c>
      <c r="J1469" t="str">
        <f>_xll.BDP("575829EC Muni","CPN")</f>
        <v>#N/A Requesting Data...</v>
      </c>
      <c r="K1469" t="str">
        <f>_xll.BDP("575829EC Muni","MATURITY")</f>
        <v>#N/A Requesting Data...</v>
      </c>
      <c r="L1469">
        <v>3810000</v>
      </c>
      <c r="M1469" t="str">
        <f>_xll.BDP("575829EC Muni","YIELD_ON_ISSUE_DATE")</f>
        <v>#N/A Requesting Data...</v>
      </c>
      <c r="N1469" t="str">
        <f>_xll.BDP("575829EC Muni","YTW_SPREAD_TO_MATURITY_AT_ISSU")</f>
        <v>#N/A Requesting Data...</v>
      </c>
      <c r="O1469" t="str">
        <f>_xll.BDP("575829EC Muni","BVAL_MID_YTM")</f>
        <v>#N/A Requesting Data...</v>
      </c>
      <c r="P1469" t="str">
        <f>_xll.BDP("575829EC Muni","MUNI_TAX_PROV")</f>
        <v>#N/A Requesting Data...</v>
      </c>
      <c r="Q1469" t="str">
        <f>_xll.BDP("575829EC Muni","MUNI_FED_TAX")</f>
        <v>#N/A Requesting Data...</v>
      </c>
      <c r="R1469" t="str">
        <f>_xll.BDP("575829EC Muni","MUNI_MSRB_VOLUME")</f>
        <v>#N/A Requesting Data...</v>
      </c>
      <c r="S1469" t="str">
        <f>_xll.BDP("575829EC Muni","BB_COMPOSITE")</f>
        <v>#N/A Requesting Data...</v>
      </c>
      <c r="T1469" t="str">
        <f>_xll.BDP("575829EC Muni","LQA_LIQUIDITY_SCORE")</f>
        <v>#N/A Requesting Data...</v>
      </c>
    </row>
    <row r="1470" spans="1:20" x14ac:dyDescent="0.25">
      <c r="A1470" t="str">
        <f>_xll.BDP("575829ED Muni","ID_CUSIP")</f>
        <v>#N/A Requesting Data...</v>
      </c>
      <c r="B1470" t="s">
        <v>368</v>
      </c>
      <c r="C1470" t="str">
        <f>_xll.BDP("575829ED Muni","INSURANCE_STATUS")</f>
        <v>#N/A Requesting Data...</v>
      </c>
      <c r="D1470" t="str">
        <f>_xll.BDP("575829ED Muni","STATE_CODE")</f>
        <v>#N/A Requesting Data...</v>
      </c>
      <c r="E1470" t="str">
        <f>_xll.BDP("575829ED Muni","COUNTY_LOCATION_ISSUER")</f>
        <v>#N/A Requesting Data...</v>
      </c>
      <c r="F1470" t="str">
        <f>_xll.BDP("575829ED Muni","DUR_ADJ_MID")</f>
        <v>#N/A Requesting Data...</v>
      </c>
      <c r="G1470" t="str">
        <f>_xll.BDP("575829ED Muni","SPREAD_AT_ISSUANCE_TO_WORST")</f>
        <v>#N/A Requesting Data...</v>
      </c>
      <c r="H1470" t="str">
        <f>_xll.BDP("575829ED Muni","ISSUE_DT")</f>
        <v>#N/A Requesting Data...</v>
      </c>
      <c r="I1470" t="str">
        <f>_xll.BDS("575829ED Muni","MUNI_PURPOSE_SCHED", "aggregate=y")</f>
        <v>#N/A Requesting Data...</v>
      </c>
      <c r="J1470" t="str">
        <f>_xll.BDP("575829ED Muni","CPN")</f>
        <v>#N/A Requesting Data...</v>
      </c>
      <c r="K1470" t="str">
        <f>_xll.BDP("575829ED Muni","MATURITY")</f>
        <v>#N/A Requesting Data...</v>
      </c>
      <c r="L1470">
        <v>3670000</v>
      </c>
      <c r="M1470" t="str">
        <f>_xll.BDP("575829ED Muni","YIELD_ON_ISSUE_DATE")</f>
        <v>#N/A Requesting Data...</v>
      </c>
      <c r="N1470" t="str">
        <f>_xll.BDP("575829ED Muni","YTW_SPREAD_TO_MATURITY_AT_ISSU")</f>
        <v>#N/A Requesting Data...</v>
      </c>
      <c r="O1470" t="str">
        <f>_xll.BDP("575829ED Muni","BVAL_MID_YTM")</f>
        <v>#N/A Requesting Data...</v>
      </c>
      <c r="P1470" t="str">
        <f>_xll.BDP("575829ED Muni","MUNI_TAX_PROV")</f>
        <v>#N/A Requesting Data...</v>
      </c>
      <c r="Q1470" t="str">
        <f>_xll.BDP("575829ED Muni","MUNI_FED_TAX")</f>
        <v>#N/A Requesting Data...</v>
      </c>
      <c r="R1470" t="str">
        <f>_xll.BDP("575829ED Muni","MUNI_MSRB_VOLUME")</f>
        <v>#N/A Requesting Data...</v>
      </c>
      <c r="S1470" t="str">
        <f>_xll.BDP("575829ED Muni","BB_COMPOSITE")</f>
        <v>#N/A Requesting Data...</v>
      </c>
      <c r="T1470" t="str">
        <f>_xll.BDP("575829ED Muni","LQA_LIQUIDITY_SCORE")</f>
        <v>#N/A Requesting Data...</v>
      </c>
    </row>
    <row r="1471" spans="1:20" x14ac:dyDescent="0.25">
      <c r="A1471" t="str">
        <f>_xll.BDP("575829EE Muni","ID_CUSIP")</f>
        <v>#N/A Requesting Data...</v>
      </c>
      <c r="B1471" t="s">
        <v>368</v>
      </c>
      <c r="C1471" t="str">
        <f>_xll.BDP("575829EE Muni","INSURANCE_STATUS")</f>
        <v>#N/A Requesting Data...</v>
      </c>
      <c r="D1471" t="str">
        <f>_xll.BDP("575829EE Muni","STATE_CODE")</f>
        <v>#N/A Requesting Data...</v>
      </c>
      <c r="E1471" t="str">
        <f>_xll.BDP("575829EE Muni","COUNTY_LOCATION_ISSUER")</f>
        <v>#N/A Requesting Data...</v>
      </c>
      <c r="F1471" t="str">
        <f>_xll.BDP("575829EE Muni","DUR_ADJ_MID")</f>
        <v>#N/A Requesting Data...</v>
      </c>
      <c r="G1471" t="str">
        <f>_xll.BDP("575829EE Muni","SPREAD_AT_ISSUANCE_TO_WORST")</f>
        <v>#N/A Requesting Data...</v>
      </c>
      <c r="H1471" t="str">
        <f>_xll.BDP("575829EE Muni","ISSUE_DT")</f>
        <v>#N/A Requesting Data...</v>
      </c>
      <c r="I1471" t="str">
        <f>_xll.BDS("575829EE Muni","MUNI_PURPOSE_SCHED", "aggregate=y")</f>
        <v>#N/A Requesting Data...</v>
      </c>
      <c r="J1471" t="str">
        <f>_xll.BDP("575829EE Muni","CPN")</f>
        <v>#N/A Requesting Data...</v>
      </c>
      <c r="K1471" t="str">
        <f>_xll.BDP("575829EE Muni","MATURITY")</f>
        <v>#N/A Requesting Data...</v>
      </c>
      <c r="L1471">
        <v>7695000</v>
      </c>
      <c r="M1471" t="str">
        <f>_xll.BDP("575829EE Muni","YIELD_ON_ISSUE_DATE")</f>
        <v>#N/A Requesting Data...</v>
      </c>
      <c r="N1471" t="str">
        <f>_xll.BDP("575829EE Muni","YTW_SPREAD_TO_MATURITY_AT_ISSU")</f>
        <v>#N/A Requesting Data...</v>
      </c>
      <c r="O1471" t="str">
        <f>_xll.BDP("575829EE Muni","BVAL_MID_YTM")</f>
        <v>#N/A Requesting Data...</v>
      </c>
      <c r="P1471" t="str">
        <f>_xll.BDP("575829EE Muni","MUNI_TAX_PROV")</f>
        <v>#N/A Requesting Data...</v>
      </c>
      <c r="Q1471" t="str">
        <f>_xll.BDP("575829EE Muni","MUNI_FED_TAX")</f>
        <v>#N/A Requesting Data...</v>
      </c>
      <c r="R1471" t="str">
        <f>_xll.BDP("575829EE Muni","MUNI_MSRB_VOLUME")</f>
        <v>#N/A Requesting Data...</v>
      </c>
      <c r="S1471" t="str">
        <f>_xll.BDP("575829EE Muni","BB_COMPOSITE")</f>
        <v>#N/A Requesting Data...</v>
      </c>
      <c r="T1471" t="str">
        <f>_xll.BDP("575829EE Muni","LQA_LIQUIDITY_SCORE")</f>
        <v>#N/A Requesting Data...</v>
      </c>
    </row>
    <row r="1472" spans="1:20" x14ac:dyDescent="0.25">
      <c r="A1472" t="str">
        <f>_xll.BDP("575829EF Muni","ID_CUSIP")</f>
        <v>#N/A Requesting Data...</v>
      </c>
      <c r="B1472" t="s">
        <v>368</v>
      </c>
      <c r="C1472" t="str">
        <f>_xll.BDP("575829EF Muni","INSURANCE_STATUS")</f>
        <v>#N/A Requesting Data...</v>
      </c>
      <c r="D1472" t="str">
        <f>_xll.BDP("575829EF Muni","STATE_CODE")</f>
        <v>#N/A Requesting Data...</v>
      </c>
      <c r="E1472" t="str">
        <f>_xll.BDP("575829EF Muni","COUNTY_LOCATION_ISSUER")</f>
        <v>#N/A Requesting Data...</v>
      </c>
      <c r="F1472" t="str">
        <f>_xll.BDP("575829EF Muni","DUR_ADJ_MID")</f>
        <v>#N/A Requesting Data...</v>
      </c>
      <c r="G1472" t="str">
        <f>_xll.BDP("575829EF Muni","SPREAD_AT_ISSUANCE_TO_WORST")</f>
        <v>#N/A Requesting Data...</v>
      </c>
      <c r="H1472" t="str">
        <f>_xll.BDP("575829EF Muni","ISSUE_DT")</f>
        <v>#N/A Requesting Data...</v>
      </c>
      <c r="I1472" t="str">
        <f>_xll.BDS("575829EF Muni","MUNI_PURPOSE_SCHED", "aggregate=y")</f>
        <v>#N/A Requesting Data...</v>
      </c>
      <c r="J1472" t="str">
        <f>_xll.BDP("575829EF Muni","CPN")</f>
        <v>#N/A Requesting Data...</v>
      </c>
      <c r="K1472" t="str">
        <f>_xll.BDP("575829EF Muni","MATURITY")</f>
        <v>#N/A Requesting Data...</v>
      </c>
      <c r="L1472">
        <v>7965000</v>
      </c>
      <c r="M1472" t="str">
        <f>_xll.BDP("575829EF Muni","YIELD_ON_ISSUE_DATE")</f>
        <v>#N/A Requesting Data...</v>
      </c>
      <c r="N1472" t="str">
        <f>_xll.BDP("575829EF Muni","YTW_SPREAD_TO_MATURITY_AT_ISSU")</f>
        <v>#N/A Requesting Data...</v>
      </c>
      <c r="O1472" t="str">
        <f>_xll.BDP("575829EF Muni","BVAL_MID_YTM")</f>
        <v>#N/A Requesting Data...</v>
      </c>
      <c r="P1472" t="str">
        <f>_xll.BDP("575829EF Muni","MUNI_TAX_PROV")</f>
        <v>#N/A Requesting Data...</v>
      </c>
      <c r="Q1472" t="str">
        <f>_xll.BDP("575829EF Muni","MUNI_FED_TAX")</f>
        <v>#N/A Requesting Data...</v>
      </c>
      <c r="R1472" t="str">
        <f>_xll.BDP("575829EF Muni","MUNI_MSRB_VOLUME")</f>
        <v>#N/A Requesting Data...</v>
      </c>
      <c r="S1472" t="str">
        <f>_xll.BDP("575829EF Muni","BB_COMPOSITE")</f>
        <v>#N/A Requesting Data...</v>
      </c>
      <c r="T1472" t="str">
        <f>_xll.BDP("575829EF Muni","LQA_LIQUIDITY_SCORE")</f>
        <v>#N/A Requesting Data...</v>
      </c>
    </row>
    <row r="1473" spans="1:20" x14ac:dyDescent="0.25">
      <c r="A1473" t="str">
        <f>_xll.BDP("598119AV Muni","ID_CUSIP")</f>
        <v>#N/A Requesting Data...</v>
      </c>
      <c r="B1473" t="s">
        <v>319</v>
      </c>
      <c r="C1473" t="str">
        <f>_xll.BDP("598119AV Muni","INSURANCE_STATUS")</f>
        <v>#N/A Requesting Data...</v>
      </c>
      <c r="D1473" t="str">
        <f>_xll.BDP("598119AV Muni","STATE_CODE")</f>
        <v>#N/A Requesting Data...</v>
      </c>
      <c r="E1473" t="str">
        <f>_xll.BDP("598119AV Muni","COUNTY_LOCATION_ISSUER")</f>
        <v>#N/A Requesting Data...</v>
      </c>
      <c r="F1473" t="str">
        <f>_xll.BDP("598119AV Muni","DUR_ADJ_MID")</f>
        <v>#N/A Requesting Data...</v>
      </c>
      <c r="G1473" t="str">
        <f>_xll.BDP("598119AV Muni","SPREAD_AT_ISSUANCE_TO_WORST")</f>
        <v>#N/A Requesting Data...</v>
      </c>
      <c r="H1473" t="str">
        <f>_xll.BDP("598119AV Muni","ISSUE_DT")</f>
        <v>#N/A Requesting Data...</v>
      </c>
      <c r="I1473" t="str">
        <f>_xll.BDS("598119AV Muni","MUNI_PURPOSE_SCHED", "aggregate=y")</f>
        <v>#N/A Requesting Data...</v>
      </c>
      <c r="J1473" t="str">
        <f>_xll.BDP("598119AV Muni","CPN")</f>
        <v>#N/A Requesting Data...</v>
      </c>
      <c r="K1473" t="str">
        <f>_xll.BDP("598119AV Muni","MATURITY")</f>
        <v>#N/A Requesting Data...</v>
      </c>
      <c r="L1473">
        <v>160000</v>
      </c>
      <c r="M1473" t="str">
        <f>_xll.BDP("598119AV Muni","YIELD_ON_ISSUE_DATE")</f>
        <v>#N/A Requesting Data...</v>
      </c>
      <c r="N1473" t="str">
        <f>_xll.BDP("598119AV Muni","YTW_SPREAD_TO_MATURITY_AT_ISSU")</f>
        <v>#N/A Requesting Data...</v>
      </c>
      <c r="O1473" t="str">
        <f>_xll.BDP("598119AV Muni","BVAL_MID_YTM")</f>
        <v>#N/A Requesting Data...</v>
      </c>
      <c r="P1473" t="str">
        <f>_xll.BDP("598119AV Muni","MUNI_TAX_PROV")</f>
        <v>#N/A Requesting Data...</v>
      </c>
      <c r="Q1473" t="str">
        <f>_xll.BDP("598119AV Muni","MUNI_FED_TAX")</f>
        <v>#N/A Requesting Data...</v>
      </c>
      <c r="R1473" t="str">
        <f>_xll.BDP("598119AV Muni","MUNI_MSRB_VOLUME")</f>
        <v>#N/A Requesting Data...</v>
      </c>
      <c r="S1473" t="str">
        <f>_xll.BDP("598119AV Muni","BB_COMPOSITE")</f>
        <v>#N/A Requesting Data...</v>
      </c>
      <c r="T1473" t="str">
        <f>_xll.BDP("598119AV Muni","LQA_LIQUIDITY_SCORE")</f>
        <v>#N/A Requesting Data...</v>
      </c>
    </row>
    <row r="1474" spans="1:20" x14ac:dyDescent="0.25">
      <c r="A1474" t="str">
        <f>_xll.BDP("598119AW Muni","ID_CUSIP")</f>
        <v>#N/A Requesting Data...</v>
      </c>
      <c r="B1474" t="s">
        <v>319</v>
      </c>
      <c r="C1474" t="str">
        <f>_xll.BDP("598119AW Muni","INSURANCE_STATUS")</f>
        <v>#N/A Requesting Data...</v>
      </c>
      <c r="D1474" t="str">
        <f>_xll.BDP("598119AW Muni","STATE_CODE")</f>
        <v>#N/A Requesting Data...</v>
      </c>
      <c r="E1474" t="str">
        <f>_xll.BDP("598119AW Muni","COUNTY_LOCATION_ISSUER")</f>
        <v>#N/A Requesting Data...</v>
      </c>
      <c r="F1474" t="str">
        <f>_xll.BDP("598119AW Muni","DUR_ADJ_MID")</f>
        <v>#N/A Requesting Data...</v>
      </c>
      <c r="G1474" t="str">
        <f>_xll.BDP("598119AW Muni","SPREAD_AT_ISSUANCE_TO_WORST")</f>
        <v>#N/A Requesting Data...</v>
      </c>
      <c r="H1474" t="str">
        <f>_xll.BDP("598119AW Muni","ISSUE_DT")</f>
        <v>#N/A Requesting Data...</v>
      </c>
      <c r="I1474" t="str">
        <f>_xll.BDS("598119AW Muni","MUNI_PURPOSE_SCHED", "aggregate=y")</f>
        <v>#N/A Requesting Data...</v>
      </c>
      <c r="J1474" t="str">
        <f>_xll.BDP("598119AW Muni","CPN")</f>
        <v>#N/A Requesting Data...</v>
      </c>
      <c r="K1474" t="str">
        <f>_xll.BDP("598119AW Muni","MATURITY")</f>
        <v>#N/A Requesting Data...</v>
      </c>
      <c r="L1474">
        <v>150000</v>
      </c>
      <c r="M1474" t="str">
        <f>_xll.BDP("598119AW Muni","YIELD_ON_ISSUE_DATE")</f>
        <v>#N/A Requesting Data...</v>
      </c>
      <c r="N1474" t="str">
        <f>_xll.BDP("598119AW Muni","YTW_SPREAD_TO_MATURITY_AT_ISSU")</f>
        <v>#N/A Requesting Data...</v>
      </c>
      <c r="O1474" t="str">
        <f>_xll.BDP("598119AW Muni","BVAL_MID_YTM")</f>
        <v>#N/A Requesting Data...</v>
      </c>
      <c r="P1474" t="str">
        <f>_xll.BDP("598119AW Muni","MUNI_TAX_PROV")</f>
        <v>#N/A Requesting Data...</v>
      </c>
      <c r="Q1474" t="str">
        <f>_xll.BDP("598119AW Muni","MUNI_FED_TAX")</f>
        <v>#N/A Requesting Data...</v>
      </c>
      <c r="R1474" t="str">
        <f>_xll.BDP("598119AW Muni","MUNI_MSRB_VOLUME")</f>
        <v>#N/A Requesting Data...</v>
      </c>
      <c r="S1474" t="str">
        <f>_xll.BDP("598119AW Muni","BB_COMPOSITE")</f>
        <v>#N/A Requesting Data...</v>
      </c>
      <c r="T1474" t="str">
        <f>_xll.BDP("598119AW Muni","LQA_LIQUIDITY_SCORE")</f>
        <v>#N/A Requesting Data...</v>
      </c>
    </row>
    <row r="1475" spans="1:20" x14ac:dyDescent="0.25">
      <c r="A1475" t="str">
        <f>_xll.BDP("598119AZ Muni","ID_CUSIP")</f>
        <v>#N/A Requesting Data...</v>
      </c>
      <c r="B1475" t="s">
        <v>319</v>
      </c>
      <c r="C1475" t="str">
        <f>_xll.BDP("598119AZ Muni","INSURANCE_STATUS")</f>
        <v>#N/A Requesting Data...</v>
      </c>
      <c r="D1475" t="str">
        <f>_xll.BDP("598119AZ Muni","STATE_CODE")</f>
        <v>#N/A Requesting Data...</v>
      </c>
      <c r="E1475" t="str">
        <f>_xll.BDP("598119AZ Muni","COUNTY_LOCATION_ISSUER")</f>
        <v>#N/A Requesting Data...</v>
      </c>
      <c r="F1475" t="str">
        <f>_xll.BDP("598119AZ Muni","DUR_ADJ_MID")</f>
        <v>#N/A Requesting Data...</v>
      </c>
      <c r="G1475" t="str">
        <f>_xll.BDP("598119AZ Muni","SPREAD_AT_ISSUANCE_TO_WORST")</f>
        <v>#N/A Requesting Data...</v>
      </c>
      <c r="H1475" t="str">
        <f>_xll.BDP("598119AZ Muni","ISSUE_DT")</f>
        <v>#N/A Requesting Data...</v>
      </c>
      <c r="I1475" t="str">
        <f>_xll.BDS("598119AZ Muni","MUNI_PURPOSE_SCHED", "aggregate=y")</f>
        <v>#N/A Requesting Data...</v>
      </c>
      <c r="J1475" t="str">
        <f>_xll.BDP("598119AZ Muni","CPN")</f>
        <v>#N/A Requesting Data...</v>
      </c>
      <c r="K1475" t="str">
        <f>_xll.BDP("598119AZ Muni","MATURITY")</f>
        <v>#N/A Requesting Data...</v>
      </c>
      <c r="L1475">
        <v>185000</v>
      </c>
      <c r="M1475" t="str">
        <f>_xll.BDP("598119AZ Muni","YIELD_ON_ISSUE_DATE")</f>
        <v>#N/A Requesting Data...</v>
      </c>
      <c r="N1475" t="str">
        <f>_xll.BDP("598119AZ Muni","YTW_SPREAD_TO_MATURITY_AT_ISSU")</f>
        <v>#N/A Requesting Data...</v>
      </c>
      <c r="O1475" t="str">
        <f>_xll.BDP("598119AZ Muni","BVAL_MID_YTM")</f>
        <v>#N/A Requesting Data...</v>
      </c>
      <c r="P1475" t="str">
        <f>_xll.BDP("598119AZ Muni","MUNI_TAX_PROV")</f>
        <v>#N/A Requesting Data...</v>
      </c>
      <c r="Q1475" t="str">
        <f>_xll.BDP("598119AZ Muni","MUNI_FED_TAX")</f>
        <v>#N/A Requesting Data...</v>
      </c>
      <c r="R1475" t="str">
        <f>_xll.BDP("598119AZ Muni","MUNI_MSRB_VOLUME")</f>
        <v>#N/A Requesting Data...</v>
      </c>
      <c r="S1475" t="str">
        <f>_xll.BDP("598119AZ Muni","BB_COMPOSITE")</f>
        <v>#N/A Requesting Data...</v>
      </c>
      <c r="T1475" t="str">
        <f>_xll.BDP("598119AZ Muni","LQA_LIQUIDITY_SCORE")</f>
        <v>#N/A Requesting Data...</v>
      </c>
    </row>
    <row r="1476" spans="1:20" x14ac:dyDescent="0.25">
      <c r="A1476" t="str">
        <f>_xll.BDP("598119BA Muni","ID_CUSIP")</f>
        <v>#N/A Requesting Data...</v>
      </c>
      <c r="B1476" t="s">
        <v>319</v>
      </c>
      <c r="C1476" t="str">
        <f>_xll.BDP("598119BA Muni","INSURANCE_STATUS")</f>
        <v>#N/A Requesting Data...</v>
      </c>
      <c r="D1476" t="str">
        <f>_xll.BDP("598119BA Muni","STATE_CODE")</f>
        <v>#N/A Requesting Data...</v>
      </c>
      <c r="E1476" t="str">
        <f>_xll.BDP("598119BA Muni","COUNTY_LOCATION_ISSUER")</f>
        <v>#N/A Requesting Data...</v>
      </c>
      <c r="F1476" t="str">
        <f>_xll.BDP("598119BA Muni","DUR_ADJ_MID")</f>
        <v>#N/A Requesting Data...</v>
      </c>
      <c r="G1476" t="str">
        <f>_xll.BDP("598119BA Muni","SPREAD_AT_ISSUANCE_TO_WORST")</f>
        <v>#N/A Requesting Data...</v>
      </c>
      <c r="H1476" t="str">
        <f>_xll.BDP("598119BA Muni","ISSUE_DT")</f>
        <v>#N/A Requesting Data...</v>
      </c>
      <c r="I1476" t="str">
        <f>_xll.BDS("598119BA Muni","MUNI_PURPOSE_SCHED", "aggregate=y")</f>
        <v>#N/A Requesting Data...</v>
      </c>
      <c r="J1476" t="str">
        <f>_xll.BDP("598119BA Muni","CPN")</f>
        <v>#N/A Requesting Data...</v>
      </c>
      <c r="K1476" t="str">
        <f>_xll.BDP("598119BA Muni","MATURITY")</f>
        <v>#N/A Requesting Data...</v>
      </c>
      <c r="L1476">
        <v>200000</v>
      </c>
      <c r="M1476" t="str">
        <f>_xll.BDP("598119BA Muni","YIELD_ON_ISSUE_DATE")</f>
        <v>#N/A Requesting Data...</v>
      </c>
      <c r="N1476" t="str">
        <f>_xll.BDP("598119BA Muni","YTW_SPREAD_TO_MATURITY_AT_ISSU")</f>
        <v>#N/A Requesting Data...</v>
      </c>
      <c r="O1476" t="str">
        <f>_xll.BDP("598119BA Muni","BVAL_MID_YTM")</f>
        <v>#N/A Requesting Data...</v>
      </c>
      <c r="P1476" t="str">
        <f>_xll.BDP("598119BA Muni","MUNI_TAX_PROV")</f>
        <v>#N/A Requesting Data...</v>
      </c>
      <c r="Q1476" t="str">
        <f>_xll.BDP("598119BA Muni","MUNI_FED_TAX")</f>
        <v>#N/A Requesting Data...</v>
      </c>
      <c r="R1476" t="str">
        <f>_xll.BDP("598119BA Muni","MUNI_MSRB_VOLUME")</f>
        <v>#N/A Requesting Data...</v>
      </c>
      <c r="S1476" t="str">
        <f>_xll.BDP("598119BA Muni","BB_COMPOSITE")</f>
        <v>#N/A Requesting Data...</v>
      </c>
      <c r="T1476" t="str">
        <f>_xll.BDP("598119BA Muni","LQA_LIQUIDITY_SCORE")</f>
        <v>#N/A Requesting Data...</v>
      </c>
    </row>
    <row r="1477" spans="1:20" x14ac:dyDescent="0.25">
      <c r="A1477" t="str">
        <f>_xll.BDP("586311EL Muni","ID_CUSIP")</f>
        <v>#N/A Requesting Data...</v>
      </c>
      <c r="B1477" t="s">
        <v>369</v>
      </c>
      <c r="C1477" t="str">
        <f>_xll.BDP("586311EL Muni","INSURANCE_STATUS")</f>
        <v>#N/A Requesting Data...</v>
      </c>
      <c r="D1477" t="str">
        <f>_xll.BDP("586311EL Muni","STATE_CODE")</f>
        <v>#N/A Requesting Data...</v>
      </c>
      <c r="E1477" t="str">
        <f>_xll.BDP("586311EL Muni","COUNTY_LOCATION_ISSUER")</f>
        <v>#N/A Requesting Data...</v>
      </c>
      <c r="F1477" t="str">
        <f>_xll.BDP("586311EL Muni","DUR_ADJ_MID")</f>
        <v>#N/A Requesting Data...</v>
      </c>
      <c r="G1477" t="str">
        <f>_xll.BDP("586311EL Muni","SPREAD_AT_ISSUANCE_TO_WORST")</f>
        <v>#N/A Requesting Data...</v>
      </c>
      <c r="H1477" t="str">
        <f>_xll.BDP("586311EL Muni","ISSUE_DT")</f>
        <v>#N/A Requesting Data...</v>
      </c>
      <c r="I1477" t="str">
        <f>_xll.BDS("586311EL Muni","MUNI_PURPOSE_SCHED", "aggregate=y")</f>
        <v>#N/A Requesting Data...</v>
      </c>
      <c r="J1477" t="str">
        <f>_xll.BDP("586311EL Muni","CPN")</f>
        <v>#N/A Requesting Data...</v>
      </c>
      <c r="K1477" t="str">
        <f>_xll.BDP("586311EL Muni","MATURITY")</f>
        <v>#N/A Requesting Data...</v>
      </c>
      <c r="L1477">
        <v>175000</v>
      </c>
      <c r="M1477" t="str">
        <f>_xll.BDP("586311EL Muni","YIELD_ON_ISSUE_DATE")</f>
        <v>#N/A Requesting Data...</v>
      </c>
      <c r="N1477" t="str">
        <f>_xll.BDP("586311EL Muni","YTW_SPREAD_TO_MATURITY_AT_ISSU")</f>
        <v>#N/A Requesting Data...</v>
      </c>
      <c r="O1477" t="str">
        <f>_xll.BDP("586311EL Muni","BVAL_MID_YTM")</f>
        <v>#N/A Requesting Data...</v>
      </c>
      <c r="P1477" t="str">
        <f>_xll.BDP("586311EL Muni","MUNI_TAX_PROV")</f>
        <v>#N/A Requesting Data...</v>
      </c>
      <c r="Q1477" t="str">
        <f>_xll.BDP("586311EL Muni","MUNI_FED_TAX")</f>
        <v>#N/A Requesting Data...</v>
      </c>
      <c r="R1477" t="str">
        <f>_xll.BDP("586311EL Muni","MUNI_MSRB_VOLUME")</f>
        <v>#N/A Requesting Data...</v>
      </c>
      <c r="S1477" t="str">
        <f>_xll.BDP("586311EL Muni","BB_COMPOSITE")</f>
        <v>#N/A Requesting Data...</v>
      </c>
      <c r="T1477" t="str">
        <f>_xll.BDP("586311EL Muni","LQA_LIQUIDITY_SCORE")</f>
        <v>#N/A Requesting Data...</v>
      </c>
    </row>
    <row r="1478" spans="1:20" x14ac:dyDescent="0.25">
      <c r="A1478" t="str">
        <f>_xll.BDP("586311EM Muni","ID_CUSIP")</f>
        <v>#N/A Requesting Data...</v>
      </c>
      <c r="B1478" t="s">
        <v>369</v>
      </c>
      <c r="C1478" t="str">
        <f>_xll.BDP("586311EM Muni","INSURANCE_STATUS")</f>
        <v>#N/A Requesting Data...</v>
      </c>
      <c r="D1478" t="str">
        <f>_xll.BDP("586311EM Muni","STATE_CODE")</f>
        <v>#N/A Requesting Data...</v>
      </c>
      <c r="E1478" t="str">
        <f>_xll.BDP("586311EM Muni","COUNTY_LOCATION_ISSUER")</f>
        <v>#N/A Requesting Data...</v>
      </c>
      <c r="F1478" t="str">
        <f>_xll.BDP("586311EM Muni","DUR_ADJ_MID")</f>
        <v>#N/A Requesting Data...</v>
      </c>
      <c r="G1478" t="str">
        <f>_xll.BDP("586311EM Muni","SPREAD_AT_ISSUANCE_TO_WORST")</f>
        <v>#N/A Requesting Data...</v>
      </c>
      <c r="H1478" t="str">
        <f>_xll.BDP("586311EM Muni","ISSUE_DT")</f>
        <v>#N/A Requesting Data...</v>
      </c>
      <c r="I1478" t="str">
        <f>_xll.BDS("586311EM Muni","MUNI_PURPOSE_SCHED", "aggregate=y")</f>
        <v>#N/A Requesting Data...</v>
      </c>
      <c r="J1478" t="str">
        <f>_xll.BDP("586311EM Muni","CPN")</f>
        <v>#N/A Requesting Data...</v>
      </c>
      <c r="K1478" t="str">
        <f>_xll.BDP("586311EM Muni","MATURITY")</f>
        <v>#N/A Requesting Data...</v>
      </c>
      <c r="L1478">
        <v>180000</v>
      </c>
      <c r="M1478" t="str">
        <f>_xll.BDP("586311EM Muni","YIELD_ON_ISSUE_DATE")</f>
        <v>#N/A Requesting Data...</v>
      </c>
      <c r="N1478" t="str">
        <f>_xll.BDP("586311EM Muni","YTW_SPREAD_TO_MATURITY_AT_ISSU")</f>
        <v>#N/A Requesting Data...</v>
      </c>
      <c r="O1478" t="str">
        <f>_xll.BDP("586311EM Muni","BVAL_MID_YTM")</f>
        <v>#N/A Requesting Data...</v>
      </c>
      <c r="P1478" t="str">
        <f>_xll.BDP("586311EM Muni","MUNI_TAX_PROV")</f>
        <v>#N/A Requesting Data...</v>
      </c>
      <c r="Q1478" t="str">
        <f>_xll.BDP("586311EM Muni","MUNI_FED_TAX")</f>
        <v>#N/A Requesting Data...</v>
      </c>
      <c r="R1478" t="str">
        <f>_xll.BDP("586311EM Muni","MUNI_MSRB_VOLUME")</f>
        <v>#N/A Requesting Data...</v>
      </c>
      <c r="S1478" t="str">
        <f>_xll.BDP("586311EM Muni","BB_COMPOSITE")</f>
        <v>#N/A Requesting Data...</v>
      </c>
      <c r="T1478" t="str">
        <f>_xll.BDP("586311EM Muni","LQA_LIQUIDITY_SCORE")</f>
        <v>#N/A Requesting Data...</v>
      </c>
    </row>
    <row r="1479" spans="1:20" x14ac:dyDescent="0.25">
      <c r="A1479" t="str">
        <f>_xll.BDP("586669DZ Muni","ID_CUSIP")</f>
        <v>#N/A Requesting Data...</v>
      </c>
      <c r="B1479" t="s">
        <v>370</v>
      </c>
      <c r="C1479" t="str">
        <f>_xll.BDP("586669DZ Muni","INSURANCE_STATUS")</f>
        <v>#N/A Requesting Data...</v>
      </c>
      <c r="D1479" t="str">
        <f>_xll.BDP("586669DZ Muni","STATE_CODE")</f>
        <v>#N/A Requesting Data...</v>
      </c>
      <c r="E1479" t="str">
        <f>_xll.BDP("586669DZ Muni","COUNTY_LOCATION_ISSUER")</f>
        <v>#N/A Requesting Data...</v>
      </c>
      <c r="F1479" t="str">
        <f>_xll.BDP("586669DZ Muni","DUR_ADJ_MID")</f>
        <v>#N/A Requesting Data...</v>
      </c>
      <c r="G1479" t="str">
        <f>_xll.BDP("586669DZ Muni","SPREAD_AT_ISSUANCE_TO_WORST")</f>
        <v>#N/A Requesting Data...</v>
      </c>
      <c r="H1479" t="str">
        <f>_xll.BDP("586669DZ Muni","ISSUE_DT")</f>
        <v>#N/A Requesting Data...</v>
      </c>
      <c r="I1479" t="str">
        <f>_xll.BDS("586669DZ Muni","MUNI_PURPOSE_SCHED", "aggregate=y")</f>
        <v>#N/A Requesting Data...</v>
      </c>
      <c r="J1479" t="str">
        <f>_xll.BDP("586669DZ Muni","CPN")</f>
        <v>#N/A Requesting Data...</v>
      </c>
      <c r="K1479" t="str">
        <f>_xll.BDP("586669DZ Muni","MATURITY")</f>
        <v>#N/A Requesting Data...</v>
      </c>
      <c r="L1479">
        <v>10000</v>
      </c>
      <c r="M1479" t="str">
        <f>_xll.BDP("586669DZ Muni","YIELD_ON_ISSUE_DATE")</f>
        <v>#N/A Requesting Data...</v>
      </c>
      <c r="N1479" t="str">
        <f>_xll.BDP("586669DZ Muni","YTW_SPREAD_TO_MATURITY_AT_ISSU")</f>
        <v>#N/A Requesting Data...</v>
      </c>
      <c r="O1479" t="str">
        <f>_xll.BDP("586669DZ Muni","BVAL_MID_YTM")</f>
        <v>#N/A Requesting Data...</v>
      </c>
      <c r="P1479" t="str">
        <f>_xll.BDP("586669DZ Muni","MUNI_TAX_PROV")</f>
        <v>#N/A Requesting Data...</v>
      </c>
      <c r="Q1479" t="str">
        <f>_xll.BDP("586669DZ Muni","MUNI_FED_TAX")</f>
        <v>#N/A Requesting Data...</v>
      </c>
      <c r="R1479" t="str">
        <f>_xll.BDP("586669DZ Muni","MUNI_MSRB_VOLUME")</f>
        <v>#N/A Requesting Data...</v>
      </c>
      <c r="S1479" t="str">
        <f>_xll.BDP("586669DZ Muni","BB_COMPOSITE")</f>
        <v>#N/A Requesting Data...</v>
      </c>
      <c r="T1479" t="str">
        <f>_xll.BDP("586669DZ Muni","LQA_LIQUIDITY_SCORE")</f>
        <v>#N/A Requesting Data...</v>
      </c>
    </row>
    <row r="1480" spans="1:20" x14ac:dyDescent="0.25">
      <c r="A1480" t="str">
        <f>_xll.BDP("586669EC Muni","ID_CUSIP")</f>
        <v>#N/A Requesting Data...</v>
      </c>
      <c r="B1480" t="s">
        <v>370</v>
      </c>
      <c r="C1480" t="str">
        <f>_xll.BDP("586669EC Muni","INSURANCE_STATUS")</f>
        <v>#N/A Requesting Data...</v>
      </c>
      <c r="D1480" t="str">
        <f>_xll.BDP("586669EC Muni","STATE_CODE")</f>
        <v>#N/A Requesting Data...</v>
      </c>
      <c r="E1480" t="str">
        <f>_xll.BDP("586669EC Muni","COUNTY_LOCATION_ISSUER")</f>
        <v>#N/A Requesting Data...</v>
      </c>
      <c r="F1480" t="str">
        <f>_xll.BDP("586669EC Muni","DUR_ADJ_MID")</f>
        <v>#N/A Requesting Data...</v>
      </c>
      <c r="G1480" t="str">
        <f>_xll.BDP("586669EC Muni","SPREAD_AT_ISSUANCE_TO_WORST")</f>
        <v>#N/A Requesting Data...</v>
      </c>
      <c r="H1480" t="str">
        <f>_xll.BDP("586669EC Muni","ISSUE_DT")</f>
        <v>#N/A Requesting Data...</v>
      </c>
      <c r="I1480" t="str">
        <f>_xll.BDS("586669EC Muni","MUNI_PURPOSE_SCHED", "aggregate=y")</f>
        <v>#N/A Requesting Data...</v>
      </c>
      <c r="J1480" t="str">
        <f>_xll.BDP("586669EC Muni","CPN")</f>
        <v>#N/A Requesting Data...</v>
      </c>
      <c r="K1480" t="str">
        <f>_xll.BDP("586669EC Muni","MATURITY")</f>
        <v>#N/A Requesting Data...</v>
      </c>
      <c r="L1480">
        <v>15000</v>
      </c>
      <c r="M1480" t="str">
        <f>_xll.BDP("586669EC Muni","YIELD_ON_ISSUE_DATE")</f>
        <v>#N/A Requesting Data...</v>
      </c>
      <c r="N1480" t="str">
        <f>_xll.BDP("586669EC Muni","YTW_SPREAD_TO_MATURITY_AT_ISSU")</f>
        <v>#N/A Requesting Data...</v>
      </c>
      <c r="O1480" t="str">
        <f>_xll.BDP("586669EC Muni","BVAL_MID_YTM")</f>
        <v>#N/A Requesting Data...</v>
      </c>
      <c r="P1480" t="str">
        <f>_xll.BDP("586669EC Muni","MUNI_TAX_PROV")</f>
        <v>#N/A Requesting Data...</v>
      </c>
      <c r="Q1480" t="str">
        <f>_xll.BDP("586669EC Muni","MUNI_FED_TAX")</f>
        <v>#N/A Requesting Data...</v>
      </c>
      <c r="R1480" t="str">
        <f>_xll.BDP("586669EC Muni","MUNI_MSRB_VOLUME")</f>
        <v>#N/A Requesting Data...</v>
      </c>
      <c r="S1480" t="str">
        <f>_xll.BDP("586669EC Muni","BB_COMPOSITE")</f>
        <v>#N/A Requesting Data...</v>
      </c>
      <c r="T1480" t="str">
        <f>_xll.BDP("586669EC Muni","LQA_LIQUIDITY_SCORE")</f>
        <v>#N/A Requesting Data...</v>
      </c>
    </row>
    <row r="1481" spans="1:20" x14ac:dyDescent="0.25">
      <c r="A1481" t="str">
        <f>_xll.BDP("586669ED Muni","ID_CUSIP")</f>
        <v>#N/A Requesting Data...</v>
      </c>
      <c r="B1481" t="s">
        <v>370</v>
      </c>
      <c r="C1481" t="str">
        <f>_xll.BDP("586669ED Muni","INSURANCE_STATUS")</f>
        <v>#N/A Requesting Data...</v>
      </c>
      <c r="D1481" t="str">
        <f>_xll.BDP("586669ED Muni","STATE_CODE")</f>
        <v>#N/A Requesting Data...</v>
      </c>
      <c r="E1481" t="str">
        <f>_xll.BDP("586669ED Muni","COUNTY_LOCATION_ISSUER")</f>
        <v>#N/A Requesting Data...</v>
      </c>
      <c r="F1481" t="str">
        <f>_xll.BDP("586669ED Muni","DUR_ADJ_MID")</f>
        <v>#N/A Requesting Data...</v>
      </c>
      <c r="G1481" t="str">
        <f>_xll.BDP("586669ED Muni","SPREAD_AT_ISSUANCE_TO_WORST")</f>
        <v>#N/A Requesting Data...</v>
      </c>
      <c r="H1481" t="str">
        <f>_xll.BDP("586669ED Muni","ISSUE_DT")</f>
        <v>#N/A Requesting Data...</v>
      </c>
      <c r="I1481" t="str">
        <f>_xll.BDS("586669ED Muni","MUNI_PURPOSE_SCHED", "aggregate=y")</f>
        <v>#N/A Requesting Data...</v>
      </c>
      <c r="J1481" t="str">
        <f>_xll.BDP("586669ED Muni","CPN")</f>
        <v>#N/A Requesting Data...</v>
      </c>
      <c r="K1481" t="str">
        <f>_xll.BDP("586669ED Muni","MATURITY")</f>
        <v>#N/A Requesting Data...</v>
      </c>
      <c r="L1481">
        <v>15000</v>
      </c>
      <c r="M1481" t="str">
        <f>_xll.BDP("586669ED Muni","YIELD_ON_ISSUE_DATE")</f>
        <v>#N/A Requesting Data...</v>
      </c>
      <c r="N1481" t="str">
        <f>_xll.BDP("586669ED Muni","YTW_SPREAD_TO_MATURITY_AT_ISSU")</f>
        <v>#N/A Requesting Data...</v>
      </c>
      <c r="O1481" t="str">
        <f>_xll.BDP("586669ED Muni","BVAL_MID_YTM")</f>
        <v>#N/A Requesting Data...</v>
      </c>
      <c r="P1481" t="str">
        <f>_xll.BDP("586669ED Muni","MUNI_TAX_PROV")</f>
        <v>#N/A Requesting Data...</v>
      </c>
      <c r="Q1481" t="str">
        <f>_xll.BDP("586669ED Muni","MUNI_FED_TAX")</f>
        <v>#N/A Requesting Data...</v>
      </c>
      <c r="R1481" t="str">
        <f>_xll.BDP("586669ED Muni","MUNI_MSRB_VOLUME")</f>
        <v>#N/A Requesting Data...</v>
      </c>
      <c r="S1481" t="str">
        <f>_xll.BDP("586669ED Muni","BB_COMPOSITE")</f>
        <v>#N/A Requesting Data...</v>
      </c>
      <c r="T1481" t="str">
        <f>_xll.BDP("586669ED Muni","LQA_LIQUIDITY_SCORE")</f>
        <v>#N/A Requesting Data...</v>
      </c>
    </row>
    <row r="1482" spans="1:20" x14ac:dyDescent="0.25">
      <c r="A1482" t="str">
        <f>_xll.BDP("586810C4 Muni","ID_CUSIP")</f>
        <v>#N/A Requesting Data...</v>
      </c>
      <c r="B1482" t="s">
        <v>371</v>
      </c>
      <c r="C1482" t="str">
        <f>_xll.BDP("586810C4 Muni","INSURANCE_STATUS")</f>
        <v>#N/A Requesting Data...</v>
      </c>
      <c r="D1482" t="str">
        <f>_xll.BDP("586810C4 Muni","STATE_CODE")</f>
        <v>#N/A Requesting Data...</v>
      </c>
      <c r="E1482" t="str">
        <f>_xll.BDP("586810C4 Muni","COUNTY_LOCATION_ISSUER")</f>
        <v>#N/A Requesting Data...</v>
      </c>
      <c r="F1482" t="str">
        <f>_xll.BDP("586810C4 Muni","DUR_ADJ_MID")</f>
        <v>#N/A Requesting Data...</v>
      </c>
      <c r="G1482" t="str">
        <f>_xll.BDP("586810C4 Muni","SPREAD_AT_ISSUANCE_TO_WORST")</f>
        <v>#N/A Requesting Data...</v>
      </c>
      <c r="H1482" t="str">
        <f>_xll.BDP("586810C4 Muni","ISSUE_DT")</f>
        <v>#N/A Requesting Data...</v>
      </c>
      <c r="I1482" t="str">
        <f>_xll.BDS("586810C4 Muni","MUNI_PURPOSE_SCHED", "aggregate=y")</f>
        <v>#N/A Requesting Data...</v>
      </c>
      <c r="J1482" t="str">
        <f>_xll.BDP("586810C4 Muni","CPN")</f>
        <v>#N/A Requesting Data...</v>
      </c>
      <c r="K1482" t="str">
        <f>_xll.BDP("586810C4 Muni","MATURITY")</f>
        <v>#N/A Requesting Data...</v>
      </c>
      <c r="L1482">
        <v>135000</v>
      </c>
      <c r="M1482" t="str">
        <f>_xll.BDP("586810C4 Muni","YIELD_ON_ISSUE_DATE")</f>
        <v>#N/A Requesting Data...</v>
      </c>
      <c r="N1482" t="str">
        <f>_xll.BDP("586810C4 Muni","YTW_SPREAD_TO_MATURITY_AT_ISSU")</f>
        <v>#N/A Requesting Data...</v>
      </c>
      <c r="O1482" t="str">
        <f>_xll.BDP("586810C4 Muni","BVAL_MID_YTM")</f>
        <v>#N/A Requesting Data...</v>
      </c>
      <c r="P1482" t="str">
        <f>_xll.BDP("586810C4 Muni","MUNI_TAX_PROV")</f>
        <v>#N/A Requesting Data...</v>
      </c>
      <c r="Q1482" t="str">
        <f>_xll.BDP("586810C4 Muni","MUNI_FED_TAX")</f>
        <v>#N/A Requesting Data...</v>
      </c>
      <c r="R1482" t="str">
        <f>_xll.BDP("586810C4 Muni","MUNI_MSRB_VOLUME")</f>
        <v>#N/A Requesting Data...</v>
      </c>
      <c r="S1482" t="str">
        <f>_xll.BDP("586810C4 Muni","BB_COMPOSITE")</f>
        <v>#N/A Requesting Data...</v>
      </c>
      <c r="T1482" t="str">
        <f>_xll.BDP("586810C4 Muni","LQA_LIQUIDITY_SCORE")</f>
        <v>#N/A Requesting Data...</v>
      </c>
    </row>
    <row r="1483" spans="1:20" x14ac:dyDescent="0.25">
      <c r="A1483" t="str">
        <f>_xll.BDP("586810C7 Muni","ID_CUSIP")</f>
        <v>#N/A Requesting Data...</v>
      </c>
      <c r="B1483" t="s">
        <v>371</v>
      </c>
      <c r="C1483" t="str">
        <f>_xll.BDP("586810C7 Muni","INSURANCE_STATUS")</f>
        <v>#N/A Requesting Data...</v>
      </c>
      <c r="D1483" t="str">
        <f>_xll.BDP("586810C7 Muni","STATE_CODE")</f>
        <v>#N/A Requesting Data...</v>
      </c>
      <c r="E1483" t="str">
        <f>_xll.BDP("586810C7 Muni","COUNTY_LOCATION_ISSUER")</f>
        <v>#N/A Requesting Data...</v>
      </c>
      <c r="F1483" t="str">
        <f>_xll.BDP("586810C7 Muni","DUR_ADJ_MID")</f>
        <v>#N/A Requesting Data...</v>
      </c>
      <c r="G1483" t="str">
        <f>_xll.BDP("586810C7 Muni","SPREAD_AT_ISSUANCE_TO_WORST")</f>
        <v>#N/A Requesting Data...</v>
      </c>
      <c r="H1483" t="str">
        <f>_xll.BDP("586810C7 Muni","ISSUE_DT")</f>
        <v>#N/A Requesting Data...</v>
      </c>
      <c r="I1483" t="str">
        <f>_xll.BDS("586810C7 Muni","MUNI_PURPOSE_SCHED", "aggregate=y")</f>
        <v>#N/A Requesting Data...</v>
      </c>
      <c r="J1483" t="str">
        <f>_xll.BDP("586810C7 Muni","CPN")</f>
        <v>#N/A Requesting Data...</v>
      </c>
      <c r="K1483" t="str">
        <f>_xll.BDP("586810C7 Muni","MATURITY")</f>
        <v>#N/A Requesting Data...</v>
      </c>
      <c r="L1483">
        <v>210000</v>
      </c>
      <c r="M1483" t="str">
        <f>_xll.BDP("586810C7 Muni","YIELD_ON_ISSUE_DATE")</f>
        <v>#N/A Requesting Data...</v>
      </c>
      <c r="N1483" t="str">
        <f>_xll.BDP("586810C7 Muni","YTW_SPREAD_TO_MATURITY_AT_ISSU")</f>
        <v>#N/A Requesting Data...</v>
      </c>
      <c r="O1483" t="str">
        <f>_xll.BDP("586810C7 Muni","BVAL_MID_YTM")</f>
        <v>#N/A Requesting Data...</v>
      </c>
      <c r="P1483" t="str">
        <f>_xll.BDP("586810C7 Muni","MUNI_TAX_PROV")</f>
        <v>#N/A Requesting Data...</v>
      </c>
      <c r="Q1483" t="str">
        <f>_xll.BDP("586810C7 Muni","MUNI_FED_TAX")</f>
        <v>#N/A Requesting Data...</v>
      </c>
      <c r="R1483" t="str">
        <f>_xll.BDP("586810C7 Muni","MUNI_MSRB_VOLUME")</f>
        <v>#N/A Requesting Data...</v>
      </c>
      <c r="S1483" t="str">
        <f>_xll.BDP("586810C7 Muni","BB_COMPOSITE")</f>
        <v>#N/A Requesting Data...</v>
      </c>
      <c r="T1483" t="str">
        <f>_xll.BDP("586810C7 Muni","LQA_LIQUIDITY_SCORE")</f>
        <v>#N/A Requesting Data...</v>
      </c>
    </row>
    <row r="1484" spans="1:20" x14ac:dyDescent="0.25">
      <c r="A1484" t="str">
        <f>_xll.BDP("587057V9 Muni","ID_CUSIP")</f>
        <v>#N/A Requesting Data...</v>
      </c>
      <c r="B1484" t="s">
        <v>372</v>
      </c>
      <c r="C1484" t="str">
        <f>_xll.BDP("587057V9 Muni","INSURANCE_STATUS")</f>
        <v>#N/A Requesting Data...</v>
      </c>
      <c r="D1484" t="str">
        <f>_xll.BDP("587057V9 Muni","STATE_CODE")</f>
        <v>#N/A Requesting Data...</v>
      </c>
      <c r="E1484" t="str">
        <f>_xll.BDP("587057V9 Muni","COUNTY_LOCATION_ISSUER")</f>
        <v>#N/A Requesting Data...</v>
      </c>
      <c r="F1484" t="str">
        <f>_xll.BDP("587057V9 Muni","DUR_ADJ_MID")</f>
        <v>#N/A Requesting Data...</v>
      </c>
      <c r="G1484" t="str">
        <f>_xll.BDP("587057V9 Muni","SPREAD_AT_ISSUANCE_TO_WORST")</f>
        <v>#N/A Requesting Data...</v>
      </c>
      <c r="H1484" t="str">
        <f>_xll.BDP("587057V9 Muni","ISSUE_DT")</f>
        <v>#N/A Requesting Data...</v>
      </c>
      <c r="I1484" t="str">
        <f>_xll.BDS("587057V9 Muni","MUNI_PURPOSE_SCHED", "aggregate=y")</f>
        <v>#N/A Requesting Data...</v>
      </c>
      <c r="J1484" t="str">
        <f>_xll.BDP("587057V9 Muni","CPN")</f>
        <v>#N/A Requesting Data...</v>
      </c>
      <c r="K1484" t="str">
        <f>_xll.BDP("587057V9 Muni","MATURITY")</f>
        <v>#N/A Requesting Data...</v>
      </c>
      <c r="L1484">
        <v>410000</v>
      </c>
      <c r="M1484" t="str">
        <f>_xll.BDP("587057V9 Muni","YIELD_ON_ISSUE_DATE")</f>
        <v>#N/A Requesting Data...</v>
      </c>
      <c r="N1484" t="str">
        <f>_xll.BDP("587057V9 Muni","YTW_SPREAD_TO_MATURITY_AT_ISSU")</f>
        <v>#N/A Requesting Data...</v>
      </c>
      <c r="O1484" t="str">
        <f>_xll.BDP("587057V9 Muni","BVAL_MID_YTM")</f>
        <v>#N/A Requesting Data...</v>
      </c>
      <c r="P1484" t="str">
        <f>_xll.BDP("587057V9 Muni","MUNI_TAX_PROV")</f>
        <v>#N/A Requesting Data...</v>
      </c>
      <c r="Q1484" t="str">
        <f>_xll.BDP("587057V9 Muni","MUNI_FED_TAX")</f>
        <v>#N/A Requesting Data...</v>
      </c>
      <c r="R1484" t="str">
        <f>_xll.BDP("587057V9 Muni","MUNI_MSRB_VOLUME")</f>
        <v>#N/A Requesting Data...</v>
      </c>
      <c r="S1484" t="str">
        <f>_xll.BDP("587057V9 Muni","BB_COMPOSITE")</f>
        <v>#N/A Requesting Data...</v>
      </c>
      <c r="T1484" t="str">
        <f>_xll.BDP("587057V9 Muni","LQA_LIQUIDITY_SCORE")</f>
        <v>#N/A Requesting Data...</v>
      </c>
    </row>
    <row r="1485" spans="1:20" x14ac:dyDescent="0.25">
      <c r="A1485" t="str">
        <f>_xll.BDP("587057W4 Muni","ID_CUSIP")</f>
        <v>#N/A Requesting Data...</v>
      </c>
      <c r="B1485" t="s">
        <v>372</v>
      </c>
      <c r="C1485" t="str">
        <f>_xll.BDP("587057W4 Muni","INSURANCE_STATUS")</f>
        <v>#N/A Requesting Data...</v>
      </c>
      <c r="D1485" t="str">
        <f>_xll.BDP("587057W4 Muni","STATE_CODE")</f>
        <v>#N/A Requesting Data...</v>
      </c>
      <c r="E1485" t="str">
        <f>_xll.BDP("587057W4 Muni","COUNTY_LOCATION_ISSUER")</f>
        <v>#N/A Requesting Data...</v>
      </c>
      <c r="F1485" t="str">
        <f>_xll.BDP("587057W4 Muni","DUR_ADJ_MID")</f>
        <v>#N/A Requesting Data...</v>
      </c>
      <c r="G1485" t="str">
        <f>_xll.BDP("587057W4 Muni","SPREAD_AT_ISSUANCE_TO_WORST")</f>
        <v>#N/A Requesting Data...</v>
      </c>
      <c r="H1485" t="str">
        <f>_xll.BDP("587057W4 Muni","ISSUE_DT")</f>
        <v>#N/A Requesting Data...</v>
      </c>
      <c r="I1485" t="str">
        <f>_xll.BDS("587057W4 Muni","MUNI_PURPOSE_SCHED", "aggregate=y")</f>
        <v>#N/A Requesting Data...</v>
      </c>
      <c r="J1485" t="str">
        <f>_xll.BDP("587057W4 Muni","CPN")</f>
        <v>#N/A Requesting Data...</v>
      </c>
      <c r="K1485" t="str">
        <f>_xll.BDP("587057W4 Muni","MATURITY")</f>
        <v>#N/A Requesting Data...</v>
      </c>
      <c r="L1485">
        <v>275000</v>
      </c>
      <c r="M1485" t="str">
        <f>_xll.BDP("587057W4 Muni","YIELD_ON_ISSUE_DATE")</f>
        <v>#N/A Requesting Data...</v>
      </c>
      <c r="N1485" t="str">
        <f>_xll.BDP("587057W4 Muni","YTW_SPREAD_TO_MATURITY_AT_ISSU")</f>
        <v>#N/A Requesting Data...</v>
      </c>
      <c r="O1485" t="str">
        <f>_xll.BDP("587057W4 Muni","BVAL_MID_YTM")</f>
        <v>#N/A Requesting Data...</v>
      </c>
      <c r="P1485" t="str">
        <f>_xll.BDP("587057W4 Muni","MUNI_TAX_PROV")</f>
        <v>#N/A Requesting Data...</v>
      </c>
      <c r="Q1485" t="str">
        <f>_xll.BDP("587057W4 Muni","MUNI_FED_TAX")</f>
        <v>#N/A Requesting Data...</v>
      </c>
      <c r="R1485" t="str">
        <f>_xll.BDP("587057W4 Muni","MUNI_MSRB_VOLUME")</f>
        <v>#N/A Requesting Data...</v>
      </c>
      <c r="S1485" t="str">
        <f>_xll.BDP("587057W4 Muni","BB_COMPOSITE")</f>
        <v>#N/A Requesting Data...</v>
      </c>
      <c r="T1485" t="str">
        <f>_xll.BDP("587057W4 Muni","LQA_LIQUIDITY_SCORE")</f>
        <v>#N/A Requesting Data...</v>
      </c>
    </row>
    <row r="1486" spans="1:20" x14ac:dyDescent="0.25">
      <c r="A1486" t="str">
        <f>_xll.BDP("666495DK Muni","ID_CUSIP")</f>
        <v>#N/A Requesting Data...</v>
      </c>
      <c r="B1486" t="s">
        <v>361</v>
      </c>
      <c r="C1486" t="str">
        <f>_xll.BDP("666495DK Muni","INSURANCE_STATUS")</f>
        <v>#N/A Requesting Data...</v>
      </c>
      <c r="D1486" t="str">
        <f>_xll.BDP("666495DK Muni","STATE_CODE")</f>
        <v>#N/A Requesting Data...</v>
      </c>
      <c r="E1486" t="str">
        <f>_xll.BDP("666495DK Muni","COUNTY_LOCATION_ISSUER")</f>
        <v>#N/A Requesting Data...</v>
      </c>
      <c r="F1486" t="str">
        <f>_xll.BDP("666495DK Muni","DUR_ADJ_MID")</f>
        <v>#N/A Requesting Data...</v>
      </c>
      <c r="G1486" t="str">
        <f>_xll.BDP("666495DK Muni","SPREAD_AT_ISSUANCE_TO_WORST")</f>
        <v>#N/A Requesting Data...</v>
      </c>
      <c r="H1486" t="str">
        <f>_xll.BDP("666495DK Muni","ISSUE_DT")</f>
        <v>#N/A Requesting Data...</v>
      </c>
      <c r="I1486" t="str">
        <f>_xll.BDS("666495DK Muni","MUNI_PURPOSE_SCHED", "aggregate=y")</f>
        <v>#N/A Requesting Data...</v>
      </c>
      <c r="J1486" t="str">
        <f>_xll.BDP("666495DK Muni","CPN")</f>
        <v>#N/A Requesting Data...</v>
      </c>
      <c r="K1486" t="str">
        <f>_xll.BDP("666495DK Muni","MATURITY")</f>
        <v>#N/A Requesting Data...</v>
      </c>
      <c r="L1486">
        <v>195000</v>
      </c>
      <c r="M1486" t="str">
        <f>_xll.BDP("666495DK Muni","YIELD_ON_ISSUE_DATE")</f>
        <v>#N/A Requesting Data...</v>
      </c>
      <c r="N1486" t="str">
        <f>_xll.BDP("666495DK Muni","YTW_SPREAD_TO_MATURITY_AT_ISSU")</f>
        <v>#N/A Requesting Data...</v>
      </c>
      <c r="O1486" t="str">
        <f>_xll.BDP("666495DK Muni","BVAL_MID_YTM")</f>
        <v>#N/A Requesting Data...</v>
      </c>
      <c r="P1486" t="str">
        <f>_xll.BDP("666495DK Muni","MUNI_TAX_PROV")</f>
        <v>#N/A Requesting Data...</v>
      </c>
      <c r="Q1486" t="str">
        <f>_xll.BDP("666495DK Muni","MUNI_FED_TAX")</f>
        <v>#N/A Requesting Data...</v>
      </c>
      <c r="R1486" t="str">
        <f>_xll.BDP("666495DK Muni","MUNI_MSRB_VOLUME")</f>
        <v>#N/A Requesting Data...</v>
      </c>
      <c r="S1486" t="str">
        <f>_xll.BDP("666495DK Muni","BB_COMPOSITE")</f>
        <v>#N/A Requesting Data...</v>
      </c>
      <c r="T1486" t="str">
        <f>_xll.BDP("666495DK Muni","LQA_LIQUIDITY_SCORE")</f>
        <v>#N/A Requesting Data...</v>
      </c>
    </row>
    <row r="1487" spans="1:20" x14ac:dyDescent="0.25">
      <c r="A1487" t="str">
        <f>_xll.BDP("666495DL Muni","ID_CUSIP")</f>
        <v>#N/A Requesting Data...</v>
      </c>
      <c r="B1487" t="s">
        <v>361</v>
      </c>
      <c r="C1487" t="str">
        <f>_xll.BDP("666495DL Muni","INSURANCE_STATUS")</f>
        <v>#N/A Requesting Data...</v>
      </c>
      <c r="D1487" t="str">
        <f>_xll.BDP("666495DL Muni","STATE_CODE")</f>
        <v>#N/A Requesting Data...</v>
      </c>
      <c r="E1487" t="str">
        <f>_xll.BDP("666495DL Muni","COUNTY_LOCATION_ISSUER")</f>
        <v>#N/A Requesting Data...</v>
      </c>
      <c r="F1487" t="str">
        <f>_xll.BDP("666495DL Muni","DUR_ADJ_MID")</f>
        <v>#N/A Requesting Data...</v>
      </c>
      <c r="G1487" t="str">
        <f>_xll.BDP("666495DL Muni","SPREAD_AT_ISSUANCE_TO_WORST")</f>
        <v>#N/A Requesting Data...</v>
      </c>
      <c r="H1487" t="str">
        <f>_xll.BDP("666495DL Muni","ISSUE_DT")</f>
        <v>#N/A Requesting Data...</v>
      </c>
      <c r="I1487" t="str">
        <f>_xll.BDS("666495DL Muni","MUNI_PURPOSE_SCHED", "aggregate=y")</f>
        <v>#N/A Requesting Data...</v>
      </c>
      <c r="J1487" t="str">
        <f>_xll.BDP("666495DL Muni","CPN")</f>
        <v>#N/A Requesting Data...</v>
      </c>
      <c r="K1487" t="str">
        <f>_xll.BDP("666495DL Muni","MATURITY")</f>
        <v>#N/A Requesting Data...</v>
      </c>
      <c r="L1487">
        <v>265000</v>
      </c>
      <c r="M1487" t="str">
        <f>_xll.BDP("666495DL Muni","YIELD_ON_ISSUE_DATE")</f>
        <v>#N/A Requesting Data...</v>
      </c>
      <c r="N1487" t="str">
        <f>_xll.BDP("666495DL Muni","YTW_SPREAD_TO_MATURITY_AT_ISSU")</f>
        <v>#N/A Requesting Data...</v>
      </c>
      <c r="O1487" t="str">
        <f>_xll.BDP("666495DL Muni","BVAL_MID_YTM")</f>
        <v>#N/A Requesting Data...</v>
      </c>
      <c r="P1487" t="str">
        <f>_xll.BDP("666495DL Muni","MUNI_TAX_PROV")</f>
        <v>#N/A Requesting Data...</v>
      </c>
      <c r="Q1487" t="str">
        <f>_xll.BDP("666495DL Muni","MUNI_FED_TAX")</f>
        <v>#N/A Requesting Data...</v>
      </c>
      <c r="R1487" t="str">
        <f>_xll.BDP("666495DL Muni","MUNI_MSRB_VOLUME")</f>
        <v>#N/A Requesting Data...</v>
      </c>
      <c r="S1487" t="str">
        <f>_xll.BDP("666495DL Muni","BB_COMPOSITE")</f>
        <v>#N/A Requesting Data...</v>
      </c>
      <c r="T1487" t="str">
        <f>_xll.BDP("666495DL Muni","LQA_LIQUIDITY_SCORE")</f>
        <v>#N/A Requesting Data...</v>
      </c>
    </row>
    <row r="1488" spans="1:20" x14ac:dyDescent="0.25">
      <c r="A1488" t="str">
        <f>_xll.BDP("666495DM Muni","ID_CUSIP")</f>
        <v>#N/A Requesting Data...</v>
      </c>
      <c r="B1488" t="s">
        <v>361</v>
      </c>
      <c r="C1488" t="str">
        <f>_xll.BDP("666495DM Muni","INSURANCE_STATUS")</f>
        <v>#N/A Requesting Data...</v>
      </c>
      <c r="D1488" t="str">
        <f>_xll.BDP("666495DM Muni","STATE_CODE")</f>
        <v>#N/A Requesting Data...</v>
      </c>
      <c r="E1488" t="str">
        <f>_xll.BDP("666495DM Muni","COUNTY_LOCATION_ISSUER")</f>
        <v>#N/A Requesting Data...</v>
      </c>
      <c r="F1488" t="str">
        <f>_xll.BDP("666495DM Muni","DUR_ADJ_MID")</f>
        <v>#N/A Requesting Data...</v>
      </c>
      <c r="G1488" t="str">
        <f>_xll.BDP("666495DM Muni","SPREAD_AT_ISSUANCE_TO_WORST")</f>
        <v>#N/A Requesting Data...</v>
      </c>
      <c r="H1488" t="str">
        <f>_xll.BDP("666495DM Muni","ISSUE_DT")</f>
        <v>#N/A Requesting Data...</v>
      </c>
      <c r="I1488" t="str">
        <f>_xll.BDS("666495DM Muni","MUNI_PURPOSE_SCHED", "aggregate=y")</f>
        <v>#N/A Requesting Data...</v>
      </c>
      <c r="J1488" t="str">
        <f>_xll.BDP("666495DM Muni","CPN")</f>
        <v>#N/A Requesting Data...</v>
      </c>
      <c r="K1488" t="str">
        <f>_xll.BDP("666495DM Muni","MATURITY")</f>
        <v>#N/A Requesting Data...</v>
      </c>
      <c r="L1488">
        <v>470000</v>
      </c>
      <c r="M1488" t="str">
        <f>_xll.BDP("666495DM Muni","YIELD_ON_ISSUE_DATE")</f>
        <v>#N/A Requesting Data...</v>
      </c>
      <c r="N1488" t="str">
        <f>_xll.BDP("666495DM Muni","YTW_SPREAD_TO_MATURITY_AT_ISSU")</f>
        <v>#N/A Requesting Data...</v>
      </c>
      <c r="O1488" t="str">
        <f>_xll.BDP("666495DM Muni","BVAL_MID_YTM")</f>
        <v>#N/A Requesting Data...</v>
      </c>
      <c r="P1488" t="str">
        <f>_xll.BDP("666495DM Muni","MUNI_TAX_PROV")</f>
        <v>#N/A Requesting Data...</v>
      </c>
      <c r="Q1488" t="str">
        <f>_xll.BDP("666495DM Muni","MUNI_FED_TAX")</f>
        <v>#N/A Requesting Data...</v>
      </c>
      <c r="R1488" t="str">
        <f>_xll.BDP("666495DM Muni","MUNI_MSRB_VOLUME")</f>
        <v>#N/A Requesting Data...</v>
      </c>
      <c r="S1488" t="str">
        <f>_xll.BDP("666495DM Muni","BB_COMPOSITE")</f>
        <v>#N/A Requesting Data...</v>
      </c>
      <c r="T1488" t="str">
        <f>_xll.BDP("666495DM Muni","LQA_LIQUIDITY_SCORE")</f>
        <v>#N/A Requesting Data...</v>
      </c>
    </row>
    <row r="1489" spans="1:20" x14ac:dyDescent="0.25">
      <c r="A1489" t="str">
        <f>_xll.BDP("666495DN Muni","ID_CUSIP")</f>
        <v>#N/A Requesting Data...</v>
      </c>
      <c r="B1489" t="s">
        <v>361</v>
      </c>
      <c r="C1489" t="str">
        <f>_xll.BDP("666495DN Muni","INSURANCE_STATUS")</f>
        <v>#N/A Requesting Data...</v>
      </c>
      <c r="D1489" t="str">
        <f>_xll.BDP("666495DN Muni","STATE_CODE")</f>
        <v>#N/A Requesting Data...</v>
      </c>
      <c r="E1489" t="str">
        <f>_xll.BDP("666495DN Muni","COUNTY_LOCATION_ISSUER")</f>
        <v>#N/A Requesting Data...</v>
      </c>
      <c r="F1489" t="str">
        <f>_xll.BDP("666495DN Muni","DUR_ADJ_MID")</f>
        <v>#N/A Requesting Data...</v>
      </c>
      <c r="G1489" t="str">
        <f>_xll.BDP("666495DN Muni","SPREAD_AT_ISSUANCE_TO_WORST")</f>
        <v>#N/A Requesting Data...</v>
      </c>
      <c r="H1489" t="str">
        <f>_xll.BDP("666495DN Muni","ISSUE_DT")</f>
        <v>#N/A Requesting Data...</v>
      </c>
      <c r="I1489" t="str">
        <f>_xll.BDS("666495DN Muni","MUNI_PURPOSE_SCHED", "aggregate=y")</f>
        <v>#N/A Requesting Data...</v>
      </c>
      <c r="J1489" t="str">
        <f>_xll.BDP("666495DN Muni","CPN")</f>
        <v>#N/A Requesting Data...</v>
      </c>
      <c r="K1489" t="str">
        <f>_xll.BDP("666495DN Muni","MATURITY")</f>
        <v>#N/A Requesting Data...</v>
      </c>
      <c r="L1489">
        <v>525000</v>
      </c>
      <c r="M1489" t="str">
        <f>_xll.BDP("666495DN Muni","YIELD_ON_ISSUE_DATE")</f>
        <v>#N/A Requesting Data...</v>
      </c>
      <c r="N1489" t="str">
        <f>_xll.BDP("666495DN Muni","YTW_SPREAD_TO_MATURITY_AT_ISSU")</f>
        <v>#N/A Requesting Data...</v>
      </c>
      <c r="O1489" t="str">
        <f>_xll.BDP("666495DN Muni","BVAL_MID_YTM")</f>
        <v>#N/A Requesting Data...</v>
      </c>
      <c r="P1489" t="str">
        <f>_xll.BDP("666495DN Muni","MUNI_TAX_PROV")</f>
        <v>#N/A Requesting Data...</v>
      </c>
      <c r="Q1489" t="str">
        <f>_xll.BDP("666495DN Muni","MUNI_FED_TAX")</f>
        <v>#N/A Requesting Data...</v>
      </c>
      <c r="R1489" t="str">
        <f>_xll.BDP("666495DN Muni","MUNI_MSRB_VOLUME")</f>
        <v>#N/A Requesting Data...</v>
      </c>
      <c r="S1489" t="str">
        <f>_xll.BDP("666495DN Muni","BB_COMPOSITE")</f>
        <v>#N/A Requesting Data...</v>
      </c>
      <c r="T1489" t="str">
        <f>_xll.BDP("666495DN Muni","LQA_LIQUIDITY_SCORE")</f>
        <v>#N/A Requesting Data...</v>
      </c>
    </row>
    <row r="1490" spans="1:20" x14ac:dyDescent="0.25">
      <c r="A1490" t="str">
        <f>_xll.BDP("666495DP Muni","ID_CUSIP")</f>
        <v>#N/A Requesting Data...</v>
      </c>
      <c r="B1490" t="s">
        <v>361</v>
      </c>
      <c r="C1490" t="str">
        <f>_xll.BDP("666495DP Muni","INSURANCE_STATUS")</f>
        <v>#N/A Requesting Data...</v>
      </c>
      <c r="D1490" t="str">
        <f>_xll.BDP("666495DP Muni","STATE_CODE")</f>
        <v>#N/A Requesting Data...</v>
      </c>
      <c r="E1490" t="str">
        <f>_xll.BDP("666495DP Muni","COUNTY_LOCATION_ISSUER")</f>
        <v>#N/A Requesting Data...</v>
      </c>
      <c r="F1490" t="str">
        <f>_xll.BDP("666495DP Muni","DUR_ADJ_MID")</f>
        <v>#N/A Requesting Data...</v>
      </c>
      <c r="G1490" t="str">
        <f>_xll.BDP("666495DP Muni","SPREAD_AT_ISSUANCE_TO_WORST")</f>
        <v>#N/A Requesting Data...</v>
      </c>
      <c r="H1490" t="str">
        <f>_xll.BDP("666495DP Muni","ISSUE_DT")</f>
        <v>#N/A Requesting Data...</v>
      </c>
      <c r="I1490" t="str">
        <f>_xll.BDS("666495DP Muni","MUNI_PURPOSE_SCHED", "aggregate=y")</f>
        <v>#N/A Requesting Data...</v>
      </c>
      <c r="J1490" t="str">
        <f>_xll.BDP("666495DP Muni","CPN")</f>
        <v>#N/A Requesting Data...</v>
      </c>
      <c r="K1490" t="str">
        <f>_xll.BDP("666495DP Muni","MATURITY")</f>
        <v>#N/A Requesting Data...</v>
      </c>
      <c r="L1490">
        <v>590000</v>
      </c>
      <c r="M1490" t="str">
        <f>_xll.BDP("666495DP Muni","YIELD_ON_ISSUE_DATE")</f>
        <v>#N/A Requesting Data...</v>
      </c>
      <c r="N1490" t="str">
        <f>_xll.BDP("666495DP Muni","YTW_SPREAD_TO_MATURITY_AT_ISSU")</f>
        <v>#N/A Requesting Data...</v>
      </c>
      <c r="O1490" t="str">
        <f>_xll.BDP("666495DP Muni","BVAL_MID_YTM")</f>
        <v>#N/A Requesting Data...</v>
      </c>
      <c r="P1490" t="str">
        <f>_xll.BDP("666495DP Muni","MUNI_TAX_PROV")</f>
        <v>#N/A Requesting Data...</v>
      </c>
      <c r="Q1490" t="str">
        <f>_xll.BDP("666495DP Muni","MUNI_FED_TAX")</f>
        <v>#N/A Requesting Data...</v>
      </c>
      <c r="R1490" t="str">
        <f>_xll.BDP("666495DP Muni","MUNI_MSRB_VOLUME")</f>
        <v>#N/A Requesting Data...</v>
      </c>
      <c r="S1490" t="str">
        <f>_xll.BDP("666495DP Muni","BB_COMPOSITE")</f>
        <v>#N/A Requesting Data...</v>
      </c>
      <c r="T1490" t="str">
        <f>_xll.BDP("666495DP Muni","LQA_LIQUIDITY_SCORE")</f>
        <v>#N/A Requesting Data...</v>
      </c>
    </row>
    <row r="1491" spans="1:20" x14ac:dyDescent="0.25">
      <c r="A1491" t="str">
        <f>_xll.BDP("626752UF Muni","ID_CUSIP")</f>
        <v>#N/A Requesting Data...</v>
      </c>
      <c r="B1491" t="s">
        <v>373</v>
      </c>
      <c r="C1491" t="str">
        <f>_xll.BDP("626752UF Muni","INSURANCE_STATUS")</f>
        <v>#N/A Requesting Data...</v>
      </c>
      <c r="D1491" t="str">
        <f>_xll.BDP("626752UF Muni","STATE_CODE")</f>
        <v>#N/A Requesting Data...</v>
      </c>
      <c r="E1491" t="str">
        <f>_xll.BDP("626752UF Muni","COUNTY_LOCATION_ISSUER")</f>
        <v>#N/A Requesting Data...</v>
      </c>
      <c r="F1491" t="str">
        <f>_xll.BDP("626752UF Muni","DUR_ADJ_MID")</f>
        <v>#N/A Requesting Data...</v>
      </c>
      <c r="G1491" t="str">
        <f>_xll.BDP("626752UF Muni","SPREAD_AT_ISSUANCE_TO_WORST")</f>
        <v>#N/A Requesting Data...</v>
      </c>
      <c r="H1491" t="str">
        <f>_xll.BDP("626752UF Muni","ISSUE_DT")</f>
        <v>#N/A Requesting Data...</v>
      </c>
      <c r="I1491" t="str">
        <f>_xll.BDS("626752UF Muni","MUNI_PURPOSE_SCHED", "aggregate=y")</f>
        <v>#N/A Requesting Data...</v>
      </c>
      <c r="J1491" t="str">
        <f>_xll.BDP("626752UF Muni","CPN")</f>
        <v>#N/A Requesting Data...</v>
      </c>
      <c r="K1491" t="str">
        <f>_xll.BDP("626752UF Muni","MATURITY")</f>
        <v>#N/A Requesting Data...</v>
      </c>
      <c r="L1491">
        <v>235000</v>
      </c>
      <c r="M1491" t="str">
        <f>_xll.BDP("626752UF Muni","YIELD_ON_ISSUE_DATE")</f>
        <v>#N/A Requesting Data...</v>
      </c>
      <c r="N1491" t="str">
        <f>_xll.BDP("626752UF Muni","YTW_SPREAD_TO_MATURITY_AT_ISSU")</f>
        <v>#N/A Requesting Data...</v>
      </c>
      <c r="O1491" t="str">
        <f>_xll.BDP("626752UF Muni","BVAL_MID_YTM")</f>
        <v>#N/A Requesting Data...</v>
      </c>
      <c r="P1491" t="str">
        <f>_xll.BDP("626752UF Muni","MUNI_TAX_PROV")</f>
        <v>#N/A Requesting Data...</v>
      </c>
      <c r="Q1491" t="str">
        <f>_xll.BDP("626752UF Muni","MUNI_FED_TAX")</f>
        <v>#N/A Requesting Data...</v>
      </c>
      <c r="R1491" t="str">
        <f>_xll.BDP("626752UF Muni","MUNI_MSRB_VOLUME")</f>
        <v>#N/A Requesting Data...</v>
      </c>
      <c r="S1491" t="str">
        <f>_xll.BDP("626752UF Muni","BB_COMPOSITE")</f>
        <v>#N/A Requesting Data...</v>
      </c>
      <c r="T1491" t="str">
        <f>_xll.BDP("626752UF Muni","LQA_LIQUIDITY_SCORE")</f>
        <v>#N/A Requesting Data...</v>
      </c>
    </row>
    <row r="1492" spans="1:20" x14ac:dyDescent="0.25">
      <c r="A1492" t="str">
        <f>_xll.BDP("626752UJ Muni","ID_CUSIP")</f>
        <v>#N/A Requesting Data...</v>
      </c>
      <c r="B1492" t="s">
        <v>373</v>
      </c>
      <c r="C1492" t="str">
        <f>_xll.BDP("626752UJ Muni","INSURANCE_STATUS")</f>
        <v>#N/A Requesting Data...</v>
      </c>
      <c r="D1492" t="str">
        <f>_xll.BDP("626752UJ Muni","STATE_CODE")</f>
        <v>#N/A Requesting Data...</v>
      </c>
      <c r="E1492" t="str">
        <f>_xll.BDP("626752UJ Muni","COUNTY_LOCATION_ISSUER")</f>
        <v>#N/A Requesting Data...</v>
      </c>
      <c r="F1492" t="str">
        <f>_xll.BDP("626752UJ Muni","DUR_ADJ_MID")</f>
        <v>#N/A Requesting Data...</v>
      </c>
      <c r="G1492" t="str">
        <f>_xll.BDP("626752UJ Muni","SPREAD_AT_ISSUANCE_TO_WORST")</f>
        <v>#N/A Requesting Data...</v>
      </c>
      <c r="H1492" t="str">
        <f>_xll.BDP("626752UJ Muni","ISSUE_DT")</f>
        <v>#N/A Requesting Data...</v>
      </c>
      <c r="I1492" t="str">
        <f>_xll.BDS("626752UJ Muni","MUNI_PURPOSE_SCHED", "aggregate=y")</f>
        <v>#N/A Requesting Data...</v>
      </c>
      <c r="J1492" t="str">
        <f>_xll.BDP("626752UJ Muni","CPN")</f>
        <v>#N/A Requesting Data...</v>
      </c>
      <c r="K1492" t="str">
        <f>_xll.BDP("626752UJ Muni","MATURITY")</f>
        <v>#N/A Requesting Data...</v>
      </c>
      <c r="L1492">
        <v>260000</v>
      </c>
      <c r="M1492" t="str">
        <f>_xll.BDP("626752UJ Muni","YIELD_ON_ISSUE_DATE")</f>
        <v>#N/A Requesting Data...</v>
      </c>
      <c r="N1492" t="str">
        <f>_xll.BDP("626752UJ Muni","YTW_SPREAD_TO_MATURITY_AT_ISSU")</f>
        <v>#N/A Requesting Data...</v>
      </c>
      <c r="O1492" t="str">
        <f>_xll.BDP("626752UJ Muni","BVAL_MID_YTM")</f>
        <v>#N/A Requesting Data...</v>
      </c>
      <c r="P1492" t="str">
        <f>_xll.BDP("626752UJ Muni","MUNI_TAX_PROV")</f>
        <v>#N/A Requesting Data...</v>
      </c>
      <c r="Q1492" t="str">
        <f>_xll.BDP("626752UJ Muni","MUNI_FED_TAX")</f>
        <v>#N/A Requesting Data...</v>
      </c>
      <c r="R1492" t="str">
        <f>_xll.BDP("626752UJ Muni","MUNI_MSRB_VOLUME")</f>
        <v>#N/A Requesting Data...</v>
      </c>
      <c r="S1492" t="str">
        <f>_xll.BDP("626752UJ Muni","BB_COMPOSITE")</f>
        <v>#N/A Requesting Data...</v>
      </c>
      <c r="T1492" t="str">
        <f>_xll.BDP("626752UJ Muni","LQA_LIQUIDITY_SCORE")</f>
        <v>#N/A Requesting Data...</v>
      </c>
    </row>
    <row r="1493" spans="1:20" x14ac:dyDescent="0.25">
      <c r="A1493" t="str">
        <f>_xll.BDP("587057W2 Muni","ID_CUSIP")</f>
        <v>#N/A Requesting Data...</v>
      </c>
      <c r="B1493" t="s">
        <v>372</v>
      </c>
      <c r="C1493" t="str">
        <f>_xll.BDP("587057W2 Muni","INSURANCE_STATUS")</f>
        <v>#N/A Requesting Data...</v>
      </c>
      <c r="D1493" t="str">
        <f>_xll.BDP("587057W2 Muni","STATE_CODE")</f>
        <v>#N/A Requesting Data...</v>
      </c>
      <c r="E1493" t="str">
        <f>_xll.BDP("587057W2 Muni","COUNTY_LOCATION_ISSUER")</f>
        <v>#N/A Requesting Data...</v>
      </c>
      <c r="F1493" t="str">
        <f>_xll.BDP("587057W2 Muni","DUR_ADJ_MID")</f>
        <v>#N/A Requesting Data...</v>
      </c>
      <c r="G1493" t="str">
        <f>_xll.BDP("587057W2 Muni","SPREAD_AT_ISSUANCE_TO_WORST")</f>
        <v>#N/A Requesting Data...</v>
      </c>
      <c r="H1493" t="str">
        <f>_xll.BDP("587057W2 Muni","ISSUE_DT")</f>
        <v>#N/A Requesting Data...</v>
      </c>
      <c r="I1493" t="str">
        <f>_xll.BDS("587057W2 Muni","MUNI_PURPOSE_SCHED", "aggregate=y")</f>
        <v>#N/A Requesting Data...</v>
      </c>
      <c r="J1493" t="str">
        <f>_xll.BDP("587057W2 Muni","CPN")</f>
        <v>#N/A Requesting Data...</v>
      </c>
      <c r="K1493" t="str">
        <f>_xll.BDP("587057W2 Muni","MATURITY")</f>
        <v>#N/A Requesting Data...</v>
      </c>
      <c r="L1493">
        <v>130000</v>
      </c>
      <c r="M1493" t="str">
        <f>_xll.BDP("587057W2 Muni","YIELD_ON_ISSUE_DATE")</f>
        <v>#N/A Requesting Data...</v>
      </c>
      <c r="N1493" t="str">
        <f>_xll.BDP("587057W2 Muni","YTW_SPREAD_TO_MATURITY_AT_ISSU")</f>
        <v>#N/A Requesting Data...</v>
      </c>
      <c r="O1493" t="str">
        <f>_xll.BDP("587057W2 Muni","BVAL_MID_YTM")</f>
        <v>#N/A Requesting Data...</v>
      </c>
      <c r="P1493" t="str">
        <f>_xll.BDP("587057W2 Muni","MUNI_TAX_PROV")</f>
        <v>#N/A Requesting Data...</v>
      </c>
      <c r="Q1493" t="str">
        <f>_xll.BDP("587057W2 Muni","MUNI_FED_TAX")</f>
        <v>#N/A Requesting Data...</v>
      </c>
      <c r="R1493" t="str">
        <f>_xll.BDP("587057W2 Muni","MUNI_MSRB_VOLUME")</f>
        <v>#N/A Requesting Data...</v>
      </c>
      <c r="S1493" t="str">
        <f>_xll.BDP("587057W2 Muni","BB_COMPOSITE")</f>
        <v>#N/A Requesting Data...</v>
      </c>
      <c r="T1493" t="str">
        <f>_xll.BDP("587057W2 Muni","LQA_LIQUIDITY_SCORE")</f>
        <v>#N/A Requesting Data...</v>
      </c>
    </row>
    <row r="1494" spans="1:20" x14ac:dyDescent="0.25">
      <c r="A1494" t="str">
        <f>_xll.BDP("587057W3 Muni","ID_CUSIP")</f>
        <v>#N/A Requesting Data...</v>
      </c>
      <c r="B1494" t="s">
        <v>372</v>
      </c>
      <c r="C1494" t="str">
        <f>_xll.BDP("587057W3 Muni","INSURANCE_STATUS")</f>
        <v>#N/A Requesting Data...</v>
      </c>
      <c r="D1494" t="str">
        <f>_xll.BDP("587057W3 Muni","STATE_CODE")</f>
        <v>#N/A Requesting Data...</v>
      </c>
      <c r="E1494" t="str">
        <f>_xll.BDP("587057W3 Muni","COUNTY_LOCATION_ISSUER")</f>
        <v>#N/A Requesting Data...</v>
      </c>
      <c r="F1494" t="str">
        <f>_xll.BDP("587057W3 Muni","DUR_ADJ_MID")</f>
        <v>#N/A Requesting Data...</v>
      </c>
      <c r="G1494" t="str">
        <f>_xll.BDP("587057W3 Muni","SPREAD_AT_ISSUANCE_TO_WORST")</f>
        <v>#N/A Requesting Data...</v>
      </c>
      <c r="H1494" t="str">
        <f>_xll.BDP("587057W3 Muni","ISSUE_DT")</f>
        <v>#N/A Requesting Data...</v>
      </c>
      <c r="I1494" t="str">
        <f>_xll.BDS("587057W3 Muni","MUNI_PURPOSE_SCHED", "aggregate=y")</f>
        <v>#N/A Requesting Data...</v>
      </c>
      <c r="J1494" t="str">
        <f>_xll.BDP("587057W3 Muni","CPN")</f>
        <v>#N/A Requesting Data...</v>
      </c>
      <c r="K1494" t="str">
        <f>_xll.BDP("587057W3 Muni","MATURITY")</f>
        <v>#N/A Requesting Data...</v>
      </c>
      <c r="L1494">
        <v>275000</v>
      </c>
      <c r="M1494" t="str">
        <f>_xll.BDP("587057W3 Muni","YIELD_ON_ISSUE_DATE")</f>
        <v>#N/A Requesting Data...</v>
      </c>
      <c r="N1494" t="str">
        <f>_xll.BDP("587057W3 Muni","YTW_SPREAD_TO_MATURITY_AT_ISSU")</f>
        <v>#N/A Requesting Data...</v>
      </c>
      <c r="O1494" t="str">
        <f>_xll.BDP("587057W3 Muni","BVAL_MID_YTM")</f>
        <v>#N/A Requesting Data...</v>
      </c>
      <c r="P1494" t="str">
        <f>_xll.BDP("587057W3 Muni","MUNI_TAX_PROV")</f>
        <v>#N/A Requesting Data...</v>
      </c>
      <c r="Q1494" t="str">
        <f>_xll.BDP("587057W3 Muni","MUNI_FED_TAX")</f>
        <v>#N/A Requesting Data...</v>
      </c>
      <c r="R1494" t="str">
        <f>_xll.BDP("587057W3 Muni","MUNI_MSRB_VOLUME")</f>
        <v>#N/A Requesting Data...</v>
      </c>
      <c r="S1494" t="str">
        <f>_xll.BDP("587057W3 Muni","BB_COMPOSITE")</f>
        <v>#N/A Requesting Data...</v>
      </c>
      <c r="T1494" t="str">
        <f>_xll.BDP("587057W3 Muni","LQA_LIQUIDITY_SCORE")</f>
        <v>#N/A Requesting Data...</v>
      </c>
    </row>
    <row r="1495" spans="1:20" x14ac:dyDescent="0.25">
      <c r="A1495" t="str">
        <f>_xll.BDP("586669EA Muni","ID_CUSIP")</f>
        <v>#N/A Requesting Data...</v>
      </c>
      <c r="B1495" t="s">
        <v>370</v>
      </c>
      <c r="C1495" t="str">
        <f>_xll.BDP("586669EA Muni","INSURANCE_STATUS")</f>
        <v>#N/A Requesting Data...</v>
      </c>
      <c r="D1495" t="str">
        <f>_xll.BDP("586669EA Muni","STATE_CODE")</f>
        <v>#N/A Requesting Data...</v>
      </c>
      <c r="E1495" t="str">
        <f>_xll.BDP("586669EA Muni","COUNTY_LOCATION_ISSUER")</f>
        <v>#N/A Requesting Data...</v>
      </c>
      <c r="F1495" t="str">
        <f>_xll.BDP("586669EA Muni","DUR_ADJ_MID")</f>
        <v>#N/A Requesting Data...</v>
      </c>
      <c r="G1495" t="str">
        <f>_xll.BDP("586669EA Muni","SPREAD_AT_ISSUANCE_TO_WORST")</f>
        <v>#N/A Requesting Data...</v>
      </c>
      <c r="H1495" t="str">
        <f>_xll.BDP("586669EA Muni","ISSUE_DT")</f>
        <v>#N/A Requesting Data...</v>
      </c>
      <c r="I1495" t="str">
        <f>_xll.BDS("586669EA Muni","MUNI_PURPOSE_SCHED", "aggregate=y")</f>
        <v>#N/A Requesting Data...</v>
      </c>
      <c r="J1495" t="str">
        <f>_xll.BDP("586669EA Muni","CPN")</f>
        <v>#N/A Requesting Data...</v>
      </c>
      <c r="K1495" t="str">
        <f>_xll.BDP("586669EA Muni","MATURITY")</f>
        <v>#N/A Requesting Data...</v>
      </c>
      <c r="L1495">
        <v>10000</v>
      </c>
      <c r="M1495" t="str">
        <f>_xll.BDP("586669EA Muni","YIELD_ON_ISSUE_DATE")</f>
        <v>#N/A Requesting Data...</v>
      </c>
      <c r="N1495" t="str">
        <f>_xll.BDP("586669EA Muni","YTW_SPREAD_TO_MATURITY_AT_ISSU")</f>
        <v>#N/A Requesting Data...</v>
      </c>
      <c r="O1495" t="str">
        <f>_xll.BDP("586669EA Muni","BVAL_MID_YTM")</f>
        <v>#N/A Requesting Data...</v>
      </c>
      <c r="P1495" t="str">
        <f>_xll.BDP("586669EA Muni","MUNI_TAX_PROV")</f>
        <v>#N/A Requesting Data...</v>
      </c>
      <c r="Q1495" t="str">
        <f>_xll.BDP("586669EA Muni","MUNI_FED_TAX")</f>
        <v>#N/A Requesting Data...</v>
      </c>
      <c r="R1495" t="str">
        <f>_xll.BDP("586669EA Muni","MUNI_MSRB_VOLUME")</f>
        <v>#N/A Requesting Data...</v>
      </c>
      <c r="S1495" t="str">
        <f>_xll.BDP("586669EA Muni","BB_COMPOSITE")</f>
        <v>#N/A Requesting Data...</v>
      </c>
      <c r="T1495" t="str">
        <f>_xll.BDP("586669EA Muni","LQA_LIQUIDITY_SCORE")</f>
        <v>#N/A Requesting Data...</v>
      </c>
    </row>
    <row r="1496" spans="1:20" x14ac:dyDescent="0.25">
      <c r="A1496" t="str">
        <f>_xll.BDP("586669EB Muni","ID_CUSIP")</f>
        <v>#N/A Requesting Data...</v>
      </c>
      <c r="B1496" t="s">
        <v>370</v>
      </c>
      <c r="C1496" t="str">
        <f>_xll.BDP("586669EB Muni","INSURANCE_STATUS")</f>
        <v>#N/A Requesting Data...</v>
      </c>
      <c r="D1496" t="str">
        <f>_xll.BDP("586669EB Muni","STATE_CODE")</f>
        <v>#N/A Requesting Data...</v>
      </c>
      <c r="E1496" t="str">
        <f>_xll.BDP("586669EB Muni","COUNTY_LOCATION_ISSUER")</f>
        <v>#N/A Requesting Data...</v>
      </c>
      <c r="F1496" t="str">
        <f>_xll.BDP("586669EB Muni","DUR_ADJ_MID")</f>
        <v>#N/A Requesting Data...</v>
      </c>
      <c r="G1496" t="str">
        <f>_xll.BDP("586669EB Muni","SPREAD_AT_ISSUANCE_TO_WORST")</f>
        <v>#N/A Requesting Data...</v>
      </c>
      <c r="H1496" t="str">
        <f>_xll.BDP("586669EB Muni","ISSUE_DT")</f>
        <v>#N/A Requesting Data...</v>
      </c>
      <c r="I1496" t="str">
        <f>_xll.BDS("586669EB Muni","MUNI_PURPOSE_SCHED", "aggregate=y")</f>
        <v>#N/A Requesting Data...</v>
      </c>
      <c r="J1496" t="str">
        <f>_xll.BDP("586669EB Muni","CPN")</f>
        <v>#N/A Requesting Data...</v>
      </c>
      <c r="K1496" t="str">
        <f>_xll.BDP("586669EB Muni","MATURITY")</f>
        <v>#N/A Requesting Data...</v>
      </c>
      <c r="L1496">
        <v>15000</v>
      </c>
      <c r="M1496" t="str">
        <f>_xll.BDP("586669EB Muni","YIELD_ON_ISSUE_DATE")</f>
        <v>#N/A Requesting Data...</v>
      </c>
      <c r="N1496" t="str">
        <f>_xll.BDP("586669EB Muni","YTW_SPREAD_TO_MATURITY_AT_ISSU")</f>
        <v>#N/A Requesting Data...</v>
      </c>
      <c r="O1496" t="str">
        <f>_xll.BDP("586669EB Muni","BVAL_MID_YTM")</f>
        <v>#N/A Requesting Data...</v>
      </c>
      <c r="P1496" t="str">
        <f>_xll.BDP("586669EB Muni","MUNI_TAX_PROV")</f>
        <v>#N/A Requesting Data...</v>
      </c>
      <c r="Q1496" t="str">
        <f>_xll.BDP("586669EB Muni","MUNI_FED_TAX")</f>
        <v>#N/A Requesting Data...</v>
      </c>
      <c r="R1496" t="str">
        <f>_xll.BDP("586669EB Muni","MUNI_MSRB_VOLUME")</f>
        <v>#N/A Requesting Data...</v>
      </c>
      <c r="S1496" t="str">
        <f>_xll.BDP("586669EB Muni","BB_COMPOSITE")</f>
        <v>#N/A Requesting Data...</v>
      </c>
      <c r="T1496" t="str">
        <f>_xll.BDP("586669EB Muni","LQA_LIQUIDITY_SCORE")</f>
        <v>#N/A Requesting Data...</v>
      </c>
    </row>
    <row r="1497" spans="1:20" x14ac:dyDescent="0.25">
      <c r="A1497" t="str">
        <f>_xll.BDP("586810C5 Muni","ID_CUSIP")</f>
        <v>#N/A Requesting Data...</v>
      </c>
      <c r="B1497" t="s">
        <v>371</v>
      </c>
      <c r="C1497" t="str">
        <f>_xll.BDP("586810C5 Muni","INSURANCE_STATUS")</f>
        <v>#N/A Requesting Data...</v>
      </c>
      <c r="D1497" t="str">
        <f>_xll.BDP("586810C5 Muni","STATE_CODE")</f>
        <v>#N/A Requesting Data...</v>
      </c>
      <c r="E1497" t="str">
        <f>_xll.BDP("586810C5 Muni","COUNTY_LOCATION_ISSUER")</f>
        <v>#N/A Requesting Data...</v>
      </c>
      <c r="F1497" t="str">
        <f>_xll.BDP("586810C5 Muni","DUR_ADJ_MID")</f>
        <v>#N/A Requesting Data...</v>
      </c>
      <c r="G1497" t="str">
        <f>_xll.BDP("586810C5 Muni","SPREAD_AT_ISSUANCE_TO_WORST")</f>
        <v>#N/A Requesting Data...</v>
      </c>
      <c r="H1497" t="str">
        <f>_xll.BDP("586810C5 Muni","ISSUE_DT")</f>
        <v>#N/A Requesting Data...</v>
      </c>
      <c r="I1497" t="str">
        <f>_xll.BDS("586810C5 Muni","MUNI_PURPOSE_SCHED", "aggregate=y")</f>
        <v>#N/A Requesting Data...</v>
      </c>
      <c r="J1497" t="str">
        <f>_xll.BDP("586810C5 Muni","CPN")</f>
        <v>#N/A Requesting Data...</v>
      </c>
      <c r="K1497" t="str">
        <f>_xll.BDP("586810C5 Muni","MATURITY")</f>
        <v>#N/A Requesting Data...</v>
      </c>
      <c r="L1497">
        <v>160000</v>
      </c>
      <c r="M1497" t="str">
        <f>_xll.BDP("586810C5 Muni","YIELD_ON_ISSUE_DATE")</f>
        <v>#N/A Requesting Data...</v>
      </c>
      <c r="N1497" t="str">
        <f>_xll.BDP("586810C5 Muni","YTW_SPREAD_TO_MATURITY_AT_ISSU")</f>
        <v>#N/A Requesting Data...</v>
      </c>
      <c r="O1497" t="str">
        <f>_xll.BDP("586810C5 Muni","BVAL_MID_YTM")</f>
        <v>#N/A Requesting Data...</v>
      </c>
      <c r="P1497" t="str">
        <f>_xll.BDP("586810C5 Muni","MUNI_TAX_PROV")</f>
        <v>#N/A Requesting Data...</v>
      </c>
      <c r="Q1497" t="str">
        <f>_xll.BDP("586810C5 Muni","MUNI_FED_TAX")</f>
        <v>#N/A Requesting Data...</v>
      </c>
      <c r="R1497" t="str">
        <f>_xll.BDP("586810C5 Muni","MUNI_MSRB_VOLUME")</f>
        <v>#N/A Requesting Data...</v>
      </c>
      <c r="S1497" t="str">
        <f>_xll.BDP("586810C5 Muni","BB_COMPOSITE")</f>
        <v>#N/A Requesting Data...</v>
      </c>
      <c r="T1497" t="str">
        <f>_xll.BDP("586810C5 Muni","LQA_LIQUIDITY_SCORE")</f>
        <v>#N/A Requesting Data...</v>
      </c>
    </row>
    <row r="1498" spans="1:20" x14ac:dyDescent="0.25">
      <c r="A1498" t="str">
        <f>_xll.BDP("586810C6 Muni","ID_CUSIP")</f>
        <v>#N/A Requesting Data...</v>
      </c>
      <c r="B1498" t="s">
        <v>371</v>
      </c>
      <c r="C1498" t="str">
        <f>_xll.BDP("586810C6 Muni","INSURANCE_STATUS")</f>
        <v>#N/A Requesting Data...</v>
      </c>
      <c r="D1498" t="str">
        <f>_xll.BDP("586810C6 Muni","STATE_CODE")</f>
        <v>#N/A Requesting Data...</v>
      </c>
      <c r="E1498" t="str">
        <f>_xll.BDP("586810C6 Muni","COUNTY_LOCATION_ISSUER")</f>
        <v>#N/A Requesting Data...</v>
      </c>
      <c r="F1498" t="str">
        <f>_xll.BDP("586810C6 Muni","DUR_ADJ_MID")</f>
        <v>#N/A Requesting Data...</v>
      </c>
      <c r="G1498" t="str">
        <f>_xll.BDP("586810C6 Muni","SPREAD_AT_ISSUANCE_TO_WORST")</f>
        <v>#N/A Requesting Data...</v>
      </c>
      <c r="H1498" t="str">
        <f>_xll.BDP("586810C6 Muni","ISSUE_DT")</f>
        <v>#N/A Requesting Data...</v>
      </c>
      <c r="I1498" t="str">
        <f>_xll.BDS("586810C6 Muni","MUNI_PURPOSE_SCHED", "aggregate=y")</f>
        <v>#N/A Requesting Data...</v>
      </c>
      <c r="J1498" t="str">
        <f>_xll.BDP("586810C6 Muni","CPN")</f>
        <v>#N/A Requesting Data...</v>
      </c>
      <c r="K1498" t="str">
        <f>_xll.BDP("586810C6 Muni","MATURITY")</f>
        <v>#N/A Requesting Data...</v>
      </c>
      <c r="L1498">
        <v>185000</v>
      </c>
      <c r="M1498" t="str">
        <f>_xll.BDP("586810C6 Muni","YIELD_ON_ISSUE_DATE")</f>
        <v>#N/A Requesting Data...</v>
      </c>
      <c r="N1498" t="str">
        <f>_xll.BDP("586810C6 Muni","YTW_SPREAD_TO_MATURITY_AT_ISSU")</f>
        <v>#N/A Requesting Data...</v>
      </c>
      <c r="O1498" t="str">
        <f>_xll.BDP("586810C6 Muni","BVAL_MID_YTM")</f>
        <v>#N/A Requesting Data...</v>
      </c>
      <c r="P1498" t="str">
        <f>_xll.BDP("586810C6 Muni","MUNI_TAX_PROV")</f>
        <v>#N/A Requesting Data...</v>
      </c>
      <c r="Q1498" t="str">
        <f>_xll.BDP("586810C6 Muni","MUNI_FED_TAX")</f>
        <v>#N/A Requesting Data...</v>
      </c>
      <c r="R1498" t="str">
        <f>_xll.BDP("586810C6 Muni","MUNI_MSRB_VOLUME")</f>
        <v>#N/A Requesting Data...</v>
      </c>
      <c r="S1498" t="str">
        <f>_xll.BDP("586810C6 Muni","BB_COMPOSITE")</f>
        <v>#N/A Requesting Data...</v>
      </c>
      <c r="T1498" t="str">
        <f>_xll.BDP("586810C6 Muni","LQA_LIQUIDITY_SCORE")</f>
        <v>#N/A Requesting Data...</v>
      </c>
    </row>
    <row r="1499" spans="1:20" x14ac:dyDescent="0.25">
      <c r="A1499" t="str">
        <f>_xll.BDP("62507PER Muni","ID_CUSIP")</f>
        <v>#N/A Requesting Data...</v>
      </c>
      <c r="B1499" t="s">
        <v>374</v>
      </c>
      <c r="C1499" t="str">
        <f>_xll.BDP("62507PER Muni","INSURANCE_STATUS")</f>
        <v>#N/A Requesting Data...</v>
      </c>
      <c r="D1499" t="str">
        <f>_xll.BDP("62507PER Muni","STATE_CODE")</f>
        <v>#N/A Requesting Data...</v>
      </c>
      <c r="E1499" t="str">
        <f>_xll.BDP("62507PER Muni","COUNTY_LOCATION_ISSUER")</f>
        <v>#N/A Requesting Data...</v>
      </c>
      <c r="F1499" t="str">
        <f>_xll.BDP("62507PER Muni","DUR_ADJ_MID")</f>
        <v>#N/A Requesting Data...</v>
      </c>
      <c r="G1499" t="str">
        <f>_xll.BDP("62507PER Muni","SPREAD_AT_ISSUANCE_TO_WORST")</f>
        <v>#N/A Requesting Data...</v>
      </c>
      <c r="H1499" t="str">
        <f>_xll.BDP("62507PER Muni","ISSUE_DT")</f>
        <v>#N/A Requesting Data...</v>
      </c>
      <c r="I1499" t="str">
        <f>_xll.BDS("62507PER Muni","MUNI_PURPOSE_SCHED", "aggregate=y")</f>
        <v>#N/A Requesting Data...</v>
      </c>
      <c r="J1499" t="str">
        <f>_xll.BDP("62507PER Muni","CPN")</f>
        <v>#N/A Requesting Data...</v>
      </c>
      <c r="K1499" t="str">
        <f>_xll.BDP("62507PER Muni","MATURITY")</f>
        <v>#N/A Requesting Data...</v>
      </c>
      <c r="L1499">
        <v>100000</v>
      </c>
      <c r="M1499" t="str">
        <f>_xll.BDP("62507PER Muni","YIELD_ON_ISSUE_DATE")</f>
        <v>#N/A Requesting Data...</v>
      </c>
      <c r="N1499" t="str">
        <f>_xll.BDP("62507PER Muni","YTW_SPREAD_TO_MATURITY_AT_ISSU")</f>
        <v>#N/A Requesting Data...</v>
      </c>
      <c r="O1499" t="str">
        <f>_xll.BDP("62507PER Muni","BVAL_MID_YTM")</f>
        <v>#N/A Requesting Data...</v>
      </c>
      <c r="P1499" t="str">
        <f>_xll.BDP("62507PER Muni","MUNI_TAX_PROV")</f>
        <v>#N/A Requesting Data...</v>
      </c>
      <c r="Q1499" t="str">
        <f>_xll.BDP("62507PER Muni","MUNI_FED_TAX")</f>
        <v>#N/A Requesting Data...</v>
      </c>
      <c r="R1499" t="str">
        <f>_xll.BDP("62507PER Muni","MUNI_MSRB_VOLUME")</f>
        <v>#N/A Requesting Data...</v>
      </c>
      <c r="S1499" t="str">
        <f>_xll.BDP("62507PER Muni","BB_COMPOSITE")</f>
        <v>#N/A Requesting Data...</v>
      </c>
      <c r="T1499" t="str">
        <f>_xll.BDP("62507PER Muni","LQA_LIQUIDITY_SCORE")</f>
        <v>#N/A Requesting Data...</v>
      </c>
    </row>
    <row r="1500" spans="1:20" x14ac:dyDescent="0.25">
      <c r="A1500" t="str">
        <f>_xll.BDP("626752UE Muni","ID_CUSIP")</f>
        <v>#N/A Requesting Data...</v>
      </c>
      <c r="B1500" t="s">
        <v>373</v>
      </c>
      <c r="C1500" t="str">
        <f>_xll.BDP("626752UE Muni","INSURANCE_STATUS")</f>
        <v>#N/A Requesting Data...</v>
      </c>
      <c r="D1500" t="str">
        <f>_xll.BDP("626752UE Muni","STATE_CODE")</f>
        <v>#N/A Requesting Data...</v>
      </c>
      <c r="E1500" t="str">
        <f>_xll.BDP("626752UE Muni","COUNTY_LOCATION_ISSUER")</f>
        <v>#N/A Requesting Data...</v>
      </c>
      <c r="F1500" t="str">
        <f>_xll.BDP("626752UE Muni","DUR_ADJ_MID")</f>
        <v>#N/A Requesting Data...</v>
      </c>
      <c r="G1500" t="str">
        <f>_xll.BDP("626752UE Muni","SPREAD_AT_ISSUANCE_TO_WORST")</f>
        <v>#N/A Requesting Data...</v>
      </c>
      <c r="H1500" t="str">
        <f>_xll.BDP("626752UE Muni","ISSUE_DT")</f>
        <v>#N/A Requesting Data...</v>
      </c>
      <c r="I1500" t="str">
        <f>_xll.BDS("626752UE Muni","MUNI_PURPOSE_SCHED", "aggregate=y")</f>
        <v>#N/A Requesting Data...</v>
      </c>
      <c r="J1500" t="str">
        <f>_xll.BDP("626752UE Muni","CPN")</f>
        <v>#N/A Requesting Data...</v>
      </c>
      <c r="K1500" t="str">
        <f>_xll.BDP("626752UE Muni","MATURITY")</f>
        <v>#N/A Requesting Data...</v>
      </c>
      <c r="L1500">
        <v>225000</v>
      </c>
      <c r="M1500" t="str">
        <f>_xll.BDP("626752UE Muni","YIELD_ON_ISSUE_DATE")</f>
        <v>#N/A Requesting Data...</v>
      </c>
      <c r="N1500" t="str">
        <f>_xll.BDP("626752UE Muni","YTW_SPREAD_TO_MATURITY_AT_ISSU")</f>
        <v>#N/A Requesting Data...</v>
      </c>
      <c r="O1500" t="str">
        <f>_xll.BDP("626752UE Muni","BVAL_MID_YTM")</f>
        <v>#N/A Requesting Data...</v>
      </c>
      <c r="P1500" t="str">
        <f>_xll.BDP("626752UE Muni","MUNI_TAX_PROV")</f>
        <v>#N/A Requesting Data...</v>
      </c>
      <c r="Q1500" t="str">
        <f>_xll.BDP("626752UE Muni","MUNI_FED_TAX")</f>
        <v>#N/A Requesting Data...</v>
      </c>
      <c r="R1500" t="str">
        <f>_xll.BDP("626752UE Muni","MUNI_MSRB_VOLUME")</f>
        <v>#N/A Requesting Data...</v>
      </c>
      <c r="S1500" t="str">
        <f>_xll.BDP("626752UE Muni","BB_COMPOSITE")</f>
        <v>#N/A Requesting Data...</v>
      </c>
      <c r="T1500" t="str">
        <f>_xll.BDP("626752UE Muni","LQA_LIQUIDITY_SCORE")</f>
        <v>#N/A Requesting Data...</v>
      </c>
    </row>
    <row r="1501" spans="1:20" x14ac:dyDescent="0.25">
      <c r="A1501" t="str">
        <f>_xll.BDP("626752UG Muni","ID_CUSIP")</f>
        <v>#N/A Requesting Data...</v>
      </c>
      <c r="B1501" t="s">
        <v>373</v>
      </c>
      <c r="C1501" t="str">
        <f>_xll.BDP("626752UG Muni","INSURANCE_STATUS")</f>
        <v>#N/A Requesting Data...</v>
      </c>
      <c r="D1501" t="str">
        <f>_xll.BDP("626752UG Muni","STATE_CODE")</f>
        <v>#N/A Requesting Data...</v>
      </c>
      <c r="E1501" t="str">
        <f>_xll.BDP("626752UG Muni","COUNTY_LOCATION_ISSUER")</f>
        <v>#N/A Requesting Data...</v>
      </c>
      <c r="F1501" t="str">
        <f>_xll.BDP("626752UG Muni","DUR_ADJ_MID")</f>
        <v>#N/A Requesting Data...</v>
      </c>
      <c r="G1501" t="str">
        <f>_xll.BDP("626752UG Muni","SPREAD_AT_ISSUANCE_TO_WORST")</f>
        <v>#N/A Requesting Data...</v>
      </c>
      <c r="H1501" t="str">
        <f>_xll.BDP("626752UG Muni","ISSUE_DT")</f>
        <v>#N/A Requesting Data...</v>
      </c>
      <c r="I1501" t="str">
        <f>_xll.BDS("626752UG Muni","MUNI_PURPOSE_SCHED", "aggregate=y")</f>
        <v>#N/A Requesting Data...</v>
      </c>
      <c r="J1501" t="str">
        <f>_xll.BDP("626752UG Muni","CPN")</f>
        <v>#N/A Requesting Data...</v>
      </c>
      <c r="K1501" t="str">
        <f>_xll.BDP("626752UG Muni","MATURITY")</f>
        <v>#N/A Requesting Data...</v>
      </c>
      <c r="L1501">
        <v>245000</v>
      </c>
      <c r="M1501" t="str">
        <f>_xll.BDP("626752UG Muni","YIELD_ON_ISSUE_DATE")</f>
        <v>#N/A Requesting Data...</v>
      </c>
      <c r="N1501" t="str">
        <f>_xll.BDP("626752UG Muni","YTW_SPREAD_TO_MATURITY_AT_ISSU")</f>
        <v>#N/A Requesting Data...</v>
      </c>
      <c r="O1501" t="str">
        <f>_xll.BDP("626752UG Muni","BVAL_MID_YTM")</f>
        <v>#N/A Requesting Data...</v>
      </c>
      <c r="P1501" t="str">
        <f>_xll.BDP("626752UG Muni","MUNI_TAX_PROV")</f>
        <v>#N/A Requesting Data...</v>
      </c>
      <c r="Q1501" t="str">
        <f>_xll.BDP("626752UG Muni","MUNI_FED_TAX")</f>
        <v>#N/A Requesting Data...</v>
      </c>
      <c r="R1501" t="str">
        <f>_xll.BDP("626752UG Muni","MUNI_MSRB_VOLUME")</f>
        <v>#N/A Requesting Data...</v>
      </c>
      <c r="S1501" t="str">
        <f>_xll.BDP("626752UG Muni","BB_COMPOSITE")</f>
        <v>#N/A Requesting Data...</v>
      </c>
      <c r="T1501" t="str">
        <f>_xll.BDP("626752UG Muni","LQA_LIQUIDITY_SCORE")</f>
        <v>#N/A Requesting Data...</v>
      </c>
    </row>
    <row r="1502" spans="1:20" x14ac:dyDescent="0.25">
      <c r="A1502" t="str">
        <f>_xll.BDP("626752UH Muni","ID_CUSIP")</f>
        <v>#N/A Requesting Data...</v>
      </c>
      <c r="B1502" t="s">
        <v>373</v>
      </c>
      <c r="C1502" t="str">
        <f>_xll.BDP("626752UH Muni","INSURANCE_STATUS")</f>
        <v>#N/A Requesting Data...</v>
      </c>
      <c r="D1502" t="str">
        <f>_xll.BDP("626752UH Muni","STATE_CODE")</f>
        <v>#N/A Requesting Data...</v>
      </c>
      <c r="E1502" t="str">
        <f>_xll.BDP("626752UH Muni","COUNTY_LOCATION_ISSUER")</f>
        <v>#N/A Requesting Data...</v>
      </c>
      <c r="F1502" t="str">
        <f>_xll.BDP("626752UH Muni","DUR_ADJ_MID")</f>
        <v>#N/A Requesting Data...</v>
      </c>
      <c r="G1502" t="str">
        <f>_xll.BDP("626752UH Muni","SPREAD_AT_ISSUANCE_TO_WORST")</f>
        <v>#N/A Requesting Data...</v>
      </c>
      <c r="H1502" t="str">
        <f>_xll.BDP("626752UH Muni","ISSUE_DT")</f>
        <v>#N/A Requesting Data...</v>
      </c>
      <c r="I1502" t="str">
        <f>_xll.BDS("626752UH Muni","MUNI_PURPOSE_SCHED", "aggregate=y")</f>
        <v>#N/A Requesting Data...</v>
      </c>
      <c r="J1502" t="str">
        <f>_xll.BDP("626752UH Muni","CPN")</f>
        <v>#N/A Requesting Data...</v>
      </c>
      <c r="K1502" t="str">
        <f>_xll.BDP("626752UH Muni","MATURITY")</f>
        <v>#N/A Requesting Data...</v>
      </c>
      <c r="L1502">
        <v>255000</v>
      </c>
      <c r="M1502" t="str">
        <f>_xll.BDP("626752UH Muni","YIELD_ON_ISSUE_DATE")</f>
        <v>#N/A Requesting Data...</v>
      </c>
      <c r="N1502" t="str">
        <f>_xll.BDP("626752UH Muni","YTW_SPREAD_TO_MATURITY_AT_ISSU")</f>
        <v>#N/A Requesting Data...</v>
      </c>
      <c r="O1502" t="str">
        <f>_xll.BDP("626752UH Muni","BVAL_MID_YTM")</f>
        <v>#N/A Requesting Data...</v>
      </c>
      <c r="P1502" t="str">
        <f>_xll.BDP("626752UH Muni","MUNI_TAX_PROV")</f>
        <v>#N/A Requesting Data...</v>
      </c>
      <c r="Q1502" t="str">
        <f>_xll.BDP("626752UH Muni","MUNI_FED_TAX")</f>
        <v>#N/A Requesting Data...</v>
      </c>
      <c r="R1502" t="str">
        <f>_xll.BDP("626752UH Muni","MUNI_MSRB_VOLUME")</f>
        <v>#N/A Requesting Data...</v>
      </c>
      <c r="S1502" t="str">
        <f>_xll.BDP("626752UH Muni","BB_COMPOSITE")</f>
        <v>#N/A Requesting Data...</v>
      </c>
      <c r="T1502" t="str">
        <f>_xll.BDP("626752UH Muni","LQA_LIQUIDITY_SCORE")</f>
        <v>#N/A Requesting Data...</v>
      </c>
    </row>
    <row r="1503" spans="1:20" x14ac:dyDescent="0.25">
      <c r="A1503" t="str">
        <f>_xll.BDP("62821VFS Muni","ID_CUSIP")</f>
        <v>#N/A Requesting Data...</v>
      </c>
      <c r="B1503" t="s">
        <v>375</v>
      </c>
      <c r="C1503" t="str">
        <f>_xll.BDP("62821VFS Muni","INSURANCE_STATUS")</f>
        <v>#N/A Requesting Data...</v>
      </c>
      <c r="D1503" t="str">
        <f>_xll.BDP("62821VFS Muni","STATE_CODE")</f>
        <v>#N/A Requesting Data...</v>
      </c>
      <c r="E1503" t="str">
        <f>_xll.BDP("62821VFS Muni","COUNTY_LOCATION_ISSUER")</f>
        <v>#N/A Requesting Data...</v>
      </c>
      <c r="F1503" t="str">
        <f>_xll.BDP("62821VFS Muni","DUR_ADJ_MID")</f>
        <v>#N/A Requesting Data...</v>
      </c>
      <c r="G1503" t="str">
        <f>_xll.BDP("62821VFS Muni","SPREAD_AT_ISSUANCE_TO_WORST")</f>
        <v>#N/A Requesting Data...</v>
      </c>
      <c r="H1503" t="str">
        <f>_xll.BDP("62821VFS Muni","ISSUE_DT")</f>
        <v>#N/A Requesting Data...</v>
      </c>
      <c r="I1503" t="str">
        <f>_xll.BDS("62821VFS Muni","MUNI_PURPOSE_SCHED", "aggregate=y")</f>
        <v>#N/A Requesting Data...</v>
      </c>
      <c r="J1503" t="str">
        <f>_xll.BDP("62821VFS Muni","CPN")</f>
        <v>#N/A Requesting Data...</v>
      </c>
      <c r="K1503" t="str">
        <f>_xll.BDP("62821VFS Muni","MATURITY")</f>
        <v>#N/A Requesting Data...</v>
      </c>
      <c r="L1503">
        <v>555000</v>
      </c>
      <c r="M1503" t="str">
        <f>_xll.BDP("62821VFS Muni","YIELD_ON_ISSUE_DATE")</f>
        <v>#N/A Requesting Data...</v>
      </c>
      <c r="N1503" t="str">
        <f>_xll.BDP("62821VFS Muni","YTW_SPREAD_TO_MATURITY_AT_ISSU")</f>
        <v>#N/A Requesting Data...</v>
      </c>
      <c r="O1503" t="str">
        <f>_xll.BDP("62821VFS Muni","BVAL_MID_YTM")</f>
        <v>#N/A Requesting Data...</v>
      </c>
      <c r="P1503" t="str">
        <f>_xll.BDP("62821VFS Muni","MUNI_TAX_PROV")</f>
        <v>#N/A Requesting Data...</v>
      </c>
      <c r="Q1503" t="str">
        <f>_xll.BDP("62821VFS Muni","MUNI_FED_TAX")</f>
        <v>#N/A Requesting Data...</v>
      </c>
      <c r="R1503" t="str">
        <f>_xll.BDP("62821VFS Muni","MUNI_MSRB_VOLUME")</f>
        <v>#N/A Requesting Data...</v>
      </c>
      <c r="S1503" t="str">
        <f>_xll.BDP("62821VFS Muni","BB_COMPOSITE")</f>
        <v>#N/A Requesting Data...</v>
      </c>
      <c r="T1503" t="str">
        <f>_xll.BDP("62821VFS Muni","LQA_LIQUIDITY_SCORE")</f>
        <v>#N/A Requesting Data...</v>
      </c>
    </row>
    <row r="1504" spans="1:20" x14ac:dyDescent="0.25">
      <c r="A1504" t="str">
        <f>_xll.BDP("581714WG Muni","ID_CUSIP")</f>
        <v>#N/A Requesting Data...</v>
      </c>
      <c r="B1504" t="s">
        <v>376</v>
      </c>
      <c r="C1504" t="str">
        <f>_xll.BDP("581714WG Muni","INSURANCE_STATUS")</f>
        <v>#N/A Requesting Data...</v>
      </c>
      <c r="D1504" t="str">
        <f>_xll.BDP("581714WG Muni","STATE_CODE")</f>
        <v>#N/A Requesting Data...</v>
      </c>
      <c r="E1504" t="str">
        <f>_xll.BDP("581714WG Muni","COUNTY_LOCATION_ISSUER")</f>
        <v>#N/A Requesting Data...</v>
      </c>
      <c r="F1504" t="str">
        <f>_xll.BDP("581714WG Muni","DUR_ADJ_MID")</f>
        <v>#N/A Requesting Data...</v>
      </c>
      <c r="G1504" t="str">
        <f>_xll.BDP("581714WG Muni","SPREAD_AT_ISSUANCE_TO_WORST")</f>
        <v>#N/A Requesting Data...</v>
      </c>
      <c r="H1504" t="str">
        <f>_xll.BDP("581714WG Muni","ISSUE_DT")</f>
        <v>#N/A Requesting Data...</v>
      </c>
      <c r="I1504" t="str">
        <f>_xll.BDS("581714WG Muni","MUNI_PURPOSE_SCHED", "aggregate=y")</f>
        <v>#N/A Requesting Data...</v>
      </c>
      <c r="J1504" t="str">
        <f>_xll.BDP("581714WG Muni","CPN")</f>
        <v>#N/A Requesting Data...</v>
      </c>
      <c r="K1504" t="str">
        <f>_xll.BDP("581714WG Muni","MATURITY")</f>
        <v>#N/A Requesting Data...</v>
      </c>
      <c r="L1504">
        <v>445000</v>
      </c>
      <c r="M1504" t="str">
        <f>_xll.BDP("581714WG Muni","YIELD_ON_ISSUE_DATE")</f>
        <v>#N/A Requesting Data...</v>
      </c>
      <c r="N1504" t="str">
        <f>_xll.BDP("581714WG Muni","YTW_SPREAD_TO_MATURITY_AT_ISSU")</f>
        <v>#N/A Requesting Data...</v>
      </c>
      <c r="O1504" t="str">
        <f>_xll.BDP("581714WG Muni","BVAL_MID_YTM")</f>
        <v>#N/A Requesting Data...</v>
      </c>
      <c r="P1504" t="str">
        <f>_xll.BDP("581714WG Muni","MUNI_TAX_PROV")</f>
        <v>#N/A Requesting Data...</v>
      </c>
      <c r="Q1504" t="str">
        <f>_xll.BDP("581714WG Muni","MUNI_FED_TAX")</f>
        <v>#N/A Requesting Data...</v>
      </c>
      <c r="R1504" t="str">
        <f>_xll.BDP("581714WG Muni","MUNI_MSRB_VOLUME")</f>
        <v>#N/A Requesting Data...</v>
      </c>
      <c r="S1504" t="str">
        <f>_xll.BDP("581714WG Muni","BB_COMPOSITE")</f>
        <v>#N/A Requesting Data...</v>
      </c>
      <c r="T1504" t="str">
        <f>_xll.BDP("581714WG Muni","LQA_LIQUIDITY_SCORE")</f>
        <v>#N/A Requesting Data...</v>
      </c>
    </row>
    <row r="1505" spans="1:20" x14ac:dyDescent="0.25">
      <c r="A1505" t="str">
        <f>_xll.BDP("581714WH Muni","ID_CUSIP")</f>
        <v>#N/A Requesting Data...</v>
      </c>
      <c r="B1505" t="s">
        <v>376</v>
      </c>
      <c r="C1505" t="str">
        <f>_xll.BDP("581714WH Muni","INSURANCE_STATUS")</f>
        <v>#N/A Requesting Data...</v>
      </c>
      <c r="D1505" t="str">
        <f>_xll.BDP("581714WH Muni","STATE_CODE")</f>
        <v>#N/A Requesting Data...</v>
      </c>
      <c r="E1505" t="str">
        <f>_xll.BDP("581714WH Muni","COUNTY_LOCATION_ISSUER")</f>
        <v>#N/A Requesting Data...</v>
      </c>
      <c r="F1505" t="str">
        <f>_xll.BDP("581714WH Muni","DUR_ADJ_MID")</f>
        <v>#N/A Requesting Data...</v>
      </c>
      <c r="G1505" t="str">
        <f>_xll.BDP("581714WH Muni","SPREAD_AT_ISSUANCE_TO_WORST")</f>
        <v>#N/A Requesting Data...</v>
      </c>
      <c r="H1505" t="str">
        <f>_xll.BDP("581714WH Muni","ISSUE_DT")</f>
        <v>#N/A Requesting Data...</v>
      </c>
      <c r="I1505" t="str">
        <f>_xll.BDS("581714WH Muni","MUNI_PURPOSE_SCHED", "aggregate=y")</f>
        <v>#N/A Requesting Data...</v>
      </c>
      <c r="J1505" t="str">
        <f>_xll.BDP("581714WH Muni","CPN")</f>
        <v>#N/A Requesting Data...</v>
      </c>
      <c r="K1505" t="str">
        <f>_xll.BDP("581714WH Muni","MATURITY")</f>
        <v>#N/A Requesting Data...</v>
      </c>
      <c r="L1505">
        <v>465000</v>
      </c>
      <c r="M1505" t="str">
        <f>_xll.BDP("581714WH Muni","YIELD_ON_ISSUE_DATE")</f>
        <v>#N/A Requesting Data...</v>
      </c>
      <c r="N1505" t="str">
        <f>_xll.BDP("581714WH Muni","YTW_SPREAD_TO_MATURITY_AT_ISSU")</f>
        <v>#N/A Requesting Data...</v>
      </c>
      <c r="O1505" t="str">
        <f>_xll.BDP("581714WH Muni","BVAL_MID_YTM")</f>
        <v>#N/A Requesting Data...</v>
      </c>
      <c r="P1505" t="str">
        <f>_xll.BDP("581714WH Muni","MUNI_TAX_PROV")</f>
        <v>#N/A Requesting Data...</v>
      </c>
      <c r="Q1505" t="str">
        <f>_xll.BDP("581714WH Muni","MUNI_FED_TAX")</f>
        <v>#N/A Requesting Data...</v>
      </c>
      <c r="R1505" t="str">
        <f>_xll.BDP("581714WH Muni","MUNI_MSRB_VOLUME")</f>
        <v>#N/A Requesting Data...</v>
      </c>
      <c r="S1505" t="str">
        <f>_xll.BDP("581714WH Muni","BB_COMPOSITE")</f>
        <v>#N/A Requesting Data...</v>
      </c>
      <c r="T1505" t="str">
        <f>_xll.BDP("581714WH Muni","LQA_LIQUIDITY_SCORE")</f>
        <v>#N/A Requesting Data...</v>
      </c>
    </row>
    <row r="1506" spans="1:20" x14ac:dyDescent="0.25">
      <c r="A1506" t="str">
        <f>_xll.BDP("581714WJ Muni","ID_CUSIP")</f>
        <v>#N/A Requesting Data...</v>
      </c>
      <c r="B1506" t="s">
        <v>376</v>
      </c>
      <c r="C1506" t="str">
        <f>_xll.BDP("581714WJ Muni","INSURANCE_STATUS")</f>
        <v>#N/A Requesting Data...</v>
      </c>
      <c r="D1506" t="str">
        <f>_xll.BDP("581714WJ Muni","STATE_CODE")</f>
        <v>#N/A Requesting Data...</v>
      </c>
      <c r="E1506" t="str">
        <f>_xll.BDP("581714WJ Muni","COUNTY_LOCATION_ISSUER")</f>
        <v>#N/A Requesting Data...</v>
      </c>
      <c r="F1506" t="str">
        <f>_xll.BDP("581714WJ Muni","DUR_ADJ_MID")</f>
        <v>#N/A Requesting Data...</v>
      </c>
      <c r="G1506" t="str">
        <f>_xll.BDP("581714WJ Muni","SPREAD_AT_ISSUANCE_TO_WORST")</f>
        <v>#N/A Requesting Data...</v>
      </c>
      <c r="H1506" t="str">
        <f>_xll.BDP("581714WJ Muni","ISSUE_DT")</f>
        <v>#N/A Requesting Data...</v>
      </c>
      <c r="I1506" t="str">
        <f>_xll.BDS("581714WJ Muni","MUNI_PURPOSE_SCHED", "aggregate=y")</f>
        <v>#N/A Requesting Data...</v>
      </c>
      <c r="J1506" t="str">
        <f>_xll.BDP("581714WJ Muni","CPN")</f>
        <v>#N/A Requesting Data...</v>
      </c>
      <c r="K1506" t="str">
        <f>_xll.BDP("581714WJ Muni","MATURITY")</f>
        <v>#N/A Requesting Data...</v>
      </c>
      <c r="L1506">
        <v>485000</v>
      </c>
      <c r="M1506" t="str">
        <f>_xll.BDP("581714WJ Muni","YIELD_ON_ISSUE_DATE")</f>
        <v>#N/A Requesting Data...</v>
      </c>
      <c r="N1506" t="str">
        <f>_xll.BDP("581714WJ Muni","YTW_SPREAD_TO_MATURITY_AT_ISSU")</f>
        <v>#N/A Requesting Data...</v>
      </c>
      <c r="O1506" t="str">
        <f>_xll.BDP("581714WJ Muni","BVAL_MID_YTM")</f>
        <v>#N/A Requesting Data...</v>
      </c>
      <c r="P1506" t="str">
        <f>_xll.BDP("581714WJ Muni","MUNI_TAX_PROV")</f>
        <v>#N/A Requesting Data...</v>
      </c>
      <c r="Q1506" t="str">
        <f>_xll.BDP("581714WJ Muni","MUNI_FED_TAX")</f>
        <v>#N/A Requesting Data...</v>
      </c>
      <c r="R1506" t="str">
        <f>_xll.BDP("581714WJ Muni","MUNI_MSRB_VOLUME")</f>
        <v>#N/A Requesting Data...</v>
      </c>
      <c r="S1506" t="str">
        <f>_xll.BDP("581714WJ Muni","BB_COMPOSITE")</f>
        <v>#N/A Requesting Data...</v>
      </c>
      <c r="T1506" t="str">
        <f>_xll.BDP("581714WJ Muni","LQA_LIQUIDITY_SCORE")</f>
        <v>#N/A Requesting Data...</v>
      </c>
    </row>
    <row r="1507" spans="1:20" x14ac:dyDescent="0.25">
      <c r="A1507" t="str">
        <f>_xll.BDP("581714WK Muni","ID_CUSIP")</f>
        <v>#N/A Requesting Data...</v>
      </c>
      <c r="B1507" t="s">
        <v>376</v>
      </c>
      <c r="C1507" t="str">
        <f>_xll.BDP("581714WK Muni","INSURANCE_STATUS")</f>
        <v>#N/A Requesting Data...</v>
      </c>
      <c r="D1507" t="str">
        <f>_xll.BDP("581714WK Muni","STATE_CODE")</f>
        <v>#N/A Requesting Data...</v>
      </c>
      <c r="E1507" t="str">
        <f>_xll.BDP("581714WK Muni","COUNTY_LOCATION_ISSUER")</f>
        <v>#N/A Requesting Data...</v>
      </c>
      <c r="F1507" t="str">
        <f>_xll.BDP("581714WK Muni","DUR_ADJ_MID")</f>
        <v>#N/A Requesting Data...</v>
      </c>
      <c r="G1507" t="str">
        <f>_xll.BDP("581714WK Muni","SPREAD_AT_ISSUANCE_TO_WORST")</f>
        <v>#N/A Requesting Data...</v>
      </c>
      <c r="H1507" t="str">
        <f>_xll.BDP("581714WK Muni","ISSUE_DT")</f>
        <v>#N/A Requesting Data...</v>
      </c>
      <c r="I1507" t="str">
        <f>_xll.BDS("581714WK Muni","MUNI_PURPOSE_SCHED", "aggregate=y")</f>
        <v>#N/A Requesting Data...</v>
      </c>
      <c r="J1507" t="str">
        <f>_xll.BDP("581714WK Muni","CPN")</f>
        <v>#N/A Requesting Data...</v>
      </c>
      <c r="K1507" t="str">
        <f>_xll.BDP("581714WK Muni","MATURITY")</f>
        <v>#N/A Requesting Data...</v>
      </c>
      <c r="L1507">
        <v>505000</v>
      </c>
      <c r="M1507" t="str">
        <f>_xll.BDP("581714WK Muni","YIELD_ON_ISSUE_DATE")</f>
        <v>#N/A Requesting Data...</v>
      </c>
      <c r="N1507" t="str">
        <f>_xll.BDP("581714WK Muni","YTW_SPREAD_TO_MATURITY_AT_ISSU")</f>
        <v>#N/A Requesting Data...</v>
      </c>
      <c r="O1507" t="str">
        <f>_xll.BDP("581714WK Muni","BVAL_MID_YTM")</f>
        <v>#N/A Requesting Data...</v>
      </c>
      <c r="P1507" t="str">
        <f>_xll.BDP("581714WK Muni","MUNI_TAX_PROV")</f>
        <v>#N/A Requesting Data...</v>
      </c>
      <c r="Q1507" t="str">
        <f>_xll.BDP("581714WK Muni","MUNI_FED_TAX")</f>
        <v>#N/A Requesting Data...</v>
      </c>
      <c r="R1507" t="str">
        <f>_xll.BDP("581714WK Muni","MUNI_MSRB_VOLUME")</f>
        <v>#N/A Requesting Data...</v>
      </c>
      <c r="S1507" t="str">
        <f>_xll.BDP("581714WK Muni","BB_COMPOSITE")</f>
        <v>#N/A Requesting Data...</v>
      </c>
      <c r="T1507" t="str">
        <f>_xll.BDP("581714WK Muni","LQA_LIQUIDITY_SCORE")</f>
        <v>#N/A Requesting Data...</v>
      </c>
    </row>
    <row r="1508" spans="1:20" x14ac:dyDescent="0.25">
      <c r="A1508" t="str">
        <f>_xll.BDP("581714WL Muni","ID_CUSIP")</f>
        <v>#N/A Requesting Data...</v>
      </c>
      <c r="B1508" t="s">
        <v>376</v>
      </c>
      <c r="C1508" t="str">
        <f>_xll.BDP("581714WL Muni","INSURANCE_STATUS")</f>
        <v>#N/A Requesting Data...</v>
      </c>
      <c r="D1508" t="str">
        <f>_xll.BDP("581714WL Muni","STATE_CODE")</f>
        <v>#N/A Requesting Data...</v>
      </c>
      <c r="E1508" t="str">
        <f>_xll.BDP("581714WL Muni","COUNTY_LOCATION_ISSUER")</f>
        <v>#N/A Requesting Data...</v>
      </c>
      <c r="F1508" t="str">
        <f>_xll.BDP("581714WL Muni","DUR_ADJ_MID")</f>
        <v>#N/A Requesting Data...</v>
      </c>
      <c r="G1508" t="str">
        <f>_xll.BDP("581714WL Muni","SPREAD_AT_ISSUANCE_TO_WORST")</f>
        <v>#N/A Requesting Data...</v>
      </c>
      <c r="H1508" t="str">
        <f>_xll.BDP("581714WL Muni","ISSUE_DT")</f>
        <v>#N/A Requesting Data...</v>
      </c>
      <c r="I1508" t="str">
        <f>_xll.BDS("581714WL Muni","MUNI_PURPOSE_SCHED", "aggregate=y")</f>
        <v>#N/A Requesting Data...</v>
      </c>
      <c r="J1508" t="str">
        <f>_xll.BDP("581714WL Muni","CPN")</f>
        <v>#N/A Requesting Data...</v>
      </c>
      <c r="K1508" t="str">
        <f>_xll.BDP("581714WL Muni","MATURITY")</f>
        <v>#N/A Requesting Data...</v>
      </c>
      <c r="L1508">
        <v>530000</v>
      </c>
      <c r="M1508" t="str">
        <f>_xll.BDP("581714WL Muni","YIELD_ON_ISSUE_DATE")</f>
        <v>#N/A Requesting Data...</v>
      </c>
      <c r="N1508" t="str">
        <f>_xll.BDP("581714WL Muni","YTW_SPREAD_TO_MATURITY_AT_ISSU")</f>
        <v>#N/A Requesting Data...</v>
      </c>
      <c r="O1508" t="str">
        <f>_xll.BDP("581714WL Muni","BVAL_MID_YTM")</f>
        <v>#N/A Requesting Data...</v>
      </c>
      <c r="P1508" t="str">
        <f>_xll.BDP("581714WL Muni","MUNI_TAX_PROV")</f>
        <v>#N/A Requesting Data...</v>
      </c>
      <c r="Q1508" t="str">
        <f>_xll.BDP("581714WL Muni","MUNI_FED_TAX")</f>
        <v>#N/A Requesting Data...</v>
      </c>
      <c r="R1508" t="str">
        <f>_xll.BDP("581714WL Muni","MUNI_MSRB_VOLUME")</f>
        <v>#N/A Requesting Data...</v>
      </c>
      <c r="S1508" t="str">
        <f>_xll.BDP("581714WL Muni","BB_COMPOSITE")</f>
        <v>#N/A Requesting Data...</v>
      </c>
      <c r="T1508" t="str">
        <f>_xll.BDP("581714WL Muni","LQA_LIQUIDITY_SCORE")</f>
        <v>#N/A Requesting Data...</v>
      </c>
    </row>
    <row r="1509" spans="1:20" x14ac:dyDescent="0.25">
      <c r="A1509" t="str">
        <f>_xll.BDP("581714WM Muni","ID_CUSIP")</f>
        <v>#N/A Requesting Data...</v>
      </c>
      <c r="B1509" t="s">
        <v>376</v>
      </c>
      <c r="C1509" t="str">
        <f>_xll.BDP("581714WM Muni","INSURANCE_STATUS")</f>
        <v>#N/A Requesting Data...</v>
      </c>
      <c r="D1509" t="str">
        <f>_xll.BDP("581714WM Muni","STATE_CODE")</f>
        <v>#N/A Requesting Data...</v>
      </c>
      <c r="E1509" t="str">
        <f>_xll.BDP("581714WM Muni","COUNTY_LOCATION_ISSUER")</f>
        <v>#N/A Requesting Data...</v>
      </c>
      <c r="F1509" t="str">
        <f>_xll.BDP("581714WM Muni","DUR_ADJ_MID")</f>
        <v>#N/A Requesting Data...</v>
      </c>
      <c r="G1509" t="str">
        <f>_xll.BDP("581714WM Muni","SPREAD_AT_ISSUANCE_TO_WORST")</f>
        <v>#N/A Requesting Data...</v>
      </c>
      <c r="H1509" t="str">
        <f>_xll.BDP("581714WM Muni","ISSUE_DT")</f>
        <v>#N/A Requesting Data...</v>
      </c>
      <c r="I1509" t="str">
        <f>_xll.BDS("581714WM Muni","MUNI_PURPOSE_SCHED", "aggregate=y")</f>
        <v>#N/A Requesting Data...</v>
      </c>
      <c r="J1509" t="str">
        <f>_xll.BDP("581714WM Muni","CPN")</f>
        <v>#N/A Requesting Data...</v>
      </c>
      <c r="K1509" t="str">
        <f>_xll.BDP("581714WM Muni","MATURITY")</f>
        <v>#N/A Requesting Data...</v>
      </c>
      <c r="L1509">
        <v>560000</v>
      </c>
      <c r="M1509" t="str">
        <f>_xll.BDP("581714WM Muni","YIELD_ON_ISSUE_DATE")</f>
        <v>#N/A Requesting Data...</v>
      </c>
      <c r="N1509" t="str">
        <f>_xll.BDP("581714WM Muni","YTW_SPREAD_TO_MATURITY_AT_ISSU")</f>
        <v>#N/A Requesting Data...</v>
      </c>
      <c r="O1509" t="str">
        <f>_xll.BDP("581714WM Muni","BVAL_MID_YTM")</f>
        <v>#N/A Requesting Data...</v>
      </c>
      <c r="P1509" t="str">
        <f>_xll.BDP("581714WM Muni","MUNI_TAX_PROV")</f>
        <v>#N/A Requesting Data...</v>
      </c>
      <c r="Q1509" t="str">
        <f>_xll.BDP("581714WM Muni","MUNI_FED_TAX")</f>
        <v>#N/A Requesting Data...</v>
      </c>
      <c r="R1509" t="str">
        <f>_xll.BDP("581714WM Muni","MUNI_MSRB_VOLUME")</f>
        <v>#N/A Requesting Data...</v>
      </c>
      <c r="S1509" t="str">
        <f>_xll.BDP("581714WM Muni","BB_COMPOSITE")</f>
        <v>#N/A Requesting Data...</v>
      </c>
      <c r="T1509" t="str">
        <f>_xll.BDP("581714WM Muni","LQA_LIQUIDITY_SCORE")</f>
        <v>#N/A Requesting Data...</v>
      </c>
    </row>
    <row r="1510" spans="1:20" x14ac:dyDescent="0.25">
      <c r="A1510" t="str">
        <f>_xll.BDP("581732EB Muni","ID_CUSIP")</f>
        <v>#N/A Requesting Data...</v>
      </c>
      <c r="B1510" t="s">
        <v>377</v>
      </c>
      <c r="C1510" t="str">
        <f>_xll.BDP("581732EB Muni","INSURANCE_STATUS")</f>
        <v>#N/A Requesting Data...</v>
      </c>
      <c r="D1510" t="str">
        <f>_xll.BDP("581732EB Muni","STATE_CODE")</f>
        <v>#N/A Requesting Data...</v>
      </c>
      <c r="E1510" t="str">
        <f>_xll.BDP("581732EB Muni","COUNTY_LOCATION_ISSUER")</f>
        <v>#N/A Requesting Data...</v>
      </c>
      <c r="F1510" t="str">
        <f>_xll.BDP("581732EB Muni","DUR_ADJ_MID")</f>
        <v>#N/A Requesting Data...</v>
      </c>
      <c r="G1510" t="str">
        <f>_xll.BDP("581732EB Muni","SPREAD_AT_ISSUANCE_TO_WORST")</f>
        <v>#N/A Requesting Data...</v>
      </c>
      <c r="H1510" t="str">
        <f>_xll.BDP("581732EB Muni","ISSUE_DT")</f>
        <v>#N/A Requesting Data...</v>
      </c>
      <c r="I1510" t="str">
        <f>_xll.BDS("581732EB Muni","MUNI_PURPOSE_SCHED", "aggregate=y")</f>
        <v>#N/A Requesting Data...</v>
      </c>
      <c r="J1510" t="str">
        <f>_xll.BDP("581732EB Muni","CPN")</f>
        <v>#N/A Requesting Data...</v>
      </c>
      <c r="K1510" t="str">
        <f>_xll.BDP("581732EB Muni","MATURITY")</f>
        <v>#N/A Requesting Data...</v>
      </c>
      <c r="L1510">
        <v>235000</v>
      </c>
      <c r="M1510" t="str">
        <f>_xll.BDP("581732EB Muni","YIELD_ON_ISSUE_DATE")</f>
        <v>#N/A Requesting Data...</v>
      </c>
      <c r="N1510" t="str">
        <f>_xll.BDP("581732EB Muni","YTW_SPREAD_TO_MATURITY_AT_ISSU")</f>
        <v>#N/A Requesting Data...</v>
      </c>
      <c r="O1510" t="str">
        <f>_xll.BDP("581732EB Muni","BVAL_MID_YTM")</f>
        <v>#N/A Requesting Data...</v>
      </c>
      <c r="P1510" t="str">
        <f>_xll.BDP("581732EB Muni","MUNI_TAX_PROV")</f>
        <v>#N/A Requesting Data...</v>
      </c>
      <c r="Q1510" t="str">
        <f>_xll.BDP("581732EB Muni","MUNI_FED_TAX")</f>
        <v>#N/A Requesting Data...</v>
      </c>
      <c r="R1510" t="str">
        <f>_xll.BDP("581732EB Muni","MUNI_MSRB_VOLUME")</f>
        <v>#N/A Requesting Data...</v>
      </c>
      <c r="S1510" t="str">
        <f>_xll.BDP("581732EB Muni","BB_COMPOSITE")</f>
        <v>#N/A Requesting Data...</v>
      </c>
      <c r="T1510" t="str">
        <f>_xll.BDP("581732EB Muni","LQA_LIQUIDITY_SCORE")</f>
        <v>#N/A Requesting Data...</v>
      </c>
    </row>
    <row r="1511" spans="1:20" x14ac:dyDescent="0.25">
      <c r="A1511" t="str">
        <f>_xll.BDP("581732EC Muni","ID_CUSIP")</f>
        <v>#N/A Requesting Data...</v>
      </c>
      <c r="B1511" t="s">
        <v>377</v>
      </c>
      <c r="C1511" t="str">
        <f>_xll.BDP("581732EC Muni","INSURANCE_STATUS")</f>
        <v>#N/A Requesting Data...</v>
      </c>
      <c r="D1511" t="str">
        <f>_xll.BDP("581732EC Muni","STATE_CODE")</f>
        <v>#N/A Requesting Data...</v>
      </c>
      <c r="E1511" t="str">
        <f>_xll.BDP("581732EC Muni","COUNTY_LOCATION_ISSUER")</f>
        <v>#N/A Requesting Data...</v>
      </c>
      <c r="F1511" t="str">
        <f>_xll.BDP("581732EC Muni","DUR_ADJ_MID")</f>
        <v>#N/A Requesting Data...</v>
      </c>
      <c r="G1511" t="str">
        <f>_xll.BDP("581732EC Muni","SPREAD_AT_ISSUANCE_TO_WORST")</f>
        <v>#N/A Requesting Data...</v>
      </c>
      <c r="H1511" t="str">
        <f>_xll.BDP("581732EC Muni","ISSUE_DT")</f>
        <v>#N/A Requesting Data...</v>
      </c>
      <c r="I1511" t="str">
        <f>_xll.BDS("581732EC Muni","MUNI_PURPOSE_SCHED", "aggregate=y")</f>
        <v>#N/A Requesting Data...</v>
      </c>
      <c r="J1511" t="str">
        <f>_xll.BDP("581732EC Muni","CPN")</f>
        <v>#N/A Requesting Data...</v>
      </c>
      <c r="K1511" t="str">
        <f>_xll.BDP("581732EC Muni","MATURITY")</f>
        <v>#N/A Requesting Data...</v>
      </c>
      <c r="L1511">
        <v>245000</v>
      </c>
      <c r="M1511" t="str">
        <f>_xll.BDP("581732EC Muni","YIELD_ON_ISSUE_DATE")</f>
        <v>#N/A Requesting Data...</v>
      </c>
      <c r="N1511" t="str">
        <f>_xll.BDP("581732EC Muni","YTW_SPREAD_TO_MATURITY_AT_ISSU")</f>
        <v>#N/A Requesting Data...</v>
      </c>
      <c r="O1511" t="str">
        <f>_xll.BDP("581732EC Muni","BVAL_MID_YTM")</f>
        <v>#N/A Requesting Data...</v>
      </c>
      <c r="P1511" t="str">
        <f>_xll.BDP("581732EC Muni","MUNI_TAX_PROV")</f>
        <v>#N/A Requesting Data...</v>
      </c>
      <c r="Q1511" t="str">
        <f>_xll.BDP("581732EC Muni","MUNI_FED_TAX")</f>
        <v>#N/A Requesting Data...</v>
      </c>
      <c r="R1511" t="str">
        <f>_xll.BDP("581732EC Muni","MUNI_MSRB_VOLUME")</f>
        <v>#N/A Requesting Data...</v>
      </c>
      <c r="S1511" t="str">
        <f>_xll.BDP("581732EC Muni","BB_COMPOSITE")</f>
        <v>#N/A Requesting Data...</v>
      </c>
      <c r="T1511" t="str">
        <f>_xll.BDP("581732EC Muni","LQA_LIQUIDITY_SCORE")</f>
        <v>#N/A Requesting Data...</v>
      </c>
    </row>
    <row r="1512" spans="1:20" x14ac:dyDescent="0.25">
      <c r="A1512" t="str">
        <f>_xll.BDP("62821VFL Muni","ID_CUSIP")</f>
        <v>#N/A Requesting Data...</v>
      </c>
      <c r="B1512" t="s">
        <v>375</v>
      </c>
      <c r="C1512" t="str">
        <f>_xll.BDP("62821VFL Muni","INSURANCE_STATUS")</f>
        <v>#N/A Requesting Data...</v>
      </c>
      <c r="D1512" t="str">
        <f>_xll.BDP("62821VFL Muni","STATE_CODE")</f>
        <v>#N/A Requesting Data...</v>
      </c>
      <c r="E1512" t="str">
        <f>_xll.BDP("62821VFL Muni","COUNTY_LOCATION_ISSUER")</f>
        <v>#N/A Requesting Data...</v>
      </c>
      <c r="F1512" t="str">
        <f>_xll.BDP("62821VFL Muni","DUR_ADJ_MID")</f>
        <v>#N/A Requesting Data...</v>
      </c>
      <c r="G1512" t="str">
        <f>_xll.BDP("62821VFL Muni","SPREAD_AT_ISSUANCE_TO_WORST")</f>
        <v>#N/A Requesting Data...</v>
      </c>
      <c r="H1512" t="str">
        <f>_xll.BDP("62821VFL Muni","ISSUE_DT")</f>
        <v>#N/A Requesting Data...</v>
      </c>
      <c r="I1512" t="str">
        <f>_xll.BDS("62821VFL Muni","MUNI_PURPOSE_SCHED", "aggregate=y")</f>
        <v>#N/A Requesting Data...</v>
      </c>
      <c r="J1512" t="str">
        <f>_xll.BDP("62821VFL Muni","CPN")</f>
        <v>#N/A Requesting Data...</v>
      </c>
      <c r="K1512" t="str">
        <f>_xll.BDP("62821VFL Muni","MATURITY")</f>
        <v>#N/A Requesting Data...</v>
      </c>
      <c r="L1512">
        <v>415000</v>
      </c>
      <c r="M1512" t="str">
        <f>_xll.BDP("62821VFL Muni","YIELD_ON_ISSUE_DATE")</f>
        <v>#N/A Requesting Data...</v>
      </c>
      <c r="N1512" t="str">
        <f>_xll.BDP("62821VFL Muni","YTW_SPREAD_TO_MATURITY_AT_ISSU")</f>
        <v>#N/A Requesting Data...</v>
      </c>
      <c r="O1512" t="str">
        <f>_xll.BDP("62821VFL Muni","BVAL_MID_YTM")</f>
        <v>#N/A Requesting Data...</v>
      </c>
      <c r="P1512" t="str">
        <f>_xll.BDP("62821VFL Muni","MUNI_TAX_PROV")</f>
        <v>#N/A Requesting Data...</v>
      </c>
      <c r="Q1512" t="str">
        <f>_xll.BDP("62821VFL Muni","MUNI_FED_TAX")</f>
        <v>#N/A Requesting Data...</v>
      </c>
      <c r="R1512" t="str">
        <f>_xll.BDP("62821VFL Muni","MUNI_MSRB_VOLUME")</f>
        <v>#N/A Requesting Data...</v>
      </c>
      <c r="S1512" t="str">
        <f>_xll.BDP("62821VFL Muni","BB_COMPOSITE")</f>
        <v>#N/A Requesting Data...</v>
      </c>
      <c r="T1512" t="str">
        <f>_xll.BDP("62821VFL Muni","LQA_LIQUIDITY_SCORE")</f>
        <v>#N/A Requesting Data...</v>
      </c>
    </row>
    <row r="1513" spans="1:20" x14ac:dyDescent="0.25">
      <c r="A1513" t="str">
        <f>_xll.BDP("62821VFM Muni","ID_CUSIP")</f>
        <v>#N/A Requesting Data...</v>
      </c>
      <c r="B1513" t="s">
        <v>375</v>
      </c>
      <c r="C1513" t="str">
        <f>_xll.BDP("62821VFM Muni","INSURANCE_STATUS")</f>
        <v>#N/A Requesting Data...</v>
      </c>
      <c r="D1513" t="str">
        <f>_xll.BDP("62821VFM Muni","STATE_CODE")</f>
        <v>#N/A Requesting Data...</v>
      </c>
      <c r="E1513" t="str">
        <f>_xll.BDP("62821VFM Muni","COUNTY_LOCATION_ISSUER")</f>
        <v>#N/A Requesting Data...</v>
      </c>
      <c r="F1513" t="str">
        <f>_xll.BDP("62821VFM Muni","DUR_ADJ_MID")</f>
        <v>#N/A Requesting Data...</v>
      </c>
      <c r="G1513" t="str">
        <f>_xll.BDP("62821VFM Muni","SPREAD_AT_ISSUANCE_TO_WORST")</f>
        <v>#N/A Requesting Data...</v>
      </c>
      <c r="H1513" t="str">
        <f>_xll.BDP("62821VFM Muni","ISSUE_DT")</f>
        <v>#N/A Requesting Data...</v>
      </c>
      <c r="I1513" t="str">
        <f>_xll.BDS("62821VFM Muni","MUNI_PURPOSE_SCHED", "aggregate=y")</f>
        <v>#N/A Requesting Data...</v>
      </c>
      <c r="J1513" t="str">
        <f>_xll.BDP("62821VFM Muni","CPN")</f>
        <v>#N/A Requesting Data...</v>
      </c>
      <c r="K1513" t="str">
        <f>_xll.BDP("62821VFM Muni","MATURITY")</f>
        <v>#N/A Requesting Data...</v>
      </c>
      <c r="L1513">
        <v>435000</v>
      </c>
      <c r="M1513" t="str">
        <f>_xll.BDP("62821VFM Muni","YIELD_ON_ISSUE_DATE")</f>
        <v>#N/A Requesting Data...</v>
      </c>
      <c r="N1513" t="str">
        <f>_xll.BDP("62821VFM Muni","YTW_SPREAD_TO_MATURITY_AT_ISSU")</f>
        <v>#N/A Requesting Data...</v>
      </c>
      <c r="O1513" t="str">
        <f>_xll.BDP("62821VFM Muni","BVAL_MID_YTM")</f>
        <v>#N/A Requesting Data...</v>
      </c>
      <c r="P1513" t="str">
        <f>_xll.BDP("62821VFM Muni","MUNI_TAX_PROV")</f>
        <v>#N/A Requesting Data...</v>
      </c>
      <c r="Q1513" t="str">
        <f>_xll.BDP("62821VFM Muni","MUNI_FED_TAX")</f>
        <v>#N/A Requesting Data...</v>
      </c>
      <c r="R1513" t="str">
        <f>_xll.BDP("62821VFM Muni","MUNI_MSRB_VOLUME")</f>
        <v>#N/A Requesting Data...</v>
      </c>
      <c r="S1513" t="str">
        <f>_xll.BDP("62821VFM Muni","BB_COMPOSITE")</f>
        <v>#N/A Requesting Data...</v>
      </c>
      <c r="T1513" t="str">
        <f>_xll.BDP("62821VFM Muni","LQA_LIQUIDITY_SCORE")</f>
        <v>#N/A Requesting Data...</v>
      </c>
    </row>
    <row r="1514" spans="1:20" x14ac:dyDescent="0.25">
      <c r="A1514" t="str">
        <f>_xll.BDP("62821VFN Muni","ID_CUSIP")</f>
        <v>#N/A Requesting Data...</v>
      </c>
      <c r="B1514" t="s">
        <v>375</v>
      </c>
      <c r="C1514" t="str">
        <f>_xll.BDP("62821VFN Muni","INSURANCE_STATUS")</f>
        <v>#N/A Requesting Data...</v>
      </c>
      <c r="D1514" t="str">
        <f>_xll.BDP("62821VFN Muni","STATE_CODE")</f>
        <v>#N/A Requesting Data...</v>
      </c>
      <c r="E1514" t="str">
        <f>_xll.BDP("62821VFN Muni","COUNTY_LOCATION_ISSUER")</f>
        <v>#N/A Requesting Data...</v>
      </c>
      <c r="F1514" t="str">
        <f>_xll.BDP("62821VFN Muni","DUR_ADJ_MID")</f>
        <v>#N/A Requesting Data...</v>
      </c>
      <c r="G1514" t="str">
        <f>_xll.BDP("62821VFN Muni","SPREAD_AT_ISSUANCE_TO_WORST")</f>
        <v>#N/A Requesting Data...</v>
      </c>
      <c r="H1514" t="str">
        <f>_xll.BDP("62821VFN Muni","ISSUE_DT")</f>
        <v>#N/A Requesting Data...</v>
      </c>
      <c r="I1514" t="str">
        <f>_xll.BDS("62821VFN Muni","MUNI_PURPOSE_SCHED", "aggregate=y")</f>
        <v>#N/A Requesting Data...</v>
      </c>
      <c r="J1514" t="str">
        <f>_xll.BDP("62821VFN Muni","CPN")</f>
        <v>#N/A Requesting Data...</v>
      </c>
      <c r="K1514" t="str">
        <f>_xll.BDP("62821VFN Muni","MATURITY")</f>
        <v>#N/A Requesting Data...</v>
      </c>
      <c r="L1514">
        <v>455000</v>
      </c>
      <c r="M1514" t="str">
        <f>_xll.BDP("62821VFN Muni","YIELD_ON_ISSUE_DATE")</f>
        <v>#N/A Requesting Data...</v>
      </c>
      <c r="N1514" t="str">
        <f>_xll.BDP("62821VFN Muni","YTW_SPREAD_TO_MATURITY_AT_ISSU")</f>
        <v>#N/A Requesting Data...</v>
      </c>
      <c r="O1514" t="str">
        <f>_xll.BDP("62821VFN Muni","BVAL_MID_YTM")</f>
        <v>#N/A Requesting Data...</v>
      </c>
      <c r="P1514" t="str">
        <f>_xll.BDP("62821VFN Muni","MUNI_TAX_PROV")</f>
        <v>#N/A Requesting Data...</v>
      </c>
      <c r="Q1514" t="str">
        <f>_xll.BDP("62821VFN Muni","MUNI_FED_TAX")</f>
        <v>#N/A Requesting Data...</v>
      </c>
      <c r="R1514" t="str">
        <f>_xll.BDP("62821VFN Muni","MUNI_MSRB_VOLUME")</f>
        <v>#N/A Requesting Data...</v>
      </c>
      <c r="S1514" t="str">
        <f>_xll.BDP("62821VFN Muni","BB_COMPOSITE")</f>
        <v>#N/A Requesting Data...</v>
      </c>
      <c r="T1514" t="str">
        <f>_xll.BDP("62821VFN Muni","LQA_LIQUIDITY_SCORE")</f>
        <v>#N/A Requesting Data...</v>
      </c>
    </row>
    <row r="1515" spans="1:20" x14ac:dyDescent="0.25">
      <c r="A1515" t="str">
        <f>_xll.BDP("62821VFP Muni","ID_CUSIP")</f>
        <v>#N/A Requesting Data...</v>
      </c>
      <c r="B1515" t="s">
        <v>375</v>
      </c>
      <c r="C1515" t="str">
        <f>_xll.BDP("62821VFP Muni","INSURANCE_STATUS")</f>
        <v>#N/A Requesting Data...</v>
      </c>
      <c r="D1515" t="str">
        <f>_xll.BDP("62821VFP Muni","STATE_CODE")</f>
        <v>#N/A Requesting Data...</v>
      </c>
      <c r="E1515" t="str">
        <f>_xll.BDP("62821VFP Muni","COUNTY_LOCATION_ISSUER")</f>
        <v>#N/A Requesting Data...</v>
      </c>
      <c r="F1515" t="str">
        <f>_xll.BDP("62821VFP Muni","DUR_ADJ_MID")</f>
        <v>#N/A Requesting Data...</v>
      </c>
      <c r="G1515" t="str">
        <f>_xll.BDP("62821VFP Muni","SPREAD_AT_ISSUANCE_TO_WORST")</f>
        <v>#N/A Requesting Data...</v>
      </c>
      <c r="H1515" t="str">
        <f>_xll.BDP("62821VFP Muni","ISSUE_DT")</f>
        <v>#N/A Requesting Data...</v>
      </c>
      <c r="I1515" t="str">
        <f>_xll.BDS("62821VFP Muni","MUNI_PURPOSE_SCHED", "aggregate=y")</f>
        <v>#N/A Requesting Data...</v>
      </c>
      <c r="J1515" t="str">
        <f>_xll.BDP("62821VFP Muni","CPN")</f>
        <v>#N/A Requesting Data...</v>
      </c>
      <c r="K1515" t="str">
        <f>_xll.BDP("62821VFP Muni","MATURITY")</f>
        <v>#N/A Requesting Data...</v>
      </c>
      <c r="L1515">
        <v>480000</v>
      </c>
      <c r="M1515" t="str">
        <f>_xll.BDP("62821VFP Muni","YIELD_ON_ISSUE_DATE")</f>
        <v>#N/A Requesting Data...</v>
      </c>
      <c r="N1515" t="str">
        <f>_xll.BDP("62821VFP Muni","YTW_SPREAD_TO_MATURITY_AT_ISSU")</f>
        <v>#N/A Requesting Data...</v>
      </c>
      <c r="O1515" t="str">
        <f>_xll.BDP("62821VFP Muni","BVAL_MID_YTM")</f>
        <v>#N/A Requesting Data...</v>
      </c>
      <c r="P1515" t="str">
        <f>_xll.BDP("62821VFP Muni","MUNI_TAX_PROV")</f>
        <v>#N/A Requesting Data...</v>
      </c>
      <c r="Q1515" t="str">
        <f>_xll.BDP("62821VFP Muni","MUNI_FED_TAX")</f>
        <v>#N/A Requesting Data...</v>
      </c>
      <c r="R1515" t="str">
        <f>_xll.BDP("62821VFP Muni","MUNI_MSRB_VOLUME")</f>
        <v>#N/A Requesting Data...</v>
      </c>
      <c r="S1515" t="str">
        <f>_xll.BDP("62821VFP Muni","BB_COMPOSITE")</f>
        <v>#N/A Requesting Data...</v>
      </c>
      <c r="T1515" t="str">
        <f>_xll.BDP("62821VFP Muni","LQA_LIQUIDITY_SCORE")</f>
        <v>#N/A Requesting Data...</v>
      </c>
    </row>
    <row r="1516" spans="1:20" x14ac:dyDescent="0.25">
      <c r="A1516" t="str">
        <f>_xll.BDP("62821VFQ Muni","ID_CUSIP")</f>
        <v>#N/A Requesting Data...</v>
      </c>
      <c r="B1516" t="s">
        <v>375</v>
      </c>
      <c r="C1516" t="str">
        <f>_xll.BDP("62821VFQ Muni","INSURANCE_STATUS")</f>
        <v>#N/A Requesting Data...</v>
      </c>
      <c r="D1516" t="str">
        <f>_xll.BDP("62821VFQ Muni","STATE_CODE")</f>
        <v>#N/A Requesting Data...</v>
      </c>
      <c r="E1516" t="str">
        <f>_xll.BDP("62821VFQ Muni","COUNTY_LOCATION_ISSUER")</f>
        <v>#N/A Requesting Data...</v>
      </c>
      <c r="F1516" t="str">
        <f>_xll.BDP("62821VFQ Muni","DUR_ADJ_MID")</f>
        <v>#N/A Requesting Data...</v>
      </c>
      <c r="G1516" t="str">
        <f>_xll.BDP("62821VFQ Muni","SPREAD_AT_ISSUANCE_TO_WORST")</f>
        <v>#N/A Requesting Data...</v>
      </c>
      <c r="H1516" t="str">
        <f>_xll.BDP("62821VFQ Muni","ISSUE_DT")</f>
        <v>#N/A Requesting Data...</v>
      </c>
      <c r="I1516" t="str">
        <f>_xll.BDS("62821VFQ Muni","MUNI_PURPOSE_SCHED", "aggregate=y")</f>
        <v>#N/A Requesting Data...</v>
      </c>
      <c r="J1516" t="str">
        <f>_xll.BDP("62821VFQ Muni","CPN")</f>
        <v>#N/A Requesting Data...</v>
      </c>
      <c r="K1516" t="str">
        <f>_xll.BDP("62821VFQ Muni","MATURITY")</f>
        <v>#N/A Requesting Data...</v>
      </c>
      <c r="L1516">
        <v>505000</v>
      </c>
      <c r="M1516" t="str">
        <f>_xll.BDP("62821VFQ Muni","YIELD_ON_ISSUE_DATE")</f>
        <v>#N/A Requesting Data...</v>
      </c>
      <c r="N1516" t="str">
        <f>_xll.BDP("62821VFQ Muni","YTW_SPREAD_TO_MATURITY_AT_ISSU")</f>
        <v>#N/A Requesting Data...</v>
      </c>
      <c r="O1516" t="str">
        <f>_xll.BDP("62821VFQ Muni","BVAL_MID_YTM")</f>
        <v>#N/A Requesting Data...</v>
      </c>
      <c r="P1516" t="str">
        <f>_xll.BDP("62821VFQ Muni","MUNI_TAX_PROV")</f>
        <v>#N/A Requesting Data...</v>
      </c>
      <c r="Q1516" t="str">
        <f>_xll.BDP("62821VFQ Muni","MUNI_FED_TAX")</f>
        <v>#N/A Requesting Data...</v>
      </c>
      <c r="R1516" t="str">
        <f>_xll.BDP("62821VFQ Muni","MUNI_MSRB_VOLUME")</f>
        <v>#N/A Requesting Data...</v>
      </c>
      <c r="S1516" t="str">
        <f>_xll.BDP("62821VFQ Muni","BB_COMPOSITE")</f>
        <v>#N/A Requesting Data...</v>
      </c>
      <c r="T1516" t="str">
        <f>_xll.BDP("62821VFQ Muni","LQA_LIQUIDITY_SCORE")</f>
        <v>#N/A Requesting Data...</v>
      </c>
    </row>
    <row r="1517" spans="1:20" x14ac:dyDescent="0.25">
      <c r="A1517" t="str">
        <f>_xll.BDP("62821VFR Muni","ID_CUSIP")</f>
        <v>#N/A Requesting Data...</v>
      </c>
      <c r="B1517" t="s">
        <v>375</v>
      </c>
      <c r="C1517" t="str">
        <f>_xll.BDP("62821VFR Muni","INSURANCE_STATUS")</f>
        <v>#N/A Requesting Data...</v>
      </c>
      <c r="D1517" t="str">
        <f>_xll.BDP("62821VFR Muni","STATE_CODE")</f>
        <v>#N/A Requesting Data...</v>
      </c>
      <c r="E1517" t="str">
        <f>_xll.BDP("62821VFR Muni","COUNTY_LOCATION_ISSUER")</f>
        <v>#N/A Requesting Data...</v>
      </c>
      <c r="F1517" t="str">
        <f>_xll.BDP("62821VFR Muni","DUR_ADJ_MID")</f>
        <v>#N/A Requesting Data...</v>
      </c>
      <c r="G1517" t="str">
        <f>_xll.BDP("62821VFR Muni","SPREAD_AT_ISSUANCE_TO_WORST")</f>
        <v>#N/A Requesting Data...</v>
      </c>
      <c r="H1517" t="str">
        <f>_xll.BDP("62821VFR Muni","ISSUE_DT")</f>
        <v>#N/A Requesting Data...</v>
      </c>
      <c r="I1517" t="str">
        <f>_xll.BDS("62821VFR Muni","MUNI_PURPOSE_SCHED", "aggregate=y")</f>
        <v>#N/A Requesting Data...</v>
      </c>
      <c r="J1517" t="str">
        <f>_xll.BDP("62821VFR Muni","CPN")</f>
        <v>#N/A Requesting Data...</v>
      </c>
      <c r="K1517" t="str">
        <f>_xll.BDP("62821VFR Muni","MATURITY")</f>
        <v>#N/A Requesting Data...</v>
      </c>
      <c r="L1517">
        <v>530000</v>
      </c>
      <c r="M1517" t="str">
        <f>_xll.BDP("62821VFR Muni","YIELD_ON_ISSUE_DATE")</f>
        <v>#N/A Requesting Data...</v>
      </c>
      <c r="N1517" t="str">
        <f>_xll.BDP("62821VFR Muni","YTW_SPREAD_TO_MATURITY_AT_ISSU")</f>
        <v>#N/A Requesting Data...</v>
      </c>
      <c r="O1517" t="str">
        <f>_xll.BDP("62821VFR Muni","BVAL_MID_YTM")</f>
        <v>#N/A Requesting Data...</v>
      </c>
      <c r="P1517" t="str">
        <f>_xll.BDP("62821VFR Muni","MUNI_TAX_PROV")</f>
        <v>#N/A Requesting Data...</v>
      </c>
      <c r="Q1517" t="str">
        <f>_xll.BDP("62821VFR Muni","MUNI_FED_TAX")</f>
        <v>#N/A Requesting Data...</v>
      </c>
      <c r="R1517" t="str">
        <f>_xll.BDP("62821VFR Muni","MUNI_MSRB_VOLUME")</f>
        <v>#N/A Requesting Data...</v>
      </c>
      <c r="S1517" t="str">
        <f>_xll.BDP("62821VFR Muni","BB_COMPOSITE")</f>
        <v>#N/A Requesting Data...</v>
      </c>
      <c r="T1517" t="str">
        <f>_xll.BDP("62821VFR Muni","LQA_LIQUIDITY_SCORE")</f>
        <v>#N/A Requesting Data...</v>
      </c>
    </row>
    <row r="1518" spans="1:20" x14ac:dyDescent="0.25">
      <c r="A1518" t="str">
        <f>_xll.BDP("688035KF Muni","ID_CUSIP")</f>
        <v>#N/A Requesting Data...</v>
      </c>
      <c r="B1518" t="s">
        <v>378</v>
      </c>
      <c r="C1518" t="str">
        <f>_xll.BDP("688035KF Muni","INSURANCE_STATUS")</f>
        <v>#N/A Requesting Data...</v>
      </c>
      <c r="D1518" t="str">
        <f>_xll.BDP("688035KF Muni","STATE_CODE")</f>
        <v>#N/A Requesting Data...</v>
      </c>
      <c r="E1518" t="str">
        <f>_xll.BDP("688035KF Muni","COUNTY_LOCATION_ISSUER")</f>
        <v>#N/A Requesting Data...</v>
      </c>
      <c r="F1518" t="str">
        <f>_xll.BDP("688035KF Muni","DUR_ADJ_MID")</f>
        <v>#N/A Requesting Data...</v>
      </c>
      <c r="G1518" t="str">
        <f>_xll.BDP("688035KF Muni","SPREAD_AT_ISSUANCE_TO_WORST")</f>
        <v>#N/A Requesting Data...</v>
      </c>
      <c r="H1518" t="str">
        <f>_xll.BDP("688035KF Muni","ISSUE_DT")</f>
        <v>#N/A Requesting Data...</v>
      </c>
      <c r="I1518" t="str">
        <f>_xll.BDS("688035KF Muni","MUNI_PURPOSE_SCHED", "aggregate=y")</f>
        <v>#N/A Requesting Data...</v>
      </c>
      <c r="J1518" t="str">
        <f>_xll.BDP("688035KF Muni","CPN")</f>
        <v>#N/A Requesting Data...</v>
      </c>
      <c r="K1518" t="str">
        <f>_xll.BDP("688035KF Muni","MATURITY")</f>
        <v>#N/A Requesting Data...</v>
      </c>
      <c r="L1518">
        <v>420000</v>
      </c>
      <c r="M1518" t="str">
        <f>_xll.BDP("688035KF Muni","YIELD_ON_ISSUE_DATE")</f>
        <v>#N/A Requesting Data...</v>
      </c>
      <c r="N1518" t="str">
        <f>_xll.BDP("688035KF Muni","YTW_SPREAD_TO_MATURITY_AT_ISSU")</f>
        <v>#N/A Requesting Data...</v>
      </c>
      <c r="O1518" t="str">
        <f>_xll.BDP("688035KF Muni","BVAL_MID_YTM")</f>
        <v>#N/A Requesting Data...</v>
      </c>
      <c r="P1518" t="str">
        <f>_xll.BDP("688035KF Muni","MUNI_TAX_PROV")</f>
        <v>#N/A Requesting Data...</v>
      </c>
      <c r="Q1518" t="str">
        <f>_xll.BDP("688035KF Muni","MUNI_FED_TAX")</f>
        <v>#N/A Requesting Data...</v>
      </c>
      <c r="R1518" t="str">
        <f>_xll.BDP("688035KF Muni","MUNI_MSRB_VOLUME")</f>
        <v>#N/A Requesting Data...</v>
      </c>
      <c r="S1518" t="str">
        <f>_xll.BDP("688035KF Muni","BB_COMPOSITE")</f>
        <v>#N/A Requesting Data...</v>
      </c>
      <c r="T1518" t="str">
        <f>_xll.BDP("688035KF Muni","LQA_LIQUIDITY_SCORE")</f>
        <v>#N/A Requesting Data...</v>
      </c>
    </row>
    <row r="1519" spans="1:20" x14ac:dyDescent="0.25">
      <c r="A1519" t="str">
        <f>_xll.BDP("688035KG Muni","ID_CUSIP")</f>
        <v>#N/A Requesting Data...</v>
      </c>
      <c r="B1519" t="s">
        <v>378</v>
      </c>
      <c r="C1519" t="str">
        <f>_xll.BDP("688035KG Muni","INSURANCE_STATUS")</f>
        <v>#N/A Requesting Data...</v>
      </c>
      <c r="D1519" t="str">
        <f>_xll.BDP("688035KG Muni","STATE_CODE")</f>
        <v>#N/A Requesting Data...</v>
      </c>
      <c r="E1519" t="str">
        <f>_xll.BDP("688035KG Muni","COUNTY_LOCATION_ISSUER")</f>
        <v>#N/A Requesting Data...</v>
      </c>
      <c r="F1519" t="str">
        <f>_xll.BDP("688035KG Muni","DUR_ADJ_MID")</f>
        <v>#N/A Requesting Data...</v>
      </c>
      <c r="G1519" t="str">
        <f>_xll.BDP("688035KG Muni","SPREAD_AT_ISSUANCE_TO_WORST")</f>
        <v>#N/A Requesting Data...</v>
      </c>
      <c r="H1519" t="str">
        <f>_xll.BDP("688035KG Muni","ISSUE_DT")</f>
        <v>#N/A Requesting Data...</v>
      </c>
      <c r="I1519" t="str">
        <f>_xll.BDS("688035KG Muni","MUNI_PURPOSE_SCHED", "aggregate=y")</f>
        <v>#N/A Requesting Data...</v>
      </c>
      <c r="J1519" t="str">
        <f>_xll.BDP("688035KG Muni","CPN")</f>
        <v>#N/A Requesting Data...</v>
      </c>
      <c r="K1519" t="str">
        <f>_xll.BDP("688035KG Muni","MATURITY")</f>
        <v>#N/A Requesting Data...</v>
      </c>
      <c r="L1519">
        <v>435000</v>
      </c>
      <c r="M1519" t="str">
        <f>_xll.BDP("688035KG Muni","YIELD_ON_ISSUE_DATE")</f>
        <v>#N/A Requesting Data...</v>
      </c>
      <c r="N1519" t="str">
        <f>_xll.BDP("688035KG Muni","YTW_SPREAD_TO_MATURITY_AT_ISSU")</f>
        <v>#N/A Requesting Data...</v>
      </c>
      <c r="O1519" t="str">
        <f>_xll.BDP("688035KG Muni","BVAL_MID_YTM")</f>
        <v>#N/A Requesting Data...</v>
      </c>
      <c r="P1519" t="str">
        <f>_xll.BDP("688035KG Muni","MUNI_TAX_PROV")</f>
        <v>#N/A Requesting Data...</v>
      </c>
      <c r="Q1519" t="str">
        <f>_xll.BDP("688035KG Muni","MUNI_FED_TAX")</f>
        <v>#N/A Requesting Data...</v>
      </c>
      <c r="R1519" t="str">
        <f>_xll.BDP("688035KG Muni","MUNI_MSRB_VOLUME")</f>
        <v>#N/A Requesting Data...</v>
      </c>
      <c r="S1519" t="str">
        <f>_xll.BDP("688035KG Muni","BB_COMPOSITE")</f>
        <v>#N/A Requesting Data...</v>
      </c>
      <c r="T1519" t="str">
        <f>_xll.BDP("688035KG Muni","LQA_LIQUIDITY_SCORE")</f>
        <v>#N/A Requesting Data...</v>
      </c>
    </row>
    <row r="1520" spans="1:20" x14ac:dyDescent="0.25">
      <c r="A1520" t="str">
        <f>_xll.BDP("68825RHM Muni","ID_CUSIP")</f>
        <v>#N/A Requesting Data...</v>
      </c>
      <c r="B1520" t="s">
        <v>379</v>
      </c>
      <c r="C1520" t="str">
        <f>_xll.BDP("68825RHM Muni","INSURANCE_STATUS")</f>
        <v>#N/A Requesting Data...</v>
      </c>
      <c r="D1520" t="str">
        <f>_xll.BDP("68825RHM Muni","STATE_CODE")</f>
        <v>#N/A Requesting Data...</v>
      </c>
      <c r="E1520" t="str">
        <f>_xll.BDP("68825RHM Muni","COUNTY_LOCATION_ISSUER")</f>
        <v>#N/A Requesting Data...</v>
      </c>
      <c r="F1520" t="str">
        <f>_xll.BDP("68825RHM Muni","DUR_ADJ_MID")</f>
        <v>#N/A Requesting Data...</v>
      </c>
      <c r="G1520" t="str">
        <f>_xll.BDP("68825RHM Muni","SPREAD_AT_ISSUANCE_TO_WORST")</f>
        <v>#N/A Requesting Data...</v>
      </c>
      <c r="H1520" t="str">
        <f>_xll.BDP("68825RHM Muni","ISSUE_DT")</f>
        <v>#N/A Requesting Data...</v>
      </c>
      <c r="I1520" t="str">
        <f>_xll.BDS("68825RHM Muni","MUNI_PURPOSE_SCHED", "aggregate=y")</f>
        <v>#N/A Requesting Data...</v>
      </c>
      <c r="J1520" t="str">
        <f>_xll.BDP("68825RHM Muni","CPN")</f>
        <v>#N/A Requesting Data...</v>
      </c>
      <c r="K1520" t="str">
        <f>_xll.BDP("68825RHM Muni","MATURITY")</f>
        <v>#N/A Requesting Data...</v>
      </c>
      <c r="L1520">
        <v>390000</v>
      </c>
      <c r="M1520" t="str">
        <f>_xll.BDP("68825RHM Muni","YIELD_ON_ISSUE_DATE")</f>
        <v>#N/A Requesting Data...</v>
      </c>
      <c r="N1520" t="str">
        <f>_xll.BDP("68825RHM Muni","YTW_SPREAD_TO_MATURITY_AT_ISSU")</f>
        <v>#N/A Requesting Data...</v>
      </c>
      <c r="O1520" t="str">
        <f>_xll.BDP("68825RHM Muni","BVAL_MID_YTM")</f>
        <v>#N/A Requesting Data...</v>
      </c>
      <c r="P1520" t="str">
        <f>_xll.BDP("68825RHM Muni","MUNI_TAX_PROV")</f>
        <v>#N/A Requesting Data...</v>
      </c>
      <c r="Q1520" t="str">
        <f>_xll.BDP("68825RHM Muni","MUNI_FED_TAX")</f>
        <v>#N/A Requesting Data...</v>
      </c>
      <c r="R1520" t="str">
        <f>_xll.BDP("68825RHM Muni","MUNI_MSRB_VOLUME")</f>
        <v>#N/A Requesting Data...</v>
      </c>
      <c r="S1520" t="str">
        <f>_xll.BDP("68825RHM Muni","BB_COMPOSITE")</f>
        <v>#N/A Requesting Data...</v>
      </c>
      <c r="T1520" t="str">
        <f>_xll.BDP("68825RHM Muni","LQA_LIQUIDITY_SCORE")</f>
        <v>#N/A Requesting Data...</v>
      </c>
    </row>
    <row r="1521" spans="1:20" x14ac:dyDescent="0.25">
      <c r="A1521" t="str">
        <f>_xll.BDP("68825RHP Muni","ID_CUSIP")</f>
        <v>#N/A Requesting Data...</v>
      </c>
      <c r="B1521" t="s">
        <v>379</v>
      </c>
      <c r="C1521" t="str">
        <f>_xll.BDP("68825RHP Muni","INSURANCE_STATUS")</f>
        <v>#N/A Requesting Data...</v>
      </c>
      <c r="D1521" t="str">
        <f>_xll.BDP("68825RHP Muni","STATE_CODE")</f>
        <v>#N/A Requesting Data...</v>
      </c>
      <c r="E1521" t="str">
        <f>_xll.BDP("68825RHP Muni","COUNTY_LOCATION_ISSUER")</f>
        <v>#N/A Requesting Data...</v>
      </c>
      <c r="F1521" t="str">
        <f>_xll.BDP("68825RHP Muni","DUR_ADJ_MID")</f>
        <v>#N/A Requesting Data...</v>
      </c>
      <c r="G1521" t="str">
        <f>_xll.BDP("68825RHP Muni","SPREAD_AT_ISSUANCE_TO_WORST")</f>
        <v>#N/A Requesting Data...</v>
      </c>
      <c r="H1521" t="str">
        <f>_xll.BDP("68825RHP Muni","ISSUE_DT")</f>
        <v>#N/A Requesting Data...</v>
      </c>
      <c r="I1521" t="str">
        <f>_xll.BDS("68825RHP Muni","MUNI_PURPOSE_SCHED", "aggregate=y")</f>
        <v>#N/A Requesting Data...</v>
      </c>
      <c r="J1521" t="str">
        <f>_xll.BDP("68825RHP Muni","CPN")</f>
        <v>#N/A Requesting Data...</v>
      </c>
      <c r="K1521" t="str">
        <f>_xll.BDP("68825RHP Muni","MATURITY")</f>
        <v>#N/A Requesting Data...</v>
      </c>
      <c r="L1521">
        <v>435000</v>
      </c>
      <c r="M1521" t="str">
        <f>_xll.BDP("68825RHP Muni","YIELD_ON_ISSUE_DATE")</f>
        <v>#N/A Requesting Data...</v>
      </c>
      <c r="N1521" t="str">
        <f>_xll.BDP("68825RHP Muni","YTW_SPREAD_TO_MATURITY_AT_ISSU")</f>
        <v>#N/A Requesting Data...</v>
      </c>
      <c r="O1521" t="str">
        <f>_xll.BDP("68825RHP Muni","BVAL_MID_YTM")</f>
        <v>#N/A Requesting Data...</v>
      </c>
      <c r="P1521" t="str">
        <f>_xll.BDP("68825RHP Muni","MUNI_TAX_PROV")</f>
        <v>#N/A Requesting Data...</v>
      </c>
      <c r="Q1521" t="str">
        <f>_xll.BDP("68825RHP Muni","MUNI_FED_TAX")</f>
        <v>#N/A Requesting Data...</v>
      </c>
      <c r="R1521" t="str">
        <f>_xll.BDP("68825RHP Muni","MUNI_MSRB_VOLUME")</f>
        <v>#N/A Requesting Data...</v>
      </c>
      <c r="S1521" t="str">
        <f>_xll.BDP("68825RHP Muni","BB_COMPOSITE")</f>
        <v>#N/A Requesting Data...</v>
      </c>
      <c r="T1521" t="str">
        <f>_xll.BDP("68825RHP Muni","LQA_LIQUIDITY_SCORE")</f>
        <v>#N/A Requesting Data...</v>
      </c>
    </row>
    <row r="1522" spans="1:20" x14ac:dyDescent="0.25">
      <c r="A1522" t="str">
        <f>_xll.BDP("68825RHQ Muni","ID_CUSIP")</f>
        <v>#N/A Requesting Data...</v>
      </c>
      <c r="B1522" t="s">
        <v>379</v>
      </c>
      <c r="C1522" t="str">
        <f>_xll.BDP("68825RHQ Muni","INSURANCE_STATUS")</f>
        <v>#N/A Requesting Data...</v>
      </c>
      <c r="D1522" t="str">
        <f>_xll.BDP("68825RHQ Muni","STATE_CODE")</f>
        <v>#N/A Requesting Data...</v>
      </c>
      <c r="E1522" t="str">
        <f>_xll.BDP("68825RHQ Muni","COUNTY_LOCATION_ISSUER")</f>
        <v>#N/A Requesting Data...</v>
      </c>
      <c r="F1522" t="str">
        <f>_xll.BDP("68825RHQ Muni","DUR_ADJ_MID")</f>
        <v>#N/A Requesting Data...</v>
      </c>
      <c r="G1522" t="str">
        <f>_xll.BDP("68825RHQ Muni","SPREAD_AT_ISSUANCE_TO_WORST")</f>
        <v>#N/A Requesting Data...</v>
      </c>
      <c r="H1522" t="str">
        <f>_xll.BDP("68825RHQ Muni","ISSUE_DT")</f>
        <v>#N/A Requesting Data...</v>
      </c>
      <c r="I1522" t="str">
        <f>_xll.BDS("68825RHQ Muni","MUNI_PURPOSE_SCHED", "aggregate=y")</f>
        <v>#N/A Requesting Data...</v>
      </c>
      <c r="J1522" t="str">
        <f>_xll.BDP("68825RHQ Muni","CPN")</f>
        <v>#N/A Requesting Data...</v>
      </c>
      <c r="K1522" t="str">
        <f>_xll.BDP("68825RHQ Muni","MATURITY")</f>
        <v>#N/A Requesting Data...</v>
      </c>
      <c r="L1522">
        <v>455000</v>
      </c>
      <c r="M1522" t="str">
        <f>_xll.BDP("68825RHQ Muni","YIELD_ON_ISSUE_DATE")</f>
        <v>#N/A Requesting Data...</v>
      </c>
      <c r="N1522" t="str">
        <f>_xll.BDP("68825RHQ Muni","YTW_SPREAD_TO_MATURITY_AT_ISSU")</f>
        <v>#N/A Requesting Data...</v>
      </c>
      <c r="O1522" t="str">
        <f>_xll.BDP("68825RHQ Muni","BVAL_MID_YTM")</f>
        <v>#N/A Requesting Data...</v>
      </c>
      <c r="P1522" t="str">
        <f>_xll.BDP("68825RHQ Muni","MUNI_TAX_PROV")</f>
        <v>#N/A Requesting Data...</v>
      </c>
      <c r="Q1522" t="str">
        <f>_xll.BDP("68825RHQ Muni","MUNI_FED_TAX")</f>
        <v>#N/A Requesting Data...</v>
      </c>
      <c r="R1522" t="str">
        <f>_xll.BDP("68825RHQ Muni","MUNI_MSRB_VOLUME")</f>
        <v>#N/A Requesting Data...</v>
      </c>
      <c r="S1522" t="str">
        <f>_xll.BDP("68825RHQ Muni","BB_COMPOSITE")</f>
        <v>#N/A Requesting Data...</v>
      </c>
      <c r="T1522" t="str">
        <f>_xll.BDP("68825RHQ Muni","LQA_LIQUIDITY_SCORE")</f>
        <v>#N/A Requesting Data...</v>
      </c>
    </row>
    <row r="1523" spans="1:20" x14ac:dyDescent="0.25">
      <c r="A1523" t="str">
        <f>_xll.BDP("68881RAV Muni","ID_CUSIP")</f>
        <v>#N/A Requesting Data...</v>
      </c>
      <c r="B1523" t="s">
        <v>380</v>
      </c>
      <c r="C1523" t="str">
        <f>_xll.BDP("68881RAV Muni","INSURANCE_STATUS")</f>
        <v>#N/A Requesting Data...</v>
      </c>
      <c r="D1523" t="str">
        <f>_xll.BDP("68881RAV Muni","STATE_CODE")</f>
        <v>#N/A Requesting Data...</v>
      </c>
      <c r="E1523" t="str">
        <f>_xll.BDP("68881RAV Muni","COUNTY_LOCATION_ISSUER")</f>
        <v>#N/A Requesting Data...</v>
      </c>
      <c r="F1523" t="str">
        <f>_xll.BDP("68881RAV Muni","DUR_ADJ_MID")</f>
        <v>#N/A Requesting Data...</v>
      </c>
      <c r="G1523" t="str">
        <f>_xll.BDP("68881RAV Muni","SPREAD_AT_ISSUANCE_TO_WORST")</f>
        <v>#N/A Requesting Data...</v>
      </c>
      <c r="H1523" t="str">
        <f>_xll.BDP("68881RAV Muni","ISSUE_DT")</f>
        <v>#N/A Requesting Data...</v>
      </c>
      <c r="I1523" t="str">
        <f>_xll.BDS("68881RAV Muni","MUNI_PURPOSE_SCHED", "aggregate=y")</f>
        <v>#N/A Requesting Data...</v>
      </c>
      <c r="J1523" t="str">
        <f>_xll.BDP("68881RAV Muni","CPN")</f>
        <v>#N/A Requesting Data...</v>
      </c>
      <c r="K1523" t="str">
        <f>_xll.BDP("68881RAV Muni","MATURITY")</f>
        <v>#N/A Requesting Data...</v>
      </c>
      <c r="L1523">
        <v>1455000</v>
      </c>
      <c r="M1523" t="str">
        <f>_xll.BDP("68881RAV Muni","YIELD_ON_ISSUE_DATE")</f>
        <v>#N/A Requesting Data...</v>
      </c>
      <c r="N1523" t="str">
        <f>_xll.BDP("68881RAV Muni","YTW_SPREAD_TO_MATURITY_AT_ISSU")</f>
        <v>#N/A Requesting Data...</v>
      </c>
      <c r="O1523" t="str">
        <f>_xll.BDP("68881RAV Muni","BVAL_MID_YTM")</f>
        <v>#N/A Requesting Data...</v>
      </c>
      <c r="P1523" t="str">
        <f>_xll.BDP("68881RAV Muni","MUNI_TAX_PROV")</f>
        <v>#N/A Requesting Data...</v>
      </c>
      <c r="Q1523" t="str">
        <f>_xll.BDP("68881RAV Muni","MUNI_FED_TAX")</f>
        <v>#N/A Requesting Data...</v>
      </c>
      <c r="R1523" t="str">
        <f>_xll.BDP("68881RAV Muni","MUNI_MSRB_VOLUME")</f>
        <v>#N/A Requesting Data...</v>
      </c>
      <c r="S1523" t="str">
        <f>_xll.BDP("68881RAV Muni","BB_COMPOSITE")</f>
        <v>#N/A Requesting Data...</v>
      </c>
      <c r="T1523" t="str">
        <f>_xll.BDP("68881RAV Muni","LQA_LIQUIDITY_SCORE")</f>
        <v>#N/A Requesting Data...</v>
      </c>
    </row>
    <row r="1524" spans="1:20" x14ac:dyDescent="0.25">
      <c r="A1524" t="str">
        <f>_xll.BDP("68881RAW Muni","ID_CUSIP")</f>
        <v>#N/A Requesting Data...</v>
      </c>
      <c r="B1524" t="s">
        <v>380</v>
      </c>
      <c r="C1524" t="str">
        <f>_xll.BDP("68881RAW Muni","INSURANCE_STATUS")</f>
        <v>#N/A Requesting Data...</v>
      </c>
      <c r="D1524" t="str">
        <f>_xll.BDP("68881RAW Muni","STATE_CODE")</f>
        <v>#N/A Requesting Data...</v>
      </c>
      <c r="E1524" t="str">
        <f>_xll.BDP("68881RAW Muni","COUNTY_LOCATION_ISSUER")</f>
        <v>#N/A Requesting Data...</v>
      </c>
      <c r="F1524" t="str">
        <f>_xll.BDP("68881RAW Muni","DUR_ADJ_MID")</f>
        <v>#N/A Requesting Data...</v>
      </c>
      <c r="G1524" t="str">
        <f>_xll.BDP("68881RAW Muni","SPREAD_AT_ISSUANCE_TO_WORST")</f>
        <v>#N/A Requesting Data...</v>
      </c>
      <c r="H1524" t="str">
        <f>_xll.BDP("68881RAW Muni","ISSUE_DT")</f>
        <v>#N/A Requesting Data...</v>
      </c>
      <c r="I1524" t="str">
        <f>_xll.BDS("68881RAW Muni","MUNI_PURPOSE_SCHED", "aggregate=y")</f>
        <v>#N/A Requesting Data...</v>
      </c>
      <c r="J1524" t="str">
        <f>_xll.BDP("68881RAW Muni","CPN")</f>
        <v>#N/A Requesting Data...</v>
      </c>
      <c r="K1524" t="str">
        <f>_xll.BDP("68881RAW Muni","MATURITY")</f>
        <v>#N/A Requesting Data...</v>
      </c>
      <c r="L1524">
        <v>1650000</v>
      </c>
      <c r="M1524" t="str">
        <f>_xll.BDP("68881RAW Muni","YIELD_ON_ISSUE_DATE")</f>
        <v>#N/A Requesting Data...</v>
      </c>
      <c r="N1524" t="str">
        <f>_xll.BDP("68881RAW Muni","YTW_SPREAD_TO_MATURITY_AT_ISSU")</f>
        <v>#N/A Requesting Data...</v>
      </c>
      <c r="O1524" t="str">
        <f>_xll.BDP("68881RAW Muni","BVAL_MID_YTM")</f>
        <v>#N/A Requesting Data...</v>
      </c>
      <c r="P1524" t="str">
        <f>_xll.BDP("68881RAW Muni","MUNI_TAX_PROV")</f>
        <v>#N/A Requesting Data...</v>
      </c>
      <c r="Q1524" t="str">
        <f>_xll.BDP("68881RAW Muni","MUNI_FED_TAX")</f>
        <v>#N/A Requesting Data...</v>
      </c>
      <c r="R1524" t="str">
        <f>_xll.BDP("68881RAW Muni","MUNI_MSRB_VOLUME")</f>
        <v>#N/A Requesting Data...</v>
      </c>
      <c r="S1524" t="str">
        <f>_xll.BDP("68881RAW Muni","BB_COMPOSITE")</f>
        <v>#N/A Requesting Data...</v>
      </c>
      <c r="T1524" t="str">
        <f>_xll.BDP("68881RAW Muni","LQA_LIQUIDITY_SCORE")</f>
        <v>#N/A Requesting Data...</v>
      </c>
    </row>
    <row r="1525" spans="1:20" x14ac:dyDescent="0.25">
      <c r="A1525" t="str">
        <f>_xll.BDP("68881RAY Muni","ID_CUSIP")</f>
        <v>#N/A Requesting Data...</v>
      </c>
      <c r="B1525" t="s">
        <v>380</v>
      </c>
      <c r="C1525" t="str">
        <f>_xll.BDP("68881RAY Muni","INSURANCE_STATUS")</f>
        <v>#N/A Requesting Data...</v>
      </c>
      <c r="D1525" t="str">
        <f>_xll.BDP("68881RAY Muni","STATE_CODE")</f>
        <v>#N/A Requesting Data...</v>
      </c>
      <c r="E1525" t="str">
        <f>_xll.BDP("68881RAY Muni","COUNTY_LOCATION_ISSUER")</f>
        <v>#N/A Requesting Data...</v>
      </c>
      <c r="F1525" t="str">
        <f>_xll.BDP("68881RAY Muni","DUR_ADJ_MID")</f>
        <v>#N/A Requesting Data...</v>
      </c>
      <c r="G1525" t="str">
        <f>_xll.BDP("68881RAY Muni","SPREAD_AT_ISSUANCE_TO_WORST")</f>
        <v>#N/A Requesting Data...</v>
      </c>
      <c r="H1525" t="str">
        <f>_xll.BDP("68881RAY Muni","ISSUE_DT")</f>
        <v>#N/A Requesting Data...</v>
      </c>
      <c r="I1525" t="str">
        <f>_xll.BDS("68881RAY Muni","MUNI_PURPOSE_SCHED", "aggregate=y")</f>
        <v>#N/A Requesting Data...</v>
      </c>
      <c r="J1525" t="str">
        <f>_xll.BDP("68881RAY Muni","CPN")</f>
        <v>#N/A Requesting Data...</v>
      </c>
      <c r="K1525" t="str">
        <f>_xll.BDP("68881RAY Muni","MATURITY")</f>
        <v>#N/A Requesting Data...</v>
      </c>
      <c r="L1525">
        <v>1820000</v>
      </c>
      <c r="M1525" t="str">
        <f>_xll.BDP("68881RAY Muni","YIELD_ON_ISSUE_DATE")</f>
        <v>#N/A Requesting Data...</v>
      </c>
      <c r="N1525" t="str">
        <f>_xll.BDP("68881RAY Muni","YTW_SPREAD_TO_MATURITY_AT_ISSU")</f>
        <v>#N/A Requesting Data...</v>
      </c>
      <c r="O1525" t="str">
        <f>_xll.BDP("68881RAY Muni","BVAL_MID_YTM")</f>
        <v>#N/A Requesting Data...</v>
      </c>
      <c r="P1525" t="str">
        <f>_xll.BDP("68881RAY Muni","MUNI_TAX_PROV")</f>
        <v>#N/A Requesting Data...</v>
      </c>
      <c r="Q1525" t="str">
        <f>_xll.BDP("68881RAY Muni","MUNI_FED_TAX")</f>
        <v>#N/A Requesting Data...</v>
      </c>
      <c r="R1525" t="str">
        <f>_xll.BDP("68881RAY Muni","MUNI_MSRB_VOLUME")</f>
        <v>#N/A Requesting Data...</v>
      </c>
      <c r="S1525" t="str">
        <f>_xll.BDP("68881RAY Muni","BB_COMPOSITE")</f>
        <v>#N/A Requesting Data...</v>
      </c>
      <c r="T1525" t="str">
        <f>_xll.BDP("68881RAY Muni","LQA_LIQUIDITY_SCORE")</f>
        <v>#N/A Requesting Data...</v>
      </c>
    </row>
    <row r="1526" spans="1:20" x14ac:dyDescent="0.25">
      <c r="A1526" t="str">
        <f>_xll.BDP("68881RBA Muni","ID_CUSIP")</f>
        <v>#N/A Requesting Data...</v>
      </c>
      <c r="B1526" t="s">
        <v>380</v>
      </c>
      <c r="C1526" t="str">
        <f>_xll.BDP("68881RBA Muni","INSURANCE_STATUS")</f>
        <v>#N/A Requesting Data...</v>
      </c>
      <c r="D1526" t="str">
        <f>_xll.BDP("68881RBA Muni","STATE_CODE")</f>
        <v>#N/A Requesting Data...</v>
      </c>
      <c r="E1526" t="str">
        <f>_xll.BDP("68881RBA Muni","COUNTY_LOCATION_ISSUER")</f>
        <v>#N/A Requesting Data...</v>
      </c>
      <c r="F1526" t="str">
        <f>_xll.BDP("68881RBA Muni","DUR_ADJ_MID")</f>
        <v>#N/A Requesting Data...</v>
      </c>
      <c r="G1526" t="str">
        <f>_xll.BDP("68881RBA Muni","SPREAD_AT_ISSUANCE_TO_WORST")</f>
        <v>#N/A Requesting Data...</v>
      </c>
      <c r="H1526" t="str">
        <f>_xll.BDP("68881RBA Muni","ISSUE_DT")</f>
        <v>#N/A Requesting Data...</v>
      </c>
      <c r="I1526" t="str">
        <f>_xll.BDS("68881RBA Muni","MUNI_PURPOSE_SCHED", "aggregate=y")</f>
        <v>#N/A Requesting Data...</v>
      </c>
      <c r="J1526" t="str">
        <f>_xll.BDP("68881RBA Muni","CPN")</f>
        <v>#N/A Requesting Data...</v>
      </c>
      <c r="K1526" t="str">
        <f>_xll.BDP("68881RBA Muni","MATURITY")</f>
        <v>#N/A Requesting Data...</v>
      </c>
      <c r="L1526">
        <v>1030000</v>
      </c>
      <c r="M1526" t="str">
        <f>_xll.BDP("68881RBA Muni","YIELD_ON_ISSUE_DATE")</f>
        <v>#N/A Requesting Data...</v>
      </c>
      <c r="N1526" t="str">
        <f>_xll.BDP("68881RBA Muni","YTW_SPREAD_TO_MATURITY_AT_ISSU")</f>
        <v>#N/A Requesting Data...</v>
      </c>
      <c r="O1526" t="str">
        <f>_xll.BDP("68881RBA Muni","BVAL_MID_YTM")</f>
        <v>#N/A Requesting Data...</v>
      </c>
      <c r="P1526" t="str">
        <f>_xll.BDP("68881RBA Muni","MUNI_TAX_PROV")</f>
        <v>#N/A Requesting Data...</v>
      </c>
      <c r="Q1526" t="str">
        <f>_xll.BDP("68881RBA Muni","MUNI_FED_TAX")</f>
        <v>#N/A Requesting Data...</v>
      </c>
      <c r="R1526" t="str">
        <f>_xll.BDP("68881RBA Muni","MUNI_MSRB_VOLUME")</f>
        <v>#N/A Requesting Data...</v>
      </c>
      <c r="S1526" t="str">
        <f>_xll.BDP("68881RBA Muni","BB_COMPOSITE")</f>
        <v>#N/A Requesting Data...</v>
      </c>
      <c r="T1526" t="str">
        <f>_xll.BDP("68881RBA Muni","LQA_LIQUIDITY_SCORE")</f>
        <v>#N/A Requesting Data...</v>
      </c>
    </row>
    <row r="1527" spans="1:20" x14ac:dyDescent="0.25">
      <c r="A1527" t="str">
        <f>_xll.BDP("68881RBB Muni","ID_CUSIP")</f>
        <v>#N/A Requesting Data...</v>
      </c>
      <c r="B1527" t="s">
        <v>380</v>
      </c>
      <c r="C1527" t="str">
        <f>_xll.BDP("68881RBB Muni","INSURANCE_STATUS")</f>
        <v>#N/A Requesting Data...</v>
      </c>
      <c r="D1527" t="str">
        <f>_xll.BDP("68881RBB Muni","STATE_CODE")</f>
        <v>#N/A Requesting Data...</v>
      </c>
      <c r="E1527" t="str">
        <f>_xll.BDP("68881RBB Muni","COUNTY_LOCATION_ISSUER")</f>
        <v>#N/A Requesting Data...</v>
      </c>
      <c r="F1527" t="str">
        <f>_xll.BDP("68881RBB Muni","DUR_ADJ_MID")</f>
        <v>#N/A Requesting Data...</v>
      </c>
      <c r="G1527" t="str">
        <f>_xll.BDP("68881RBB Muni","SPREAD_AT_ISSUANCE_TO_WORST")</f>
        <v>#N/A Requesting Data...</v>
      </c>
      <c r="H1527" t="str">
        <f>_xll.BDP("68881RBB Muni","ISSUE_DT")</f>
        <v>#N/A Requesting Data...</v>
      </c>
      <c r="I1527" t="str">
        <f>_xll.BDS("68881RBB Muni","MUNI_PURPOSE_SCHED", "aggregate=y")</f>
        <v>#N/A Requesting Data...</v>
      </c>
      <c r="J1527" t="str">
        <f>_xll.BDP("68881RBB Muni","CPN")</f>
        <v>#N/A Requesting Data...</v>
      </c>
      <c r="K1527" t="str">
        <f>_xll.BDP("68881RBB Muni","MATURITY")</f>
        <v>#N/A Requesting Data...</v>
      </c>
      <c r="L1527">
        <v>1080000</v>
      </c>
      <c r="M1527" t="str">
        <f>_xll.BDP("68881RBB Muni","YIELD_ON_ISSUE_DATE")</f>
        <v>#N/A Requesting Data...</v>
      </c>
      <c r="N1527" t="str">
        <f>_xll.BDP("68881RBB Muni","YTW_SPREAD_TO_MATURITY_AT_ISSU")</f>
        <v>#N/A Requesting Data...</v>
      </c>
      <c r="O1527" t="str">
        <f>_xll.BDP("68881RBB Muni","BVAL_MID_YTM")</f>
        <v>#N/A Requesting Data...</v>
      </c>
      <c r="P1527" t="str">
        <f>_xll.BDP("68881RBB Muni","MUNI_TAX_PROV")</f>
        <v>#N/A Requesting Data...</v>
      </c>
      <c r="Q1527" t="str">
        <f>_xll.BDP("68881RBB Muni","MUNI_FED_TAX")</f>
        <v>#N/A Requesting Data...</v>
      </c>
      <c r="R1527" t="str">
        <f>_xll.BDP("68881RBB Muni","MUNI_MSRB_VOLUME")</f>
        <v>#N/A Requesting Data...</v>
      </c>
      <c r="S1527" t="str">
        <f>_xll.BDP("68881RBB Muni","BB_COMPOSITE")</f>
        <v>#N/A Requesting Data...</v>
      </c>
      <c r="T1527" t="str">
        <f>_xll.BDP("68881RBB Muni","LQA_LIQUIDITY_SCORE")</f>
        <v>#N/A Requesting Data...</v>
      </c>
    </row>
    <row r="1528" spans="1:20" x14ac:dyDescent="0.25">
      <c r="A1528" t="str">
        <f>_xll.BDP("686507HR Muni","ID_CUSIP")</f>
        <v>#N/A Requesting Data...</v>
      </c>
      <c r="B1528" t="s">
        <v>381</v>
      </c>
      <c r="C1528" t="str">
        <f>_xll.BDP("686507HR Muni","INSURANCE_STATUS")</f>
        <v>#N/A Requesting Data...</v>
      </c>
      <c r="D1528" t="str">
        <f>_xll.BDP("686507HR Muni","STATE_CODE")</f>
        <v>#N/A Requesting Data...</v>
      </c>
      <c r="E1528" t="str">
        <f>_xll.BDP("686507HR Muni","COUNTY_LOCATION_ISSUER")</f>
        <v>#N/A Requesting Data...</v>
      </c>
      <c r="F1528" t="str">
        <f>_xll.BDP("686507HR Muni","DUR_ADJ_MID")</f>
        <v>#N/A Requesting Data...</v>
      </c>
      <c r="G1528" t="str">
        <f>_xll.BDP("686507HR Muni","SPREAD_AT_ISSUANCE_TO_WORST")</f>
        <v>#N/A Requesting Data...</v>
      </c>
      <c r="H1528" t="str">
        <f>_xll.BDP("686507HR Muni","ISSUE_DT")</f>
        <v>#N/A Requesting Data...</v>
      </c>
      <c r="I1528" t="str">
        <f>_xll.BDS("686507HR Muni","MUNI_PURPOSE_SCHED", "aggregate=y")</f>
        <v>#N/A Requesting Data...</v>
      </c>
      <c r="J1528" t="str">
        <f>_xll.BDP("686507HR Muni","CPN")</f>
        <v>#N/A Requesting Data...</v>
      </c>
      <c r="K1528" t="str">
        <f>_xll.BDP("686507HR Muni","MATURITY")</f>
        <v>#N/A Requesting Data...</v>
      </c>
      <c r="L1528">
        <v>7000000</v>
      </c>
      <c r="M1528" t="str">
        <f>_xll.BDP("686507HR Muni","YIELD_ON_ISSUE_DATE")</f>
        <v>#N/A Requesting Data...</v>
      </c>
      <c r="N1528" t="str">
        <f>_xll.BDP("686507HR Muni","YTW_SPREAD_TO_MATURITY_AT_ISSU")</f>
        <v>#N/A Requesting Data...</v>
      </c>
      <c r="O1528" t="str">
        <f>_xll.BDP("686507HR Muni","BVAL_MID_YTM")</f>
        <v>#N/A Requesting Data...</v>
      </c>
      <c r="P1528" t="str">
        <f>_xll.BDP("686507HR Muni","MUNI_TAX_PROV")</f>
        <v>#N/A Requesting Data...</v>
      </c>
      <c r="Q1528" t="str">
        <f>_xll.BDP("686507HR Muni","MUNI_FED_TAX")</f>
        <v>#N/A Requesting Data...</v>
      </c>
      <c r="R1528" t="str">
        <f>_xll.BDP("686507HR Muni","MUNI_MSRB_VOLUME")</f>
        <v>#N/A Requesting Data...</v>
      </c>
      <c r="S1528" t="str">
        <f>_xll.BDP("686507HR Muni","BB_COMPOSITE")</f>
        <v>#N/A Requesting Data...</v>
      </c>
      <c r="T1528" t="str">
        <f>_xll.BDP("686507HR Muni","LQA_LIQUIDITY_SCORE")</f>
        <v>#N/A Requesting Data...</v>
      </c>
    </row>
    <row r="1529" spans="1:20" x14ac:dyDescent="0.25">
      <c r="A1529" t="str">
        <f>_xll.BDP("68881RAX Muni","ID_CUSIP")</f>
        <v>#N/A Requesting Data...</v>
      </c>
      <c r="B1529" t="s">
        <v>380</v>
      </c>
      <c r="C1529" t="str">
        <f>_xll.BDP("68881RAX Muni","INSURANCE_STATUS")</f>
        <v>#N/A Requesting Data...</v>
      </c>
      <c r="D1529" t="str">
        <f>_xll.BDP("68881RAX Muni","STATE_CODE")</f>
        <v>#N/A Requesting Data...</v>
      </c>
      <c r="E1529" t="str">
        <f>_xll.BDP("68881RAX Muni","COUNTY_LOCATION_ISSUER")</f>
        <v>#N/A Requesting Data...</v>
      </c>
      <c r="F1529" t="str">
        <f>_xll.BDP("68881RAX Muni","DUR_ADJ_MID")</f>
        <v>#N/A Requesting Data...</v>
      </c>
      <c r="G1529" t="str">
        <f>_xll.BDP("68881RAX Muni","SPREAD_AT_ISSUANCE_TO_WORST")</f>
        <v>#N/A Requesting Data...</v>
      </c>
      <c r="H1529" t="str">
        <f>_xll.BDP("68881RAX Muni","ISSUE_DT")</f>
        <v>#N/A Requesting Data...</v>
      </c>
      <c r="I1529" t="str">
        <f>_xll.BDS("68881RAX Muni","MUNI_PURPOSE_SCHED", "aggregate=y")</f>
        <v>#N/A Requesting Data...</v>
      </c>
      <c r="J1529" t="str">
        <f>_xll.BDP("68881RAX Muni","CPN")</f>
        <v>#N/A Requesting Data...</v>
      </c>
      <c r="K1529" t="str">
        <f>_xll.BDP("68881RAX Muni","MATURITY")</f>
        <v>#N/A Requesting Data...</v>
      </c>
      <c r="L1529">
        <v>1730000</v>
      </c>
      <c r="M1529" t="str">
        <f>_xll.BDP("68881RAX Muni","YIELD_ON_ISSUE_DATE")</f>
        <v>#N/A Requesting Data...</v>
      </c>
      <c r="N1529" t="str">
        <f>_xll.BDP("68881RAX Muni","YTW_SPREAD_TO_MATURITY_AT_ISSU")</f>
        <v>#N/A Requesting Data...</v>
      </c>
      <c r="O1529" t="str">
        <f>_xll.BDP("68881RAX Muni","BVAL_MID_YTM")</f>
        <v>#N/A Requesting Data...</v>
      </c>
      <c r="P1529" t="str">
        <f>_xll.BDP("68881RAX Muni","MUNI_TAX_PROV")</f>
        <v>#N/A Requesting Data...</v>
      </c>
      <c r="Q1529" t="str">
        <f>_xll.BDP("68881RAX Muni","MUNI_FED_TAX")</f>
        <v>#N/A Requesting Data...</v>
      </c>
      <c r="R1529" t="str">
        <f>_xll.BDP("68881RAX Muni","MUNI_MSRB_VOLUME")</f>
        <v>#N/A Requesting Data...</v>
      </c>
      <c r="S1529" t="str">
        <f>_xll.BDP("68881RAX Muni","BB_COMPOSITE")</f>
        <v>#N/A Requesting Data...</v>
      </c>
      <c r="T1529" t="str">
        <f>_xll.BDP("68881RAX Muni","LQA_LIQUIDITY_SCORE")</f>
        <v>#N/A Requesting Data...</v>
      </c>
    </row>
    <row r="1530" spans="1:20" x14ac:dyDescent="0.25">
      <c r="A1530" t="str">
        <f>_xll.BDP("68881RAZ Muni","ID_CUSIP")</f>
        <v>#N/A Requesting Data...</v>
      </c>
      <c r="B1530" t="s">
        <v>380</v>
      </c>
      <c r="C1530" t="str">
        <f>_xll.BDP("68881RAZ Muni","INSURANCE_STATUS")</f>
        <v>#N/A Requesting Data...</v>
      </c>
      <c r="D1530" t="str">
        <f>_xll.BDP("68881RAZ Muni","STATE_CODE")</f>
        <v>#N/A Requesting Data...</v>
      </c>
      <c r="E1530" t="str">
        <f>_xll.BDP("68881RAZ Muni","COUNTY_LOCATION_ISSUER")</f>
        <v>#N/A Requesting Data...</v>
      </c>
      <c r="F1530" t="str">
        <f>_xll.BDP("68881RAZ Muni","DUR_ADJ_MID")</f>
        <v>#N/A Requesting Data...</v>
      </c>
      <c r="G1530" t="str">
        <f>_xll.BDP("68881RAZ Muni","SPREAD_AT_ISSUANCE_TO_WORST")</f>
        <v>#N/A Requesting Data...</v>
      </c>
      <c r="H1530" t="str">
        <f>_xll.BDP("68881RAZ Muni","ISSUE_DT")</f>
        <v>#N/A Requesting Data...</v>
      </c>
      <c r="I1530" t="str">
        <f>_xll.BDS("68881RAZ Muni","MUNI_PURPOSE_SCHED", "aggregate=y")</f>
        <v>#N/A Requesting Data...</v>
      </c>
      <c r="J1530" t="str">
        <f>_xll.BDP("68881RAZ Muni","CPN")</f>
        <v>#N/A Requesting Data...</v>
      </c>
      <c r="K1530" t="str">
        <f>_xll.BDP("68881RAZ Muni","MATURITY")</f>
        <v>#N/A Requesting Data...</v>
      </c>
      <c r="L1530">
        <v>1915000</v>
      </c>
      <c r="M1530" t="str">
        <f>_xll.BDP("68881RAZ Muni","YIELD_ON_ISSUE_DATE")</f>
        <v>#N/A Requesting Data...</v>
      </c>
      <c r="N1530" t="str">
        <f>_xll.BDP("68881RAZ Muni","YTW_SPREAD_TO_MATURITY_AT_ISSU")</f>
        <v>#N/A Requesting Data...</v>
      </c>
      <c r="O1530" t="str">
        <f>_xll.BDP("68881RAZ Muni","BVAL_MID_YTM")</f>
        <v>#N/A Requesting Data...</v>
      </c>
      <c r="P1530" t="str">
        <f>_xll.BDP("68881RAZ Muni","MUNI_TAX_PROV")</f>
        <v>#N/A Requesting Data...</v>
      </c>
      <c r="Q1530" t="str">
        <f>_xll.BDP("68881RAZ Muni","MUNI_FED_TAX")</f>
        <v>#N/A Requesting Data...</v>
      </c>
      <c r="R1530" t="str">
        <f>_xll.BDP("68881RAZ Muni","MUNI_MSRB_VOLUME")</f>
        <v>#N/A Requesting Data...</v>
      </c>
      <c r="S1530" t="str">
        <f>_xll.BDP("68881RAZ Muni","BB_COMPOSITE")</f>
        <v>#N/A Requesting Data...</v>
      </c>
      <c r="T1530" t="str">
        <f>_xll.BDP("68881RAZ Muni","LQA_LIQUIDITY_SCORE")</f>
        <v>#N/A Requesting Data...</v>
      </c>
    </row>
    <row r="1531" spans="1:20" x14ac:dyDescent="0.25">
      <c r="A1531" t="str">
        <f>_xll.BDP("569781JC Muni","ID_CUSIP")</f>
        <v>#N/A Requesting Data...</v>
      </c>
      <c r="B1531" t="s">
        <v>358</v>
      </c>
      <c r="C1531" t="str">
        <f>_xll.BDP("569781JC Muni","INSURANCE_STATUS")</f>
        <v>#N/A Requesting Data...</v>
      </c>
      <c r="D1531" t="str">
        <f>_xll.BDP("569781JC Muni","STATE_CODE")</f>
        <v>#N/A Requesting Data...</v>
      </c>
      <c r="E1531" t="str">
        <f>_xll.BDP("569781JC Muni","COUNTY_LOCATION_ISSUER")</f>
        <v>#N/A Requesting Data...</v>
      </c>
      <c r="F1531" t="str">
        <f>_xll.BDP("569781JC Muni","DUR_ADJ_MID")</f>
        <v>#N/A Requesting Data...</v>
      </c>
      <c r="G1531" t="str">
        <f>_xll.BDP("569781JC Muni","SPREAD_AT_ISSUANCE_TO_WORST")</f>
        <v>#N/A Requesting Data...</v>
      </c>
      <c r="H1531" t="str">
        <f>_xll.BDP("569781JC Muni","ISSUE_DT")</f>
        <v>#N/A Requesting Data...</v>
      </c>
      <c r="I1531" t="str">
        <f>_xll.BDS("569781JC Muni","MUNI_PURPOSE_SCHED", "aggregate=y")</f>
        <v>#N/A Requesting Data...</v>
      </c>
      <c r="J1531" t="str">
        <f>_xll.BDP("569781JC Muni","CPN")</f>
        <v>#N/A Requesting Data...</v>
      </c>
      <c r="K1531" t="str">
        <f>_xll.BDP("569781JC Muni","MATURITY")</f>
        <v>#N/A Requesting Data...</v>
      </c>
      <c r="L1531">
        <v>675000</v>
      </c>
      <c r="M1531" t="str">
        <f>_xll.BDP("569781JC Muni","YIELD_ON_ISSUE_DATE")</f>
        <v>#N/A Requesting Data...</v>
      </c>
      <c r="N1531" t="str">
        <f>_xll.BDP("569781JC Muni","YTW_SPREAD_TO_MATURITY_AT_ISSU")</f>
        <v>#N/A Requesting Data...</v>
      </c>
      <c r="O1531" t="str">
        <f>_xll.BDP("569781JC Muni","BVAL_MID_YTM")</f>
        <v>#N/A Requesting Data...</v>
      </c>
      <c r="P1531" t="str">
        <f>_xll.BDP("569781JC Muni","MUNI_TAX_PROV")</f>
        <v>#N/A Requesting Data...</v>
      </c>
      <c r="Q1531" t="str">
        <f>_xll.BDP("569781JC Muni","MUNI_FED_TAX")</f>
        <v>#N/A Requesting Data...</v>
      </c>
      <c r="R1531" t="str">
        <f>_xll.BDP("569781JC Muni","MUNI_MSRB_VOLUME")</f>
        <v>#N/A Requesting Data...</v>
      </c>
      <c r="S1531" t="str">
        <f>_xll.BDP("569781JC Muni","BB_COMPOSITE")</f>
        <v>#N/A Requesting Data...</v>
      </c>
      <c r="T1531" t="str">
        <f>_xll.BDP("569781JC Muni","LQA_LIQUIDITY_SCORE")</f>
        <v>#N/A Requesting Data...</v>
      </c>
    </row>
    <row r="1532" spans="1:20" x14ac:dyDescent="0.25">
      <c r="A1532" t="str">
        <f>_xll.BDP("569781JE Muni","ID_CUSIP")</f>
        <v>#N/A Requesting Data...</v>
      </c>
      <c r="B1532" t="s">
        <v>358</v>
      </c>
      <c r="C1532" t="str">
        <f>_xll.BDP("569781JE Muni","INSURANCE_STATUS")</f>
        <v>#N/A Requesting Data...</v>
      </c>
      <c r="D1532" t="str">
        <f>_xll.BDP("569781JE Muni","STATE_CODE")</f>
        <v>#N/A Requesting Data...</v>
      </c>
      <c r="E1532" t="str">
        <f>_xll.BDP("569781JE Muni","COUNTY_LOCATION_ISSUER")</f>
        <v>#N/A Requesting Data...</v>
      </c>
      <c r="F1532" t="str">
        <f>_xll.BDP("569781JE Muni","DUR_ADJ_MID")</f>
        <v>#N/A Requesting Data...</v>
      </c>
      <c r="G1532" t="str">
        <f>_xll.BDP("569781JE Muni","SPREAD_AT_ISSUANCE_TO_WORST")</f>
        <v>#N/A Requesting Data...</v>
      </c>
      <c r="H1532" t="str">
        <f>_xll.BDP("569781JE Muni","ISSUE_DT")</f>
        <v>#N/A Requesting Data...</v>
      </c>
      <c r="I1532" t="str">
        <f>_xll.BDS("569781JE Muni","MUNI_PURPOSE_SCHED", "aggregate=y")</f>
        <v>#N/A Requesting Data...</v>
      </c>
      <c r="J1532" t="str">
        <f>_xll.BDP("569781JE Muni","CPN")</f>
        <v>#N/A Requesting Data...</v>
      </c>
      <c r="K1532" t="str">
        <f>_xll.BDP("569781JE Muni","MATURITY")</f>
        <v>#N/A Requesting Data...</v>
      </c>
      <c r="L1532">
        <v>675000</v>
      </c>
      <c r="M1532" t="str">
        <f>_xll.BDP("569781JE Muni","YIELD_ON_ISSUE_DATE")</f>
        <v>#N/A Requesting Data...</v>
      </c>
      <c r="N1532" t="str">
        <f>_xll.BDP("569781JE Muni","YTW_SPREAD_TO_MATURITY_AT_ISSU")</f>
        <v>#N/A Requesting Data...</v>
      </c>
      <c r="O1532" t="str">
        <f>_xll.BDP("569781JE Muni","BVAL_MID_YTM")</f>
        <v>#N/A Requesting Data...</v>
      </c>
      <c r="P1532" t="str">
        <f>_xll.BDP("569781JE Muni","MUNI_TAX_PROV")</f>
        <v>#N/A Requesting Data...</v>
      </c>
      <c r="Q1532" t="str">
        <f>_xll.BDP("569781JE Muni","MUNI_FED_TAX")</f>
        <v>#N/A Requesting Data...</v>
      </c>
      <c r="R1532" t="str">
        <f>_xll.BDP("569781JE Muni","MUNI_MSRB_VOLUME")</f>
        <v>#N/A Requesting Data...</v>
      </c>
      <c r="S1532" t="str">
        <f>_xll.BDP("569781JE Muni","BB_COMPOSITE")</f>
        <v>#N/A Requesting Data...</v>
      </c>
      <c r="T1532" t="str">
        <f>_xll.BDP("569781JE Muni","LQA_LIQUIDITY_SCORE")</f>
        <v>#N/A Requesting Data...</v>
      </c>
    </row>
    <row r="1533" spans="1:20" x14ac:dyDescent="0.25">
      <c r="A1533" t="str">
        <f>_xll.BDP("570833GF Muni","ID_CUSIP")</f>
        <v>#N/A Requesting Data...</v>
      </c>
      <c r="B1533" t="s">
        <v>350</v>
      </c>
      <c r="C1533" t="str">
        <f>_xll.BDP("570833GF Muni","INSURANCE_STATUS")</f>
        <v>#N/A Requesting Data...</v>
      </c>
      <c r="D1533" t="str">
        <f>_xll.BDP("570833GF Muni","STATE_CODE")</f>
        <v>#N/A Requesting Data...</v>
      </c>
      <c r="E1533" t="str">
        <f>_xll.BDP("570833GF Muni","COUNTY_LOCATION_ISSUER")</f>
        <v>#N/A Requesting Data...</v>
      </c>
      <c r="F1533" t="str">
        <f>_xll.BDP("570833GF Muni","DUR_ADJ_MID")</f>
        <v>#N/A Requesting Data...</v>
      </c>
      <c r="G1533" t="str">
        <f>_xll.BDP("570833GF Muni","SPREAD_AT_ISSUANCE_TO_WORST")</f>
        <v>#N/A Requesting Data...</v>
      </c>
      <c r="H1533" t="str">
        <f>_xll.BDP("570833GF Muni","ISSUE_DT")</f>
        <v>#N/A Requesting Data...</v>
      </c>
      <c r="I1533" t="str">
        <f>_xll.BDS("570833GF Muni","MUNI_PURPOSE_SCHED", "aggregate=y")</f>
        <v>#N/A Requesting Data...</v>
      </c>
      <c r="J1533" t="str">
        <f>_xll.BDP("570833GF Muni","CPN")</f>
        <v>#N/A Requesting Data...</v>
      </c>
      <c r="K1533" t="str">
        <f>_xll.BDP("570833GF Muni","MATURITY")</f>
        <v>#N/A Requesting Data...</v>
      </c>
      <c r="L1533">
        <v>655000</v>
      </c>
      <c r="M1533" t="str">
        <f>_xll.BDP("570833GF Muni","YIELD_ON_ISSUE_DATE")</f>
        <v>#N/A Requesting Data...</v>
      </c>
      <c r="N1533" t="str">
        <f>_xll.BDP("570833GF Muni","YTW_SPREAD_TO_MATURITY_AT_ISSU")</f>
        <v>#N/A Requesting Data...</v>
      </c>
      <c r="O1533" t="str">
        <f>_xll.BDP("570833GF Muni","BVAL_MID_YTM")</f>
        <v>#N/A Requesting Data...</v>
      </c>
      <c r="P1533" t="str">
        <f>_xll.BDP("570833GF Muni","MUNI_TAX_PROV")</f>
        <v>#N/A Requesting Data...</v>
      </c>
      <c r="Q1533" t="str">
        <f>_xll.BDP("570833GF Muni","MUNI_FED_TAX")</f>
        <v>#N/A Requesting Data...</v>
      </c>
      <c r="R1533" t="str">
        <f>_xll.BDP("570833GF Muni","MUNI_MSRB_VOLUME")</f>
        <v>#N/A Requesting Data...</v>
      </c>
      <c r="S1533" t="str">
        <f>_xll.BDP("570833GF Muni","BB_COMPOSITE")</f>
        <v>#N/A Requesting Data...</v>
      </c>
      <c r="T1533" t="str">
        <f>_xll.BDP("570833GF Muni","LQA_LIQUIDITY_SCORE")</f>
        <v>#N/A Requesting Data...</v>
      </c>
    </row>
    <row r="1534" spans="1:20" x14ac:dyDescent="0.25">
      <c r="A1534" t="str">
        <f>_xll.BDP("572767YL Muni","ID_CUSIP")</f>
        <v>#N/A Requesting Data...</v>
      </c>
      <c r="B1534" t="s">
        <v>351</v>
      </c>
      <c r="C1534" t="str">
        <f>_xll.BDP("572767YL Muni","INSURANCE_STATUS")</f>
        <v>#N/A Requesting Data...</v>
      </c>
      <c r="D1534" t="str">
        <f>_xll.BDP("572767YL Muni","STATE_CODE")</f>
        <v>#N/A Requesting Data...</v>
      </c>
      <c r="E1534" t="str">
        <f>_xll.BDP("572767YL Muni","COUNTY_LOCATION_ISSUER")</f>
        <v>#N/A Requesting Data...</v>
      </c>
      <c r="F1534" t="str">
        <f>_xll.BDP("572767YL Muni","DUR_ADJ_MID")</f>
        <v>#N/A Requesting Data...</v>
      </c>
      <c r="G1534" t="str">
        <f>_xll.BDP("572767YL Muni","SPREAD_AT_ISSUANCE_TO_WORST")</f>
        <v>#N/A Requesting Data...</v>
      </c>
      <c r="H1534" t="str">
        <f>_xll.BDP("572767YL Muni","ISSUE_DT")</f>
        <v>#N/A Requesting Data...</v>
      </c>
      <c r="I1534" t="str">
        <f>_xll.BDS("572767YL Muni","MUNI_PURPOSE_SCHED", "aggregate=y")</f>
        <v>#N/A Requesting Data...</v>
      </c>
      <c r="J1534" t="str">
        <f>_xll.BDP("572767YL Muni","CPN")</f>
        <v>#N/A Requesting Data...</v>
      </c>
      <c r="K1534" t="str">
        <f>_xll.BDP("572767YL Muni","MATURITY")</f>
        <v>#N/A Requesting Data...</v>
      </c>
      <c r="L1534">
        <v>110000</v>
      </c>
      <c r="M1534" t="str">
        <f>_xll.BDP("572767YL Muni","YIELD_ON_ISSUE_DATE")</f>
        <v>#N/A Requesting Data...</v>
      </c>
      <c r="N1534" t="str">
        <f>_xll.BDP("572767YL Muni","YTW_SPREAD_TO_MATURITY_AT_ISSU")</f>
        <v>#N/A Requesting Data...</v>
      </c>
      <c r="O1534" t="str">
        <f>_xll.BDP("572767YL Muni","BVAL_MID_YTM")</f>
        <v>#N/A Requesting Data...</v>
      </c>
      <c r="P1534" t="str">
        <f>_xll.BDP("572767YL Muni","MUNI_TAX_PROV")</f>
        <v>#N/A Requesting Data...</v>
      </c>
      <c r="Q1534" t="str">
        <f>_xll.BDP("572767YL Muni","MUNI_FED_TAX")</f>
        <v>#N/A Requesting Data...</v>
      </c>
      <c r="R1534" t="str">
        <f>_xll.BDP("572767YL Muni","MUNI_MSRB_VOLUME")</f>
        <v>#N/A Requesting Data...</v>
      </c>
      <c r="S1534" t="str">
        <f>_xll.BDP("572767YL Muni","BB_COMPOSITE")</f>
        <v>#N/A Requesting Data...</v>
      </c>
      <c r="T1534" t="str">
        <f>_xll.BDP("572767YL Muni","LQA_LIQUIDITY_SCORE")</f>
        <v>#N/A Requesting Data...</v>
      </c>
    </row>
    <row r="1535" spans="1:20" x14ac:dyDescent="0.25">
      <c r="A1535" t="str">
        <f>_xll.BDP("566022TA Muni","ID_CUSIP")</f>
        <v>#N/A Requesting Data...</v>
      </c>
      <c r="B1535" t="s">
        <v>367</v>
      </c>
      <c r="C1535" t="str">
        <f>_xll.BDP("566022TA Muni","INSURANCE_STATUS")</f>
        <v>#N/A Requesting Data...</v>
      </c>
      <c r="D1535" t="str">
        <f>_xll.BDP("566022TA Muni","STATE_CODE")</f>
        <v>#N/A Requesting Data...</v>
      </c>
      <c r="E1535" t="str">
        <f>_xll.BDP("566022TA Muni","COUNTY_LOCATION_ISSUER")</f>
        <v>#N/A Requesting Data...</v>
      </c>
      <c r="F1535" t="str">
        <f>_xll.BDP("566022TA Muni","DUR_ADJ_MID")</f>
        <v>#N/A Requesting Data...</v>
      </c>
      <c r="G1535" t="str">
        <f>_xll.BDP("566022TA Muni","SPREAD_AT_ISSUANCE_TO_WORST")</f>
        <v>#N/A Requesting Data...</v>
      </c>
      <c r="H1535" t="str">
        <f>_xll.BDP("566022TA Muni","ISSUE_DT")</f>
        <v>#N/A Requesting Data...</v>
      </c>
      <c r="I1535" t="str">
        <f>_xll.BDS("566022TA Muni","MUNI_PURPOSE_SCHED", "aggregate=y")</f>
        <v>#N/A Requesting Data...</v>
      </c>
      <c r="J1535" t="str">
        <f>_xll.BDP("566022TA Muni","CPN")</f>
        <v>#N/A Requesting Data...</v>
      </c>
      <c r="K1535" t="str">
        <f>_xll.BDP("566022TA Muni","MATURITY")</f>
        <v>#N/A Requesting Data...</v>
      </c>
      <c r="L1535">
        <v>350000</v>
      </c>
      <c r="M1535" t="str">
        <f>_xll.BDP("566022TA Muni","YIELD_ON_ISSUE_DATE")</f>
        <v>#N/A Requesting Data...</v>
      </c>
      <c r="N1535" t="str">
        <f>_xll.BDP("566022TA Muni","YTW_SPREAD_TO_MATURITY_AT_ISSU")</f>
        <v>#N/A Requesting Data...</v>
      </c>
      <c r="O1535" t="str">
        <f>_xll.BDP("566022TA Muni","BVAL_MID_YTM")</f>
        <v>#N/A Requesting Data...</v>
      </c>
      <c r="P1535" t="str">
        <f>_xll.BDP("566022TA Muni","MUNI_TAX_PROV")</f>
        <v>#N/A Requesting Data...</v>
      </c>
      <c r="Q1535" t="str">
        <f>_xll.BDP("566022TA Muni","MUNI_FED_TAX")</f>
        <v>#N/A Requesting Data...</v>
      </c>
      <c r="R1535" t="str">
        <f>_xll.BDP("566022TA Muni","MUNI_MSRB_VOLUME")</f>
        <v>#N/A Requesting Data...</v>
      </c>
      <c r="S1535" t="str">
        <f>_xll.BDP("566022TA Muni","BB_COMPOSITE")</f>
        <v>#N/A Requesting Data...</v>
      </c>
      <c r="T1535" t="str">
        <f>_xll.BDP("566022TA Muni","LQA_LIQUIDITY_SCORE")</f>
        <v>#N/A Requesting Data...</v>
      </c>
    </row>
    <row r="1536" spans="1:20" x14ac:dyDescent="0.25">
      <c r="A1536" t="str">
        <f>_xll.BDP("566022TB Muni","ID_CUSIP")</f>
        <v>#N/A Requesting Data...</v>
      </c>
      <c r="B1536" t="s">
        <v>367</v>
      </c>
      <c r="C1536" t="str">
        <f>_xll.BDP("566022TB Muni","INSURANCE_STATUS")</f>
        <v>#N/A Requesting Data...</v>
      </c>
      <c r="D1536" t="str">
        <f>_xll.BDP("566022TB Muni","STATE_CODE")</f>
        <v>#N/A Requesting Data...</v>
      </c>
      <c r="E1536" t="str">
        <f>_xll.BDP("566022TB Muni","COUNTY_LOCATION_ISSUER")</f>
        <v>#N/A Requesting Data...</v>
      </c>
      <c r="F1536" t="str">
        <f>_xll.BDP("566022TB Muni","DUR_ADJ_MID")</f>
        <v>#N/A Requesting Data...</v>
      </c>
      <c r="G1536" t="str">
        <f>_xll.BDP("566022TB Muni","SPREAD_AT_ISSUANCE_TO_WORST")</f>
        <v>#N/A Requesting Data...</v>
      </c>
      <c r="H1536" t="str">
        <f>_xll.BDP("566022TB Muni","ISSUE_DT")</f>
        <v>#N/A Requesting Data...</v>
      </c>
      <c r="I1536" t="str">
        <f>_xll.BDS("566022TB Muni","MUNI_PURPOSE_SCHED", "aggregate=y")</f>
        <v>#N/A Requesting Data...</v>
      </c>
      <c r="J1536" t="str">
        <f>_xll.BDP("566022TB Muni","CPN")</f>
        <v>#N/A Requesting Data...</v>
      </c>
      <c r="K1536" t="str">
        <f>_xll.BDP("566022TB Muni","MATURITY")</f>
        <v>#N/A Requesting Data...</v>
      </c>
      <c r="L1536">
        <v>360000</v>
      </c>
      <c r="M1536" t="str">
        <f>_xll.BDP("566022TB Muni","YIELD_ON_ISSUE_DATE")</f>
        <v>#N/A Requesting Data...</v>
      </c>
      <c r="N1536" t="str">
        <f>_xll.BDP("566022TB Muni","YTW_SPREAD_TO_MATURITY_AT_ISSU")</f>
        <v>#N/A Requesting Data...</v>
      </c>
      <c r="O1536" t="str">
        <f>_xll.BDP("566022TB Muni","BVAL_MID_YTM")</f>
        <v>#N/A Requesting Data...</v>
      </c>
      <c r="P1536" t="str">
        <f>_xll.BDP("566022TB Muni","MUNI_TAX_PROV")</f>
        <v>#N/A Requesting Data...</v>
      </c>
      <c r="Q1536" t="str">
        <f>_xll.BDP("566022TB Muni","MUNI_FED_TAX")</f>
        <v>#N/A Requesting Data...</v>
      </c>
      <c r="R1536" t="str">
        <f>_xll.BDP("566022TB Muni","MUNI_MSRB_VOLUME")</f>
        <v>#N/A Requesting Data...</v>
      </c>
      <c r="S1536" t="str">
        <f>_xll.BDP("566022TB Muni","BB_COMPOSITE")</f>
        <v>#N/A Requesting Data...</v>
      </c>
      <c r="T1536" t="str">
        <f>_xll.BDP("566022TB Muni","LQA_LIQUIDITY_SCORE")</f>
        <v>#N/A Requesting Data...</v>
      </c>
    </row>
    <row r="1537" spans="1:20" x14ac:dyDescent="0.25">
      <c r="A1537" t="str">
        <f>_xll.BDP("566022TC Muni","ID_CUSIP")</f>
        <v>#N/A Requesting Data...</v>
      </c>
      <c r="B1537" t="s">
        <v>367</v>
      </c>
      <c r="C1537" t="str">
        <f>_xll.BDP("566022TC Muni","INSURANCE_STATUS")</f>
        <v>#N/A Requesting Data...</v>
      </c>
      <c r="D1537" t="str">
        <f>_xll.BDP("566022TC Muni","STATE_CODE")</f>
        <v>#N/A Requesting Data...</v>
      </c>
      <c r="E1537" t="str">
        <f>_xll.BDP("566022TC Muni","COUNTY_LOCATION_ISSUER")</f>
        <v>#N/A Requesting Data...</v>
      </c>
      <c r="F1537" t="str">
        <f>_xll.BDP("566022TC Muni","DUR_ADJ_MID")</f>
        <v>#N/A Requesting Data...</v>
      </c>
      <c r="G1537" t="str">
        <f>_xll.BDP("566022TC Muni","SPREAD_AT_ISSUANCE_TO_WORST")</f>
        <v>#N/A Requesting Data...</v>
      </c>
      <c r="H1537" t="str">
        <f>_xll.BDP("566022TC Muni","ISSUE_DT")</f>
        <v>#N/A Requesting Data...</v>
      </c>
      <c r="I1537" t="str">
        <f>_xll.BDS("566022TC Muni","MUNI_PURPOSE_SCHED", "aggregate=y")</f>
        <v>#N/A Requesting Data...</v>
      </c>
      <c r="J1537" t="str">
        <f>_xll.BDP("566022TC Muni","CPN")</f>
        <v>#N/A Requesting Data...</v>
      </c>
      <c r="K1537" t="str">
        <f>_xll.BDP("566022TC Muni","MATURITY")</f>
        <v>#N/A Requesting Data...</v>
      </c>
      <c r="L1537">
        <v>370000</v>
      </c>
      <c r="M1537" t="str">
        <f>_xll.BDP("566022TC Muni","YIELD_ON_ISSUE_DATE")</f>
        <v>#N/A Requesting Data...</v>
      </c>
      <c r="N1537" t="str">
        <f>_xll.BDP("566022TC Muni","YTW_SPREAD_TO_MATURITY_AT_ISSU")</f>
        <v>#N/A Requesting Data...</v>
      </c>
      <c r="O1537" t="str">
        <f>_xll.BDP("566022TC Muni","BVAL_MID_YTM")</f>
        <v>#N/A Requesting Data...</v>
      </c>
      <c r="P1537" t="str">
        <f>_xll.BDP("566022TC Muni","MUNI_TAX_PROV")</f>
        <v>#N/A Requesting Data...</v>
      </c>
      <c r="Q1537" t="str">
        <f>_xll.BDP("566022TC Muni","MUNI_FED_TAX")</f>
        <v>#N/A Requesting Data...</v>
      </c>
      <c r="R1537" t="str">
        <f>_xll.BDP("566022TC Muni","MUNI_MSRB_VOLUME")</f>
        <v>#N/A Requesting Data...</v>
      </c>
      <c r="S1537" t="str">
        <f>_xll.BDP("566022TC Muni","BB_COMPOSITE")</f>
        <v>#N/A Requesting Data...</v>
      </c>
      <c r="T1537" t="str">
        <f>_xll.BDP("566022TC Muni","LQA_LIQUIDITY_SCORE")</f>
        <v>#N/A Requesting Data...</v>
      </c>
    </row>
    <row r="1538" spans="1:20" x14ac:dyDescent="0.25">
      <c r="A1538" t="str">
        <f>_xll.BDP("566022TF Muni","ID_CUSIP")</f>
        <v>#N/A Requesting Data...</v>
      </c>
      <c r="B1538" t="s">
        <v>367</v>
      </c>
      <c r="C1538" t="str">
        <f>_xll.BDP("566022TF Muni","INSURANCE_STATUS")</f>
        <v>#N/A Requesting Data...</v>
      </c>
      <c r="D1538" t="str">
        <f>_xll.BDP("566022TF Muni","STATE_CODE")</f>
        <v>#N/A Requesting Data...</v>
      </c>
      <c r="E1538" t="str">
        <f>_xll.BDP("566022TF Muni","COUNTY_LOCATION_ISSUER")</f>
        <v>#N/A Requesting Data...</v>
      </c>
      <c r="F1538" t="str">
        <f>_xll.BDP("566022TF Muni","DUR_ADJ_MID")</f>
        <v>#N/A Requesting Data...</v>
      </c>
      <c r="G1538" t="str">
        <f>_xll.BDP("566022TF Muni","SPREAD_AT_ISSUANCE_TO_WORST")</f>
        <v>#N/A Requesting Data...</v>
      </c>
      <c r="H1538" t="str">
        <f>_xll.BDP("566022TF Muni","ISSUE_DT")</f>
        <v>#N/A Requesting Data...</v>
      </c>
      <c r="I1538" t="str">
        <f>_xll.BDS("566022TF Muni","MUNI_PURPOSE_SCHED", "aggregate=y")</f>
        <v>#N/A Requesting Data...</v>
      </c>
      <c r="J1538" t="str">
        <f>_xll.BDP("566022TF Muni","CPN")</f>
        <v>#N/A Requesting Data...</v>
      </c>
      <c r="K1538" t="str">
        <f>_xll.BDP("566022TF Muni","MATURITY")</f>
        <v>#N/A Requesting Data...</v>
      </c>
      <c r="L1538">
        <v>345000</v>
      </c>
      <c r="M1538" t="str">
        <f>_xll.BDP("566022TF Muni","YIELD_ON_ISSUE_DATE")</f>
        <v>#N/A Requesting Data...</v>
      </c>
      <c r="N1538" t="str">
        <f>_xll.BDP("566022TF Muni","YTW_SPREAD_TO_MATURITY_AT_ISSU")</f>
        <v>#N/A Requesting Data...</v>
      </c>
      <c r="O1538" t="str">
        <f>_xll.BDP("566022TF Muni","BVAL_MID_YTM")</f>
        <v>#N/A Requesting Data...</v>
      </c>
      <c r="P1538" t="str">
        <f>_xll.BDP("566022TF Muni","MUNI_TAX_PROV")</f>
        <v>#N/A Requesting Data...</v>
      </c>
      <c r="Q1538" t="str">
        <f>_xll.BDP("566022TF Muni","MUNI_FED_TAX")</f>
        <v>#N/A Requesting Data...</v>
      </c>
      <c r="R1538" t="str">
        <f>_xll.BDP("566022TF Muni","MUNI_MSRB_VOLUME")</f>
        <v>#N/A Requesting Data...</v>
      </c>
      <c r="S1538" t="str">
        <f>_xll.BDP("566022TF Muni","BB_COMPOSITE")</f>
        <v>#N/A Requesting Data...</v>
      </c>
      <c r="T1538" t="str">
        <f>_xll.BDP("566022TF Muni","LQA_LIQUIDITY_SCORE")</f>
        <v>#N/A Requesting Data...</v>
      </c>
    </row>
    <row r="1539" spans="1:20" x14ac:dyDescent="0.25">
      <c r="A1539" t="str">
        <f>_xll.BDP("686507HP Muni","ID_CUSIP")</f>
        <v>#N/A Requesting Data...</v>
      </c>
      <c r="B1539" t="s">
        <v>381</v>
      </c>
      <c r="C1539" t="str">
        <f>_xll.BDP("686507HP Muni","INSURANCE_STATUS")</f>
        <v>#N/A Requesting Data...</v>
      </c>
      <c r="D1539" t="str">
        <f>_xll.BDP("686507HP Muni","STATE_CODE")</f>
        <v>#N/A Requesting Data...</v>
      </c>
      <c r="E1539" t="str">
        <f>_xll.BDP("686507HP Muni","COUNTY_LOCATION_ISSUER")</f>
        <v>#N/A Requesting Data...</v>
      </c>
      <c r="F1539" t="str">
        <f>_xll.BDP("686507HP Muni","DUR_ADJ_MID")</f>
        <v>#N/A Requesting Data...</v>
      </c>
      <c r="G1539" t="str">
        <f>_xll.BDP("686507HP Muni","SPREAD_AT_ISSUANCE_TO_WORST")</f>
        <v>#N/A Requesting Data...</v>
      </c>
      <c r="H1539" t="str">
        <f>_xll.BDP("686507HP Muni","ISSUE_DT")</f>
        <v>#N/A Requesting Data...</v>
      </c>
      <c r="I1539" t="str">
        <f>_xll.BDS("686507HP Muni","MUNI_PURPOSE_SCHED", "aggregate=y")</f>
        <v>#N/A Requesting Data...</v>
      </c>
      <c r="J1539" t="str">
        <f>_xll.BDP("686507HP Muni","CPN")</f>
        <v>#N/A Requesting Data...</v>
      </c>
      <c r="K1539" t="str">
        <f>_xll.BDP("686507HP Muni","MATURITY")</f>
        <v>#N/A Requesting Data...</v>
      </c>
      <c r="L1539">
        <v>6350000</v>
      </c>
      <c r="M1539" t="str">
        <f>_xll.BDP("686507HP Muni","YIELD_ON_ISSUE_DATE")</f>
        <v>#N/A Requesting Data...</v>
      </c>
      <c r="N1539" t="str">
        <f>_xll.BDP("686507HP Muni","YTW_SPREAD_TO_MATURITY_AT_ISSU")</f>
        <v>#N/A Requesting Data...</v>
      </c>
      <c r="O1539" t="str">
        <f>_xll.BDP("686507HP Muni","BVAL_MID_YTM")</f>
        <v>#N/A Requesting Data...</v>
      </c>
      <c r="P1539" t="str">
        <f>_xll.BDP("686507HP Muni","MUNI_TAX_PROV")</f>
        <v>#N/A Requesting Data...</v>
      </c>
      <c r="Q1539" t="str">
        <f>_xll.BDP("686507HP Muni","MUNI_FED_TAX")</f>
        <v>#N/A Requesting Data...</v>
      </c>
      <c r="R1539" t="str">
        <f>_xll.BDP("686507HP Muni","MUNI_MSRB_VOLUME")</f>
        <v>#N/A Requesting Data...</v>
      </c>
      <c r="S1539" t="str">
        <f>_xll.BDP("686507HP Muni","BB_COMPOSITE")</f>
        <v>#N/A Requesting Data...</v>
      </c>
      <c r="T1539" t="str">
        <f>_xll.BDP("686507HP Muni","LQA_LIQUIDITY_SCORE")</f>
        <v>#N/A Requesting Data...</v>
      </c>
    </row>
    <row r="1540" spans="1:20" x14ac:dyDescent="0.25">
      <c r="A1540" t="str">
        <f>_xll.BDP("686507HQ Muni","ID_CUSIP")</f>
        <v>#N/A Requesting Data...</v>
      </c>
      <c r="B1540" t="s">
        <v>381</v>
      </c>
      <c r="C1540" t="str">
        <f>_xll.BDP("686507HQ Muni","INSURANCE_STATUS")</f>
        <v>#N/A Requesting Data...</v>
      </c>
      <c r="D1540" t="str">
        <f>_xll.BDP("686507HQ Muni","STATE_CODE")</f>
        <v>#N/A Requesting Data...</v>
      </c>
      <c r="E1540" t="str">
        <f>_xll.BDP("686507HQ Muni","COUNTY_LOCATION_ISSUER")</f>
        <v>#N/A Requesting Data...</v>
      </c>
      <c r="F1540" t="str">
        <f>_xll.BDP("686507HQ Muni","DUR_ADJ_MID")</f>
        <v>#N/A Requesting Data...</v>
      </c>
      <c r="G1540" t="str">
        <f>_xll.BDP("686507HQ Muni","SPREAD_AT_ISSUANCE_TO_WORST")</f>
        <v>#N/A Requesting Data...</v>
      </c>
      <c r="H1540" t="str">
        <f>_xll.BDP("686507HQ Muni","ISSUE_DT")</f>
        <v>#N/A Requesting Data...</v>
      </c>
      <c r="I1540" t="str">
        <f>_xll.BDS("686507HQ Muni","MUNI_PURPOSE_SCHED", "aggregate=y")</f>
        <v>#N/A Requesting Data...</v>
      </c>
      <c r="J1540" t="str">
        <f>_xll.BDP("686507HQ Muni","CPN")</f>
        <v>#N/A Requesting Data...</v>
      </c>
      <c r="K1540" t="str">
        <f>_xll.BDP("686507HQ Muni","MATURITY")</f>
        <v>#N/A Requesting Data...</v>
      </c>
      <c r="L1540">
        <v>6665000</v>
      </c>
      <c r="M1540" t="str">
        <f>_xll.BDP("686507HQ Muni","YIELD_ON_ISSUE_DATE")</f>
        <v>#N/A Requesting Data...</v>
      </c>
      <c r="N1540" t="str">
        <f>_xll.BDP("686507HQ Muni","YTW_SPREAD_TO_MATURITY_AT_ISSU")</f>
        <v>#N/A Requesting Data...</v>
      </c>
      <c r="O1540" t="str">
        <f>_xll.BDP("686507HQ Muni","BVAL_MID_YTM")</f>
        <v>#N/A Requesting Data...</v>
      </c>
      <c r="P1540" t="str">
        <f>_xll.BDP("686507HQ Muni","MUNI_TAX_PROV")</f>
        <v>#N/A Requesting Data...</v>
      </c>
      <c r="Q1540" t="str">
        <f>_xll.BDP("686507HQ Muni","MUNI_FED_TAX")</f>
        <v>#N/A Requesting Data...</v>
      </c>
      <c r="R1540" t="str">
        <f>_xll.BDP("686507HQ Muni","MUNI_MSRB_VOLUME")</f>
        <v>#N/A Requesting Data...</v>
      </c>
      <c r="S1540" t="str">
        <f>_xll.BDP("686507HQ Muni","BB_COMPOSITE")</f>
        <v>#N/A Requesting Data...</v>
      </c>
      <c r="T1540" t="str">
        <f>_xll.BDP("686507HQ Muni","LQA_LIQUIDITY_SCORE")</f>
        <v>#N/A Requesting Data...</v>
      </c>
    </row>
    <row r="1541" spans="1:20" x14ac:dyDescent="0.25">
      <c r="A1541" t="str">
        <f>_xll.BDP("686507HT Muni","ID_CUSIP")</f>
        <v>#N/A Requesting Data...</v>
      </c>
      <c r="B1541" t="s">
        <v>381</v>
      </c>
      <c r="C1541" t="str">
        <f>_xll.BDP("686507HT Muni","INSURANCE_STATUS")</f>
        <v>#N/A Requesting Data...</v>
      </c>
      <c r="D1541" t="str">
        <f>_xll.BDP("686507HT Muni","STATE_CODE")</f>
        <v>#N/A Requesting Data...</v>
      </c>
      <c r="E1541" t="str">
        <f>_xll.BDP("686507HT Muni","COUNTY_LOCATION_ISSUER")</f>
        <v>#N/A Requesting Data...</v>
      </c>
      <c r="F1541" t="str">
        <f>_xll.BDP("686507HT Muni","DUR_ADJ_MID")</f>
        <v>#N/A Requesting Data...</v>
      </c>
      <c r="G1541" t="str">
        <f>_xll.BDP("686507HT Muni","SPREAD_AT_ISSUANCE_TO_WORST")</f>
        <v>#N/A Requesting Data...</v>
      </c>
      <c r="H1541" t="str">
        <f>_xll.BDP("686507HT Muni","ISSUE_DT")</f>
        <v>#N/A Requesting Data...</v>
      </c>
      <c r="I1541" t="str">
        <f>_xll.BDS("686507HT Muni","MUNI_PURPOSE_SCHED", "aggregate=y")</f>
        <v>#N/A Requesting Data...</v>
      </c>
      <c r="J1541" t="str">
        <f>_xll.BDP("686507HT Muni","CPN")</f>
        <v>#N/A Requesting Data...</v>
      </c>
      <c r="K1541" t="str">
        <f>_xll.BDP("686507HT Muni","MATURITY")</f>
        <v>#N/A Requesting Data...</v>
      </c>
      <c r="L1541">
        <v>7720000</v>
      </c>
      <c r="M1541" t="str">
        <f>_xll.BDP("686507HT Muni","YIELD_ON_ISSUE_DATE")</f>
        <v>#N/A Requesting Data...</v>
      </c>
      <c r="N1541" t="str">
        <f>_xll.BDP("686507HT Muni","YTW_SPREAD_TO_MATURITY_AT_ISSU")</f>
        <v>#N/A Requesting Data...</v>
      </c>
      <c r="O1541" t="str">
        <f>_xll.BDP("686507HT Muni","BVAL_MID_YTM")</f>
        <v>#N/A Requesting Data...</v>
      </c>
      <c r="P1541" t="str">
        <f>_xll.BDP("686507HT Muni","MUNI_TAX_PROV")</f>
        <v>#N/A Requesting Data...</v>
      </c>
      <c r="Q1541" t="str">
        <f>_xll.BDP("686507HT Muni","MUNI_FED_TAX")</f>
        <v>#N/A Requesting Data...</v>
      </c>
      <c r="R1541" t="str">
        <f>_xll.BDP("686507HT Muni","MUNI_MSRB_VOLUME")</f>
        <v>#N/A Requesting Data...</v>
      </c>
      <c r="S1541" t="str">
        <f>_xll.BDP("686507HT Muni","BB_COMPOSITE")</f>
        <v>#N/A Requesting Data...</v>
      </c>
      <c r="T1541" t="str">
        <f>_xll.BDP("686507HT Muni","LQA_LIQUIDITY_SCORE")</f>
        <v>#N/A Requesting Data...</v>
      </c>
    </row>
    <row r="1542" spans="1:20" x14ac:dyDescent="0.25">
      <c r="A1542" t="str">
        <f>_xll.BDP("686507HS Muni","ID_CUSIP")</f>
        <v>#N/A Requesting Data...</v>
      </c>
      <c r="B1542" t="s">
        <v>381</v>
      </c>
      <c r="C1542" t="str">
        <f>_xll.BDP("686507HS Muni","INSURANCE_STATUS")</f>
        <v>#N/A Requesting Data...</v>
      </c>
      <c r="D1542" t="str">
        <f>_xll.BDP("686507HS Muni","STATE_CODE")</f>
        <v>#N/A Requesting Data...</v>
      </c>
      <c r="E1542" t="str">
        <f>_xll.BDP("686507HS Muni","COUNTY_LOCATION_ISSUER")</f>
        <v>#N/A Requesting Data...</v>
      </c>
      <c r="F1542" t="str">
        <f>_xll.BDP("686507HS Muni","DUR_ADJ_MID")</f>
        <v>#N/A Requesting Data...</v>
      </c>
      <c r="G1542" t="str">
        <f>_xll.BDP("686507HS Muni","SPREAD_AT_ISSUANCE_TO_WORST")</f>
        <v>#N/A Requesting Data...</v>
      </c>
      <c r="H1542" t="str">
        <f>_xll.BDP("686507HS Muni","ISSUE_DT")</f>
        <v>#N/A Requesting Data...</v>
      </c>
      <c r="I1542" t="str">
        <f>_xll.BDS("686507HS Muni","MUNI_PURPOSE_SCHED", "aggregate=y")</f>
        <v>#N/A Requesting Data...</v>
      </c>
      <c r="J1542" t="str">
        <f>_xll.BDP("686507HS Muni","CPN")</f>
        <v>#N/A Requesting Data...</v>
      </c>
      <c r="K1542" t="str">
        <f>_xll.BDP("686507HS Muni","MATURITY")</f>
        <v>#N/A Requesting Data...</v>
      </c>
      <c r="L1542">
        <v>7350000</v>
      </c>
      <c r="M1542" t="str">
        <f>_xll.BDP("686507HS Muni","YIELD_ON_ISSUE_DATE")</f>
        <v>#N/A Requesting Data...</v>
      </c>
      <c r="N1542" t="str">
        <f>_xll.BDP("686507HS Muni","YTW_SPREAD_TO_MATURITY_AT_ISSU")</f>
        <v>#N/A Requesting Data...</v>
      </c>
      <c r="O1542" t="str">
        <f>_xll.BDP("686507HS Muni","BVAL_MID_YTM")</f>
        <v>#N/A Requesting Data...</v>
      </c>
      <c r="P1542" t="str">
        <f>_xll.BDP("686507HS Muni","MUNI_TAX_PROV")</f>
        <v>#N/A Requesting Data...</v>
      </c>
      <c r="Q1542" t="str">
        <f>_xll.BDP("686507HS Muni","MUNI_FED_TAX")</f>
        <v>#N/A Requesting Data...</v>
      </c>
      <c r="R1542" t="str">
        <f>_xll.BDP("686507HS Muni","MUNI_MSRB_VOLUME")</f>
        <v>#N/A Requesting Data...</v>
      </c>
      <c r="S1542" t="str">
        <f>_xll.BDP("686507HS Muni","BB_COMPOSITE")</f>
        <v>#N/A Requesting Data...</v>
      </c>
      <c r="T1542" t="str">
        <f>_xll.BDP("686507HS Muni","LQA_LIQUIDITY_SCORE")</f>
        <v>#N/A Requesting Data...</v>
      </c>
    </row>
    <row r="1543" spans="1:20" x14ac:dyDescent="0.25">
      <c r="A1543" t="str">
        <f>_xll.BDP("68825RHN Muni","ID_CUSIP")</f>
        <v>#N/A Requesting Data...</v>
      </c>
      <c r="B1543" t="s">
        <v>379</v>
      </c>
      <c r="C1543" t="str">
        <f>_xll.BDP("68825RHN Muni","INSURANCE_STATUS")</f>
        <v>#N/A Requesting Data...</v>
      </c>
      <c r="D1543" t="str">
        <f>_xll.BDP("68825RHN Muni","STATE_CODE")</f>
        <v>#N/A Requesting Data...</v>
      </c>
      <c r="E1543" t="str">
        <f>_xll.BDP("68825RHN Muni","COUNTY_LOCATION_ISSUER")</f>
        <v>#N/A Requesting Data...</v>
      </c>
      <c r="F1543" t="str">
        <f>_xll.BDP("68825RHN Muni","DUR_ADJ_MID")</f>
        <v>#N/A Requesting Data...</v>
      </c>
      <c r="G1543" t="str">
        <f>_xll.BDP("68825RHN Muni","SPREAD_AT_ISSUANCE_TO_WORST")</f>
        <v>#N/A Requesting Data...</v>
      </c>
      <c r="H1543" t="str">
        <f>_xll.BDP("68825RHN Muni","ISSUE_DT")</f>
        <v>#N/A Requesting Data...</v>
      </c>
      <c r="I1543" t="str">
        <f>_xll.BDS("68825RHN Muni","MUNI_PURPOSE_SCHED", "aggregate=y")</f>
        <v>#N/A Requesting Data...</v>
      </c>
      <c r="J1543" t="str">
        <f>_xll.BDP("68825RHN Muni","CPN")</f>
        <v>#N/A Requesting Data...</v>
      </c>
      <c r="K1543" t="str">
        <f>_xll.BDP("68825RHN Muni","MATURITY")</f>
        <v>#N/A Requesting Data...</v>
      </c>
      <c r="L1543">
        <v>410000</v>
      </c>
      <c r="M1543" t="str">
        <f>_xll.BDP("68825RHN Muni","YIELD_ON_ISSUE_DATE")</f>
        <v>#N/A Requesting Data...</v>
      </c>
      <c r="N1543" t="str">
        <f>_xll.BDP("68825RHN Muni","YTW_SPREAD_TO_MATURITY_AT_ISSU")</f>
        <v>#N/A Requesting Data...</v>
      </c>
      <c r="O1543" t="str">
        <f>_xll.BDP("68825RHN Muni","BVAL_MID_YTM")</f>
        <v>#N/A Requesting Data...</v>
      </c>
      <c r="P1543" t="str">
        <f>_xll.BDP("68825RHN Muni","MUNI_TAX_PROV")</f>
        <v>#N/A Requesting Data...</v>
      </c>
      <c r="Q1543" t="str">
        <f>_xll.BDP("68825RHN Muni","MUNI_FED_TAX")</f>
        <v>#N/A Requesting Data...</v>
      </c>
      <c r="R1543" t="str">
        <f>_xll.BDP("68825RHN Muni","MUNI_MSRB_VOLUME")</f>
        <v>#N/A Requesting Data...</v>
      </c>
      <c r="S1543" t="str">
        <f>_xll.BDP("68825RHN Muni","BB_COMPOSITE")</f>
        <v>#N/A Requesting Data...</v>
      </c>
      <c r="T1543" t="str">
        <f>_xll.BDP("68825RHN Muni","LQA_LIQUIDITY_SCORE")</f>
        <v>#N/A Requesting Data...</v>
      </c>
    </row>
    <row r="1544" spans="1:20" x14ac:dyDescent="0.25">
      <c r="A1544" t="str">
        <f>_xll.BDP("68825RHR Muni","ID_CUSIP")</f>
        <v>#N/A Requesting Data...</v>
      </c>
      <c r="B1544" t="s">
        <v>379</v>
      </c>
      <c r="C1544" t="str">
        <f>_xll.BDP("68825RHR Muni","INSURANCE_STATUS")</f>
        <v>#N/A Requesting Data...</v>
      </c>
      <c r="D1544" t="str">
        <f>_xll.BDP("68825RHR Muni","STATE_CODE")</f>
        <v>#N/A Requesting Data...</v>
      </c>
      <c r="E1544" t="str">
        <f>_xll.BDP("68825RHR Muni","COUNTY_LOCATION_ISSUER")</f>
        <v>#N/A Requesting Data...</v>
      </c>
      <c r="F1544" t="str">
        <f>_xll.BDP("68825RHR Muni","DUR_ADJ_MID")</f>
        <v>#N/A Requesting Data...</v>
      </c>
      <c r="G1544" t="str">
        <f>_xll.BDP("68825RHR Muni","SPREAD_AT_ISSUANCE_TO_WORST")</f>
        <v>#N/A Requesting Data...</v>
      </c>
      <c r="H1544" t="str">
        <f>_xll.BDP("68825RHR Muni","ISSUE_DT")</f>
        <v>#N/A Requesting Data...</v>
      </c>
      <c r="I1544" t="str">
        <f>_xll.BDS("68825RHR Muni","MUNI_PURPOSE_SCHED", "aggregate=y")</f>
        <v>#N/A Requesting Data...</v>
      </c>
      <c r="J1544" t="str">
        <f>_xll.BDP("68825RHR Muni","CPN")</f>
        <v>#N/A Requesting Data...</v>
      </c>
      <c r="K1544" t="str">
        <f>_xll.BDP("68825RHR Muni","MATURITY")</f>
        <v>#N/A Requesting Data...</v>
      </c>
      <c r="L1544">
        <v>480000</v>
      </c>
      <c r="M1544" t="str">
        <f>_xll.BDP("68825RHR Muni","YIELD_ON_ISSUE_DATE")</f>
        <v>#N/A Requesting Data...</v>
      </c>
      <c r="N1544" t="str">
        <f>_xll.BDP("68825RHR Muni","YTW_SPREAD_TO_MATURITY_AT_ISSU")</f>
        <v>#N/A Requesting Data...</v>
      </c>
      <c r="O1544" t="str">
        <f>_xll.BDP("68825RHR Muni","BVAL_MID_YTM")</f>
        <v>#N/A Requesting Data...</v>
      </c>
      <c r="P1544" t="str">
        <f>_xll.BDP("68825RHR Muni","MUNI_TAX_PROV")</f>
        <v>#N/A Requesting Data...</v>
      </c>
      <c r="Q1544" t="str">
        <f>_xll.BDP("68825RHR Muni","MUNI_FED_TAX")</f>
        <v>#N/A Requesting Data...</v>
      </c>
      <c r="R1544" t="str">
        <f>_xll.BDP("68825RHR Muni","MUNI_MSRB_VOLUME")</f>
        <v>#N/A Requesting Data...</v>
      </c>
      <c r="S1544" t="str">
        <f>_xll.BDP("68825RHR Muni","BB_COMPOSITE")</f>
        <v>#N/A Requesting Data...</v>
      </c>
      <c r="T1544" t="str">
        <f>_xll.BDP("68825RHR Muni","LQA_LIQUIDITY_SCORE")</f>
        <v>#N/A Requesting Data...</v>
      </c>
    </row>
    <row r="1545" spans="1:20" x14ac:dyDescent="0.25">
      <c r="A1545" t="str">
        <f>_xll.BDP("691106LV Muni","ID_CUSIP")</f>
        <v>#N/A Requesting Data...</v>
      </c>
      <c r="B1545" t="s">
        <v>382</v>
      </c>
      <c r="C1545" t="str">
        <f>_xll.BDP("691106LV Muni","INSURANCE_STATUS")</f>
        <v>#N/A Requesting Data...</v>
      </c>
      <c r="D1545" t="str">
        <f>_xll.BDP("691106LV Muni","STATE_CODE")</f>
        <v>#N/A Requesting Data...</v>
      </c>
      <c r="E1545" t="str">
        <f>_xll.BDP("691106LV Muni","COUNTY_LOCATION_ISSUER")</f>
        <v>#N/A Requesting Data...</v>
      </c>
      <c r="F1545" t="str">
        <f>_xll.BDP("691106LV Muni","DUR_ADJ_MID")</f>
        <v>#N/A Requesting Data...</v>
      </c>
      <c r="G1545" t="str">
        <f>_xll.BDP("691106LV Muni","SPREAD_AT_ISSUANCE_TO_WORST")</f>
        <v>#N/A Requesting Data...</v>
      </c>
      <c r="H1545" t="str">
        <f>_xll.BDP("691106LV Muni","ISSUE_DT")</f>
        <v>#N/A Requesting Data...</v>
      </c>
      <c r="I1545" t="str">
        <f>_xll.BDS("691106LV Muni","MUNI_PURPOSE_SCHED", "aggregate=y")</f>
        <v>#N/A Requesting Data...</v>
      </c>
      <c r="J1545" t="str">
        <f>_xll.BDP("691106LV Muni","CPN")</f>
        <v>#N/A Requesting Data...</v>
      </c>
      <c r="K1545" t="str">
        <f>_xll.BDP("691106LV Muni","MATURITY")</f>
        <v>#N/A Requesting Data...</v>
      </c>
      <c r="L1545">
        <v>1425000</v>
      </c>
      <c r="M1545" t="str">
        <f>_xll.BDP("691106LV Muni","YIELD_ON_ISSUE_DATE")</f>
        <v>#N/A Requesting Data...</v>
      </c>
      <c r="N1545" t="str">
        <f>_xll.BDP("691106LV Muni","YTW_SPREAD_TO_MATURITY_AT_ISSU")</f>
        <v>#N/A Requesting Data...</v>
      </c>
      <c r="O1545" t="str">
        <f>_xll.BDP("691106LV Muni","BVAL_MID_YTM")</f>
        <v>#N/A Requesting Data...</v>
      </c>
      <c r="P1545" t="str">
        <f>_xll.BDP("691106LV Muni","MUNI_TAX_PROV")</f>
        <v>#N/A Requesting Data...</v>
      </c>
      <c r="Q1545" t="str">
        <f>_xll.BDP("691106LV Muni","MUNI_FED_TAX")</f>
        <v>#N/A Requesting Data...</v>
      </c>
      <c r="R1545" t="str">
        <f>_xll.BDP("691106LV Muni","MUNI_MSRB_VOLUME")</f>
        <v>#N/A Requesting Data...</v>
      </c>
      <c r="S1545" t="str">
        <f>_xll.BDP("691106LV Muni","BB_COMPOSITE")</f>
        <v>#N/A Requesting Data...</v>
      </c>
      <c r="T1545" t="str">
        <f>_xll.BDP("691106LV Muni","LQA_LIQUIDITY_SCORE")</f>
        <v>#N/A Requesting Data...</v>
      </c>
    </row>
    <row r="1546" spans="1:20" x14ac:dyDescent="0.25">
      <c r="A1546" t="str">
        <f>_xll.BDP("691106LX Muni","ID_CUSIP")</f>
        <v>#N/A Requesting Data...</v>
      </c>
      <c r="B1546" t="s">
        <v>382</v>
      </c>
      <c r="C1546" t="str">
        <f>_xll.BDP("691106LX Muni","INSURANCE_STATUS")</f>
        <v>#N/A Requesting Data...</v>
      </c>
      <c r="D1546" t="str">
        <f>_xll.BDP("691106LX Muni","STATE_CODE")</f>
        <v>#N/A Requesting Data...</v>
      </c>
      <c r="E1546" t="str">
        <f>_xll.BDP("691106LX Muni","COUNTY_LOCATION_ISSUER")</f>
        <v>#N/A Requesting Data...</v>
      </c>
      <c r="F1546" t="str">
        <f>_xll.BDP("691106LX Muni","DUR_ADJ_MID")</f>
        <v>#N/A Requesting Data...</v>
      </c>
      <c r="G1546" t="str">
        <f>_xll.BDP("691106LX Muni","SPREAD_AT_ISSUANCE_TO_WORST")</f>
        <v>#N/A Requesting Data...</v>
      </c>
      <c r="H1546" t="str">
        <f>_xll.BDP("691106LX Muni","ISSUE_DT")</f>
        <v>#N/A Requesting Data...</v>
      </c>
      <c r="I1546" t="str">
        <f>_xll.BDS("691106LX Muni","MUNI_PURPOSE_SCHED", "aggregate=y")</f>
        <v>#N/A Requesting Data...</v>
      </c>
      <c r="J1546" t="str">
        <f>_xll.BDP("691106LX Muni","CPN")</f>
        <v>#N/A Requesting Data...</v>
      </c>
      <c r="K1546" t="str">
        <f>_xll.BDP("691106LX Muni","MATURITY")</f>
        <v>#N/A Requesting Data...</v>
      </c>
      <c r="L1546">
        <v>1575000</v>
      </c>
      <c r="M1546" t="str">
        <f>_xll.BDP("691106LX Muni","YIELD_ON_ISSUE_DATE")</f>
        <v>#N/A Requesting Data...</v>
      </c>
      <c r="N1546" t="str">
        <f>_xll.BDP("691106LX Muni","YTW_SPREAD_TO_MATURITY_AT_ISSU")</f>
        <v>#N/A Requesting Data...</v>
      </c>
      <c r="O1546" t="str">
        <f>_xll.BDP("691106LX Muni","BVAL_MID_YTM")</f>
        <v>#N/A Requesting Data...</v>
      </c>
      <c r="P1546" t="str">
        <f>_xll.BDP("691106LX Muni","MUNI_TAX_PROV")</f>
        <v>#N/A Requesting Data...</v>
      </c>
      <c r="Q1546" t="str">
        <f>_xll.BDP("691106LX Muni","MUNI_FED_TAX")</f>
        <v>#N/A Requesting Data...</v>
      </c>
      <c r="R1546" t="str">
        <f>_xll.BDP("691106LX Muni","MUNI_MSRB_VOLUME")</f>
        <v>#N/A Requesting Data...</v>
      </c>
      <c r="S1546" t="str">
        <f>_xll.BDP("691106LX Muni","BB_COMPOSITE")</f>
        <v>#N/A Requesting Data...</v>
      </c>
      <c r="T1546" t="str">
        <f>_xll.BDP("691106LX Muni","LQA_LIQUIDITY_SCORE")</f>
        <v>#N/A Requesting Data...</v>
      </c>
    </row>
    <row r="1547" spans="1:20" x14ac:dyDescent="0.25">
      <c r="A1547" t="str">
        <f>_xll.BDP("622503VS Muni","ID_CUSIP")</f>
        <v>#N/A Requesting Data...</v>
      </c>
      <c r="B1547" t="s">
        <v>383</v>
      </c>
      <c r="C1547" t="str">
        <f>_xll.BDP("622503VS Muni","INSURANCE_STATUS")</f>
        <v>#N/A Requesting Data...</v>
      </c>
      <c r="D1547" t="str">
        <f>_xll.BDP("622503VS Muni","STATE_CODE")</f>
        <v>#N/A Requesting Data...</v>
      </c>
      <c r="E1547" t="str">
        <f>_xll.BDP("622503VS Muni","COUNTY_LOCATION_ISSUER")</f>
        <v>#N/A Requesting Data...</v>
      </c>
      <c r="F1547" t="str">
        <f>_xll.BDP("622503VS Muni","DUR_ADJ_MID")</f>
        <v>#N/A Requesting Data...</v>
      </c>
      <c r="G1547" t="str">
        <f>_xll.BDP("622503VS Muni","SPREAD_AT_ISSUANCE_TO_WORST")</f>
        <v>#N/A Requesting Data...</v>
      </c>
      <c r="H1547" t="str">
        <f>_xll.BDP("622503VS Muni","ISSUE_DT")</f>
        <v>#N/A Requesting Data...</v>
      </c>
      <c r="I1547" t="str">
        <f>_xll.BDS("622503VS Muni","MUNI_PURPOSE_SCHED", "aggregate=y")</f>
        <v>#N/A Requesting Data...</v>
      </c>
      <c r="J1547" t="str">
        <f>_xll.BDP("622503VS Muni","CPN")</f>
        <v>#N/A Requesting Data...</v>
      </c>
      <c r="K1547" t="str">
        <f>_xll.BDP("622503VS Muni","MATURITY")</f>
        <v>#N/A Requesting Data...</v>
      </c>
      <c r="L1547">
        <v>410000</v>
      </c>
      <c r="M1547" t="str">
        <f>_xll.BDP("622503VS Muni","YIELD_ON_ISSUE_DATE")</f>
        <v>#N/A Requesting Data...</v>
      </c>
      <c r="N1547" t="str">
        <f>_xll.BDP("622503VS Muni","YTW_SPREAD_TO_MATURITY_AT_ISSU")</f>
        <v>#N/A Requesting Data...</v>
      </c>
      <c r="O1547" t="str">
        <f>_xll.BDP("622503VS Muni","BVAL_MID_YTM")</f>
        <v>#N/A Requesting Data...</v>
      </c>
      <c r="P1547" t="str">
        <f>_xll.BDP("622503VS Muni","MUNI_TAX_PROV")</f>
        <v>#N/A Requesting Data...</v>
      </c>
      <c r="Q1547" t="str">
        <f>_xll.BDP("622503VS Muni","MUNI_FED_TAX")</f>
        <v>#N/A Requesting Data...</v>
      </c>
      <c r="R1547" t="str">
        <f>_xll.BDP("622503VS Muni","MUNI_MSRB_VOLUME")</f>
        <v>#N/A Requesting Data...</v>
      </c>
      <c r="S1547" t="str">
        <f>_xll.BDP("622503VS Muni","BB_COMPOSITE")</f>
        <v>#N/A Requesting Data...</v>
      </c>
      <c r="T1547" t="str">
        <f>_xll.BDP("622503VS Muni","LQA_LIQUIDITY_SCORE")</f>
        <v>#N/A Requesting Data...</v>
      </c>
    </row>
    <row r="1548" spans="1:20" x14ac:dyDescent="0.25">
      <c r="A1548" t="str">
        <f>_xll.BDP("622503VT Muni","ID_CUSIP")</f>
        <v>#N/A Requesting Data...</v>
      </c>
      <c r="B1548" t="s">
        <v>383</v>
      </c>
      <c r="C1548" t="str">
        <f>_xll.BDP("622503VT Muni","INSURANCE_STATUS")</f>
        <v>#N/A Requesting Data...</v>
      </c>
      <c r="D1548" t="str">
        <f>_xll.BDP("622503VT Muni","STATE_CODE")</f>
        <v>#N/A Requesting Data...</v>
      </c>
      <c r="E1548" t="str">
        <f>_xll.BDP("622503VT Muni","COUNTY_LOCATION_ISSUER")</f>
        <v>#N/A Requesting Data...</v>
      </c>
      <c r="F1548" t="str">
        <f>_xll.BDP("622503VT Muni","DUR_ADJ_MID")</f>
        <v>#N/A Requesting Data...</v>
      </c>
      <c r="G1548" t="str">
        <f>_xll.BDP("622503VT Muni","SPREAD_AT_ISSUANCE_TO_WORST")</f>
        <v>#N/A Requesting Data...</v>
      </c>
      <c r="H1548" t="str">
        <f>_xll.BDP("622503VT Muni","ISSUE_DT")</f>
        <v>#N/A Requesting Data...</v>
      </c>
      <c r="I1548" t="str">
        <f>_xll.BDS("622503VT Muni","MUNI_PURPOSE_SCHED", "aggregate=y")</f>
        <v>#N/A Requesting Data...</v>
      </c>
      <c r="J1548" t="str">
        <f>_xll.BDP("622503VT Muni","CPN")</f>
        <v>#N/A Requesting Data...</v>
      </c>
      <c r="K1548" t="str">
        <f>_xll.BDP("622503VT Muni","MATURITY")</f>
        <v>#N/A Requesting Data...</v>
      </c>
      <c r="L1548">
        <v>420000</v>
      </c>
      <c r="M1548" t="str">
        <f>_xll.BDP("622503VT Muni","YIELD_ON_ISSUE_DATE")</f>
        <v>#N/A Requesting Data...</v>
      </c>
      <c r="N1548" t="str">
        <f>_xll.BDP("622503VT Muni","YTW_SPREAD_TO_MATURITY_AT_ISSU")</f>
        <v>#N/A Requesting Data...</v>
      </c>
      <c r="O1548" t="str">
        <f>_xll.BDP("622503VT Muni","BVAL_MID_YTM")</f>
        <v>#N/A Requesting Data...</v>
      </c>
      <c r="P1548" t="str">
        <f>_xll.BDP("622503VT Muni","MUNI_TAX_PROV")</f>
        <v>#N/A Requesting Data...</v>
      </c>
      <c r="Q1548" t="str">
        <f>_xll.BDP("622503VT Muni","MUNI_FED_TAX")</f>
        <v>#N/A Requesting Data...</v>
      </c>
      <c r="R1548" t="str">
        <f>_xll.BDP("622503VT Muni","MUNI_MSRB_VOLUME")</f>
        <v>#N/A Requesting Data...</v>
      </c>
      <c r="S1548" t="str">
        <f>_xll.BDP("622503VT Muni","BB_COMPOSITE")</f>
        <v>#N/A Requesting Data...</v>
      </c>
      <c r="T1548" t="str">
        <f>_xll.BDP("622503VT Muni","LQA_LIQUIDITY_SCORE")</f>
        <v>#N/A Requesting Data...</v>
      </c>
    </row>
    <row r="1549" spans="1:20" x14ac:dyDescent="0.25">
      <c r="A1549" t="str">
        <f>_xll.BDP("622503VU Muni","ID_CUSIP")</f>
        <v>#N/A Requesting Data...</v>
      </c>
      <c r="B1549" t="s">
        <v>383</v>
      </c>
      <c r="C1549" t="str">
        <f>_xll.BDP("622503VU Muni","INSURANCE_STATUS")</f>
        <v>#N/A Requesting Data...</v>
      </c>
      <c r="D1549" t="str">
        <f>_xll.BDP("622503VU Muni","STATE_CODE")</f>
        <v>#N/A Requesting Data...</v>
      </c>
      <c r="E1549" t="str">
        <f>_xll.BDP("622503VU Muni","COUNTY_LOCATION_ISSUER")</f>
        <v>#N/A Requesting Data...</v>
      </c>
      <c r="F1549" t="str">
        <f>_xll.BDP("622503VU Muni","DUR_ADJ_MID")</f>
        <v>#N/A Requesting Data...</v>
      </c>
      <c r="G1549" t="str">
        <f>_xll.BDP("622503VU Muni","SPREAD_AT_ISSUANCE_TO_WORST")</f>
        <v>#N/A Requesting Data...</v>
      </c>
      <c r="H1549" t="str">
        <f>_xll.BDP("622503VU Muni","ISSUE_DT")</f>
        <v>#N/A Requesting Data...</v>
      </c>
      <c r="I1549" t="str">
        <f>_xll.BDS("622503VU Muni","MUNI_PURPOSE_SCHED", "aggregate=y")</f>
        <v>#N/A Requesting Data...</v>
      </c>
      <c r="J1549" t="str">
        <f>_xll.BDP("622503VU Muni","CPN")</f>
        <v>#N/A Requesting Data...</v>
      </c>
      <c r="K1549" t="str">
        <f>_xll.BDP("622503VU Muni","MATURITY")</f>
        <v>#N/A Requesting Data...</v>
      </c>
      <c r="L1549">
        <v>425000</v>
      </c>
      <c r="M1549" t="str">
        <f>_xll.BDP("622503VU Muni","YIELD_ON_ISSUE_DATE")</f>
        <v>#N/A Requesting Data...</v>
      </c>
      <c r="N1549" t="str">
        <f>_xll.BDP("622503VU Muni","YTW_SPREAD_TO_MATURITY_AT_ISSU")</f>
        <v>#N/A Requesting Data...</v>
      </c>
      <c r="O1549" t="str">
        <f>_xll.BDP("622503VU Muni","BVAL_MID_YTM")</f>
        <v>#N/A Requesting Data...</v>
      </c>
      <c r="P1549" t="str">
        <f>_xll.BDP("622503VU Muni","MUNI_TAX_PROV")</f>
        <v>#N/A Requesting Data...</v>
      </c>
      <c r="Q1549" t="str">
        <f>_xll.BDP("622503VU Muni","MUNI_FED_TAX")</f>
        <v>#N/A Requesting Data...</v>
      </c>
      <c r="R1549" t="str">
        <f>_xll.BDP("622503VU Muni","MUNI_MSRB_VOLUME")</f>
        <v>#N/A Requesting Data...</v>
      </c>
      <c r="S1549" t="str">
        <f>_xll.BDP("622503VU Muni","BB_COMPOSITE")</f>
        <v>#N/A Requesting Data...</v>
      </c>
      <c r="T1549" t="str">
        <f>_xll.BDP("622503VU Muni","LQA_LIQUIDITY_SCORE")</f>
        <v>#N/A Requesting Data...</v>
      </c>
    </row>
    <row r="1550" spans="1:20" x14ac:dyDescent="0.25">
      <c r="A1550" t="str">
        <f>_xll.BDP("622826VQ Muni","ID_CUSIP")</f>
        <v>#N/A Requesting Data...</v>
      </c>
      <c r="B1550" t="s">
        <v>384</v>
      </c>
      <c r="C1550" t="str">
        <f>_xll.BDP("622826VQ Muni","INSURANCE_STATUS")</f>
        <v>#N/A Requesting Data...</v>
      </c>
      <c r="D1550" t="str">
        <f>_xll.BDP("622826VQ Muni","STATE_CODE")</f>
        <v>#N/A Requesting Data...</v>
      </c>
      <c r="E1550" t="str">
        <f>_xll.BDP("622826VQ Muni","COUNTY_LOCATION_ISSUER")</f>
        <v>#N/A Requesting Data...</v>
      </c>
      <c r="F1550" t="str">
        <f>_xll.BDP("622826VQ Muni","DUR_ADJ_MID")</f>
        <v>#N/A Requesting Data...</v>
      </c>
      <c r="G1550" t="str">
        <f>_xll.BDP("622826VQ Muni","SPREAD_AT_ISSUANCE_TO_WORST")</f>
        <v>#N/A Requesting Data...</v>
      </c>
      <c r="H1550" t="str">
        <f>_xll.BDP("622826VQ Muni","ISSUE_DT")</f>
        <v>#N/A Requesting Data...</v>
      </c>
      <c r="I1550" t="str">
        <f>_xll.BDS("622826VQ Muni","MUNI_PURPOSE_SCHED", "aggregate=y")</f>
        <v>#N/A Requesting Data...</v>
      </c>
      <c r="J1550" t="str">
        <f>_xll.BDP("622826VQ Muni","CPN")</f>
        <v>#N/A Requesting Data...</v>
      </c>
      <c r="K1550" t="str">
        <f>_xll.BDP("622826VQ Muni","MATURITY")</f>
        <v>#N/A Requesting Data...</v>
      </c>
      <c r="L1550">
        <v>355000</v>
      </c>
      <c r="M1550" t="str">
        <f>_xll.BDP("622826VQ Muni","YIELD_ON_ISSUE_DATE")</f>
        <v>#N/A Requesting Data...</v>
      </c>
      <c r="N1550" t="str">
        <f>_xll.BDP("622826VQ Muni","YTW_SPREAD_TO_MATURITY_AT_ISSU")</f>
        <v>#N/A Requesting Data...</v>
      </c>
      <c r="O1550" t="str">
        <f>_xll.BDP("622826VQ Muni","BVAL_MID_YTM")</f>
        <v>#N/A Requesting Data...</v>
      </c>
      <c r="P1550" t="str">
        <f>_xll.BDP("622826VQ Muni","MUNI_TAX_PROV")</f>
        <v>#N/A Requesting Data...</v>
      </c>
      <c r="Q1550" t="str">
        <f>_xll.BDP("622826VQ Muni","MUNI_FED_TAX")</f>
        <v>#N/A Requesting Data...</v>
      </c>
      <c r="R1550" t="str">
        <f>_xll.BDP("622826VQ Muni","MUNI_MSRB_VOLUME")</f>
        <v>#N/A Requesting Data...</v>
      </c>
      <c r="S1550" t="str">
        <f>_xll.BDP("622826VQ Muni","BB_COMPOSITE")</f>
        <v>#N/A Requesting Data...</v>
      </c>
      <c r="T1550" t="str">
        <f>_xll.BDP("622826VQ Muni","LQA_LIQUIDITY_SCORE")</f>
        <v>#N/A Requesting Data...</v>
      </c>
    </row>
    <row r="1551" spans="1:20" x14ac:dyDescent="0.25">
      <c r="A1551" t="str">
        <f>_xll.BDP("622826VR Muni","ID_CUSIP")</f>
        <v>#N/A Requesting Data...</v>
      </c>
      <c r="B1551" t="s">
        <v>384</v>
      </c>
      <c r="C1551" t="str">
        <f>_xll.BDP("622826VR Muni","INSURANCE_STATUS")</f>
        <v>#N/A Requesting Data...</v>
      </c>
      <c r="D1551" t="str">
        <f>_xll.BDP("622826VR Muni","STATE_CODE")</f>
        <v>#N/A Requesting Data...</v>
      </c>
      <c r="E1551" t="str">
        <f>_xll.BDP("622826VR Muni","COUNTY_LOCATION_ISSUER")</f>
        <v>#N/A Requesting Data...</v>
      </c>
      <c r="F1551" t="str">
        <f>_xll.BDP("622826VR Muni","DUR_ADJ_MID")</f>
        <v>#N/A Requesting Data...</v>
      </c>
      <c r="G1551" t="str">
        <f>_xll.BDP("622826VR Muni","SPREAD_AT_ISSUANCE_TO_WORST")</f>
        <v>#N/A Requesting Data...</v>
      </c>
      <c r="H1551" t="str">
        <f>_xll.BDP("622826VR Muni","ISSUE_DT")</f>
        <v>#N/A Requesting Data...</v>
      </c>
      <c r="I1551" t="str">
        <f>_xll.BDS("622826VR Muni","MUNI_PURPOSE_SCHED", "aggregate=y")</f>
        <v>#N/A Requesting Data...</v>
      </c>
      <c r="J1551" t="str">
        <f>_xll.BDP("622826VR Muni","CPN")</f>
        <v>#N/A Requesting Data...</v>
      </c>
      <c r="K1551" t="str">
        <f>_xll.BDP("622826VR Muni","MATURITY")</f>
        <v>#N/A Requesting Data...</v>
      </c>
      <c r="L1551">
        <v>385000</v>
      </c>
      <c r="M1551" t="str">
        <f>_xll.BDP("622826VR Muni","YIELD_ON_ISSUE_DATE")</f>
        <v>#N/A Requesting Data...</v>
      </c>
      <c r="N1551" t="str">
        <f>_xll.BDP("622826VR Muni","YTW_SPREAD_TO_MATURITY_AT_ISSU")</f>
        <v>#N/A Requesting Data...</v>
      </c>
      <c r="O1551" t="str">
        <f>_xll.BDP("622826VR Muni","BVAL_MID_YTM")</f>
        <v>#N/A Requesting Data...</v>
      </c>
      <c r="P1551" t="str">
        <f>_xll.BDP("622826VR Muni","MUNI_TAX_PROV")</f>
        <v>#N/A Requesting Data...</v>
      </c>
      <c r="Q1551" t="str">
        <f>_xll.BDP("622826VR Muni","MUNI_FED_TAX")</f>
        <v>#N/A Requesting Data...</v>
      </c>
      <c r="R1551" t="str">
        <f>_xll.BDP("622826VR Muni","MUNI_MSRB_VOLUME")</f>
        <v>#N/A Requesting Data...</v>
      </c>
      <c r="S1551" t="str">
        <f>_xll.BDP("622826VR Muni","BB_COMPOSITE")</f>
        <v>#N/A Requesting Data...</v>
      </c>
      <c r="T1551" t="str">
        <f>_xll.BDP("622826VR Muni","LQA_LIQUIDITY_SCORE")</f>
        <v>#N/A Requesting Data...</v>
      </c>
    </row>
    <row r="1552" spans="1:20" x14ac:dyDescent="0.25">
      <c r="A1552" t="str">
        <f>_xll.BDP("622826VS Muni","ID_CUSIP")</f>
        <v>#N/A Requesting Data...</v>
      </c>
      <c r="B1552" t="s">
        <v>384</v>
      </c>
      <c r="C1552" t="str">
        <f>_xll.BDP("622826VS Muni","INSURANCE_STATUS")</f>
        <v>#N/A Requesting Data...</v>
      </c>
      <c r="D1552" t="str">
        <f>_xll.BDP("622826VS Muni","STATE_CODE")</f>
        <v>#N/A Requesting Data...</v>
      </c>
      <c r="E1552" t="str">
        <f>_xll.BDP("622826VS Muni","COUNTY_LOCATION_ISSUER")</f>
        <v>#N/A Requesting Data...</v>
      </c>
      <c r="F1552" t="str">
        <f>_xll.BDP("622826VS Muni","DUR_ADJ_MID")</f>
        <v>#N/A Requesting Data...</v>
      </c>
      <c r="G1552" t="str">
        <f>_xll.BDP("622826VS Muni","SPREAD_AT_ISSUANCE_TO_WORST")</f>
        <v>#N/A Requesting Data...</v>
      </c>
      <c r="H1552" t="str">
        <f>_xll.BDP("622826VS Muni","ISSUE_DT")</f>
        <v>#N/A Requesting Data...</v>
      </c>
      <c r="I1552" t="str">
        <f>_xll.BDS("622826VS Muni","MUNI_PURPOSE_SCHED", "aggregate=y")</f>
        <v>#N/A Requesting Data...</v>
      </c>
      <c r="J1552" t="str">
        <f>_xll.BDP("622826VS Muni","CPN")</f>
        <v>#N/A Requesting Data...</v>
      </c>
      <c r="K1552" t="str">
        <f>_xll.BDP("622826VS Muni","MATURITY")</f>
        <v>#N/A Requesting Data...</v>
      </c>
      <c r="L1552">
        <v>425000</v>
      </c>
      <c r="M1552" t="str">
        <f>_xll.BDP("622826VS Muni","YIELD_ON_ISSUE_DATE")</f>
        <v>#N/A Requesting Data...</v>
      </c>
      <c r="N1552" t="str">
        <f>_xll.BDP("622826VS Muni","YTW_SPREAD_TO_MATURITY_AT_ISSU")</f>
        <v>#N/A Requesting Data...</v>
      </c>
      <c r="O1552" t="str">
        <f>_xll.BDP("622826VS Muni","BVAL_MID_YTM")</f>
        <v>#N/A Requesting Data...</v>
      </c>
      <c r="P1552" t="str">
        <f>_xll.BDP("622826VS Muni","MUNI_TAX_PROV")</f>
        <v>#N/A Requesting Data...</v>
      </c>
      <c r="Q1552" t="str">
        <f>_xll.BDP("622826VS Muni","MUNI_FED_TAX")</f>
        <v>#N/A Requesting Data...</v>
      </c>
      <c r="R1552" t="str">
        <f>_xll.BDP("622826VS Muni","MUNI_MSRB_VOLUME")</f>
        <v>#N/A Requesting Data...</v>
      </c>
      <c r="S1552" t="str">
        <f>_xll.BDP("622826VS Muni","BB_COMPOSITE")</f>
        <v>#N/A Requesting Data...</v>
      </c>
      <c r="T1552" t="str">
        <f>_xll.BDP("622826VS Muni","LQA_LIQUIDITY_SCORE")</f>
        <v>#N/A Requesting Data...</v>
      </c>
    </row>
    <row r="1553" spans="1:20" x14ac:dyDescent="0.25">
      <c r="A1553" t="str">
        <f>_xll.BDP("622826VU Muni","ID_CUSIP")</f>
        <v>#N/A Requesting Data...</v>
      </c>
      <c r="B1553" t="s">
        <v>384</v>
      </c>
      <c r="C1553" t="str">
        <f>_xll.BDP("622826VU Muni","INSURANCE_STATUS")</f>
        <v>#N/A Requesting Data...</v>
      </c>
      <c r="D1553" t="str">
        <f>_xll.BDP("622826VU Muni","STATE_CODE")</f>
        <v>#N/A Requesting Data...</v>
      </c>
      <c r="E1553" t="str">
        <f>_xll.BDP("622826VU Muni","COUNTY_LOCATION_ISSUER")</f>
        <v>#N/A Requesting Data...</v>
      </c>
      <c r="F1553" t="str">
        <f>_xll.BDP("622826VU Muni","DUR_ADJ_MID")</f>
        <v>#N/A Requesting Data...</v>
      </c>
      <c r="G1553" t="str">
        <f>_xll.BDP("622826VU Muni","SPREAD_AT_ISSUANCE_TO_WORST")</f>
        <v>#N/A Requesting Data...</v>
      </c>
      <c r="H1553" t="str">
        <f>_xll.BDP("622826VU Muni","ISSUE_DT")</f>
        <v>#N/A Requesting Data...</v>
      </c>
      <c r="I1553" t="str">
        <f>_xll.BDS("622826VU Muni","MUNI_PURPOSE_SCHED", "aggregate=y")</f>
        <v>#N/A Requesting Data...</v>
      </c>
      <c r="J1553" t="str">
        <f>_xll.BDP("622826VU Muni","CPN")</f>
        <v>#N/A Requesting Data...</v>
      </c>
      <c r="K1553" t="str">
        <f>_xll.BDP("622826VU Muni","MATURITY")</f>
        <v>#N/A Requesting Data...</v>
      </c>
      <c r="L1553">
        <v>520000</v>
      </c>
      <c r="M1553" t="str">
        <f>_xll.BDP("622826VU Muni","YIELD_ON_ISSUE_DATE")</f>
        <v>#N/A Requesting Data...</v>
      </c>
      <c r="N1553" t="str">
        <f>_xll.BDP("622826VU Muni","YTW_SPREAD_TO_MATURITY_AT_ISSU")</f>
        <v>#N/A Requesting Data...</v>
      </c>
      <c r="O1553" t="str">
        <f>_xll.BDP("622826VU Muni","BVAL_MID_YTM")</f>
        <v>#N/A Requesting Data...</v>
      </c>
      <c r="P1553" t="str">
        <f>_xll.BDP("622826VU Muni","MUNI_TAX_PROV")</f>
        <v>#N/A Requesting Data...</v>
      </c>
      <c r="Q1553" t="str">
        <f>_xll.BDP("622826VU Muni","MUNI_FED_TAX")</f>
        <v>#N/A Requesting Data...</v>
      </c>
      <c r="R1553" t="str">
        <f>_xll.BDP("622826VU Muni","MUNI_MSRB_VOLUME")</f>
        <v>#N/A Requesting Data...</v>
      </c>
      <c r="S1553" t="str">
        <f>_xll.BDP("622826VU Muni","BB_COMPOSITE")</f>
        <v>#N/A Requesting Data...</v>
      </c>
      <c r="T1553" t="str">
        <f>_xll.BDP("622826VU Muni","LQA_LIQUIDITY_SCORE")</f>
        <v>#N/A Requesting Data...</v>
      </c>
    </row>
    <row r="1554" spans="1:20" x14ac:dyDescent="0.25">
      <c r="A1554" t="str">
        <f>_xll.BDP("62507PEP Muni","ID_CUSIP")</f>
        <v>#N/A Requesting Data...</v>
      </c>
      <c r="B1554" t="s">
        <v>374</v>
      </c>
      <c r="C1554" t="str">
        <f>_xll.BDP("62507PEP Muni","INSURANCE_STATUS")</f>
        <v>#N/A Requesting Data...</v>
      </c>
      <c r="D1554" t="str">
        <f>_xll.BDP("62507PEP Muni","STATE_CODE")</f>
        <v>#N/A Requesting Data...</v>
      </c>
      <c r="E1554" t="str">
        <f>_xll.BDP("62507PEP Muni","COUNTY_LOCATION_ISSUER")</f>
        <v>#N/A Requesting Data...</v>
      </c>
      <c r="F1554" t="str">
        <f>_xll.BDP("62507PEP Muni","DUR_ADJ_MID")</f>
        <v>#N/A Requesting Data...</v>
      </c>
      <c r="G1554" t="str">
        <f>_xll.BDP("62507PEP Muni","SPREAD_AT_ISSUANCE_TO_WORST")</f>
        <v>#N/A Requesting Data...</v>
      </c>
      <c r="H1554" t="str">
        <f>_xll.BDP("62507PEP Muni","ISSUE_DT")</f>
        <v>#N/A Requesting Data...</v>
      </c>
      <c r="I1554" t="str">
        <f>_xll.BDS("62507PEP Muni","MUNI_PURPOSE_SCHED", "aggregate=y")</f>
        <v>#N/A Requesting Data...</v>
      </c>
      <c r="J1554" t="str">
        <f>_xll.BDP("62507PEP Muni","CPN")</f>
        <v>#N/A Requesting Data...</v>
      </c>
      <c r="K1554" t="str">
        <f>_xll.BDP("62507PEP Muni","MATURITY")</f>
        <v>#N/A Requesting Data...</v>
      </c>
      <c r="L1554">
        <v>100000</v>
      </c>
      <c r="M1554" t="str">
        <f>_xll.BDP("62507PEP Muni","YIELD_ON_ISSUE_DATE")</f>
        <v>#N/A Requesting Data...</v>
      </c>
      <c r="N1554" t="str">
        <f>_xll.BDP("62507PEP Muni","YTW_SPREAD_TO_MATURITY_AT_ISSU")</f>
        <v>#N/A Requesting Data...</v>
      </c>
      <c r="O1554" t="str">
        <f>_xll.BDP("62507PEP Muni","BVAL_MID_YTM")</f>
        <v>#N/A Requesting Data...</v>
      </c>
      <c r="P1554" t="str">
        <f>_xll.BDP("62507PEP Muni","MUNI_TAX_PROV")</f>
        <v>#N/A Requesting Data...</v>
      </c>
      <c r="Q1554" t="str">
        <f>_xll.BDP("62507PEP Muni","MUNI_FED_TAX")</f>
        <v>#N/A Requesting Data...</v>
      </c>
      <c r="R1554" t="str">
        <f>_xll.BDP("62507PEP Muni","MUNI_MSRB_VOLUME")</f>
        <v>#N/A Requesting Data...</v>
      </c>
      <c r="S1554" t="str">
        <f>_xll.BDP("62507PEP Muni","BB_COMPOSITE")</f>
        <v>#N/A Requesting Data...</v>
      </c>
      <c r="T1554" t="str">
        <f>_xll.BDP("62507PEP Muni","LQA_LIQUIDITY_SCORE")</f>
        <v>#N/A Requesting Data...</v>
      </c>
    </row>
    <row r="1555" spans="1:20" x14ac:dyDescent="0.25">
      <c r="A1555" t="str">
        <f>_xll.BDP("62507PEQ Muni","ID_CUSIP")</f>
        <v>#N/A Requesting Data...</v>
      </c>
      <c r="B1555" t="s">
        <v>374</v>
      </c>
      <c r="C1555" t="str">
        <f>_xll.BDP("62507PEQ Muni","INSURANCE_STATUS")</f>
        <v>#N/A Requesting Data...</v>
      </c>
      <c r="D1555" t="str">
        <f>_xll.BDP("62507PEQ Muni","STATE_CODE")</f>
        <v>#N/A Requesting Data...</v>
      </c>
      <c r="E1555" t="str">
        <f>_xll.BDP("62507PEQ Muni","COUNTY_LOCATION_ISSUER")</f>
        <v>#N/A Requesting Data...</v>
      </c>
      <c r="F1555" t="str">
        <f>_xll.BDP("62507PEQ Muni","DUR_ADJ_MID")</f>
        <v>#N/A Requesting Data...</v>
      </c>
      <c r="G1555" t="str">
        <f>_xll.BDP("62507PEQ Muni","SPREAD_AT_ISSUANCE_TO_WORST")</f>
        <v>#N/A Requesting Data...</v>
      </c>
      <c r="H1555" t="str">
        <f>_xll.BDP("62507PEQ Muni","ISSUE_DT")</f>
        <v>#N/A Requesting Data...</v>
      </c>
      <c r="I1555" t="str">
        <f>_xll.BDS("62507PEQ Muni","MUNI_PURPOSE_SCHED", "aggregate=y")</f>
        <v>#N/A Requesting Data...</v>
      </c>
      <c r="J1555" t="str">
        <f>_xll.BDP("62507PEQ Muni","CPN")</f>
        <v>#N/A Requesting Data...</v>
      </c>
      <c r="K1555" t="str">
        <f>_xll.BDP("62507PEQ Muni","MATURITY")</f>
        <v>#N/A Requesting Data...</v>
      </c>
      <c r="L1555">
        <v>100000</v>
      </c>
      <c r="M1555" t="str">
        <f>_xll.BDP("62507PEQ Muni","YIELD_ON_ISSUE_DATE")</f>
        <v>#N/A Requesting Data...</v>
      </c>
      <c r="N1555" t="str">
        <f>_xll.BDP("62507PEQ Muni","YTW_SPREAD_TO_MATURITY_AT_ISSU")</f>
        <v>#N/A Requesting Data...</v>
      </c>
      <c r="O1555" t="str">
        <f>_xll.BDP("62507PEQ Muni","BVAL_MID_YTM")</f>
        <v>#N/A Requesting Data...</v>
      </c>
      <c r="P1555" t="str">
        <f>_xll.BDP("62507PEQ Muni","MUNI_TAX_PROV")</f>
        <v>#N/A Requesting Data...</v>
      </c>
      <c r="Q1555" t="str">
        <f>_xll.BDP("62507PEQ Muni","MUNI_FED_TAX")</f>
        <v>#N/A Requesting Data...</v>
      </c>
      <c r="R1555" t="str">
        <f>_xll.BDP("62507PEQ Muni","MUNI_MSRB_VOLUME")</f>
        <v>#N/A Requesting Data...</v>
      </c>
      <c r="S1555" t="str">
        <f>_xll.BDP("62507PEQ Muni","BB_COMPOSITE")</f>
        <v>#N/A Requesting Data...</v>
      </c>
      <c r="T1555" t="str">
        <f>_xll.BDP("62507PEQ Muni","LQA_LIQUIDITY_SCORE")</f>
        <v>#N/A Requesting Data...</v>
      </c>
    </row>
    <row r="1556" spans="1:20" x14ac:dyDescent="0.25">
      <c r="A1556" t="str">
        <f>_xll.BDP("62507PES Muni","ID_CUSIP")</f>
        <v>#N/A Requesting Data...</v>
      </c>
      <c r="B1556" t="s">
        <v>374</v>
      </c>
      <c r="C1556" t="str">
        <f>_xll.BDP("62507PES Muni","INSURANCE_STATUS")</f>
        <v>#N/A Requesting Data...</v>
      </c>
      <c r="D1556" t="str">
        <f>_xll.BDP("62507PES Muni","STATE_CODE")</f>
        <v>#N/A Requesting Data...</v>
      </c>
      <c r="E1556" t="str">
        <f>_xll.BDP("62507PES Muni","COUNTY_LOCATION_ISSUER")</f>
        <v>#N/A Requesting Data...</v>
      </c>
      <c r="F1556" t="str">
        <f>_xll.BDP("62507PES Muni","DUR_ADJ_MID")</f>
        <v>#N/A Requesting Data...</v>
      </c>
      <c r="G1556" t="str">
        <f>_xll.BDP("62507PES Muni","SPREAD_AT_ISSUANCE_TO_WORST")</f>
        <v>#N/A Requesting Data...</v>
      </c>
      <c r="H1556" t="str">
        <f>_xll.BDP("62507PES Muni","ISSUE_DT")</f>
        <v>#N/A Requesting Data...</v>
      </c>
      <c r="I1556" t="str">
        <f>_xll.BDS("62507PES Muni","MUNI_PURPOSE_SCHED", "aggregate=y")</f>
        <v>#N/A Requesting Data...</v>
      </c>
      <c r="J1556" t="str">
        <f>_xll.BDP("62507PES Muni","CPN")</f>
        <v>#N/A Requesting Data...</v>
      </c>
      <c r="K1556" t="str">
        <f>_xll.BDP("62507PES Muni","MATURITY")</f>
        <v>#N/A Requesting Data...</v>
      </c>
      <c r="L1556">
        <v>100000</v>
      </c>
      <c r="M1556" t="str">
        <f>_xll.BDP("62507PES Muni","YIELD_ON_ISSUE_DATE")</f>
        <v>#N/A Requesting Data...</v>
      </c>
      <c r="N1556" t="str">
        <f>_xll.BDP("62507PES Muni","YTW_SPREAD_TO_MATURITY_AT_ISSU")</f>
        <v>#N/A Requesting Data...</v>
      </c>
      <c r="O1556" t="str">
        <f>_xll.BDP("62507PES Muni","BVAL_MID_YTM")</f>
        <v>#N/A Requesting Data...</v>
      </c>
      <c r="P1556" t="str">
        <f>_xll.BDP("62507PES Muni","MUNI_TAX_PROV")</f>
        <v>#N/A Requesting Data...</v>
      </c>
      <c r="Q1556" t="str">
        <f>_xll.BDP("62507PES Muni","MUNI_FED_TAX")</f>
        <v>#N/A Requesting Data...</v>
      </c>
      <c r="R1556" t="str">
        <f>_xll.BDP("62507PES Muni","MUNI_MSRB_VOLUME")</f>
        <v>#N/A Requesting Data...</v>
      </c>
      <c r="S1556" t="str">
        <f>_xll.BDP("62507PES Muni","BB_COMPOSITE")</f>
        <v>#N/A Requesting Data...</v>
      </c>
      <c r="T1556" t="str">
        <f>_xll.BDP("62507PES Muni","LQA_LIQUIDITY_SCORE")</f>
        <v>#N/A Requesting Data...</v>
      </c>
    </row>
    <row r="1557" spans="1:20" x14ac:dyDescent="0.25">
      <c r="A1557" t="str">
        <f>_xll.BDP("62507PET Muni","ID_CUSIP")</f>
        <v>#N/A Requesting Data...</v>
      </c>
      <c r="B1557" t="s">
        <v>374</v>
      </c>
      <c r="C1557" t="str">
        <f>_xll.BDP("62507PET Muni","INSURANCE_STATUS")</f>
        <v>#N/A Requesting Data...</v>
      </c>
      <c r="D1557" t="str">
        <f>_xll.BDP("62507PET Muni","STATE_CODE")</f>
        <v>#N/A Requesting Data...</v>
      </c>
      <c r="E1557" t="str">
        <f>_xll.BDP("62507PET Muni","COUNTY_LOCATION_ISSUER")</f>
        <v>#N/A Requesting Data...</v>
      </c>
      <c r="F1557" t="str">
        <f>_xll.BDP("62507PET Muni","DUR_ADJ_MID")</f>
        <v>#N/A Requesting Data...</v>
      </c>
      <c r="G1557" t="str">
        <f>_xll.BDP("62507PET Muni","SPREAD_AT_ISSUANCE_TO_WORST")</f>
        <v>#N/A Requesting Data...</v>
      </c>
      <c r="H1557" t="str">
        <f>_xll.BDP("62507PET Muni","ISSUE_DT")</f>
        <v>#N/A Requesting Data...</v>
      </c>
      <c r="I1557" t="str">
        <f>_xll.BDS("62507PET Muni","MUNI_PURPOSE_SCHED", "aggregate=y")</f>
        <v>#N/A Requesting Data...</v>
      </c>
      <c r="J1557" t="str">
        <f>_xll.BDP("62507PET Muni","CPN")</f>
        <v>#N/A Requesting Data...</v>
      </c>
      <c r="K1557" t="str">
        <f>_xll.BDP("62507PET Muni","MATURITY")</f>
        <v>#N/A Requesting Data...</v>
      </c>
      <c r="L1557">
        <v>100000</v>
      </c>
      <c r="M1557" t="str">
        <f>_xll.BDP("62507PET Muni","YIELD_ON_ISSUE_DATE")</f>
        <v>#N/A Requesting Data...</v>
      </c>
      <c r="N1557" t="str">
        <f>_xll.BDP("62507PET Muni","YTW_SPREAD_TO_MATURITY_AT_ISSU")</f>
        <v>#N/A Requesting Data...</v>
      </c>
      <c r="O1557" t="str">
        <f>_xll.BDP("62507PET Muni","BVAL_MID_YTM")</f>
        <v>#N/A Requesting Data...</v>
      </c>
      <c r="P1557" t="str">
        <f>_xll.BDP("62507PET Muni","MUNI_TAX_PROV")</f>
        <v>#N/A Requesting Data...</v>
      </c>
      <c r="Q1557" t="str">
        <f>_xll.BDP("62507PET Muni","MUNI_FED_TAX")</f>
        <v>#N/A Requesting Data...</v>
      </c>
      <c r="R1557" t="str">
        <f>_xll.BDP("62507PET Muni","MUNI_MSRB_VOLUME")</f>
        <v>#N/A Requesting Data...</v>
      </c>
      <c r="S1557" t="str">
        <f>_xll.BDP("62507PET Muni","BB_COMPOSITE")</f>
        <v>#N/A Requesting Data...</v>
      </c>
      <c r="T1557" t="str">
        <f>_xll.BDP("62507PET Muni","LQA_LIQUIDITY_SCORE")</f>
        <v>#N/A Requesting Data...</v>
      </c>
    </row>
    <row r="1558" spans="1:20" x14ac:dyDescent="0.25">
      <c r="A1558" t="str">
        <f>_xll.BDP("622205PQ Muni","ID_CUSIP")</f>
        <v>#N/A Requesting Data...</v>
      </c>
      <c r="B1558" t="s">
        <v>385</v>
      </c>
      <c r="C1558" t="str">
        <f>_xll.BDP("622205PQ Muni","INSURANCE_STATUS")</f>
        <v>#N/A Requesting Data...</v>
      </c>
      <c r="D1558" t="str">
        <f>_xll.BDP("622205PQ Muni","STATE_CODE")</f>
        <v>#N/A Requesting Data...</v>
      </c>
      <c r="E1558" t="str">
        <f>_xll.BDP("622205PQ Muni","COUNTY_LOCATION_ISSUER")</f>
        <v>#N/A Requesting Data...</v>
      </c>
      <c r="F1558" t="str">
        <f>_xll.BDP("622205PQ Muni","DUR_ADJ_MID")</f>
        <v>#N/A Requesting Data...</v>
      </c>
      <c r="G1558" t="str">
        <f>_xll.BDP("622205PQ Muni","SPREAD_AT_ISSUANCE_TO_WORST")</f>
        <v>#N/A Requesting Data...</v>
      </c>
      <c r="H1558" t="str">
        <f>_xll.BDP("622205PQ Muni","ISSUE_DT")</f>
        <v>#N/A Requesting Data...</v>
      </c>
      <c r="I1558" t="str">
        <f>_xll.BDS("622205PQ Muni","MUNI_PURPOSE_SCHED", "aggregate=y")</f>
        <v>#N/A Requesting Data...</v>
      </c>
      <c r="J1558" t="str">
        <f>_xll.BDP("622205PQ Muni","CPN")</f>
        <v>#N/A Requesting Data...</v>
      </c>
      <c r="K1558" t="str">
        <f>_xll.BDP("622205PQ Muni","MATURITY")</f>
        <v>#N/A Requesting Data...</v>
      </c>
      <c r="L1558">
        <v>995000</v>
      </c>
      <c r="M1558" t="str">
        <f>_xll.BDP("622205PQ Muni","YIELD_ON_ISSUE_DATE")</f>
        <v>#N/A Requesting Data...</v>
      </c>
      <c r="N1558" t="str">
        <f>_xll.BDP("622205PQ Muni","YTW_SPREAD_TO_MATURITY_AT_ISSU")</f>
        <v>#N/A Requesting Data...</v>
      </c>
      <c r="O1558" t="str">
        <f>_xll.BDP("622205PQ Muni","BVAL_MID_YTM")</f>
        <v>#N/A Requesting Data...</v>
      </c>
      <c r="P1558" t="str">
        <f>_xll.BDP("622205PQ Muni","MUNI_TAX_PROV")</f>
        <v>#N/A Requesting Data...</v>
      </c>
      <c r="Q1558" t="str">
        <f>_xll.BDP("622205PQ Muni","MUNI_FED_TAX")</f>
        <v>#N/A Requesting Data...</v>
      </c>
      <c r="R1558" t="str">
        <f>_xll.BDP("622205PQ Muni","MUNI_MSRB_VOLUME")</f>
        <v>#N/A Requesting Data...</v>
      </c>
      <c r="S1558" t="str">
        <f>_xll.BDP("622205PQ Muni","BB_COMPOSITE")</f>
        <v>#N/A Requesting Data...</v>
      </c>
      <c r="T1558" t="str">
        <f>_xll.BDP("622205PQ Muni","LQA_LIQUIDITY_SCORE")</f>
        <v>#N/A Requesting Data...</v>
      </c>
    </row>
    <row r="1559" spans="1:20" x14ac:dyDescent="0.25">
      <c r="A1559" t="str">
        <f>_xll.BDP("622205PS Muni","ID_CUSIP")</f>
        <v>#N/A Requesting Data...</v>
      </c>
      <c r="B1559" t="s">
        <v>385</v>
      </c>
      <c r="C1559" t="str">
        <f>_xll.BDP("622205PS Muni","INSURANCE_STATUS")</f>
        <v>#N/A Requesting Data...</v>
      </c>
      <c r="D1559" t="str">
        <f>_xll.BDP("622205PS Muni","STATE_CODE")</f>
        <v>#N/A Requesting Data...</v>
      </c>
      <c r="E1559" t="str">
        <f>_xll.BDP("622205PS Muni","COUNTY_LOCATION_ISSUER")</f>
        <v>#N/A Requesting Data...</v>
      </c>
      <c r="F1559" t="str">
        <f>_xll.BDP("622205PS Muni","DUR_ADJ_MID")</f>
        <v>#N/A Requesting Data...</v>
      </c>
      <c r="G1559" t="str">
        <f>_xll.BDP("622205PS Muni","SPREAD_AT_ISSUANCE_TO_WORST")</f>
        <v>#N/A Requesting Data...</v>
      </c>
      <c r="H1559" t="str">
        <f>_xll.BDP("622205PS Muni","ISSUE_DT")</f>
        <v>#N/A Requesting Data...</v>
      </c>
      <c r="I1559" t="str">
        <f>_xll.BDS("622205PS Muni","MUNI_PURPOSE_SCHED", "aggregate=y")</f>
        <v>#N/A Requesting Data...</v>
      </c>
      <c r="J1559" t="str">
        <f>_xll.BDP("622205PS Muni","CPN")</f>
        <v>#N/A Requesting Data...</v>
      </c>
      <c r="K1559" t="str">
        <f>_xll.BDP("622205PS Muni","MATURITY")</f>
        <v>#N/A Requesting Data...</v>
      </c>
      <c r="L1559">
        <v>995000</v>
      </c>
      <c r="M1559" t="str">
        <f>_xll.BDP("622205PS Muni","YIELD_ON_ISSUE_DATE")</f>
        <v>#N/A Requesting Data...</v>
      </c>
      <c r="N1559" t="str">
        <f>_xll.BDP("622205PS Muni","YTW_SPREAD_TO_MATURITY_AT_ISSU")</f>
        <v>#N/A Requesting Data...</v>
      </c>
      <c r="O1559" t="str">
        <f>_xll.BDP("622205PS Muni","BVAL_MID_YTM")</f>
        <v>#N/A Requesting Data...</v>
      </c>
      <c r="P1559" t="str">
        <f>_xll.BDP("622205PS Muni","MUNI_TAX_PROV")</f>
        <v>#N/A Requesting Data...</v>
      </c>
      <c r="Q1559" t="str">
        <f>_xll.BDP("622205PS Muni","MUNI_FED_TAX")</f>
        <v>#N/A Requesting Data...</v>
      </c>
      <c r="R1559" t="str">
        <f>_xll.BDP("622205PS Muni","MUNI_MSRB_VOLUME")</f>
        <v>#N/A Requesting Data...</v>
      </c>
      <c r="S1559" t="str">
        <f>_xll.BDP("622205PS Muni","BB_COMPOSITE")</f>
        <v>#N/A Requesting Data...</v>
      </c>
      <c r="T1559" t="str">
        <f>_xll.BDP("622205PS Muni","LQA_LIQUIDITY_SCORE")</f>
        <v>#N/A Requesting Data...</v>
      </c>
    </row>
    <row r="1560" spans="1:20" x14ac:dyDescent="0.25">
      <c r="A1560" t="str">
        <f>_xll.BDP("622205PP Muni","ID_CUSIP")</f>
        <v>#N/A Requesting Data...</v>
      </c>
      <c r="B1560" t="s">
        <v>385</v>
      </c>
      <c r="C1560" t="str">
        <f>_xll.BDP("622205PP Muni","INSURANCE_STATUS")</f>
        <v>#N/A Requesting Data...</v>
      </c>
      <c r="D1560" t="str">
        <f>_xll.BDP("622205PP Muni","STATE_CODE")</f>
        <v>#N/A Requesting Data...</v>
      </c>
      <c r="E1560" t="str">
        <f>_xll.BDP("622205PP Muni","COUNTY_LOCATION_ISSUER")</f>
        <v>#N/A Requesting Data...</v>
      </c>
      <c r="F1560" t="str">
        <f>_xll.BDP("622205PP Muni","DUR_ADJ_MID")</f>
        <v>#N/A Requesting Data...</v>
      </c>
      <c r="G1560" t="str">
        <f>_xll.BDP("622205PP Muni","SPREAD_AT_ISSUANCE_TO_WORST")</f>
        <v>#N/A Requesting Data...</v>
      </c>
      <c r="H1560" t="str">
        <f>_xll.BDP("622205PP Muni","ISSUE_DT")</f>
        <v>#N/A Requesting Data...</v>
      </c>
      <c r="I1560" t="str">
        <f>_xll.BDS("622205PP Muni","MUNI_PURPOSE_SCHED", "aggregate=y")</f>
        <v>#N/A Requesting Data...</v>
      </c>
      <c r="J1560" t="str">
        <f>_xll.BDP("622205PP Muni","CPN")</f>
        <v>#N/A Requesting Data...</v>
      </c>
      <c r="K1560" t="str">
        <f>_xll.BDP("622205PP Muni","MATURITY")</f>
        <v>#N/A Requesting Data...</v>
      </c>
      <c r="L1560">
        <v>935000</v>
      </c>
      <c r="M1560" t="str">
        <f>_xll.BDP("622205PP Muni","YIELD_ON_ISSUE_DATE")</f>
        <v>#N/A Requesting Data...</v>
      </c>
      <c r="N1560" t="str">
        <f>_xll.BDP("622205PP Muni","YTW_SPREAD_TO_MATURITY_AT_ISSU")</f>
        <v>#N/A Requesting Data...</v>
      </c>
      <c r="O1560" t="str">
        <f>_xll.BDP("622205PP Muni","BVAL_MID_YTM")</f>
        <v>#N/A Requesting Data...</v>
      </c>
      <c r="P1560" t="str">
        <f>_xll.BDP("622205PP Muni","MUNI_TAX_PROV")</f>
        <v>#N/A Requesting Data...</v>
      </c>
      <c r="Q1560" t="str">
        <f>_xll.BDP("622205PP Muni","MUNI_FED_TAX")</f>
        <v>#N/A Requesting Data...</v>
      </c>
      <c r="R1560" t="str">
        <f>_xll.BDP("622205PP Muni","MUNI_MSRB_VOLUME")</f>
        <v>#N/A Requesting Data...</v>
      </c>
      <c r="S1560" t="str">
        <f>_xll.BDP("622205PP Muni","BB_COMPOSITE")</f>
        <v>#N/A Requesting Data...</v>
      </c>
      <c r="T1560" t="str">
        <f>_xll.BDP("622205PP Muni","LQA_LIQUIDITY_SCORE")</f>
        <v>#N/A Requesting Data...</v>
      </c>
    </row>
    <row r="1561" spans="1:20" x14ac:dyDescent="0.25">
      <c r="A1561" t="str">
        <f>_xll.BDP("622205PR Muni","ID_CUSIP")</f>
        <v>#N/A Requesting Data...</v>
      </c>
      <c r="B1561" t="s">
        <v>385</v>
      </c>
      <c r="C1561" t="str">
        <f>_xll.BDP("622205PR Muni","INSURANCE_STATUS")</f>
        <v>#N/A Requesting Data...</v>
      </c>
      <c r="D1561" t="str">
        <f>_xll.BDP("622205PR Muni","STATE_CODE")</f>
        <v>#N/A Requesting Data...</v>
      </c>
      <c r="E1561" t="str">
        <f>_xll.BDP("622205PR Muni","COUNTY_LOCATION_ISSUER")</f>
        <v>#N/A Requesting Data...</v>
      </c>
      <c r="F1561" t="str">
        <f>_xll.BDP("622205PR Muni","DUR_ADJ_MID")</f>
        <v>#N/A Requesting Data...</v>
      </c>
      <c r="G1561" t="str">
        <f>_xll.BDP("622205PR Muni","SPREAD_AT_ISSUANCE_TO_WORST")</f>
        <v>#N/A Requesting Data...</v>
      </c>
      <c r="H1561" t="str">
        <f>_xll.BDP("622205PR Muni","ISSUE_DT")</f>
        <v>#N/A Requesting Data...</v>
      </c>
      <c r="I1561" t="str">
        <f>_xll.BDS("622205PR Muni","MUNI_PURPOSE_SCHED", "aggregate=y")</f>
        <v>#N/A Requesting Data...</v>
      </c>
      <c r="J1561" t="str">
        <f>_xll.BDP("622205PR Muni","CPN")</f>
        <v>#N/A Requesting Data...</v>
      </c>
      <c r="K1561" t="str">
        <f>_xll.BDP("622205PR Muni","MATURITY")</f>
        <v>#N/A Requesting Data...</v>
      </c>
      <c r="L1561">
        <v>995000</v>
      </c>
      <c r="M1561" t="str">
        <f>_xll.BDP("622205PR Muni","YIELD_ON_ISSUE_DATE")</f>
        <v>#N/A Requesting Data...</v>
      </c>
      <c r="N1561" t="str">
        <f>_xll.BDP("622205PR Muni","YTW_SPREAD_TO_MATURITY_AT_ISSU")</f>
        <v>#N/A Requesting Data...</v>
      </c>
      <c r="O1561" t="str">
        <f>_xll.BDP("622205PR Muni","BVAL_MID_YTM")</f>
        <v>#N/A Requesting Data...</v>
      </c>
      <c r="P1561" t="str">
        <f>_xll.BDP("622205PR Muni","MUNI_TAX_PROV")</f>
        <v>#N/A Requesting Data...</v>
      </c>
      <c r="Q1561" t="str">
        <f>_xll.BDP("622205PR Muni","MUNI_FED_TAX")</f>
        <v>#N/A Requesting Data...</v>
      </c>
      <c r="R1561" t="str">
        <f>_xll.BDP("622205PR Muni","MUNI_MSRB_VOLUME")</f>
        <v>#N/A Requesting Data...</v>
      </c>
      <c r="S1561" t="str">
        <f>_xll.BDP("622205PR Muni","BB_COMPOSITE")</f>
        <v>#N/A Requesting Data...</v>
      </c>
      <c r="T1561" t="str">
        <f>_xll.BDP("622205PR Muni","LQA_LIQUIDITY_SCORE")</f>
        <v>#N/A Requesting Data...</v>
      </c>
    </row>
    <row r="1562" spans="1:20" x14ac:dyDescent="0.25">
      <c r="A1562" t="str">
        <f>_xll.BDP("622503VV Muni","ID_CUSIP")</f>
        <v>#N/A Requesting Data...</v>
      </c>
      <c r="B1562" t="s">
        <v>383</v>
      </c>
      <c r="C1562" t="str">
        <f>_xll.BDP("622503VV Muni","INSURANCE_STATUS")</f>
        <v>#N/A Requesting Data...</v>
      </c>
      <c r="D1562" t="str">
        <f>_xll.BDP("622503VV Muni","STATE_CODE")</f>
        <v>#N/A Requesting Data...</v>
      </c>
      <c r="E1562" t="str">
        <f>_xll.BDP("622503VV Muni","COUNTY_LOCATION_ISSUER")</f>
        <v>#N/A Requesting Data...</v>
      </c>
      <c r="F1562" t="str">
        <f>_xll.BDP("622503VV Muni","DUR_ADJ_MID")</f>
        <v>#N/A Requesting Data...</v>
      </c>
      <c r="G1562" t="str">
        <f>_xll.BDP("622503VV Muni","SPREAD_AT_ISSUANCE_TO_WORST")</f>
        <v>#N/A Requesting Data...</v>
      </c>
      <c r="H1562" t="str">
        <f>_xll.BDP("622503VV Muni","ISSUE_DT")</f>
        <v>#N/A Requesting Data...</v>
      </c>
      <c r="I1562" t="str">
        <f>_xll.BDS("622503VV Muni","MUNI_PURPOSE_SCHED", "aggregate=y")</f>
        <v>#N/A Requesting Data...</v>
      </c>
      <c r="J1562" t="str">
        <f>_xll.BDP("622503VV Muni","CPN")</f>
        <v>#N/A Requesting Data...</v>
      </c>
      <c r="K1562" t="str">
        <f>_xll.BDP("622503VV Muni","MATURITY")</f>
        <v>#N/A Requesting Data...</v>
      </c>
      <c r="L1562">
        <v>440000</v>
      </c>
      <c r="M1562" t="str">
        <f>_xll.BDP("622503VV Muni","YIELD_ON_ISSUE_DATE")</f>
        <v>#N/A Requesting Data...</v>
      </c>
      <c r="N1562" t="str">
        <f>_xll.BDP("622503VV Muni","YTW_SPREAD_TO_MATURITY_AT_ISSU")</f>
        <v>#N/A Requesting Data...</v>
      </c>
      <c r="O1562" t="str">
        <f>_xll.BDP("622503VV Muni","BVAL_MID_YTM")</f>
        <v>#N/A Requesting Data...</v>
      </c>
      <c r="P1562" t="str">
        <f>_xll.BDP("622503VV Muni","MUNI_TAX_PROV")</f>
        <v>#N/A Requesting Data...</v>
      </c>
      <c r="Q1562" t="str">
        <f>_xll.BDP("622503VV Muni","MUNI_FED_TAX")</f>
        <v>#N/A Requesting Data...</v>
      </c>
      <c r="R1562" t="str">
        <f>_xll.BDP("622503VV Muni","MUNI_MSRB_VOLUME")</f>
        <v>#N/A Requesting Data...</v>
      </c>
      <c r="S1562" t="str">
        <f>_xll.BDP("622503VV Muni","BB_COMPOSITE")</f>
        <v>#N/A Requesting Data...</v>
      </c>
      <c r="T1562" t="str">
        <f>_xll.BDP("622503VV Muni","LQA_LIQUIDITY_SCORE")</f>
        <v>#N/A Requesting Data...</v>
      </c>
    </row>
    <row r="1563" spans="1:20" x14ac:dyDescent="0.25">
      <c r="A1563" t="str">
        <f>_xll.BDP("622826VT Muni","ID_CUSIP")</f>
        <v>#N/A Requesting Data...</v>
      </c>
      <c r="B1563" t="s">
        <v>384</v>
      </c>
      <c r="C1563" t="str">
        <f>_xll.BDP("622826VT Muni","INSURANCE_STATUS")</f>
        <v>#N/A Requesting Data...</v>
      </c>
      <c r="D1563" t="str">
        <f>_xll.BDP("622826VT Muni","STATE_CODE")</f>
        <v>#N/A Requesting Data...</v>
      </c>
      <c r="E1563" t="str">
        <f>_xll.BDP("622826VT Muni","COUNTY_LOCATION_ISSUER")</f>
        <v>#N/A Requesting Data...</v>
      </c>
      <c r="F1563" t="str">
        <f>_xll.BDP("622826VT Muni","DUR_ADJ_MID")</f>
        <v>#N/A Requesting Data...</v>
      </c>
      <c r="G1563" t="str">
        <f>_xll.BDP("622826VT Muni","SPREAD_AT_ISSUANCE_TO_WORST")</f>
        <v>#N/A Requesting Data...</v>
      </c>
      <c r="H1563" t="str">
        <f>_xll.BDP("622826VT Muni","ISSUE_DT")</f>
        <v>#N/A Requesting Data...</v>
      </c>
      <c r="I1563" t="str">
        <f>_xll.BDS("622826VT Muni","MUNI_PURPOSE_SCHED", "aggregate=y")</f>
        <v>#N/A Requesting Data...</v>
      </c>
      <c r="J1563" t="str">
        <f>_xll.BDP("622826VT Muni","CPN")</f>
        <v>#N/A Requesting Data...</v>
      </c>
      <c r="K1563" t="str">
        <f>_xll.BDP("622826VT Muni","MATURITY")</f>
        <v>#N/A Requesting Data...</v>
      </c>
      <c r="L1563">
        <v>470000</v>
      </c>
      <c r="M1563" t="str">
        <f>_xll.BDP("622826VT Muni","YIELD_ON_ISSUE_DATE")</f>
        <v>#N/A Requesting Data...</v>
      </c>
      <c r="N1563" t="str">
        <f>_xll.BDP("622826VT Muni","YTW_SPREAD_TO_MATURITY_AT_ISSU")</f>
        <v>#N/A Requesting Data...</v>
      </c>
      <c r="O1563" t="str">
        <f>_xll.BDP("622826VT Muni","BVAL_MID_YTM")</f>
        <v>#N/A Requesting Data...</v>
      </c>
      <c r="P1563" t="str">
        <f>_xll.BDP("622826VT Muni","MUNI_TAX_PROV")</f>
        <v>#N/A Requesting Data...</v>
      </c>
      <c r="Q1563" t="str">
        <f>_xll.BDP("622826VT Muni","MUNI_FED_TAX")</f>
        <v>#N/A Requesting Data...</v>
      </c>
      <c r="R1563" t="str">
        <f>_xll.BDP("622826VT Muni","MUNI_MSRB_VOLUME")</f>
        <v>#N/A Requesting Data...</v>
      </c>
      <c r="S1563" t="str">
        <f>_xll.BDP("622826VT Muni","BB_COMPOSITE")</f>
        <v>#N/A Requesting Data...</v>
      </c>
      <c r="T1563" t="str">
        <f>_xll.BDP("622826VT Muni","LQA_LIQUIDITY_SCORE")</f>
        <v>#N/A Requesting Data...</v>
      </c>
    </row>
    <row r="1564" spans="1:20" x14ac:dyDescent="0.25">
      <c r="A1564" t="str">
        <f>_xll.BDP("656009MX Muni","ID_CUSIP")</f>
        <v>#N/A Requesting Data...</v>
      </c>
      <c r="B1564" t="s">
        <v>386</v>
      </c>
      <c r="C1564" t="str">
        <f>_xll.BDP("656009MX Muni","INSURANCE_STATUS")</f>
        <v>#N/A Requesting Data...</v>
      </c>
      <c r="D1564" t="str">
        <f>_xll.BDP("656009MX Muni","STATE_CODE")</f>
        <v>#N/A Requesting Data...</v>
      </c>
      <c r="E1564" t="str">
        <f>_xll.BDP("656009MX Muni","COUNTY_LOCATION_ISSUER")</f>
        <v>#N/A Requesting Data...</v>
      </c>
      <c r="F1564" t="str">
        <f>_xll.BDP("656009MX Muni","DUR_ADJ_MID")</f>
        <v>#N/A Requesting Data...</v>
      </c>
      <c r="G1564" t="str">
        <f>_xll.BDP("656009MX Muni","SPREAD_AT_ISSUANCE_TO_WORST")</f>
        <v>#N/A Requesting Data...</v>
      </c>
      <c r="H1564" t="str">
        <f>_xll.BDP("656009MX Muni","ISSUE_DT")</f>
        <v>#N/A Requesting Data...</v>
      </c>
      <c r="I1564" t="str">
        <f>_xll.BDS("656009MX Muni","MUNI_PURPOSE_SCHED", "aggregate=y")</f>
        <v>#N/A Requesting Data...</v>
      </c>
      <c r="J1564" t="str">
        <f>_xll.BDP("656009MX Muni","CPN")</f>
        <v>#N/A Requesting Data...</v>
      </c>
      <c r="K1564" t="str">
        <f>_xll.BDP("656009MX Muni","MATURITY")</f>
        <v>#N/A Requesting Data...</v>
      </c>
      <c r="L1564">
        <v>600000</v>
      </c>
      <c r="M1564" t="str">
        <f>_xll.BDP("656009MX Muni","YIELD_ON_ISSUE_DATE")</f>
        <v>#N/A Requesting Data...</v>
      </c>
      <c r="N1564" t="str">
        <f>_xll.BDP("656009MX Muni","YTW_SPREAD_TO_MATURITY_AT_ISSU")</f>
        <v>#N/A Requesting Data...</v>
      </c>
      <c r="O1564" t="str">
        <f>_xll.BDP("656009MX Muni","BVAL_MID_YTM")</f>
        <v>#N/A Requesting Data...</v>
      </c>
      <c r="P1564" t="str">
        <f>_xll.BDP("656009MX Muni","MUNI_TAX_PROV")</f>
        <v>#N/A Requesting Data...</v>
      </c>
      <c r="Q1564" t="str">
        <f>_xll.BDP("656009MX Muni","MUNI_FED_TAX")</f>
        <v>#N/A Requesting Data...</v>
      </c>
      <c r="R1564" t="str">
        <f>_xll.BDP("656009MX Muni","MUNI_MSRB_VOLUME")</f>
        <v>#N/A Requesting Data...</v>
      </c>
      <c r="S1564" t="str">
        <f>_xll.BDP("656009MX Muni","BB_COMPOSITE")</f>
        <v>#N/A Requesting Data...</v>
      </c>
      <c r="T1564" t="str">
        <f>_xll.BDP("656009MX Muni","LQA_LIQUIDITY_SCORE")</f>
        <v>#N/A Requesting Data...</v>
      </c>
    </row>
    <row r="1565" spans="1:20" x14ac:dyDescent="0.25">
      <c r="A1565" t="str">
        <f>_xll.BDP("656009NA Muni","ID_CUSIP")</f>
        <v>#N/A Requesting Data...</v>
      </c>
      <c r="B1565" t="s">
        <v>386</v>
      </c>
      <c r="C1565" t="str">
        <f>_xll.BDP("656009NA Muni","INSURANCE_STATUS")</f>
        <v>#N/A Requesting Data...</v>
      </c>
      <c r="D1565" t="str">
        <f>_xll.BDP("656009NA Muni","STATE_CODE")</f>
        <v>#N/A Requesting Data...</v>
      </c>
      <c r="E1565" t="str">
        <f>_xll.BDP("656009NA Muni","COUNTY_LOCATION_ISSUER")</f>
        <v>#N/A Requesting Data...</v>
      </c>
      <c r="F1565" t="str">
        <f>_xll.BDP("656009NA Muni","DUR_ADJ_MID")</f>
        <v>#N/A Requesting Data...</v>
      </c>
      <c r="G1565" t="str">
        <f>_xll.BDP("656009NA Muni","SPREAD_AT_ISSUANCE_TO_WORST")</f>
        <v>#N/A Requesting Data...</v>
      </c>
      <c r="H1565" t="str">
        <f>_xll.BDP("656009NA Muni","ISSUE_DT")</f>
        <v>#N/A Requesting Data...</v>
      </c>
      <c r="I1565" t="str">
        <f>_xll.BDS("656009NA Muni","MUNI_PURPOSE_SCHED", "aggregate=y")</f>
        <v>#N/A Requesting Data...</v>
      </c>
      <c r="J1565" t="str">
        <f>_xll.BDP("656009NA Muni","CPN")</f>
        <v>#N/A Requesting Data...</v>
      </c>
      <c r="K1565" t="str">
        <f>_xll.BDP("656009NA Muni","MATURITY")</f>
        <v>#N/A Requesting Data...</v>
      </c>
      <c r="L1565">
        <v>685000</v>
      </c>
      <c r="M1565" t="str">
        <f>_xll.BDP("656009NA Muni","YIELD_ON_ISSUE_DATE")</f>
        <v>#N/A Requesting Data...</v>
      </c>
      <c r="N1565" t="str">
        <f>_xll.BDP("656009NA Muni","YTW_SPREAD_TO_MATURITY_AT_ISSU")</f>
        <v>#N/A Requesting Data...</v>
      </c>
      <c r="O1565" t="str">
        <f>_xll.BDP("656009NA Muni","BVAL_MID_YTM")</f>
        <v>#N/A Requesting Data...</v>
      </c>
      <c r="P1565" t="str">
        <f>_xll.BDP("656009NA Muni","MUNI_TAX_PROV")</f>
        <v>#N/A Requesting Data...</v>
      </c>
      <c r="Q1565" t="str">
        <f>_xll.BDP("656009NA Muni","MUNI_FED_TAX")</f>
        <v>#N/A Requesting Data...</v>
      </c>
      <c r="R1565" t="str">
        <f>_xll.BDP("656009NA Muni","MUNI_MSRB_VOLUME")</f>
        <v>#N/A Requesting Data...</v>
      </c>
      <c r="S1565" t="str">
        <f>_xll.BDP("656009NA Muni","BB_COMPOSITE")</f>
        <v>#N/A Requesting Data...</v>
      </c>
      <c r="T1565" t="str">
        <f>_xll.BDP("656009NA Muni","LQA_LIQUIDITY_SCORE")</f>
        <v>#N/A Requesting Data...</v>
      </c>
    </row>
    <row r="1566" spans="1:20" x14ac:dyDescent="0.25">
      <c r="A1566" t="str">
        <f>_xll.BDP("657339E8 Muni","ID_CUSIP")</f>
        <v>#N/A Requesting Data...</v>
      </c>
      <c r="B1566" t="s">
        <v>387</v>
      </c>
      <c r="C1566" t="str">
        <f>_xll.BDP("657339E8 Muni","INSURANCE_STATUS")</f>
        <v>#N/A Requesting Data...</v>
      </c>
      <c r="D1566" t="str">
        <f>_xll.BDP("657339E8 Muni","STATE_CODE")</f>
        <v>#N/A Requesting Data...</v>
      </c>
      <c r="E1566" t="str">
        <f>_xll.BDP("657339E8 Muni","COUNTY_LOCATION_ISSUER")</f>
        <v>#N/A Requesting Data...</v>
      </c>
      <c r="F1566" t="str">
        <f>_xll.BDP("657339E8 Muni","DUR_ADJ_MID")</f>
        <v>#N/A Requesting Data...</v>
      </c>
      <c r="G1566" t="str">
        <f>_xll.BDP("657339E8 Muni","SPREAD_AT_ISSUANCE_TO_WORST")</f>
        <v>#N/A Requesting Data...</v>
      </c>
      <c r="H1566" t="str">
        <f>_xll.BDP("657339E8 Muni","ISSUE_DT")</f>
        <v>#N/A Requesting Data...</v>
      </c>
      <c r="I1566" t="str">
        <f>_xll.BDS("657339E8 Muni","MUNI_PURPOSE_SCHED", "aggregate=y")</f>
        <v>#N/A Requesting Data...</v>
      </c>
      <c r="J1566" t="str">
        <f>_xll.BDP("657339E8 Muni","CPN")</f>
        <v>#N/A Requesting Data...</v>
      </c>
      <c r="K1566" t="str">
        <f>_xll.BDP("657339E8 Muni","MATURITY")</f>
        <v>#N/A Requesting Data...</v>
      </c>
      <c r="L1566">
        <v>470000</v>
      </c>
      <c r="M1566" t="str">
        <f>_xll.BDP("657339E8 Muni","YIELD_ON_ISSUE_DATE")</f>
        <v>#N/A Requesting Data...</v>
      </c>
      <c r="N1566" t="str">
        <f>_xll.BDP("657339E8 Muni","YTW_SPREAD_TO_MATURITY_AT_ISSU")</f>
        <v>#N/A Requesting Data...</v>
      </c>
      <c r="O1566" t="str">
        <f>_xll.BDP("657339E8 Muni","BVAL_MID_YTM")</f>
        <v>#N/A Requesting Data...</v>
      </c>
      <c r="P1566" t="str">
        <f>_xll.BDP("657339E8 Muni","MUNI_TAX_PROV")</f>
        <v>#N/A Requesting Data...</v>
      </c>
      <c r="Q1566" t="str">
        <f>_xll.BDP("657339E8 Muni","MUNI_FED_TAX")</f>
        <v>#N/A Requesting Data...</v>
      </c>
      <c r="R1566" t="str">
        <f>_xll.BDP("657339E8 Muni","MUNI_MSRB_VOLUME")</f>
        <v>#N/A Requesting Data...</v>
      </c>
      <c r="S1566" t="str">
        <f>_xll.BDP("657339E8 Muni","BB_COMPOSITE")</f>
        <v>#N/A Requesting Data...</v>
      </c>
      <c r="T1566" t="str">
        <f>_xll.BDP("657339E8 Muni","LQA_LIQUIDITY_SCORE")</f>
        <v>#N/A Requesting Data...</v>
      </c>
    </row>
    <row r="1567" spans="1:20" x14ac:dyDescent="0.25">
      <c r="A1567" t="str">
        <f>_xll.BDP("657339E9 Muni","ID_CUSIP")</f>
        <v>#N/A Requesting Data...</v>
      </c>
      <c r="B1567" t="s">
        <v>387</v>
      </c>
      <c r="C1567" t="str">
        <f>_xll.BDP("657339E9 Muni","INSURANCE_STATUS")</f>
        <v>#N/A Requesting Data...</v>
      </c>
      <c r="D1567" t="str">
        <f>_xll.BDP("657339E9 Muni","STATE_CODE")</f>
        <v>#N/A Requesting Data...</v>
      </c>
      <c r="E1567" t="str">
        <f>_xll.BDP("657339E9 Muni","COUNTY_LOCATION_ISSUER")</f>
        <v>#N/A Requesting Data...</v>
      </c>
      <c r="F1567" t="str">
        <f>_xll.BDP("657339E9 Muni","DUR_ADJ_MID")</f>
        <v>#N/A Requesting Data...</v>
      </c>
      <c r="G1567" t="str">
        <f>_xll.BDP("657339E9 Muni","SPREAD_AT_ISSUANCE_TO_WORST")</f>
        <v>#N/A Requesting Data...</v>
      </c>
      <c r="H1567" t="str">
        <f>_xll.BDP("657339E9 Muni","ISSUE_DT")</f>
        <v>#N/A Requesting Data...</v>
      </c>
      <c r="I1567" t="str">
        <f>_xll.BDS("657339E9 Muni","MUNI_PURPOSE_SCHED", "aggregate=y")</f>
        <v>#N/A Requesting Data...</v>
      </c>
      <c r="J1567" t="str">
        <f>_xll.BDP("657339E9 Muni","CPN")</f>
        <v>#N/A Requesting Data...</v>
      </c>
      <c r="K1567" t="str">
        <f>_xll.BDP("657339E9 Muni","MATURITY")</f>
        <v>#N/A Requesting Data...</v>
      </c>
      <c r="L1567">
        <v>315000</v>
      </c>
      <c r="M1567" t="str">
        <f>_xll.BDP("657339E9 Muni","YIELD_ON_ISSUE_DATE")</f>
        <v>#N/A Requesting Data...</v>
      </c>
      <c r="N1567" t="str">
        <f>_xll.BDP("657339E9 Muni","YTW_SPREAD_TO_MATURITY_AT_ISSU")</f>
        <v>#N/A Requesting Data...</v>
      </c>
      <c r="O1567" t="str">
        <f>_xll.BDP("657339E9 Muni","BVAL_MID_YTM")</f>
        <v>#N/A Requesting Data...</v>
      </c>
      <c r="P1567" t="str">
        <f>_xll.BDP("657339E9 Muni","MUNI_TAX_PROV")</f>
        <v>#N/A Requesting Data...</v>
      </c>
      <c r="Q1567" t="str">
        <f>_xll.BDP("657339E9 Muni","MUNI_FED_TAX")</f>
        <v>#N/A Requesting Data...</v>
      </c>
      <c r="R1567" t="str">
        <f>_xll.BDP("657339E9 Muni","MUNI_MSRB_VOLUME")</f>
        <v>#N/A Requesting Data...</v>
      </c>
      <c r="S1567" t="str">
        <f>_xll.BDP("657339E9 Muni","BB_COMPOSITE")</f>
        <v>#N/A Requesting Data...</v>
      </c>
      <c r="T1567" t="str">
        <f>_xll.BDP("657339E9 Muni","LQA_LIQUIDITY_SCORE")</f>
        <v>#N/A Requesting Data...</v>
      </c>
    </row>
    <row r="1568" spans="1:20" x14ac:dyDescent="0.25">
      <c r="A1568" t="str">
        <f>_xll.BDP("657339F2 Muni","ID_CUSIP")</f>
        <v>#N/A Requesting Data...</v>
      </c>
      <c r="B1568" t="s">
        <v>387</v>
      </c>
      <c r="C1568" t="str">
        <f>_xll.BDP("657339F2 Muni","INSURANCE_STATUS")</f>
        <v>#N/A Requesting Data...</v>
      </c>
      <c r="D1568" t="str">
        <f>_xll.BDP("657339F2 Muni","STATE_CODE")</f>
        <v>#N/A Requesting Data...</v>
      </c>
      <c r="E1568" t="str">
        <f>_xll.BDP("657339F2 Muni","COUNTY_LOCATION_ISSUER")</f>
        <v>#N/A Requesting Data...</v>
      </c>
      <c r="F1568" t="str">
        <f>_xll.BDP("657339F2 Muni","DUR_ADJ_MID")</f>
        <v>#N/A Requesting Data...</v>
      </c>
      <c r="G1568" t="str">
        <f>_xll.BDP("657339F2 Muni","SPREAD_AT_ISSUANCE_TO_WORST")</f>
        <v>#N/A Requesting Data...</v>
      </c>
      <c r="H1568" t="str">
        <f>_xll.BDP("657339F2 Muni","ISSUE_DT")</f>
        <v>#N/A Requesting Data...</v>
      </c>
      <c r="I1568" t="str">
        <f>_xll.BDS("657339F2 Muni","MUNI_PURPOSE_SCHED", "aggregate=y")</f>
        <v>#N/A Requesting Data...</v>
      </c>
      <c r="J1568" t="str">
        <f>_xll.BDP("657339F2 Muni","CPN")</f>
        <v>#N/A Requesting Data...</v>
      </c>
      <c r="K1568" t="str">
        <f>_xll.BDP("657339F2 Muni","MATURITY")</f>
        <v>#N/A Requesting Data...</v>
      </c>
      <c r="L1568">
        <v>315000</v>
      </c>
      <c r="M1568" t="str">
        <f>_xll.BDP("657339F2 Muni","YIELD_ON_ISSUE_DATE")</f>
        <v>#N/A Requesting Data...</v>
      </c>
      <c r="N1568" t="str">
        <f>_xll.BDP("657339F2 Muni","YTW_SPREAD_TO_MATURITY_AT_ISSU")</f>
        <v>#N/A Requesting Data...</v>
      </c>
      <c r="O1568" t="str">
        <f>_xll.BDP("657339F2 Muni","BVAL_MID_YTM")</f>
        <v>#N/A Requesting Data...</v>
      </c>
      <c r="P1568" t="str">
        <f>_xll.BDP("657339F2 Muni","MUNI_TAX_PROV")</f>
        <v>#N/A Requesting Data...</v>
      </c>
      <c r="Q1568" t="str">
        <f>_xll.BDP("657339F2 Muni","MUNI_FED_TAX")</f>
        <v>#N/A Requesting Data...</v>
      </c>
      <c r="R1568" t="str">
        <f>_xll.BDP("657339F2 Muni","MUNI_MSRB_VOLUME")</f>
        <v>#N/A Requesting Data...</v>
      </c>
      <c r="S1568" t="str">
        <f>_xll.BDP("657339F2 Muni","BB_COMPOSITE")</f>
        <v>#N/A Requesting Data...</v>
      </c>
      <c r="T1568" t="str">
        <f>_xll.BDP("657339F2 Muni","LQA_LIQUIDITY_SCORE")</f>
        <v>#N/A Requesting Data...</v>
      </c>
    </row>
    <row r="1569" spans="1:20" x14ac:dyDescent="0.25">
      <c r="A1569" t="str">
        <f>_xll.BDP("717893G8 Muni","ID_CUSIP")</f>
        <v>#N/A Requesting Data...</v>
      </c>
      <c r="B1569" t="s">
        <v>388</v>
      </c>
      <c r="C1569" t="str">
        <f>_xll.BDP("717893G8 Muni","INSURANCE_STATUS")</f>
        <v>#N/A Requesting Data...</v>
      </c>
      <c r="D1569" t="str">
        <f>_xll.BDP("717893G8 Muni","STATE_CODE")</f>
        <v>#N/A Requesting Data...</v>
      </c>
      <c r="E1569" t="str">
        <f>_xll.BDP("717893G8 Muni","COUNTY_LOCATION_ISSUER")</f>
        <v>#N/A Requesting Data...</v>
      </c>
      <c r="F1569" t="str">
        <f>_xll.BDP("717893G8 Muni","DUR_ADJ_MID")</f>
        <v>#N/A Requesting Data...</v>
      </c>
      <c r="G1569" t="str">
        <f>_xll.BDP("717893G8 Muni","SPREAD_AT_ISSUANCE_TO_WORST")</f>
        <v>#N/A Requesting Data...</v>
      </c>
      <c r="H1569" t="str">
        <f>_xll.BDP("717893G8 Muni","ISSUE_DT")</f>
        <v>#N/A Requesting Data...</v>
      </c>
      <c r="I1569" t="str">
        <f>_xll.BDS("717893G8 Muni","MUNI_PURPOSE_SCHED", "aggregate=y")</f>
        <v>#N/A Requesting Data...</v>
      </c>
      <c r="J1569" t="str">
        <f>_xll.BDP("717893G8 Muni","CPN")</f>
        <v>#N/A Requesting Data...</v>
      </c>
      <c r="K1569" t="str">
        <f>_xll.BDP("717893G8 Muni","MATURITY")</f>
        <v>#N/A Requesting Data...</v>
      </c>
      <c r="L1569">
        <v>5000000</v>
      </c>
      <c r="M1569" t="str">
        <f>_xll.BDP("717893G8 Muni","YIELD_ON_ISSUE_DATE")</f>
        <v>#N/A Requesting Data...</v>
      </c>
      <c r="N1569" t="str">
        <f>_xll.BDP("717893G8 Muni","YTW_SPREAD_TO_MATURITY_AT_ISSU")</f>
        <v>#N/A Requesting Data...</v>
      </c>
      <c r="O1569" t="str">
        <f>_xll.BDP("717893G8 Muni","BVAL_MID_YTM")</f>
        <v>#N/A Requesting Data...</v>
      </c>
      <c r="P1569" t="str">
        <f>_xll.BDP("717893G8 Muni","MUNI_TAX_PROV")</f>
        <v>#N/A Requesting Data...</v>
      </c>
      <c r="Q1569" t="str">
        <f>_xll.BDP("717893G8 Muni","MUNI_FED_TAX")</f>
        <v>#N/A Requesting Data...</v>
      </c>
      <c r="R1569" t="str">
        <f>_xll.BDP("717893G8 Muni","MUNI_MSRB_VOLUME")</f>
        <v>#N/A Requesting Data...</v>
      </c>
      <c r="S1569" t="str">
        <f>_xll.BDP("717893G8 Muni","BB_COMPOSITE")</f>
        <v>#N/A Requesting Data...</v>
      </c>
      <c r="T1569" t="str">
        <f>_xll.BDP("717893G8 Muni","LQA_LIQUIDITY_SCORE")</f>
        <v>#N/A Requesting Data...</v>
      </c>
    </row>
    <row r="1570" spans="1:20" x14ac:dyDescent="0.25">
      <c r="A1570" t="str">
        <f>_xll.BDP("654710SF Muni","ID_CUSIP")</f>
        <v>#N/A Requesting Data...</v>
      </c>
      <c r="B1570" t="s">
        <v>389</v>
      </c>
      <c r="C1570" t="str">
        <f>_xll.BDP("654710SF Muni","INSURANCE_STATUS")</f>
        <v>#N/A Requesting Data...</v>
      </c>
      <c r="D1570" t="str">
        <f>_xll.BDP("654710SF Muni","STATE_CODE")</f>
        <v>#N/A Requesting Data...</v>
      </c>
      <c r="E1570" t="str">
        <f>_xll.BDP("654710SF Muni","COUNTY_LOCATION_ISSUER")</f>
        <v>#N/A Requesting Data...</v>
      </c>
      <c r="F1570" t="str">
        <f>_xll.BDP("654710SF Muni","DUR_ADJ_MID")</f>
        <v>#N/A Requesting Data...</v>
      </c>
      <c r="G1570" t="str">
        <f>_xll.BDP("654710SF Muni","SPREAD_AT_ISSUANCE_TO_WORST")</f>
        <v>#N/A Requesting Data...</v>
      </c>
      <c r="H1570" t="str">
        <f>_xll.BDP("654710SF Muni","ISSUE_DT")</f>
        <v>#N/A Requesting Data...</v>
      </c>
      <c r="I1570" t="str">
        <f>_xll.BDS("654710SF Muni","MUNI_PURPOSE_SCHED", "aggregate=y")</f>
        <v>#N/A Requesting Data...</v>
      </c>
      <c r="J1570" t="str">
        <f>_xll.BDP("654710SF Muni","CPN")</f>
        <v>#N/A Requesting Data...</v>
      </c>
      <c r="K1570" t="str">
        <f>_xll.BDP("654710SF Muni","MATURITY")</f>
        <v>#N/A Requesting Data...</v>
      </c>
      <c r="L1570">
        <v>375000</v>
      </c>
      <c r="M1570" t="str">
        <f>_xll.BDP("654710SF Muni","YIELD_ON_ISSUE_DATE")</f>
        <v>#N/A Requesting Data...</v>
      </c>
      <c r="N1570" t="str">
        <f>_xll.BDP("654710SF Muni","YTW_SPREAD_TO_MATURITY_AT_ISSU")</f>
        <v>#N/A Requesting Data...</v>
      </c>
      <c r="O1570" t="str">
        <f>_xll.BDP("654710SF Muni","BVAL_MID_YTM")</f>
        <v>#N/A Requesting Data...</v>
      </c>
      <c r="P1570" t="str">
        <f>_xll.BDP("654710SF Muni","MUNI_TAX_PROV")</f>
        <v>#N/A Requesting Data...</v>
      </c>
      <c r="Q1570" t="str">
        <f>_xll.BDP("654710SF Muni","MUNI_FED_TAX")</f>
        <v>#N/A Requesting Data...</v>
      </c>
      <c r="R1570" t="str">
        <f>_xll.BDP("654710SF Muni","MUNI_MSRB_VOLUME")</f>
        <v>#N/A Requesting Data...</v>
      </c>
      <c r="S1570" t="str">
        <f>_xll.BDP("654710SF Muni","BB_COMPOSITE")</f>
        <v>#N/A Requesting Data...</v>
      </c>
      <c r="T1570" t="str">
        <f>_xll.BDP("654710SF Muni","LQA_LIQUIDITY_SCORE")</f>
        <v>#N/A Requesting Data...</v>
      </c>
    </row>
    <row r="1571" spans="1:20" x14ac:dyDescent="0.25">
      <c r="A1571" t="str">
        <f>_xll.BDP("691106LU Muni","ID_CUSIP")</f>
        <v>#N/A Requesting Data...</v>
      </c>
      <c r="B1571" t="s">
        <v>382</v>
      </c>
      <c r="C1571" t="str">
        <f>_xll.BDP("691106LU Muni","INSURANCE_STATUS")</f>
        <v>#N/A Requesting Data...</v>
      </c>
      <c r="D1571" t="str">
        <f>_xll.BDP("691106LU Muni","STATE_CODE")</f>
        <v>#N/A Requesting Data...</v>
      </c>
      <c r="E1571" t="str">
        <f>_xll.BDP("691106LU Muni","COUNTY_LOCATION_ISSUER")</f>
        <v>#N/A Requesting Data...</v>
      </c>
      <c r="F1571" t="str">
        <f>_xll.BDP("691106LU Muni","DUR_ADJ_MID")</f>
        <v>#N/A Requesting Data...</v>
      </c>
      <c r="G1571" t="str">
        <f>_xll.BDP("691106LU Muni","SPREAD_AT_ISSUANCE_TO_WORST")</f>
        <v>#N/A Requesting Data...</v>
      </c>
      <c r="H1571" t="str">
        <f>_xll.BDP("691106LU Muni","ISSUE_DT")</f>
        <v>#N/A Requesting Data...</v>
      </c>
      <c r="I1571" t="str">
        <f>_xll.BDS("691106LU Muni","MUNI_PURPOSE_SCHED", "aggregate=y")</f>
        <v>#N/A Requesting Data...</v>
      </c>
      <c r="J1571" t="str">
        <f>_xll.BDP("691106LU Muni","CPN")</f>
        <v>#N/A Requesting Data...</v>
      </c>
      <c r="K1571" t="str">
        <f>_xll.BDP("691106LU Muni","MATURITY")</f>
        <v>#N/A Requesting Data...</v>
      </c>
      <c r="L1571">
        <v>1125000</v>
      </c>
      <c r="M1571" t="str">
        <f>_xll.BDP("691106LU Muni","YIELD_ON_ISSUE_DATE")</f>
        <v>#N/A Requesting Data...</v>
      </c>
      <c r="N1571" t="str">
        <f>_xll.BDP("691106LU Muni","YTW_SPREAD_TO_MATURITY_AT_ISSU")</f>
        <v>#N/A Requesting Data...</v>
      </c>
      <c r="O1571" t="str">
        <f>_xll.BDP("691106LU Muni","BVAL_MID_YTM")</f>
        <v>#N/A Requesting Data...</v>
      </c>
      <c r="P1571" t="str">
        <f>_xll.BDP("691106LU Muni","MUNI_TAX_PROV")</f>
        <v>#N/A Requesting Data...</v>
      </c>
      <c r="Q1571" t="str">
        <f>_xll.BDP("691106LU Muni","MUNI_FED_TAX")</f>
        <v>#N/A Requesting Data...</v>
      </c>
      <c r="R1571" t="str">
        <f>_xll.BDP("691106LU Muni","MUNI_MSRB_VOLUME")</f>
        <v>#N/A Requesting Data...</v>
      </c>
      <c r="S1571" t="str">
        <f>_xll.BDP("691106LU Muni","BB_COMPOSITE")</f>
        <v>#N/A Requesting Data...</v>
      </c>
      <c r="T1571" t="str">
        <f>_xll.BDP("691106LU Muni","LQA_LIQUIDITY_SCORE")</f>
        <v>#N/A Requesting Data...</v>
      </c>
    </row>
    <row r="1572" spans="1:20" x14ac:dyDescent="0.25">
      <c r="A1572" t="str">
        <f>_xll.BDP("691106LW Muni","ID_CUSIP")</f>
        <v>#N/A Requesting Data...</v>
      </c>
      <c r="B1572" t="s">
        <v>382</v>
      </c>
      <c r="C1572" t="str">
        <f>_xll.BDP("691106LW Muni","INSURANCE_STATUS")</f>
        <v>#N/A Requesting Data...</v>
      </c>
      <c r="D1572" t="str">
        <f>_xll.BDP("691106LW Muni","STATE_CODE")</f>
        <v>#N/A Requesting Data...</v>
      </c>
      <c r="E1572" t="str">
        <f>_xll.BDP("691106LW Muni","COUNTY_LOCATION_ISSUER")</f>
        <v>#N/A Requesting Data...</v>
      </c>
      <c r="F1572" t="str">
        <f>_xll.BDP("691106LW Muni","DUR_ADJ_MID")</f>
        <v>#N/A Requesting Data...</v>
      </c>
      <c r="G1572" t="str">
        <f>_xll.BDP("691106LW Muni","SPREAD_AT_ISSUANCE_TO_WORST")</f>
        <v>#N/A Requesting Data...</v>
      </c>
      <c r="H1572" t="str">
        <f>_xll.BDP("691106LW Muni","ISSUE_DT")</f>
        <v>#N/A Requesting Data...</v>
      </c>
      <c r="I1572" t="str">
        <f>_xll.BDS("691106LW Muni","MUNI_PURPOSE_SCHED", "aggregate=y")</f>
        <v>#N/A Requesting Data...</v>
      </c>
      <c r="J1572" t="str">
        <f>_xll.BDP("691106LW Muni","CPN")</f>
        <v>#N/A Requesting Data...</v>
      </c>
      <c r="K1572" t="str">
        <f>_xll.BDP("691106LW Muni","MATURITY")</f>
        <v>#N/A Requesting Data...</v>
      </c>
      <c r="L1572">
        <v>1490000</v>
      </c>
      <c r="M1572" t="str">
        <f>_xll.BDP("691106LW Muni","YIELD_ON_ISSUE_DATE")</f>
        <v>#N/A Requesting Data...</v>
      </c>
      <c r="N1572" t="str">
        <f>_xll.BDP("691106LW Muni","YTW_SPREAD_TO_MATURITY_AT_ISSU")</f>
        <v>#N/A Requesting Data...</v>
      </c>
      <c r="O1572" t="str">
        <f>_xll.BDP("691106LW Muni","BVAL_MID_YTM")</f>
        <v>#N/A Requesting Data...</v>
      </c>
      <c r="P1572" t="str">
        <f>_xll.BDP("691106LW Muni","MUNI_TAX_PROV")</f>
        <v>#N/A Requesting Data...</v>
      </c>
      <c r="Q1572" t="str">
        <f>_xll.BDP("691106LW Muni","MUNI_FED_TAX")</f>
        <v>#N/A Requesting Data...</v>
      </c>
      <c r="R1572" t="str">
        <f>_xll.BDP("691106LW Muni","MUNI_MSRB_VOLUME")</f>
        <v>#N/A Requesting Data...</v>
      </c>
      <c r="S1572" t="str">
        <f>_xll.BDP("691106LW Muni","BB_COMPOSITE")</f>
        <v>#N/A Requesting Data...</v>
      </c>
      <c r="T1572" t="str">
        <f>_xll.BDP("691106LW Muni","LQA_LIQUIDITY_SCORE")</f>
        <v>#N/A Requesting Data...</v>
      </c>
    </row>
    <row r="1573" spans="1:20" x14ac:dyDescent="0.25">
      <c r="A1573" t="str">
        <f>_xll.BDP("691106LY Muni","ID_CUSIP")</f>
        <v>#N/A Requesting Data...</v>
      </c>
      <c r="B1573" t="s">
        <v>382</v>
      </c>
      <c r="C1573" t="str">
        <f>_xll.BDP("691106LY Muni","INSURANCE_STATUS")</f>
        <v>#N/A Requesting Data...</v>
      </c>
      <c r="D1573" t="str">
        <f>_xll.BDP("691106LY Muni","STATE_CODE")</f>
        <v>#N/A Requesting Data...</v>
      </c>
      <c r="E1573" t="str">
        <f>_xll.BDP("691106LY Muni","COUNTY_LOCATION_ISSUER")</f>
        <v>#N/A Requesting Data...</v>
      </c>
      <c r="F1573" t="str">
        <f>_xll.BDP("691106LY Muni","DUR_ADJ_MID")</f>
        <v>#N/A Requesting Data...</v>
      </c>
      <c r="G1573" t="str">
        <f>_xll.BDP("691106LY Muni","SPREAD_AT_ISSUANCE_TO_WORST")</f>
        <v>#N/A Requesting Data...</v>
      </c>
      <c r="H1573" t="str">
        <f>_xll.BDP("691106LY Muni","ISSUE_DT")</f>
        <v>#N/A Requesting Data...</v>
      </c>
      <c r="I1573" t="str">
        <f>_xll.BDS("691106LY Muni","MUNI_PURPOSE_SCHED", "aggregate=y")</f>
        <v>#N/A Requesting Data...</v>
      </c>
      <c r="J1573" t="str">
        <f>_xll.BDP("691106LY Muni","CPN")</f>
        <v>#N/A Requesting Data...</v>
      </c>
      <c r="K1573" t="str">
        <f>_xll.BDP("691106LY Muni","MATURITY")</f>
        <v>#N/A Requesting Data...</v>
      </c>
      <c r="L1573">
        <v>1635000</v>
      </c>
      <c r="M1573" t="str">
        <f>_xll.BDP("691106LY Muni","YIELD_ON_ISSUE_DATE")</f>
        <v>#N/A Requesting Data...</v>
      </c>
      <c r="N1573" t="str">
        <f>_xll.BDP("691106LY Muni","YTW_SPREAD_TO_MATURITY_AT_ISSU")</f>
        <v>#N/A Requesting Data...</v>
      </c>
      <c r="O1573" t="str">
        <f>_xll.BDP("691106LY Muni","BVAL_MID_YTM")</f>
        <v>#N/A Requesting Data...</v>
      </c>
      <c r="P1573" t="str">
        <f>_xll.BDP("691106LY Muni","MUNI_TAX_PROV")</f>
        <v>#N/A Requesting Data...</v>
      </c>
      <c r="Q1573" t="str">
        <f>_xll.BDP("691106LY Muni","MUNI_FED_TAX")</f>
        <v>#N/A Requesting Data...</v>
      </c>
      <c r="R1573" t="str">
        <f>_xll.BDP("691106LY Muni","MUNI_MSRB_VOLUME")</f>
        <v>#N/A Requesting Data...</v>
      </c>
      <c r="S1573" t="str">
        <f>_xll.BDP("691106LY Muni","BB_COMPOSITE")</f>
        <v>#N/A Requesting Data...</v>
      </c>
      <c r="T1573" t="str">
        <f>_xll.BDP("691106LY Muni","LQA_LIQUIDITY_SCORE")</f>
        <v>#N/A Requesting Data...</v>
      </c>
    </row>
    <row r="1574" spans="1:20" x14ac:dyDescent="0.25">
      <c r="A1574" t="str">
        <f>_xll.BDP("67919PNW Muni","ID_CUSIP")</f>
        <v>#N/A Requesting Data...</v>
      </c>
      <c r="B1574" t="s">
        <v>352</v>
      </c>
      <c r="C1574" t="str">
        <f>_xll.BDP("67919PNW Muni","INSURANCE_STATUS")</f>
        <v>#N/A Requesting Data...</v>
      </c>
      <c r="D1574" t="str">
        <f>_xll.BDP("67919PNW Muni","STATE_CODE")</f>
        <v>#N/A Requesting Data...</v>
      </c>
      <c r="E1574" t="str">
        <f>_xll.BDP("67919PNW Muni","COUNTY_LOCATION_ISSUER")</f>
        <v>#N/A Requesting Data...</v>
      </c>
      <c r="F1574" t="str">
        <f>_xll.BDP("67919PNW Muni","DUR_ADJ_MID")</f>
        <v>#N/A Requesting Data...</v>
      </c>
      <c r="G1574" t="str">
        <f>_xll.BDP("67919PNW Muni","SPREAD_AT_ISSUANCE_TO_WORST")</f>
        <v>#N/A Requesting Data...</v>
      </c>
      <c r="H1574" t="str">
        <f>_xll.BDP("67919PNW Muni","ISSUE_DT")</f>
        <v>#N/A Requesting Data...</v>
      </c>
      <c r="I1574" t="str">
        <f>_xll.BDS("67919PNW Muni","MUNI_PURPOSE_SCHED", "aggregate=y")</f>
        <v>#N/A Requesting Data...</v>
      </c>
      <c r="J1574" t="str">
        <f>_xll.BDP("67919PNW Muni","CPN")</f>
        <v>#N/A Requesting Data...</v>
      </c>
      <c r="K1574" t="str">
        <f>_xll.BDP("67919PNW Muni","MATURITY")</f>
        <v>#N/A Requesting Data...</v>
      </c>
      <c r="L1574">
        <v>9050000</v>
      </c>
      <c r="M1574" t="str">
        <f>_xll.BDP("67919PNW Muni","YIELD_ON_ISSUE_DATE")</f>
        <v>#N/A Requesting Data...</v>
      </c>
      <c r="N1574" t="str">
        <f>_xll.BDP("67919PNW Muni","YTW_SPREAD_TO_MATURITY_AT_ISSU")</f>
        <v>#N/A Requesting Data...</v>
      </c>
      <c r="O1574" t="str">
        <f>_xll.BDP("67919PNW Muni","BVAL_MID_YTM")</f>
        <v>#N/A Requesting Data...</v>
      </c>
      <c r="P1574" t="str">
        <f>_xll.BDP("67919PNW Muni","MUNI_TAX_PROV")</f>
        <v>#N/A Requesting Data...</v>
      </c>
      <c r="Q1574" t="str">
        <f>_xll.BDP("67919PNW Muni","MUNI_FED_TAX")</f>
        <v>#N/A Requesting Data...</v>
      </c>
      <c r="R1574" t="str">
        <f>_xll.BDP("67919PNW Muni","MUNI_MSRB_VOLUME")</f>
        <v>#N/A Requesting Data...</v>
      </c>
      <c r="S1574" t="str">
        <f>_xll.BDP("67919PNW Muni","BB_COMPOSITE")</f>
        <v>#N/A Requesting Data...</v>
      </c>
      <c r="T1574" t="str">
        <f>_xll.BDP("67919PNW Muni","LQA_LIQUIDITY_SCORE")</f>
        <v>#N/A Requesting Data...</v>
      </c>
    </row>
    <row r="1575" spans="1:20" x14ac:dyDescent="0.25">
      <c r="A1575" t="str">
        <f>_xll.BDP("67919PNX Muni","ID_CUSIP")</f>
        <v>#N/A Requesting Data...</v>
      </c>
      <c r="B1575" t="s">
        <v>352</v>
      </c>
      <c r="C1575" t="str">
        <f>_xll.BDP("67919PNX Muni","INSURANCE_STATUS")</f>
        <v>#N/A Requesting Data...</v>
      </c>
      <c r="D1575" t="str">
        <f>_xll.BDP("67919PNX Muni","STATE_CODE")</f>
        <v>#N/A Requesting Data...</v>
      </c>
      <c r="E1575" t="str">
        <f>_xll.BDP("67919PNX Muni","COUNTY_LOCATION_ISSUER")</f>
        <v>#N/A Requesting Data...</v>
      </c>
      <c r="F1575" t="str">
        <f>_xll.BDP("67919PNX Muni","DUR_ADJ_MID")</f>
        <v>#N/A Requesting Data...</v>
      </c>
      <c r="G1575" t="str">
        <f>_xll.BDP("67919PNX Muni","SPREAD_AT_ISSUANCE_TO_WORST")</f>
        <v>#N/A Requesting Data...</v>
      </c>
      <c r="H1575" t="str">
        <f>_xll.BDP("67919PNX Muni","ISSUE_DT")</f>
        <v>#N/A Requesting Data...</v>
      </c>
      <c r="I1575" t="str">
        <f>_xll.BDS("67919PNX Muni","MUNI_PURPOSE_SCHED", "aggregate=y")</f>
        <v>#N/A Requesting Data...</v>
      </c>
      <c r="J1575" t="str">
        <f>_xll.BDP("67919PNX Muni","CPN")</f>
        <v>#N/A Requesting Data...</v>
      </c>
      <c r="K1575" t="str">
        <f>_xll.BDP("67919PNX Muni","MATURITY")</f>
        <v>#N/A Requesting Data...</v>
      </c>
      <c r="L1575">
        <v>5950000</v>
      </c>
      <c r="M1575" t="str">
        <f>_xll.BDP("67919PNX Muni","YIELD_ON_ISSUE_DATE")</f>
        <v>#N/A Requesting Data...</v>
      </c>
      <c r="N1575" t="str">
        <f>_xll.BDP("67919PNX Muni","YTW_SPREAD_TO_MATURITY_AT_ISSU")</f>
        <v>#N/A Requesting Data...</v>
      </c>
      <c r="O1575" t="str">
        <f>_xll.BDP("67919PNX Muni","BVAL_MID_YTM")</f>
        <v>#N/A Requesting Data...</v>
      </c>
      <c r="P1575" t="str">
        <f>_xll.BDP("67919PNX Muni","MUNI_TAX_PROV")</f>
        <v>#N/A Requesting Data...</v>
      </c>
      <c r="Q1575" t="str">
        <f>_xll.BDP("67919PNX Muni","MUNI_FED_TAX")</f>
        <v>#N/A Requesting Data...</v>
      </c>
      <c r="R1575" t="str">
        <f>_xll.BDP("67919PNX Muni","MUNI_MSRB_VOLUME")</f>
        <v>#N/A Requesting Data...</v>
      </c>
      <c r="S1575" t="str">
        <f>_xll.BDP("67919PNX Muni","BB_COMPOSITE")</f>
        <v>#N/A Requesting Data...</v>
      </c>
      <c r="T1575" t="str">
        <f>_xll.BDP("67919PNX Muni","LQA_LIQUIDITY_SCORE")</f>
        <v>#N/A Requesting Data...</v>
      </c>
    </row>
    <row r="1576" spans="1:20" x14ac:dyDescent="0.25">
      <c r="A1576" t="str">
        <f>_xll.BDP("717001TJ Muni","ID_CUSIP")</f>
        <v>#N/A Requesting Data...</v>
      </c>
      <c r="B1576" t="s">
        <v>390</v>
      </c>
      <c r="C1576" t="str">
        <f>_xll.BDP("717001TJ Muni","INSURANCE_STATUS")</f>
        <v>#N/A Requesting Data...</v>
      </c>
      <c r="D1576" t="str">
        <f>_xll.BDP("717001TJ Muni","STATE_CODE")</f>
        <v>#N/A Requesting Data...</v>
      </c>
      <c r="E1576" t="str">
        <f>_xll.BDP("717001TJ Muni","COUNTY_LOCATION_ISSUER")</f>
        <v>#N/A Requesting Data...</v>
      </c>
      <c r="F1576" t="str">
        <f>_xll.BDP("717001TJ Muni","DUR_ADJ_MID")</f>
        <v>#N/A Requesting Data...</v>
      </c>
      <c r="G1576" t="str">
        <f>_xll.BDP("717001TJ Muni","SPREAD_AT_ISSUANCE_TO_WORST")</f>
        <v>#N/A Requesting Data...</v>
      </c>
      <c r="H1576" t="str">
        <f>_xll.BDP("717001TJ Muni","ISSUE_DT")</f>
        <v>#N/A Requesting Data...</v>
      </c>
      <c r="I1576" t="str">
        <f>_xll.BDS("717001TJ Muni","MUNI_PURPOSE_SCHED", "aggregate=y")</f>
        <v>#N/A Requesting Data...</v>
      </c>
      <c r="J1576" t="str">
        <f>_xll.BDP("717001TJ Muni","CPN")</f>
        <v>#N/A Requesting Data...</v>
      </c>
      <c r="K1576" t="str">
        <f>_xll.BDP("717001TJ Muni","MATURITY")</f>
        <v>#N/A Requesting Data...</v>
      </c>
      <c r="L1576">
        <v>60000</v>
      </c>
      <c r="M1576" t="str">
        <f>_xll.BDP("717001TJ Muni","YIELD_ON_ISSUE_DATE")</f>
        <v>#N/A Requesting Data...</v>
      </c>
      <c r="N1576" t="str">
        <f>_xll.BDP("717001TJ Muni","YTW_SPREAD_TO_MATURITY_AT_ISSU")</f>
        <v>#N/A Requesting Data...</v>
      </c>
      <c r="O1576" t="str">
        <f>_xll.BDP("717001TJ Muni","BVAL_MID_YTM")</f>
        <v>#N/A Requesting Data...</v>
      </c>
      <c r="P1576" t="str">
        <f>_xll.BDP("717001TJ Muni","MUNI_TAX_PROV")</f>
        <v>#N/A Requesting Data...</v>
      </c>
      <c r="Q1576" t="str">
        <f>_xll.BDP("717001TJ Muni","MUNI_FED_TAX")</f>
        <v>#N/A Requesting Data...</v>
      </c>
      <c r="R1576" t="str">
        <f>_xll.BDP("717001TJ Muni","MUNI_MSRB_VOLUME")</f>
        <v>#N/A Requesting Data...</v>
      </c>
      <c r="S1576" t="str">
        <f>_xll.BDP("717001TJ Muni","BB_COMPOSITE")</f>
        <v>#N/A Requesting Data...</v>
      </c>
      <c r="T1576" t="str">
        <f>_xll.BDP("717001TJ Muni","LQA_LIQUIDITY_SCORE")</f>
        <v>#N/A Requesting Data...</v>
      </c>
    </row>
    <row r="1577" spans="1:20" x14ac:dyDescent="0.25">
      <c r="A1577" t="str">
        <f>_xll.BDP("717001TL Muni","ID_CUSIP")</f>
        <v>#N/A Requesting Data...</v>
      </c>
      <c r="B1577" t="s">
        <v>390</v>
      </c>
      <c r="C1577" t="str">
        <f>_xll.BDP("717001TL Muni","INSURANCE_STATUS")</f>
        <v>#N/A Requesting Data...</v>
      </c>
      <c r="D1577" t="str">
        <f>_xll.BDP("717001TL Muni","STATE_CODE")</f>
        <v>#N/A Requesting Data...</v>
      </c>
      <c r="E1577" t="str">
        <f>_xll.BDP("717001TL Muni","COUNTY_LOCATION_ISSUER")</f>
        <v>#N/A Requesting Data...</v>
      </c>
      <c r="F1577" t="str">
        <f>_xll.BDP("717001TL Muni","DUR_ADJ_MID")</f>
        <v>#N/A Requesting Data...</v>
      </c>
      <c r="G1577" t="str">
        <f>_xll.BDP("717001TL Muni","SPREAD_AT_ISSUANCE_TO_WORST")</f>
        <v>#N/A Requesting Data...</v>
      </c>
      <c r="H1577" t="str">
        <f>_xll.BDP("717001TL Muni","ISSUE_DT")</f>
        <v>#N/A Requesting Data...</v>
      </c>
      <c r="I1577" t="str">
        <f>_xll.BDS("717001TL Muni","MUNI_PURPOSE_SCHED", "aggregate=y")</f>
        <v>#N/A Requesting Data...</v>
      </c>
      <c r="J1577" t="str">
        <f>_xll.BDP("717001TL Muni","CPN")</f>
        <v>#N/A Requesting Data...</v>
      </c>
      <c r="K1577" t="str">
        <f>_xll.BDP("717001TL Muni","MATURITY")</f>
        <v>#N/A Requesting Data...</v>
      </c>
      <c r="L1577">
        <v>60000</v>
      </c>
      <c r="M1577" t="str">
        <f>_xll.BDP("717001TL Muni","YIELD_ON_ISSUE_DATE")</f>
        <v>#N/A Requesting Data...</v>
      </c>
      <c r="N1577" t="str">
        <f>_xll.BDP("717001TL Muni","YTW_SPREAD_TO_MATURITY_AT_ISSU")</f>
        <v>#N/A Requesting Data...</v>
      </c>
      <c r="O1577" t="str">
        <f>_xll.BDP("717001TL Muni","BVAL_MID_YTM")</f>
        <v>#N/A Requesting Data...</v>
      </c>
      <c r="P1577" t="str">
        <f>_xll.BDP("717001TL Muni","MUNI_TAX_PROV")</f>
        <v>#N/A Requesting Data...</v>
      </c>
      <c r="Q1577" t="str">
        <f>_xll.BDP("717001TL Muni","MUNI_FED_TAX")</f>
        <v>#N/A Requesting Data...</v>
      </c>
      <c r="R1577" t="str">
        <f>_xll.BDP("717001TL Muni","MUNI_MSRB_VOLUME")</f>
        <v>#N/A Requesting Data...</v>
      </c>
      <c r="S1577" t="str">
        <f>_xll.BDP("717001TL Muni","BB_COMPOSITE")</f>
        <v>#N/A Requesting Data...</v>
      </c>
      <c r="T1577" t="str">
        <f>_xll.BDP("717001TL Muni","LQA_LIQUIDITY_SCORE")</f>
        <v>#N/A Requesting Data...</v>
      </c>
    </row>
    <row r="1578" spans="1:20" x14ac:dyDescent="0.25">
      <c r="A1578" t="str">
        <f>_xll.BDP("717001TN Muni","ID_CUSIP")</f>
        <v>#N/A Requesting Data...</v>
      </c>
      <c r="B1578" t="s">
        <v>390</v>
      </c>
      <c r="C1578" t="str">
        <f>_xll.BDP("717001TN Muni","INSURANCE_STATUS")</f>
        <v>#N/A Requesting Data...</v>
      </c>
      <c r="D1578" t="str">
        <f>_xll.BDP("717001TN Muni","STATE_CODE")</f>
        <v>#N/A Requesting Data...</v>
      </c>
      <c r="E1578" t="str">
        <f>_xll.BDP("717001TN Muni","COUNTY_LOCATION_ISSUER")</f>
        <v>#N/A Requesting Data...</v>
      </c>
      <c r="F1578" t="str">
        <f>_xll.BDP("717001TN Muni","DUR_ADJ_MID")</f>
        <v>#N/A Requesting Data...</v>
      </c>
      <c r="G1578" t="str">
        <f>_xll.BDP("717001TN Muni","SPREAD_AT_ISSUANCE_TO_WORST")</f>
        <v>#N/A Requesting Data...</v>
      </c>
      <c r="H1578" t="str">
        <f>_xll.BDP("717001TN Muni","ISSUE_DT")</f>
        <v>#N/A Requesting Data...</v>
      </c>
      <c r="I1578" t="str">
        <f>_xll.BDS("717001TN Muni","MUNI_PURPOSE_SCHED", "aggregate=y")</f>
        <v>#N/A Requesting Data...</v>
      </c>
      <c r="J1578" t="str">
        <f>_xll.BDP("717001TN Muni","CPN")</f>
        <v>#N/A Requesting Data...</v>
      </c>
      <c r="K1578" t="str">
        <f>_xll.BDP("717001TN Muni","MATURITY")</f>
        <v>#N/A Requesting Data...</v>
      </c>
      <c r="L1578">
        <v>65000</v>
      </c>
      <c r="M1578" t="str">
        <f>_xll.BDP("717001TN Muni","YIELD_ON_ISSUE_DATE")</f>
        <v>#N/A Requesting Data...</v>
      </c>
      <c r="N1578" t="str">
        <f>_xll.BDP("717001TN Muni","YTW_SPREAD_TO_MATURITY_AT_ISSU")</f>
        <v>#N/A Requesting Data...</v>
      </c>
      <c r="O1578" t="str">
        <f>_xll.BDP("717001TN Muni","BVAL_MID_YTM")</f>
        <v>#N/A Requesting Data...</v>
      </c>
      <c r="P1578" t="str">
        <f>_xll.BDP("717001TN Muni","MUNI_TAX_PROV")</f>
        <v>#N/A Requesting Data...</v>
      </c>
      <c r="Q1578" t="str">
        <f>_xll.BDP("717001TN Muni","MUNI_FED_TAX")</f>
        <v>#N/A Requesting Data...</v>
      </c>
      <c r="R1578" t="str">
        <f>_xll.BDP("717001TN Muni","MUNI_MSRB_VOLUME")</f>
        <v>#N/A Requesting Data...</v>
      </c>
      <c r="S1578" t="str">
        <f>_xll.BDP("717001TN Muni","BB_COMPOSITE")</f>
        <v>#N/A Requesting Data...</v>
      </c>
      <c r="T1578" t="str">
        <f>_xll.BDP("717001TN Muni","LQA_LIQUIDITY_SCORE")</f>
        <v>#N/A Requesting Data...</v>
      </c>
    </row>
    <row r="1579" spans="1:20" x14ac:dyDescent="0.25">
      <c r="A1579" t="str">
        <f>_xll.BDP("656009MZ Muni","ID_CUSIP")</f>
        <v>#N/A Requesting Data...</v>
      </c>
      <c r="B1579" t="s">
        <v>386</v>
      </c>
      <c r="C1579" t="str">
        <f>_xll.BDP("656009MZ Muni","INSURANCE_STATUS")</f>
        <v>#N/A Requesting Data...</v>
      </c>
      <c r="D1579" t="str">
        <f>_xll.BDP("656009MZ Muni","STATE_CODE")</f>
        <v>#N/A Requesting Data...</v>
      </c>
      <c r="E1579" t="str">
        <f>_xll.BDP("656009MZ Muni","COUNTY_LOCATION_ISSUER")</f>
        <v>#N/A Requesting Data...</v>
      </c>
      <c r="F1579" t="str">
        <f>_xll.BDP("656009MZ Muni","DUR_ADJ_MID")</f>
        <v>#N/A Requesting Data...</v>
      </c>
      <c r="G1579" t="str">
        <f>_xll.BDP("656009MZ Muni","SPREAD_AT_ISSUANCE_TO_WORST")</f>
        <v>#N/A Requesting Data...</v>
      </c>
      <c r="H1579" t="str">
        <f>_xll.BDP("656009MZ Muni","ISSUE_DT")</f>
        <v>#N/A Requesting Data...</v>
      </c>
      <c r="I1579" t="str">
        <f>_xll.BDS("656009MZ Muni","MUNI_PURPOSE_SCHED", "aggregate=y")</f>
        <v>#N/A Requesting Data...</v>
      </c>
      <c r="J1579" t="str">
        <f>_xll.BDP("656009MZ Muni","CPN")</f>
        <v>#N/A Requesting Data...</v>
      </c>
      <c r="K1579" t="str">
        <f>_xll.BDP("656009MZ Muni","MATURITY")</f>
        <v>#N/A Requesting Data...</v>
      </c>
      <c r="L1579">
        <v>650000</v>
      </c>
      <c r="M1579" t="str">
        <f>_xll.BDP("656009MZ Muni","YIELD_ON_ISSUE_DATE")</f>
        <v>#N/A Requesting Data...</v>
      </c>
      <c r="N1579" t="str">
        <f>_xll.BDP("656009MZ Muni","YTW_SPREAD_TO_MATURITY_AT_ISSU")</f>
        <v>#N/A Requesting Data...</v>
      </c>
      <c r="O1579" t="str">
        <f>_xll.BDP("656009MZ Muni","BVAL_MID_YTM")</f>
        <v>#N/A Requesting Data...</v>
      </c>
      <c r="P1579" t="str">
        <f>_xll.BDP("656009MZ Muni","MUNI_TAX_PROV")</f>
        <v>#N/A Requesting Data...</v>
      </c>
      <c r="Q1579" t="str">
        <f>_xll.BDP("656009MZ Muni","MUNI_FED_TAX")</f>
        <v>#N/A Requesting Data...</v>
      </c>
      <c r="R1579" t="str">
        <f>_xll.BDP("656009MZ Muni","MUNI_MSRB_VOLUME")</f>
        <v>#N/A Requesting Data...</v>
      </c>
      <c r="S1579" t="str">
        <f>_xll.BDP("656009MZ Muni","BB_COMPOSITE")</f>
        <v>#N/A Requesting Data...</v>
      </c>
      <c r="T1579" t="str">
        <f>_xll.BDP("656009MZ Muni","LQA_LIQUIDITY_SCORE")</f>
        <v>#N/A Requesting Data...</v>
      </c>
    </row>
    <row r="1580" spans="1:20" x14ac:dyDescent="0.25">
      <c r="A1580" t="str">
        <f>_xll.BDP("657339F3 Muni","ID_CUSIP")</f>
        <v>#N/A Requesting Data...</v>
      </c>
      <c r="B1580" t="s">
        <v>387</v>
      </c>
      <c r="C1580" t="str">
        <f>_xll.BDP("657339F3 Muni","INSURANCE_STATUS")</f>
        <v>#N/A Requesting Data...</v>
      </c>
      <c r="D1580" t="str">
        <f>_xll.BDP("657339F3 Muni","STATE_CODE")</f>
        <v>#N/A Requesting Data...</v>
      </c>
      <c r="E1580" t="str">
        <f>_xll.BDP("657339F3 Muni","COUNTY_LOCATION_ISSUER")</f>
        <v>#N/A Requesting Data...</v>
      </c>
      <c r="F1580" t="str">
        <f>_xll.BDP("657339F3 Muni","DUR_ADJ_MID")</f>
        <v>#N/A Requesting Data...</v>
      </c>
      <c r="G1580" t="str">
        <f>_xll.BDP("657339F3 Muni","SPREAD_AT_ISSUANCE_TO_WORST")</f>
        <v>#N/A Requesting Data...</v>
      </c>
      <c r="H1580" t="str">
        <f>_xll.BDP("657339F3 Muni","ISSUE_DT")</f>
        <v>#N/A Requesting Data...</v>
      </c>
      <c r="I1580" t="str">
        <f>_xll.BDS("657339F3 Muni","MUNI_PURPOSE_SCHED", "aggregate=y")</f>
        <v>#N/A Requesting Data...</v>
      </c>
      <c r="J1580" t="str">
        <f>_xll.BDP("657339F3 Muni","CPN")</f>
        <v>#N/A Requesting Data...</v>
      </c>
      <c r="K1580" t="str">
        <f>_xll.BDP("657339F3 Muni","MATURITY")</f>
        <v>#N/A Requesting Data...</v>
      </c>
      <c r="L1580">
        <v>315000</v>
      </c>
      <c r="M1580" t="str">
        <f>_xll.BDP("657339F3 Muni","YIELD_ON_ISSUE_DATE")</f>
        <v>#N/A Requesting Data...</v>
      </c>
      <c r="N1580" t="str">
        <f>_xll.BDP("657339F3 Muni","YTW_SPREAD_TO_MATURITY_AT_ISSU")</f>
        <v>#N/A Requesting Data...</v>
      </c>
      <c r="O1580" t="str">
        <f>_xll.BDP("657339F3 Muni","BVAL_MID_YTM")</f>
        <v>#N/A Requesting Data...</v>
      </c>
      <c r="P1580" t="str">
        <f>_xll.BDP("657339F3 Muni","MUNI_TAX_PROV")</f>
        <v>#N/A Requesting Data...</v>
      </c>
      <c r="Q1580" t="str">
        <f>_xll.BDP("657339F3 Muni","MUNI_FED_TAX")</f>
        <v>#N/A Requesting Data...</v>
      </c>
      <c r="R1580" t="str">
        <f>_xll.BDP("657339F3 Muni","MUNI_MSRB_VOLUME")</f>
        <v>#N/A Requesting Data...</v>
      </c>
      <c r="S1580" t="str">
        <f>_xll.BDP("657339F3 Muni","BB_COMPOSITE")</f>
        <v>#N/A Requesting Data...</v>
      </c>
      <c r="T1580" t="str">
        <f>_xll.BDP("657339F3 Muni","LQA_LIQUIDITY_SCORE")</f>
        <v>#N/A Requesting Data...</v>
      </c>
    </row>
    <row r="1581" spans="1:20" x14ac:dyDescent="0.25">
      <c r="A1581" t="str">
        <f>_xll.BDP("717001TK Muni","ID_CUSIP")</f>
        <v>#N/A Requesting Data...</v>
      </c>
      <c r="B1581" t="s">
        <v>390</v>
      </c>
      <c r="C1581" t="str">
        <f>_xll.BDP("717001TK Muni","INSURANCE_STATUS")</f>
        <v>#N/A Requesting Data...</v>
      </c>
      <c r="D1581" t="str">
        <f>_xll.BDP("717001TK Muni","STATE_CODE")</f>
        <v>#N/A Requesting Data...</v>
      </c>
      <c r="E1581" t="str">
        <f>_xll.BDP("717001TK Muni","COUNTY_LOCATION_ISSUER")</f>
        <v>#N/A Requesting Data...</v>
      </c>
      <c r="F1581" t="str">
        <f>_xll.BDP("717001TK Muni","DUR_ADJ_MID")</f>
        <v>#N/A Requesting Data...</v>
      </c>
      <c r="G1581" t="str">
        <f>_xll.BDP("717001TK Muni","SPREAD_AT_ISSUANCE_TO_WORST")</f>
        <v>#N/A Requesting Data...</v>
      </c>
      <c r="H1581" t="str">
        <f>_xll.BDP("717001TK Muni","ISSUE_DT")</f>
        <v>#N/A Requesting Data...</v>
      </c>
      <c r="I1581" t="str">
        <f>_xll.BDS("717001TK Muni","MUNI_PURPOSE_SCHED", "aggregate=y")</f>
        <v>#N/A Requesting Data...</v>
      </c>
      <c r="J1581" t="str">
        <f>_xll.BDP("717001TK Muni","CPN")</f>
        <v>#N/A Requesting Data...</v>
      </c>
      <c r="K1581" t="str">
        <f>_xll.BDP("717001TK Muni","MATURITY")</f>
        <v>#N/A Requesting Data...</v>
      </c>
      <c r="L1581">
        <v>60000</v>
      </c>
      <c r="M1581" t="str">
        <f>_xll.BDP("717001TK Muni","YIELD_ON_ISSUE_DATE")</f>
        <v>#N/A Requesting Data...</v>
      </c>
      <c r="N1581" t="str">
        <f>_xll.BDP("717001TK Muni","YTW_SPREAD_TO_MATURITY_AT_ISSU")</f>
        <v>#N/A Requesting Data...</v>
      </c>
      <c r="O1581" t="str">
        <f>_xll.BDP("717001TK Muni","BVAL_MID_YTM")</f>
        <v>#N/A Requesting Data...</v>
      </c>
      <c r="P1581" t="str">
        <f>_xll.BDP("717001TK Muni","MUNI_TAX_PROV")</f>
        <v>#N/A Requesting Data...</v>
      </c>
      <c r="Q1581" t="str">
        <f>_xll.BDP("717001TK Muni","MUNI_FED_TAX")</f>
        <v>#N/A Requesting Data...</v>
      </c>
      <c r="R1581" t="str">
        <f>_xll.BDP("717001TK Muni","MUNI_MSRB_VOLUME")</f>
        <v>#N/A Requesting Data...</v>
      </c>
      <c r="S1581" t="str">
        <f>_xll.BDP("717001TK Muni","BB_COMPOSITE")</f>
        <v>#N/A Requesting Data...</v>
      </c>
      <c r="T1581" t="str">
        <f>_xll.BDP("717001TK Muni","LQA_LIQUIDITY_SCORE")</f>
        <v>#N/A Requesting Data...</v>
      </c>
    </row>
    <row r="1582" spans="1:20" x14ac:dyDescent="0.25">
      <c r="A1582" t="str">
        <f>_xll.BDP("717001TM Muni","ID_CUSIP")</f>
        <v>#N/A Requesting Data...</v>
      </c>
      <c r="B1582" t="s">
        <v>390</v>
      </c>
      <c r="C1582" t="str">
        <f>_xll.BDP("717001TM Muni","INSURANCE_STATUS")</f>
        <v>#N/A Requesting Data...</v>
      </c>
      <c r="D1582" t="str">
        <f>_xll.BDP("717001TM Muni","STATE_CODE")</f>
        <v>#N/A Requesting Data...</v>
      </c>
      <c r="E1582" t="str">
        <f>_xll.BDP("717001TM Muni","COUNTY_LOCATION_ISSUER")</f>
        <v>#N/A Requesting Data...</v>
      </c>
      <c r="F1582" t="str">
        <f>_xll.BDP("717001TM Muni","DUR_ADJ_MID")</f>
        <v>#N/A Requesting Data...</v>
      </c>
      <c r="G1582" t="str">
        <f>_xll.BDP("717001TM Muni","SPREAD_AT_ISSUANCE_TO_WORST")</f>
        <v>#N/A Requesting Data...</v>
      </c>
      <c r="H1582" t="str">
        <f>_xll.BDP("717001TM Muni","ISSUE_DT")</f>
        <v>#N/A Requesting Data...</v>
      </c>
      <c r="I1582" t="str">
        <f>_xll.BDS("717001TM Muni","MUNI_PURPOSE_SCHED", "aggregate=y")</f>
        <v>#N/A Requesting Data...</v>
      </c>
      <c r="J1582" t="str">
        <f>_xll.BDP("717001TM Muni","CPN")</f>
        <v>#N/A Requesting Data...</v>
      </c>
      <c r="K1582" t="str">
        <f>_xll.BDP("717001TM Muni","MATURITY")</f>
        <v>#N/A Requesting Data...</v>
      </c>
      <c r="L1582">
        <v>65000</v>
      </c>
      <c r="M1582" t="str">
        <f>_xll.BDP("717001TM Muni","YIELD_ON_ISSUE_DATE")</f>
        <v>#N/A Requesting Data...</v>
      </c>
      <c r="N1582" t="str">
        <f>_xll.BDP("717001TM Muni","YTW_SPREAD_TO_MATURITY_AT_ISSU")</f>
        <v>#N/A Requesting Data...</v>
      </c>
      <c r="O1582" t="str">
        <f>_xll.BDP("717001TM Muni","BVAL_MID_YTM")</f>
        <v>#N/A Requesting Data...</v>
      </c>
      <c r="P1582" t="str">
        <f>_xll.BDP("717001TM Muni","MUNI_TAX_PROV")</f>
        <v>#N/A Requesting Data...</v>
      </c>
      <c r="Q1582" t="str">
        <f>_xll.BDP("717001TM Muni","MUNI_FED_TAX")</f>
        <v>#N/A Requesting Data...</v>
      </c>
      <c r="R1582" t="str">
        <f>_xll.BDP("717001TM Muni","MUNI_MSRB_VOLUME")</f>
        <v>#N/A Requesting Data...</v>
      </c>
      <c r="S1582" t="str">
        <f>_xll.BDP("717001TM Muni","BB_COMPOSITE")</f>
        <v>#N/A Requesting Data...</v>
      </c>
      <c r="T1582" t="str">
        <f>_xll.BDP("717001TM Muni","LQA_LIQUIDITY_SCORE")</f>
        <v>#N/A Requesting Data...</v>
      </c>
    </row>
    <row r="1583" spans="1:20" x14ac:dyDescent="0.25">
      <c r="A1583" t="str">
        <f>_xll.BDP("656009MY Muni","ID_CUSIP")</f>
        <v>#N/A Requesting Data...</v>
      </c>
      <c r="B1583" t="s">
        <v>386</v>
      </c>
      <c r="C1583" t="str">
        <f>_xll.BDP("656009MY Muni","INSURANCE_STATUS")</f>
        <v>#N/A Requesting Data...</v>
      </c>
      <c r="D1583" t="str">
        <f>_xll.BDP("656009MY Muni","STATE_CODE")</f>
        <v>#N/A Requesting Data...</v>
      </c>
      <c r="E1583" t="str">
        <f>_xll.BDP("656009MY Muni","COUNTY_LOCATION_ISSUER")</f>
        <v>#N/A Requesting Data...</v>
      </c>
      <c r="F1583" t="str">
        <f>_xll.BDP("656009MY Muni","DUR_ADJ_MID")</f>
        <v>#N/A Requesting Data...</v>
      </c>
      <c r="G1583" t="str">
        <f>_xll.BDP("656009MY Muni","SPREAD_AT_ISSUANCE_TO_WORST")</f>
        <v>#N/A Requesting Data...</v>
      </c>
      <c r="H1583" t="str">
        <f>_xll.BDP("656009MY Muni","ISSUE_DT")</f>
        <v>#N/A Requesting Data...</v>
      </c>
      <c r="I1583" t="str">
        <f>_xll.BDS("656009MY Muni","MUNI_PURPOSE_SCHED", "aggregate=y")</f>
        <v>#N/A Requesting Data...</v>
      </c>
      <c r="J1583" t="str">
        <f>_xll.BDP("656009MY Muni","CPN")</f>
        <v>#N/A Requesting Data...</v>
      </c>
      <c r="K1583" t="str">
        <f>_xll.BDP("656009MY Muni","MATURITY")</f>
        <v>#N/A Requesting Data...</v>
      </c>
      <c r="L1583">
        <v>620000</v>
      </c>
      <c r="M1583" t="str">
        <f>_xll.BDP("656009MY Muni","YIELD_ON_ISSUE_DATE")</f>
        <v>#N/A Requesting Data...</v>
      </c>
      <c r="N1583" t="str">
        <f>_xll.BDP("656009MY Muni","YTW_SPREAD_TO_MATURITY_AT_ISSU")</f>
        <v>#N/A Requesting Data...</v>
      </c>
      <c r="O1583" t="str">
        <f>_xll.BDP("656009MY Muni","BVAL_MID_YTM")</f>
        <v>#N/A Requesting Data...</v>
      </c>
      <c r="P1583" t="str">
        <f>_xll.BDP("656009MY Muni","MUNI_TAX_PROV")</f>
        <v>#N/A Requesting Data...</v>
      </c>
      <c r="Q1583" t="str">
        <f>_xll.BDP("656009MY Muni","MUNI_FED_TAX")</f>
        <v>#N/A Requesting Data...</v>
      </c>
      <c r="R1583" t="str">
        <f>_xll.BDP("656009MY Muni","MUNI_MSRB_VOLUME")</f>
        <v>#N/A Requesting Data...</v>
      </c>
      <c r="S1583" t="str">
        <f>_xll.BDP("656009MY Muni","BB_COMPOSITE")</f>
        <v>#N/A Requesting Data...</v>
      </c>
      <c r="T1583" t="str">
        <f>_xll.BDP("656009MY Muni","LQA_LIQUIDITY_SCORE")</f>
        <v>#N/A Requesting Data...</v>
      </c>
    </row>
    <row r="1584" spans="1:20" x14ac:dyDescent="0.25">
      <c r="A1584" t="str">
        <f>_xll.BDP("654710SE Muni","ID_CUSIP")</f>
        <v>#N/A Requesting Data...</v>
      </c>
      <c r="B1584" t="s">
        <v>389</v>
      </c>
      <c r="C1584" t="str">
        <f>_xll.BDP("654710SE Muni","INSURANCE_STATUS")</f>
        <v>#N/A Requesting Data...</v>
      </c>
      <c r="D1584" t="str">
        <f>_xll.BDP("654710SE Muni","STATE_CODE")</f>
        <v>#N/A Requesting Data...</v>
      </c>
      <c r="E1584" t="str">
        <f>_xll.BDP("654710SE Muni","COUNTY_LOCATION_ISSUER")</f>
        <v>#N/A Requesting Data...</v>
      </c>
      <c r="F1584" t="str">
        <f>_xll.BDP("654710SE Muni","DUR_ADJ_MID")</f>
        <v>#N/A Requesting Data...</v>
      </c>
      <c r="G1584" t="str">
        <f>_xll.BDP("654710SE Muni","SPREAD_AT_ISSUANCE_TO_WORST")</f>
        <v>#N/A Requesting Data...</v>
      </c>
      <c r="H1584" t="str">
        <f>_xll.BDP("654710SE Muni","ISSUE_DT")</f>
        <v>#N/A Requesting Data...</v>
      </c>
      <c r="I1584" t="str">
        <f>_xll.BDS("654710SE Muni","MUNI_PURPOSE_SCHED", "aggregate=y")</f>
        <v>#N/A Requesting Data...</v>
      </c>
      <c r="J1584" t="str">
        <f>_xll.BDP("654710SE Muni","CPN")</f>
        <v>#N/A Requesting Data...</v>
      </c>
      <c r="K1584" t="str">
        <f>_xll.BDP("654710SE Muni","MATURITY")</f>
        <v>#N/A Requesting Data...</v>
      </c>
      <c r="L1584">
        <v>360000</v>
      </c>
      <c r="M1584" t="str">
        <f>_xll.BDP("654710SE Muni","YIELD_ON_ISSUE_DATE")</f>
        <v>#N/A Requesting Data...</v>
      </c>
      <c r="N1584" t="str">
        <f>_xll.BDP("654710SE Muni","YTW_SPREAD_TO_MATURITY_AT_ISSU")</f>
        <v>#N/A Requesting Data...</v>
      </c>
      <c r="O1584" t="str">
        <f>_xll.BDP("654710SE Muni","BVAL_MID_YTM")</f>
        <v>#N/A Requesting Data...</v>
      </c>
      <c r="P1584" t="str">
        <f>_xll.BDP("654710SE Muni","MUNI_TAX_PROV")</f>
        <v>#N/A Requesting Data...</v>
      </c>
      <c r="Q1584" t="str">
        <f>_xll.BDP("654710SE Muni","MUNI_FED_TAX")</f>
        <v>#N/A Requesting Data...</v>
      </c>
      <c r="R1584" t="str">
        <f>_xll.BDP("654710SE Muni","MUNI_MSRB_VOLUME")</f>
        <v>#N/A Requesting Data...</v>
      </c>
      <c r="S1584" t="str">
        <f>_xll.BDP("654710SE Muni","BB_COMPOSITE")</f>
        <v>#N/A Requesting Data...</v>
      </c>
      <c r="T1584" t="str">
        <f>_xll.BDP("654710SE Muni","LQA_LIQUIDITY_SCORE")</f>
        <v>#N/A Requesting Data...</v>
      </c>
    </row>
    <row r="1585" spans="1:20" x14ac:dyDescent="0.25">
      <c r="A1585" t="str">
        <f>_xll.BDP("654710SG Muni","ID_CUSIP")</f>
        <v>#N/A Requesting Data...</v>
      </c>
      <c r="B1585" t="s">
        <v>389</v>
      </c>
      <c r="C1585" t="str">
        <f>_xll.BDP("654710SG Muni","INSURANCE_STATUS")</f>
        <v>#N/A Requesting Data...</v>
      </c>
      <c r="D1585" t="str">
        <f>_xll.BDP("654710SG Muni","STATE_CODE")</f>
        <v>#N/A Requesting Data...</v>
      </c>
      <c r="E1585" t="str">
        <f>_xll.BDP("654710SG Muni","COUNTY_LOCATION_ISSUER")</f>
        <v>#N/A Requesting Data...</v>
      </c>
      <c r="F1585" t="str">
        <f>_xll.BDP("654710SG Muni","DUR_ADJ_MID")</f>
        <v>#N/A Requesting Data...</v>
      </c>
      <c r="G1585" t="str">
        <f>_xll.BDP("654710SG Muni","SPREAD_AT_ISSUANCE_TO_WORST")</f>
        <v>#N/A Requesting Data...</v>
      </c>
      <c r="H1585" t="str">
        <f>_xll.BDP("654710SG Muni","ISSUE_DT")</f>
        <v>#N/A Requesting Data...</v>
      </c>
      <c r="I1585" t="str">
        <f>_xll.BDS("654710SG Muni","MUNI_PURPOSE_SCHED", "aggregate=y")</f>
        <v>#N/A Requesting Data...</v>
      </c>
      <c r="J1585" t="str">
        <f>_xll.BDP("654710SG Muni","CPN")</f>
        <v>#N/A Requesting Data...</v>
      </c>
      <c r="K1585" t="str">
        <f>_xll.BDP("654710SG Muni","MATURITY")</f>
        <v>#N/A Requesting Data...</v>
      </c>
      <c r="L1585">
        <v>380000</v>
      </c>
      <c r="M1585" t="str">
        <f>_xll.BDP("654710SG Muni","YIELD_ON_ISSUE_DATE")</f>
        <v>#N/A Requesting Data...</v>
      </c>
      <c r="N1585" t="str">
        <f>_xll.BDP("654710SG Muni","YTW_SPREAD_TO_MATURITY_AT_ISSU")</f>
        <v>#N/A Requesting Data...</v>
      </c>
      <c r="O1585" t="str">
        <f>_xll.BDP("654710SG Muni","BVAL_MID_YTM")</f>
        <v>#N/A Requesting Data...</v>
      </c>
      <c r="P1585" t="str">
        <f>_xll.BDP("654710SG Muni","MUNI_TAX_PROV")</f>
        <v>#N/A Requesting Data...</v>
      </c>
      <c r="Q1585" t="str">
        <f>_xll.BDP("654710SG Muni","MUNI_FED_TAX")</f>
        <v>#N/A Requesting Data...</v>
      </c>
      <c r="R1585" t="str">
        <f>_xll.BDP("654710SG Muni","MUNI_MSRB_VOLUME")</f>
        <v>#N/A Requesting Data...</v>
      </c>
      <c r="S1585" t="str">
        <f>_xll.BDP("654710SG Muni","BB_COMPOSITE")</f>
        <v>#N/A Requesting Data...</v>
      </c>
      <c r="T1585" t="str">
        <f>_xll.BDP("654710SG Muni","LQA_LIQUIDITY_SCORE")</f>
        <v>#N/A Requesting Data...</v>
      </c>
    </row>
    <row r="1586" spans="1:20" x14ac:dyDescent="0.25">
      <c r="A1586" t="str">
        <f>_xll.BDP("691106LT Muni","ID_CUSIP")</f>
        <v>#N/A Requesting Data...</v>
      </c>
      <c r="B1586" t="s">
        <v>382</v>
      </c>
      <c r="C1586" t="str">
        <f>_xll.BDP("691106LT Muni","INSURANCE_STATUS")</f>
        <v>#N/A Requesting Data...</v>
      </c>
      <c r="D1586" t="str">
        <f>_xll.BDP("691106LT Muni","STATE_CODE")</f>
        <v>#N/A Requesting Data...</v>
      </c>
      <c r="E1586" t="str">
        <f>_xll.BDP("691106LT Muni","COUNTY_LOCATION_ISSUER")</f>
        <v>#N/A Requesting Data...</v>
      </c>
      <c r="F1586" t="str">
        <f>_xll.BDP("691106LT Muni","DUR_ADJ_MID")</f>
        <v>#N/A Requesting Data...</v>
      </c>
      <c r="G1586" t="str">
        <f>_xll.BDP("691106LT Muni","SPREAD_AT_ISSUANCE_TO_WORST")</f>
        <v>#N/A Requesting Data...</v>
      </c>
      <c r="H1586" t="str">
        <f>_xll.BDP("691106LT Muni","ISSUE_DT")</f>
        <v>#N/A Requesting Data...</v>
      </c>
      <c r="I1586" t="str">
        <f>_xll.BDS("691106LT Muni","MUNI_PURPOSE_SCHED", "aggregate=y")</f>
        <v>#N/A Requesting Data...</v>
      </c>
      <c r="J1586" t="str">
        <f>_xll.BDP("691106LT Muni","CPN")</f>
        <v>#N/A Requesting Data...</v>
      </c>
      <c r="K1586" t="str">
        <f>_xll.BDP("691106LT Muni","MATURITY")</f>
        <v>#N/A Requesting Data...</v>
      </c>
      <c r="L1586">
        <v>1075000</v>
      </c>
      <c r="M1586" t="str">
        <f>_xll.BDP("691106LT Muni","YIELD_ON_ISSUE_DATE")</f>
        <v>#N/A Requesting Data...</v>
      </c>
      <c r="N1586" t="str">
        <f>_xll.BDP("691106LT Muni","YTW_SPREAD_TO_MATURITY_AT_ISSU")</f>
        <v>#N/A Requesting Data...</v>
      </c>
      <c r="O1586" t="str">
        <f>_xll.BDP("691106LT Muni","BVAL_MID_YTM")</f>
        <v>#N/A Requesting Data...</v>
      </c>
      <c r="P1586" t="str">
        <f>_xll.BDP("691106LT Muni","MUNI_TAX_PROV")</f>
        <v>#N/A Requesting Data...</v>
      </c>
      <c r="Q1586" t="str">
        <f>_xll.BDP("691106LT Muni","MUNI_FED_TAX")</f>
        <v>#N/A Requesting Data...</v>
      </c>
      <c r="R1586" t="str">
        <f>_xll.BDP("691106LT Muni","MUNI_MSRB_VOLUME")</f>
        <v>#N/A Requesting Data...</v>
      </c>
      <c r="S1586" t="str">
        <f>_xll.BDP("691106LT Muni","BB_COMPOSITE")</f>
        <v>#N/A Requesting Data...</v>
      </c>
      <c r="T1586" t="str">
        <f>_xll.BDP("691106LT Muni","LQA_LIQUIDITY_SCORE")</f>
        <v>#N/A Requesting Data...</v>
      </c>
    </row>
    <row r="1587" spans="1:20" x14ac:dyDescent="0.25">
      <c r="A1587" t="str">
        <f>_xll.BDP("491207A8 Muni","ID_CUSIP")</f>
        <v>#N/A Requesting Data...</v>
      </c>
      <c r="B1587" t="s">
        <v>391</v>
      </c>
      <c r="C1587" t="str">
        <f>_xll.BDP("491207A8 Muni","INSURANCE_STATUS")</f>
        <v>#N/A Requesting Data...</v>
      </c>
      <c r="D1587" t="str">
        <f>_xll.BDP("491207A8 Muni","STATE_CODE")</f>
        <v>#N/A Requesting Data...</v>
      </c>
      <c r="E1587" t="str">
        <f>_xll.BDP("491207A8 Muni","COUNTY_LOCATION_ISSUER")</f>
        <v>#N/A Requesting Data...</v>
      </c>
      <c r="F1587" t="str">
        <f>_xll.BDP("491207A8 Muni","DUR_ADJ_MID")</f>
        <v>#N/A Requesting Data...</v>
      </c>
      <c r="G1587" t="str">
        <f>_xll.BDP("491207A8 Muni","SPREAD_AT_ISSUANCE_TO_WORST")</f>
        <v>#N/A Requesting Data...</v>
      </c>
      <c r="H1587" t="str">
        <f>_xll.BDP("491207A8 Muni","ISSUE_DT")</f>
        <v>#N/A Requesting Data...</v>
      </c>
      <c r="I1587" t="str">
        <f>_xll.BDS("491207A8 Muni","MUNI_PURPOSE_SCHED", "aggregate=y")</f>
        <v>#N/A Requesting Data...</v>
      </c>
      <c r="J1587" t="str">
        <f>_xll.BDP("491207A8 Muni","CPN")</f>
        <v>#N/A Requesting Data...</v>
      </c>
      <c r="K1587" t="str">
        <f>_xll.BDP("491207A8 Muni","MATURITY")</f>
        <v>#N/A Requesting Data...</v>
      </c>
      <c r="L1587">
        <v>255000</v>
      </c>
      <c r="M1587" t="str">
        <f>_xll.BDP("491207A8 Muni","YIELD_ON_ISSUE_DATE")</f>
        <v>#N/A Requesting Data...</v>
      </c>
      <c r="N1587" t="str">
        <f>_xll.BDP("491207A8 Muni","YTW_SPREAD_TO_MATURITY_AT_ISSU")</f>
        <v>#N/A Requesting Data...</v>
      </c>
      <c r="O1587" t="str">
        <f>_xll.BDP("491207A8 Muni","BVAL_MID_YTM")</f>
        <v>#N/A Requesting Data...</v>
      </c>
      <c r="P1587" t="str">
        <f>_xll.BDP("491207A8 Muni","MUNI_TAX_PROV")</f>
        <v>#N/A Requesting Data...</v>
      </c>
      <c r="Q1587" t="str">
        <f>_xll.BDP("491207A8 Muni","MUNI_FED_TAX")</f>
        <v>#N/A Requesting Data...</v>
      </c>
      <c r="R1587" t="str">
        <f>_xll.BDP("491207A8 Muni","MUNI_MSRB_VOLUME")</f>
        <v>#N/A Requesting Data...</v>
      </c>
      <c r="S1587" t="str">
        <f>_xll.BDP("491207A8 Muni","BB_COMPOSITE")</f>
        <v>#N/A Requesting Data...</v>
      </c>
      <c r="T1587" t="str">
        <f>_xll.BDP("491207A8 Muni","LQA_LIQUIDITY_SCORE")</f>
        <v>#N/A Requesting Data...</v>
      </c>
    </row>
    <row r="1588" spans="1:20" x14ac:dyDescent="0.25">
      <c r="A1588" t="str">
        <f>_xll.BDP("491207A9 Muni","ID_CUSIP")</f>
        <v>#N/A Requesting Data...</v>
      </c>
      <c r="B1588" t="s">
        <v>391</v>
      </c>
      <c r="C1588" t="str">
        <f>_xll.BDP("491207A9 Muni","INSURANCE_STATUS")</f>
        <v>#N/A Requesting Data...</v>
      </c>
      <c r="D1588" t="str">
        <f>_xll.BDP("491207A9 Muni","STATE_CODE")</f>
        <v>#N/A Requesting Data...</v>
      </c>
      <c r="E1588" t="str">
        <f>_xll.BDP("491207A9 Muni","COUNTY_LOCATION_ISSUER")</f>
        <v>#N/A Requesting Data...</v>
      </c>
      <c r="F1588" t="str">
        <f>_xll.BDP("491207A9 Muni","DUR_ADJ_MID")</f>
        <v>#N/A Requesting Data...</v>
      </c>
      <c r="G1588" t="str">
        <f>_xll.BDP("491207A9 Muni","SPREAD_AT_ISSUANCE_TO_WORST")</f>
        <v>#N/A Requesting Data...</v>
      </c>
      <c r="H1588" t="str">
        <f>_xll.BDP("491207A9 Muni","ISSUE_DT")</f>
        <v>#N/A Requesting Data...</v>
      </c>
      <c r="I1588" t="str">
        <f>_xll.BDS("491207A9 Muni","MUNI_PURPOSE_SCHED", "aggregate=y")</f>
        <v>#N/A Requesting Data...</v>
      </c>
      <c r="J1588" t="str">
        <f>_xll.BDP("491207A9 Muni","CPN")</f>
        <v>#N/A Requesting Data...</v>
      </c>
      <c r="K1588" t="str">
        <f>_xll.BDP("491207A9 Muni","MATURITY")</f>
        <v>#N/A Requesting Data...</v>
      </c>
      <c r="L1588">
        <v>265000</v>
      </c>
      <c r="M1588" t="str">
        <f>_xll.BDP("491207A9 Muni","YIELD_ON_ISSUE_DATE")</f>
        <v>#N/A Requesting Data...</v>
      </c>
      <c r="N1588" t="str">
        <f>_xll.BDP("491207A9 Muni","YTW_SPREAD_TO_MATURITY_AT_ISSU")</f>
        <v>#N/A Requesting Data...</v>
      </c>
      <c r="O1588" t="str">
        <f>_xll.BDP("491207A9 Muni","BVAL_MID_YTM")</f>
        <v>#N/A Requesting Data...</v>
      </c>
      <c r="P1588" t="str">
        <f>_xll.BDP("491207A9 Muni","MUNI_TAX_PROV")</f>
        <v>#N/A Requesting Data...</v>
      </c>
      <c r="Q1588" t="str">
        <f>_xll.BDP("491207A9 Muni","MUNI_FED_TAX")</f>
        <v>#N/A Requesting Data...</v>
      </c>
      <c r="R1588" t="str">
        <f>_xll.BDP("491207A9 Muni","MUNI_MSRB_VOLUME")</f>
        <v>#N/A Requesting Data...</v>
      </c>
      <c r="S1588" t="str">
        <f>_xll.BDP("491207A9 Muni","BB_COMPOSITE")</f>
        <v>#N/A Requesting Data...</v>
      </c>
      <c r="T1588" t="str">
        <f>_xll.BDP("491207A9 Muni","LQA_LIQUIDITY_SCORE")</f>
        <v>#N/A Requesting Data...</v>
      </c>
    </row>
    <row r="1589" spans="1:20" x14ac:dyDescent="0.25">
      <c r="A1589" t="str">
        <f>_xll.BDP("491207B2 Muni","ID_CUSIP")</f>
        <v>#N/A Requesting Data...</v>
      </c>
      <c r="B1589" t="s">
        <v>391</v>
      </c>
      <c r="C1589" t="str">
        <f>_xll.BDP("491207B2 Muni","INSURANCE_STATUS")</f>
        <v>#N/A Requesting Data...</v>
      </c>
      <c r="D1589" t="str">
        <f>_xll.BDP("491207B2 Muni","STATE_CODE")</f>
        <v>#N/A Requesting Data...</v>
      </c>
      <c r="E1589" t="str">
        <f>_xll.BDP("491207B2 Muni","COUNTY_LOCATION_ISSUER")</f>
        <v>#N/A Requesting Data...</v>
      </c>
      <c r="F1589" t="str">
        <f>_xll.BDP("491207B2 Muni","DUR_ADJ_MID")</f>
        <v>#N/A Requesting Data...</v>
      </c>
      <c r="G1589" t="str">
        <f>_xll.BDP("491207B2 Muni","SPREAD_AT_ISSUANCE_TO_WORST")</f>
        <v>#N/A Requesting Data...</v>
      </c>
      <c r="H1589" t="str">
        <f>_xll.BDP("491207B2 Muni","ISSUE_DT")</f>
        <v>#N/A Requesting Data...</v>
      </c>
      <c r="I1589" t="str">
        <f>_xll.BDS("491207B2 Muni","MUNI_PURPOSE_SCHED", "aggregate=y")</f>
        <v>#N/A Requesting Data...</v>
      </c>
      <c r="J1589" t="str">
        <f>_xll.BDP("491207B2 Muni","CPN")</f>
        <v>#N/A Requesting Data...</v>
      </c>
      <c r="K1589" t="str">
        <f>_xll.BDP("491207B2 Muni","MATURITY")</f>
        <v>#N/A Requesting Data...</v>
      </c>
      <c r="L1589">
        <v>275000</v>
      </c>
      <c r="M1589" t="str">
        <f>_xll.BDP("491207B2 Muni","YIELD_ON_ISSUE_DATE")</f>
        <v>#N/A Requesting Data...</v>
      </c>
      <c r="N1589" t="str">
        <f>_xll.BDP("491207B2 Muni","YTW_SPREAD_TO_MATURITY_AT_ISSU")</f>
        <v>#N/A Requesting Data...</v>
      </c>
      <c r="O1589" t="str">
        <f>_xll.BDP("491207B2 Muni","BVAL_MID_YTM")</f>
        <v>#N/A Requesting Data...</v>
      </c>
      <c r="P1589" t="str">
        <f>_xll.BDP("491207B2 Muni","MUNI_TAX_PROV")</f>
        <v>#N/A Requesting Data...</v>
      </c>
      <c r="Q1589" t="str">
        <f>_xll.BDP("491207B2 Muni","MUNI_FED_TAX")</f>
        <v>#N/A Requesting Data...</v>
      </c>
      <c r="R1589" t="str">
        <f>_xll.BDP("491207B2 Muni","MUNI_MSRB_VOLUME")</f>
        <v>#N/A Requesting Data...</v>
      </c>
      <c r="S1589" t="str">
        <f>_xll.BDP("491207B2 Muni","BB_COMPOSITE")</f>
        <v>#N/A Requesting Data...</v>
      </c>
      <c r="T1589" t="str">
        <f>_xll.BDP("491207B2 Muni","LQA_LIQUIDITY_SCORE")</f>
        <v>#N/A Requesting Data...</v>
      </c>
    </row>
    <row r="1590" spans="1:20" x14ac:dyDescent="0.25">
      <c r="A1590" t="str">
        <f>_xll.BDP("491207C6 Muni","ID_CUSIP")</f>
        <v>#N/A Requesting Data...</v>
      </c>
      <c r="B1590" t="s">
        <v>391</v>
      </c>
      <c r="C1590" t="str">
        <f>_xll.BDP("491207C6 Muni","INSURANCE_STATUS")</f>
        <v>#N/A Requesting Data...</v>
      </c>
      <c r="D1590" t="str">
        <f>_xll.BDP("491207C6 Muni","STATE_CODE")</f>
        <v>#N/A Requesting Data...</v>
      </c>
      <c r="E1590" t="str">
        <f>_xll.BDP("491207C6 Muni","COUNTY_LOCATION_ISSUER")</f>
        <v>#N/A Requesting Data...</v>
      </c>
      <c r="F1590" t="str">
        <f>_xll.BDP("491207C6 Muni","DUR_ADJ_MID")</f>
        <v>#N/A Requesting Data...</v>
      </c>
      <c r="G1590" t="str">
        <f>_xll.BDP("491207C6 Muni","SPREAD_AT_ISSUANCE_TO_WORST")</f>
        <v>#N/A Requesting Data...</v>
      </c>
      <c r="H1590" t="str">
        <f>_xll.BDP("491207C6 Muni","ISSUE_DT")</f>
        <v>#N/A Requesting Data...</v>
      </c>
      <c r="I1590" t="str">
        <f>_xll.BDS("491207C6 Muni","MUNI_PURPOSE_SCHED", "aggregate=y")</f>
        <v>#N/A Requesting Data...</v>
      </c>
      <c r="J1590" t="str">
        <f>_xll.BDP("491207C6 Muni","CPN")</f>
        <v>#N/A Requesting Data...</v>
      </c>
      <c r="K1590" t="str">
        <f>_xll.BDP("491207C6 Muni","MATURITY")</f>
        <v>#N/A Requesting Data...</v>
      </c>
      <c r="L1590">
        <v>95000</v>
      </c>
      <c r="M1590" t="str">
        <f>_xll.BDP("491207C6 Muni","YIELD_ON_ISSUE_DATE")</f>
        <v>#N/A Requesting Data...</v>
      </c>
      <c r="N1590" t="str">
        <f>_xll.BDP("491207C6 Muni","YTW_SPREAD_TO_MATURITY_AT_ISSU")</f>
        <v>#N/A Requesting Data...</v>
      </c>
      <c r="O1590" t="str">
        <f>_xll.BDP("491207C6 Muni","BVAL_MID_YTM")</f>
        <v>#N/A Requesting Data...</v>
      </c>
      <c r="P1590" t="str">
        <f>_xll.BDP("491207C6 Muni","MUNI_TAX_PROV")</f>
        <v>#N/A Requesting Data...</v>
      </c>
      <c r="Q1590" t="str">
        <f>_xll.BDP("491207C6 Muni","MUNI_FED_TAX")</f>
        <v>#N/A Requesting Data...</v>
      </c>
      <c r="R1590" t="str">
        <f>_xll.BDP("491207C6 Muni","MUNI_MSRB_VOLUME")</f>
        <v>#N/A Requesting Data...</v>
      </c>
      <c r="S1590" t="str">
        <f>_xll.BDP("491207C6 Muni","BB_COMPOSITE")</f>
        <v>#N/A Requesting Data...</v>
      </c>
      <c r="T1590" t="str">
        <f>_xll.BDP("491207C6 Muni","LQA_LIQUIDITY_SCORE")</f>
        <v>#N/A Requesting Data...</v>
      </c>
    </row>
    <row r="1591" spans="1:20" x14ac:dyDescent="0.25">
      <c r="A1591" t="str">
        <f>_xll.BDP("491207C7 Muni","ID_CUSIP")</f>
        <v>#N/A Requesting Data...</v>
      </c>
      <c r="B1591" t="s">
        <v>391</v>
      </c>
      <c r="C1591" t="str">
        <f>_xll.BDP("491207C7 Muni","INSURANCE_STATUS")</f>
        <v>#N/A Requesting Data...</v>
      </c>
      <c r="D1591" t="str">
        <f>_xll.BDP("491207C7 Muni","STATE_CODE")</f>
        <v>#N/A Requesting Data...</v>
      </c>
      <c r="E1591" t="str">
        <f>_xll.BDP("491207C7 Muni","COUNTY_LOCATION_ISSUER")</f>
        <v>#N/A Requesting Data...</v>
      </c>
      <c r="F1591" t="str">
        <f>_xll.BDP("491207C7 Muni","DUR_ADJ_MID")</f>
        <v>#N/A Requesting Data...</v>
      </c>
      <c r="G1591" t="str">
        <f>_xll.BDP("491207C7 Muni","SPREAD_AT_ISSUANCE_TO_WORST")</f>
        <v>#N/A Requesting Data...</v>
      </c>
      <c r="H1591" t="str">
        <f>_xll.BDP("491207C7 Muni","ISSUE_DT")</f>
        <v>#N/A Requesting Data...</v>
      </c>
      <c r="I1591" t="str">
        <f>_xll.BDS("491207C7 Muni","MUNI_PURPOSE_SCHED", "aggregate=y")</f>
        <v>#N/A Requesting Data...</v>
      </c>
      <c r="J1591" t="str">
        <f>_xll.BDP("491207C7 Muni","CPN")</f>
        <v>#N/A Requesting Data...</v>
      </c>
      <c r="K1591" t="str">
        <f>_xll.BDP("491207C7 Muni","MATURITY")</f>
        <v>#N/A Requesting Data...</v>
      </c>
      <c r="L1591">
        <v>95000</v>
      </c>
      <c r="M1591" t="str">
        <f>_xll.BDP("491207C7 Muni","YIELD_ON_ISSUE_DATE")</f>
        <v>#N/A Requesting Data...</v>
      </c>
      <c r="N1591" t="str">
        <f>_xll.BDP("491207C7 Muni","YTW_SPREAD_TO_MATURITY_AT_ISSU")</f>
        <v>#N/A Requesting Data...</v>
      </c>
      <c r="O1591" t="str">
        <f>_xll.BDP("491207C7 Muni","BVAL_MID_YTM")</f>
        <v>#N/A Requesting Data...</v>
      </c>
      <c r="P1591" t="str">
        <f>_xll.BDP("491207C7 Muni","MUNI_TAX_PROV")</f>
        <v>#N/A Requesting Data...</v>
      </c>
      <c r="Q1591" t="str">
        <f>_xll.BDP("491207C7 Muni","MUNI_FED_TAX")</f>
        <v>#N/A Requesting Data...</v>
      </c>
      <c r="R1591" t="str">
        <f>_xll.BDP("491207C7 Muni","MUNI_MSRB_VOLUME")</f>
        <v>#N/A Requesting Data...</v>
      </c>
      <c r="S1591" t="str">
        <f>_xll.BDP("491207C7 Muni","BB_COMPOSITE")</f>
        <v>#N/A Requesting Data...</v>
      </c>
      <c r="T1591" t="str">
        <f>_xll.BDP("491207C7 Muni","LQA_LIQUIDITY_SCORE")</f>
        <v>#N/A Requesting Data...</v>
      </c>
    </row>
    <row r="1592" spans="1:20" x14ac:dyDescent="0.25">
      <c r="A1592" t="str">
        <f>_xll.BDP("491207C8 Muni","ID_CUSIP")</f>
        <v>#N/A Requesting Data...</v>
      </c>
      <c r="B1592" t="s">
        <v>391</v>
      </c>
      <c r="C1592" t="str">
        <f>_xll.BDP("491207C8 Muni","INSURANCE_STATUS")</f>
        <v>#N/A Requesting Data...</v>
      </c>
      <c r="D1592" t="str">
        <f>_xll.BDP("491207C8 Muni","STATE_CODE")</f>
        <v>#N/A Requesting Data...</v>
      </c>
      <c r="E1592" t="str">
        <f>_xll.BDP("491207C8 Muni","COUNTY_LOCATION_ISSUER")</f>
        <v>#N/A Requesting Data...</v>
      </c>
      <c r="F1592" t="str">
        <f>_xll.BDP("491207C8 Muni","DUR_ADJ_MID")</f>
        <v>#N/A Requesting Data...</v>
      </c>
      <c r="G1592" t="str">
        <f>_xll.BDP("491207C8 Muni","SPREAD_AT_ISSUANCE_TO_WORST")</f>
        <v>#N/A Requesting Data...</v>
      </c>
      <c r="H1592" t="str">
        <f>_xll.BDP("491207C8 Muni","ISSUE_DT")</f>
        <v>#N/A Requesting Data...</v>
      </c>
      <c r="I1592" t="str">
        <f>_xll.BDS("491207C8 Muni","MUNI_PURPOSE_SCHED", "aggregate=y")</f>
        <v>#N/A Requesting Data...</v>
      </c>
      <c r="J1592" t="str">
        <f>_xll.BDP("491207C8 Muni","CPN")</f>
        <v>#N/A Requesting Data...</v>
      </c>
      <c r="K1592" t="str">
        <f>_xll.BDP("491207C8 Muni","MATURITY")</f>
        <v>#N/A Requesting Data...</v>
      </c>
      <c r="L1592">
        <v>95000</v>
      </c>
      <c r="M1592" t="str">
        <f>_xll.BDP("491207C8 Muni","YIELD_ON_ISSUE_DATE")</f>
        <v>#N/A Requesting Data...</v>
      </c>
      <c r="N1592" t="str">
        <f>_xll.BDP("491207C8 Muni","YTW_SPREAD_TO_MATURITY_AT_ISSU")</f>
        <v>#N/A Requesting Data...</v>
      </c>
      <c r="O1592" t="str">
        <f>_xll.BDP("491207C8 Muni","BVAL_MID_YTM")</f>
        <v>#N/A Requesting Data...</v>
      </c>
      <c r="P1592" t="str">
        <f>_xll.BDP("491207C8 Muni","MUNI_TAX_PROV")</f>
        <v>#N/A Requesting Data...</v>
      </c>
      <c r="Q1592" t="str">
        <f>_xll.BDP("491207C8 Muni","MUNI_FED_TAX")</f>
        <v>#N/A Requesting Data...</v>
      </c>
      <c r="R1592" t="str">
        <f>_xll.BDP("491207C8 Muni","MUNI_MSRB_VOLUME")</f>
        <v>#N/A Requesting Data...</v>
      </c>
      <c r="S1592" t="str">
        <f>_xll.BDP("491207C8 Muni","BB_COMPOSITE")</f>
        <v>#N/A Requesting Data...</v>
      </c>
      <c r="T1592" t="str">
        <f>_xll.BDP("491207C8 Muni","LQA_LIQUIDITY_SCORE")</f>
        <v>#N/A Requesting Data...</v>
      </c>
    </row>
    <row r="1593" spans="1:20" x14ac:dyDescent="0.25">
      <c r="A1593" t="str">
        <f>_xll.BDP("491207C9 Muni","ID_CUSIP")</f>
        <v>#N/A Requesting Data...</v>
      </c>
      <c r="B1593" t="s">
        <v>391</v>
      </c>
      <c r="C1593" t="str">
        <f>_xll.BDP("491207C9 Muni","INSURANCE_STATUS")</f>
        <v>#N/A Requesting Data...</v>
      </c>
      <c r="D1593" t="str">
        <f>_xll.BDP("491207C9 Muni","STATE_CODE")</f>
        <v>#N/A Requesting Data...</v>
      </c>
      <c r="E1593" t="str">
        <f>_xll.BDP("491207C9 Muni","COUNTY_LOCATION_ISSUER")</f>
        <v>#N/A Requesting Data...</v>
      </c>
      <c r="F1593" t="str">
        <f>_xll.BDP("491207C9 Muni","DUR_ADJ_MID")</f>
        <v>#N/A Requesting Data...</v>
      </c>
      <c r="G1593" t="str">
        <f>_xll.BDP("491207C9 Muni","SPREAD_AT_ISSUANCE_TO_WORST")</f>
        <v>#N/A Requesting Data...</v>
      </c>
      <c r="H1593" t="str">
        <f>_xll.BDP("491207C9 Muni","ISSUE_DT")</f>
        <v>#N/A Requesting Data...</v>
      </c>
      <c r="I1593" t="str">
        <f>_xll.BDS("491207C9 Muni","MUNI_PURPOSE_SCHED", "aggregate=y")</f>
        <v>#N/A Requesting Data...</v>
      </c>
      <c r="J1593" t="str">
        <f>_xll.BDP("491207C9 Muni","CPN")</f>
        <v>#N/A Requesting Data...</v>
      </c>
      <c r="K1593" t="str">
        <f>_xll.BDP("491207C9 Muni","MATURITY")</f>
        <v>#N/A Requesting Data...</v>
      </c>
      <c r="L1593">
        <v>100000</v>
      </c>
      <c r="M1593" t="str">
        <f>_xll.BDP("491207C9 Muni","YIELD_ON_ISSUE_DATE")</f>
        <v>#N/A Requesting Data...</v>
      </c>
      <c r="N1593" t="str">
        <f>_xll.BDP("491207C9 Muni","YTW_SPREAD_TO_MATURITY_AT_ISSU")</f>
        <v>#N/A Requesting Data...</v>
      </c>
      <c r="O1593" t="str">
        <f>_xll.BDP("491207C9 Muni","BVAL_MID_YTM")</f>
        <v>#N/A Requesting Data...</v>
      </c>
      <c r="P1593" t="str">
        <f>_xll.BDP("491207C9 Muni","MUNI_TAX_PROV")</f>
        <v>#N/A Requesting Data...</v>
      </c>
      <c r="Q1593" t="str">
        <f>_xll.BDP("491207C9 Muni","MUNI_FED_TAX")</f>
        <v>#N/A Requesting Data...</v>
      </c>
      <c r="R1593" t="str">
        <f>_xll.BDP("491207C9 Muni","MUNI_MSRB_VOLUME")</f>
        <v>#N/A Requesting Data...</v>
      </c>
      <c r="S1593" t="str">
        <f>_xll.BDP("491207C9 Muni","BB_COMPOSITE")</f>
        <v>#N/A Requesting Data...</v>
      </c>
      <c r="T1593" t="str">
        <f>_xll.BDP("491207C9 Muni","LQA_LIQUIDITY_SCORE")</f>
        <v>#N/A Requesting Data...</v>
      </c>
    </row>
    <row r="1594" spans="1:20" x14ac:dyDescent="0.25">
      <c r="A1594" t="str">
        <f>_xll.BDP("491311AD Muni","ID_CUSIP")</f>
        <v>#N/A Requesting Data...</v>
      </c>
      <c r="B1594" t="s">
        <v>289</v>
      </c>
      <c r="C1594" t="str">
        <f>_xll.BDP("491311AD Muni","INSURANCE_STATUS")</f>
        <v>#N/A Requesting Data...</v>
      </c>
      <c r="D1594" t="str">
        <f>_xll.BDP("491311AD Muni","STATE_CODE")</f>
        <v>#N/A Requesting Data...</v>
      </c>
      <c r="E1594" t="str">
        <f>_xll.BDP("491311AD Muni","COUNTY_LOCATION_ISSUER")</f>
        <v>#N/A Requesting Data...</v>
      </c>
      <c r="F1594" t="str">
        <f>_xll.BDP("491311AD Muni","DUR_ADJ_MID")</f>
        <v>#N/A Requesting Data...</v>
      </c>
      <c r="G1594" t="str">
        <f>_xll.BDP("491311AD Muni","SPREAD_AT_ISSUANCE_TO_WORST")</f>
        <v>#N/A Requesting Data...</v>
      </c>
      <c r="H1594" t="str">
        <f>_xll.BDP("491311AD Muni","ISSUE_DT")</f>
        <v>#N/A Requesting Data...</v>
      </c>
      <c r="I1594" t="str">
        <f>_xll.BDS("491311AD Muni","MUNI_PURPOSE_SCHED", "aggregate=y")</f>
        <v>#N/A Requesting Data...</v>
      </c>
      <c r="J1594" t="str">
        <f>_xll.BDP("491311AD Muni","CPN")</f>
        <v>#N/A Requesting Data...</v>
      </c>
      <c r="K1594" t="str">
        <f>_xll.BDP("491311AD Muni","MATURITY")</f>
        <v>#N/A Requesting Data...</v>
      </c>
      <c r="L1594">
        <v>1365000</v>
      </c>
      <c r="M1594" t="str">
        <f>_xll.BDP("491311AD Muni","YIELD_ON_ISSUE_DATE")</f>
        <v>#N/A Requesting Data...</v>
      </c>
      <c r="N1594" t="str">
        <f>_xll.BDP("491311AD Muni","YTW_SPREAD_TO_MATURITY_AT_ISSU")</f>
        <v>#N/A Requesting Data...</v>
      </c>
      <c r="O1594" t="str">
        <f>_xll.BDP("491311AD Muni","BVAL_MID_YTM")</f>
        <v>#N/A Requesting Data...</v>
      </c>
      <c r="P1594" t="str">
        <f>_xll.BDP("491311AD Muni","MUNI_TAX_PROV")</f>
        <v>#N/A Requesting Data...</v>
      </c>
      <c r="Q1594" t="str">
        <f>_xll.BDP("491311AD Muni","MUNI_FED_TAX")</f>
        <v>#N/A Requesting Data...</v>
      </c>
      <c r="R1594" t="str">
        <f>_xll.BDP("491311AD Muni","MUNI_MSRB_VOLUME")</f>
        <v>#N/A Requesting Data...</v>
      </c>
      <c r="S1594" t="str">
        <f>_xll.BDP("491311AD Muni","BB_COMPOSITE")</f>
        <v>#N/A Requesting Data...</v>
      </c>
      <c r="T1594" t="str">
        <f>_xll.BDP("491311AD Muni","LQA_LIQUIDITY_SCORE")</f>
        <v>#N/A Requesting Data...</v>
      </c>
    </row>
    <row r="1595" spans="1:20" x14ac:dyDescent="0.25">
      <c r="A1595" t="str">
        <f>_xll.BDP("491311AF Muni","ID_CUSIP")</f>
        <v>#N/A Requesting Data...</v>
      </c>
      <c r="B1595" t="s">
        <v>289</v>
      </c>
      <c r="C1595" t="str">
        <f>_xll.BDP("491311AF Muni","INSURANCE_STATUS")</f>
        <v>#N/A Requesting Data...</v>
      </c>
      <c r="D1595" t="str">
        <f>_xll.BDP("491311AF Muni","STATE_CODE")</f>
        <v>#N/A Requesting Data...</v>
      </c>
      <c r="E1595" t="str">
        <f>_xll.BDP("491311AF Muni","COUNTY_LOCATION_ISSUER")</f>
        <v>#N/A Requesting Data...</v>
      </c>
      <c r="F1595" t="str">
        <f>_xll.BDP("491311AF Muni","DUR_ADJ_MID")</f>
        <v>#N/A Requesting Data...</v>
      </c>
      <c r="G1595" t="str">
        <f>_xll.BDP("491311AF Muni","SPREAD_AT_ISSUANCE_TO_WORST")</f>
        <v>#N/A Requesting Data...</v>
      </c>
      <c r="H1595" t="str">
        <f>_xll.BDP("491311AF Muni","ISSUE_DT")</f>
        <v>#N/A Requesting Data...</v>
      </c>
      <c r="I1595" t="str">
        <f>_xll.BDS("491311AF Muni","MUNI_PURPOSE_SCHED", "aggregate=y")</f>
        <v>#N/A Requesting Data...</v>
      </c>
      <c r="J1595" t="str">
        <f>_xll.BDP("491311AF Muni","CPN")</f>
        <v>#N/A Requesting Data...</v>
      </c>
      <c r="K1595" t="str">
        <f>_xll.BDP("491311AF Muni","MATURITY")</f>
        <v>#N/A Requesting Data...</v>
      </c>
      <c r="L1595">
        <v>1870000</v>
      </c>
      <c r="M1595" t="str">
        <f>_xll.BDP("491311AF Muni","YIELD_ON_ISSUE_DATE")</f>
        <v>#N/A Requesting Data...</v>
      </c>
      <c r="N1595" t="str">
        <f>_xll.BDP("491311AF Muni","YTW_SPREAD_TO_MATURITY_AT_ISSU")</f>
        <v>#N/A Requesting Data...</v>
      </c>
      <c r="O1595" t="str">
        <f>_xll.BDP("491311AF Muni","BVAL_MID_YTM")</f>
        <v>#N/A Requesting Data...</v>
      </c>
      <c r="P1595" t="str">
        <f>_xll.BDP("491311AF Muni","MUNI_TAX_PROV")</f>
        <v>#N/A Requesting Data...</v>
      </c>
      <c r="Q1595" t="str">
        <f>_xll.BDP("491311AF Muni","MUNI_FED_TAX")</f>
        <v>#N/A Requesting Data...</v>
      </c>
      <c r="R1595" t="str">
        <f>_xll.BDP("491311AF Muni","MUNI_MSRB_VOLUME")</f>
        <v>#N/A Requesting Data...</v>
      </c>
      <c r="S1595" t="str">
        <f>_xll.BDP("491311AF Muni","BB_COMPOSITE")</f>
        <v>#N/A Requesting Data...</v>
      </c>
      <c r="T1595" t="str">
        <f>_xll.BDP("491311AF Muni","LQA_LIQUIDITY_SCORE")</f>
        <v>#N/A Requesting Data...</v>
      </c>
    </row>
    <row r="1596" spans="1:20" x14ac:dyDescent="0.25">
      <c r="A1596" t="str">
        <f>_xll.BDP("491311AK Muni","ID_CUSIP")</f>
        <v>#N/A Requesting Data...</v>
      </c>
      <c r="B1596" t="s">
        <v>289</v>
      </c>
      <c r="C1596" t="str">
        <f>_xll.BDP("491311AK Muni","INSURANCE_STATUS")</f>
        <v>#N/A Requesting Data...</v>
      </c>
      <c r="D1596" t="str">
        <f>_xll.BDP("491311AK Muni","STATE_CODE")</f>
        <v>#N/A Requesting Data...</v>
      </c>
      <c r="E1596" t="str">
        <f>_xll.BDP("491311AK Muni","COUNTY_LOCATION_ISSUER")</f>
        <v>#N/A Requesting Data...</v>
      </c>
      <c r="F1596" t="str">
        <f>_xll.BDP("491311AK Muni","DUR_ADJ_MID")</f>
        <v>#N/A Requesting Data...</v>
      </c>
      <c r="G1596" t="str">
        <f>_xll.BDP("491311AK Muni","SPREAD_AT_ISSUANCE_TO_WORST")</f>
        <v>#N/A Requesting Data...</v>
      </c>
      <c r="H1596" t="str">
        <f>_xll.BDP("491311AK Muni","ISSUE_DT")</f>
        <v>#N/A Requesting Data...</v>
      </c>
      <c r="I1596" t="str">
        <f>_xll.BDS("491311AK Muni","MUNI_PURPOSE_SCHED", "aggregate=y")</f>
        <v>#N/A Requesting Data...</v>
      </c>
      <c r="J1596" t="str">
        <f>_xll.BDP("491311AK Muni","CPN")</f>
        <v>#N/A Requesting Data...</v>
      </c>
      <c r="K1596" t="str">
        <f>_xll.BDP("491311AK Muni","MATURITY")</f>
        <v>#N/A Requesting Data...</v>
      </c>
      <c r="L1596">
        <v>6555000</v>
      </c>
      <c r="M1596" t="str">
        <f>_xll.BDP("491311AK Muni","YIELD_ON_ISSUE_DATE")</f>
        <v>#N/A Requesting Data...</v>
      </c>
      <c r="N1596" t="str">
        <f>_xll.BDP("491311AK Muni","YTW_SPREAD_TO_MATURITY_AT_ISSU")</f>
        <v>#N/A Requesting Data...</v>
      </c>
      <c r="O1596" t="str">
        <f>_xll.BDP("491311AK Muni","BVAL_MID_YTM")</f>
        <v>#N/A Requesting Data...</v>
      </c>
      <c r="P1596" t="str">
        <f>_xll.BDP("491311AK Muni","MUNI_TAX_PROV")</f>
        <v>#N/A Requesting Data...</v>
      </c>
      <c r="Q1596" t="str">
        <f>_xll.BDP("491311AK Muni","MUNI_FED_TAX")</f>
        <v>#N/A Requesting Data...</v>
      </c>
      <c r="R1596" t="str">
        <f>_xll.BDP("491311AK Muni","MUNI_MSRB_VOLUME")</f>
        <v>#N/A Requesting Data...</v>
      </c>
      <c r="S1596" t="str">
        <f>_xll.BDP("491311AK Muni","BB_COMPOSITE")</f>
        <v>#N/A Requesting Data...</v>
      </c>
      <c r="T1596" t="str">
        <f>_xll.BDP("491311AK Muni","LQA_LIQUIDITY_SCORE")</f>
        <v>#N/A Requesting Data...</v>
      </c>
    </row>
    <row r="1597" spans="1:20" x14ac:dyDescent="0.25">
      <c r="A1597" t="str">
        <f>_xll.BDP("758012SX Muni","ID_CUSIP")</f>
        <v>#N/A Requesting Data...</v>
      </c>
      <c r="B1597" t="s">
        <v>392</v>
      </c>
      <c r="C1597" t="str">
        <f>_xll.BDP("758012SX Muni","INSURANCE_STATUS")</f>
        <v>#N/A Requesting Data...</v>
      </c>
      <c r="D1597" t="str">
        <f>_xll.BDP("758012SX Muni","STATE_CODE")</f>
        <v>#N/A Requesting Data...</v>
      </c>
      <c r="E1597" t="str">
        <f>_xll.BDP("758012SX Muni","COUNTY_LOCATION_ISSUER")</f>
        <v>#N/A Requesting Data...</v>
      </c>
      <c r="F1597" t="str">
        <f>_xll.BDP("758012SX Muni","DUR_ADJ_MID")</f>
        <v>#N/A Requesting Data...</v>
      </c>
      <c r="G1597" t="str">
        <f>_xll.BDP("758012SX Muni","SPREAD_AT_ISSUANCE_TO_WORST")</f>
        <v>#N/A Requesting Data...</v>
      </c>
      <c r="H1597" t="str">
        <f>_xll.BDP("758012SX Muni","ISSUE_DT")</f>
        <v>#N/A Requesting Data...</v>
      </c>
      <c r="I1597" t="str">
        <f>_xll.BDS("758012SX Muni","MUNI_PURPOSE_SCHED", "aggregate=y")</f>
        <v>#N/A Requesting Data...</v>
      </c>
      <c r="J1597" t="str">
        <f>_xll.BDP("758012SX Muni","CPN")</f>
        <v>#N/A Requesting Data...</v>
      </c>
      <c r="K1597" t="str">
        <f>_xll.BDP("758012SX Muni","MATURITY")</f>
        <v>#N/A Requesting Data...</v>
      </c>
      <c r="L1597">
        <v>40000</v>
      </c>
      <c r="M1597" t="str">
        <f>_xll.BDP("758012SX Muni","YIELD_ON_ISSUE_DATE")</f>
        <v>#N/A Requesting Data...</v>
      </c>
      <c r="N1597" t="str">
        <f>_xll.BDP("758012SX Muni","YTW_SPREAD_TO_MATURITY_AT_ISSU")</f>
        <v>#N/A Requesting Data...</v>
      </c>
      <c r="O1597" t="str">
        <f>_xll.BDP("758012SX Muni","BVAL_MID_YTM")</f>
        <v>#N/A Requesting Data...</v>
      </c>
      <c r="P1597" t="str">
        <f>_xll.BDP("758012SX Muni","MUNI_TAX_PROV")</f>
        <v>#N/A Requesting Data...</v>
      </c>
      <c r="Q1597" t="str">
        <f>_xll.BDP("758012SX Muni","MUNI_FED_TAX")</f>
        <v>#N/A Requesting Data...</v>
      </c>
      <c r="R1597" t="str">
        <f>_xll.BDP("758012SX Muni","MUNI_MSRB_VOLUME")</f>
        <v>#N/A Requesting Data...</v>
      </c>
      <c r="S1597" t="str">
        <f>_xll.BDP("758012SX Muni","BB_COMPOSITE")</f>
        <v>#N/A Requesting Data...</v>
      </c>
      <c r="T1597" t="str">
        <f>_xll.BDP("758012SX Muni","LQA_LIQUIDITY_SCORE")</f>
        <v>#N/A Requesting Data...</v>
      </c>
    </row>
    <row r="1598" spans="1:20" x14ac:dyDescent="0.25">
      <c r="A1598" t="str">
        <f>_xll.BDP("758012SY Muni","ID_CUSIP")</f>
        <v>#N/A Requesting Data...</v>
      </c>
      <c r="B1598" t="s">
        <v>392</v>
      </c>
      <c r="C1598" t="str">
        <f>_xll.BDP("758012SY Muni","INSURANCE_STATUS")</f>
        <v>#N/A Requesting Data...</v>
      </c>
      <c r="D1598" t="str">
        <f>_xll.BDP("758012SY Muni","STATE_CODE")</f>
        <v>#N/A Requesting Data...</v>
      </c>
      <c r="E1598" t="str">
        <f>_xll.BDP("758012SY Muni","COUNTY_LOCATION_ISSUER")</f>
        <v>#N/A Requesting Data...</v>
      </c>
      <c r="F1598" t="str">
        <f>_xll.BDP("758012SY Muni","DUR_ADJ_MID")</f>
        <v>#N/A Requesting Data...</v>
      </c>
      <c r="G1598" t="str">
        <f>_xll.BDP("758012SY Muni","SPREAD_AT_ISSUANCE_TO_WORST")</f>
        <v>#N/A Requesting Data...</v>
      </c>
      <c r="H1598" t="str">
        <f>_xll.BDP("758012SY Muni","ISSUE_DT")</f>
        <v>#N/A Requesting Data...</v>
      </c>
      <c r="I1598" t="str">
        <f>_xll.BDS("758012SY Muni","MUNI_PURPOSE_SCHED", "aggregate=y")</f>
        <v>#N/A Requesting Data...</v>
      </c>
      <c r="J1598" t="str">
        <f>_xll.BDP("758012SY Muni","CPN")</f>
        <v>#N/A Requesting Data...</v>
      </c>
      <c r="K1598" t="str">
        <f>_xll.BDP("758012SY Muni","MATURITY")</f>
        <v>#N/A Requesting Data...</v>
      </c>
      <c r="L1598">
        <v>45000</v>
      </c>
      <c r="M1598" t="str">
        <f>_xll.BDP("758012SY Muni","YIELD_ON_ISSUE_DATE")</f>
        <v>#N/A Requesting Data...</v>
      </c>
      <c r="N1598" t="str">
        <f>_xll.BDP("758012SY Muni","YTW_SPREAD_TO_MATURITY_AT_ISSU")</f>
        <v>#N/A Requesting Data...</v>
      </c>
      <c r="O1598" t="str">
        <f>_xll.BDP("758012SY Muni","BVAL_MID_YTM")</f>
        <v>#N/A Requesting Data...</v>
      </c>
      <c r="P1598" t="str">
        <f>_xll.BDP("758012SY Muni","MUNI_TAX_PROV")</f>
        <v>#N/A Requesting Data...</v>
      </c>
      <c r="Q1598" t="str">
        <f>_xll.BDP("758012SY Muni","MUNI_FED_TAX")</f>
        <v>#N/A Requesting Data...</v>
      </c>
      <c r="R1598" t="str">
        <f>_xll.BDP("758012SY Muni","MUNI_MSRB_VOLUME")</f>
        <v>#N/A Requesting Data...</v>
      </c>
      <c r="S1598" t="str">
        <f>_xll.BDP("758012SY Muni","BB_COMPOSITE")</f>
        <v>#N/A Requesting Data...</v>
      </c>
      <c r="T1598" t="str">
        <f>_xll.BDP("758012SY Muni","LQA_LIQUIDITY_SCORE")</f>
        <v>#N/A Requesting Data...</v>
      </c>
    </row>
    <row r="1599" spans="1:20" x14ac:dyDescent="0.25">
      <c r="A1599" t="str">
        <f>_xll.BDP("758012SZ Muni","ID_CUSIP")</f>
        <v>#N/A Requesting Data...</v>
      </c>
      <c r="B1599" t="s">
        <v>392</v>
      </c>
      <c r="C1599" t="str">
        <f>_xll.BDP("758012SZ Muni","INSURANCE_STATUS")</f>
        <v>#N/A Requesting Data...</v>
      </c>
      <c r="D1599" t="str">
        <f>_xll.BDP("758012SZ Muni","STATE_CODE")</f>
        <v>#N/A Requesting Data...</v>
      </c>
      <c r="E1599" t="str">
        <f>_xll.BDP("758012SZ Muni","COUNTY_LOCATION_ISSUER")</f>
        <v>#N/A Requesting Data...</v>
      </c>
      <c r="F1599" t="str">
        <f>_xll.BDP("758012SZ Muni","DUR_ADJ_MID")</f>
        <v>#N/A Requesting Data...</v>
      </c>
      <c r="G1599" t="str">
        <f>_xll.BDP("758012SZ Muni","SPREAD_AT_ISSUANCE_TO_WORST")</f>
        <v>#N/A Requesting Data...</v>
      </c>
      <c r="H1599" t="str">
        <f>_xll.BDP("758012SZ Muni","ISSUE_DT")</f>
        <v>#N/A Requesting Data...</v>
      </c>
      <c r="I1599" t="str">
        <f>_xll.BDS("758012SZ Muni","MUNI_PURPOSE_SCHED", "aggregate=y")</f>
        <v>#N/A Requesting Data...</v>
      </c>
      <c r="J1599" t="str">
        <f>_xll.BDP("758012SZ Muni","CPN")</f>
        <v>#N/A Requesting Data...</v>
      </c>
      <c r="K1599" t="str">
        <f>_xll.BDP("758012SZ Muni","MATURITY")</f>
        <v>#N/A Requesting Data...</v>
      </c>
      <c r="L1599">
        <v>45000</v>
      </c>
      <c r="M1599" t="str">
        <f>_xll.BDP("758012SZ Muni","YIELD_ON_ISSUE_DATE")</f>
        <v>#N/A Requesting Data...</v>
      </c>
      <c r="N1599" t="str">
        <f>_xll.BDP("758012SZ Muni","YTW_SPREAD_TO_MATURITY_AT_ISSU")</f>
        <v>#N/A Requesting Data...</v>
      </c>
      <c r="O1599" t="str">
        <f>_xll.BDP("758012SZ Muni","BVAL_MID_YTM")</f>
        <v>#N/A Requesting Data...</v>
      </c>
      <c r="P1599" t="str">
        <f>_xll.BDP("758012SZ Muni","MUNI_TAX_PROV")</f>
        <v>#N/A Requesting Data...</v>
      </c>
      <c r="Q1599" t="str">
        <f>_xll.BDP("758012SZ Muni","MUNI_FED_TAX")</f>
        <v>#N/A Requesting Data...</v>
      </c>
      <c r="R1599" t="str">
        <f>_xll.BDP("758012SZ Muni","MUNI_MSRB_VOLUME")</f>
        <v>#N/A Requesting Data...</v>
      </c>
      <c r="S1599" t="str">
        <f>_xll.BDP("758012SZ Muni","BB_COMPOSITE")</f>
        <v>#N/A Requesting Data...</v>
      </c>
      <c r="T1599" t="str">
        <f>_xll.BDP("758012SZ Muni","LQA_LIQUIDITY_SCORE")</f>
        <v>#N/A Requesting Data...</v>
      </c>
    </row>
    <row r="1600" spans="1:20" x14ac:dyDescent="0.25">
      <c r="A1600" t="str">
        <f>_xll.BDP("759263FB Muni","ID_CUSIP")</f>
        <v>#N/A Requesting Data...</v>
      </c>
      <c r="B1600" t="s">
        <v>393</v>
      </c>
      <c r="C1600" t="str">
        <f>_xll.BDP("759263FB Muni","INSURANCE_STATUS")</f>
        <v>#N/A Requesting Data...</v>
      </c>
      <c r="D1600" t="str">
        <f>_xll.BDP("759263FB Muni","STATE_CODE")</f>
        <v>#N/A Requesting Data...</v>
      </c>
      <c r="E1600" t="str">
        <f>_xll.BDP("759263FB Muni","COUNTY_LOCATION_ISSUER")</f>
        <v>#N/A Requesting Data...</v>
      </c>
      <c r="F1600" t="str">
        <f>_xll.BDP("759263FB Muni","DUR_ADJ_MID")</f>
        <v>#N/A Requesting Data...</v>
      </c>
      <c r="G1600" t="str">
        <f>_xll.BDP("759263FB Muni","SPREAD_AT_ISSUANCE_TO_WORST")</f>
        <v>#N/A Requesting Data...</v>
      </c>
      <c r="H1600" t="str">
        <f>_xll.BDP("759263FB Muni","ISSUE_DT")</f>
        <v>#N/A Requesting Data...</v>
      </c>
      <c r="I1600" t="str">
        <f>_xll.BDS("759263FB Muni","MUNI_PURPOSE_SCHED", "aggregate=y")</f>
        <v>#N/A Requesting Data...</v>
      </c>
      <c r="J1600" t="str">
        <f>_xll.BDP("759263FB Muni","CPN")</f>
        <v>#N/A Requesting Data...</v>
      </c>
      <c r="K1600" t="str">
        <f>_xll.BDP("759263FB Muni","MATURITY")</f>
        <v>#N/A Requesting Data...</v>
      </c>
      <c r="L1600">
        <v>205000</v>
      </c>
      <c r="M1600" t="str">
        <f>_xll.BDP("759263FB Muni","YIELD_ON_ISSUE_DATE")</f>
        <v>#N/A Requesting Data...</v>
      </c>
      <c r="N1600" t="str">
        <f>_xll.BDP("759263FB Muni","YTW_SPREAD_TO_MATURITY_AT_ISSU")</f>
        <v>#N/A Requesting Data...</v>
      </c>
      <c r="O1600" t="str">
        <f>_xll.BDP("759263FB Muni","BVAL_MID_YTM")</f>
        <v>#N/A Requesting Data...</v>
      </c>
      <c r="P1600" t="str">
        <f>_xll.BDP("759263FB Muni","MUNI_TAX_PROV")</f>
        <v>#N/A Requesting Data...</v>
      </c>
      <c r="Q1600" t="str">
        <f>_xll.BDP("759263FB Muni","MUNI_FED_TAX")</f>
        <v>#N/A Requesting Data...</v>
      </c>
      <c r="R1600" t="str">
        <f>_xll.BDP("759263FB Muni","MUNI_MSRB_VOLUME")</f>
        <v>#N/A Requesting Data...</v>
      </c>
      <c r="S1600" t="str">
        <f>_xll.BDP("759263FB Muni","BB_COMPOSITE")</f>
        <v>#N/A Requesting Data...</v>
      </c>
      <c r="T1600" t="str">
        <f>_xll.BDP("759263FB Muni","LQA_LIQUIDITY_SCORE")</f>
        <v>#N/A Requesting Data...</v>
      </c>
    </row>
    <row r="1601" spans="1:20" x14ac:dyDescent="0.25">
      <c r="A1601" t="str">
        <f>_xll.BDP("759263FC Muni","ID_CUSIP")</f>
        <v>#N/A Requesting Data...</v>
      </c>
      <c r="B1601" t="s">
        <v>393</v>
      </c>
      <c r="C1601" t="str">
        <f>_xll.BDP("759263FC Muni","INSURANCE_STATUS")</f>
        <v>#N/A Requesting Data...</v>
      </c>
      <c r="D1601" t="str">
        <f>_xll.BDP("759263FC Muni","STATE_CODE")</f>
        <v>#N/A Requesting Data...</v>
      </c>
      <c r="E1601" t="str">
        <f>_xll.BDP("759263FC Muni","COUNTY_LOCATION_ISSUER")</f>
        <v>#N/A Requesting Data...</v>
      </c>
      <c r="F1601" t="str">
        <f>_xll.BDP("759263FC Muni","DUR_ADJ_MID")</f>
        <v>#N/A Requesting Data...</v>
      </c>
      <c r="G1601" t="str">
        <f>_xll.BDP("759263FC Muni","SPREAD_AT_ISSUANCE_TO_WORST")</f>
        <v>#N/A Requesting Data...</v>
      </c>
      <c r="H1601" t="str">
        <f>_xll.BDP("759263FC Muni","ISSUE_DT")</f>
        <v>#N/A Requesting Data...</v>
      </c>
      <c r="I1601" t="str">
        <f>_xll.BDS("759263FC Muni","MUNI_PURPOSE_SCHED", "aggregate=y")</f>
        <v>#N/A Requesting Data...</v>
      </c>
      <c r="J1601" t="str">
        <f>_xll.BDP("759263FC Muni","CPN")</f>
        <v>#N/A Requesting Data...</v>
      </c>
      <c r="K1601" t="str">
        <f>_xll.BDP("759263FC Muni","MATURITY")</f>
        <v>#N/A Requesting Data...</v>
      </c>
      <c r="L1601">
        <v>210000</v>
      </c>
      <c r="M1601" t="str">
        <f>_xll.BDP("759263FC Muni","YIELD_ON_ISSUE_DATE")</f>
        <v>#N/A Requesting Data...</v>
      </c>
      <c r="N1601" t="str">
        <f>_xll.BDP("759263FC Muni","YTW_SPREAD_TO_MATURITY_AT_ISSU")</f>
        <v>#N/A Requesting Data...</v>
      </c>
      <c r="O1601" t="str">
        <f>_xll.BDP("759263FC Muni","BVAL_MID_YTM")</f>
        <v>#N/A Requesting Data...</v>
      </c>
      <c r="P1601" t="str">
        <f>_xll.BDP("759263FC Muni","MUNI_TAX_PROV")</f>
        <v>#N/A Requesting Data...</v>
      </c>
      <c r="Q1601" t="str">
        <f>_xll.BDP("759263FC Muni","MUNI_FED_TAX")</f>
        <v>#N/A Requesting Data...</v>
      </c>
      <c r="R1601" t="str">
        <f>_xll.BDP("759263FC Muni","MUNI_MSRB_VOLUME")</f>
        <v>#N/A Requesting Data...</v>
      </c>
      <c r="S1601" t="str">
        <f>_xll.BDP("759263FC Muni","BB_COMPOSITE")</f>
        <v>#N/A Requesting Data...</v>
      </c>
      <c r="T1601" t="str">
        <f>_xll.BDP("759263FC Muni","LQA_LIQUIDITY_SCORE")</f>
        <v>#N/A Requesting Data...</v>
      </c>
    </row>
    <row r="1602" spans="1:20" x14ac:dyDescent="0.25">
      <c r="A1602" t="str">
        <f>_xll.BDP("76131MDA Muni","ID_CUSIP")</f>
        <v>#N/A Requesting Data...</v>
      </c>
      <c r="B1602" t="s">
        <v>394</v>
      </c>
      <c r="C1602" t="str">
        <f>_xll.BDP("76131MDA Muni","INSURANCE_STATUS")</f>
        <v>#N/A Requesting Data...</v>
      </c>
      <c r="D1602" t="str">
        <f>_xll.BDP("76131MDA Muni","STATE_CODE")</f>
        <v>#N/A Requesting Data...</v>
      </c>
      <c r="E1602" t="str">
        <f>_xll.BDP("76131MDA Muni","COUNTY_LOCATION_ISSUER")</f>
        <v>#N/A Requesting Data...</v>
      </c>
      <c r="F1602" t="str">
        <f>_xll.BDP("76131MDA Muni","DUR_ADJ_MID")</f>
        <v>#N/A Requesting Data...</v>
      </c>
      <c r="G1602" t="str">
        <f>_xll.BDP("76131MDA Muni","SPREAD_AT_ISSUANCE_TO_WORST")</f>
        <v>#N/A Requesting Data...</v>
      </c>
      <c r="H1602" t="str">
        <f>_xll.BDP("76131MDA Muni","ISSUE_DT")</f>
        <v>#N/A Requesting Data...</v>
      </c>
      <c r="I1602" t="str">
        <f>_xll.BDS("76131MDA Muni","MUNI_PURPOSE_SCHED", "aggregate=y")</f>
        <v>#N/A Requesting Data...</v>
      </c>
      <c r="J1602" t="str">
        <f>_xll.BDP("76131MDA Muni","CPN")</f>
        <v>#N/A Requesting Data...</v>
      </c>
      <c r="K1602" t="str">
        <f>_xll.BDP("76131MDA Muni","MATURITY")</f>
        <v>#N/A Requesting Data...</v>
      </c>
      <c r="L1602">
        <v>195000</v>
      </c>
      <c r="M1602" t="str">
        <f>_xll.BDP("76131MDA Muni","YIELD_ON_ISSUE_DATE")</f>
        <v>#N/A Requesting Data...</v>
      </c>
      <c r="N1602" t="str">
        <f>_xll.BDP("76131MDA Muni","YTW_SPREAD_TO_MATURITY_AT_ISSU")</f>
        <v>#N/A Requesting Data...</v>
      </c>
      <c r="O1602" t="str">
        <f>_xll.BDP("76131MDA Muni","BVAL_MID_YTM")</f>
        <v>#N/A Requesting Data...</v>
      </c>
      <c r="P1602" t="str">
        <f>_xll.BDP("76131MDA Muni","MUNI_TAX_PROV")</f>
        <v>#N/A Requesting Data...</v>
      </c>
      <c r="Q1602" t="str">
        <f>_xll.BDP("76131MDA Muni","MUNI_FED_TAX")</f>
        <v>#N/A Requesting Data...</v>
      </c>
      <c r="R1602" t="str">
        <f>_xll.BDP("76131MDA Muni","MUNI_MSRB_VOLUME")</f>
        <v>#N/A Requesting Data...</v>
      </c>
      <c r="S1602" t="str">
        <f>_xll.BDP("76131MDA Muni","BB_COMPOSITE")</f>
        <v>#N/A Requesting Data...</v>
      </c>
      <c r="T1602" t="str">
        <f>_xll.BDP("76131MDA Muni","LQA_LIQUIDITY_SCORE")</f>
        <v>#N/A Requesting Data...</v>
      </c>
    </row>
    <row r="1603" spans="1:20" x14ac:dyDescent="0.25">
      <c r="A1603" t="str">
        <f>_xll.BDP("76131MDB Muni","ID_CUSIP")</f>
        <v>#N/A Requesting Data...</v>
      </c>
      <c r="B1603" t="s">
        <v>394</v>
      </c>
      <c r="C1603" t="str">
        <f>_xll.BDP("76131MDB Muni","INSURANCE_STATUS")</f>
        <v>#N/A Requesting Data...</v>
      </c>
      <c r="D1603" t="str">
        <f>_xll.BDP("76131MDB Muni","STATE_CODE")</f>
        <v>#N/A Requesting Data...</v>
      </c>
      <c r="E1603" t="str">
        <f>_xll.BDP("76131MDB Muni","COUNTY_LOCATION_ISSUER")</f>
        <v>#N/A Requesting Data...</v>
      </c>
      <c r="F1603" t="str">
        <f>_xll.BDP("76131MDB Muni","DUR_ADJ_MID")</f>
        <v>#N/A Requesting Data...</v>
      </c>
      <c r="G1603" t="str">
        <f>_xll.BDP("76131MDB Muni","SPREAD_AT_ISSUANCE_TO_WORST")</f>
        <v>#N/A Requesting Data...</v>
      </c>
      <c r="H1603" t="str">
        <f>_xll.BDP("76131MDB Muni","ISSUE_DT")</f>
        <v>#N/A Requesting Data...</v>
      </c>
      <c r="I1603" t="str">
        <f>_xll.BDS("76131MDB Muni","MUNI_PURPOSE_SCHED", "aggregate=y")</f>
        <v>#N/A Requesting Data...</v>
      </c>
      <c r="J1603" t="str">
        <f>_xll.BDP("76131MDB Muni","CPN")</f>
        <v>#N/A Requesting Data...</v>
      </c>
      <c r="K1603" t="str">
        <f>_xll.BDP("76131MDB Muni","MATURITY")</f>
        <v>#N/A Requesting Data...</v>
      </c>
      <c r="L1603">
        <v>195000</v>
      </c>
      <c r="M1603" t="str">
        <f>_xll.BDP("76131MDB Muni","YIELD_ON_ISSUE_DATE")</f>
        <v>#N/A Requesting Data...</v>
      </c>
      <c r="N1603" t="str">
        <f>_xll.BDP("76131MDB Muni","YTW_SPREAD_TO_MATURITY_AT_ISSU")</f>
        <v>#N/A Requesting Data...</v>
      </c>
      <c r="O1603" t="str">
        <f>_xll.BDP("76131MDB Muni","BVAL_MID_YTM")</f>
        <v>#N/A Requesting Data...</v>
      </c>
      <c r="P1603" t="str">
        <f>_xll.BDP("76131MDB Muni","MUNI_TAX_PROV")</f>
        <v>#N/A Requesting Data...</v>
      </c>
      <c r="Q1603" t="str">
        <f>_xll.BDP("76131MDB Muni","MUNI_FED_TAX")</f>
        <v>#N/A Requesting Data...</v>
      </c>
      <c r="R1603" t="str">
        <f>_xll.BDP("76131MDB Muni","MUNI_MSRB_VOLUME")</f>
        <v>#N/A Requesting Data...</v>
      </c>
      <c r="S1603" t="str">
        <f>_xll.BDP("76131MDB Muni","BB_COMPOSITE")</f>
        <v>#N/A Requesting Data...</v>
      </c>
      <c r="T1603" t="str">
        <f>_xll.BDP("76131MDB Muni","LQA_LIQUIDITY_SCORE")</f>
        <v>#N/A Requesting Data...</v>
      </c>
    </row>
    <row r="1604" spans="1:20" x14ac:dyDescent="0.25">
      <c r="A1604" t="str">
        <f>_xll.BDP("60463TAE Muni","ID_CUSIP")</f>
        <v>#N/A Requesting Data...</v>
      </c>
      <c r="B1604" t="s">
        <v>395</v>
      </c>
      <c r="C1604" t="str">
        <f>_xll.BDP("60463TAE Muni","INSURANCE_STATUS")</f>
        <v>#N/A Requesting Data...</v>
      </c>
      <c r="D1604" t="str">
        <f>_xll.BDP("60463TAE Muni","STATE_CODE")</f>
        <v>#N/A Requesting Data...</v>
      </c>
      <c r="E1604" t="str">
        <f>_xll.BDP("60463TAE Muni","COUNTY_LOCATION_ISSUER")</f>
        <v>#N/A Requesting Data...</v>
      </c>
      <c r="F1604" t="str">
        <f>_xll.BDP("60463TAE Muni","DUR_ADJ_MID")</f>
        <v>#N/A Requesting Data...</v>
      </c>
      <c r="G1604" t="str">
        <f>_xll.BDP("60463TAE Muni","SPREAD_AT_ISSUANCE_TO_WORST")</f>
        <v>#N/A Requesting Data...</v>
      </c>
      <c r="H1604" t="str">
        <f>_xll.BDP("60463TAE Muni","ISSUE_DT")</f>
        <v>#N/A Requesting Data...</v>
      </c>
      <c r="I1604" t="str">
        <f>_xll.BDS("60463TAE Muni","MUNI_PURPOSE_SCHED", "aggregate=y")</f>
        <v>#N/A Requesting Data...</v>
      </c>
      <c r="J1604" t="str">
        <f>_xll.BDP("60463TAE Muni","CPN")</f>
        <v>#N/A Requesting Data...</v>
      </c>
      <c r="K1604" t="str">
        <f>_xll.BDP("60463TAE Muni","MATURITY")</f>
        <v>#N/A Requesting Data...</v>
      </c>
      <c r="L1604">
        <v>14620000</v>
      </c>
      <c r="M1604" t="str">
        <f>_xll.BDP("60463TAE Muni","YIELD_ON_ISSUE_DATE")</f>
        <v>#N/A Requesting Data...</v>
      </c>
      <c r="N1604" t="str">
        <f>_xll.BDP("60463TAE Muni","YTW_SPREAD_TO_MATURITY_AT_ISSU")</f>
        <v>#N/A Requesting Data...</v>
      </c>
      <c r="O1604" t="str">
        <f>_xll.BDP("60463TAE Muni","BVAL_MID_YTM")</f>
        <v>#N/A Requesting Data...</v>
      </c>
      <c r="P1604" t="str">
        <f>_xll.BDP("60463TAE Muni","MUNI_TAX_PROV")</f>
        <v>#N/A Requesting Data...</v>
      </c>
      <c r="Q1604" t="str">
        <f>_xll.BDP("60463TAE Muni","MUNI_FED_TAX")</f>
        <v>#N/A Requesting Data...</v>
      </c>
      <c r="R1604" t="str">
        <f>_xll.BDP("60463TAE Muni","MUNI_MSRB_VOLUME")</f>
        <v>#N/A Requesting Data...</v>
      </c>
      <c r="S1604" t="str">
        <f>_xll.BDP("60463TAE Muni","BB_COMPOSITE")</f>
        <v>#N/A Requesting Data...</v>
      </c>
      <c r="T1604" t="str">
        <f>_xll.BDP("60463TAE Muni","LQA_LIQUIDITY_SCORE")</f>
        <v>#N/A Requesting Data...</v>
      </c>
    </row>
    <row r="1605" spans="1:20" x14ac:dyDescent="0.25">
      <c r="A1605" t="str">
        <f>_xll.BDP("60463TAF Muni","ID_CUSIP")</f>
        <v>#N/A Requesting Data...</v>
      </c>
      <c r="B1605" t="s">
        <v>395</v>
      </c>
      <c r="C1605" t="str">
        <f>_xll.BDP("60463TAF Muni","INSURANCE_STATUS")</f>
        <v>#N/A Requesting Data...</v>
      </c>
      <c r="D1605" t="str">
        <f>_xll.BDP("60463TAF Muni","STATE_CODE")</f>
        <v>#N/A Requesting Data...</v>
      </c>
      <c r="E1605" t="str">
        <f>_xll.BDP("60463TAF Muni","COUNTY_LOCATION_ISSUER")</f>
        <v>#N/A Requesting Data...</v>
      </c>
      <c r="F1605" t="str">
        <f>_xll.BDP("60463TAF Muni","DUR_ADJ_MID")</f>
        <v>#N/A Requesting Data...</v>
      </c>
      <c r="G1605" t="str">
        <f>_xll.BDP("60463TAF Muni","SPREAD_AT_ISSUANCE_TO_WORST")</f>
        <v>#N/A Requesting Data...</v>
      </c>
      <c r="H1605" t="str">
        <f>_xll.BDP("60463TAF Muni","ISSUE_DT")</f>
        <v>#N/A Requesting Data...</v>
      </c>
      <c r="I1605" t="str">
        <f>_xll.BDS("60463TAF Muni","MUNI_PURPOSE_SCHED", "aggregate=y")</f>
        <v>#N/A Requesting Data...</v>
      </c>
      <c r="J1605" t="str">
        <f>_xll.BDP("60463TAF Muni","CPN")</f>
        <v>#N/A Requesting Data...</v>
      </c>
      <c r="K1605" t="str">
        <f>_xll.BDP("60463TAF Muni","MATURITY")</f>
        <v>#N/A Requesting Data...</v>
      </c>
      <c r="L1605">
        <v>9560000</v>
      </c>
      <c r="M1605" t="str">
        <f>_xll.BDP("60463TAF Muni","YIELD_ON_ISSUE_DATE")</f>
        <v>#N/A Requesting Data...</v>
      </c>
      <c r="N1605" t="str">
        <f>_xll.BDP("60463TAF Muni","YTW_SPREAD_TO_MATURITY_AT_ISSU")</f>
        <v>#N/A Requesting Data...</v>
      </c>
      <c r="O1605" t="str">
        <f>_xll.BDP("60463TAF Muni","BVAL_MID_YTM")</f>
        <v>#N/A Requesting Data...</v>
      </c>
      <c r="P1605" t="str">
        <f>_xll.BDP("60463TAF Muni","MUNI_TAX_PROV")</f>
        <v>#N/A Requesting Data...</v>
      </c>
      <c r="Q1605" t="str">
        <f>_xll.BDP("60463TAF Muni","MUNI_FED_TAX")</f>
        <v>#N/A Requesting Data...</v>
      </c>
      <c r="R1605" t="str">
        <f>_xll.BDP("60463TAF Muni","MUNI_MSRB_VOLUME")</f>
        <v>#N/A Requesting Data...</v>
      </c>
      <c r="S1605" t="str">
        <f>_xll.BDP("60463TAF Muni","BB_COMPOSITE")</f>
        <v>#N/A Requesting Data...</v>
      </c>
      <c r="T1605" t="str">
        <f>_xll.BDP("60463TAF Muni","LQA_LIQUIDITY_SCORE")</f>
        <v>#N/A Requesting Data...</v>
      </c>
    </row>
    <row r="1606" spans="1:20" x14ac:dyDescent="0.25">
      <c r="A1606" t="str">
        <f>_xll.BDP("605023JG Muni","ID_CUSIP")</f>
        <v>#N/A Requesting Data...</v>
      </c>
      <c r="B1606" t="s">
        <v>396</v>
      </c>
      <c r="C1606" t="str">
        <f>_xll.BDP("605023JG Muni","INSURANCE_STATUS")</f>
        <v>#N/A Requesting Data...</v>
      </c>
      <c r="D1606" t="str">
        <f>_xll.BDP("605023JG Muni","STATE_CODE")</f>
        <v>#N/A Requesting Data...</v>
      </c>
      <c r="E1606" t="str">
        <f>_xll.BDP("605023JG Muni","COUNTY_LOCATION_ISSUER")</f>
        <v>#N/A Requesting Data...</v>
      </c>
      <c r="F1606" t="str">
        <f>_xll.BDP("605023JG Muni","DUR_ADJ_MID")</f>
        <v>#N/A Requesting Data...</v>
      </c>
      <c r="G1606" t="str">
        <f>_xll.BDP("605023JG Muni","SPREAD_AT_ISSUANCE_TO_WORST")</f>
        <v>#N/A Requesting Data...</v>
      </c>
      <c r="H1606" t="str">
        <f>_xll.BDP("605023JG Muni","ISSUE_DT")</f>
        <v>#N/A Requesting Data...</v>
      </c>
      <c r="I1606" t="str">
        <f>_xll.BDS("605023JG Muni","MUNI_PURPOSE_SCHED", "aggregate=y")</f>
        <v>#N/A Requesting Data...</v>
      </c>
      <c r="J1606" t="str">
        <f>_xll.BDP("605023JG Muni","CPN")</f>
        <v>#N/A Requesting Data...</v>
      </c>
      <c r="K1606" t="str">
        <f>_xll.BDP("605023JG Muni","MATURITY")</f>
        <v>#N/A Requesting Data...</v>
      </c>
      <c r="L1606">
        <v>410000</v>
      </c>
      <c r="M1606" t="str">
        <f>_xll.BDP("605023JG Muni","YIELD_ON_ISSUE_DATE")</f>
        <v>#N/A Requesting Data...</v>
      </c>
      <c r="N1606" t="str">
        <f>_xll.BDP("605023JG Muni","YTW_SPREAD_TO_MATURITY_AT_ISSU")</f>
        <v>#N/A Requesting Data...</v>
      </c>
      <c r="O1606" t="str">
        <f>_xll.BDP("605023JG Muni","BVAL_MID_YTM")</f>
        <v>#N/A Requesting Data...</v>
      </c>
      <c r="P1606" t="str">
        <f>_xll.BDP("605023JG Muni","MUNI_TAX_PROV")</f>
        <v>#N/A Requesting Data...</v>
      </c>
      <c r="Q1606" t="str">
        <f>_xll.BDP("605023JG Muni","MUNI_FED_TAX")</f>
        <v>#N/A Requesting Data...</v>
      </c>
      <c r="R1606" t="str">
        <f>_xll.BDP("605023JG Muni","MUNI_MSRB_VOLUME")</f>
        <v>#N/A Requesting Data...</v>
      </c>
      <c r="S1606" t="str">
        <f>_xll.BDP("605023JG Muni","BB_COMPOSITE")</f>
        <v>#N/A Requesting Data...</v>
      </c>
      <c r="T1606" t="str">
        <f>_xll.BDP("605023JG Muni","LQA_LIQUIDITY_SCORE")</f>
        <v>#N/A Requesting Data...</v>
      </c>
    </row>
    <row r="1607" spans="1:20" x14ac:dyDescent="0.25">
      <c r="A1607" t="str">
        <f>_xll.BDP("605023JH Muni","ID_CUSIP")</f>
        <v>#N/A Requesting Data...</v>
      </c>
      <c r="B1607" t="s">
        <v>396</v>
      </c>
      <c r="C1607" t="str">
        <f>_xll.BDP("605023JH Muni","INSURANCE_STATUS")</f>
        <v>#N/A Requesting Data...</v>
      </c>
      <c r="D1607" t="str">
        <f>_xll.BDP("605023JH Muni","STATE_CODE")</f>
        <v>#N/A Requesting Data...</v>
      </c>
      <c r="E1607" t="str">
        <f>_xll.BDP("605023JH Muni","COUNTY_LOCATION_ISSUER")</f>
        <v>#N/A Requesting Data...</v>
      </c>
      <c r="F1607" t="str">
        <f>_xll.BDP("605023JH Muni","DUR_ADJ_MID")</f>
        <v>#N/A Requesting Data...</v>
      </c>
      <c r="G1607" t="str">
        <f>_xll.BDP("605023JH Muni","SPREAD_AT_ISSUANCE_TO_WORST")</f>
        <v>#N/A Requesting Data...</v>
      </c>
      <c r="H1607" t="str">
        <f>_xll.BDP("605023JH Muni","ISSUE_DT")</f>
        <v>#N/A Requesting Data...</v>
      </c>
      <c r="I1607" t="str">
        <f>_xll.BDS("605023JH Muni","MUNI_PURPOSE_SCHED", "aggregate=y")</f>
        <v>#N/A Requesting Data...</v>
      </c>
      <c r="J1607" t="str">
        <f>_xll.BDP("605023JH Muni","CPN")</f>
        <v>#N/A Requesting Data...</v>
      </c>
      <c r="K1607" t="str">
        <f>_xll.BDP("605023JH Muni","MATURITY")</f>
        <v>#N/A Requesting Data...</v>
      </c>
      <c r="L1607">
        <v>425000</v>
      </c>
      <c r="M1607" t="str">
        <f>_xll.BDP("605023JH Muni","YIELD_ON_ISSUE_DATE")</f>
        <v>#N/A Requesting Data...</v>
      </c>
      <c r="N1607" t="str">
        <f>_xll.BDP("605023JH Muni","YTW_SPREAD_TO_MATURITY_AT_ISSU")</f>
        <v>#N/A Requesting Data...</v>
      </c>
      <c r="O1607" t="str">
        <f>_xll.BDP("605023JH Muni","BVAL_MID_YTM")</f>
        <v>#N/A Requesting Data...</v>
      </c>
      <c r="P1607" t="str">
        <f>_xll.BDP("605023JH Muni","MUNI_TAX_PROV")</f>
        <v>#N/A Requesting Data...</v>
      </c>
      <c r="Q1607" t="str">
        <f>_xll.BDP("605023JH Muni","MUNI_FED_TAX")</f>
        <v>#N/A Requesting Data...</v>
      </c>
      <c r="R1607" t="str">
        <f>_xll.BDP("605023JH Muni","MUNI_MSRB_VOLUME")</f>
        <v>#N/A Requesting Data...</v>
      </c>
      <c r="S1607" t="str">
        <f>_xll.BDP("605023JH Muni","BB_COMPOSITE")</f>
        <v>#N/A Requesting Data...</v>
      </c>
      <c r="T1607" t="str">
        <f>_xll.BDP("605023JH Muni","LQA_LIQUIDITY_SCORE")</f>
        <v>#N/A Requesting Data...</v>
      </c>
    </row>
    <row r="1608" spans="1:20" x14ac:dyDescent="0.25">
      <c r="A1608" t="str">
        <f>_xll.BDP("605023JJ Muni","ID_CUSIP")</f>
        <v>#N/A Requesting Data...</v>
      </c>
      <c r="B1608" t="s">
        <v>396</v>
      </c>
      <c r="C1608" t="str">
        <f>_xll.BDP("605023JJ Muni","INSURANCE_STATUS")</f>
        <v>#N/A Requesting Data...</v>
      </c>
      <c r="D1608" t="str">
        <f>_xll.BDP("605023JJ Muni","STATE_CODE")</f>
        <v>#N/A Requesting Data...</v>
      </c>
      <c r="E1608" t="str">
        <f>_xll.BDP("605023JJ Muni","COUNTY_LOCATION_ISSUER")</f>
        <v>#N/A Requesting Data...</v>
      </c>
      <c r="F1608" t="str">
        <f>_xll.BDP("605023JJ Muni","DUR_ADJ_MID")</f>
        <v>#N/A Requesting Data...</v>
      </c>
      <c r="G1608" t="str">
        <f>_xll.BDP("605023JJ Muni","SPREAD_AT_ISSUANCE_TO_WORST")</f>
        <v>#N/A Requesting Data...</v>
      </c>
      <c r="H1608" t="str">
        <f>_xll.BDP("605023JJ Muni","ISSUE_DT")</f>
        <v>#N/A Requesting Data...</v>
      </c>
      <c r="I1608" t="str">
        <f>_xll.BDS("605023JJ Muni","MUNI_PURPOSE_SCHED", "aggregate=y")</f>
        <v>#N/A Requesting Data...</v>
      </c>
      <c r="J1608" t="str">
        <f>_xll.BDP("605023JJ Muni","CPN")</f>
        <v>#N/A Requesting Data...</v>
      </c>
      <c r="K1608" t="str">
        <f>_xll.BDP("605023JJ Muni","MATURITY")</f>
        <v>#N/A Requesting Data...</v>
      </c>
      <c r="L1608">
        <v>440000</v>
      </c>
      <c r="M1608" t="str">
        <f>_xll.BDP("605023JJ Muni","YIELD_ON_ISSUE_DATE")</f>
        <v>#N/A Requesting Data...</v>
      </c>
      <c r="N1608" t="str">
        <f>_xll.BDP("605023JJ Muni","YTW_SPREAD_TO_MATURITY_AT_ISSU")</f>
        <v>#N/A Requesting Data...</v>
      </c>
      <c r="O1608" t="str">
        <f>_xll.BDP("605023JJ Muni","BVAL_MID_YTM")</f>
        <v>#N/A Requesting Data...</v>
      </c>
      <c r="P1608" t="str">
        <f>_xll.BDP("605023JJ Muni","MUNI_TAX_PROV")</f>
        <v>#N/A Requesting Data...</v>
      </c>
      <c r="Q1608" t="str">
        <f>_xll.BDP("605023JJ Muni","MUNI_FED_TAX")</f>
        <v>#N/A Requesting Data...</v>
      </c>
      <c r="R1608" t="str">
        <f>_xll.BDP("605023JJ Muni","MUNI_MSRB_VOLUME")</f>
        <v>#N/A Requesting Data...</v>
      </c>
      <c r="S1608" t="str">
        <f>_xll.BDP("605023JJ Muni","BB_COMPOSITE")</f>
        <v>#N/A Requesting Data...</v>
      </c>
      <c r="T1608" t="str">
        <f>_xll.BDP("605023JJ Muni","LQA_LIQUIDITY_SCORE")</f>
        <v>#N/A Requesting Data...</v>
      </c>
    </row>
    <row r="1609" spans="1:20" x14ac:dyDescent="0.25">
      <c r="A1609" t="str">
        <f>_xll.BDP("605023JK Muni","ID_CUSIP")</f>
        <v>#N/A Requesting Data...</v>
      </c>
      <c r="B1609" t="s">
        <v>396</v>
      </c>
      <c r="C1609" t="str">
        <f>_xll.BDP("605023JK Muni","INSURANCE_STATUS")</f>
        <v>#N/A Requesting Data...</v>
      </c>
      <c r="D1609" t="str">
        <f>_xll.BDP("605023JK Muni","STATE_CODE")</f>
        <v>#N/A Requesting Data...</v>
      </c>
      <c r="E1609" t="str">
        <f>_xll.BDP("605023JK Muni","COUNTY_LOCATION_ISSUER")</f>
        <v>#N/A Requesting Data...</v>
      </c>
      <c r="F1609" t="str">
        <f>_xll.BDP("605023JK Muni","DUR_ADJ_MID")</f>
        <v>#N/A Requesting Data...</v>
      </c>
      <c r="G1609" t="str">
        <f>_xll.BDP("605023JK Muni","SPREAD_AT_ISSUANCE_TO_WORST")</f>
        <v>#N/A Requesting Data...</v>
      </c>
      <c r="H1609" t="str">
        <f>_xll.BDP("605023JK Muni","ISSUE_DT")</f>
        <v>#N/A Requesting Data...</v>
      </c>
      <c r="I1609" t="str">
        <f>_xll.BDS("605023JK Muni","MUNI_PURPOSE_SCHED", "aggregate=y")</f>
        <v>#N/A Requesting Data...</v>
      </c>
      <c r="J1609" t="str">
        <f>_xll.BDP("605023JK Muni","CPN")</f>
        <v>#N/A Requesting Data...</v>
      </c>
      <c r="K1609" t="str">
        <f>_xll.BDP("605023JK Muni","MATURITY")</f>
        <v>#N/A Requesting Data...</v>
      </c>
      <c r="L1609">
        <v>455000</v>
      </c>
      <c r="M1609" t="str">
        <f>_xll.BDP("605023JK Muni","YIELD_ON_ISSUE_DATE")</f>
        <v>#N/A Requesting Data...</v>
      </c>
      <c r="N1609" t="str">
        <f>_xll.BDP("605023JK Muni","YTW_SPREAD_TO_MATURITY_AT_ISSU")</f>
        <v>#N/A Requesting Data...</v>
      </c>
      <c r="O1609" t="str">
        <f>_xll.BDP("605023JK Muni","BVAL_MID_YTM")</f>
        <v>#N/A Requesting Data...</v>
      </c>
      <c r="P1609" t="str">
        <f>_xll.BDP("605023JK Muni","MUNI_TAX_PROV")</f>
        <v>#N/A Requesting Data...</v>
      </c>
      <c r="Q1609" t="str">
        <f>_xll.BDP("605023JK Muni","MUNI_FED_TAX")</f>
        <v>#N/A Requesting Data...</v>
      </c>
      <c r="R1609" t="str">
        <f>_xll.BDP("605023JK Muni","MUNI_MSRB_VOLUME")</f>
        <v>#N/A Requesting Data...</v>
      </c>
      <c r="S1609" t="str">
        <f>_xll.BDP("605023JK Muni","BB_COMPOSITE")</f>
        <v>#N/A Requesting Data...</v>
      </c>
      <c r="T1609" t="str">
        <f>_xll.BDP("605023JK Muni","LQA_LIQUIDITY_SCORE")</f>
        <v>#N/A Requesting Data...</v>
      </c>
    </row>
    <row r="1610" spans="1:20" x14ac:dyDescent="0.25">
      <c r="A1610" t="str">
        <f>_xll.BDP("60534WUB Muni","ID_CUSIP")</f>
        <v>#N/A Requesting Data...</v>
      </c>
      <c r="B1610" t="s">
        <v>397</v>
      </c>
      <c r="C1610" t="str">
        <f>_xll.BDP("60534WUB Muni","INSURANCE_STATUS")</f>
        <v>#N/A Requesting Data...</v>
      </c>
      <c r="D1610" t="str">
        <f>_xll.BDP("60534WUB Muni","STATE_CODE")</f>
        <v>#N/A Requesting Data...</v>
      </c>
      <c r="E1610" t="str">
        <f>_xll.BDP("60534WUB Muni","COUNTY_LOCATION_ISSUER")</f>
        <v>#N/A Requesting Data...</v>
      </c>
      <c r="F1610" t="str">
        <f>_xll.BDP("60534WUB Muni","DUR_ADJ_MID")</f>
        <v>#N/A Requesting Data...</v>
      </c>
      <c r="G1610" t="str">
        <f>_xll.BDP("60534WUB Muni","SPREAD_AT_ISSUANCE_TO_WORST")</f>
        <v>#N/A Requesting Data...</v>
      </c>
      <c r="H1610" t="str">
        <f>_xll.BDP("60534WUB Muni","ISSUE_DT")</f>
        <v>#N/A Requesting Data...</v>
      </c>
      <c r="I1610" t="str">
        <f>_xll.BDS("60534WUB Muni","MUNI_PURPOSE_SCHED", "aggregate=y")</f>
        <v>#N/A Requesting Data...</v>
      </c>
      <c r="J1610" t="str">
        <f>_xll.BDP("60534WUB Muni","CPN")</f>
        <v>#N/A Requesting Data...</v>
      </c>
      <c r="K1610" t="str">
        <f>_xll.BDP("60534WUB Muni","MATURITY")</f>
        <v>#N/A Requesting Data...</v>
      </c>
      <c r="L1610">
        <v>830000</v>
      </c>
      <c r="M1610" t="str">
        <f>_xll.BDP("60534WUB Muni","YIELD_ON_ISSUE_DATE")</f>
        <v>#N/A Requesting Data...</v>
      </c>
      <c r="N1610" t="str">
        <f>_xll.BDP("60534WUB Muni","YTW_SPREAD_TO_MATURITY_AT_ISSU")</f>
        <v>#N/A Requesting Data...</v>
      </c>
      <c r="O1610" t="str">
        <f>_xll.BDP("60534WUB Muni","BVAL_MID_YTM")</f>
        <v>#N/A Requesting Data...</v>
      </c>
      <c r="P1610" t="str">
        <f>_xll.BDP("60534WUB Muni","MUNI_TAX_PROV")</f>
        <v>#N/A Requesting Data...</v>
      </c>
      <c r="Q1610" t="str">
        <f>_xll.BDP("60534WUB Muni","MUNI_FED_TAX")</f>
        <v>#N/A Requesting Data...</v>
      </c>
      <c r="R1610" t="str">
        <f>_xll.BDP("60534WUB Muni","MUNI_MSRB_VOLUME")</f>
        <v>#N/A Requesting Data...</v>
      </c>
      <c r="S1610" t="str">
        <f>_xll.BDP("60534WUB Muni","BB_COMPOSITE")</f>
        <v>#N/A Requesting Data...</v>
      </c>
      <c r="T1610" t="str">
        <f>_xll.BDP("60534WUB Muni","LQA_LIQUIDITY_SCORE")</f>
        <v>#N/A Requesting Data...</v>
      </c>
    </row>
    <row r="1611" spans="1:20" x14ac:dyDescent="0.25">
      <c r="A1611" t="str">
        <f>_xll.BDP("60534WUC Muni","ID_CUSIP")</f>
        <v>#N/A Requesting Data...</v>
      </c>
      <c r="B1611" t="s">
        <v>397</v>
      </c>
      <c r="C1611" t="str">
        <f>_xll.BDP("60534WUC Muni","INSURANCE_STATUS")</f>
        <v>#N/A Requesting Data...</v>
      </c>
      <c r="D1611" t="str">
        <f>_xll.BDP("60534WUC Muni","STATE_CODE")</f>
        <v>#N/A Requesting Data...</v>
      </c>
      <c r="E1611" t="str">
        <f>_xll.BDP("60534WUC Muni","COUNTY_LOCATION_ISSUER")</f>
        <v>#N/A Requesting Data...</v>
      </c>
      <c r="F1611" t="str">
        <f>_xll.BDP("60534WUC Muni","DUR_ADJ_MID")</f>
        <v>#N/A Requesting Data...</v>
      </c>
      <c r="G1611" t="str">
        <f>_xll.BDP("60534WUC Muni","SPREAD_AT_ISSUANCE_TO_WORST")</f>
        <v>#N/A Requesting Data...</v>
      </c>
      <c r="H1611" t="str">
        <f>_xll.BDP("60534WUC Muni","ISSUE_DT")</f>
        <v>#N/A Requesting Data...</v>
      </c>
      <c r="I1611" t="str">
        <f>_xll.BDS("60534WUC Muni","MUNI_PURPOSE_SCHED", "aggregate=y")</f>
        <v>#N/A Requesting Data...</v>
      </c>
      <c r="J1611" t="str">
        <f>_xll.BDP("60534WUC Muni","CPN")</f>
        <v>#N/A Requesting Data...</v>
      </c>
      <c r="K1611" t="str">
        <f>_xll.BDP("60534WUC Muni","MATURITY")</f>
        <v>#N/A Requesting Data...</v>
      </c>
      <c r="L1611">
        <v>855000</v>
      </c>
      <c r="M1611" t="str">
        <f>_xll.BDP("60534WUC Muni","YIELD_ON_ISSUE_DATE")</f>
        <v>#N/A Requesting Data...</v>
      </c>
      <c r="N1611" t="str">
        <f>_xll.BDP("60534WUC Muni","YTW_SPREAD_TO_MATURITY_AT_ISSU")</f>
        <v>#N/A Requesting Data...</v>
      </c>
      <c r="O1611" t="str">
        <f>_xll.BDP("60534WUC Muni","BVAL_MID_YTM")</f>
        <v>#N/A Requesting Data...</v>
      </c>
      <c r="P1611" t="str">
        <f>_xll.BDP("60534WUC Muni","MUNI_TAX_PROV")</f>
        <v>#N/A Requesting Data...</v>
      </c>
      <c r="Q1611" t="str">
        <f>_xll.BDP("60534WUC Muni","MUNI_FED_TAX")</f>
        <v>#N/A Requesting Data...</v>
      </c>
      <c r="R1611" t="str">
        <f>_xll.BDP("60534WUC Muni","MUNI_MSRB_VOLUME")</f>
        <v>#N/A Requesting Data...</v>
      </c>
      <c r="S1611" t="str">
        <f>_xll.BDP("60534WUC Muni","BB_COMPOSITE")</f>
        <v>#N/A Requesting Data...</v>
      </c>
      <c r="T1611" t="str">
        <f>_xll.BDP("60534WUC Muni","LQA_LIQUIDITY_SCORE")</f>
        <v>#N/A Requesting Data...</v>
      </c>
    </row>
    <row r="1612" spans="1:20" x14ac:dyDescent="0.25">
      <c r="A1612" t="str">
        <f>_xll.BDP("60534WUD Muni","ID_CUSIP")</f>
        <v>#N/A Requesting Data...</v>
      </c>
      <c r="B1612" t="s">
        <v>397</v>
      </c>
      <c r="C1612" t="str">
        <f>_xll.BDP("60534WUD Muni","INSURANCE_STATUS")</f>
        <v>#N/A Requesting Data...</v>
      </c>
      <c r="D1612" t="str">
        <f>_xll.BDP("60534WUD Muni","STATE_CODE")</f>
        <v>#N/A Requesting Data...</v>
      </c>
      <c r="E1612" t="str">
        <f>_xll.BDP("60534WUD Muni","COUNTY_LOCATION_ISSUER")</f>
        <v>#N/A Requesting Data...</v>
      </c>
      <c r="F1612" t="str">
        <f>_xll.BDP("60534WUD Muni","DUR_ADJ_MID")</f>
        <v>#N/A Requesting Data...</v>
      </c>
      <c r="G1612" t="str">
        <f>_xll.BDP("60534WUD Muni","SPREAD_AT_ISSUANCE_TO_WORST")</f>
        <v>#N/A Requesting Data...</v>
      </c>
      <c r="H1612" t="str">
        <f>_xll.BDP("60534WUD Muni","ISSUE_DT")</f>
        <v>#N/A Requesting Data...</v>
      </c>
      <c r="I1612" t="str">
        <f>_xll.BDS("60534WUD Muni","MUNI_PURPOSE_SCHED", "aggregate=y")</f>
        <v>#N/A Requesting Data...</v>
      </c>
      <c r="J1612" t="str">
        <f>_xll.BDP("60534WUD Muni","CPN")</f>
        <v>#N/A Requesting Data...</v>
      </c>
      <c r="K1612" t="str">
        <f>_xll.BDP("60534WUD Muni","MATURITY")</f>
        <v>#N/A Requesting Data...</v>
      </c>
      <c r="L1612">
        <v>900000</v>
      </c>
      <c r="M1612" t="str">
        <f>_xll.BDP("60534WUD Muni","YIELD_ON_ISSUE_DATE")</f>
        <v>#N/A Requesting Data...</v>
      </c>
      <c r="N1612" t="str">
        <f>_xll.BDP("60534WUD Muni","YTW_SPREAD_TO_MATURITY_AT_ISSU")</f>
        <v>#N/A Requesting Data...</v>
      </c>
      <c r="O1612" t="str">
        <f>_xll.BDP("60534WUD Muni","BVAL_MID_YTM")</f>
        <v>#N/A Requesting Data...</v>
      </c>
      <c r="P1612" t="str">
        <f>_xll.BDP("60534WUD Muni","MUNI_TAX_PROV")</f>
        <v>#N/A Requesting Data...</v>
      </c>
      <c r="Q1612" t="str">
        <f>_xll.BDP("60534WUD Muni","MUNI_FED_TAX")</f>
        <v>#N/A Requesting Data...</v>
      </c>
      <c r="R1612" t="str">
        <f>_xll.BDP("60534WUD Muni","MUNI_MSRB_VOLUME")</f>
        <v>#N/A Requesting Data...</v>
      </c>
      <c r="S1612" t="str">
        <f>_xll.BDP("60534WUD Muni","BB_COMPOSITE")</f>
        <v>#N/A Requesting Data...</v>
      </c>
      <c r="T1612" t="str">
        <f>_xll.BDP("60534WUD Muni","LQA_LIQUIDITY_SCORE")</f>
        <v>#N/A Requesting Data...</v>
      </c>
    </row>
    <row r="1613" spans="1:20" x14ac:dyDescent="0.25">
      <c r="A1613" t="str">
        <f>_xll.BDP("60534WUE Muni","ID_CUSIP")</f>
        <v>#N/A Requesting Data...</v>
      </c>
      <c r="B1613" t="s">
        <v>397</v>
      </c>
      <c r="C1613" t="str">
        <f>_xll.BDP("60534WUE Muni","INSURANCE_STATUS")</f>
        <v>#N/A Requesting Data...</v>
      </c>
      <c r="D1613" t="str">
        <f>_xll.BDP("60534WUE Muni","STATE_CODE")</f>
        <v>#N/A Requesting Data...</v>
      </c>
      <c r="E1613" t="str">
        <f>_xll.BDP("60534WUE Muni","COUNTY_LOCATION_ISSUER")</f>
        <v>#N/A Requesting Data...</v>
      </c>
      <c r="F1613" t="str">
        <f>_xll.BDP("60534WUE Muni","DUR_ADJ_MID")</f>
        <v>#N/A Requesting Data...</v>
      </c>
      <c r="G1613" t="str">
        <f>_xll.BDP("60534WUE Muni","SPREAD_AT_ISSUANCE_TO_WORST")</f>
        <v>#N/A Requesting Data...</v>
      </c>
      <c r="H1613" t="str">
        <f>_xll.BDP("60534WUE Muni","ISSUE_DT")</f>
        <v>#N/A Requesting Data...</v>
      </c>
      <c r="I1613" t="str">
        <f>_xll.BDS("60534WUE Muni","MUNI_PURPOSE_SCHED", "aggregate=y")</f>
        <v>#N/A Requesting Data...</v>
      </c>
      <c r="J1613" t="str">
        <f>_xll.BDP("60534WUE Muni","CPN")</f>
        <v>#N/A Requesting Data...</v>
      </c>
      <c r="K1613" t="str">
        <f>_xll.BDP("60534WUE Muni","MATURITY")</f>
        <v>#N/A Requesting Data...</v>
      </c>
      <c r="L1613">
        <v>945000</v>
      </c>
      <c r="M1613" t="str">
        <f>_xll.BDP("60534WUE Muni","YIELD_ON_ISSUE_DATE")</f>
        <v>#N/A Requesting Data...</v>
      </c>
      <c r="N1613" t="str">
        <f>_xll.BDP("60534WUE Muni","YTW_SPREAD_TO_MATURITY_AT_ISSU")</f>
        <v>#N/A Requesting Data...</v>
      </c>
      <c r="O1613" t="str">
        <f>_xll.BDP("60534WUE Muni","BVAL_MID_YTM")</f>
        <v>#N/A Requesting Data...</v>
      </c>
      <c r="P1613" t="str">
        <f>_xll.BDP("60534WUE Muni","MUNI_TAX_PROV")</f>
        <v>#N/A Requesting Data...</v>
      </c>
      <c r="Q1613" t="str">
        <f>_xll.BDP("60534WUE Muni","MUNI_FED_TAX")</f>
        <v>#N/A Requesting Data...</v>
      </c>
      <c r="R1613" t="str">
        <f>_xll.BDP("60534WUE Muni","MUNI_MSRB_VOLUME")</f>
        <v>#N/A Requesting Data...</v>
      </c>
      <c r="S1613" t="str">
        <f>_xll.BDP("60534WUE Muni","BB_COMPOSITE")</f>
        <v>#N/A Requesting Data...</v>
      </c>
      <c r="T1613" t="str">
        <f>_xll.BDP("60534WUE Muni","LQA_LIQUIDITY_SCORE")</f>
        <v>#N/A Requesting Data...</v>
      </c>
    </row>
    <row r="1614" spans="1:20" x14ac:dyDescent="0.25">
      <c r="A1614" t="str">
        <f>_xll.BDP("6060204P Muni","ID_CUSIP")</f>
        <v>#N/A Requesting Data...</v>
      </c>
      <c r="B1614" t="s">
        <v>398</v>
      </c>
      <c r="C1614" t="str">
        <f>_xll.BDP("6060204P Muni","INSURANCE_STATUS")</f>
        <v>#N/A Requesting Data...</v>
      </c>
      <c r="D1614" t="str">
        <f>_xll.BDP("6060204P Muni","STATE_CODE")</f>
        <v>#N/A Requesting Data...</v>
      </c>
      <c r="E1614" t="str">
        <f>_xll.BDP("6060204P Muni","COUNTY_LOCATION_ISSUER")</f>
        <v>#N/A Requesting Data...</v>
      </c>
      <c r="F1614" t="str">
        <f>_xll.BDP("6060204P Muni","DUR_ADJ_MID")</f>
        <v>#N/A Requesting Data...</v>
      </c>
      <c r="G1614" t="str">
        <f>_xll.BDP("6060204P Muni","SPREAD_AT_ISSUANCE_TO_WORST")</f>
        <v>#N/A Requesting Data...</v>
      </c>
      <c r="H1614" t="str">
        <f>_xll.BDP("6060204P Muni","ISSUE_DT")</f>
        <v>#N/A Requesting Data...</v>
      </c>
      <c r="I1614" t="str">
        <f>_xll.BDS("6060204P Muni","MUNI_PURPOSE_SCHED", "aggregate=y")</f>
        <v>#N/A Requesting Data...</v>
      </c>
      <c r="J1614" t="str">
        <f>_xll.BDP("6060204P Muni","CPN")</f>
        <v>#N/A Requesting Data...</v>
      </c>
      <c r="K1614" t="str">
        <f>_xll.BDP("6060204P Muni","MATURITY")</f>
        <v>#N/A Requesting Data...</v>
      </c>
      <c r="L1614">
        <v>680000</v>
      </c>
      <c r="M1614" t="str">
        <f>_xll.BDP("6060204P Muni","YIELD_ON_ISSUE_DATE")</f>
        <v>#N/A Requesting Data...</v>
      </c>
      <c r="N1614" t="str">
        <f>_xll.BDP("6060204P Muni","YTW_SPREAD_TO_MATURITY_AT_ISSU")</f>
        <v>#N/A Requesting Data...</v>
      </c>
      <c r="O1614" t="str">
        <f>_xll.BDP("6060204P Muni","BVAL_MID_YTM")</f>
        <v>#N/A Requesting Data...</v>
      </c>
      <c r="P1614" t="str">
        <f>_xll.BDP("6060204P Muni","MUNI_TAX_PROV")</f>
        <v>#N/A Requesting Data...</v>
      </c>
      <c r="Q1614" t="str">
        <f>_xll.BDP("6060204P Muni","MUNI_FED_TAX")</f>
        <v>#N/A Requesting Data...</v>
      </c>
      <c r="R1614" t="str">
        <f>_xll.BDP("6060204P Muni","MUNI_MSRB_VOLUME")</f>
        <v>#N/A Requesting Data...</v>
      </c>
      <c r="S1614" t="str">
        <f>_xll.BDP("6060204P Muni","BB_COMPOSITE")</f>
        <v>#N/A Requesting Data...</v>
      </c>
      <c r="T1614" t="str">
        <f>_xll.BDP("6060204P Muni","LQA_LIQUIDITY_SCORE")</f>
        <v>#N/A Requesting Data...</v>
      </c>
    </row>
    <row r="1615" spans="1:20" x14ac:dyDescent="0.25">
      <c r="A1615" t="str">
        <f>_xll.BDP("6060204Q Muni","ID_CUSIP")</f>
        <v>#N/A Requesting Data...</v>
      </c>
      <c r="B1615" t="s">
        <v>398</v>
      </c>
      <c r="C1615" t="str">
        <f>_xll.BDP("6060204Q Muni","INSURANCE_STATUS")</f>
        <v>#N/A Requesting Data...</v>
      </c>
      <c r="D1615" t="str">
        <f>_xll.BDP("6060204Q Muni","STATE_CODE")</f>
        <v>#N/A Requesting Data...</v>
      </c>
      <c r="E1615" t="str">
        <f>_xll.BDP("6060204Q Muni","COUNTY_LOCATION_ISSUER")</f>
        <v>#N/A Requesting Data...</v>
      </c>
      <c r="F1615" t="str">
        <f>_xll.BDP("6060204Q Muni","DUR_ADJ_MID")</f>
        <v>#N/A Requesting Data...</v>
      </c>
      <c r="G1615" t="str">
        <f>_xll.BDP("6060204Q Muni","SPREAD_AT_ISSUANCE_TO_WORST")</f>
        <v>#N/A Requesting Data...</v>
      </c>
      <c r="H1615" t="str">
        <f>_xll.BDP("6060204Q Muni","ISSUE_DT")</f>
        <v>#N/A Requesting Data...</v>
      </c>
      <c r="I1615" t="str">
        <f>_xll.BDS("6060204Q Muni","MUNI_PURPOSE_SCHED", "aggregate=y")</f>
        <v>#N/A Requesting Data...</v>
      </c>
      <c r="J1615" t="str">
        <f>_xll.BDP("6060204Q Muni","CPN")</f>
        <v>#N/A Requesting Data...</v>
      </c>
      <c r="K1615" t="str">
        <f>_xll.BDP("6060204Q Muni","MATURITY")</f>
        <v>#N/A Requesting Data...</v>
      </c>
      <c r="L1615">
        <v>715000</v>
      </c>
      <c r="M1615" t="str">
        <f>_xll.BDP("6060204Q Muni","YIELD_ON_ISSUE_DATE")</f>
        <v>#N/A Requesting Data...</v>
      </c>
      <c r="N1615" t="str">
        <f>_xll.BDP("6060204Q Muni","YTW_SPREAD_TO_MATURITY_AT_ISSU")</f>
        <v>#N/A Requesting Data...</v>
      </c>
      <c r="O1615" t="str">
        <f>_xll.BDP("6060204Q Muni","BVAL_MID_YTM")</f>
        <v>#N/A Requesting Data...</v>
      </c>
      <c r="P1615" t="str">
        <f>_xll.BDP("6060204Q Muni","MUNI_TAX_PROV")</f>
        <v>#N/A Requesting Data...</v>
      </c>
      <c r="Q1615" t="str">
        <f>_xll.BDP("6060204Q Muni","MUNI_FED_TAX")</f>
        <v>#N/A Requesting Data...</v>
      </c>
      <c r="R1615" t="str">
        <f>_xll.BDP("6060204Q Muni","MUNI_MSRB_VOLUME")</f>
        <v>#N/A Requesting Data...</v>
      </c>
      <c r="S1615" t="str">
        <f>_xll.BDP("6060204Q Muni","BB_COMPOSITE")</f>
        <v>#N/A Requesting Data...</v>
      </c>
      <c r="T1615" t="str">
        <f>_xll.BDP("6060204Q Muni","LQA_LIQUIDITY_SCORE")</f>
        <v>#N/A Requesting Data...</v>
      </c>
    </row>
    <row r="1616" spans="1:20" x14ac:dyDescent="0.25">
      <c r="A1616" t="str">
        <f>_xll.BDP("6060204R Muni","ID_CUSIP")</f>
        <v>#N/A Requesting Data...</v>
      </c>
      <c r="B1616" t="s">
        <v>398</v>
      </c>
      <c r="C1616" t="str">
        <f>_xll.BDP("6060204R Muni","INSURANCE_STATUS")</f>
        <v>#N/A Requesting Data...</v>
      </c>
      <c r="D1616" t="str">
        <f>_xll.BDP("6060204R Muni","STATE_CODE")</f>
        <v>#N/A Requesting Data...</v>
      </c>
      <c r="E1616" t="str">
        <f>_xll.BDP("6060204R Muni","COUNTY_LOCATION_ISSUER")</f>
        <v>#N/A Requesting Data...</v>
      </c>
      <c r="F1616" t="str">
        <f>_xll.BDP("6060204R Muni","DUR_ADJ_MID")</f>
        <v>#N/A Requesting Data...</v>
      </c>
      <c r="G1616" t="str">
        <f>_xll.BDP("6060204R Muni","SPREAD_AT_ISSUANCE_TO_WORST")</f>
        <v>#N/A Requesting Data...</v>
      </c>
      <c r="H1616" t="str">
        <f>_xll.BDP("6060204R Muni","ISSUE_DT")</f>
        <v>#N/A Requesting Data...</v>
      </c>
      <c r="I1616" t="str">
        <f>_xll.BDS("6060204R Muni","MUNI_PURPOSE_SCHED", "aggregate=y")</f>
        <v>#N/A Requesting Data...</v>
      </c>
      <c r="J1616" t="str">
        <f>_xll.BDP("6060204R Muni","CPN")</f>
        <v>#N/A Requesting Data...</v>
      </c>
      <c r="K1616" t="str">
        <f>_xll.BDP("6060204R Muni","MATURITY")</f>
        <v>#N/A Requesting Data...</v>
      </c>
      <c r="L1616">
        <v>750000</v>
      </c>
      <c r="M1616" t="str">
        <f>_xll.BDP("6060204R Muni","YIELD_ON_ISSUE_DATE")</f>
        <v>#N/A Requesting Data...</v>
      </c>
      <c r="N1616" t="str">
        <f>_xll.BDP("6060204R Muni","YTW_SPREAD_TO_MATURITY_AT_ISSU")</f>
        <v>#N/A Requesting Data...</v>
      </c>
      <c r="O1616" t="str">
        <f>_xll.BDP("6060204R Muni","BVAL_MID_YTM")</f>
        <v>#N/A Requesting Data...</v>
      </c>
      <c r="P1616" t="str">
        <f>_xll.BDP("6060204R Muni","MUNI_TAX_PROV")</f>
        <v>#N/A Requesting Data...</v>
      </c>
      <c r="Q1616" t="str">
        <f>_xll.BDP("6060204R Muni","MUNI_FED_TAX")</f>
        <v>#N/A Requesting Data...</v>
      </c>
      <c r="R1616" t="str">
        <f>_xll.BDP("6060204R Muni","MUNI_MSRB_VOLUME")</f>
        <v>#N/A Requesting Data...</v>
      </c>
      <c r="S1616" t="str">
        <f>_xll.BDP("6060204R Muni","BB_COMPOSITE")</f>
        <v>#N/A Requesting Data...</v>
      </c>
      <c r="T1616" t="str">
        <f>_xll.BDP("6060204R Muni","LQA_LIQUIDITY_SCORE")</f>
        <v>#N/A Requesting Data...</v>
      </c>
    </row>
    <row r="1617" spans="1:20" x14ac:dyDescent="0.25">
      <c r="A1617" t="str">
        <f>_xll.BDP("6060204S Muni","ID_CUSIP")</f>
        <v>#N/A Requesting Data...</v>
      </c>
      <c r="B1617" t="s">
        <v>398</v>
      </c>
      <c r="C1617" t="str">
        <f>_xll.BDP("6060204S Muni","INSURANCE_STATUS")</f>
        <v>#N/A Requesting Data...</v>
      </c>
      <c r="D1617" t="str">
        <f>_xll.BDP("6060204S Muni","STATE_CODE")</f>
        <v>#N/A Requesting Data...</v>
      </c>
      <c r="E1617" t="str">
        <f>_xll.BDP("6060204S Muni","COUNTY_LOCATION_ISSUER")</f>
        <v>#N/A Requesting Data...</v>
      </c>
      <c r="F1617" t="str">
        <f>_xll.BDP("6060204S Muni","DUR_ADJ_MID")</f>
        <v>#N/A Requesting Data...</v>
      </c>
      <c r="G1617" t="str">
        <f>_xll.BDP("6060204S Muni","SPREAD_AT_ISSUANCE_TO_WORST")</f>
        <v>#N/A Requesting Data...</v>
      </c>
      <c r="H1617" t="str">
        <f>_xll.BDP("6060204S Muni","ISSUE_DT")</f>
        <v>#N/A Requesting Data...</v>
      </c>
      <c r="I1617" t="str">
        <f>_xll.BDS("6060204S Muni","MUNI_PURPOSE_SCHED", "aggregate=y")</f>
        <v>#N/A Requesting Data...</v>
      </c>
      <c r="J1617" t="str">
        <f>_xll.BDP("6060204S Muni","CPN")</f>
        <v>#N/A Requesting Data...</v>
      </c>
      <c r="K1617" t="str">
        <f>_xll.BDP("6060204S Muni","MATURITY")</f>
        <v>#N/A Requesting Data...</v>
      </c>
      <c r="L1617">
        <v>785000</v>
      </c>
      <c r="M1617" t="str">
        <f>_xll.BDP("6060204S Muni","YIELD_ON_ISSUE_DATE")</f>
        <v>#N/A Requesting Data...</v>
      </c>
      <c r="N1617" t="str">
        <f>_xll.BDP("6060204S Muni","YTW_SPREAD_TO_MATURITY_AT_ISSU")</f>
        <v>#N/A Requesting Data...</v>
      </c>
      <c r="O1617" t="str">
        <f>_xll.BDP("6060204S Muni","BVAL_MID_YTM")</f>
        <v>#N/A Requesting Data...</v>
      </c>
      <c r="P1617" t="str">
        <f>_xll.BDP("6060204S Muni","MUNI_TAX_PROV")</f>
        <v>#N/A Requesting Data...</v>
      </c>
      <c r="Q1617" t="str">
        <f>_xll.BDP("6060204S Muni","MUNI_FED_TAX")</f>
        <v>#N/A Requesting Data...</v>
      </c>
      <c r="R1617" t="str">
        <f>_xll.BDP("6060204S Muni","MUNI_MSRB_VOLUME")</f>
        <v>#N/A Requesting Data...</v>
      </c>
      <c r="S1617" t="str">
        <f>_xll.BDP("6060204S Muni","BB_COMPOSITE")</f>
        <v>#N/A Requesting Data...</v>
      </c>
      <c r="T1617" t="str">
        <f>_xll.BDP("6060204S Muni","LQA_LIQUIDITY_SCORE")</f>
        <v>#N/A Requesting Data...</v>
      </c>
    </row>
    <row r="1618" spans="1:20" x14ac:dyDescent="0.25">
      <c r="A1618" t="str">
        <f>_xll.BDP("6060204T Muni","ID_CUSIP")</f>
        <v>#N/A Requesting Data...</v>
      </c>
      <c r="B1618" t="s">
        <v>398</v>
      </c>
      <c r="C1618" t="str">
        <f>_xll.BDP("6060204T Muni","INSURANCE_STATUS")</f>
        <v>#N/A Requesting Data...</v>
      </c>
      <c r="D1618" t="str">
        <f>_xll.BDP("6060204T Muni","STATE_CODE")</f>
        <v>#N/A Requesting Data...</v>
      </c>
      <c r="E1618" t="str">
        <f>_xll.BDP("6060204T Muni","COUNTY_LOCATION_ISSUER")</f>
        <v>#N/A Requesting Data...</v>
      </c>
      <c r="F1618" t="str">
        <f>_xll.BDP("6060204T Muni","DUR_ADJ_MID")</f>
        <v>#N/A Requesting Data...</v>
      </c>
      <c r="G1618" t="str">
        <f>_xll.BDP("6060204T Muni","SPREAD_AT_ISSUANCE_TO_WORST")</f>
        <v>#N/A Requesting Data...</v>
      </c>
      <c r="H1618" t="str">
        <f>_xll.BDP("6060204T Muni","ISSUE_DT")</f>
        <v>#N/A Requesting Data...</v>
      </c>
      <c r="I1618" t="str">
        <f>_xll.BDS("6060204T Muni","MUNI_PURPOSE_SCHED", "aggregate=y")</f>
        <v>#N/A Requesting Data...</v>
      </c>
      <c r="J1618" t="str">
        <f>_xll.BDP("6060204T Muni","CPN")</f>
        <v>#N/A Requesting Data...</v>
      </c>
      <c r="K1618" t="str">
        <f>_xll.BDP("6060204T Muni","MATURITY")</f>
        <v>#N/A Requesting Data...</v>
      </c>
      <c r="L1618">
        <v>825000</v>
      </c>
      <c r="M1618" t="str">
        <f>_xll.BDP("6060204T Muni","YIELD_ON_ISSUE_DATE")</f>
        <v>#N/A Requesting Data...</v>
      </c>
      <c r="N1618" t="str">
        <f>_xll.BDP("6060204T Muni","YTW_SPREAD_TO_MATURITY_AT_ISSU")</f>
        <v>#N/A Requesting Data...</v>
      </c>
      <c r="O1618" t="str">
        <f>_xll.BDP("6060204T Muni","BVAL_MID_YTM")</f>
        <v>#N/A Requesting Data...</v>
      </c>
      <c r="P1618" t="str">
        <f>_xll.BDP("6060204T Muni","MUNI_TAX_PROV")</f>
        <v>#N/A Requesting Data...</v>
      </c>
      <c r="Q1618" t="str">
        <f>_xll.BDP("6060204T Muni","MUNI_FED_TAX")</f>
        <v>#N/A Requesting Data...</v>
      </c>
      <c r="R1618" t="str">
        <f>_xll.BDP("6060204T Muni","MUNI_MSRB_VOLUME")</f>
        <v>#N/A Requesting Data...</v>
      </c>
      <c r="S1618" t="str">
        <f>_xll.BDP("6060204T Muni","BB_COMPOSITE")</f>
        <v>#N/A Requesting Data...</v>
      </c>
      <c r="T1618" t="str">
        <f>_xll.BDP("6060204T Muni","LQA_LIQUIDITY_SCORE")</f>
        <v>#N/A Requesting Data...</v>
      </c>
    </row>
    <row r="1619" spans="1:20" x14ac:dyDescent="0.25">
      <c r="A1619" t="str">
        <f>_xll.BDP("6060205K Muni","ID_CUSIP")</f>
        <v>#N/A Requesting Data...</v>
      </c>
      <c r="B1619" t="s">
        <v>398</v>
      </c>
      <c r="C1619" t="str">
        <f>_xll.BDP("6060205K Muni","INSURANCE_STATUS")</f>
        <v>#N/A Requesting Data...</v>
      </c>
      <c r="D1619" t="str">
        <f>_xll.BDP("6060205K Muni","STATE_CODE")</f>
        <v>#N/A Requesting Data...</v>
      </c>
      <c r="E1619" t="str">
        <f>_xll.BDP("6060205K Muni","COUNTY_LOCATION_ISSUER")</f>
        <v>#N/A Requesting Data...</v>
      </c>
      <c r="F1619" t="str">
        <f>_xll.BDP("6060205K Muni","DUR_ADJ_MID")</f>
        <v>#N/A Requesting Data...</v>
      </c>
      <c r="G1619" t="str">
        <f>_xll.BDP("6060205K Muni","SPREAD_AT_ISSUANCE_TO_WORST")</f>
        <v>#N/A Requesting Data...</v>
      </c>
      <c r="H1619" t="str">
        <f>_xll.BDP("6060205K Muni","ISSUE_DT")</f>
        <v>#N/A Requesting Data...</v>
      </c>
      <c r="I1619" t="str">
        <f>_xll.BDS("6060205K Muni","MUNI_PURPOSE_SCHED", "aggregate=y")</f>
        <v>#N/A Requesting Data...</v>
      </c>
      <c r="J1619" t="str">
        <f>_xll.BDP("6060205K Muni","CPN")</f>
        <v>#N/A Requesting Data...</v>
      </c>
      <c r="K1619" t="str">
        <f>_xll.BDP("6060205K Muni","MATURITY")</f>
        <v>#N/A Requesting Data...</v>
      </c>
      <c r="L1619">
        <v>45000</v>
      </c>
      <c r="M1619" t="str">
        <f>_xll.BDP("6060205K Muni","YIELD_ON_ISSUE_DATE")</f>
        <v>#N/A Requesting Data...</v>
      </c>
      <c r="N1619" t="str">
        <f>_xll.BDP("6060205K Muni","YTW_SPREAD_TO_MATURITY_AT_ISSU")</f>
        <v>#N/A Requesting Data...</v>
      </c>
      <c r="O1619" t="str">
        <f>_xll.BDP("6060205K Muni","BVAL_MID_YTM")</f>
        <v>#N/A Requesting Data...</v>
      </c>
      <c r="P1619" t="str">
        <f>_xll.BDP("6060205K Muni","MUNI_TAX_PROV")</f>
        <v>#N/A Requesting Data...</v>
      </c>
      <c r="Q1619" t="str">
        <f>_xll.BDP("6060205K Muni","MUNI_FED_TAX")</f>
        <v>#N/A Requesting Data...</v>
      </c>
      <c r="R1619" t="str">
        <f>_xll.BDP("6060205K Muni","MUNI_MSRB_VOLUME")</f>
        <v>#N/A Requesting Data...</v>
      </c>
      <c r="S1619" t="str">
        <f>_xll.BDP("6060205K Muni","BB_COMPOSITE")</f>
        <v>#N/A Requesting Data...</v>
      </c>
      <c r="T1619" t="str">
        <f>_xll.BDP("6060205K Muni","LQA_LIQUIDITY_SCORE")</f>
        <v>#N/A Requesting Data...</v>
      </c>
    </row>
    <row r="1620" spans="1:20" x14ac:dyDescent="0.25">
      <c r="A1620" t="str">
        <f>_xll.BDP("6060205L Muni","ID_CUSIP")</f>
        <v>#N/A Requesting Data...</v>
      </c>
      <c r="B1620" t="s">
        <v>398</v>
      </c>
      <c r="C1620" t="str">
        <f>_xll.BDP("6060205L Muni","INSURANCE_STATUS")</f>
        <v>#N/A Requesting Data...</v>
      </c>
      <c r="D1620" t="str">
        <f>_xll.BDP("6060205L Muni","STATE_CODE")</f>
        <v>#N/A Requesting Data...</v>
      </c>
      <c r="E1620" t="str">
        <f>_xll.BDP("6060205L Muni","COUNTY_LOCATION_ISSUER")</f>
        <v>#N/A Requesting Data...</v>
      </c>
      <c r="F1620" t="str">
        <f>_xll.BDP("6060205L Muni","DUR_ADJ_MID")</f>
        <v>#N/A Requesting Data...</v>
      </c>
      <c r="G1620" t="str">
        <f>_xll.BDP("6060205L Muni","SPREAD_AT_ISSUANCE_TO_WORST")</f>
        <v>#N/A Requesting Data...</v>
      </c>
      <c r="H1620" t="str">
        <f>_xll.BDP("6060205L Muni","ISSUE_DT")</f>
        <v>#N/A Requesting Data...</v>
      </c>
      <c r="I1620" t="str">
        <f>_xll.BDS("6060205L Muni","MUNI_PURPOSE_SCHED", "aggregate=y")</f>
        <v>#N/A Requesting Data...</v>
      </c>
      <c r="J1620" t="str">
        <f>_xll.BDP("6060205L Muni","CPN")</f>
        <v>#N/A Requesting Data...</v>
      </c>
      <c r="K1620" t="str">
        <f>_xll.BDP("6060205L Muni","MATURITY")</f>
        <v>#N/A Requesting Data...</v>
      </c>
      <c r="L1620">
        <v>45000</v>
      </c>
      <c r="M1620" t="str">
        <f>_xll.BDP("6060205L Muni","YIELD_ON_ISSUE_DATE")</f>
        <v>#N/A Requesting Data...</v>
      </c>
      <c r="N1620" t="str">
        <f>_xll.BDP("6060205L Muni","YTW_SPREAD_TO_MATURITY_AT_ISSU")</f>
        <v>#N/A Requesting Data...</v>
      </c>
      <c r="O1620" t="str">
        <f>_xll.BDP("6060205L Muni","BVAL_MID_YTM")</f>
        <v>#N/A Requesting Data...</v>
      </c>
      <c r="P1620" t="str">
        <f>_xll.BDP("6060205L Muni","MUNI_TAX_PROV")</f>
        <v>#N/A Requesting Data...</v>
      </c>
      <c r="Q1620" t="str">
        <f>_xll.BDP("6060205L Muni","MUNI_FED_TAX")</f>
        <v>#N/A Requesting Data...</v>
      </c>
      <c r="R1620" t="str">
        <f>_xll.BDP("6060205L Muni","MUNI_MSRB_VOLUME")</f>
        <v>#N/A Requesting Data...</v>
      </c>
      <c r="S1620" t="str">
        <f>_xll.BDP("6060205L Muni","BB_COMPOSITE")</f>
        <v>#N/A Requesting Data...</v>
      </c>
      <c r="T1620" t="str">
        <f>_xll.BDP("6060205L Muni","LQA_LIQUIDITY_SCORE")</f>
        <v>#N/A Requesting Data...</v>
      </c>
    </row>
    <row r="1621" spans="1:20" x14ac:dyDescent="0.25">
      <c r="A1621" t="str">
        <f>_xll.BDP("6060205M Muni","ID_CUSIP")</f>
        <v>#N/A Requesting Data...</v>
      </c>
      <c r="B1621" t="s">
        <v>398</v>
      </c>
      <c r="C1621" t="str">
        <f>_xll.BDP("6060205M Muni","INSURANCE_STATUS")</f>
        <v>#N/A Requesting Data...</v>
      </c>
      <c r="D1621" t="str">
        <f>_xll.BDP("6060205M Muni","STATE_CODE")</f>
        <v>#N/A Requesting Data...</v>
      </c>
      <c r="E1621" t="str">
        <f>_xll.BDP("6060205M Muni","COUNTY_LOCATION_ISSUER")</f>
        <v>#N/A Requesting Data...</v>
      </c>
      <c r="F1621" t="str">
        <f>_xll.BDP("6060205M Muni","DUR_ADJ_MID")</f>
        <v>#N/A Requesting Data...</v>
      </c>
      <c r="G1621" t="str">
        <f>_xll.BDP("6060205M Muni","SPREAD_AT_ISSUANCE_TO_WORST")</f>
        <v>#N/A Requesting Data...</v>
      </c>
      <c r="H1621" t="str">
        <f>_xll.BDP("6060205M Muni","ISSUE_DT")</f>
        <v>#N/A Requesting Data...</v>
      </c>
      <c r="I1621" t="str">
        <f>_xll.BDS("6060205M Muni","MUNI_PURPOSE_SCHED", "aggregate=y")</f>
        <v>#N/A Requesting Data...</v>
      </c>
      <c r="J1621" t="str">
        <f>_xll.BDP("6060205M Muni","CPN")</f>
        <v>#N/A Requesting Data...</v>
      </c>
      <c r="K1621" t="str">
        <f>_xll.BDP("6060205M Muni","MATURITY")</f>
        <v>#N/A Requesting Data...</v>
      </c>
      <c r="L1621">
        <v>50000</v>
      </c>
      <c r="M1621" t="str">
        <f>_xll.BDP("6060205M Muni","YIELD_ON_ISSUE_DATE")</f>
        <v>#N/A Requesting Data...</v>
      </c>
      <c r="N1621" t="str">
        <f>_xll.BDP("6060205M Muni","YTW_SPREAD_TO_MATURITY_AT_ISSU")</f>
        <v>#N/A Requesting Data...</v>
      </c>
      <c r="O1621" t="str">
        <f>_xll.BDP("6060205M Muni","BVAL_MID_YTM")</f>
        <v>#N/A Requesting Data...</v>
      </c>
      <c r="P1621" t="str">
        <f>_xll.BDP("6060205M Muni","MUNI_TAX_PROV")</f>
        <v>#N/A Requesting Data...</v>
      </c>
      <c r="Q1621" t="str">
        <f>_xll.BDP("6060205M Muni","MUNI_FED_TAX")</f>
        <v>#N/A Requesting Data...</v>
      </c>
      <c r="R1621" t="str">
        <f>_xll.BDP("6060205M Muni","MUNI_MSRB_VOLUME")</f>
        <v>#N/A Requesting Data...</v>
      </c>
      <c r="S1621" t="str">
        <f>_xll.BDP("6060205M Muni","BB_COMPOSITE")</f>
        <v>#N/A Requesting Data...</v>
      </c>
      <c r="T1621" t="str">
        <f>_xll.BDP("6060205M Muni","LQA_LIQUIDITY_SCORE")</f>
        <v>#N/A Requesting Data...</v>
      </c>
    </row>
    <row r="1622" spans="1:20" x14ac:dyDescent="0.25">
      <c r="A1622" t="str">
        <f>_xll.BDP("6060205N Muni","ID_CUSIP")</f>
        <v>#N/A Requesting Data...</v>
      </c>
      <c r="B1622" t="s">
        <v>398</v>
      </c>
      <c r="C1622" t="str">
        <f>_xll.BDP("6060205N Muni","INSURANCE_STATUS")</f>
        <v>#N/A Requesting Data...</v>
      </c>
      <c r="D1622" t="str">
        <f>_xll.BDP("6060205N Muni","STATE_CODE")</f>
        <v>#N/A Requesting Data...</v>
      </c>
      <c r="E1622" t="str">
        <f>_xll.BDP("6060205N Muni","COUNTY_LOCATION_ISSUER")</f>
        <v>#N/A Requesting Data...</v>
      </c>
      <c r="F1622" t="str">
        <f>_xll.BDP("6060205N Muni","DUR_ADJ_MID")</f>
        <v>#N/A Requesting Data...</v>
      </c>
      <c r="G1622" t="str">
        <f>_xll.BDP("6060205N Muni","SPREAD_AT_ISSUANCE_TO_WORST")</f>
        <v>#N/A Requesting Data...</v>
      </c>
      <c r="H1622" t="str">
        <f>_xll.BDP("6060205N Muni","ISSUE_DT")</f>
        <v>#N/A Requesting Data...</v>
      </c>
      <c r="I1622" t="str">
        <f>_xll.BDS("6060205N Muni","MUNI_PURPOSE_SCHED", "aggregate=y")</f>
        <v>#N/A Requesting Data...</v>
      </c>
      <c r="J1622" t="str">
        <f>_xll.BDP("6060205N Muni","CPN")</f>
        <v>#N/A Requesting Data...</v>
      </c>
      <c r="K1622" t="str">
        <f>_xll.BDP("6060205N Muni","MATURITY")</f>
        <v>#N/A Requesting Data...</v>
      </c>
      <c r="L1622">
        <v>50000</v>
      </c>
      <c r="M1622" t="str">
        <f>_xll.BDP("6060205N Muni","YIELD_ON_ISSUE_DATE")</f>
        <v>#N/A Requesting Data...</v>
      </c>
      <c r="N1622" t="str">
        <f>_xll.BDP("6060205N Muni","YTW_SPREAD_TO_MATURITY_AT_ISSU")</f>
        <v>#N/A Requesting Data...</v>
      </c>
      <c r="O1622" t="str">
        <f>_xll.BDP("6060205N Muni","BVAL_MID_YTM")</f>
        <v>#N/A Requesting Data...</v>
      </c>
      <c r="P1622" t="str">
        <f>_xll.BDP("6060205N Muni","MUNI_TAX_PROV")</f>
        <v>#N/A Requesting Data...</v>
      </c>
      <c r="Q1622" t="str">
        <f>_xll.BDP("6060205N Muni","MUNI_FED_TAX")</f>
        <v>#N/A Requesting Data...</v>
      </c>
      <c r="R1622" t="str">
        <f>_xll.BDP("6060205N Muni","MUNI_MSRB_VOLUME")</f>
        <v>#N/A Requesting Data...</v>
      </c>
      <c r="S1622" t="str">
        <f>_xll.BDP("6060205N Muni","BB_COMPOSITE")</f>
        <v>#N/A Requesting Data...</v>
      </c>
      <c r="T1622" t="str">
        <f>_xll.BDP("6060205N Muni","LQA_LIQUIDITY_SCORE")</f>
        <v>#N/A Requesting Data...</v>
      </c>
    </row>
    <row r="1623" spans="1:20" x14ac:dyDescent="0.25">
      <c r="A1623" t="str">
        <f>_xll.BDP("6060205P Muni","ID_CUSIP")</f>
        <v>#N/A Requesting Data...</v>
      </c>
      <c r="B1623" t="s">
        <v>398</v>
      </c>
      <c r="C1623" t="str">
        <f>_xll.BDP("6060205P Muni","INSURANCE_STATUS")</f>
        <v>#N/A Requesting Data...</v>
      </c>
      <c r="D1623" t="str">
        <f>_xll.BDP("6060205P Muni","STATE_CODE")</f>
        <v>#N/A Requesting Data...</v>
      </c>
      <c r="E1623" t="str">
        <f>_xll.BDP("6060205P Muni","COUNTY_LOCATION_ISSUER")</f>
        <v>#N/A Requesting Data...</v>
      </c>
      <c r="F1623" t="str">
        <f>_xll.BDP("6060205P Muni","DUR_ADJ_MID")</f>
        <v>#N/A Requesting Data...</v>
      </c>
      <c r="G1623" t="str">
        <f>_xll.BDP("6060205P Muni","SPREAD_AT_ISSUANCE_TO_WORST")</f>
        <v>#N/A Requesting Data...</v>
      </c>
      <c r="H1623" t="str">
        <f>_xll.BDP("6060205P Muni","ISSUE_DT")</f>
        <v>#N/A Requesting Data...</v>
      </c>
      <c r="I1623" t="str">
        <f>_xll.BDS("6060205P Muni","MUNI_PURPOSE_SCHED", "aggregate=y")</f>
        <v>#N/A Requesting Data...</v>
      </c>
      <c r="J1623" t="str">
        <f>_xll.BDP("6060205P Muni","CPN")</f>
        <v>#N/A Requesting Data...</v>
      </c>
      <c r="K1623" t="str">
        <f>_xll.BDP("6060205P Muni","MATURITY")</f>
        <v>#N/A Requesting Data...</v>
      </c>
      <c r="L1623">
        <v>50000</v>
      </c>
      <c r="M1623" t="str">
        <f>_xll.BDP("6060205P Muni","YIELD_ON_ISSUE_DATE")</f>
        <v>#N/A Requesting Data...</v>
      </c>
      <c r="N1623" t="str">
        <f>_xll.BDP("6060205P Muni","YTW_SPREAD_TO_MATURITY_AT_ISSU")</f>
        <v>#N/A Requesting Data...</v>
      </c>
      <c r="O1623" t="str">
        <f>_xll.BDP("6060205P Muni","BVAL_MID_YTM")</f>
        <v>#N/A Requesting Data...</v>
      </c>
      <c r="P1623" t="str">
        <f>_xll.BDP("6060205P Muni","MUNI_TAX_PROV")</f>
        <v>#N/A Requesting Data...</v>
      </c>
      <c r="Q1623" t="str">
        <f>_xll.BDP("6060205P Muni","MUNI_FED_TAX")</f>
        <v>#N/A Requesting Data...</v>
      </c>
      <c r="R1623" t="str">
        <f>_xll.BDP("6060205P Muni","MUNI_MSRB_VOLUME")</f>
        <v>#N/A Requesting Data...</v>
      </c>
      <c r="S1623" t="str">
        <f>_xll.BDP("6060205P Muni","BB_COMPOSITE")</f>
        <v>#N/A Requesting Data...</v>
      </c>
      <c r="T1623" t="str">
        <f>_xll.BDP("6060205P Muni","LQA_LIQUIDITY_SCORE")</f>
        <v>#N/A Requesting Data...</v>
      </c>
    </row>
    <row r="1624" spans="1:20" x14ac:dyDescent="0.25">
      <c r="A1624" t="str">
        <f>_xll.BDP("60636UGZ Muni","ID_CUSIP")</f>
        <v>#N/A Requesting Data...</v>
      </c>
      <c r="B1624" t="s">
        <v>399</v>
      </c>
      <c r="C1624" t="str">
        <f>_xll.BDP("60636UGZ Muni","INSURANCE_STATUS")</f>
        <v>#N/A Requesting Data...</v>
      </c>
      <c r="D1624" t="str">
        <f>_xll.BDP("60636UGZ Muni","STATE_CODE")</f>
        <v>#N/A Requesting Data...</v>
      </c>
      <c r="E1624" t="str">
        <f>_xll.BDP("60636UGZ Muni","COUNTY_LOCATION_ISSUER")</f>
        <v>#N/A Requesting Data...</v>
      </c>
      <c r="F1624" t="str">
        <f>_xll.BDP("60636UGZ Muni","DUR_ADJ_MID")</f>
        <v>#N/A Requesting Data...</v>
      </c>
      <c r="G1624" t="str">
        <f>_xll.BDP("60636UGZ Muni","SPREAD_AT_ISSUANCE_TO_WORST")</f>
        <v>#N/A Requesting Data...</v>
      </c>
      <c r="H1624" t="str">
        <f>_xll.BDP("60636UGZ Muni","ISSUE_DT")</f>
        <v>#N/A Requesting Data...</v>
      </c>
      <c r="I1624" t="str">
        <f>_xll.BDS("60636UGZ Muni","MUNI_PURPOSE_SCHED", "aggregate=y")</f>
        <v>#N/A Requesting Data...</v>
      </c>
      <c r="J1624" t="str">
        <f>_xll.BDP("60636UGZ Muni","CPN")</f>
        <v>#N/A Requesting Data...</v>
      </c>
      <c r="K1624" t="str">
        <f>_xll.BDP("60636UGZ Muni","MATURITY")</f>
        <v>#N/A Requesting Data...</v>
      </c>
      <c r="L1624">
        <v>1295000</v>
      </c>
      <c r="M1624" t="str">
        <f>_xll.BDP("60636UGZ Muni","YIELD_ON_ISSUE_DATE")</f>
        <v>#N/A Requesting Data...</v>
      </c>
      <c r="N1624" t="str">
        <f>_xll.BDP("60636UGZ Muni","YTW_SPREAD_TO_MATURITY_AT_ISSU")</f>
        <v>#N/A Requesting Data...</v>
      </c>
      <c r="O1624" t="str">
        <f>_xll.BDP("60636UGZ Muni","BVAL_MID_YTM")</f>
        <v>#N/A Requesting Data...</v>
      </c>
      <c r="P1624" t="str">
        <f>_xll.BDP("60636UGZ Muni","MUNI_TAX_PROV")</f>
        <v>#N/A Requesting Data...</v>
      </c>
      <c r="Q1624" t="str">
        <f>_xll.BDP("60636UGZ Muni","MUNI_FED_TAX")</f>
        <v>#N/A Requesting Data...</v>
      </c>
      <c r="R1624" t="str">
        <f>_xll.BDP("60636UGZ Muni","MUNI_MSRB_VOLUME")</f>
        <v>#N/A Requesting Data...</v>
      </c>
      <c r="S1624" t="str">
        <f>_xll.BDP("60636UGZ Muni","BB_COMPOSITE")</f>
        <v>#N/A Requesting Data...</v>
      </c>
      <c r="T1624" t="str">
        <f>_xll.BDP("60636UGZ Muni","LQA_LIQUIDITY_SCORE")</f>
        <v>#N/A Requesting Data...</v>
      </c>
    </row>
    <row r="1625" spans="1:20" x14ac:dyDescent="0.25">
      <c r="A1625" t="str">
        <f>_xll.BDP("60636UHA Muni","ID_CUSIP")</f>
        <v>#N/A Requesting Data...</v>
      </c>
      <c r="B1625" t="s">
        <v>399</v>
      </c>
      <c r="C1625" t="str">
        <f>_xll.BDP("60636UHA Muni","INSURANCE_STATUS")</f>
        <v>#N/A Requesting Data...</v>
      </c>
      <c r="D1625" t="str">
        <f>_xll.BDP("60636UHA Muni","STATE_CODE")</f>
        <v>#N/A Requesting Data...</v>
      </c>
      <c r="E1625" t="str">
        <f>_xll.BDP("60636UHA Muni","COUNTY_LOCATION_ISSUER")</f>
        <v>#N/A Requesting Data...</v>
      </c>
      <c r="F1625" t="str">
        <f>_xll.BDP("60636UHA Muni","DUR_ADJ_MID")</f>
        <v>#N/A Requesting Data...</v>
      </c>
      <c r="G1625" t="str">
        <f>_xll.BDP("60636UHA Muni","SPREAD_AT_ISSUANCE_TO_WORST")</f>
        <v>#N/A Requesting Data...</v>
      </c>
      <c r="H1625" t="str">
        <f>_xll.BDP("60636UHA Muni","ISSUE_DT")</f>
        <v>#N/A Requesting Data...</v>
      </c>
      <c r="I1625" t="str">
        <f>_xll.BDS("60636UHA Muni","MUNI_PURPOSE_SCHED", "aggregate=y")</f>
        <v>#N/A Requesting Data...</v>
      </c>
      <c r="J1625" t="str">
        <f>_xll.BDP("60636UHA Muni","CPN")</f>
        <v>#N/A Requesting Data...</v>
      </c>
      <c r="K1625" t="str">
        <f>_xll.BDP("60636UHA Muni","MATURITY")</f>
        <v>#N/A Requesting Data...</v>
      </c>
      <c r="L1625">
        <v>1290000</v>
      </c>
      <c r="M1625" t="str">
        <f>_xll.BDP("60636UHA Muni","YIELD_ON_ISSUE_DATE")</f>
        <v>#N/A Requesting Data...</v>
      </c>
      <c r="N1625" t="str">
        <f>_xll.BDP("60636UHA Muni","YTW_SPREAD_TO_MATURITY_AT_ISSU")</f>
        <v>#N/A Requesting Data...</v>
      </c>
      <c r="O1625" t="str">
        <f>_xll.BDP("60636UHA Muni","BVAL_MID_YTM")</f>
        <v>#N/A Requesting Data...</v>
      </c>
      <c r="P1625" t="str">
        <f>_xll.BDP("60636UHA Muni","MUNI_TAX_PROV")</f>
        <v>#N/A Requesting Data...</v>
      </c>
      <c r="Q1625" t="str">
        <f>_xll.BDP("60636UHA Muni","MUNI_FED_TAX")</f>
        <v>#N/A Requesting Data...</v>
      </c>
      <c r="R1625" t="str">
        <f>_xll.BDP("60636UHA Muni","MUNI_MSRB_VOLUME")</f>
        <v>#N/A Requesting Data...</v>
      </c>
      <c r="S1625" t="str">
        <f>_xll.BDP("60636UHA Muni","BB_COMPOSITE")</f>
        <v>#N/A Requesting Data...</v>
      </c>
      <c r="T1625" t="str">
        <f>_xll.BDP("60636UHA Muni","LQA_LIQUIDITY_SCORE")</f>
        <v>#N/A Requesting Data...</v>
      </c>
    </row>
    <row r="1626" spans="1:20" x14ac:dyDescent="0.25">
      <c r="A1626" t="str">
        <f>_xll.BDP("60636UHB Muni","ID_CUSIP")</f>
        <v>#N/A Requesting Data...</v>
      </c>
      <c r="B1626" t="s">
        <v>399</v>
      </c>
      <c r="C1626" t="str">
        <f>_xll.BDP("60636UHB Muni","INSURANCE_STATUS")</f>
        <v>#N/A Requesting Data...</v>
      </c>
      <c r="D1626" t="str">
        <f>_xll.BDP("60636UHB Muni","STATE_CODE")</f>
        <v>#N/A Requesting Data...</v>
      </c>
      <c r="E1626" t="str">
        <f>_xll.BDP("60636UHB Muni","COUNTY_LOCATION_ISSUER")</f>
        <v>#N/A Requesting Data...</v>
      </c>
      <c r="F1626" t="str">
        <f>_xll.BDP("60636UHB Muni","DUR_ADJ_MID")</f>
        <v>#N/A Requesting Data...</v>
      </c>
      <c r="G1626" t="str">
        <f>_xll.BDP("60636UHB Muni","SPREAD_AT_ISSUANCE_TO_WORST")</f>
        <v>#N/A Requesting Data...</v>
      </c>
      <c r="H1626" t="str">
        <f>_xll.BDP("60636UHB Muni","ISSUE_DT")</f>
        <v>#N/A Requesting Data...</v>
      </c>
      <c r="I1626" t="str">
        <f>_xll.BDS("60636UHB Muni","MUNI_PURPOSE_SCHED", "aggregate=y")</f>
        <v>#N/A Requesting Data...</v>
      </c>
      <c r="J1626" t="str">
        <f>_xll.BDP("60636UHB Muni","CPN")</f>
        <v>#N/A Requesting Data...</v>
      </c>
      <c r="K1626" t="str">
        <f>_xll.BDP("60636UHB Muni","MATURITY")</f>
        <v>#N/A Requesting Data...</v>
      </c>
      <c r="L1626">
        <v>1185000</v>
      </c>
      <c r="M1626" t="str">
        <f>_xll.BDP("60636UHB Muni","YIELD_ON_ISSUE_DATE")</f>
        <v>#N/A Requesting Data...</v>
      </c>
      <c r="N1626" t="str">
        <f>_xll.BDP("60636UHB Muni","YTW_SPREAD_TO_MATURITY_AT_ISSU")</f>
        <v>#N/A Requesting Data...</v>
      </c>
      <c r="O1626" t="str">
        <f>_xll.BDP("60636UHB Muni","BVAL_MID_YTM")</f>
        <v>#N/A Requesting Data...</v>
      </c>
      <c r="P1626" t="str">
        <f>_xll.BDP("60636UHB Muni","MUNI_TAX_PROV")</f>
        <v>#N/A Requesting Data...</v>
      </c>
      <c r="Q1626" t="str">
        <f>_xll.BDP("60636UHB Muni","MUNI_FED_TAX")</f>
        <v>#N/A Requesting Data...</v>
      </c>
      <c r="R1626" t="str">
        <f>_xll.BDP("60636UHB Muni","MUNI_MSRB_VOLUME")</f>
        <v>#N/A Requesting Data...</v>
      </c>
      <c r="S1626" t="str">
        <f>_xll.BDP("60636UHB Muni","BB_COMPOSITE")</f>
        <v>#N/A Requesting Data...</v>
      </c>
      <c r="T1626" t="str">
        <f>_xll.BDP("60636UHB Muni","LQA_LIQUIDITY_SCORE")</f>
        <v>#N/A Requesting Data...</v>
      </c>
    </row>
    <row r="1627" spans="1:20" x14ac:dyDescent="0.25">
      <c r="A1627" t="str">
        <f>_xll.BDP("60636UHC Muni","ID_CUSIP")</f>
        <v>#N/A Requesting Data...</v>
      </c>
      <c r="B1627" t="s">
        <v>399</v>
      </c>
      <c r="C1627" t="str">
        <f>_xll.BDP("60636UHC Muni","INSURANCE_STATUS")</f>
        <v>#N/A Requesting Data...</v>
      </c>
      <c r="D1627" t="str">
        <f>_xll.BDP("60636UHC Muni","STATE_CODE")</f>
        <v>#N/A Requesting Data...</v>
      </c>
      <c r="E1627" t="str">
        <f>_xll.BDP("60636UHC Muni","COUNTY_LOCATION_ISSUER")</f>
        <v>#N/A Requesting Data...</v>
      </c>
      <c r="F1627" t="str">
        <f>_xll.BDP("60636UHC Muni","DUR_ADJ_MID")</f>
        <v>#N/A Requesting Data...</v>
      </c>
      <c r="G1627" t="str">
        <f>_xll.BDP("60636UHC Muni","SPREAD_AT_ISSUANCE_TO_WORST")</f>
        <v>#N/A Requesting Data...</v>
      </c>
      <c r="H1627" t="str">
        <f>_xll.BDP("60636UHC Muni","ISSUE_DT")</f>
        <v>#N/A Requesting Data...</v>
      </c>
      <c r="I1627" t="str">
        <f>_xll.BDS("60636UHC Muni","MUNI_PURPOSE_SCHED", "aggregate=y")</f>
        <v>#N/A Requesting Data...</v>
      </c>
      <c r="J1627" t="str">
        <f>_xll.BDP("60636UHC Muni","CPN")</f>
        <v>#N/A Requesting Data...</v>
      </c>
      <c r="K1627" t="str">
        <f>_xll.BDP("60636UHC Muni","MATURITY")</f>
        <v>#N/A Requesting Data...</v>
      </c>
      <c r="L1627">
        <v>1165000</v>
      </c>
      <c r="M1627" t="str">
        <f>_xll.BDP("60636UHC Muni","YIELD_ON_ISSUE_DATE")</f>
        <v>#N/A Requesting Data...</v>
      </c>
      <c r="N1627" t="str">
        <f>_xll.BDP("60636UHC Muni","YTW_SPREAD_TO_MATURITY_AT_ISSU")</f>
        <v>#N/A Requesting Data...</v>
      </c>
      <c r="O1627" t="str">
        <f>_xll.BDP("60636UHC Muni","BVAL_MID_YTM")</f>
        <v>#N/A Requesting Data...</v>
      </c>
      <c r="P1627" t="str">
        <f>_xll.BDP("60636UHC Muni","MUNI_TAX_PROV")</f>
        <v>#N/A Requesting Data...</v>
      </c>
      <c r="Q1627" t="str">
        <f>_xll.BDP("60636UHC Muni","MUNI_FED_TAX")</f>
        <v>#N/A Requesting Data...</v>
      </c>
      <c r="R1627" t="str">
        <f>_xll.BDP("60636UHC Muni","MUNI_MSRB_VOLUME")</f>
        <v>#N/A Requesting Data...</v>
      </c>
      <c r="S1627" t="str">
        <f>_xll.BDP("60636UHC Muni","BB_COMPOSITE")</f>
        <v>#N/A Requesting Data...</v>
      </c>
      <c r="T1627" t="str">
        <f>_xll.BDP("60636UHC Muni","LQA_LIQUIDITY_SCORE")</f>
        <v>#N/A Requesting Data...</v>
      </c>
    </row>
    <row r="1628" spans="1:20" x14ac:dyDescent="0.25">
      <c r="A1628" t="str">
        <f>_xll.BDP("60636UHD Muni","ID_CUSIP")</f>
        <v>#N/A Requesting Data...</v>
      </c>
      <c r="B1628" t="s">
        <v>399</v>
      </c>
      <c r="C1628" t="str">
        <f>_xll.BDP("60636UHD Muni","INSURANCE_STATUS")</f>
        <v>#N/A Requesting Data...</v>
      </c>
      <c r="D1628" t="str">
        <f>_xll.BDP("60636UHD Muni","STATE_CODE")</f>
        <v>#N/A Requesting Data...</v>
      </c>
      <c r="E1628" t="str">
        <f>_xll.BDP("60636UHD Muni","COUNTY_LOCATION_ISSUER")</f>
        <v>#N/A Requesting Data...</v>
      </c>
      <c r="F1628" t="str">
        <f>_xll.BDP("60636UHD Muni","DUR_ADJ_MID")</f>
        <v>#N/A Requesting Data...</v>
      </c>
      <c r="G1628" t="str">
        <f>_xll.BDP("60636UHD Muni","SPREAD_AT_ISSUANCE_TO_WORST")</f>
        <v>#N/A Requesting Data...</v>
      </c>
      <c r="H1628" t="str">
        <f>_xll.BDP("60636UHD Muni","ISSUE_DT")</f>
        <v>#N/A Requesting Data...</v>
      </c>
      <c r="I1628" t="str">
        <f>_xll.BDS("60636UHD Muni","MUNI_PURPOSE_SCHED", "aggregate=y")</f>
        <v>#N/A Requesting Data...</v>
      </c>
      <c r="J1628" t="str">
        <f>_xll.BDP("60636UHD Muni","CPN")</f>
        <v>#N/A Requesting Data...</v>
      </c>
      <c r="K1628" t="str">
        <f>_xll.BDP("60636UHD Muni","MATURITY")</f>
        <v>#N/A Requesting Data...</v>
      </c>
      <c r="L1628">
        <v>1060000</v>
      </c>
      <c r="M1628" t="str">
        <f>_xll.BDP("60636UHD Muni","YIELD_ON_ISSUE_DATE")</f>
        <v>#N/A Requesting Data...</v>
      </c>
      <c r="N1628" t="str">
        <f>_xll.BDP("60636UHD Muni","YTW_SPREAD_TO_MATURITY_AT_ISSU")</f>
        <v>#N/A Requesting Data...</v>
      </c>
      <c r="O1628" t="str">
        <f>_xll.BDP("60636UHD Muni","BVAL_MID_YTM")</f>
        <v>#N/A Requesting Data...</v>
      </c>
      <c r="P1628" t="str">
        <f>_xll.BDP("60636UHD Muni","MUNI_TAX_PROV")</f>
        <v>#N/A Requesting Data...</v>
      </c>
      <c r="Q1628" t="str">
        <f>_xll.BDP("60636UHD Muni","MUNI_FED_TAX")</f>
        <v>#N/A Requesting Data...</v>
      </c>
      <c r="R1628" t="str">
        <f>_xll.BDP("60636UHD Muni","MUNI_MSRB_VOLUME")</f>
        <v>#N/A Requesting Data...</v>
      </c>
      <c r="S1628" t="str">
        <f>_xll.BDP("60636UHD Muni","BB_COMPOSITE")</f>
        <v>#N/A Requesting Data...</v>
      </c>
      <c r="T1628" t="str">
        <f>_xll.BDP("60636UHD Muni","LQA_LIQUIDITY_SCORE")</f>
        <v>#N/A Requesting Data...</v>
      </c>
    </row>
    <row r="1629" spans="1:20" x14ac:dyDescent="0.25">
      <c r="A1629" t="str">
        <f>_xll.BDP("60636UHE Muni","ID_CUSIP")</f>
        <v>#N/A Requesting Data...</v>
      </c>
      <c r="B1629" t="s">
        <v>399</v>
      </c>
      <c r="C1629" t="str">
        <f>_xll.BDP("60636UHE Muni","INSURANCE_STATUS")</f>
        <v>#N/A Requesting Data...</v>
      </c>
      <c r="D1629" t="str">
        <f>_xll.BDP("60636UHE Muni","STATE_CODE")</f>
        <v>#N/A Requesting Data...</v>
      </c>
      <c r="E1629" t="str">
        <f>_xll.BDP("60636UHE Muni","COUNTY_LOCATION_ISSUER")</f>
        <v>#N/A Requesting Data...</v>
      </c>
      <c r="F1629" t="str">
        <f>_xll.BDP("60636UHE Muni","DUR_ADJ_MID")</f>
        <v>#N/A Requesting Data...</v>
      </c>
      <c r="G1629" t="str">
        <f>_xll.BDP("60636UHE Muni","SPREAD_AT_ISSUANCE_TO_WORST")</f>
        <v>#N/A Requesting Data...</v>
      </c>
      <c r="H1629" t="str">
        <f>_xll.BDP("60636UHE Muni","ISSUE_DT")</f>
        <v>#N/A Requesting Data...</v>
      </c>
      <c r="I1629" t="str">
        <f>_xll.BDS("60636UHE Muni","MUNI_PURPOSE_SCHED", "aggregate=y")</f>
        <v>#N/A Requesting Data...</v>
      </c>
      <c r="J1629" t="str">
        <f>_xll.BDP("60636UHE Muni","CPN")</f>
        <v>#N/A Requesting Data...</v>
      </c>
      <c r="K1629" t="str">
        <f>_xll.BDP("60636UHE Muni","MATURITY")</f>
        <v>#N/A Requesting Data...</v>
      </c>
      <c r="L1629">
        <v>1030000</v>
      </c>
      <c r="M1629" t="str">
        <f>_xll.BDP("60636UHE Muni","YIELD_ON_ISSUE_DATE")</f>
        <v>#N/A Requesting Data...</v>
      </c>
      <c r="N1629" t="str">
        <f>_xll.BDP("60636UHE Muni","YTW_SPREAD_TO_MATURITY_AT_ISSU")</f>
        <v>#N/A Requesting Data...</v>
      </c>
      <c r="O1629" t="str">
        <f>_xll.BDP("60636UHE Muni","BVAL_MID_YTM")</f>
        <v>#N/A Requesting Data...</v>
      </c>
      <c r="P1629" t="str">
        <f>_xll.BDP("60636UHE Muni","MUNI_TAX_PROV")</f>
        <v>#N/A Requesting Data...</v>
      </c>
      <c r="Q1629" t="str">
        <f>_xll.BDP("60636UHE Muni","MUNI_FED_TAX")</f>
        <v>#N/A Requesting Data...</v>
      </c>
      <c r="R1629" t="str">
        <f>_xll.BDP("60636UHE Muni","MUNI_MSRB_VOLUME")</f>
        <v>#N/A Requesting Data...</v>
      </c>
      <c r="S1629" t="str">
        <f>_xll.BDP("60636UHE Muni","BB_COMPOSITE")</f>
        <v>#N/A Requesting Data...</v>
      </c>
      <c r="T1629" t="str">
        <f>_xll.BDP("60636UHE Muni","LQA_LIQUIDITY_SCORE")</f>
        <v>#N/A Requesting Data...</v>
      </c>
    </row>
    <row r="1630" spans="1:20" x14ac:dyDescent="0.25">
      <c r="A1630" t="str">
        <f>_xll.BDP("60636UHF Muni","ID_CUSIP")</f>
        <v>#N/A Requesting Data...</v>
      </c>
      <c r="B1630" t="s">
        <v>399</v>
      </c>
      <c r="C1630" t="str">
        <f>_xll.BDP("60636UHF Muni","INSURANCE_STATUS")</f>
        <v>#N/A Requesting Data...</v>
      </c>
      <c r="D1630" t="str">
        <f>_xll.BDP("60636UHF Muni","STATE_CODE")</f>
        <v>#N/A Requesting Data...</v>
      </c>
      <c r="E1630" t="str">
        <f>_xll.BDP("60636UHF Muni","COUNTY_LOCATION_ISSUER")</f>
        <v>#N/A Requesting Data...</v>
      </c>
      <c r="F1630" t="str">
        <f>_xll.BDP("60636UHF Muni","DUR_ADJ_MID")</f>
        <v>#N/A Requesting Data...</v>
      </c>
      <c r="G1630" t="str">
        <f>_xll.BDP("60636UHF Muni","SPREAD_AT_ISSUANCE_TO_WORST")</f>
        <v>#N/A Requesting Data...</v>
      </c>
      <c r="H1630" t="str">
        <f>_xll.BDP("60636UHF Muni","ISSUE_DT")</f>
        <v>#N/A Requesting Data...</v>
      </c>
      <c r="I1630" t="str">
        <f>_xll.BDS("60636UHF Muni","MUNI_PURPOSE_SCHED", "aggregate=y")</f>
        <v>#N/A Requesting Data...</v>
      </c>
      <c r="J1630" t="str">
        <f>_xll.BDP("60636UHF Muni","CPN")</f>
        <v>#N/A Requesting Data...</v>
      </c>
      <c r="K1630" t="str">
        <f>_xll.BDP("60636UHF Muni","MATURITY")</f>
        <v>#N/A Requesting Data...</v>
      </c>
      <c r="L1630">
        <v>890000</v>
      </c>
      <c r="M1630" t="str">
        <f>_xll.BDP("60636UHF Muni","YIELD_ON_ISSUE_DATE")</f>
        <v>#N/A Requesting Data...</v>
      </c>
      <c r="N1630" t="str">
        <f>_xll.BDP("60636UHF Muni","YTW_SPREAD_TO_MATURITY_AT_ISSU")</f>
        <v>#N/A Requesting Data...</v>
      </c>
      <c r="O1630" t="str">
        <f>_xll.BDP("60636UHF Muni","BVAL_MID_YTM")</f>
        <v>#N/A Requesting Data...</v>
      </c>
      <c r="P1630" t="str">
        <f>_xll.BDP("60636UHF Muni","MUNI_TAX_PROV")</f>
        <v>#N/A Requesting Data...</v>
      </c>
      <c r="Q1630" t="str">
        <f>_xll.BDP("60636UHF Muni","MUNI_FED_TAX")</f>
        <v>#N/A Requesting Data...</v>
      </c>
      <c r="R1630" t="str">
        <f>_xll.BDP("60636UHF Muni","MUNI_MSRB_VOLUME")</f>
        <v>#N/A Requesting Data...</v>
      </c>
      <c r="S1630" t="str">
        <f>_xll.BDP("60636UHF Muni","BB_COMPOSITE")</f>
        <v>#N/A Requesting Data...</v>
      </c>
      <c r="T1630" t="str">
        <f>_xll.BDP("60636UHF Muni","LQA_LIQUIDITY_SCORE")</f>
        <v>#N/A Requesting Data...</v>
      </c>
    </row>
    <row r="1631" spans="1:20" x14ac:dyDescent="0.25">
      <c r="A1631" t="str">
        <f>_xll.BDP("60636UHG Muni","ID_CUSIP")</f>
        <v>#N/A Requesting Data...</v>
      </c>
      <c r="B1631" t="s">
        <v>399</v>
      </c>
      <c r="C1631" t="str">
        <f>_xll.BDP("60636UHG Muni","INSURANCE_STATUS")</f>
        <v>#N/A Requesting Data...</v>
      </c>
      <c r="D1631" t="str">
        <f>_xll.BDP("60636UHG Muni","STATE_CODE")</f>
        <v>#N/A Requesting Data...</v>
      </c>
      <c r="E1631" t="str">
        <f>_xll.BDP("60636UHG Muni","COUNTY_LOCATION_ISSUER")</f>
        <v>#N/A Requesting Data...</v>
      </c>
      <c r="F1631" t="str">
        <f>_xll.BDP("60636UHG Muni","DUR_ADJ_MID")</f>
        <v>#N/A Requesting Data...</v>
      </c>
      <c r="G1631" t="str">
        <f>_xll.BDP("60636UHG Muni","SPREAD_AT_ISSUANCE_TO_WORST")</f>
        <v>#N/A Requesting Data...</v>
      </c>
      <c r="H1631" t="str">
        <f>_xll.BDP("60636UHG Muni","ISSUE_DT")</f>
        <v>#N/A Requesting Data...</v>
      </c>
      <c r="I1631" t="str">
        <f>_xll.BDS("60636UHG Muni","MUNI_PURPOSE_SCHED", "aggregate=y")</f>
        <v>#N/A Requesting Data...</v>
      </c>
      <c r="J1631" t="str">
        <f>_xll.BDP("60636UHG Muni","CPN")</f>
        <v>#N/A Requesting Data...</v>
      </c>
      <c r="K1631" t="str">
        <f>_xll.BDP("60636UHG Muni","MATURITY")</f>
        <v>#N/A Requesting Data...</v>
      </c>
      <c r="L1631">
        <v>860000</v>
      </c>
      <c r="M1631" t="str">
        <f>_xll.BDP("60636UHG Muni","YIELD_ON_ISSUE_DATE")</f>
        <v>#N/A Requesting Data...</v>
      </c>
      <c r="N1631" t="str">
        <f>_xll.BDP("60636UHG Muni","YTW_SPREAD_TO_MATURITY_AT_ISSU")</f>
        <v>#N/A Requesting Data...</v>
      </c>
      <c r="O1631" t="str">
        <f>_xll.BDP("60636UHG Muni","BVAL_MID_YTM")</f>
        <v>#N/A Requesting Data...</v>
      </c>
      <c r="P1631" t="str">
        <f>_xll.BDP("60636UHG Muni","MUNI_TAX_PROV")</f>
        <v>#N/A Requesting Data...</v>
      </c>
      <c r="Q1631" t="str">
        <f>_xll.BDP("60636UHG Muni","MUNI_FED_TAX")</f>
        <v>#N/A Requesting Data...</v>
      </c>
      <c r="R1631" t="str">
        <f>_xll.BDP("60636UHG Muni","MUNI_MSRB_VOLUME")</f>
        <v>#N/A Requesting Data...</v>
      </c>
      <c r="S1631" t="str">
        <f>_xll.BDP("60636UHG Muni","BB_COMPOSITE")</f>
        <v>#N/A Requesting Data...</v>
      </c>
      <c r="T1631" t="str">
        <f>_xll.BDP("60636UHG Muni","LQA_LIQUIDITY_SCORE")</f>
        <v>#N/A Requesting Data...</v>
      </c>
    </row>
    <row r="1632" spans="1:20" x14ac:dyDescent="0.25">
      <c r="A1632" t="str">
        <f>_xll.BDP("60636UHH Muni","ID_CUSIP")</f>
        <v>#N/A Requesting Data...</v>
      </c>
      <c r="B1632" t="s">
        <v>399</v>
      </c>
      <c r="C1632" t="str">
        <f>_xll.BDP("60636UHH Muni","INSURANCE_STATUS")</f>
        <v>#N/A Requesting Data...</v>
      </c>
      <c r="D1632" t="str">
        <f>_xll.BDP("60636UHH Muni","STATE_CODE")</f>
        <v>#N/A Requesting Data...</v>
      </c>
      <c r="E1632" t="str">
        <f>_xll.BDP("60636UHH Muni","COUNTY_LOCATION_ISSUER")</f>
        <v>#N/A Requesting Data...</v>
      </c>
      <c r="F1632" t="str">
        <f>_xll.BDP("60636UHH Muni","DUR_ADJ_MID")</f>
        <v>#N/A Requesting Data...</v>
      </c>
      <c r="G1632" t="str">
        <f>_xll.BDP("60636UHH Muni","SPREAD_AT_ISSUANCE_TO_WORST")</f>
        <v>#N/A Requesting Data...</v>
      </c>
      <c r="H1632" t="str">
        <f>_xll.BDP("60636UHH Muni","ISSUE_DT")</f>
        <v>#N/A Requesting Data...</v>
      </c>
      <c r="I1632" t="str">
        <f>_xll.BDS("60636UHH Muni","MUNI_PURPOSE_SCHED", "aggregate=y")</f>
        <v>#N/A Requesting Data...</v>
      </c>
      <c r="J1632" t="str">
        <f>_xll.BDP("60636UHH Muni","CPN")</f>
        <v>#N/A Requesting Data...</v>
      </c>
      <c r="K1632" t="str">
        <f>_xll.BDP("60636UHH Muni","MATURITY")</f>
        <v>#N/A Requesting Data...</v>
      </c>
      <c r="L1632">
        <v>845000</v>
      </c>
      <c r="M1632" t="str">
        <f>_xll.BDP("60636UHH Muni","YIELD_ON_ISSUE_DATE")</f>
        <v>#N/A Requesting Data...</v>
      </c>
      <c r="N1632" t="str">
        <f>_xll.BDP("60636UHH Muni","YTW_SPREAD_TO_MATURITY_AT_ISSU")</f>
        <v>#N/A Requesting Data...</v>
      </c>
      <c r="O1632" t="str">
        <f>_xll.BDP("60636UHH Muni","BVAL_MID_YTM")</f>
        <v>#N/A Requesting Data...</v>
      </c>
      <c r="P1632" t="str">
        <f>_xll.BDP("60636UHH Muni","MUNI_TAX_PROV")</f>
        <v>#N/A Requesting Data...</v>
      </c>
      <c r="Q1632" t="str">
        <f>_xll.BDP("60636UHH Muni","MUNI_FED_TAX")</f>
        <v>#N/A Requesting Data...</v>
      </c>
      <c r="R1632" t="str">
        <f>_xll.BDP("60636UHH Muni","MUNI_MSRB_VOLUME")</f>
        <v>#N/A Requesting Data...</v>
      </c>
      <c r="S1632" t="str">
        <f>_xll.BDP("60636UHH Muni","BB_COMPOSITE")</f>
        <v>#N/A Requesting Data...</v>
      </c>
      <c r="T1632" t="str">
        <f>_xll.BDP("60636UHH Muni","LQA_LIQUIDITY_SCORE")</f>
        <v>#N/A Requesting Data...</v>
      </c>
    </row>
    <row r="1633" spans="1:20" x14ac:dyDescent="0.25">
      <c r="A1633" t="str">
        <f>_xll.BDP("60636UHJ Muni","ID_CUSIP")</f>
        <v>#N/A Requesting Data...</v>
      </c>
      <c r="B1633" t="s">
        <v>399</v>
      </c>
      <c r="C1633" t="str">
        <f>_xll.BDP("60636UHJ Muni","INSURANCE_STATUS")</f>
        <v>#N/A Requesting Data...</v>
      </c>
      <c r="D1633" t="str">
        <f>_xll.BDP("60636UHJ Muni","STATE_CODE")</f>
        <v>#N/A Requesting Data...</v>
      </c>
      <c r="E1633" t="str">
        <f>_xll.BDP("60636UHJ Muni","COUNTY_LOCATION_ISSUER")</f>
        <v>#N/A Requesting Data...</v>
      </c>
      <c r="F1633" t="str">
        <f>_xll.BDP("60636UHJ Muni","DUR_ADJ_MID")</f>
        <v>#N/A Requesting Data...</v>
      </c>
      <c r="G1633" t="str">
        <f>_xll.BDP("60636UHJ Muni","SPREAD_AT_ISSUANCE_TO_WORST")</f>
        <v>#N/A Requesting Data...</v>
      </c>
      <c r="H1633" t="str">
        <f>_xll.BDP("60636UHJ Muni","ISSUE_DT")</f>
        <v>#N/A Requesting Data...</v>
      </c>
      <c r="I1633" t="str">
        <f>_xll.BDS("60636UHJ Muni","MUNI_PURPOSE_SCHED", "aggregate=y")</f>
        <v>#N/A Requesting Data...</v>
      </c>
      <c r="J1633" t="str">
        <f>_xll.BDP("60636UHJ Muni","CPN")</f>
        <v>#N/A Requesting Data...</v>
      </c>
      <c r="K1633" t="str">
        <f>_xll.BDP("60636UHJ Muni","MATURITY")</f>
        <v>#N/A Requesting Data...</v>
      </c>
      <c r="L1633">
        <v>775000</v>
      </c>
      <c r="M1633" t="str">
        <f>_xll.BDP("60636UHJ Muni","YIELD_ON_ISSUE_DATE")</f>
        <v>#N/A Requesting Data...</v>
      </c>
      <c r="N1633" t="str">
        <f>_xll.BDP("60636UHJ Muni","YTW_SPREAD_TO_MATURITY_AT_ISSU")</f>
        <v>#N/A Requesting Data...</v>
      </c>
      <c r="O1633" t="str">
        <f>_xll.BDP("60636UHJ Muni","BVAL_MID_YTM")</f>
        <v>#N/A Requesting Data...</v>
      </c>
      <c r="P1633" t="str">
        <f>_xll.BDP("60636UHJ Muni","MUNI_TAX_PROV")</f>
        <v>#N/A Requesting Data...</v>
      </c>
      <c r="Q1633" t="str">
        <f>_xll.BDP("60636UHJ Muni","MUNI_FED_TAX")</f>
        <v>#N/A Requesting Data...</v>
      </c>
      <c r="R1633" t="str">
        <f>_xll.BDP("60636UHJ Muni","MUNI_MSRB_VOLUME")</f>
        <v>#N/A Requesting Data...</v>
      </c>
      <c r="S1633" t="str">
        <f>_xll.BDP("60636UHJ Muni","BB_COMPOSITE")</f>
        <v>#N/A Requesting Data...</v>
      </c>
      <c r="T1633" t="str">
        <f>_xll.BDP("60636UHJ Muni","LQA_LIQUIDITY_SCORE")</f>
        <v>#N/A Requesting Data...</v>
      </c>
    </row>
    <row r="1634" spans="1:20" x14ac:dyDescent="0.25">
      <c r="A1634" t="str">
        <f>_xll.BDP("60636UHK Muni","ID_CUSIP")</f>
        <v>#N/A Requesting Data...</v>
      </c>
      <c r="B1634" t="s">
        <v>399</v>
      </c>
      <c r="C1634" t="str">
        <f>_xll.BDP("60636UHK Muni","INSURANCE_STATUS")</f>
        <v>#N/A Requesting Data...</v>
      </c>
      <c r="D1634" t="str">
        <f>_xll.BDP("60636UHK Muni","STATE_CODE")</f>
        <v>#N/A Requesting Data...</v>
      </c>
      <c r="E1634" t="str">
        <f>_xll.BDP("60636UHK Muni","COUNTY_LOCATION_ISSUER")</f>
        <v>#N/A Requesting Data...</v>
      </c>
      <c r="F1634" t="str">
        <f>_xll.BDP("60636UHK Muni","DUR_ADJ_MID")</f>
        <v>#N/A Requesting Data...</v>
      </c>
      <c r="G1634" t="str">
        <f>_xll.BDP("60636UHK Muni","SPREAD_AT_ISSUANCE_TO_WORST")</f>
        <v>#N/A Requesting Data...</v>
      </c>
      <c r="H1634" t="str">
        <f>_xll.BDP("60636UHK Muni","ISSUE_DT")</f>
        <v>#N/A Requesting Data...</v>
      </c>
      <c r="I1634" t="str">
        <f>_xll.BDS("60636UHK Muni","MUNI_PURPOSE_SCHED", "aggregate=y")</f>
        <v>#N/A Requesting Data...</v>
      </c>
      <c r="J1634" t="str">
        <f>_xll.BDP("60636UHK Muni","CPN")</f>
        <v>#N/A Requesting Data...</v>
      </c>
      <c r="K1634" t="str">
        <f>_xll.BDP("60636UHK Muni","MATURITY")</f>
        <v>#N/A Requesting Data...</v>
      </c>
      <c r="L1634">
        <v>800000</v>
      </c>
      <c r="M1634" t="str">
        <f>_xll.BDP("60636UHK Muni","YIELD_ON_ISSUE_DATE")</f>
        <v>#N/A Requesting Data...</v>
      </c>
      <c r="N1634" t="str">
        <f>_xll.BDP("60636UHK Muni","YTW_SPREAD_TO_MATURITY_AT_ISSU")</f>
        <v>#N/A Requesting Data...</v>
      </c>
      <c r="O1634" t="str">
        <f>_xll.BDP("60636UHK Muni","BVAL_MID_YTM")</f>
        <v>#N/A Requesting Data...</v>
      </c>
      <c r="P1634" t="str">
        <f>_xll.BDP("60636UHK Muni","MUNI_TAX_PROV")</f>
        <v>#N/A Requesting Data...</v>
      </c>
      <c r="Q1634" t="str">
        <f>_xll.BDP("60636UHK Muni","MUNI_FED_TAX")</f>
        <v>#N/A Requesting Data...</v>
      </c>
      <c r="R1634" t="str">
        <f>_xll.BDP("60636UHK Muni","MUNI_MSRB_VOLUME")</f>
        <v>#N/A Requesting Data...</v>
      </c>
      <c r="S1634" t="str">
        <f>_xll.BDP("60636UHK Muni","BB_COMPOSITE")</f>
        <v>#N/A Requesting Data...</v>
      </c>
      <c r="T1634" t="str">
        <f>_xll.BDP("60636UHK Muni","LQA_LIQUIDITY_SCORE")</f>
        <v>#N/A Requesting Data...</v>
      </c>
    </row>
    <row r="1635" spans="1:20" x14ac:dyDescent="0.25">
      <c r="A1635" t="str">
        <f>_xll.BDP("60636UHL Muni","ID_CUSIP")</f>
        <v>#N/A Requesting Data...</v>
      </c>
      <c r="B1635" t="s">
        <v>399</v>
      </c>
      <c r="C1635" t="str">
        <f>_xll.BDP("60636UHL Muni","INSURANCE_STATUS")</f>
        <v>#N/A Requesting Data...</v>
      </c>
      <c r="D1635" t="str">
        <f>_xll.BDP("60636UHL Muni","STATE_CODE")</f>
        <v>#N/A Requesting Data...</v>
      </c>
      <c r="E1635" t="str">
        <f>_xll.BDP("60636UHL Muni","COUNTY_LOCATION_ISSUER")</f>
        <v>#N/A Requesting Data...</v>
      </c>
      <c r="F1635" t="str">
        <f>_xll.BDP("60636UHL Muni","DUR_ADJ_MID")</f>
        <v>#N/A Requesting Data...</v>
      </c>
      <c r="G1635" t="str">
        <f>_xll.BDP("60636UHL Muni","SPREAD_AT_ISSUANCE_TO_WORST")</f>
        <v>#N/A Requesting Data...</v>
      </c>
      <c r="H1635" t="str">
        <f>_xll.BDP("60636UHL Muni","ISSUE_DT")</f>
        <v>#N/A Requesting Data...</v>
      </c>
      <c r="I1635" t="str">
        <f>_xll.BDS("60636UHL Muni","MUNI_PURPOSE_SCHED", "aggregate=y")</f>
        <v>#N/A Requesting Data...</v>
      </c>
      <c r="J1635" t="str">
        <f>_xll.BDP("60636UHL Muni","CPN")</f>
        <v>#N/A Requesting Data...</v>
      </c>
      <c r="K1635" t="str">
        <f>_xll.BDP("60636UHL Muni","MATURITY")</f>
        <v>#N/A Requesting Data...</v>
      </c>
      <c r="L1635">
        <v>695000</v>
      </c>
      <c r="M1635" t="str">
        <f>_xll.BDP("60636UHL Muni","YIELD_ON_ISSUE_DATE")</f>
        <v>#N/A Requesting Data...</v>
      </c>
      <c r="N1635" t="str">
        <f>_xll.BDP("60636UHL Muni","YTW_SPREAD_TO_MATURITY_AT_ISSU")</f>
        <v>#N/A Requesting Data...</v>
      </c>
      <c r="O1635" t="str">
        <f>_xll.BDP("60636UHL Muni","BVAL_MID_YTM")</f>
        <v>#N/A Requesting Data...</v>
      </c>
      <c r="P1635" t="str">
        <f>_xll.BDP("60636UHL Muni","MUNI_TAX_PROV")</f>
        <v>#N/A Requesting Data...</v>
      </c>
      <c r="Q1635" t="str">
        <f>_xll.BDP("60636UHL Muni","MUNI_FED_TAX")</f>
        <v>#N/A Requesting Data...</v>
      </c>
      <c r="R1635" t="str">
        <f>_xll.BDP("60636UHL Muni","MUNI_MSRB_VOLUME")</f>
        <v>#N/A Requesting Data...</v>
      </c>
      <c r="S1635" t="str">
        <f>_xll.BDP("60636UHL Muni","BB_COMPOSITE")</f>
        <v>#N/A Requesting Data...</v>
      </c>
      <c r="T1635" t="str">
        <f>_xll.BDP("60636UHL Muni","LQA_LIQUIDITY_SCORE")</f>
        <v>#N/A Requesting Data...</v>
      </c>
    </row>
    <row r="1636" spans="1:20" x14ac:dyDescent="0.25">
      <c r="A1636" t="str">
        <f>_xll.BDP("61370LDZ Muni","ID_CUSIP")</f>
        <v>#N/A Requesting Data...</v>
      </c>
      <c r="B1636" t="s">
        <v>400</v>
      </c>
      <c r="C1636" t="str">
        <f>_xll.BDP("61370LDZ Muni","INSURANCE_STATUS")</f>
        <v>#N/A Requesting Data...</v>
      </c>
      <c r="D1636" t="str">
        <f>_xll.BDP("61370LDZ Muni","STATE_CODE")</f>
        <v>#N/A Requesting Data...</v>
      </c>
      <c r="E1636" t="str">
        <f>_xll.BDP("61370LDZ Muni","COUNTY_LOCATION_ISSUER")</f>
        <v>#N/A Requesting Data...</v>
      </c>
      <c r="F1636" t="str">
        <f>_xll.BDP("61370LDZ Muni","DUR_ADJ_MID")</f>
        <v>#N/A Requesting Data...</v>
      </c>
      <c r="G1636" t="str">
        <f>_xll.BDP("61370LDZ Muni","SPREAD_AT_ISSUANCE_TO_WORST")</f>
        <v>#N/A Requesting Data...</v>
      </c>
      <c r="H1636" t="str">
        <f>_xll.BDP("61370LDZ Muni","ISSUE_DT")</f>
        <v>#N/A Requesting Data...</v>
      </c>
      <c r="I1636" t="str">
        <f>_xll.BDS("61370LDZ Muni","MUNI_PURPOSE_SCHED", "aggregate=y")</f>
        <v>#N/A Requesting Data...</v>
      </c>
      <c r="J1636" t="str">
        <f>_xll.BDP("61370LDZ Muni","CPN")</f>
        <v>#N/A Requesting Data...</v>
      </c>
      <c r="K1636" t="str">
        <f>_xll.BDP("61370LDZ Muni","MATURITY")</f>
        <v>#N/A Requesting Data...</v>
      </c>
      <c r="L1636">
        <v>100000</v>
      </c>
      <c r="M1636" t="str">
        <f>_xll.BDP("61370LDZ Muni","YIELD_ON_ISSUE_DATE")</f>
        <v>#N/A Requesting Data...</v>
      </c>
      <c r="N1636" t="str">
        <f>_xll.BDP("61370LDZ Muni","YTW_SPREAD_TO_MATURITY_AT_ISSU")</f>
        <v>#N/A Requesting Data...</v>
      </c>
      <c r="O1636" t="str">
        <f>_xll.BDP("61370LDZ Muni","BVAL_MID_YTM")</f>
        <v>#N/A Requesting Data...</v>
      </c>
      <c r="P1636" t="str">
        <f>_xll.BDP("61370LDZ Muni","MUNI_TAX_PROV")</f>
        <v>#N/A Requesting Data...</v>
      </c>
      <c r="Q1636" t="str">
        <f>_xll.BDP("61370LDZ Muni","MUNI_FED_TAX")</f>
        <v>#N/A Requesting Data...</v>
      </c>
      <c r="R1636" t="str">
        <f>_xll.BDP("61370LDZ Muni","MUNI_MSRB_VOLUME")</f>
        <v>#N/A Requesting Data...</v>
      </c>
      <c r="S1636" t="str">
        <f>_xll.BDP("61370LDZ Muni","BB_COMPOSITE")</f>
        <v>#N/A Requesting Data...</v>
      </c>
      <c r="T1636" t="str">
        <f>_xll.BDP("61370LDZ Muni","LQA_LIQUIDITY_SCORE")</f>
        <v>#N/A Requesting Data...</v>
      </c>
    </row>
    <row r="1637" spans="1:20" x14ac:dyDescent="0.25">
      <c r="A1637" t="str">
        <f>_xll.BDP("61370LEA Muni","ID_CUSIP")</f>
        <v>#N/A Requesting Data...</v>
      </c>
      <c r="B1637" t="s">
        <v>400</v>
      </c>
      <c r="C1637" t="str">
        <f>_xll.BDP("61370LEA Muni","INSURANCE_STATUS")</f>
        <v>#N/A Requesting Data...</v>
      </c>
      <c r="D1637" t="str">
        <f>_xll.BDP("61370LEA Muni","STATE_CODE")</f>
        <v>#N/A Requesting Data...</v>
      </c>
      <c r="E1637" t="str">
        <f>_xll.BDP("61370LEA Muni","COUNTY_LOCATION_ISSUER")</f>
        <v>#N/A Requesting Data...</v>
      </c>
      <c r="F1637" t="str">
        <f>_xll.BDP("61370LEA Muni","DUR_ADJ_MID")</f>
        <v>#N/A Requesting Data...</v>
      </c>
      <c r="G1637" t="str">
        <f>_xll.BDP("61370LEA Muni","SPREAD_AT_ISSUANCE_TO_WORST")</f>
        <v>#N/A Requesting Data...</v>
      </c>
      <c r="H1637" t="str">
        <f>_xll.BDP("61370LEA Muni","ISSUE_DT")</f>
        <v>#N/A Requesting Data...</v>
      </c>
      <c r="I1637" t="str">
        <f>_xll.BDS("61370LEA Muni","MUNI_PURPOSE_SCHED", "aggregate=y")</f>
        <v>#N/A Requesting Data...</v>
      </c>
      <c r="J1637" t="str">
        <f>_xll.BDP("61370LEA Muni","CPN")</f>
        <v>#N/A Requesting Data...</v>
      </c>
      <c r="K1637" t="str">
        <f>_xll.BDP("61370LEA Muni","MATURITY")</f>
        <v>#N/A Requesting Data...</v>
      </c>
      <c r="L1637">
        <v>100000</v>
      </c>
      <c r="M1637" t="str">
        <f>_xll.BDP("61370LEA Muni","YIELD_ON_ISSUE_DATE")</f>
        <v>#N/A Requesting Data...</v>
      </c>
      <c r="N1637" t="str">
        <f>_xll.BDP("61370LEA Muni","YTW_SPREAD_TO_MATURITY_AT_ISSU")</f>
        <v>#N/A Requesting Data...</v>
      </c>
      <c r="O1637" t="str">
        <f>_xll.BDP("61370LEA Muni","BVAL_MID_YTM")</f>
        <v>#N/A Requesting Data...</v>
      </c>
      <c r="P1637" t="str">
        <f>_xll.BDP("61370LEA Muni","MUNI_TAX_PROV")</f>
        <v>#N/A Requesting Data...</v>
      </c>
      <c r="Q1637" t="str">
        <f>_xll.BDP("61370LEA Muni","MUNI_FED_TAX")</f>
        <v>#N/A Requesting Data...</v>
      </c>
      <c r="R1637" t="str">
        <f>_xll.BDP("61370LEA Muni","MUNI_MSRB_VOLUME")</f>
        <v>#N/A Requesting Data...</v>
      </c>
      <c r="S1637" t="str">
        <f>_xll.BDP("61370LEA Muni","BB_COMPOSITE")</f>
        <v>#N/A Requesting Data...</v>
      </c>
      <c r="T1637" t="str">
        <f>_xll.BDP("61370LEA Muni","LQA_LIQUIDITY_SCORE")</f>
        <v>#N/A Requesting Data...</v>
      </c>
    </row>
    <row r="1638" spans="1:20" x14ac:dyDescent="0.25">
      <c r="A1638" t="str">
        <f>_xll.BDP("61370LEB Muni","ID_CUSIP")</f>
        <v>#N/A Requesting Data...</v>
      </c>
      <c r="B1638" t="s">
        <v>400</v>
      </c>
      <c r="C1638" t="str">
        <f>_xll.BDP("61370LEB Muni","INSURANCE_STATUS")</f>
        <v>#N/A Requesting Data...</v>
      </c>
      <c r="D1638" t="str">
        <f>_xll.BDP("61370LEB Muni","STATE_CODE")</f>
        <v>#N/A Requesting Data...</v>
      </c>
      <c r="E1638" t="str">
        <f>_xll.BDP("61370LEB Muni","COUNTY_LOCATION_ISSUER")</f>
        <v>#N/A Requesting Data...</v>
      </c>
      <c r="F1638" t="str">
        <f>_xll.BDP("61370LEB Muni","DUR_ADJ_MID")</f>
        <v>#N/A Requesting Data...</v>
      </c>
      <c r="G1638" t="str">
        <f>_xll.BDP("61370LEB Muni","SPREAD_AT_ISSUANCE_TO_WORST")</f>
        <v>#N/A Requesting Data...</v>
      </c>
      <c r="H1638" t="str">
        <f>_xll.BDP("61370LEB Muni","ISSUE_DT")</f>
        <v>#N/A Requesting Data...</v>
      </c>
      <c r="I1638" t="str">
        <f>_xll.BDS("61370LEB Muni","MUNI_PURPOSE_SCHED", "aggregate=y")</f>
        <v>#N/A Requesting Data...</v>
      </c>
      <c r="J1638" t="str">
        <f>_xll.BDP("61370LEB Muni","CPN")</f>
        <v>#N/A Requesting Data...</v>
      </c>
      <c r="K1638" t="str">
        <f>_xll.BDP("61370LEB Muni","MATURITY")</f>
        <v>#N/A Requesting Data...</v>
      </c>
      <c r="L1638">
        <v>100000</v>
      </c>
      <c r="M1638" t="str">
        <f>_xll.BDP("61370LEB Muni","YIELD_ON_ISSUE_DATE")</f>
        <v>#N/A Requesting Data...</v>
      </c>
      <c r="N1638" t="str">
        <f>_xll.BDP("61370LEB Muni","YTW_SPREAD_TO_MATURITY_AT_ISSU")</f>
        <v>#N/A Requesting Data...</v>
      </c>
      <c r="O1638" t="str">
        <f>_xll.BDP("61370LEB Muni","BVAL_MID_YTM")</f>
        <v>#N/A Requesting Data...</v>
      </c>
      <c r="P1638" t="str">
        <f>_xll.BDP("61370LEB Muni","MUNI_TAX_PROV")</f>
        <v>#N/A Requesting Data...</v>
      </c>
      <c r="Q1638" t="str">
        <f>_xll.BDP("61370LEB Muni","MUNI_FED_TAX")</f>
        <v>#N/A Requesting Data...</v>
      </c>
      <c r="R1638" t="str">
        <f>_xll.BDP("61370LEB Muni","MUNI_MSRB_VOLUME")</f>
        <v>#N/A Requesting Data...</v>
      </c>
      <c r="S1638" t="str">
        <f>_xll.BDP("61370LEB Muni","BB_COMPOSITE")</f>
        <v>#N/A Requesting Data...</v>
      </c>
      <c r="T1638" t="str">
        <f>_xll.BDP("61370LEB Muni","LQA_LIQUIDITY_SCORE")</f>
        <v>#N/A Requesting Data...</v>
      </c>
    </row>
    <row r="1639" spans="1:20" x14ac:dyDescent="0.25">
      <c r="A1639" t="str">
        <f>_xll.BDP("61370WED Muni","ID_CUSIP")</f>
        <v>#N/A Requesting Data...</v>
      </c>
      <c r="B1639" t="s">
        <v>401</v>
      </c>
      <c r="C1639" t="str">
        <f>_xll.BDP("61370WED Muni","INSURANCE_STATUS")</f>
        <v>#N/A Requesting Data...</v>
      </c>
      <c r="D1639" t="str">
        <f>_xll.BDP("61370WED Muni","STATE_CODE")</f>
        <v>#N/A Requesting Data...</v>
      </c>
      <c r="E1639" t="str">
        <f>_xll.BDP("61370WED Muni","COUNTY_LOCATION_ISSUER")</f>
        <v>#N/A Requesting Data...</v>
      </c>
      <c r="F1639" t="str">
        <f>_xll.BDP("61370WED Muni","DUR_ADJ_MID")</f>
        <v>#N/A Requesting Data...</v>
      </c>
      <c r="G1639" t="str">
        <f>_xll.BDP("61370WED Muni","SPREAD_AT_ISSUANCE_TO_WORST")</f>
        <v>#N/A Requesting Data...</v>
      </c>
      <c r="H1639" t="str">
        <f>_xll.BDP("61370WED Muni","ISSUE_DT")</f>
        <v>#N/A Requesting Data...</v>
      </c>
      <c r="I1639" t="str">
        <f>_xll.BDS("61370WED Muni","MUNI_PURPOSE_SCHED", "aggregate=y")</f>
        <v>#N/A Requesting Data...</v>
      </c>
      <c r="J1639" t="str">
        <f>_xll.BDP("61370WED Muni","CPN")</f>
        <v>#N/A Requesting Data...</v>
      </c>
      <c r="K1639" t="str">
        <f>_xll.BDP("61370WED Muni","MATURITY")</f>
        <v>#N/A Requesting Data...</v>
      </c>
      <c r="L1639">
        <v>90000</v>
      </c>
      <c r="M1639" t="str">
        <f>_xll.BDP("61370WED Muni","YIELD_ON_ISSUE_DATE")</f>
        <v>#N/A Requesting Data...</v>
      </c>
      <c r="N1639" t="str">
        <f>_xll.BDP("61370WED Muni","YTW_SPREAD_TO_MATURITY_AT_ISSU")</f>
        <v>#N/A Requesting Data...</v>
      </c>
      <c r="O1639" t="str">
        <f>_xll.BDP("61370WED Muni","BVAL_MID_YTM")</f>
        <v>#N/A Requesting Data...</v>
      </c>
      <c r="P1639" t="str">
        <f>_xll.BDP("61370WED Muni","MUNI_TAX_PROV")</f>
        <v>#N/A Requesting Data...</v>
      </c>
      <c r="Q1639" t="str">
        <f>_xll.BDP("61370WED Muni","MUNI_FED_TAX")</f>
        <v>#N/A Requesting Data...</v>
      </c>
      <c r="R1639" t="str">
        <f>_xll.BDP("61370WED Muni","MUNI_MSRB_VOLUME")</f>
        <v>#N/A Requesting Data...</v>
      </c>
      <c r="S1639" t="str">
        <f>_xll.BDP("61370WED Muni","BB_COMPOSITE")</f>
        <v>#N/A Requesting Data...</v>
      </c>
      <c r="T1639" t="str">
        <f>_xll.BDP("61370WED Muni","LQA_LIQUIDITY_SCORE")</f>
        <v>#N/A Requesting Data...</v>
      </c>
    </row>
    <row r="1640" spans="1:20" x14ac:dyDescent="0.25">
      <c r="A1640" t="str">
        <f>_xll.BDP("61370WEE Muni","ID_CUSIP")</f>
        <v>#N/A Requesting Data...</v>
      </c>
      <c r="B1640" t="s">
        <v>401</v>
      </c>
      <c r="C1640" t="str">
        <f>_xll.BDP("61370WEE Muni","INSURANCE_STATUS")</f>
        <v>#N/A Requesting Data...</v>
      </c>
      <c r="D1640" t="str">
        <f>_xll.BDP("61370WEE Muni","STATE_CODE")</f>
        <v>#N/A Requesting Data...</v>
      </c>
      <c r="E1640" t="str">
        <f>_xll.BDP("61370WEE Muni","COUNTY_LOCATION_ISSUER")</f>
        <v>#N/A Requesting Data...</v>
      </c>
      <c r="F1640" t="str">
        <f>_xll.BDP("61370WEE Muni","DUR_ADJ_MID")</f>
        <v>#N/A Requesting Data...</v>
      </c>
      <c r="G1640" t="str">
        <f>_xll.BDP("61370WEE Muni","SPREAD_AT_ISSUANCE_TO_WORST")</f>
        <v>#N/A Requesting Data...</v>
      </c>
      <c r="H1640" t="str">
        <f>_xll.BDP("61370WEE Muni","ISSUE_DT")</f>
        <v>#N/A Requesting Data...</v>
      </c>
      <c r="I1640" t="str">
        <f>_xll.BDS("61370WEE Muni","MUNI_PURPOSE_SCHED", "aggregate=y")</f>
        <v>#N/A Requesting Data...</v>
      </c>
      <c r="J1640" t="str">
        <f>_xll.BDP("61370WEE Muni","CPN")</f>
        <v>#N/A Requesting Data...</v>
      </c>
      <c r="K1640" t="str">
        <f>_xll.BDP("61370WEE Muni","MATURITY")</f>
        <v>#N/A Requesting Data...</v>
      </c>
      <c r="L1640">
        <v>95000</v>
      </c>
      <c r="M1640" t="str">
        <f>_xll.BDP("61370WEE Muni","YIELD_ON_ISSUE_DATE")</f>
        <v>#N/A Requesting Data...</v>
      </c>
      <c r="N1640" t="str">
        <f>_xll.BDP("61370WEE Muni","YTW_SPREAD_TO_MATURITY_AT_ISSU")</f>
        <v>#N/A Requesting Data...</v>
      </c>
      <c r="O1640" t="str">
        <f>_xll.BDP("61370WEE Muni","BVAL_MID_YTM")</f>
        <v>#N/A Requesting Data...</v>
      </c>
      <c r="P1640" t="str">
        <f>_xll.BDP("61370WEE Muni","MUNI_TAX_PROV")</f>
        <v>#N/A Requesting Data...</v>
      </c>
      <c r="Q1640" t="str">
        <f>_xll.BDP("61370WEE Muni","MUNI_FED_TAX")</f>
        <v>#N/A Requesting Data...</v>
      </c>
      <c r="R1640" t="str">
        <f>_xll.BDP("61370WEE Muni","MUNI_MSRB_VOLUME")</f>
        <v>#N/A Requesting Data...</v>
      </c>
      <c r="S1640" t="str">
        <f>_xll.BDP("61370WEE Muni","BB_COMPOSITE")</f>
        <v>#N/A Requesting Data...</v>
      </c>
      <c r="T1640" t="str">
        <f>_xll.BDP("61370WEE Muni","LQA_LIQUIDITY_SCORE")</f>
        <v>#N/A Requesting Data...</v>
      </c>
    </row>
    <row r="1641" spans="1:20" x14ac:dyDescent="0.25">
      <c r="A1641" t="str">
        <f>_xll.BDP("61370WEF Muni","ID_CUSIP")</f>
        <v>#N/A Requesting Data...</v>
      </c>
      <c r="B1641" t="s">
        <v>401</v>
      </c>
      <c r="C1641" t="str">
        <f>_xll.BDP("61370WEF Muni","INSURANCE_STATUS")</f>
        <v>#N/A Requesting Data...</v>
      </c>
      <c r="D1641" t="str">
        <f>_xll.BDP("61370WEF Muni","STATE_CODE")</f>
        <v>#N/A Requesting Data...</v>
      </c>
      <c r="E1641" t="str">
        <f>_xll.BDP("61370WEF Muni","COUNTY_LOCATION_ISSUER")</f>
        <v>#N/A Requesting Data...</v>
      </c>
      <c r="F1641" t="str">
        <f>_xll.BDP("61370WEF Muni","DUR_ADJ_MID")</f>
        <v>#N/A Requesting Data...</v>
      </c>
      <c r="G1641" t="str">
        <f>_xll.BDP("61370WEF Muni","SPREAD_AT_ISSUANCE_TO_WORST")</f>
        <v>#N/A Requesting Data...</v>
      </c>
      <c r="H1641" t="str">
        <f>_xll.BDP("61370WEF Muni","ISSUE_DT")</f>
        <v>#N/A Requesting Data...</v>
      </c>
      <c r="I1641" t="str">
        <f>_xll.BDS("61370WEF Muni","MUNI_PURPOSE_SCHED", "aggregate=y")</f>
        <v>#N/A Requesting Data...</v>
      </c>
      <c r="J1641" t="str">
        <f>_xll.BDP("61370WEF Muni","CPN")</f>
        <v>#N/A Requesting Data...</v>
      </c>
      <c r="K1641" t="str">
        <f>_xll.BDP("61370WEF Muni","MATURITY")</f>
        <v>#N/A Requesting Data...</v>
      </c>
      <c r="L1641">
        <v>100000</v>
      </c>
      <c r="M1641" t="str">
        <f>_xll.BDP("61370WEF Muni","YIELD_ON_ISSUE_DATE")</f>
        <v>#N/A Requesting Data...</v>
      </c>
      <c r="N1641" t="str">
        <f>_xll.BDP("61370WEF Muni","YTW_SPREAD_TO_MATURITY_AT_ISSU")</f>
        <v>#N/A Requesting Data...</v>
      </c>
      <c r="O1641" t="str">
        <f>_xll.BDP("61370WEF Muni","BVAL_MID_YTM")</f>
        <v>#N/A Requesting Data...</v>
      </c>
      <c r="P1641" t="str">
        <f>_xll.BDP("61370WEF Muni","MUNI_TAX_PROV")</f>
        <v>#N/A Requesting Data...</v>
      </c>
      <c r="Q1641" t="str">
        <f>_xll.BDP("61370WEF Muni","MUNI_FED_TAX")</f>
        <v>#N/A Requesting Data...</v>
      </c>
      <c r="R1641" t="str">
        <f>_xll.BDP("61370WEF Muni","MUNI_MSRB_VOLUME")</f>
        <v>#N/A Requesting Data...</v>
      </c>
      <c r="S1641" t="str">
        <f>_xll.BDP("61370WEF Muni","BB_COMPOSITE")</f>
        <v>#N/A Requesting Data...</v>
      </c>
      <c r="T1641" t="str">
        <f>_xll.BDP("61370WEF Muni","LQA_LIQUIDITY_SCORE")</f>
        <v>#N/A Requesting Data...</v>
      </c>
    </row>
    <row r="1642" spans="1:20" x14ac:dyDescent="0.25">
      <c r="A1642" t="str">
        <f>_xll.BDP("742617DE Muni","ID_CUSIP")</f>
        <v>#N/A Requesting Data...</v>
      </c>
      <c r="B1642" t="s">
        <v>402</v>
      </c>
      <c r="C1642" t="str">
        <f>_xll.BDP("742617DE Muni","INSURANCE_STATUS")</f>
        <v>#N/A Requesting Data...</v>
      </c>
      <c r="D1642" t="str">
        <f>_xll.BDP("742617DE Muni","STATE_CODE")</f>
        <v>#N/A Requesting Data...</v>
      </c>
      <c r="E1642" t="str">
        <f>_xll.BDP("742617DE Muni","COUNTY_LOCATION_ISSUER")</f>
        <v>#N/A Requesting Data...</v>
      </c>
      <c r="F1642" t="str">
        <f>_xll.BDP("742617DE Muni","DUR_ADJ_MID")</f>
        <v>#N/A Requesting Data...</v>
      </c>
      <c r="G1642" t="str">
        <f>_xll.BDP("742617DE Muni","SPREAD_AT_ISSUANCE_TO_WORST")</f>
        <v>#N/A Requesting Data...</v>
      </c>
      <c r="H1642" t="str">
        <f>_xll.BDP("742617DE Muni","ISSUE_DT")</f>
        <v>#N/A Requesting Data...</v>
      </c>
      <c r="I1642" t="str">
        <f>_xll.BDS("742617DE Muni","MUNI_PURPOSE_SCHED", "aggregate=y")</f>
        <v>#N/A Requesting Data...</v>
      </c>
      <c r="J1642" t="str">
        <f>_xll.BDP("742617DE Muni","CPN")</f>
        <v>#N/A Requesting Data...</v>
      </c>
      <c r="K1642" t="str">
        <f>_xll.BDP("742617DE Muni","MATURITY")</f>
        <v>#N/A Requesting Data...</v>
      </c>
      <c r="L1642">
        <v>835000</v>
      </c>
      <c r="M1642" t="str">
        <f>_xll.BDP("742617DE Muni","YIELD_ON_ISSUE_DATE")</f>
        <v>#N/A Requesting Data...</v>
      </c>
      <c r="N1642" t="str">
        <f>_xll.BDP("742617DE Muni","YTW_SPREAD_TO_MATURITY_AT_ISSU")</f>
        <v>#N/A Requesting Data...</v>
      </c>
      <c r="O1642" t="str">
        <f>_xll.BDP("742617DE Muni","BVAL_MID_YTM")</f>
        <v>#N/A Requesting Data...</v>
      </c>
      <c r="P1642" t="str">
        <f>_xll.BDP("742617DE Muni","MUNI_TAX_PROV")</f>
        <v>#N/A Requesting Data...</v>
      </c>
      <c r="Q1642" t="str">
        <f>_xll.BDP("742617DE Muni","MUNI_FED_TAX")</f>
        <v>#N/A Requesting Data...</v>
      </c>
      <c r="R1642" t="str">
        <f>_xll.BDP("742617DE Muni","MUNI_MSRB_VOLUME")</f>
        <v>#N/A Requesting Data...</v>
      </c>
      <c r="S1642" t="str">
        <f>_xll.BDP("742617DE Muni","BB_COMPOSITE")</f>
        <v>#N/A Requesting Data...</v>
      </c>
      <c r="T1642" t="str">
        <f>_xll.BDP("742617DE Muni","LQA_LIQUIDITY_SCORE")</f>
        <v>#N/A Requesting Data...</v>
      </c>
    </row>
    <row r="1643" spans="1:20" x14ac:dyDescent="0.25">
      <c r="A1643" t="str">
        <f>_xll.BDP("742617DF Muni","ID_CUSIP")</f>
        <v>#N/A Requesting Data...</v>
      </c>
      <c r="B1643" t="s">
        <v>402</v>
      </c>
      <c r="C1643" t="str">
        <f>_xll.BDP("742617DF Muni","INSURANCE_STATUS")</f>
        <v>#N/A Requesting Data...</v>
      </c>
      <c r="D1643" t="str">
        <f>_xll.BDP("742617DF Muni","STATE_CODE")</f>
        <v>#N/A Requesting Data...</v>
      </c>
      <c r="E1643" t="str">
        <f>_xll.BDP("742617DF Muni","COUNTY_LOCATION_ISSUER")</f>
        <v>#N/A Requesting Data...</v>
      </c>
      <c r="F1643" t="str">
        <f>_xll.BDP("742617DF Muni","DUR_ADJ_MID")</f>
        <v>#N/A Requesting Data...</v>
      </c>
      <c r="G1643" t="str">
        <f>_xll.BDP("742617DF Muni","SPREAD_AT_ISSUANCE_TO_WORST")</f>
        <v>#N/A Requesting Data...</v>
      </c>
      <c r="H1643" t="str">
        <f>_xll.BDP("742617DF Muni","ISSUE_DT")</f>
        <v>#N/A Requesting Data...</v>
      </c>
      <c r="I1643" t="str">
        <f>_xll.BDS("742617DF Muni","MUNI_PURPOSE_SCHED", "aggregate=y")</f>
        <v>#N/A Requesting Data...</v>
      </c>
      <c r="J1643" t="str">
        <f>_xll.BDP("742617DF Muni","CPN")</f>
        <v>#N/A Requesting Data...</v>
      </c>
      <c r="K1643" t="str">
        <f>_xll.BDP("742617DF Muni","MATURITY")</f>
        <v>#N/A Requesting Data...</v>
      </c>
      <c r="L1643">
        <v>870000</v>
      </c>
      <c r="M1643" t="str">
        <f>_xll.BDP("742617DF Muni","YIELD_ON_ISSUE_DATE")</f>
        <v>#N/A Requesting Data...</v>
      </c>
      <c r="N1643" t="str">
        <f>_xll.BDP("742617DF Muni","YTW_SPREAD_TO_MATURITY_AT_ISSU")</f>
        <v>#N/A Requesting Data...</v>
      </c>
      <c r="O1643" t="str">
        <f>_xll.BDP("742617DF Muni","BVAL_MID_YTM")</f>
        <v>#N/A Requesting Data...</v>
      </c>
      <c r="P1643" t="str">
        <f>_xll.BDP("742617DF Muni","MUNI_TAX_PROV")</f>
        <v>#N/A Requesting Data...</v>
      </c>
      <c r="Q1643" t="str">
        <f>_xll.BDP("742617DF Muni","MUNI_FED_TAX")</f>
        <v>#N/A Requesting Data...</v>
      </c>
      <c r="R1643" t="str">
        <f>_xll.BDP("742617DF Muni","MUNI_MSRB_VOLUME")</f>
        <v>#N/A Requesting Data...</v>
      </c>
      <c r="S1643" t="str">
        <f>_xll.BDP("742617DF Muni","BB_COMPOSITE")</f>
        <v>#N/A Requesting Data...</v>
      </c>
      <c r="T1643" t="str">
        <f>_xll.BDP("742617DF Muni","LQA_LIQUIDITY_SCORE")</f>
        <v>#N/A Requesting Data...</v>
      </c>
    </row>
    <row r="1644" spans="1:20" x14ac:dyDescent="0.25">
      <c r="A1644" t="str">
        <f>_xll.BDP("742617DG Muni","ID_CUSIP")</f>
        <v>#N/A Requesting Data...</v>
      </c>
      <c r="B1644" t="s">
        <v>402</v>
      </c>
      <c r="C1644" t="str">
        <f>_xll.BDP("742617DG Muni","INSURANCE_STATUS")</f>
        <v>#N/A Requesting Data...</v>
      </c>
      <c r="D1644" t="str">
        <f>_xll.BDP("742617DG Muni","STATE_CODE")</f>
        <v>#N/A Requesting Data...</v>
      </c>
      <c r="E1644" t="str">
        <f>_xll.BDP("742617DG Muni","COUNTY_LOCATION_ISSUER")</f>
        <v>#N/A Requesting Data...</v>
      </c>
      <c r="F1644" t="str">
        <f>_xll.BDP("742617DG Muni","DUR_ADJ_MID")</f>
        <v>#N/A Requesting Data...</v>
      </c>
      <c r="G1644" t="str">
        <f>_xll.BDP("742617DG Muni","SPREAD_AT_ISSUANCE_TO_WORST")</f>
        <v>#N/A Requesting Data...</v>
      </c>
      <c r="H1644" t="str">
        <f>_xll.BDP("742617DG Muni","ISSUE_DT")</f>
        <v>#N/A Requesting Data...</v>
      </c>
      <c r="I1644" t="str">
        <f>_xll.BDS("742617DG Muni","MUNI_PURPOSE_SCHED", "aggregate=y")</f>
        <v>#N/A Requesting Data...</v>
      </c>
      <c r="J1644" t="str">
        <f>_xll.BDP("742617DG Muni","CPN")</f>
        <v>#N/A Requesting Data...</v>
      </c>
      <c r="K1644" t="str">
        <f>_xll.BDP("742617DG Muni","MATURITY")</f>
        <v>#N/A Requesting Data...</v>
      </c>
      <c r="L1644">
        <v>790000</v>
      </c>
      <c r="M1644" t="str">
        <f>_xll.BDP("742617DG Muni","YIELD_ON_ISSUE_DATE")</f>
        <v>#N/A Requesting Data...</v>
      </c>
      <c r="N1644" t="str">
        <f>_xll.BDP("742617DG Muni","YTW_SPREAD_TO_MATURITY_AT_ISSU")</f>
        <v>#N/A Requesting Data...</v>
      </c>
      <c r="O1644" t="str">
        <f>_xll.BDP("742617DG Muni","BVAL_MID_YTM")</f>
        <v>#N/A Requesting Data...</v>
      </c>
      <c r="P1644" t="str">
        <f>_xll.BDP("742617DG Muni","MUNI_TAX_PROV")</f>
        <v>#N/A Requesting Data...</v>
      </c>
      <c r="Q1644" t="str">
        <f>_xll.BDP("742617DG Muni","MUNI_FED_TAX")</f>
        <v>#N/A Requesting Data...</v>
      </c>
      <c r="R1644" t="str">
        <f>_xll.BDP("742617DG Muni","MUNI_MSRB_VOLUME")</f>
        <v>#N/A Requesting Data...</v>
      </c>
      <c r="S1644" t="str">
        <f>_xll.BDP("742617DG Muni","BB_COMPOSITE")</f>
        <v>#N/A Requesting Data...</v>
      </c>
      <c r="T1644" t="str">
        <f>_xll.BDP("742617DG Muni","LQA_LIQUIDITY_SCORE")</f>
        <v>#N/A Requesting Data...</v>
      </c>
    </row>
    <row r="1645" spans="1:20" x14ac:dyDescent="0.25">
      <c r="A1645" t="str">
        <f>_xll.BDP("742617DH Muni","ID_CUSIP")</f>
        <v>#N/A Requesting Data...</v>
      </c>
      <c r="B1645" t="s">
        <v>402</v>
      </c>
      <c r="C1645" t="str">
        <f>_xll.BDP("742617DH Muni","INSURANCE_STATUS")</f>
        <v>#N/A Requesting Data...</v>
      </c>
      <c r="D1645" t="str">
        <f>_xll.BDP("742617DH Muni","STATE_CODE")</f>
        <v>#N/A Requesting Data...</v>
      </c>
      <c r="E1645" t="str">
        <f>_xll.BDP("742617DH Muni","COUNTY_LOCATION_ISSUER")</f>
        <v>#N/A Requesting Data...</v>
      </c>
      <c r="F1645" t="str">
        <f>_xll.BDP("742617DH Muni","DUR_ADJ_MID")</f>
        <v>#N/A Requesting Data...</v>
      </c>
      <c r="G1645" t="str">
        <f>_xll.BDP("742617DH Muni","SPREAD_AT_ISSUANCE_TO_WORST")</f>
        <v>#N/A Requesting Data...</v>
      </c>
      <c r="H1645" t="str">
        <f>_xll.BDP("742617DH Muni","ISSUE_DT")</f>
        <v>#N/A Requesting Data...</v>
      </c>
      <c r="I1645" t="str">
        <f>_xll.BDS("742617DH Muni","MUNI_PURPOSE_SCHED", "aggregate=y")</f>
        <v>#N/A Requesting Data...</v>
      </c>
      <c r="J1645" t="str">
        <f>_xll.BDP("742617DH Muni","CPN")</f>
        <v>#N/A Requesting Data...</v>
      </c>
      <c r="K1645" t="str">
        <f>_xll.BDP("742617DH Muni","MATURITY")</f>
        <v>#N/A Requesting Data...</v>
      </c>
      <c r="L1645">
        <v>805000</v>
      </c>
      <c r="M1645" t="str">
        <f>_xll.BDP("742617DH Muni","YIELD_ON_ISSUE_DATE")</f>
        <v>#N/A Requesting Data...</v>
      </c>
      <c r="N1645" t="str">
        <f>_xll.BDP("742617DH Muni","YTW_SPREAD_TO_MATURITY_AT_ISSU")</f>
        <v>#N/A Requesting Data...</v>
      </c>
      <c r="O1645" t="str">
        <f>_xll.BDP("742617DH Muni","BVAL_MID_YTM")</f>
        <v>#N/A Requesting Data...</v>
      </c>
      <c r="P1645" t="str">
        <f>_xll.BDP("742617DH Muni","MUNI_TAX_PROV")</f>
        <v>#N/A Requesting Data...</v>
      </c>
      <c r="Q1645" t="str">
        <f>_xll.BDP("742617DH Muni","MUNI_FED_TAX")</f>
        <v>#N/A Requesting Data...</v>
      </c>
      <c r="R1645" t="str">
        <f>_xll.BDP("742617DH Muni","MUNI_MSRB_VOLUME")</f>
        <v>#N/A Requesting Data...</v>
      </c>
      <c r="S1645" t="str">
        <f>_xll.BDP("742617DH Muni","BB_COMPOSITE")</f>
        <v>#N/A Requesting Data...</v>
      </c>
      <c r="T1645" t="str">
        <f>_xll.BDP("742617DH Muni","LQA_LIQUIDITY_SCORE")</f>
        <v>#N/A Requesting Data...</v>
      </c>
    </row>
    <row r="1646" spans="1:20" x14ac:dyDescent="0.25">
      <c r="A1646" t="str">
        <f>_xll.BDP("742617DJ Muni","ID_CUSIP")</f>
        <v>#N/A Requesting Data...</v>
      </c>
      <c r="B1646" t="s">
        <v>402</v>
      </c>
      <c r="C1646" t="str">
        <f>_xll.BDP("742617DJ Muni","INSURANCE_STATUS")</f>
        <v>#N/A Requesting Data...</v>
      </c>
      <c r="D1646" t="str">
        <f>_xll.BDP("742617DJ Muni","STATE_CODE")</f>
        <v>#N/A Requesting Data...</v>
      </c>
      <c r="E1646" t="str">
        <f>_xll.BDP("742617DJ Muni","COUNTY_LOCATION_ISSUER")</f>
        <v>#N/A Requesting Data...</v>
      </c>
      <c r="F1646" t="str">
        <f>_xll.BDP("742617DJ Muni","DUR_ADJ_MID")</f>
        <v>#N/A Requesting Data...</v>
      </c>
      <c r="G1646" t="str">
        <f>_xll.BDP("742617DJ Muni","SPREAD_AT_ISSUANCE_TO_WORST")</f>
        <v>#N/A Requesting Data...</v>
      </c>
      <c r="H1646" t="str">
        <f>_xll.BDP("742617DJ Muni","ISSUE_DT")</f>
        <v>#N/A Requesting Data...</v>
      </c>
      <c r="I1646" t="str">
        <f>_xll.BDS("742617DJ Muni","MUNI_PURPOSE_SCHED", "aggregate=y")</f>
        <v>#N/A Requesting Data...</v>
      </c>
      <c r="J1646" t="str">
        <f>_xll.BDP("742617DJ Muni","CPN")</f>
        <v>#N/A Requesting Data...</v>
      </c>
      <c r="K1646" t="str">
        <f>_xll.BDP("742617DJ Muni","MATURITY")</f>
        <v>#N/A Requesting Data...</v>
      </c>
      <c r="L1646">
        <v>830000</v>
      </c>
      <c r="M1646" t="str">
        <f>_xll.BDP("742617DJ Muni","YIELD_ON_ISSUE_DATE")</f>
        <v>#N/A Requesting Data...</v>
      </c>
      <c r="N1646" t="str">
        <f>_xll.BDP("742617DJ Muni","YTW_SPREAD_TO_MATURITY_AT_ISSU")</f>
        <v>#N/A Requesting Data...</v>
      </c>
      <c r="O1646" t="str">
        <f>_xll.BDP("742617DJ Muni","BVAL_MID_YTM")</f>
        <v>#N/A Requesting Data...</v>
      </c>
      <c r="P1646" t="str">
        <f>_xll.BDP("742617DJ Muni","MUNI_TAX_PROV")</f>
        <v>#N/A Requesting Data...</v>
      </c>
      <c r="Q1646" t="str">
        <f>_xll.BDP("742617DJ Muni","MUNI_FED_TAX")</f>
        <v>#N/A Requesting Data...</v>
      </c>
      <c r="R1646" t="str">
        <f>_xll.BDP("742617DJ Muni","MUNI_MSRB_VOLUME")</f>
        <v>#N/A Requesting Data...</v>
      </c>
      <c r="S1646" t="str">
        <f>_xll.BDP("742617DJ Muni","BB_COMPOSITE")</f>
        <v>#N/A Requesting Data...</v>
      </c>
      <c r="T1646" t="str">
        <f>_xll.BDP("742617DJ Muni","LQA_LIQUIDITY_SCORE")</f>
        <v>#N/A Requesting Data...</v>
      </c>
    </row>
    <row r="1647" spans="1:20" x14ac:dyDescent="0.25">
      <c r="A1647" t="str">
        <f>_xll.BDP("743596RJ Muni","ID_CUSIP")</f>
        <v>#N/A Requesting Data...</v>
      </c>
      <c r="B1647" t="s">
        <v>403</v>
      </c>
      <c r="C1647" t="str">
        <f>_xll.BDP("743596RJ Muni","INSURANCE_STATUS")</f>
        <v>#N/A Requesting Data...</v>
      </c>
      <c r="D1647" t="str">
        <f>_xll.BDP("743596RJ Muni","STATE_CODE")</f>
        <v>#N/A Requesting Data...</v>
      </c>
      <c r="E1647" t="str">
        <f>_xll.BDP("743596RJ Muni","COUNTY_LOCATION_ISSUER")</f>
        <v>#N/A Requesting Data...</v>
      </c>
      <c r="F1647" t="str">
        <f>_xll.BDP("743596RJ Muni","DUR_ADJ_MID")</f>
        <v>#N/A Requesting Data...</v>
      </c>
      <c r="G1647" t="str">
        <f>_xll.BDP("743596RJ Muni","SPREAD_AT_ISSUANCE_TO_WORST")</f>
        <v>#N/A Requesting Data...</v>
      </c>
      <c r="H1647" t="str">
        <f>_xll.BDP("743596RJ Muni","ISSUE_DT")</f>
        <v>#N/A Requesting Data...</v>
      </c>
      <c r="I1647" t="str">
        <f>_xll.BDS("743596RJ Muni","MUNI_PURPOSE_SCHED", "aggregate=y")</f>
        <v>#N/A Requesting Data...</v>
      </c>
      <c r="J1647" t="str">
        <f>_xll.BDP("743596RJ Muni","CPN")</f>
        <v>#N/A Requesting Data...</v>
      </c>
      <c r="K1647" t="str">
        <f>_xll.BDP("743596RJ Muni","MATURITY")</f>
        <v>#N/A Requesting Data...</v>
      </c>
      <c r="L1647">
        <v>850000</v>
      </c>
      <c r="M1647" t="str">
        <f>_xll.BDP("743596RJ Muni","YIELD_ON_ISSUE_DATE")</f>
        <v>#N/A Requesting Data...</v>
      </c>
      <c r="N1647" t="str">
        <f>_xll.BDP("743596RJ Muni","YTW_SPREAD_TO_MATURITY_AT_ISSU")</f>
        <v>#N/A Requesting Data...</v>
      </c>
      <c r="O1647" t="str">
        <f>_xll.BDP("743596RJ Muni","BVAL_MID_YTM")</f>
        <v>#N/A Requesting Data...</v>
      </c>
      <c r="P1647" t="str">
        <f>_xll.BDP("743596RJ Muni","MUNI_TAX_PROV")</f>
        <v>#N/A Requesting Data...</v>
      </c>
      <c r="Q1647" t="str">
        <f>_xll.BDP("743596RJ Muni","MUNI_FED_TAX")</f>
        <v>#N/A Requesting Data...</v>
      </c>
      <c r="R1647" t="str">
        <f>_xll.BDP("743596RJ Muni","MUNI_MSRB_VOLUME")</f>
        <v>#N/A Requesting Data...</v>
      </c>
      <c r="S1647" t="str">
        <f>_xll.BDP("743596RJ Muni","BB_COMPOSITE")</f>
        <v>#N/A Requesting Data...</v>
      </c>
      <c r="T1647" t="str">
        <f>_xll.BDP("743596RJ Muni","LQA_LIQUIDITY_SCORE")</f>
        <v>#N/A Requesting Data...</v>
      </c>
    </row>
    <row r="1648" spans="1:20" x14ac:dyDescent="0.25">
      <c r="A1648" t="str">
        <f>_xll.BDP("743596RK Muni","ID_CUSIP")</f>
        <v>#N/A Requesting Data...</v>
      </c>
      <c r="B1648" t="s">
        <v>403</v>
      </c>
      <c r="C1648" t="str">
        <f>_xll.BDP("743596RK Muni","INSURANCE_STATUS")</f>
        <v>#N/A Requesting Data...</v>
      </c>
      <c r="D1648" t="str">
        <f>_xll.BDP("743596RK Muni","STATE_CODE")</f>
        <v>#N/A Requesting Data...</v>
      </c>
      <c r="E1648" t="str">
        <f>_xll.BDP("743596RK Muni","COUNTY_LOCATION_ISSUER")</f>
        <v>#N/A Requesting Data...</v>
      </c>
      <c r="F1648" t="str">
        <f>_xll.BDP("743596RK Muni","DUR_ADJ_MID")</f>
        <v>#N/A Requesting Data...</v>
      </c>
      <c r="G1648" t="str">
        <f>_xll.BDP("743596RK Muni","SPREAD_AT_ISSUANCE_TO_WORST")</f>
        <v>#N/A Requesting Data...</v>
      </c>
      <c r="H1648" t="str">
        <f>_xll.BDP("743596RK Muni","ISSUE_DT")</f>
        <v>#N/A Requesting Data...</v>
      </c>
      <c r="I1648" t="str">
        <f>_xll.BDS("743596RK Muni","MUNI_PURPOSE_SCHED", "aggregate=y")</f>
        <v>#N/A Requesting Data...</v>
      </c>
      <c r="J1648" t="str">
        <f>_xll.BDP("743596RK Muni","CPN")</f>
        <v>#N/A Requesting Data...</v>
      </c>
      <c r="K1648" t="str">
        <f>_xll.BDP("743596RK Muni","MATURITY")</f>
        <v>#N/A Requesting Data...</v>
      </c>
      <c r="L1648">
        <v>895000</v>
      </c>
      <c r="M1648" t="str">
        <f>_xll.BDP("743596RK Muni","YIELD_ON_ISSUE_DATE")</f>
        <v>#N/A Requesting Data...</v>
      </c>
      <c r="N1648" t="str">
        <f>_xll.BDP("743596RK Muni","YTW_SPREAD_TO_MATURITY_AT_ISSU")</f>
        <v>#N/A Requesting Data...</v>
      </c>
      <c r="O1648" t="str">
        <f>_xll.BDP("743596RK Muni","BVAL_MID_YTM")</f>
        <v>#N/A Requesting Data...</v>
      </c>
      <c r="P1648" t="str">
        <f>_xll.BDP("743596RK Muni","MUNI_TAX_PROV")</f>
        <v>#N/A Requesting Data...</v>
      </c>
      <c r="Q1648" t="str">
        <f>_xll.BDP("743596RK Muni","MUNI_FED_TAX")</f>
        <v>#N/A Requesting Data...</v>
      </c>
      <c r="R1648" t="str">
        <f>_xll.BDP("743596RK Muni","MUNI_MSRB_VOLUME")</f>
        <v>#N/A Requesting Data...</v>
      </c>
      <c r="S1648" t="str">
        <f>_xll.BDP("743596RK Muni","BB_COMPOSITE")</f>
        <v>#N/A Requesting Data...</v>
      </c>
      <c r="T1648" t="str">
        <f>_xll.BDP("743596RK Muni","LQA_LIQUIDITY_SCORE")</f>
        <v>#N/A Requesting Data...</v>
      </c>
    </row>
    <row r="1649" spans="1:20" x14ac:dyDescent="0.25">
      <c r="A1649" t="str">
        <f>_xll.BDP("743596RL Muni","ID_CUSIP")</f>
        <v>#N/A Requesting Data...</v>
      </c>
      <c r="B1649" t="s">
        <v>403</v>
      </c>
      <c r="C1649" t="str">
        <f>_xll.BDP("743596RL Muni","INSURANCE_STATUS")</f>
        <v>#N/A Requesting Data...</v>
      </c>
      <c r="D1649" t="str">
        <f>_xll.BDP("743596RL Muni","STATE_CODE")</f>
        <v>#N/A Requesting Data...</v>
      </c>
      <c r="E1649" t="str">
        <f>_xll.BDP("743596RL Muni","COUNTY_LOCATION_ISSUER")</f>
        <v>#N/A Requesting Data...</v>
      </c>
      <c r="F1649" t="str">
        <f>_xll.BDP("743596RL Muni","DUR_ADJ_MID")</f>
        <v>#N/A Requesting Data...</v>
      </c>
      <c r="G1649" t="str">
        <f>_xll.BDP("743596RL Muni","SPREAD_AT_ISSUANCE_TO_WORST")</f>
        <v>#N/A Requesting Data...</v>
      </c>
      <c r="H1649" t="str">
        <f>_xll.BDP("743596RL Muni","ISSUE_DT")</f>
        <v>#N/A Requesting Data...</v>
      </c>
      <c r="I1649" t="str">
        <f>_xll.BDS("743596RL Muni","MUNI_PURPOSE_SCHED", "aggregate=y")</f>
        <v>#N/A Requesting Data...</v>
      </c>
      <c r="J1649" t="str">
        <f>_xll.BDP("743596RL Muni","CPN")</f>
        <v>#N/A Requesting Data...</v>
      </c>
      <c r="K1649" t="str">
        <f>_xll.BDP("743596RL Muni","MATURITY")</f>
        <v>#N/A Requesting Data...</v>
      </c>
      <c r="L1649">
        <v>935000</v>
      </c>
      <c r="M1649" t="str">
        <f>_xll.BDP("743596RL Muni","YIELD_ON_ISSUE_DATE")</f>
        <v>#N/A Requesting Data...</v>
      </c>
      <c r="N1649" t="str">
        <f>_xll.BDP("743596RL Muni","YTW_SPREAD_TO_MATURITY_AT_ISSU")</f>
        <v>#N/A Requesting Data...</v>
      </c>
      <c r="O1649" t="str">
        <f>_xll.BDP("743596RL Muni","BVAL_MID_YTM")</f>
        <v>#N/A Requesting Data...</v>
      </c>
      <c r="P1649" t="str">
        <f>_xll.BDP("743596RL Muni","MUNI_TAX_PROV")</f>
        <v>#N/A Requesting Data...</v>
      </c>
      <c r="Q1649" t="str">
        <f>_xll.BDP("743596RL Muni","MUNI_FED_TAX")</f>
        <v>#N/A Requesting Data...</v>
      </c>
      <c r="R1649" t="str">
        <f>_xll.BDP("743596RL Muni","MUNI_MSRB_VOLUME")</f>
        <v>#N/A Requesting Data...</v>
      </c>
      <c r="S1649" t="str">
        <f>_xll.BDP("743596RL Muni","BB_COMPOSITE")</f>
        <v>#N/A Requesting Data...</v>
      </c>
      <c r="T1649" t="str">
        <f>_xll.BDP("743596RL Muni","LQA_LIQUIDITY_SCORE")</f>
        <v>#N/A Requesting Data...</v>
      </c>
    </row>
    <row r="1650" spans="1:20" x14ac:dyDescent="0.25">
      <c r="A1650" t="str">
        <f>_xll.BDP("743596RM Muni","ID_CUSIP")</f>
        <v>#N/A Requesting Data...</v>
      </c>
      <c r="B1650" t="s">
        <v>403</v>
      </c>
      <c r="C1650" t="str">
        <f>_xll.BDP("743596RM Muni","INSURANCE_STATUS")</f>
        <v>#N/A Requesting Data...</v>
      </c>
      <c r="D1650" t="str">
        <f>_xll.BDP("743596RM Muni","STATE_CODE")</f>
        <v>#N/A Requesting Data...</v>
      </c>
      <c r="E1650" t="str">
        <f>_xll.BDP("743596RM Muni","COUNTY_LOCATION_ISSUER")</f>
        <v>#N/A Requesting Data...</v>
      </c>
      <c r="F1650" t="str">
        <f>_xll.BDP("743596RM Muni","DUR_ADJ_MID")</f>
        <v>#N/A Requesting Data...</v>
      </c>
      <c r="G1650" t="str">
        <f>_xll.BDP("743596RM Muni","SPREAD_AT_ISSUANCE_TO_WORST")</f>
        <v>#N/A Requesting Data...</v>
      </c>
      <c r="H1650" t="str">
        <f>_xll.BDP("743596RM Muni","ISSUE_DT")</f>
        <v>#N/A Requesting Data...</v>
      </c>
      <c r="I1650" t="str">
        <f>_xll.BDS("743596RM Muni","MUNI_PURPOSE_SCHED", "aggregate=y")</f>
        <v>#N/A Requesting Data...</v>
      </c>
      <c r="J1650" t="str">
        <f>_xll.BDP("743596RM Muni","CPN")</f>
        <v>#N/A Requesting Data...</v>
      </c>
      <c r="K1650" t="str">
        <f>_xll.BDP("743596RM Muni","MATURITY")</f>
        <v>#N/A Requesting Data...</v>
      </c>
      <c r="L1650">
        <v>1000000</v>
      </c>
      <c r="M1650" t="str">
        <f>_xll.BDP("743596RM Muni","YIELD_ON_ISSUE_DATE")</f>
        <v>#N/A Requesting Data...</v>
      </c>
      <c r="N1650" t="str">
        <f>_xll.BDP("743596RM Muni","YTW_SPREAD_TO_MATURITY_AT_ISSU")</f>
        <v>#N/A Requesting Data...</v>
      </c>
      <c r="O1650" t="str">
        <f>_xll.BDP("743596RM Muni","BVAL_MID_YTM")</f>
        <v>#N/A Requesting Data...</v>
      </c>
      <c r="P1650" t="str">
        <f>_xll.BDP("743596RM Muni","MUNI_TAX_PROV")</f>
        <v>#N/A Requesting Data...</v>
      </c>
      <c r="Q1650" t="str">
        <f>_xll.BDP("743596RM Muni","MUNI_FED_TAX")</f>
        <v>#N/A Requesting Data...</v>
      </c>
      <c r="R1650" t="str">
        <f>_xll.BDP("743596RM Muni","MUNI_MSRB_VOLUME")</f>
        <v>#N/A Requesting Data...</v>
      </c>
      <c r="S1650" t="str">
        <f>_xll.BDP("743596RM Muni","BB_COMPOSITE")</f>
        <v>#N/A Requesting Data...</v>
      </c>
      <c r="T1650" t="str">
        <f>_xll.BDP("743596RM Muni","LQA_LIQUIDITY_SCORE")</f>
        <v>#N/A Requesting Data...</v>
      </c>
    </row>
    <row r="1651" spans="1:20" x14ac:dyDescent="0.25">
      <c r="A1651" t="str">
        <f>_xll.BDP("743596RN Muni","ID_CUSIP")</f>
        <v>#N/A Requesting Data...</v>
      </c>
      <c r="B1651" t="s">
        <v>403</v>
      </c>
      <c r="C1651" t="str">
        <f>_xll.BDP("743596RN Muni","INSURANCE_STATUS")</f>
        <v>#N/A Requesting Data...</v>
      </c>
      <c r="D1651" t="str">
        <f>_xll.BDP("743596RN Muni","STATE_CODE")</f>
        <v>#N/A Requesting Data...</v>
      </c>
      <c r="E1651" t="str">
        <f>_xll.BDP("743596RN Muni","COUNTY_LOCATION_ISSUER")</f>
        <v>#N/A Requesting Data...</v>
      </c>
      <c r="F1651" t="str">
        <f>_xll.BDP("743596RN Muni","DUR_ADJ_MID")</f>
        <v>#N/A Requesting Data...</v>
      </c>
      <c r="G1651" t="str">
        <f>_xll.BDP("743596RN Muni","SPREAD_AT_ISSUANCE_TO_WORST")</f>
        <v>#N/A Requesting Data...</v>
      </c>
      <c r="H1651" t="str">
        <f>_xll.BDP("743596RN Muni","ISSUE_DT")</f>
        <v>#N/A Requesting Data...</v>
      </c>
      <c r="I1651" t="str">
        <f>_xll.BDS("743596RN Muni","MUNI_PURPOSE_SCHED", "aggregate=y")</f>
        <v>#N/A Requesting Data...</v>
      </c>
      <c r="J1651" t="str">
        <f>_xll.BDP("743596RN Muni","CPN")</f>
        <v>#N/A Requesting Data...</v>
      </c>
      <c r="K1651" t="str">
        <f>_xll.BDP("743596RN Muni","MATURITY")</f>
        <v>#N/A Requesting Data...</v>
      </c>
      <c r="L1651">
        <v>1045000</v>
      </c>
      <c r="M1651" t="str">
        <f>_xll.BDP("743596RN Muni","YIELD_ON_ISSUE_DATE")</f>
        <v>#N/A Requesting Data...</v>
      </c>
      <c r="N1651" t="str">
        <f>_xll.BDP("743596RN Muni","YTW_SPREAD_TO_MATURITY_AT_ISSU")</f>
        <v>#N/A Requesting Data...</v>
      </c>
      <c r="O1651" t="str">
        <f>_xll.BDP("743596RN Muni","BVAL_MID_YTM")</f>
        <v>#N/A Requesting Data...</v>
      </c>
      <c r="P1651" t="str">
        <f>_xll.BDP("743596RN Muni","MUNI_TAX_PROV")</f>
        <v>#N/A Requesting Data...</v>
      </c>
      <c r="Q1651" t="str">
        <f>_xll.BDP("743596RN Muni","MUNI_FED_TAX")</f>
        <v>#N/A Requesting Data...</v>
      </c>
      <c r="R1651" t="str">
        <f>_xll.BDP("743596RN Muni","MUNI_MSRB_VOLUME")</f>
        <v>#N/A Requesting Data...</v>
      </c>
      <c r="S1651" t="str">
        <f>_xll.BDP("743596RN Muni","BB_COMPOSITE")</f>
        <v>#N/A Requesting Data...</v>
      </c>
      <c r="T1651" t="str">
        <f>_xll.BDP("743596RN Muni","LQA_LIQUIDITY_SCORE")</f>
        <v>#N/A Requesting Data...</v>
      </c>
    </row>
    <row r="1652" spans="1:20" x14ac:dyDescent="0.25">
      <c r="A1652" t="str">
        <f>_xll.BDP("743596RP Muni","ID_CUSIP")</f>
        <v>#N/A Requesting Data...</v>
      </c>
      <c r="B1652" t="s">
        <v>403</v>
      </c>
      <c r="C1652" t="str">
        <f>_xll.BDP("743596RP Muni","INSURANCE_STATUS")</f>
        <v>#N/A Requesting Data...</v>
      </c>
      <c r="D1652" t="str">
        <f>_xll.BDP("743596RP Muni","STATE_CODE")</f>
        <v>#N/A Requesting Data...</v>
      </c>
      <c r="E1652" t="str">
        <f>_xll.BDP("743596RP Muni","COUNTY_LOCATION_ISSUER")</f>
        <v>#N/A Requesting Data...</v>
      </c>
      <c r="F1652" t="str">
        <f>_xll.BDP("743596RP Muni","DUR_ADJ_MID")</f>
        <v>#N/A Requesting Data...</v>
      </c>
      <c r="G1652" t="str">
        <f>_xll.BDP("743596RP Muni","SPREAD_AT_ISSUANCE_TO_WORST")</f>
        <v>#N/A Requesting Data...</v>
      </c>
      <c r="H1652" t="str">
        <f>_xll.BDP("743596RP Muni","ISSUE_DT")</f>
        <v>#N/A Requesting Data...</v>
      </c>
      <c r="I1652" t="str">
        <f>_xll.BDS("743596RP Muni","MUNI_PURPOSE_SCHED", "aggregate=y")</f>
        <v>#N/A Requesting Data...</v>
      </c>
      <c r="J1652" t="str">
        <f>_xll.BDP("743596RP Muni","CPN")</f>
        <v>#N/A Requesting Data...</v>
      </c>
      <c r="K1652" t="str">
        <f>_xll.BDP("743596RP Muni","MATURITY")</f>
        <v>#N/A Requesting Data...</v>
      </c>
      <c r="L1652">
        <v>1095000</v>
      </c>
      <c r="M1652" t="str">
        <f>_xll.BDP("743596RP Muni","YIELD_ON_ISSUE_DATE")</f>
        <v>#N/A Requesting Data...</v>
      </c>
      <c r="N1652" t="str">
        <f>_xll.BDP("743596RP Muni","YTW_SPREAD_TO_MATURITY_AT_ISSU")</f>
        <v>#N/A Requesting Data...</v>
      </c>
      <c r="O1652" t="str">
        <f>_xll.BDP("743596RP Muni","BVAL_MID_YTM")</f>
        <v>#N/A Requesting Data...</v>
      </c>
      <c r="P1652" t="str">
        <f>_xll.BDP("743596RP Muni","MUNI_TAX_PROV")</f>
        <v>#N/A Requesting Data...</v>
      </c>
      <c r="Q1652" t="str">
        <f>_xll.BDP("743596RP Muni","MUNI_FED_TAX")</f>
        <v>#N/A Requesting Data...</v>
      </c>
      <c r="R1652" t="str">
        <f>_xll.BDP("743596RP Muni","MUNI_MSRB_VOLUME")</f>
        <v>#N/A Requesting Data...</v>
      </c>
      <c r="S1652" t="str">
        <f>_xll.BDP("743596RP Muni","BB_COMPOSITE")</f>
        <v>#N/A Requesting Data...</v>
      </c>
      <c r="T1652" t="str">
        <f>_xll.BDP("743596RP Muni","LQA_LIQUIDITY_SCORE")</f>
        <v>#N/A Requesting Data...</v>
      </c>
    </row>
    <row r="1653" spans="1:20" x14ac:dyDescent="0.25">
      <c r="A1653" t="str">
        <f>_xll.BDP("682148FN Muni","ID_CUSIP")</f>
        <v>#N/A Requesting Data...</v>
      </c>
      <c r="B1653" t="s">
        <v>404</v>
      </c>
      <c r="C1653" t="str">
        <f>_xll.BDP("682148FN Muni","INSURANCE_STATUS")</f>
        <v>#N/A Requesting Data...</v>
      </c>
      <c r="D1653" t="str">
        <f>_xll.BDP("682148FN Muni","STATE_CODE")</f>
        <v>#N/A Requesting Data...</v>
      </c>
      <c r="E1653" t="str">
        <f>_xll.BDP("682148FN Muni","COUNTY_LOCATION_ISSUER")</f>
        <v>#N/A Requesting Data...</v>
      </c>
      <c r="F1653" t="str">
        <f>_xll.BDP("682148FN Muni","DUR_ADJ_MID")</f>
        <v>#N/A Requesting Data...</v>
      </c>
      <c r="G1653" t="str">
        <f>_xll.BDP("682148FN Muni","SPREAD_AT_ISSUANCE_TO_WORST")</f>
        <v>#N/A Requesting Data...</v>
      </c>
      <c r="H1653" t="str">
        <f>_xll.BDP("682148FN Muni","ISSUE_DT")</f>
        <v>#N/A Requesting Data...</v>
      </c>
      <c r="I1653" t="str">
        <f>_xll.BDS("682148FN Muni","MUNI_PURPOSE_SCHED", "aggregate=y")</f>
        <v>#N/A Requesting Data...</v>
      </c>
      <c r="J1653" t="str">
        <f>_xll.BDP("682148FN Muni","CPN")</f>
        <v>#N/A Requesting Data...</v>
      </c>
      <c r="K1653" t="str">
        <f>_xll.BDP("682148FN Muni","MATURITY")</f>
        <v>#N/A Requesting Data...</v>
      </c>
      <c r="L1653">
        <v>30000</v>
      </c>
      <c r="M1653" t="str">
        <f>_xll.BDP("682148FN Muni","YIELD_ON_ISSUE_DATE")</f>
        <v>#N/A Requesting Data...</v>
      </c>
      <c r="N1653" t="str">
        <f>_xll.BDP("682148FN Muni","YTW_SPREAD_TO_MATURITY_AT_ISSU")</f>
        <v>#N/A Requesting Data...</v>
      </c>
      <c r="O1653" t="str">
        <f>_xll.BDP("682148FN Muni","BVAL_MID_YTM")</f>
        <v>#N/A Requesting Data...</v>
      </c>
      <c r="P1653" t="str">
        <f>_xll.BDP("682148FN Muni","MUNI_TAX_PROV")</f>
        <v>#N/A Requesting Data...</v>
      </c>
      <c r="Q1653" t="str">
        <f>_xll.BDP("682148FN Muni","MUNI_FED_TAX")</f>
        <v>#N/A Requesting Data...</v>
      </c>
      <c r="R1653" t="str">
        <f>_xll.BDP("682148FN Muni","MUNI_MSRB_VOLUME")</f>
        <v>#N/A Requesting Data...</v>
      </c>
      <c r="S1653" t="str">
        <f>_xll.BDP("682148FN Muni","BB_COMPOSITE")</f>
        <v>#N/A Requesting Data...</v>
      </c>
      <c r="T1653" t="str">
        <f>_xll.BDP("682148FN Muni","LQA_LIQUIDITY_SCORE")</f>
        <v>#N/A Requesting Data...</v>
      </c>
    </row>
    <row r="1654" spans="1:20" x14ac:dyDescent="0.25">
      <c r="A1654" t="str">
        <f>_xll.BDP("682148FP Muni","ID_CUSIP")</f>
        <v>#N/A Requesting Data...</v>
      </c>
      <c r="B1654" t="s">
        <v>404</v>
      </c>
      <c r="C1654" t="str">
        <f>_xll.BDP("682148FP Muni","INSURANCE_STATUS")</f>
        <v>#N/A Requesting Data...</v>
      </c>
      <c r="D1654" t="str">
        <f>_xll.BDP("682148FP Muni","STATE_CODE")</f>
        <v>#N/A Requesting Data...</v>
      </c>
      <c r="E1654" t="str">
        <f>_xll.BDP("682148FP Muni","COUNTY_LOCATION_ISSUER")</f>
        <v>#N/A Requesting Data...</v>
      </c>
      <c r="F1654" t="str">
        <f>_xll.BDP("682148FP Muni","DUR_ADJ_MID")</f>
        <v>#N/A Requesting Data...</v>
      </c>
      <c r="G1654" t="str">
        <f>_xll.BDP("682148FP Muni","SPREAD_AT_ISSUANCE_TO_WORST")</f>
        <v>#N/A Requesting Data...</v>
      </c>
      <c r="H1654" t="str">
        <f>_xll.BDP("682148FP Muni","ISSUE_DT")</f>
        <v>#N/A Requesting Data...</v>
      </c>
      <c r="I1654" t="str">
        <f>_xll.BDS("682148FP Muni","MUNI_PURPOSE_SCHED", "aggregate=y")</f>
        <v>#N/A Requesting Data...</v>
      </c>
      <c r="J1654" t="str">
        <f>_xll.BDP("682148FP Muni","CPN")</f>
        <v>#N/A Requesting Data...</v>
      </c>
      <c r="K1654" t="str">
        <f>_xll.BDP("682148FP Muni","MATURITY")</f>
        <v>#N/A Requesting Data...</v>
      </c>
      <c r="L1654">
        <v>40000</v>
      </c>
      <c r="M1654" t="str">
        <f>_xll.BDP("682148FP Muni","YIELD_ON_ISSUE_DATE")</f>
        <v>#N/A Requesting Data...</v>
      </c>
      <c r="N1654" t="str">
        <f>_xll.BDP("682148FP Muni","YTW_SPREAD_TO_MATURITY_AT_ISSU")</f>
        <v>#N/A Requesting Data...</v>
      </c>
      <c r="O1654" t="str">
        <f>_xll.BDP("682148FP Muni","BVAL_MID_YTM")</f>
        <v>#N/A Requesting Data...</v>
      </c>
      <c r="P1654" t="str">
        <f>_xll.BDP("682148FP Muni","MUNI_TAX_PROV")</f>
        <v>#N/A Requesting Data...</v>
      </c>
      <c r="Q1654" t="str">
        <f>_xll.BDP("682148FP Muni","MUNI_FED_TAX")</f>
        <v>#N/A Requesting Data...</v>
      </c>
      <c r="R1654" t="str">
        <f>_xll.BDP("682148FP Muni","MUNI_MSRB_VOLUME")</f>
        <v>#N/A Requesting Data...</v>
      </c>
      <c r="S1654" t="str">
        <f>_xll.BDP("682148FP Muni","BB_COMPOSITE")</f>
        <v>#N/A Requesting Data...</v>
      </c>
      <c r="T1654" t="str">
        <f>_xll.BDP("682148FP Muni","LQA_LIQUIDITY_SCORE")</f>
        <v>#N/A Requesting Data...</v>
      </c>
    </row>
    <row r="1655" spans="1:20" x14ac:dyDescent="0.25">
      <c r="A1655" t="str">
        <f>_xll.BDP("682148FQ Muni","ID_CUSIP")</f>
        <v>#N/A Requesting Data...</v>
      </c>
      <c r="B1655" t="s">
        <v>404</v>
      </c>
      <c r="C1655" t="str">
        <f>_xll.BDP("682148FQ Muni","INSURANCE_STATUS")</f>
        <v>#N/A Requesting Data...</v>
      </c>
      <c r="D1655" t="str">
        <f>_xll.BDP("682148FQ Muni","STATE_CODE")</f>
        <v>#N/A Requesting Data...</v>
      </c>
      <c r="E1655" t="str">
        <f>_xll.BDP("682148FQ Muni","COUNTY_LOCATION_ISSUER")</f>
        <v>#N/A Requesting Data...</v>
      </c>
      <c r="F1655" t="str">
        <f>_xll.BDP("682148FQ Muni","DUR_ADJ_MID")</f>
        <v>#N/A Requesting Data...</v>
      </c>
      <c r="G1655" t="str">
        <f>_xll.BDP("682148FQ Muni","SPREAD_AT_ISSUANCE_TO_WORST")</f>
        <v>#N/A Requesting Data...</v>
      </c>
      <c r="H1655" t="str">
        <f>_xll.BDP("682148FQ Muni","ISSUE_DT")</f>
        <v>#N/A Requesting Data...</v>
      </c>
      <c r="I1655" t="str">
        <f>_xll.BDS("682148FQ Muni","MUNI_PURPOSE_SCHED", "aggregate=y")</f>
        <v>#N/A Requesting Data...</v>
      </c>
      <c r="J1655" t="str">
        <f>_xll.BDP("682148FQ Muni","CPN")</f>
        <v>#N/A Requesting Data...</v>
      </c>
      <c r="K1655" t="str">
        <f>_xll.BDP("682148FQ Muni","MATURITY")</f>
        <v>#N/A Requesting Data...</v>
      </c>
      <c r="L1655">
        <v>45000</v>
      </c>
      <c r="M1655" t="str">
        <f>_xll.BDP("682148FQ Muni","YIELD_ON_ISSUE_DATE")</f>
        <v>#N/A Requesting Data...</v>
      </c>
      <c r="N1655" t="str">
        <f>_xll.BDP("682148FQ Muni","YTW_SPREAD_TO_MATURITY_AT_ISSU")</f>
        <v>#N/A Requesting Data...</v>
      </c>
      <c r="O1655" t="str">
        <f>_xll.BDP("682148FQ Muni","BVAL_MID_YTM")</f>
        <v>#N/A Requesting Data...</v>
      </c>
      <c r="P1655" t="str">
        <f>_xll.BDP("682148FQ Muni","MUNI_TAX_PROV")</f>
        <v>#N/A Requesting Data...</v>
      </c>
      <c r="Q1655" t="str">
        <f>_xll.BDP("682148FQ Muni","MUNI_FED_TAX")</f>
        <v>#N/A Requesting Data...</v>
      </c>
      <c r="R1655" t="str">
        <f>_xll.BDP("682148FQ Muni","MUNI_MSRB_VOLUME")</f>
        <v>#N/A Requesting Data...</v>
      </c>
      <c r="S1655" t="str">
        <f>_xll.BDP("682148FQ Muni","BB_COMPOSITE")</f>
        <v>#N/A Requesting Data...</v>
      </c>
      <c r="T1655" t="str">
        <f>_xll.BDP("682148FQ Muni","LQA_LIQUIDITY_SCORE")</f>
        <v>#N/A Requesting Data...</v>
      </c>
    </row>
    <row r="1656" spans="1:20" x14ac:dyDescent="0.25">
      <c r="A1656" t="str">
        <f>_xll.BDP("682148FR Muni","ID_CUSIP")</f>
        <v>#N/A Requesting Data...</v>
      </c>
      <c r="B1656" t="s">
        <v>404</v>
      </c>
      <c r="C1656" t="str">
        <f>_xll.BDP("682148FR Muni","INSURANCE_STATUS")</f>
        <v>#N/A Requesting Data...</v>
      </c>
      <c r="D1656" t="str">
        <f>_xll.BDP("682148FR Muni","STATE_CODE")</f>
        <v>#N/A Requesting Data...</v>
      </c>
      <c r="E1656" t="str">
        <f>_xll.BDP("682148FR Muni","COUNTY_LOCATION_ISSUER")</f>
        <v>#N/A Requesting Data...</v>
      </c>
      <c r="F1656" t="str">
        <f>_xll.BDP("682148FR Muni","DUR_ADJ_MID")</f>
        <v>#N/A Requesting Data...</v>
      </c>
      <c r="G1656" t="str">
        <f>_xll.BDP("682148FR Muni","SPREAD_AT_ISSUANCE_TO_WORST")</f>
        <v>#N/A Requesting Data...</v>
      </c>
      <c r="H1656" t="str">
        <f>_xll.BDP("682148FR Muni","ISSUE_DT")</f>
        <v>#N/A Requesting Data...</v>
      </c>
      <c r="I1656" t="str">
        <f>_xll.BDS("682148FR Muni","MUNI_PURPOSE_SCHED", "aggregate=y")</f>
        <v>#N/A Requesting Data...</v>
      </c>
      <c r="J1656" t="str">
        <f>_xll.BDP("682148FR Muni","CPN")</f>
        <v>#N/A Requesting Data...</v>
      </c>
      <c r="K1656" t="str">
        <f>_xll.BDP("682148FR Muni","MATURITY")</f>
        <v>#N/A Requesting Data...</v>
      </c>
      <c r="L1656">
        <v>45000</v>
      </c>
      <c r="M1656" t="str">
        <f>_xll.BDP("682148FR Muni","YIELD_ON_ISSUE_DATE")</f>
        <v>#N/A Requesting Data...</v>
      </c>
      <c r="N1656" t="str">
        <f>_xll.BDP("682148FR Muni","YTW_SPREAD_TO_MATURITY_AT_ISSU")</f>
        <v>#N/A Requesting Data...</v>
      </c>
      <c r="O1656" t="str">
        <f>_xll.BDP("682148FR Muni","BVAL_MID_YTM")</f>
        <v>#N/A Requesting Data...</v>
      </c>
      <c r="P1656" t="str">
        <f>_xll.BDP("682148FR Muni","MUNI_TAX_PROV")</f>
        <v>#N/A Requesting Data...</v>
      </c>
      <c r="Q1656" t="str">
        <f>_xll.BDP("682148FR Muni","MUNI_FED_TAX")</f>
        <v>#N/A Requesting Data...</v>
      </c>
      <c r="R1656" t="str">
        <f>_xll.BDP("682148FR Muni","MUNI_MSRB_VOLUME")</f>
        <v>#N/A Requesting Data...</v>
      </c>
      <c r="S1656" t="str">
        <f>_xll.BDP("682148FR Muni","BB_COMPOSITE")</f>
        <v>#N/A Requesting Data...</v>
      </c>
      <c r="T1656" t="str">
        <f>_xll.BDP("682148FR Muni","LQA_LIQUIDITY_SCORE")</f>
        <v>#N/A Requesting Data...</v>
      </c>
    </row>
    <row r="1657" spans="1:20" x14ac:dyDescent="0.25">
      <c r="A1657" t="str">
        <f>_xll.BDP("68304BAE Muni","ID_CUSIP")</f>
        <v>#N/A Requesting Data...</v>
      </c>
      <c r="B1657" t="s">
        <v>405</v>
      </c>
      <c r="C1657" t="str">
        <f>_xll.BDP("68304BAE Muni","INSURANCE_STATUS")</f>
        <v>#N/A Requesting Data...</v>
      </c>
      <c r="D1657" t="str">
        <f>_xll.BDP("68304BAE Muni","STATE_CODE")</f>
        <v>#N/A Requesting Data...</v>
      </c>
      <c r="E1657" t="str">
        <f>_xll.BDP("68304BAE Muni","COUNTY_LOCATION_ISSUER")</f>
        <v>#N/A Requesting Data...</v>
      </c>
      <c r="F1657" t="str">
        <f>_xll.BDP("68304BAE Muni","DUR_ADJ_MID")</f>
        <v>#N/A Requesting Data...</v>
      </c>
      <c r="G1657" t="str">
        <f>_xll.BDP("68304BAE Muni","SPREAD_AT_ISSUANCE_TO_WORST")</f>
        <v>#N/A Requesting Data...</v>
      </c>
      <c r="H1657" t="str">
        <f>_xll.BDP("68304BAE Muni","ISSUE_DT")</f>
        <v>#N/A Requesting Data...</v>
      </c>
      <c r="I1657" t="str">
        <f>_xll.BDS("68304BAE Muni","MUNI_PURPOSE_SCHED", "aggregate=y")</f>
        <v>#N/A Requesting Data...</v>
      </c>
      <c r="J1657" t="str">
        <f>_xll.BDP("68304BAE Muni","CPN")</f>
        <v>#N/A Requesting Data...</v>
      </c>
      <c r="K1657" t="str">
        <f>_xll.BDP("68304BAE Muni","MATURITY")</f>
        <v>#N/A Requesting Data...</v>
      </c>
      <c r="L1657">
        <v>165000</v>
      </c>
      <c r="M1657" t="str">
        <f>_xll.BDP("68304BAE Muni","YIELD_ON_ISSUE_DATE")</f>
        <v>#N/A Requesting Data...</v>
      </c>
      <c r="N1657" t="str">
        <f>_xll.BDP("68304BAE Muni","YTW_SPREAD_TO_MATURITY_AT_ISSU")</f>
        <v>#N/A Requesting Data...</v>
      </c>
      <c r="O1657" t="str">
        <f>_xll.BDP("68304BAE Muni","BVAL_MID_YTM")</f>
        <v>#N/A Requesting Data...</v>
      </c>
      <c r="P1657" t="str">
        <f>_xll.BDP("68304BAE Muni","MUNI_TAX_PROV")</f>
        <v>#N/A Requesting Data...</v>
      </c>
      <c r="Q1657" t="str">
        <f>_xll.BDP("68304BAE Muni","MUNI_FED_TAX")</f>
        <v>#N/A Requesting Data...</v>
      </c>
      <c r="R1657" t="str">
        <f>_xll.BDP("68304BAE Muni","MUNI_MSRB_VOLUME")</f>
        <v>#N/A Requesting Data...</v>
      </c>
      <c r="S1657" t="str">
        <f>_xll.BDP("68304BAE Muni","BB_COMPOSITE")</f>
        <v>#N/A Requesting Data...</v>
      </c>
      <c r="T1657" t="str">
        <f>_xll.BDP("68304BAE Muni","LQA_LIQUIDITY_SCORE")</f>
        <v>#N/A Requesting Data...</v>
      </c>
    </row>
    <row r="1658" spans="1:20" x14ac:dyDescent="0.25">
      <c r="A1658" t="str">
        <f>_xll.BDP("68304BAF Muni","ID_CUSIP")</f>
        <v>#N/A Requesting Data...</v>
      </c>
      <c r="B1658" t="s">
        <v>405</v>
      </c>
      <c r="C1658" t="str">
        <f>_xll.BDP("68304BAF Muni","INSURANCE_STATUS")</f>
        <v>#N/A Requesting Data...</v>
      </c>
      <c r="D1658" t="str">
        <f>_xll.BDP("68304BAF Muni","STATE_CODE")</f>
        <v>#N/A Requesting Data...</v>
      </c>
      <c r="E1658" t="str">
        <f>_xll.BDP("68304BAF Muni","COUNTY_LOCATION_ISSUER")</f>
        <v>#N/A Requesting Data...</v>
      </c>
      <c r="F1658" t="str">
        <f>_xll.BDP("68304BAF Muni","DUR_ADJ_MID")</f>
        <v>#N/A Requesting Data...</v>
      </c>
      <c r="G1658" t="str">
        <f>_xll.BDP("68304BAF Muni","SPREAD_AT_ISSUANCE_TO_WORST")</f>
        <v>#N/A Requesting Data...</v>
      </c>
      <c r="H1658" t="str">
        <f>_xll.BDP("68304BAF Muni","ISSUE_DT")</f>
        <v>#N/A Requesting Data...</v>
      </c>
      <c r="I1658" t="str">
        <f>_xll.BDS("68304BAF Muni","MUNI_PURPOSE_SCHED", "aggregate=y")</f>
        <v>#N/A Requesting Data...</v>
      </c>
      <c r="J1658" t="str">
        <f>_xll.BDP("68304BAF Muni","CPN")</f>
        <v>#N/A Requesting Data...</v>
      </c>
      <c r="K1658" t="str">
        <f>_xll.BDP("68304BAF Muni","MATURITY")</f>
        <v>#N/A Requesting Data...</v>
      </c>
      <c r="L1658">
        <v>170000</v>
      </c>
      <c r="M1658" t="str">
        <f>_xll.BDP("68304BAF Muni","YIELD_ON_ISSUE_DATE")</f>
        <v>#N/A Requesting Data...</v>
      </c>
      <c r="N1658" t="str">
        <f>_xll.BDP("68304BAF Muni","YTW_SPREAD_TO_MATURITY_AT_ISSU")</f>
        <v>#N/A Requesting Data...</v>
      </c>
      <c r="O1658" t="str">
        <f>_xll.BDP("68304BAF Muni","BVAL_MID_YTM")</f>
        <v>#N/A Requesting Data...</v>
      </c>
      <c r="P1658" t="str">
        <f>_xll.BDP("68304BAF Muni","MUNI_TAX_PROV")</f>
        <v>#N/A Requesting Data...</v>
      </c>
      <c r="Q1658" t="str">
        <f>_xll.BDP("68304BAF Muni","MUNI_FED_TAX")</f>
        <v>#N/A Requesting Data...</v>
      </c>
      <c r="R1658" t="str">
        <f>_xll.BDP("68304BAF Muni","MUNI_MSRB_VOLUME")</f>
        <v>#N/A Requesting Data...</v>
      </c>
      <c r="S1658" t="str">
        <f>_xll.BDP("68304BAF Muni","BB_COMPOSITE")</f>
        <v>#N/A Requesting Data...</v>
      </c>
      <c r="T1658" t="str">
        <f>_xll.BDP("68304BAF Muni","LQA_LIQUIDITY_SCORE")</f>
        <v>#N/A Requesting Data...</v>
      </c>
    </row>
    <row r="1659" spans="1:20" x14ac:dyDescent="0.25">
      <c r="A1659" t="str">
        <f>_xll.BDP("68304BAG Muni","ID_CUSIP")</f>
        <v>#N/A Requesting Data...</v>
      </c>
      <c r="B1659" t="s">
        <v>405</v>
      </c>
      <c r="C1659" t="str">
        <f>_xll.BDP("68304BAG Muni","INSURANCE_STATUS")</f>
        <v>#N/A Requesting Data...</v>
      </c>
      <c r="D1659" t="str">
        <f>_xll.BDP("68304BAG Muni","STATE_CODE")</f>
        <v>#N/A Requesting Data...</v>
      </c>
      <c r="E1659" t="str">
        <f>_xll.BDP("68304BAG Muni","COUNTY_LOCATION_ISSUER")</f>
        <v>#N/A Requesting Data...</v>
      </c>
      <c r="F1659" t="str">
        <f>_xll.BDP("68304BAG Muni","DUR_ADJ_MID")</f>
        <v>#N/A Requesting Data...</v>
      </c>
      <c r="G1659" t="str">
        <f>_xll.BDP("68304BAG Muni","SPREAD_AT_ISSUANCE_TO_WORST")</f>
        <v>#N/A Requesting Data...</v>
      </c>
      <c r="H1659" t="str">
        <f>_xll.BDP("68304BAG Muni","ISSUE_DT")</f>
        <v>#N/A Requesting Data...</v>
      </c>
      <c r="I1659" t="str">
        <f>_xll.BDS("68304BAG Muni","MUNI_PURPOSE_SCHED", "aggregate=y")</f>
        <v>#N/A Requesting Data...</v>
      </c>
      <c r="J1659" t="str">
        <f>_xll.BDP("68304BAG Muni","CPN")</f>
        <v>#N/A Requesting Data...</v>
      </c>
      <c r="K1659" t="str">
        <f>_xll.BDP("68304BAG Muni","MATURITY")</f>
        <v>#N/A Requesting Data...</v>
      </c>
      <c r="L1659">
        <v>175000</v>
      </c>
      <c r="M1659" t="str">
        <f>_xll.BDP("68304BAG Muni","YIELD_ON_ISSUE_DATE")</f>
        <v>#N/A Requesting Data...</v>
      </c>
      <c r="N1659" t="str">
        <f>_xll.BDP("68304BAG Muni","YTW_SPREAD_TO_MATURITY_AT_ISSU")</f>
        <v>#N/A Requesting Data...</v>
      </c>
      <c r="O1659" t="str">
        <f>_xll.BDP("68304BAG Muni","BVAL_MID_YTM")</f>
        <v>#N/A Requesting Data...</v>
      </c>
      <c r="P1659" t="str">
        <f>_xll.BDP("68304BAG Muni","MUNI_TAX_PROV")</f>
        <v>#N/A Requesting Data...</v>
      </c>
      <c r="Q1659" t="str">
        <f>_xll.BDP("68304BAG Muni","MUNI_FED_TAX")</f>
        <v>#N/A Requesting Data...</v>
      </c>
      <c r="R1659" t="str">
        <f>_xll.BDP("68304BAG Muni","MUNI_MSRB_VOLUME")</f>
        <v>#N/A Requesting Data...</v>
      </c>
      <c r="S1659" t="str">
        <f>_xll.BDP("68304BAG Muni","BB_COMPOSITE")</f>
        <v>#N/A Requesting Data...</v>
      </c>
      <c r="T1659" t="str">
        <f>_xll.BDP("68304BAG Muni","LQA_LIQUIDITY_SCORE")</f>
        <v>#N/A Requesting Data...</v>
      </c>
    </row>
    <row r="1660" spans="1:20" x14ac:dyDescent="0.25">
      <c r="A1660" t="str">
        <f>_xll.BDP("68423PXH Muni","ID_CUSIP")</f>
        <v>#N/A Requesting Data...</v>
      </c>
      <c r="B1660" t="s">
        <v>406</v>
      </c>
      <c r="C1660" t="str">
        <f>_xll.BDP("68423PXH Muni","INSURANCE_STATUS")</f>
        <v>#N/A Requesting Data...</v>
      </c>
      <c r="D1660" t="str">
        <f>_xll.BDP("68423PXH Muni","STATE_CODE")</f>
        <v>#N/A Requesting Data...</v>
      </c>
      <c r="E1660" t="str">
        <f>_xll.BDP("68423PXH Muni","COUNTY_LOCATION_ISSUER")</f>
        <v>#N/A Requesting Data...</v>
      </c>
      <c r="F1660" t="str">
        <f>_xll.BDP("68423PXH Muni","DUR_ADJ_MID")</f>
        <v>#N/A Requesting Data...</v>
      </c>
      <c r="G1660" t="str">
        <f>_xll.BDP("68423PXH Muni","SPREAD_AT_ISSUANCE_TO_WORST")</f>
        <v>#N/A Requesting Data...</v>
      </c>
      <c r="H1660" t="str">
        <f>_xll.BDP("68423PXH Muni","ISSUE_DT")</f>
        <v>#N/A Requesting Data...</v>
      </c>
      <c r="I1660" t="str">
        <f>_xll.BDS("68423PXH Muni","MUNI_PURPOSE_SCHED", "aggregate=y")</f>
        <v>#N/A Requesting Data...</v>
      </c>
      <c r="J1660" t="str">
        <f>_xll.BDP("68423PXH Muni","CPN")</f>
        <v>#N/A Requesting Data...</v>
      </c>
      <c r="K1660" t="str">
        <f>_xll.BDP("68423PXH Muni","MATURITY")</f>
        <v>#N/A Requesting Data...</v>
      </c>
      <c r="L1660">
        <v>560000</v>
      </c>
      <c r="M1660" t="str">
        <f>_xll.BDP("68423PXH Muni","YIELD_ON_ISSUE_DATE")</f>
        <v>#N/A Requesting Data...</v>
      </c>
      <c r="N1660" t="str">
        <f>_xll.BDP("68423PXH Muni","YTW_SPREAD_TO_MATURITY_AT_ISSU")</f>
        <v>#N/A Requesting Data...</v>
      </c>
      <c r="O1660" t="str">
        <f>_xll.BDP("68423PXH Muni","BVAL_MID_YTM")</f>
        <v>#N/A Requesting Data...</v>
      </c>
      <c r="P1660" t="str">
        <f>_xll.BDP("68423PXH Muni","MUNI_TAX_PROV")</f>
        <v>#N/A Requesting Data...</v>
      </c>
      <c r="Q1660" t="str">
        <f>_xll.BDP("68423PXH Muni","MUNI_FED_TAX")</f>
        <v>#N/A Requesting Data...</v>
      </c>
      <c r="R1660" t="str">
        <f>_xll.BDP("68423PXH Muni","MUNI_MSRB_VOLUME")</f>
        <v>#N/A Requesting Data...</v>
      </c>
      <c r="S1660" t="str">
        <f>_xll.BDP("68423PXH Muni","BB_COMPOSITE")</f>
        <v>#N/A Requesting Data...</v>
      </c>
      <c r="T1660" t="str">
        <f>_xll.BDP("68423PXH Muni","LQA_LIQUIDITY_SCORE")</f>
        <v>#N/A Requesting Data...</v>
      </c>
    </row>
    <row r="1661" spans="1:20" x14ac:dyDescent="0.25">
      <c r="A1661" t="str">
        <f>_xll.BDP("68423PXJ Muni","ID_CUSIP")</f>
        <v>#N/A Requesting Data...</v>
      </c>
      <c r="B1661" t="s">
        <v>406</v>
      </c>
      <c r="C1661" t="str">
        <f>_xll.BDP("68423PXJ Muni","INSURANCE_STATUS")</f>
        <v>#N/A Requesting Data...</v>
      </c>
      <c r="D1661" t="str">
        <f>_xll.BDP("68423PXJ Muni","STATE_CODE")</f>
        <v>#N/A Requesting Data...</v>
      </c>
      <c r="E1661" t="str">
        <f>_xll.BDP("68423PXJ Muni","COUNTY_LOCATION_ISSUER")</f>
        <v>#N/A Requesting Data...</v>
      </c>
      <c r="F1661" t="str">
        <f>_xll.BDP("68423PXJ Muni","DUR_ADJ_MID")</f>
        <v>#N/A Requesting Data...</v>
      </c>
      <c r="G1661" t="str">
        <f>_xll.BDP("68423PXJ Muni","SPREAD_AT_ISSUANCE_TO_WORST")</f>
        <v>#N/A Requesting Data...</v>
      </c>
      <c r="H1661" t="str">
        <f>_xll.BDP("68423PXJ Muni","ISSUE_DT")</f>
        <v>#N/A Requesting Data...</v>
      </c>
      <c r="I1661" t="str">
        <f>_xll.BDS("68423PXJ Muni","MUNI_PURPOSE_SCHED", "aggregate=y")</f>
        <v>#N/A Requesting Data...</v>
      </c>
      <c r="J1661" t="str">
        <f>_xll.BDP("68423PXJ Muni","CPN")</f>
        <v>#N/A Requesting Data...</v>
      </c>
      <c r="K1661" t="str">
        <f>_xll.BDP("68423PXJ Muni","MATURITY")</f>
        <v>#N/A Requesting Data...</v>
      </c>
      <c r="L1661">
        <v>665000</v>
      </c>
      <c r="M1661" t="str">
        <f>_xll.BDP("68423PXJ Muni","YIELD_ON_ISSUE_DATE")</f>
        <v>#N/A Requesting Data...</v>
      </c>
      <c r="N1661" t="str">
        <f>_xll.BDP("68423PXJ Muni","YTW_SPREAD_TO_MATURITY_AT_ISSU")</f>
        <v>#N/A Requesting Data...</v>
      </c>
      <c r="O1661" t="str">
        <f>_xll.BDP("68423PXJ Muni","BVAL_MID_YTM")</f>
        <v>#N/A Requesting Data...</v>
      </c>
      <c r="P1661" t="str">
        <f>_xll.BDP("68423PXJ Muni","MUNI_TAX_PROV")</f>
        <v>#N/A Requesting Data...</v>
      </c>
      <c r="Q1661" t="str">
        <f>_xll.BDP("68423PXJ Muni","MUNI_FED_TAX")</f>
        <v>#N/A Requesting Data...</v>
      </c>
      <c r="R1661" t="str">
        <f>_xll.BDP("68423PXJ Muni","MUNI_MSRB_VOLUME")</f>
        <v>#N/A Requesting Data...</v>
      </c>
      <c r="S1661" t="str">
        <f>_xll.BDP("68423PXJ Muni","BB_COMPOSITE")</f>
        <v>#N/A Requesting Data...</v>
      </c>
      <c r="T1661" t="str">
        <f>_xll.BDP("68423PXJ Muni","LQA_LIQUIDITY_SCORE")</f>
        <v>#N/A Requesting Data...</v>
      </c>
    </row>
    <row r="1662" spans="1:20" x14ac:dyDescent="0.25">
      <c r="A1662" t="str">
        <f>_xll.BDP("68423PXK Muni","ID_CUSIP")</f>
        <v>#N/A Requesting Data...</v>
      </c>
      <c r="B1662" t="s">
        <v>406</v>
      </c>
      <c r="C1662" t="str">
        <f>_xll.BDP("68423PXK Muni","INSURANCE_STATUS")</f>
        <v>#N/A Requesting Data...</v>
      </c>
      <c r="D1662" t="str">
        <f>_xll.BDP("68423PXK Muni","STATE_CODE")</f>
        <v>#N/A Requesting Data...</v>
      </c>
      <c r="E1662" t="str">
        <f>_xll.BDP("68423PXK Muni","COUNTY_LOCATION_ISSUER")</f>
        <v>#N/A Requesting Data...</v>
      </c>
      <c r="F1662" t="str">
        <f>_xll.BDP("68423PXK Muni","DUR_ADJ_MID")</f>
        <v>#N/A Requesting Data...</v>
      </c>
      <c r="G1662" t="str">
        <f>_xll.BDP("68423PXK Muni","SPREAD_AT_ISSUANCE_TO_WORST")</f>
        <v>#N/A Requesting Data...</v>
      </c>
      <c r="H1662" t="str">
        <f>_xll.BDP("68423PXK Muni","ISSUE_DT")</f>
        <v>#N/A Requesting Data...</v>
      </c>
      <c r="I1662" t="str">
        <f>_xll.BDS("68423PXK Muni","MUNI_PURPOSE_SCHED", "aggregate=y")</f>
        <v>#N/A Requesting Data...</v>
      </c>
      <c r="J1662" t="str">
        <f>_xll.BDP("68423PXK Muni","CPN")</f>
        <v>#N/A Requesting Data...</v>
      </c>
      <c r="K1662" t="str">
        <f>_xll.BDP("68423PXK Muni","MATURITY")</f>
        <v>#N/A Requesting Data...</v>
      </c>
      <c r="L1662">
        <v>775000</v>
      </c>
      <c r="M1662" t="str">
        <f>_xll.BDP("68423PXK Muni","YIELD_ON_ISSUE_DATE")</f>
        <v>#N/A Requesting Data...</v>
      </c>
      <c r="N1662" t="str">
        <f>_xll.BDP("68423PXK Muni","YTW_SPREAD_TO_MATURITY_AT_ISSU")</f>
        <v>#N/A Requesting Data...</v>
      </c>
      <c r="O1662" t="str">
        <f>_xll.BDP("68423PXK Muni","BVAL_MID_YTM")</f>
        <v>#N/A Requesting Data...</v>
      </c>
      <c r="P1662" t="str">
        <f>_xll.BDP("68423PXK Muni","MUNI_TAX_PROV")</f>
        <v>#N/A Requesting Data...</v>
      </c>
      <c r="Q1662" t="str">
        <f>_xll.BDP("68423PXK Muni","MUNI_FED_TAX")</f>
        <v>#N/A Requesting Data...</v>
      </c>
      <c r="R1662" t="str">
        <f>_xll.BDP("68423PXK Muni","MUNI_MSRB_VOLUME")</f>
        <v>#N/A Requesting Data...</v>
      </c>
      <c r="S1662" t="str">
        <f>_xll.BDP("68423PXK Muni","BB_COMPOSITE")</f>
        <v>#N/A Requesting Data...</v>
      </c>
      <c r="T1662" t="str">
        <f>_xll.BDP("68423PXK Muni","LQA_LIQUIDITY_SCORE")</f>
        <v>#N/A Requesting Data...</v>
      </c>
    </row>
    <row r="1663" spans="1:20" x14ac:dyDescent="0.25">
      <c r="A1663" t="str">
        <f>_xll.BDP("68423PXL Muni","ID_CUSIP")</f>
        <v>#N/A Requesting Data...</v>
      </c>
      <c r="B1663" t="s">
        <v>406</v>
      </c>
      <c r="C1663" t="str">
        <f>_xll.BDP("68423PXL Muni","INSURANCE_STATUS")</f>
        <v>#N/A Requesting Data...</v>
      </c>
      <c r="D1663" t="str">
        <f>_xll.BDP("68423PXL Muni","STATE_CODE")</f>
        <v>#N/A Requesting Data...</v>
      </c>
      <c r="E1663" t="str">
        <f>_xll.BDP("68423PXL Muni","COUNTY_LOCATION_ISSUER")</f>
        <v>#N/A Requesting Data...</v>
      </c>
      <c r="F1663" t="str">
        <f>_xll.BDP("68423PXL Muni","DUR_ADJ_MID")</f>
        <v>#N/A Requesting Data...</v>
      </c>
      <c r="G1663" t="str">
        <f>_xll.BDP("68423PXL Muni","SPREAD_AT_ISSUANCE_TO_WORST")</f>
        <v>#N/A Requesting Data...</v>
      </c>
      <c r="H1663" t="str">
        <f>_xll.BDP("68423PXL Muni","ISSUE_DT")</f>
        <v>#N/A Requesting Data...</v>
      </c>
      <c r="I1663" t="str">
        <f>_xll.BDS("68423PXL Muni","MUNI_PURPOSE_SCHED", "aggregate=y")</f>
        <v>#N/A Requesting Data...</v>
      </c>
      <c r="J1663" t="str">
        <f>_xll.BDP("68423PXL Muni","CPN")</f>
        <v>#N/A Requesting Data...</v>
      </c>
      <c r="K1663" t="str">
        <f>_xll.BDP("68423PXL Muni","MATURITY")</f>
        <v>#N/A Requesting Data...</v>
      </c>
      <c r="L1663">
        <v>895000</v>
      </c>
      <c r="M1663" t="str">
        <f>_xll.BDP("68423PXL Muni","YIELD_ON_ISSUE_DATE")</f>
        <v>#N/A Requesting Data...</v>
      </c>
      <c r="N1663" t="str">
        <f>_xll.BDP("68423PXL Muni","YTW_SPREAD_TO_MATURITY_AT_ISSU")</f>
        <v>#N/A Requesting Data...</v>
      </c>
      <c r="O1663" t="str">
        <f>_xll.BDP("68423PXL Muni","BVAL_MID_YTM")</f>
        <v>#N/A Requesting Data...</v>
      </c>
      <c r="P1663" t="str">
        <f>_xll.BDP("68423PXL Muni","MUNI_TAX_PROV")</f>
        <v>#N/A Requesting Data...</v>
      </c>
      <c r="Q1663" t="str">
        <f>_xll.BDP("68423PXL Muni","MUNI_FED_TAX")</f>
        <v>#N/A Requesting Data...</v>
      </c>
      <c r="R1663" t="str">
        <f>_xll.BDP("68423PXL Muni","MUNI_MSRB_VOLUME")</f>
        <v>#N/A Requesting Data...</v>
      </c>
      <c r="S1663" t="str">
        <f>_xll.BDP("68423PXL Muni","BB_COMPOSITE")</f>
        <v>#N/A Requesting Data...</v>
      </c>
      <c r="T1663" t="str">
        <f>_xll.BDP("68423PXL Muni","LQA_LIQUIDITY_SCORE")</f>
        <v>#N/A Requesting Data...</v>
      </c>
    </row>
    <row r="1664" spans="1:20" x14ac:dyDescent="0.25">
      <c r="A1664" t="str">
        <f>_xll.BDP("68423PXM Muni","ID_CUSIP")</f>
        <v>#N/A Requesting Data...</v>
      </c>
      <c r="B1664" t="s">
        <v>406</v>
      </c>
      <c r="C1664" t="str">
        <f>_xll.BDP("68423PXM Muni","INSURANCE_STATUS")</f>
        <v>#N/A Requesting Data...</v>
      </c>
      <c r="D1664" t="str">
        <f>_xll.BDP("68423PXM Muni","STATE_CODE")</f>
        <v>#N/A Requesting Data...</v>
      </c>
      <c r="E1664" t="str">
        <f>_xll.BDP("68423PXM Muni","COUNTY_LOCATION_ISSUER")</f>
        <v>#N/A Requesting Data...</v>
      </c>
      <c r="F1664" t="str">
        <f>_xll.BDP("68423PXM Muni","DUR_ADJ_MID")</f>
        <v>#N/A Requesting Data...</v>
      </c>
      <c r="G1664" t="str">
        <f>_xll.BDP("68423PXM Muni","SPREAD_AT_ISSUANCE_TO_WORST")</f>
        <v>#N/A Requesting Data...</v>
      </c>
      <c r="H1664" t="str">
        <f>_xll.BDP("68423PXM Muni","ISSUE_DT")</f>
        <v>#N/A Requesting Data...</v>
      </c>
      <c r="I1664" t="str">
        <f>_xll.BDS("68423PXM Muni","MUNI_PURPOSE_SCHED", "aggregate=y")</f>
        <v>#N/A Requesting Data...</v>
      </c>
      <c r="J1664" t="str">
        <f>_xll.BDP("68423PXM Muni","CPN")</f>
        <v>#N/A Requesting Data...</v>
      </c>
      <c r="K1664" t="str">
        <f>_xll.BDP("68423PXM Muni","MATURITY")</f>
        <v>#N/A Requesting Data...</v>
      </c>
      <c r="L1664">
        <v>1030000</v>
      </c>
      <c r="M1664" t="str">
        <f>_xll.BDP("68423PXM Muni","YIELD_ON_ISSUE_DATE")</f>
        <v>#N/A Requesting Data...</v>
      </c>
      <c r="N1664" t="str">
        <f>_xll.BDP("68423PXM Muni","YTW_SPREAD_TO_MATURITY_AT_ISSU")</f>
        <v>#N/A Requesting Data...</v>
      </c>
      <c r="O1664" t="str">
        <f>_xll.BDP("68423PXM Muni","BVAL_MID_YTM")</f>
        <v>#N/A Requesting Data...</v>
      </c>
      <c r="P1664" t="str">
        <f>_xll.BDP("68423PXM Muni","MUNI_TAX_PROV")</f>
        <v>#N/A Requesting Data...</v>
      </c>
      <c r="Q1664" t="str">
        <f>_xll.BDP("68423PXM Muni","MUNI_FED_TAX")</f>
        <v>#N/A Requesting Data...</v>
      </c>
      <c r="R1664" t="str">
        <f>_xll.BDP("68423PXM Muni","MUNI_MSRB_VOLUME")</f>
        <v>#N/A Requesting Data...</v>
      </c>
      <c r="S1664" t="str">
        <f>_xll.BDP("68423PXM Muni","BB_COMPOSITE")</f>
        <v>#N/A Requesting Data...</v>
      </c>
      <c r="T1664" t="str">
        <f>_xll.BDP("68423PXM Muni","LQA_LIQUIDITY_SCORE")</f>
        <v>#N/A Requesting Data...</v>
      </c>
    </row>
    <row r="1665" spans="1:20" x14ac:dyDescent="0.25">
      <c r="A1665" t="str">
        <f>_xll.BDP("68423PXN Muni","ID_CUSIP")</f>
        <v>#N/A Requesting Data...</v>
      </c>
      <c r="B1665" t="s">
        <v>406</v>
      </c>
      <c r="C1665" t="str">
        <f>_xll.BDP("68423PXN Muni","INSURANCE_STATUS")</f>
        <v>#N/A Requesting Data...</v>
      </c>
      <c r="D1665" t="str">
        <f>_xll.BDP("68423PXN Muni","STATE_CODE")</f>
        <v>#N/A Requesting Data...</v>
      </c>
      <c r="E1665" t="str">
        <f>_xll.BDP("68423PXN Muni","COUNTY_LOCATION_ISSUER")</f>
        <v>#N/A Requesting Data...</v>
      </c>
      <c r="F1665" t="str">
        <f>_xll.BDP("68423PXN Muni","DUR_ADJ_MID")</f>
        <v>#N/A Requesting Data...</v>
      </c>
      <c r="G1665" t="str">
        <f>_xll.BDP("68423PXN Muni","SPREAD_AT_ISSUANCE_TO_WORST")</f>
        <v>#N/A Requesting Data...</v>
      </c>
      <c r="H1665" t="str">
        <f>_xll.BDP("68423PXN Muni","ISSUE_DT")</f>
        <v>#N/A Requesting Data...</v>
      </c>
      <c r="I1665" t="str">
        <f>_xll.BDS("68423PXN Muni","MUNI_PURPOSE_SCHED", "aggregate=y")</f>
        <v>#N/A Requesting Data...</v>
      </c>
      <c r="J1665" t="str">
        <f>_xll.BDP("68423PXN Muni","CPN")</f>
        <v>#N/A Requesting Data...</v>
      </c>
      <c r="K1665" t="str">
        <f>_xll.BDP("68423PXN Muni","MATURITY")</f>
        <v>#N/A Requesting Data...</v>
      </c>
      <c r="L1665">
        <v>1175000</v>
      </c>
      <c r="M1665" t="str">
        <f>_xll.BDP("68423PXN Muni","YIELD_ON_ISSUE_DATE")</f>
        <v>#N/A Requesting Data...</v>
      </c>
      <c r="N1665" t="str">
        <f>_xll.BDP("68423PXN Muni","YTW_SPREAD_TO_MATURITY_AT_ISSU")</f>
        <v>#N/A Requesting Data...</v>
      </c>
      <c r="O1665" t="str">
        <f>_xll.BDP("68423PXN Muni","BVAL_MID_YTM")</f>
        <v>#N/A Requesting Data...</v>
      </c>
      <c r="P1665" t="str">
        <f>_xll.BDP("68423PXN Muni","MUNI_TAX_PROV")</f>
        <v>#N/A Requesting Data...</v>
      </c>
      <c r="Q1665" t="str">
        <f>_xll.BDP("68423PXN Muni","MUNI_FED_TAX")</f>
        <v>#N/A Requesting Data...</v>
      </c>
      <c r="R1665" t="str">
        <f>_xll.BDP("68423PXN Muni","MUNI_MSRB_VOLUME")</f>
        <v>#N/A Requesting Data...</v>
      </c>
      <c r="S1665" t="str">
        <f>_xll.BDP("68423PXN Muni","BB_COMPOSITE")</f>
        <v>#N/A Requesting Data...</v>
      </c>
      <c r="T1665" t="str">
        <f>_xll.BDP("68423PXN Muni","LQA_LIQUIDITY_SCORE")</f>
        <v>#N/A Requesting Data...</v>
      </c>
    </row>
    <row r="1666" spans="1:20" x14ac:dyDescent="0.25">
      <c r="A1666" t="str">
        <f>_xll.BDP("68423PXP Muni","ID_CUSIP")</f>
        <v>#N/A Requesting Data...</v>
      </c>
      <c r="B1666" t="s">
        <v>406</v>
      </c>
      <c r="C1666" t="str">
        <f>_xll.BDP("68423PXP Muni","INSURANCE_STATUS")</f>
        <v>#N/A Requesting Data...</v>
      </c>
      <c r="D1666" t="str">
        <f>_xll.BDP("68423PXP Muni","STATE_CODE")</f>
        <v>#N/A Requesting Data...</v>
      </c>
      <c r="E1666" t="str">
        <f>_xll.BDP("68423PXP Muni","COUNTY_LOCATION_ISSUER")</f>
        <v>#N/A Requesting Data...</v>
      </c>
      <c r="F1666" t="str">
        <f>_xll.BDP("68423PXP Muni","DUR_ADJ_MID")</f>
        <v>#N/A Requesting Data...</v>
      </c>
      <c r="G1666" t="str">
        <f>_xll.BDP("68423PXP Muni","SPREAD_AT_ISSUANCE_TO_WORST")</f>
        <v>#N/A Requesting Data...</v>
      </c>
      <c r="H1666" t="str">
        <f>_xll.BDP("68423PXP Muni","ISSUE_DT")</f>
        <v>#N/A Requesting Data...</v>
      </c>
      <c r="I1666" t="str">
        <f>_xll.BDS("68423PXP Muni","MUNI_PURPOSE_SCHED", "aggregate=y")</f>
        <v>#N/A Requesting Data...</v>
      </c>
      <c r="J1666" t="str">
        <f>_xll.BDP("68423PXP Muni","CPN")</f>
        <v>#N/A Requesting Data...</v>
      </c>
      <c r="K1666" t="str">
        <f>_xll.BDP("68423PXP Muni","MATURITY")</f>
        <v>#N/A Requesting Data...</v>
      </c>
      <c r="L1666">
        <v>1325000</v>
      </c>
      <c r="M1666" t="str">
        <f>_xll.BDP("68423PXP Muni","YIELD_ON_ISSUE_DATE")</f>
        <v>#N/A Requesting Data...</v>
      </c>
      <c r="N1666" t="str">
        <f>_xll.BDP("68423PXP Muni","YTW_SPREAD_TO_MATURITY_AT_ISSU")</f>
        <v>#N/A Requesting Data...</v>
      </c>
      <c r="O1666" t="str">
        <f>_xll.BDP("68423PXP Muni","BVAL_MID_YTM")</f>
        <v>#N/A Requesting Data...</v>
      </c>
      <c r="P1666" t="str">
        <f>_xll.BDP("68423PXP Muni","MUNI_TAX_PROV")</f>
        <v>#N/A Requesting Data...</v>
      </c>
      <c r="Q1666" t="str">
        <f>_xll.BDP("68423PXP Muni","MUNI_FED_TAX")</f>
        <v>#N/A Requesting Data...</v>
      </c>
      <c r="R1666" t="str">
        <f>_xll.BDP("68423PXP Muni","MUNI_MSRB_VOLUME")</f>
        <v>#N/A Requesting Data...</v>
      </c>
      <c r="S1666" t="str">
        <f>_xll.BDP("68423PXP Muni","BB_COMPOSITE")</f>
        <v>#N/A Requesting Data...</v>
      </c>
      <c r="T1666" t="str">
        <f>_xll.BDP("68423PXP Muni","LQA_LIQUIDITY_SCORE")</f>
        <v>#N/A Requesting Data...</v>
      </c>
    </row>
    <row r="1667" spans="1:20" x14ac:dyDescent="0.25">
      <c r="A1667" t="str">
        <f>_xll.BDP("662174D7 Muni","ID_CUSIP")</f>
        <v>#N/A Requesting Data...</v>
      </c>
      <c r="B1667" t="s">
        <v>407</v>
      </c>
      <c r="C1667" t="str">
        <f>_xll.BDP("662174D7 Muni","INSURANCE_STATUS")</f>
        <v>#N/A Requesting Data...</v>
      </c>
      <c r="D1667" t="str">
        <f>_xll.BDP("662174D7 Muni","STATE_CODE")</f>
        <v>#N/A Requesting Data...</v>
      </c>
      <c r="E1667" t="str">
        <f>_xll.BDP("662174D7 Muni","COUNTY_LOCATION_ISSUER")</f>
        <v>#N/A Requesting Data...</v>
      </c>
      <c r="F1667" t="str">
        <f>_xll.BDP("662174D7 Muni","DUR_ADJ_MID")</f>
        <v>#N/A Requesting Data...</v>
      </c>
      <c r="G1667" t="str">
        <f>_xll.BDP("662174D7 Muni","SPREAD_AT_ISSUANCE_TO_WORST")</f>
        <v>#N/A Requesting Data...</v>
      </c>
      <c r="H1667" t="str">
        <f>_xll.BDP("662174D7 Muni","ISSUE_DT")</f>
        <v>#N/A Requesting Data...</v>
      </c>
      <c r="I1667" t="str">
        <f>_xll.BDS("662174D7 Muni","MUNI_PURPOSE_SCHED", "aggregate=y")</f>
        <v>#N/A Requesting Data...</v>
      </c>
      <c r="J1667" t="str">
        <f>_xll.BDP("662174D7 Muni","CPN")</f>
        <v>#N/A Requesting Data...</v>
      </c>
      <c r="K1667" t="str">
        <f>_xll.BDP("662174D7 Muni","MATURITY")</f>
        <v>#N/A Requesting Data...</v>
      </c>
      <c r="L1667">
        <v>400000</v>
      </c>
      <c r="M1667" t="str">
        <f>_xll.BDP("662174D7 Muni","YIELD_ON_ISSUE_DATE")</f>
        <v>#N/A Requesting Data...</v>
      </c>
      <c r="N1667" t="str">
        <f>_xll.BDP("662174D7 Muni","YTW_SPREAD_TO_MATURITY_AT_ISSU")</f>
        <v>#N/A Requesting Data...</v>
      </c>
      <c r="O1667" t="str">
        <f>_xll.BDP("662174D7 Muni","BVAL_MID_YTM")</f>
        <v>#N/A Requesting Data...</v>
      </c>
      <c r="P1667" t="str">
        <f>_xll.BDP("662174D7 Muni","MUNI_TAX_PROV")</f>
        <v>#N/A Requesting Data...</v>
      </c>
      <c r="Q1667" t="str">
        <f>_xll.BDP("662174D7 Muni","MUNI_FED_TAX")</f>
        <v>#N/A Requesting Data...</v>
      </c>
      <c r="R1667" t="str">
        <f>_xll.BDP("662174D7 Muni","MUNI_MSRB_VOLUME")</f>
        <v>#N/A Requesting Data...</v>
      </c>
      <c r="S1667" t="str">
        <f>_xll.BDP("662174D7 Muni","BB_COMPOSITE")</f>
        <v>#N/A Requesting Data...</v>
      </c>
      <c r="T1667" t="str">
        <f>_xll.BDP("662174D7 Muni","LQA_LIQUIDITY_SCORE")</f>
        <v>#N/A Requesting Data...</v>
      </c>
    </row>
    <row r="1668" spans="1:20" x14ac:dyDescent="0.25">
      <c r="A1668" t="str">
        <f>_xll.BDP("662174D8 Muni","ID_CUSIP")</f>
        <v>#N/A Requesting Data...</v>
      </c>
      <c r="B1668" t="s">
        <v>407</v>
      </c>
      <c r="C1668" t="str">
        <f>_xll.BDP("662174D8 Muni","INSURANCE_STATUS")</f>
        <v>#N/A Requesting Data...</v>
      </c>
      <c r="D1668" t="str">
        <f>_xll.BDP("662174D8 Muni","STATE_CODE")</f>
        <v>#N/A Requesting Data...</v>
      </c>
      <c r="E1668" t="str">
        <f>_xll.BDP("662174D8 Muni","COUNTY_LOCATION_ISSUER")</f>
        <v>#N/A Requesting Data...</v>
      </c>
      <c r="F1668" t="str">
        <f>_xll.BDP("662174D8 Muni","DUR_ADJ_MID")</f>
        <v>#N/A Requesting Data...</v>
      </c>
      <c r="G1668" t="str">
        <f>_xll.BDP("662174D8 Muni","SPREAD_AT_ISSUANCE_TO_WORST")</f>
        <v>#N/A Requesting Data...</v>
      </c>
      <c r="H1668" t="str">
        <f>_xll.BDP("662174D8 Muni","ISSUE_DT")</f>
        <v>#N/A Requesting Data...</v>
      </c>
      <c r="I1668" t="str">
        <f>_xll.BDS("662174D8 Muni","MUNI_PURPOSE_SCHED", "aggregate=y")</f>
        <v>#N/A Requesting Data...</v>
      </c>
      <c r="J1668" t="str">
        <f>_xll.BDP("662174D8 Muni","CPN")</f>
        <v>#N/A Requesting Data...</v>
      </c>
      <c r="K1668" t="str">
        <f>_xll.BDP("662174D8 Muni","MATURITY")</f>
        <v>#N/A Requesting Data...</v>
      </c>
      <c r="L1668">
        <v>425000</v>
      </c>
      <c r="M1668" t="str">
        <f>_xll.BDP("662174D8 Muni","YIELD_ON_ISSUE_DATE")</f>
        <v>#N/A Requesting Data...</v>
      </c>
      <c r="N1668" t="str">
        <f>_xll.BDP("662174D8 Muni","YTW_SPREAD_TO_MATURITY_AT_ISSU")</f>
        <v>#N/A Requesting Data...</v>
      </c>
      <c r="O1668" t="str">
        <f>_xll.BDP("662174D8 Muni","BVAL_MID_YTM")</f>
        <v>#N/A Requesting Data...</v>
      </c>
      <c r="P1668" t="str">
        <f>_xll.BDP("662174D8 Muni","MUNI_TAX_PROV")</f>
        <v>#N/A Requesting Data...</v>
      </c>
      <c r="Q1668" t="str">
        <f>_xll.BDP("662174D8 Muni","MUNI_FED_TAX")</f>
        <v>#N/A Requesting Data...</v>
      </c>
      <c r="R1668" t="str">
        <f>_xll.BDP("662174D8 Muni","MUNI_MSRB_VOLUME")</f>
        <v>#N/A Requesting Data...</v>
      </c>
      <c r="S1668" t="str">
        <f>_xll.BDP("662174D8 Muni","BB_COMPOSITE")</f>
        <v>#N/A Requesting Data...</v>
      </c>
      <c r="T1668" t="str">
        <f>_xll.BDP("662174D8 Muni","LQA_LIQUIDITY_SCORE")</f>
        <v>#N/A Requesting Data...</v>
      </c>
    </row>
    <row r="1669" spans="1:20" x14ac:dyDescent="0.25">
      <c r="A1669" t="str">
        <f>_xll.BDP("662174D9 Muni","ID_CUSIP")</f>
        <v>#N/A Requesting Data...</v>
      </c>
      <c r="B1669" t="s">
        <v>407</v>
      </c>
      <c r="C1669" t="str">
        <f>_xll.BDP("662174D9 Muni","INSURANCE_STATUS")</f>
        <v>#N/A Requesting Data...</v>
      </c>
      <c r="D1669" t="str">
        <f>_xll.BDP("662174D9 Muni","STATE_CODE")</f>
        <v>#N/A Requesting Data...</v>
      </c>
      <c r="E1669" t="str">
        <f>_xll.BDP("662174D9 Muni","COUNTY_LOCATION_ISSUER")</f>
        <v>#N/A Requesting Data...</v>
      </c>
      <c r="F1669" t="str">
        <f>_xll.BDP("662174D9 Muni","DUR_ADJ_MID")</f>
        <v>#N/A Requesting Data...</v>
      </c>
      <c r="G1669" t="str">
        <f>_xll.BDP("662174D9 Muni","SPREAD_AT_ISSUANCE_TO_WORST")</f>
        <v>#N/A Requesting Data...</v>
      </c>
      <c r="H1669" t="str">
        <f>_xll.BDP("662174D9 Muni","ISSUE_DT")</f>
        <v>#N/A Requesting Data...</v>
      </c>
      <c r="I1669" t="str">
        <f>_xll.BDS("662174D9 Muni","MUNI_PURPOSE_SCHED", "aggregate=y")</f>
        <v>#N/A Requesting Data...</v>
      </c>
      <c r="J1669" t="str">
        <f>_xll.BDP("662174D9 Muni","CPN")</f>
        <v>#N/A Requesting Data...</v>
      </c>
      <c r="K1669" t="str">
        <f>_xll.BDP("662174D9 Muni","MATURITY")</f>
        <v>#N/A Requesting Data...</v>
      </c>
      <c r="L1669">
        <v>435000</v>
      </c>
      <c r="M1669" t="str">
        <f>_xll.BDP("662174D9 Muni","YIELD_ON_ISSUE_DATE")</f>
        <v>#N/A Requesting Data...</v>
      </c>
      <c r="N1669" t="str">
        <f>_xll.BDP("662174D9 Muni","YTW_SPREAD_TO_MATURITY_AT_ISSU")</f>
        <v>#N/A Requesting Data...</v>
      </c>
      <c r="O1669" t="str">
        <f>_xll.BDP("662174D9 Muni","BVAL_MID_YTM")</f>
        <v>#N/A Requesting Data...</v>
      </c>
      <c r="P1669" t="str">
        <f>_xll.BDP("662174D9 Muni","MUNI_TAX_PROV")</f>
        <v>#N/A Requesting Data...</v>
      </c>
      <c r="Q1669" t="str">
        <f>_xll.BDP("662174D9 Muni","MUNI_FED_TAX")</f>
        <v>#N/A Requesting Data...</v>
      </c>
      <c r="R1669" t="str">
        <f>_xll.BDP("662174D9 Muni","MUNI_MSRB_VOLUME")</f>
        <v>#N/A Requesting Data...</v>
      </c>
      <c r="S1669" t="str">
        <f>_xll.BDP("662174D9 Muni","BB_COMPOSITE")</f>
        <v>#N/A Requesting Data...</v>
      </c>
      <c r="T1669" t="str">
        <f>_xll.BDP("662174D9 Muni","LQA_LIQUIDITY_SCORE")</f>
        <v>#N/A Requesting Data...</v>
      </c>
    </row>
    <row r="1670" spans="1:20" x14ac:dyDescent="0.25">
      <c r="A1670" t="str">
        <f>_xll.BDP("662174E2 Muni","ID_CUSIP")</f>
        <v>#N/A Requesting Data...</v>
      </c>
      <c r="B1670" t="s">
        <v>407</v>
      </c>
      <c r="C1670" t="str">
        <f>_xll.BDP("662174E2 Muni","INSURANCE_STATUS")</f>
        <v>#N/A Requesting Data...</v>
      </c>
      <c r="D1670" t="str">
        <f>_xll.BDP("662174E2 Muni","STATE_CODE")</f>
        <v>#N/A Requesting Data...</v>
      </c>
      <c r="E1670" t="str">
        <f>_xll.BDP("662174E2 Muni","COUNTY_LOCATION_ISSUER")</f>
        <v>#N/A Requesting Data...</v>
      </c>
      <c r="F1670" t="str">
        <f>_xll.BDP("662174E2 Muni","DUR_ADJ_MID")</f>
        <v>#N/A Requesting Data...</v>
      </c>
      <c r="G1670" t="str">
        <f>_xll.BDP("662174E2 Muni","SPREAD_AT_ISSUANCE_TO_WORST")</f>
        <v>#N/A Requesting Data...</v>
      </c>
      <c r="H1670" t="str">
        <f>_xll.BDP("662174E2 Muni","ISSUE_DT")</f>
        <v>#N/A Requesting Data...</v>
      </c>
      <c r="I1670" t="str">
        <f>_xll.BDS("662174E2 Muni","MUNI_PURPOSE_SCHED", "aggregate=y")</f>
        <v>#N/A Requesting Data...</v>
      </c>
      <c r="J1670" t="str">
        <f>_xll.BDP("662174E2 Muni","CPN")</f>
        <v>#N/A Requesting Data...</v>
      </c>
      <c r="K1670" t="str">
        <f>_xll.BDP("662174E2 Muni","MATURITY")</f>
        <v>#N/A Requesting Data...</v>
      </c>
      <c r="L1670">
        <v>455000</v>
      </c>
      <c r="M1670" t="str">
        <f>_xll.BDP("662174E2 Muni","YIELD_ON_ISSUE_DATE")</f>
        <v>#N/A Requesting Data...</v>
      </c>
      <c r="N1670" t="str">
        <f>_xll.BDP("662174E2 Muni","YTW_SPREAD_TO_MATURITY_AT_ISSU")</f>
        <v>#N/A Requesting Data...</v>
      </c>
      <c r="O1670" t="str">
        <f>_xll.BDP("662174E2 Muni","BVAL_MID_YTM")</f>
        <v>#N/A Requesting Data...</v>
      </c>
      <c r="P1670" t="str">
        <f>_xll.BDP("662174E2 Muni","MUNI_TAX_PROV")</f>
        <v>#N/A Requesting Data...</v>
      </c>
      <c r="Q1670" t="str">
        <f>_xll.BDP("662174E2 Muni","MUNI_FED_TAX")</f>
        <v>#N/A Requesting Data...</v>
      </c>
      <c r="R1670" t="str">
        <f>_xll.BDP("662174E2 Muni","MUNI_MSRB_VOLUME")</f>
        <v>#N/A Requesting Data...</v>
      </c>
      <c r="S1670" t="str">
        <f>_xll.BDP("662174E2 Muni","BB_COMPOSITE")</f>
        <v>#N/A Requesting Data...</v>
      </c>
      <c r="T1670" t="str">
        <f>_xll.BDP("662174E2 Muni","LQA_LIQUIDITY_SCORE")</f>
        <v>#N/A Requesting Data...</v>
      </c>
    </row>
    <row r="1671" spans="1:20" x14ac:dyDescent="0.25">
      <c r="A1671" t="str">
        <f>_xll.BDP("662174E3 Muni","ID_CUSIP")</f>
        <v>#N/A Requesting Data...</v>
      </c>
      <c r="B1671" t="s">
        <v>407</v>
      </c>
      <c r="C1671" t="str">
        <f>_xll.BDP("662174E3 Muni","INSURANCE_STATUS")</f>
        <v>#N/A Requesting Data...</v>
      </c>
      <c r="D1671" t="str">
        <f>_xll.BDP("662174E3 Muni","STATE_CODE")</f>
        <v>#N/A Requesting Data...</v>
      </c>
      <c r="E1671" t="str">
        <f>_xll.BDP("662174E3 Muni","COUNTY_LOCATION_ISSUER")</f>
        <v>#N/A Requesting Data...</v>
      </c>
      <c r="F1671" t="str">
        <f>_xll.BDP("662174E3 Muni","DUR_ADJ_MID")</f>
        <v>#N/A Requesting Data...</v>
      </c>
      <c r="G1671" t="str">
        <f>_xll.BDP("662174E3 Muni","SPREAD_AT_ISSUANCE_TO_WORST")</f>
        <v>#N/A Requesting Data...</v>
      </c>
      <c r="H1671" t="str">
        <f>_xll.BDP("662174E3 Muni","ISSUE_DT")</f>
        <v>#N/A Requesting Data...</v>
      </c>
      <c r="I1671" t="str">
        <f>_xll.BDS("662174E3 Muni","MUNI_PURPOSE_SCHED", "aggregate=y")</f>
        <v>#N/A Requesting Data...</v>
      </c>
      <c r="J1671" t="str">
        <f>_xll.BDP("662174E3 Muni","CPN")</f>
        <v>#N/A Requesting Data...</v>
      </c>
      <c r="K1671" t="str">
        <f>_xll.BDP("662174E3 Muni","MATURITY")</f>
        <v>#N/A Requesting Data...</v>
      </c>
      <c r="L1671">
        <v>475000</v>
      </c>
      <c r="M1671" t="str">
        <f>_xll.BDP("662174E3 Muni","YIELD_ON_ISSUE_DATE")</f>
        <v>#N/A Requesting Data...</v>
      </c>
      <c r="N1671" t="str">
        <f>_xll.BDP("662174E3 Muni","YTW_SPREAD_TO_MATURITY_AT_ISSU")</f>
        <v>#N/A Requesting Data...</v>
      </c>
      <c r="O1671" t="str">
        <f>_xll.BDP("662174E3 Muni","BVAL_MID_YTM")</f>
        <v>#N/A Requesting Data...</v>
      </c>
      <c r="P1671" t="str">
        <f>_xll.BDP("662174E3 Muni","MUNI_TAX_PROV")</f>
        <v>#N/A Requesting Data...</v>
      </c>
      <c r="Q1671" t="str">
        <f>_xll.BDP("662174E3 Muni","MUNI_FED_TAX")</f>
        <v>#N/A Requesting Data...</v>
      </c>
      <c r="R1671" t="str">
        <f>_xll.BDP("662174E3 Muni","MUNI_MSRB_VOLUME")</f>
        <v>#N/A Requesting Data...</v>
      </c>
      <c r="S1671" t="str">
        <f>_xll.BDP("662174E3 Muni","BB_COMPOSITE")</f>
        <v>#N/A Requesting Data...</v>
      </c>
      <c r="T1671" t="str">
        <f>_xll.BDP("662174E3 Muni","LQA_LIQUIDITY_SCORE")</f>
        <v>#N/A Requesting Data...</v>
      </c>
    </row>
    <row r="1672" spans="1:20" x14ac:dyDescent="0.25">
      <c r="A1672" t="str">
        <f>_xll.BDP("662903TC Muni","ID_CUSIP")</f>
        <v>#N/A Requesting Data...</v>
      </c>
      <c r="B1672" t="s">
        <v>408</v>
      </c>
      <c r="C1672" t="str">
        <f>_xll.BDP("662903TC Muni","INSURANCE_STATUS")</f>
        <v>#N/A Requesting Data...</v>
      </c>
      <c r="D1672" t="str">
        <f>_xll.BDP("662903TC Muni","STATE_CODE")</f>
        <v>#N/A Requesting Data...</v>
      </c>
      <c r="E1672" t="str">
        <f>_xll.BDP("662903TC Muni","COUNTY_LOCATION_ISSUER")</f>
        <v>#N/A Requesting Data...</v>
      </c>
      <c r="F1672" t="str">
        <f>_xll.BDP("662903TC Muni","DUR_ADJ_MID")</f>
        <v>#N/A Requesting Data...</v>
      </c>
      <c r="G1672" t="str">
        <f>_xll.BDP("662903TC Muni","SPREAD_AT_ISSUANCE_TO_WORST")</f>
        <v>#N/A Requesting Data...</v>
      </c>
      <c r="H1672" t="str">
        <f>_xll.BDP("662903TC Muni","ISSUE_DT")</f>
        <v>#N/A Requesting Data...</v>
      </c>
      <c r="I1672" t="str">
        <f>_xll.BDS("662903TC Muni","MUNI_PURPOSE_SCHED", "aggregate=y")</f>
        <v>#N/A Requesting Data...</v>
      </c>
      <c r="J1672" t="str">
        <f>_xll.BDP("662903TC Muni","CPN")</f>
        <v>#N/A Requesting Data...</v>
      </c>
      <c r="K1672" t="str">
        <f>_xll.BDP("662903TC Muni","MATURITY")</f>
        <v>#N/A Requesting Data...</v>
      </c>
      <c r="L1672">
        <v>20400000</v>
      </c>
      <c r="M1672" t="str">
        <f>_xll.BDP("662903TC Muni","YIELD_ON_ISSUE_DATE")</f>
        <v>#N/A Requesting Data...</v>
      </c>
      <c r="N1672" t="str">
        <f>_xll.BDP("662903TC Muni","YTW_SPREAD_TO_MATURITY_AT_ISSU")</f>
        <v>#N/A Requesting Data...</v>
      </c>
      <c r="O1672" t="str">
        <f>_xll.BDP("662903TC Muni","BVAL_MID_YTM")</f>
        <v>#N/A Requesting Data...</v>
      </c>
      <c r="P1672" t="str">
        <f>_xll.BDP("662903TC Muni","MUNI_TAX_PROV")</f>
        <v>#N/A Requesting Data...</v>
      </c>
      <c r="Q1672" t="str">
        <f>_xll.BDP("662903TC Muni","MUNI_FED_TAX")</f>
        <v>#N/A Requesting Data...</v>
      </c>
      <c r="R1672" t="str">
        <f>_xll.BDP("662903TC Muni","MUNI_MSRB_VOLUME")</f>
        <v>#N/A Requesting Data...</v>
      </c>
      <c r="S1672" t="str">
        <f>_xll.BDP("662903TC Muni","BB_COMPOSITE")</f>
        <v>#N/A Requesting Data...</v>
      </c>
      <c r="T1672" t="str">
        <f>_xll.BDP("662903TC Muni","LQA_LIQUIDITY_SCORE")</f>
        <v>#N/A Requesting Data...</v>
      </c>
    </row>
    <row r="1673" spans="1:20" x14ac:dyDescent="0.25">
      <c r="A1673" t="str">
        <f>_xll.BDP("662903TD Muni","ID_CUSIP")</f>
        <v>#N/A Requesting Data...</v>
      </c>
      <c r="B1673" t="s">
        <v>408</v>
      </c>
      <c r="C1673" t="str">
        <f>_xll.BDP("662903TD Muni","INSURANCE_STATUS")</f>
        <v>#N/A Requesting Data...</v>
      </c>
      <c r="D1673" t="str">
        <f>_xll.BDP("662903TD Muni","STATE_CODE")</f>
        <v>#N/A Requesting Data...</v>
      </c>
      <c r="E1673" t="str">
        <f>_xll.BDP("662903TD Muni","COUNTY_LOCATION_ISSUER")</f>
        <v>#N/A Requesting Data...</v>
      </c>
      <c r="F1673" t="str">
        <f>_xll.BDP("662903TD Muni","DUR_ADJ_MID")</f>
        <v>#N/A Requesting Data...</v>
      </c>
      <c r="G1673" t="str">
        <f>_xll.BDP("662903TD Muni","SPREAD_AT_ISSUANCE_TO_WORST")</f>
        <v>#N/A Requesting Data...</v>
      </c>
      <c r="H1673" t="str">
        <f>_xll.BDP("662903TD Muni","ISSUE_DT")</f>
        <v>#N/A Requesting Data...</v>
      </c>
      <c r="I1673" t="str">
        <f>_xll.BDS("662903TD Muni","MUNI_PURPOSE_SCHED", "aggregate=y")</f>
        <v>#N/A Requesting Data...</v>
      </c>
      <c r="J1673" t="str">
        <f>_xll.BDP("662903TD Muni","CPN")</f>
        <v>#N/A Requesting Data...</v>
      </c>
      <c r="K1673" t="str">
        <f>_xll.BDP("662903TD Muni","MATURITY")</f>
        <v>#N/A Requesting Data...</v>
      </c>
      <c r="L1673">
        <v>20750000</v>
      </c>
      <c r="M1673" t="str">
        <f>_xll.BDP("662903TD Muni","YIELD_ON_ISSUE_DATE")</f>
        <v>#N/A Requesting Data...</v>
      </c>
      <c r="N1673" t="str">
        <f>_xll.BDP("662903TD Muni","YTW_SPREAD_TO_MATURITY_AT_ISSU")</f>
        <v>#N/A Requesting Data...</v>
      </c>
      <c r="O1673" t="str">
        <f>_xll.BDP("662903TD Muni","BVAL_MID_YTM")</f>
        <v>#N/A Requesting Data...</v>
      </c>
      <c r="P1673" t="str">
        <f>_xll.BDP("662903TD Muni","MUNI_TAX_PROV")</f>
        <v>#N/A Requesting Data...</v>
      </c>
      <c r="Q1673" t="str">
        <f>_xll.BDP("662903TD Muni","MUNI_FED_TAX")</f>
        <v>#N/A Requesting Data...</v>
      </c>
      <c r="R1673" t="str">
        <f>_xll.BDP("662903TD Muni","MUNI_MSRB_VOLUME")</f>
        <v>#N/A Requesting Data...</v>
      </c>
      <c r="S1673" t="str">
        <f>_xll.BDP("662903TD Muni","BB_COMPOSITE")</f>
        <v>#N/A Requesting Data...</v>
      </c>
      <c r="T1673" t="str">
        <f>_xll.BDP("662903TD Muni","LQA_LIQUIDITY_SCORE")</f>
        <v>#N/A Requesting Data...</v>
      </c>
    </row>
    <row r="1674" spans="1:20" x14ac:dyDescent="0.25">
      <c r="A1674" t="str">
        <f>_xll.BDP("662903TE Muni","ID_CUSIP")</f>
        <v>#N/A Requesting Data...</v>
      </c>
      <c r="B1674" t="s">
        <v>408</v>
      </c>
      <c r="C1674" t="str">
        <f>_xll.BDP("662903TE Muni","INSURANCE_STATUS")</f>
        <v>#N/A Requesting Data...</v>
      </c>
      <c r="D1674" t="str">
        <f>_xll.BDP("662903TE Muni","STATE_CODE")</f>
        <v>#N/A Requesting Data...</v>
      </c>
      <c r="E1674" t="str">
        <f>_xll.BDP("662903TE Muni","COUNTY_LOCATION_ISSUER")</f>
        <v>#N/A Requesting Data...</v>
      </c>
      <c r="F1674" t="str">
        <f>_xll.BDP("662903TE Muni","DUR_ADJ_MID")</f>
        <v>#N/A Requesting Data...</v>
      </c>
      <c r="G1674" t="str">
        <f>_xll.BDP("662903TE Muni","SPREAD_AT_ISSUANCE_TO_WORST")</f>
        <v>#N/A Requesting Data...</v>
      </c>
      <c r="H1674" t="str">
        <f>_xll.BDP("662903TE Muni","ISSUE_DT")</f>
        <v>#N/A Requesting Data...</v>
      </c>
      <c r="I1674" t="str">
        <f>_xll.BDS("662903TE Muni","MUNI_PURPOSE_SCHED", "aggregate=y")</f>
        <v>#N/A Requesting Data...</v>
      </c>
      <c r="J1674" t="str">
        <f>_xll.BDP("662903TE Muni","CPN")</f>
        <v>#N/A Requesting Data...</v>
      </c>
      <c r="K1674" t="str">
        <f>_xll.BDP("662903TE Muni","MATURITY")</f>
        <v>#N/A Requesting Data...</v>
      </c>
      <c r="L1674">
        <v>21130000</v>
      </c>
      <c r="M1674" t="str">
        <f>_xll.BDP("662903TE Muni","YIELD_ON_ISSUE_DATE")</f>
        <v>#N/A Requesting Data...</v>
      </c>
      <c r="N1674" t="str">
        <f>_xll.BDP("662903TE Muni","YTW_SPREAD_TO_MATURITY_AT_ISSU")</f>
        <v>#N/A Requesting Data...</v>
      </c>
      <c r="O1674" t="str">
        <f>_xll.BDP("662903TE Muni","BVAL_MID_YTM")</f>
        <v>#N/A Requesting Data...</v>
      </c>
      <c r="P1674" t="str">
        <f>_xll.BDP("662903TE Muni","MUNI_TAX_PROV")</f>
        <v>#N/A Requesting Data...</v>
      </c>
      <c r="Q1674" t="str">
        <f>_xll.BDP("662903TE Muni","MUNI_FED_TAX")</f>
        <v>#N/A Requesting Data...</v>
      </c>
      <c r="R1674" t="str">
        <f>_xll.BDP("662903TE Muni","MUNI_MSRB_VOLUME")</f>
        <v>#N/A Requesting Data...</v>
      </c>
      <c r="S1674" t="str">
        <f>_xll.BDP("662903TE Muni","BB_COMPOSITE")</f>
        <v>#N/A Requesting Data...</v>
      </c>
      <c r="T1674" t="str">
        <f>_xll.BDP("662903TE Muni","LQA_LIQUIDITY_SCORE")</f>
        <v>#N/A Requesting Data...</v>
      </c>
    </row>
    <row r="1675" spans="1:20" x14ac:dyDescent="0.25">
      <c r="A1675" t="str">
        <f>_xll.BDP("662903TF Muni","ID_CUSIP")</f>
        <v>#N/A Requesting Data...</v>
      </c>
      <c r="B1675" t="s">
        <v>408</v>
      </c>
      <c r="C1675" t="str">
        <f>_xll.BDP("662903TF Muni","INSURANCE_STATUS")</f>
        <v>#N/A Requesting Data...</v>
      </c>
      <c r="D1675" t="str">
        <f>_xll.BDP("662903TF Muni","STATE_CODE")</f>
        <v>#N/A Requesting Data...</v>
      </c>
      <c r="E1675" t="str">
        <f>_xll.BDP("662903TF Muni","COUNTY_LOCATION_ISSUER")</f>
        <v>#N/A Requesting Data...</v>
      </c>
      <c r="F1675" t="str">
        <f>_xll.BDP("662903TF Muni","DUR_ADJ_MID")</f>
        <v>#N/A Requesting Data...</v>
      </c>
      <c r="G1675" t="str">
        <f>_xll.BDP("662903TF Muni","SPREAD_AT_ISSUANCE_TO_WORST")</f>
        <v>#N/A Requesting Data...</v>
      </c>
      <c r="H1675" t="str">
        <f>_xll.BDP("662903TF Muni","ISSUE_DT")</f>
        <v>#N/A Requesting Data...</v>
      </c>
      <c r="I1675" t="str">
        <f>_xll.BDS("662903TF Muni","MUNI_PURPOSE_SCHED", "aggregate=y")</f>
        <v>#N/A Requesting Data...</v>
      </c>
      <c r="J1675" t="str">
        <f>_xll.BDP("662903TF Muni","CPN")</f>
        <v>#N/A Requesting Data...</v>
      </c>
      <c r="K1675" t="str">
        <f>_xll.BDP("662903TF Muni","MATURITY")</f>
        <v>#N/A Requesting Data...</v>
      </c>
      <c r="L1675">
        <v>21540000</v>
      </c>
      <c r="M1675" t="str">
        <f>_xll.BDP("662903TF Muni","YIELD_ON_ISSUE_DATE")</f>
        <v>#N/A Requesting Data...</v>
      </c>
      <c r="N1675" t="str">
        <f>_xll.BDP("662903TF Muni","YTW_SPREAD_TO_MATURITY_AT_ISSU")</f>
        <v>#N/A Requesting Data...</v>
      </c>
      <c r="O1675" t="str">
        <f>_xll.BDP("662903TF Muni","BVAL_MID_YTM")</f>
        <v>#N/A Requesting Data...</v>
      </c>
      <c r="P1675" t="str">
        <f>_xll.BDP("662903TF Muni","MUNI_TAX_PROV")</f>
        <v>#N/A Requesting Data...</v>
      </c>
      <c r="Q1675" t="str">
        <f>_xll.BDP("662903TF Muni","MUNI_FED_TAX")</f>
        <v>#N/A Requesting Data...</v>
      </c>
      <c r="R1675" t="str">
        <f>_xll.BDP("662903TF Muni","MUNI_MSRB_VOLUME")</f>
        <v>#N/A Requesting Data...</v>
      </c>
      <c r="S1675" t="str">
        <f>_xll.BDP("662903TF Muni","BB_COMPOSITE")</f>
        <v>#N/A Requesting Data...</v>
      </c>
      <c r="T1675" t="str">
        <f>_xll.BDP("662903TF Muni","LQA_LIQUIDITY_SCORE")</f>
        <v>#N/A Requesting Data...</v>
      </c>
    </row>
    <row r="1676" spans="1:20" x14ac:dyDescent="0.25">
      <c r="A1676" t="str">
        <f>_xll.BDP("662903TG Muni","ID_CUSIP")</f>
        <v>#N/A Requesting Data...</v>
      </c>
      <c r="B1676" t="s">
        <v>408</v>
      </c>
      <c r="C1676" t="str">
        <f>_xll.BDP("662903TG Muni","INSURANCE_STATUS")</f>
        <v>#N/A Requesting Data...</v>
      </c>
      <c r="D1676" t="str">
        <f>_xll.BDP("662903TG Muni","STATE_CODE")</f>
        <v>#N/A Requesting Data...</v>
      </c>
      <c r="E1676" t="str">
        <f>_xll.BDP("662903TG Muni","COUNTY_LOCATION_ISSUER")</f>
        <v>#N/A Requesting Data...</v>
      </c>
      <c r="F1676" t="str">
        <f>_xll.BDP("662903TG Muni","DUR_ADJ_MID")</f>
        <v>#N/A Requesting Data...</v>
      </c>
      <c r="G1676" t="str">
        <f>_xll.BDP("662903TG Muni","SPREAD_AT_ISSUANCE_TO_WORST")</f>
        <v>#N/A Requesting Data...</v>
      </c>
      <c r="H1676" t="str">
        <f>_xll.BDP("662903TG Muni","ISSUE_DT")</f>
        <v>#N/A Requesting Data...</v>
      </c>
      <c r="I1676" t="str">
        <f>_xll.BDS("662903TG Muni","MUNI_PURPOSE_SCHED", "aggregate=y")</f>
        <v>#N/A Requesting Data...</v>
      </c>
      <c r="J1676" t="str">
        <f>_xll.BDP("662903TG Muni","CPN")</f>
        <v>#N/A Requesting Data...</v>
      </c>
      <c r="K1676" t="str">
        <f>_xll.BDP("662903TG Muni","MATURITY")</f>
        <v>#N/A Requesting Data...</v>
      </c>
      <c r="L1676">
        <v>21970000</v>
      </c>
      <c r="M1676" t="str">
        <f>_xll.BDP("662903TG Muni","YIELD_ON_ISSUE_DATE")</f>
        <v>#N/A Requesting Data...</v>
      </c>
      <c r="N1676" t="str">
        <f>_xll.BDP("662903TG Muni","YTW_SPREAD_TO_MATURITY_AT_ISSU")</f>
        <v>#N/A Requesting Data...</v>
      </c>
      <c r="O1676" t="str">
        <f>_xll.BDP("662903TG Muni","BVAL_MID_YTM")</f>
        <v>#N/A Requesting Data...</v>
      </c>
      <c r="P1676" t="str">
        <f>_xll.BDP("662903TG Muni","MUNI_TAX_PROV")</f>
        <v>#N/A Requesting Data...</v>
      </c>
      <c r="Q1676" t="str">
        <f>_xll.BDP("662903TG Muni","MUNI_FED_TAX")</f>
        <v>#N/A Requesting Data...</v>
      </c>
      <c r="R1676" t="str">
        <f>_xll.BDP("662903TG Muni","MUNI_MSRB_VOLUME")</f>
        <v>#N/A Requesting Data...</v>
      </c>
      <c r="S1676" t="str">
        <f>_xll.BDP("662903TG Muni","BB_COMPOSITE")</f>
        <v>#N/A Requesting Data...</v>
      </c>
      <c r="T1676" t="str">
        <f>_xll.BDP("662903TG Muni","LQA_LIQUIDITY_SCORE")</f>
        <v>#N/A Requesting Data...</v>
      </c>
    </row>
    <row r="1677" spans="1:20" x14ac:dyDescent="0.25">
      <c r="A1677" t="str">
        <f>_xll.BDP("662903TH Muni","ID_CUSIP")</f>
        <v>#N/A Requesting Data...</v>
      </c>
      <c r="B1677" t="s">
        <v>408</v>
      </c>
      <c r="C1677" t="str">
        <f>_xll.BDP("662903TH Muni","INSURANCE_STATUS")</f>
        <v>#N/A Requesting Data...</v>
      </c>
      <c r="D1677" t="str">
        <f>_xll.BDP("662903TH Muni","STATE_CODE")</f>
        <v>#N/A Requesting Data...</v>
      </c>
      <c r="E1677" t="str">
        <f>_xll.BDP("662903TH Muni","COUNTY_LOCATION_ISSUER")</f>
        <v>#N/A Requesting Data...</v>
      </c>
      <c r="F1677" t="str">
        <f>_xll.BDP("662903TH Muni","DUR_ADJ_MID")</f>
        <v>#N/A Requesting Data...</v>
      </c>
      <c r="G1677" t="str">
        <f>_xll.BDP("662903TH Muni","SPREAD_AT_ISSUANCE_TO_WORST")</f>
        <v>#N/A Requesting Data...</v>
      </c>
      <c r="H1677" t="str">
        <f>_xll.BDP("662903TH Muni","ISSUE_DT")</f>
        <v>#N/A Requesting Data...</v>
      </c>
      <c r="I1677" t="str">
        <f>_xll.BDS("662903TH Muni","MUNI_PURPOSE_SCHED", "aggregate=y")</f>
        <v>#N/A Requesting Data...</v>
      </c>
      <c r="J1677" t="str">
        <f>_xll.BDP("662903TH Muni","CPN")</f>
        <v>#N/A Requesting Data...</v>
      </c>
      <c r="K1677" t="str">
        <f>_xll.BDP("662903TH Muni","MATURITY")</f>
        <v>#N/A Requesting Data...</v>
      </c>
      <c r="L1677">
        <v>22430000</v>
      </c>
      <c r="M1677" t="str">
        <f>_xll.BDP("662903TH Muni","YIELD_ON_ISSUE_DATE")</f>
        <v>#N/A Requesting Data...</v>
      </c>
      <c r="N1677" t="str">
        <f>_xll.BDP("662903TH Muni","YTW_SPREAD_TO_MATURITY_AT_ISSU")</f>
        <v>#N/A Requesting Data...</v>
      </c>
      <c r="O1677" t="str">
        <f>_xll.BDP("662903TH Muni","BVAL_MID_YTM")</f>
        <v>#N/A Requesting Data...</v>
      </c>
      <c r="P1677" t="str">
        <f>_xll.BDP("662903TH Muni","MUNI_TAX_PROV")</f>
        <v>#N/A Requesting Data...</v>
      </c>
      <c r="Q1677" t="str">
        <f>_xll.BDP("662903TH Muni","MUNI_FED_TAX")</f>
        <v>#N/A Requesting Data...</v>
      </c>
      <c r="R1677" t="str">
        <f>_xll.BDP("662903TH Muni","MUNI_MSRB_VOLUME")</f>
        <v>#N/A Requesting Data...</v>
      </c>
      <c r="S1677" t="str">
        <f>_xll.BDP("662903TH Muni","BB_COMPOSITE")</f>
        <v>#N/A Requesting Data...</v>
      </c>
      <c r="T1677" t="str">
        <f>_xll.BDP("662903TH Muni","LQA_LIQUIDITY_SCORE")</f>
        <v>#N/A Requesting Data...</v>
      </c>
    </row>
    <row r="1678" spans="1:20" x14ac:dyDescent="0.25">
      <c r="A1678" t="str">
        <f>_xll.BDP("662903TJ Muni","ID_CUSIP")</f>
        <v>#N/A Requesting Data...</v>
      </c>
      <c r="B1678" t="s">
        <v>408</v>
      </c>
      <c r="C1678" t="str">
        <f>_xll.BDP("662903TJ Muni","INSURANCE_STATUS")</f>
        <v>#N/A Requesting Data...</v>
      </c>
      <c r="D1678" t="str">
        <f>_xll.BDP("662903TJ Muni","STATE_CODE")</f>
        <v>#N/A Requesting Data...</v>
      </c>
      <c r="E1678" t="str">
        <f>_xll.BDP("662903TJ Muni","COUNTY_LOCATION_ISSUER")</f>
        <v>#N/A Requesting Data...</v>
      </c>
      <c r="F1678" t="str">
        <f>_xll.BDP("662903TJ Muni","DUR_ADJ_MID")</f>
        <v>#N/A Requesting Data...</v>
      </c>
      <c r="G1678" t="str">
        <f>_xll.BDP("662903TJ Muni","SPREAD_AT_ISSUANCE_TO_WORST")</f>
        <v>#N/A Requesting Data...</v>
      </c>
      <c r="H1678" t="str">
        <f>_xll.BDP("662903TJ Muni","ISSUE_DT")</f>
        <v>#N/A Requesting Data...</v>
      </c>
      <c r="I1678" t="str">
        <f>_xll.BDS("662903TJ Muni","MUNI_PURPOSE_SCHED", "aggregate=y")</f>
        <v>#N/A Requesting Data...</v>
      </c>
      <c r="J1678" t="str">
        <f>_xll.BDP("662903TJ Muni","CPN")</f>
        <v>#N/A Requesting Data...</v>
      </c>
      <c r="K1678" t="str">
        <f>_xll.BDP("662903TJ Muni","MATURITY")</f>
        <v>#N/A Requesting Data...</v>
      </c>
      <c r="L1678">
        <v>22910000</v>
      </c>
      <c r="M1678" t="str">
        <f>_xll.BDP("662903TJ Muni","YIELD_ON_ISSUE_DATE")</f>
        <v>#N/A Requesting Data...</v>
      </c>
      <c r="N1678" t="str">
        <f>_xll.BDP("662903TJ Muni","YTW_SPREAD_TO_MATURITY_AT_ISSU")</f>
        <v>#N/A Requesting Data...</v>
      </c>
      <c r="O1678" t="str">
        <f>_xll.BDP("662903TJ Muni","BVAL_MID_YTM")</f>
        <v>#N/A Requesting Data...</v>
      </c>
      <c r="P1678" t="str">
        <f>_xll.BDP("662903TJ Muni","MUNI_TAX_PROV")</f>
        <v>#N/A Requesting Data...</v>
      </c>
      <c r="Q1678" t="str">
        <f>_xll.BDP("662903TJ Muni","MUNI_FED_TAX")</f>
        <v>#N/A Requesting Data...</v>
      </c>
      <c r="R1678" t="str">
        <f>_xll.BDP("662903TJ Muni","MUNI_MSRB_VOLUME")</f>
        <v>#N/A Requesting Data...</v>
      </c>
      <c r="S1678" t="str">
        <f>_xll.BDP("662903TJ Muni","BB_COMPOSITE")</f>
        <v>#N/A Requesting Data...</v>
      </c>
      <c r="T1678" t="str">
        <f>_xll.BDP("662903TJ Muni","LQA_LIQUIDITY_SCORE")</f>
        <v>#N/A Requesting Data...</v>
      </c>
    </row>
    <row r="1679" spans="1:20" x14ac:dyDescent="0.25">
      <c r="A1679" t="str">
        <f>_xll.BDP("662903UH Muni","ID_CUSIP")</f>
        <v>#N/A Requesting Data...</v>
      </c>
      <c r="B1679" t="s">
        <v>408</v>
      </c>
      <c r="C1679" t="str">
        <f>_xll.BDP("662903UH Muni","INSURANCE_STATUS")</f>
        <v>#N/A Requesting Data...</v>
      </c>
      <c r="D1679" t="str">
        <f>_xll.BDP("662903UH Muni","STATE_CODE")</f>
        <v>#N/A Requesting Data...</v>
      </c>
      <c r="E1679" t="str">
        <f>_xll.BDP("662903UH Muni","COUNTY_LOCATION_ISSUER")</f>
        <v>#N/A Requesting Data...</v>
      </c>
      <c r="F1679" t="str">
        <f>_xll.BDP("662903UH Muni","DUR_ADJ_MID")</f>
        <v>#N/A Requesting Data...</v>
      </c>
      <c r="G1679" t="str">
        <f>_xll.BDP("662903UH Muni","SPREAD_AT_ISSUANCE_TO_WORST")</f>
        <v>#N/A Requesting Data...</v>
      </c>
      <c r="H1679" t="str">
        <f>_xll.BDP("662903UH Muni","ISSUE_DT")</f>
        <v>#N/A Requesting Data...</v>
      </c>
      <c r="I1679" t="str">
        <f>_xll.BDS("662903UH Muni","MUNI_PURPOSE_SCHED", "aggregate=y")</f>
        <v>#N/A Requesting Data...</v>
      </c>
      <c r="J1679" t="str">
        <f>_xll.BDP("662903UH Muni","CPN")</f>
        <v>#N/A Requesting Data...</v>
      </c>
      <c r="K1679" t="str">
        <f>_xll.BDP("662903UH Muni","MATURITY")</f>
        <v>#N/A Requesting Data...</v>
      </c>
      <c r="L1679">
        <v>13215000</v>
      </c>
      <c r="M1679" t="str">
        <f>_xll.BDP("662903UH Muni","YIELD_ON_ISSUE_DATE")</f>
        <v>#N/A Requesting Data...</v>
      </c>
      <c r="N1679" t="str">
        <f>_xll.BDP("662903UH Muni","YTW_SPREAD_TO_MATURITY_AT_ISSU")</f>
        <v>#N/A Requesting Data...</v>
      </c>
      <c r="O1679" t="str">
        <f>_xll.BDP("662903UH Muni","BVAL_MID_YTM")</f>
        <v>#N/A Requesting Data...</v>
      </c>
      <c r="P1679" t="str">
        <f>_xll.BDP("662903UH Muni","MUNI_TAX_PROV")</f>
        <v>#N/A Requesting Data...</v>
      </c>
      <c r="Q1679" t="str">
        <f>_xll.BDP("662903UH Muni","MUNI_FED_TAX")</f>
        <v>#N/A Requesting Data...</v>
      </c>
      <c r="R1679" t="str">
        <f>_xll.BDP("662903UH Muni","MUNI_MSRB_VOLUME")</f>
        <v>#N/A Requesting Data...</v>
      </c>
      <c r="S1679" t="str">
        <f>_xll.BDP("662903UH Muni","BB_COMPOSITE")</f>
        <v>#N/A Requesting Data...</v>
      </c>
      <c r="T1679" t="str">
        <f>_xll.BDP("662903UH Muni","LQA_LIQUIDITY_SCORE")</f>
        <v>#N/A Requesting Data...</v>
      </c>
    </row>
    <row r="1680" spans="1:20" x14ac:dyDescent="0.25">
      <c r="A1680" t="str">
        <f>_xll.BDP("662903UJ Muni","ID_CUSIP")</f>
        <v>#N/A Requesting Data...</v>
      </c>
      <c r="B1680" t="s">
        <v>408</v>
      </c>
      <c r="C1680" t="str">
        <f>_xll.BDP("662903UJ Muni","INSURANCE_STATUS")</f>
        <v>#N/A Requesting Data...</v>
      </c>
      <c r="D1680" t="str">
        <f>_xll.BDP("662903UJ Muni","STATE_CODE")</f>
        <v>#N/A Requesting Data...</v>
      </c>
      <c r="E1680" t="str">
        <f>_xll.BDP("662903UJ Muni","COUNTY_LOCATION_ISSUER")</f>
        <v>#N/A Requesting Data...</v>
      </c>
      <c r="F1680" t="str">
        <f>_xll.BDP("662903UJ Muni","DUR_ADJ_MID")</f>
        <v>#N/A Requesting Data...</v>
      </c>
      <c r="G1680" t="str">
        <f>_xll.BDP("662903UJ Muni","SPREAD_AT_ISSUANCE_TO_WORST")</f>
        <v>#N/A Requesting Data...</v>
      </c>
      <c r="H1680" t="str">
        <f>_xll.BDP("662903UJ Muni","ISSUE_DT")</f>
        <v>#N/A Requesting Data...</v>
      </c>
      <c r="I1680" t="str">
        <f>_xll.BDS("662903UJ Muni","MUNI_PURPOSE_SCHED", "aggregate=y")</f>
        <v>#N/A Requesting Data...</v>
      </c>
      <c r="J1680" t="str">
        <f>_xll.BDP("662903UJ Muni","CPN")</f>
        <v>#N/A Requesting Data...</v>
      </c>
      <c r="K1680" t="str">
        <f>_xll.BDP("662903UJ Muni","MATURITY")</f>
        <v>#N/A Requesting Data...</v>
      </c>
      <c r="L1680">
        <v>13440000</v>
      </c>
      <c r="M1680" t="str">
        <f>_xll.BDP("662903UJ Muni","YIELD_ON_ISSUE_DATE")</f>
        <v>#N/A Requesting Data...</v>
      </c>
      <c r="N1680" t="str">
        <f>_xll.BDP("662903UJ Muni","YTW_SPREAD_TO_MATURITY_AT_ISSU")</f>
        <v>#N/A Requesting Data...</v>
      </c>
      <c r="O1680" t="str">
        <f>_xll.BDP("662903UJ Muni","BVAL_MID_YTM")</f>
        <v>#N/A Requesting Data...</v>
      </c>
      <c r="P1680" t="str">
        <f>_xll.BDP("662903UJ Muni","MUNI_TAX_PROV")</f>
        <v>#N/A Requesting Data...</v>
      </c>
      <c r="Q1680" t="str">
        <f>_xll.BDP("662903UJ Muni","MUNI_FED_TAX")</f>
        <v>#N/A Requesting Data...</v>
      </c>
      <c r="R1680" t="str">
        <f>_xll.BDP("662903UJ Muni","MUNI_MSRB_VOLUME")</f>
        <v>#N/A Requesting Data...</v>
      </c>
      <c r="S1680" t="str">
        <f>_xll.BDP("662903UJ Muni","BB_COMPOSITE")</f>
        <v>#N/A Requesting Data...</v>
      </c>
      <c r="T1680" t="str">
        <f>_xll.BDP("662903UJ Muni","LQA_LIQUIDITY_SCORE")</f>
        <v>#N/A Requesting Data...</v>
      </c>
    </row>
    <row r="1681" spans="1:20" x14ac:dyDescent="0.25">
      <c r="A1681" t="str">
        <f>_xll.BDP("662903UK Muni","ID_CUSIP")</f>
        <v>#N/A Requesting Data...</v>
      </c>
      <c r="B1681" t="s">
        <v>408</v>
      </c>
      <c r="C1681" t="str">
        <f>_xll.BDP("662903UK Muni","INSURANCE_STATUS")</f>
        <v>#N/A Requesting Data...</v>
      </c>
      <c r="D1681" t="str">
        <f>_xll.BDP("662903UK Muni","STATE_CODE")</f>
        <v>#N/A Requesting Data...</v>
      </c>
      <c r="E1681" t="str">
        <f>_xll.BDP("662903UK Muni","COUNTY_LOCATION_ISSUER")</f>
        <v>#N/A Requesting Data...</v>
      </c>
      <c r="F1681" t="str">
        <f>_xll.BDP("662903UK Muni","DUR_ADJ_MID")</f>
        <v>#N/A Requesting Data...</v>
      </c>
      <c r="G1681" t="str">
        <f>_xll.BDP("662903UK Muni","SPREAD_AT_ISSUANCE_TO_WORST")</f>
        <v>#N/A Requesting Data...</v>
      </c>
      <c r="H1681" t="str">
        <f>_xll.BDP("662903UK Muni","ISSUE_DT")</f>
        <v>#N/A Requesting Data...</v>
      </c>
      <c r="I1681" t="str">
        <f>_xll.BDS("662903UK Muni","MUNI_PURPOSE_SCHED", "aggregate=y")</f>
        <v>#N/A Requesting Data...</v>
      </c>
      <c r="J1681" t="str">
        <f>_xll.BDP("662903UK Muni","CPN")</f>
        <v>#N/A Requesting Data...</v>
      </c>
      <c r="K1681" t="str">
        <f>_xll.BDP("662903UK Muni","MATURITY")</f>
        <v>#N/A Requesting Data...</v>
      </c>
      <c r="L1681">
        <v>13670000</v>
      </c>
      <c r="M1681" t="str">
        <f>_xll.BDP("662903UK Muni","YIELD_ON_ISSUE_DATE")</f>
        <v>#N/A Requesting Data...</v>
      </c>
      <c r="N1681" t="str">
        <f>_xll.BDP("662903UK Muni","YTW_SPREAD_TO_MATURITY_AT_ISSU")</f>
        <v>#N/A Requesting Data...</v>
      </c>
      <c r="O1681" t="str">
        <f>_xll.BDP("662903UK Muni","BVAL_MID_YTM")</f>
        <v>#N/A Requesting Data...</v>
      </c>
      <c r="P1681" t="str">
        <f>_xll.BDP("662903UK Muni","MUNI_TAX_PROV")</f>
        <v>#N/A Requesting Data...</v>
      </c>
      <c r="Q1681" t="str">
        <f>_xll.BDP("662903UK Muni","MUNI_FED_TAX")</f>
        <v>#N/A Requesting Data...</v>
      </c>
      <c r="R1681" t="str">
        <f>_xll.BDP("662903UK Muni","MUNI_MSRB_VOLUME")</f>
        <v>#N/A Requesting Data...</v>
      </c>
      <c r="S1681" t="str">
        <f>_xll.BDP("662903UK Muni","BB_COMPOSITE")</f>
        <v>#N/A Requesting Data...</v>
      </c>
      <c r="T1681" t="str">
        <f>_xll.BDP("662903UK Muni","LQA_LIQUIDITY_SCORE")</f>
        <v>#N/A Requesting Data...</v>
      </c>
    </row>
    <row r="1682" spans="1:20" x14ac:dyDescent="0.25">
      <c r="A1682" t="str">
        <f>_xll.BDP("662903UL Muni","ID_CUSIP")</f>
        <v>#N/A Requesting Data...</v>
      </c>
      <c r="B1682" t="s">
        <v>408</v>
      </c>
      <c r="C1682" t="str">
        <f>_xll.BDP("662903UL Muni","INSURANCE_STATUS")</f>
        <v>#N/A Requesting Data...</v>
      </c>
      <c r="D1682" t="str">
        <f>_xll.BDP("662903UL Muni","STATE_CODE")</f>
        <v>#N/A Requesting Data...</v>
      </c>
      <c r="E1682" t="str">
        <f>_xll.BDP("662903UL Muni","COUNTY_LOCATION_ISSUER")</f>
        <v>#N/A Requesting Data...</v>
      </c>
      <c r="F1682" t="str">
        <f>_xll.BDP("662903UL Muni","DUR_ADJ_MID")</f>
        <v>#N/A Requesting Data...</v>
      </c>
      <c r="G1682" t="str">
        <f>_xll.BDP("662903UL Muni","SPREAD_AT_ISSUANCE_TO_WORST")</f>
        <v>#N/A Requesting Data...</v>
      </c>
      <c r="H1682" t="str">
        <f>_xll.BDP("662903UL Muni","ISSUE_DT")</f>
        <v>#N/A Requesting Data...</v>
      </c>
      <c r="I1682" t="str">
        <f>_xll.BDS("662903UL Muni","MUNI_PURPOSE_SCHED", "aggregate=y")</f>
        <v>#N/A Requesting Data...</v>
      </c>
      <c r="J1682" t="str">
        <f>_xll.BDP("662903UL Muni","CPN")</f>
        <v>#N/A Requesting Data...</v>
      </c>
      <c r="K1682" t="str">
        <f>_xll.BDP("662903UL Muni","MATURITY")</f>
        <v>#N/A Requesting Data...</v>
      </c>
      <c r="L1682">
        <v>13925000</v>
      </c>
      <c r="M1682" t="str">
        <f>_xll.BDP("662903UL Muni","YIELD_ON_ISSUE_DATE")</f>
        <v>#N/A Requesting Data...</v>
      </c>
      <c r="N1682" t="str">
        <f>_xll.BDP("662903UL Muni","YTW_SPREAD_TO_MATURITY_AT_ISSU")</f>
        <v>#N/A Requesting Data...</v>
      </c>
      <c r="O1682" t="str">
        <f>_xll.BDP("662903UL Muni","BVAL_MID_YTM")</f>
        <v>#N/A Requesting Data...</v>
      </c>
      <c r="P1682" t="str">
        <f>_xll.BDP("662903UL Muni","MUNI_TAX_PROV")</f>
        <v>#N/A Requesting Data...</v>
      </c>
      <c r="Q1682" t="str">
        <f>_xll.BDP("662903UL Muni","MUNI_FED_TAX")</f>
        <v>#N/A Requesting Data...</v>
      </c>
      <c r="R1682" t="str">
        <f>_xll.BDP("662903UL Muni","MUNI_MSRB_VOLUME")</f>
        <v>#N/A Requesting Data...</v>
      </c>
      <c r="S1682" t="str">
        <f>_xll.BDP("662903UL Muni","BB_COMPOSITE")</f>
        <v>#N/A Requesting Data...</v>
      </c>
      <c r="T1682" t="str">
        <f>_xll.BDP("662903UL Muni","LQA_LIQUIDITY_SCORE")</f>
        <v>#N/A Requesting Data...</v>
      </c>
    </row>
    <row r="1683" spans="1:20" x14ac:dyDescent="0.25">
      <c r="A1683" t="str">
        <f>_xll.BDP("662903UM Muni","ID_CUSIP")</f>
        <v>#N/A Requesting Data...</v>
      </c>
      <c r="B1683" t="s">
        <v>408</v>
      </c>
      <c r="C1683" t="str">
        <f>_xll.BDP("662903UM Muni","INSURANCE_STATUS")</f>
        <v>#N/A Requesting Data...</v>
      </c>
      <c r="D1683" t="str">
        <f>_xll.BDP("662903UM Muni","STATE_CODE")</f>
        <v>#N/A Requesting Data...</v>
      </c>
      <c r="E1683" t="str">
        <f>_xll.BDP("662903UM Muni","COUNTY_LOCATION_ISSUER")</f>
        <v>#N/A Requesting Data...</v>
      </c>
      <c r="F1683" t="str">
        <f>_xll.BDP("662903UM Muni","DUR_ADJ_MID")</f>
        <v>#N/A Requesting Data...</v>
      </c>
      <c r="G1683" t="str">
        <f>_xll.BDP("662903UM Muni","SPREAD_AT_ISSUANCE_TO_WORST")</f>
        <v>#N/A Requesting Data...</v>
      </c>
      <c r="H1683" t="str">
        <f>_xll.BDP("662903UM Muni","ISSUE_DT")</f>
        <v>#N/A Requesting Data...</v>
      </c>
      <c r="I1683" t="str">
        <f>_xll.BDS("662903UM Muni","MUNI_PURPOSE_SCHED", "aggregate=y")</f>
        <v>#N/A Requesting Data...</v>
      </c>
      <c r="J1683" t="str">
        <f>_xll.BDP("662903UM Muni","CPN")</f>
        <v>#N/A Requesting Data...</v>
      </c>
      <c r="K1683" t="str">
        <f>_xll.BDP("662903UM Muni","MATURITY")</f>
        <v>#N/A Requesting Data...</v>
      </c>
      <c r="L1683">
        <v>14200000</v>
      </c>
      <c r="M1683" t="str">
        <f>_xll.BDP("662903UM Muni","YIELD_ON_ISSUE_DATE")</f>
        <v>#N/A Requesting Data...</v>
      </c>
      <c r="N1683" t="str">
        <f>_xll.BDP("662903UM Muni","YTW_SPREAD_TO_MATURITY_AT_ISSU")</f>
        <v>#N/A Requesting Data...</v>
      </c>
      <c r="O1683" t="str">
        <f>_xll.BDP("662903UM Muni","BVAL_MID_YTM")</f>
        <v>#N/A Requesting Data...</v>
      </c>
      <c r="P1683" t="str">
        <f>_xll.BDP("662903UM Muni","MUNI_TAX_PROV")</f>
        <v>#N/A Requesting Data...</v>
      </c>
      <c r="Q1683" t="str">
        <f>_xll.BDP("662903UM Muni","MUNI_FED_TAX")</f>
        <v>#N/A Requesting Data...</v>
      </c>
      <c r="R1683" t="str">
        <f>_xll.BDP("662903UM Muni","MUNI_MSRB_VOLUME")</f>
        <v>#N/A Requesting Data...</v>
      </c>
      <c r="S1683" t="str">
        <f>_xll.BDP("662903UM Muni","BB_COMPOSITE")</f>
        <v>#N/A Requesting Data...</v>
      </c>
      <c r="T1683" t="str">
        <f>_xll.BDP("662903UM Muni","LQA_LIQUIDITY_SCORE")</f>
        <v>#N/A Requesting Data...</v>
      </c>
    </row>
    <row r="1684" spans="1:20" x14ac:dyDescent="0.25">
      <c r="A1684" t="str">
        <f>_xll.BDP("662903UN Muni","ID_CUSIP")</f>
        <v>#N/A Requesting Data...</v>
      </c>
      <c r="B1684" t="s">
        <v>408</v>
      </c>
      <c r="C1684" t="str">
        <f>_xll.BDP("662903UN Muni","INSURANCE_STATUS")</f>
        <v>#N/A Requesting Data...</v>
      </c>
      <c r="D1684" t="str">
        <f>_xll.BDP("662903UN Muni","STATE_CODE")</f>
        <v>#N/A Requesting Data...</v>
      </c>
      <c r="E1684" t="str">
        <f>_xll.BDP("662903UN Muni","COUNTY_LOCATION_ISSUER")</f>
        <v>#N/A Requesting Data...</v>
      </c>
      <c r="F1684" t="str">
        <f>_xll.BDP("662903UN Muni","DUR_ADJ_MID")</f>
        <v>#N/A Requesting Data...</v>
      </c>
      <c r="G1684" t="str">
        <f>_xll.BDP("662903UN Muni","SPREAD_AT_ISSUANCE_TO_WORST")</f>
        <v>#N/A Requesting Data...</v>
      </c>
      <c r="H1684" t="str">
        <f>_xll.BDP("662903UN Muni","ISSUE_DT")</f>
        <v>#N/A Requesting Data...</v>
      </c>
      <c r="I1684" t="str">
        <f>_xll.BDS("662903UN Muni","MUNI_PURPOSE_SCHED", "aggregate=y")</f>
        <v>#N/A Requesting Data...</v>
      </c>
      <c r="J1684" t="str">
        <f>_xll.BDP("662903UN Muni","CPN")</f>
        <v>#N/A Requesting Data...</v>
      </c>
      <c r="K1684" t="str">
        <f>_xll.BDP("662903UN Muni","MATURITY")</f>
        <v>#N/A Requesting Data...</v>
      </c>
      <c r="L1684">
        <v>14485000</v>
      </c>
      <c r="M1684" t="str">
        <f>_xll.BDP("662903UN Muni","YIELD_ON_ISSUE_DATE")</f>
        <v>#N/A Requesting Data...</v>
      </c>
      <c r="N1684" t="str">
        <f>_xll.BDP("662903UN Muni","YTW_SPREAD_TO_MATURITY_AT_ISSU")</f>
        <v>#N/A Requesting Data...</v>
      </c>
      <c r="O1684" t="str">
        <f>_xll.BDP("662903UN Muni","BVAL_MID_YTM")</f>
        <v>#N/A Requesting Data...</v>
      </c>
      <c r="P1684" t="str">
        <f>_xll.BDP("662903UN Muni","MUNI_TAX_PROV")</f>
        <v>#N/A Requesting Data...</v>
      </c>
      <c r="Q1684" t="str">
        <f>_xll.BDP("662903UN Muni","MUNI_FED_TAX")</f>
        <v>#N/A Requesting Data...</v>
      </c>
      <c r="R1684" t="str">
        <f>_xll.BDP("662903UN Muni","MUNI_MSRB_VOLUME")</f>
        <v>#N/A Requesting Data...</v>
      </c>
      <c r="S1684" t="str">
        <f>_xll.BDP("662903UN Muni","BB_COMPOSITE")</f>
        <v>#N/A Requesting Data...</v>
      </c>
      <c r="T1684" t="str">
        <f>_xll.BDP("662903UN Muni","LQA_LIQUIDITY_SCORE")</f>
        <v>#N/A Requesting Data...</v>
      </c>
    </row>
    <row r="1685" spans="1:20" x14ac:dyDescent="0.25">
      <c r="A1685" t="str">
        <f>_xll.BDP("662903UP Muni","ID_CUSIP")</f>
        <v>#N/A Requesting Data...</v>
      </c>
      <c r="B1685" t="s">
        <v>408</v>
      </c>
      <c r="C1685" t="str">
        <f>_xll.BDP("662903UP Muni","INSURANCE_STATUS")</f>
        <v>#N/A Requesting Data...</v>
      </c>
      <c r="D1685" t="str">
        <f>_xll.BDP("662903UP Muni","STATE_CODE")</f>
        <v>#N/A Requesting Data...</v>
      </c>
      <c r="E1685" t="str">
        <f>_xll.BDP("662903UP Muni","COUNTY_LOCATION_ISSUER")</f>
        <v>#N/A Requesting Data...</v>
      </c>
      <c r="F1685" t="str">
        <f>_xll.BDP("662903UP Muni","DUR_ADJ_MID")</f>
        <v>#N/A Requesting Data...</v>
      </c>
      <c r="G1685" t="str">
        <f>_xll.BDP("662903UP Muni","SPREAD_AT_ISSUANCE_TO_WORST")</f>
        <v>#N/A Requesting Data...</v>
      </c>
      <c r="H1685" t="str">
        <f>_xll.BDP("662903UP Muni","ISSUE_DT")</f>
        <v>#N/A Requesting Data...</v>
      </c>
      <c r="I1685" t="str">
        <f>_xll.BDS("662903UP Muni","MUNI_PURPOSE_SCHED", "aggregate=y")</f>
        <v>#N/A Requesting Data...</v>
      </c>
      <c r="J1685" t="str">
        <f>_xll.BDP("662903UP Muni","CPN")</f>
        <v>#N/A Requesting Data...</v>
      </c>
      <c r="K1685" t="str">
        <f>_xll.BDP("662903UP Muni","MATURITY")</f>
        <v>#N/A Requesting Data...</v>
      </c>
      <c r="L1685">
        <v>14790000</v>
      </c>
      <c r="M1685" t="str">
        <f>_xll.BDP("662903UP Muni","YIELD_ON_ISSUE_DATE")</f>
        <v>#N/A Requesting Data...</v>
      </c>
      <c r="N1685" t="str">
        <f>_xll.BDP("662903UP Muni","YTW_SPREAD_TO_MATURITY_AT_ISSU")</f>
        <v>#N/A Requesting Data...</v>
      </c>
      <c r="O1685" t="str">
        <f>_xll.BDP("662903UP Muni","BVAL_MID_YTM")</f>
        <v>#N/A Requesting Data...</v>
      </c>
      <c r="P1685" t="str">
        <f>_xll.BDP("662903UP Muni","MUNI_TAX_PROV")</f>
        <v>#N/A Requesting Data...</v>
      </c>
      <c r="Q1685" t="str">
        <f>_xll.BDP("662903UP Muni","MUNI_FED_TAX")</f>
        <v>#N/A Requesting Data...</v>
      </c>
      <c r="R1685" t="str">
        <f>_xll.BDP("662903UP Muni","MUNI_MSRB_VOLUME")</f>
        <v>#N/A Requesting Data...</v>
      </c>
      <c r="S1685" t="str">
        <f>_xll.BDP("662903UP Muni","BB_COMPOSITE")</f>
        <v>#N/A Requesting Data...</v>
      </c>
      <c r="T1685" t="str">
        <f>_xll.BDP("662903UP Muni","LQA_LIQUIDITY_SCORE")</f>
        <v>#N/A Requesting Data...</v>
      </c>
    </row>
    <row r="1686" spans="1:20" x14ac:dyDescent="0.25">
      <c r="A1686" t="str">
        <f>_xll.BDP("61372GCG Muni","ID_CUSIP")</f>
        <v>#N/A Requesting Data...</v>
      </c>
      <c r="B1686" t="s">
        <v>409</v>
      </c>
      <c r="C1686" t="str">
        <f>_xll.BDP("61372GCG Muni","INSURANCE_STATUS")</f>
        <v>#N/A Requesting Data...</v>
      </c>
      <c r="D1686" t="str">
        <f>_xll.BDP("61372GCG Muni","STATE_CODE")</f>
        <v>#N/A Requesting Data...</v>
      </c>
      <c r="E1686" t="str">
        <f>_xll.BDP("61372GCG Muni","COUNTY_LOCATION_ISSUER")</f>
        <v>#N/A Requesting Data...</v>
      </c>
      <c r="F1686" t="str">
        <f>_xll.BDP("61372GCG Muni","DUR_ADJ_MID")</f>
        <v>#N/A Requesting Data...</v>
      </c>
      <c r="G1686" t="str">
        <f>_xll.BDP("61372GCG Muni","SPREAD_AT_ISSUANCE_TO_WORST")</f>
        <v>#N/A Requesting Data...</v>
      </c>
      <c r="H1686" t="str">
        <f>_xll.BDP("61372GCG Muni","ISSUE_DT")</f>
        <v>#N/A Requesting Data...</v>
      </c>
      <c r="I1686" t="str">
        <f>_xll.BDS("61372GCG Muni","MUNI_PURPOSE_SCHED", "aggregate=y")</f>
        <v>#N/A Requesting Data...</v>
      </c>
      <c r="J1686" t="str">
        <f>_xll.BDP("61372GCG Muni","CPN")</f>
        <v>#N/A Requesting Data...</v>
      </c>
      <c r="K1686" t="str">
        <f>_xll.BDP("61372GCG Muni","MATURITY")</f>
        <v>#N/A Requesting Data...</v>
      </c>
      <c r="L1686">
        <v>60000</v>
      </c>
      <c r="M1686" t="str">
        <f>_xll.BDP("61372GCG Muni","YIELD_ON_ISSUE_DATE")</f>
        <v>#N/A Requesting Data...</v>
      </c>
      <c r="N1686" t="str">
        <f>_xll.BDP("61372GCG Muni","YTW_SPREAD_TO_MATURITY_AT_ISSU")</f>
        <v>#N/A Requesting Data...</v>
      </c>
      <c r="O1686" t="str">
        <f>_xll.BDP("61372GCG Muni","BVAL_MID_YTM")</f>
        <v>#N/A Requesting Data...</v>
      </c>
      <c r="P1686" t="str">
        <f>_xll.BDP("61372GCG Muni","MUNI_TAX_PROV")</f>
        <v>#N/A Requesting Data...</v>
      </c>
      <c r="Q1686" t="str">
        <f>_xll.BDP("61372GCG Muni","MUNI_FED_TAX")</f>
        <v>#N/A Requesting Data...</v>
      </c>
      <c r="R1686" t="str">
        <f>_xll.BDP("61372GCG Muni","MUNI_MSRB_VOLUME")</f>
        <v>#N/A Requesting Data...</v>
      </c>
      <c r="S1686" t="str">
        <f>_xll.BDP("61372GCG Muni","BB_COMPOSITE")</f>
        <v>#N/A Requesting Data...</v>
      </c>
      <c r="T1686" t="str">
        <f>_xll.BDP("61372GCG Muni","LQA_LIQUIDITY_SCORE")</f>
        <v>#N/A Requesting Data...</v>
      </c>
    </row>
    <row r="1687" spans="1:20" x14ac:dyDescent="0.25">
      <c r="A1687" t="str">
        <f>_xll.BDP("61372GCH Muni","ID_CUSIP")</f>
        <v>#N/A Requesting Data...</v>
      </c>
      <c r="B1687" t="s">
        <v>409</v>
      </c>
      <c r="C1687" t="str">
        <f>_xll.BDP("61372GCH Muni","INSURANCE_STATUS")</f>
        <v>#N/A Requesting Data...</v>
      </c>
      <c r="D1687" t="str">
        <f>_xll.BDP("61372GCH Muni","STATE_CODE")</f>
        <v>#N/A Requesting Data...</v>
      </c>
      <c r="E1687" t="str">
        <f>_xll.BDP("61372GCH Muni","COUNTY_LOCATION_ISSUER")</f>
        <v>#N/A Requesting Data...</v>
      </c>
      <c r="F1687" t="str">
        <f>_xll.BDP("61372GCH Muni","DUR_ADJ_MID")</f>
        <v>#N/A Requesting Data...</v>
      </c>
      <c r="G1687" t="str">
        <f>_xll.BDP("61372GCH Muni","SPREAD_AT_ISSUANCE_TO_WORST")</f>
        <v>#N/A Requesting Data...</v>
      </c>
      <c r="H1687" t="str">
        <f>_xll.BDP("61372GCH Muni","ISSUE_DT")</f>
        <v>#N/A Requesting Data...</v>
      </c>
      <c r="I1687" t="str">
        <f>_xll.BDS("61372GCH Muni","MUNI_PURPOSE_SCHED", "aggregate=y")</f>
        <v>#N/A Requesting Data...</v>
      </c>
      <c r="J1687" t="str">
        <f>_xll.BDP("61372GCH Muni","CPN")</f>
        <v>#N/A Requesting Data...</v>
      </c>
      <c r="K1687" t="str">
        <f>_xll.BDP("61372GCH Muni","MATURITY")</f>
        <v>#N/A Requesting Data...</v>
      </c>
      <c r="L1687">
        <v>60000</v>
      </c>
      <c r="M1687" t="str">
        <f>_xll.BDP("61372GCH Muni","YIELD_ON_ISSUE_DATE")</f>
        <v>#N/A Requesting Data...</v>
      </c>
      <c r="N1687" t="str">
        <f>_xll.BDP("61372GCH Muni","YTW_SPREAD_TO_MATURITY_AT_ISSU")</f>
        <v>#N/A Requesting Data...</v>
      </c>
      <c r="O1687" t="str">
        <f>_xll.BDP("61372GCH Muni","BVAL_MID_YTM")</f>
        <v>#N/A Requesting Data...</v>
      </c>
      <c r="P1687" t="str">
        <f>_xll.BDP("61372GCH Muni","MUNI_TAX_PROV")</f>
        <v>#N/A Requesting Data...</v>
      </c>
      <c r="Q1687" t="str">
        <f>_xll.BDP("61372GCH Muni","MUNI_FED_TAX")</f>
        <v>#N/A Requesting Data...</v>
      </c>
      <c r="R1687" t="str">
        <f>_xll.BDP("61372GCH Muni","MUNI_MSRB_VOLUME")</f>
        <v>#N/A Requesting Data...</v>
      </c>
      <c r="S1687" t="str">
        <f>_xll.BDP("61372GCH Muni","BB_COMPOSITE")</f>
        <v>#N/A Requesting Data...</v>
      </c>
      <c r="T1687" t="str">
        <f>_xll.BDP("61372GCH Muni","LQA_LIQUIDITY_SCORE")</f>
        <v>#N/A Requesting Data...</v>
      </c>
    </row>
    <row r="1688" spans="1:20" x14ac:dyDescent="0.25">
      <c r="A1688" t="str">
        <f>_xll.BDP("61372PBE Muni","ID_CUSIP")</f>
        <v>#N/A Requesting Data...</v>
      </c>
      <c r="B1688" t="s">
        <v>410</v>
      </c>
      <c r="C1688" t="str">
        <f>_xll.BDP("61372PBE Muni","INSURANCE_STATUS")</f>
        <v>#N/A Requesting Data...</v>
      </c>
      <c r="D1688" t="str">
        <f>_xll.BDP("61372PBE Muni","STATE_CODE")</f>
        <v>#N/A Requesting Data...</v>
      </c>
      <c r="E1688" t="str">
        <f>_xll.BDP("61372PBE Muni","COUNTY_LOCATION_ISSUER")</f>
        <v>#N/A Requesting Data...</v>
      </c>
      <c r="F1688" t="str">
        <f>_xll.BDP("61372PBE Muni","DUR_ADJ_MID")</f>
        <v>#N/A Requesting Data...</v>
      </c>
      <c r="G1688" t="str">
        <f>_xll.BDP("61372PBE Muni","SPREAD_AT_ISSUANCE_TO_WORST")</f>
        <v>#N/A Requesting Data...</v>
      </c>
      <c r="H1688" t="str">
        <f>_xll.BDP("61372PBE Muni","ISSUE_DT")</f>
        <v>#N/A Requesting Data...</v>
      </c>
      <c r="I1688" t="str">
        <f>_xll.BDS("61372PBE Muni","MUNI_PURPOSE_SCHED", "aggregate=y")</f>
        <v>#N/A Requesting Data...</v>
      </c>
      <c r="J1688" t="str">
        <f>_xll.BDP("61372PBE Muni","CPN")</f>
        <v>#N/A Requesting Data...</v>
      </c>
      <c r="K1688" t="str">
        <f>_xll.BDP("61372PBE Muni","MATURITY")</f>
        <v>#N/A Requesting Data...</v>
      </c>
      <c r="L1688">
        <v>140000</v>
      </c>
      <c r="M1688" t="str">
        <f>_xll.BDP("61372PBE Muni","YIELD_ON_ISSUE_DATE")</f>
        <v>#N/A Requesting Data...</v>
      </c>
      <c r="N1688" t="str">
        <f>_xll.BDP("61372PBE Muni","YTW_SPREAD_TO_MATURITY_AT_ISSU")</f>
        <v>#N/A Requesting Data...</v>
      </c>
      <c r="O1688" t="str">
        <f>_xll.BDP("61372PBE Muni","BVAL_MID_YTM")</f>
        <v>#N/A Requesting Data...</v>
      </c>
      <c r="P1688" t="str">
        <f>_xll.BDP("61372PBE Muni","MUNI_TAX_PROV")</f>
        <v>#N/A Requesting Data...</v>
      </c>
      <c r="Q1688" t="str">
        <f>_xll.BDP("61372PBE Muni","MUNI_FED_TAX")</f>
        <v>#N/A Requesting Data...</v>
      </c>
      <c r="R1688" t="str">
        <f>_xll.BDP("61372PBE Muni","MUNI_MSRB_VOLUME")</f>
        <v>#N/A Requesting Data...</v>
      </c>
      <c r="S1688" t="str">
        <f>_xll.BDP("61372PBE Muni","BB_COMPOSITE")</f>
        <v>#N/A Requesting Data...</v>
      </c>
      <c r="T1688" t="str">
        <f>_xll.BDP("61372PBE Muni","LQA_LIQUIDITY_SCORE")</f>
        <v>#N/A Requesting Data...</v>
      </c>
    </row>
    <row r="1689" spans="1:20" x14ac:dyDescent="0.25">
      <c r="A1689" t="str">
        <f>_xll.BDP("613903CL Muni","ID_CUSIP")</f>
        <v>#N/A Requesting Data...</v>
      </c>
      <c r="B1689" t="s">
        <v>411</v>
      </c>
      <c r="C1689" t="str">
        <f>_xll.BDP("613903CL Muni","INSURANCE_STATUS")</f>
        <v>#N/A Requesting Data...</v>
      </c>
      <c r="D1689" t="str">
        <f>_xll.BDP("613903CL Muni","STATE_CODE")</f>
        <v>#N/A Requesting Data...</v>
      </c>
      <c r="E1689" t="str">
        <f>_xll.BDP("613903CL Muni","COUNTY_LOCATION_ISSUER")</f>
        <v>#N/A Requesting Data...</v>
      </c>
      <c r="F1689" t="str">
        <f>_xll.BDP("613903CL Muni","DUR_ADJ_MID")</f>
        <v>#N/A Requesting Data...</v>
      </c>
      <c r="G1689" t="str">
        <f>_xll.BDP("613903CL Muni","SPREAD_AT_ISSUANCE_TO_WORST")</f>
        <v>#N/A Requesting Data...</v>
      </c>
      <c r="H1689" t="str">
        <f>_xll.BDP("613903CL Muni","ISSUE_DT")</f>
        <v>#N/A Requesting Data...</v>
      </c>
      <c r="I1689" t="str">
        <f>_xll.BDS("613903CL Muni","MUNI_PURPOSE_SCHED", "aggregate=y")</f>
        <v>#N/A Requesting Data...</v>
      </c>
      <c r="J1689" t="str">
        <f>_xll.BDP("613903CL Muni","CPN")</f>
        <v>#N/A Requesting Data...</v>
      </c>
      <c r="K1689" t="str">
        <f>_xll.BDP("613903CL Muni","MATURITY")</f>
        <v>#N/A Requesting Data...</v>
      </c>
      <c r="L1689">
        <v>115000</v>
      </c>
      <c r="M1689" t="str">
        <f>_xll.BDP("613903CL Muni","YIELD_ON_ISSUE_DATE")</f>
        <v>#N/A Requesting Data...</v>
      </c>
      <c r="N1689" t="str">
        <f>_xll.BDP("613903CL Muni","YTW_SPREAD_TO_MATURITY_AT_ISSU")</f>
        <v>#N/A Requesting Data...</v>
      </c>
      <c r="O1689" t="str">
        <f>_xll.BDP("613903CL Muni","BVAL_MID_YTM")</f>
        <v>#N/A Requesting Data...</v>
      </c>
      <c r="P1689" t="str">
        <f>_xll.BDP("613903CL Muni","MUNI_TAX_PROV")</f>
        <v>#N/A Requesting Data...</v>
      </c>
      <c r="Q1689" t="str">
        <f>_xll.BDP("613903CL Muni","MUNI_FED_TAX")</f>
        <v>#N/A Requesting Data...</v>
      </c>
      <c r="R1689" t="str">
        <f>_xll.BDP("613903CL Muni","MUNI_MSRB_VOLUME")</f>
        <v>#N/A Requesting Data...</v>
      </c>
      <c r="S1689" t="str">
        <f>_xll.BDP("613903CL Muni","BB_COMPOSITE")</f>
        <v>#N/A Requesting Data...</v>
      </c>
      <c r="T1689" t="str">
        <f>_xll.BDP("613903CL Muni","LQA_LIQUIDITY_SCORE")</f>
        <v>#N/A Requesting Data...</v>
      </c>
    </row>
    <row r="1690" spans="1:20" x14ac:dyDescent="0.25">
      <c r="A1690" t="str">
        <f>_xll.BDP("646720JQ Muni","ID_CUSIP")</f>
        <v>#N/A Requesting Data...</v>
      </c>
      <c r="B1690" t="s">
        <v>412</v>
      </c>
      <c r="C1690" t="str">
        <f>_xll.BDP("646720JQ Muni","INSURANCE_STATUS")</f>
        <v>#N/A Requesting Data...</v>
      </c>
      <c r="D1690" t="str">
        <f>_xll.BDP("646720JQ Muni","STATE_CODE")</f>
        <v>#N/A Requesting Data...</v>
      </c>
      <c r="E1690" t="str">
        <f>_xll.BDP("646720JQ Muni","COUNTY_LOCATION_ISSUER")</f>
        <v>#N/A Requesting Data...</v>
      </c>
      <c r="F1690" t="str">
        <f>_xll.BDP("646720JQ Muni","DUR_ADJ_MID")</f>
        <v>#N/A Requesting Data...</v>
      </c>
      <c r="G1690" t="str">
        <f>_xll.BDP("646720JQ Muni","SPREAD_AT_ISSUANCE_TO_WORST")</f>
        <v>#N/A Requesting Data...</v>
      </c>
      <c r="H1690" t="str">
        <f>_xll.BDP("646720JQ Muni","ISSUE_DT")</f>
        <v>#N/A Requesting Data...</v>
      </c>
      <c r="I1690" t="str">
        <f>_xll.BDS("646720JQ Muni","MUNI_PURPOSE_SCHED", "aggregate=y")</f>
        <v>#N/A Requesting Data...</v>
      </c>
      <c r="J1690" t="str">
        <f>_xll.BDP("646720JQ Muni","CPN")</f>
        <v>#N/A Requesting Data...</v>
      </c>
      <c r="K1690" t="str">
        <f>_xll.BDP("646720JQ Muni","MATURITY")</f>
        <v>#N/A Requesting Data...</v>
      </c>
      <c r="L1690">
        <v>125000</v>
      </c>
      <c r="M1690" t="str">
        <f>_xll.BDP("646720JQ Muni","YIELD_ON_ISSUE_DATE")</f>
        <v>#N/A Requesting Data...</v>
      </c>
      <c r="N1690" t="str">
        <f>_xll.BDP("646720JQ Muni","YTW_SPREAD_TO_MATURITY_AT_ISSU")</f>
        <v>#N/A Requesting Data...</v>
      </c>
      <c r="O1690" t="str">
        <f>_xll.BDP("646720JQ Muni","BVAL_MID_YTM")</f>
        <v>#N/A Requesting Data...</v>
      </c>
      <c r="P1690" t="str">
        <f>_xll.BDP("646720JQ Muni","MUNI_TAX_PROV")</f>
        <v>#N/A Requesting Data...</v>
      </c>
      <c r="Q1690" t="str">
        <f>_xll.BDP("646720JQ Muni","MUNI_FED_TAX")</f>
        <v>#N/A Requesting Data...</v>
      </c>
      <c r="R1690" t="str">
        <f>_xll.BDP("646720JQ Muni","MUNI_MSRB_VOLUME")</f>
        <v>#N/A Requesting Data...</v>
      </c>
      <c r="S1690" t="str">
        <f>_xll.BDP("646720JQ Muni","BB_COMPOSITE")</f>
        <v>#N/A Requesting Data...</v>
      </c>
      <c r="T1690" t="str">
        <f>_xll.BDP("646720JQ Muni","LQA_LIQUIDITY_SCORE")</f>
        <v>#N/A Requesting Data...</v>
      </c>
    </row>
    <row r="1691" spans="1:20" x14ac:dyDescent="0.25">
      <c r="A1691" t="str">
        <f>_xll.BDP("646720JS Muni","ID_CUSIP")</f>
        <v>#N/A Requesting Data...</v>
      </c>
      <c r="B1691" t="s">
        <v>412</v>
      </c>
      <c r="C1691" t="str">
        <f>_xll.BDP("646720JS Muni","INSURANCE_STATUS")</f>
        <v>#N/A Requesting Data...</v>
      </c>
      <c r="D1691" t="str">
        <f>_xll.BDP("646720JS Muni","STATE_CODE")</f>
        <v>#N/A Requesting Data...</v>
      </c>
      <c r="E1691" t="str">
        <f>_xll.BDP("646720JS Muni","COUNTY_LOCATION_ISSUER")</f>
        <v>#N/A Requesting Data...</v>
      </c>
      <c r="F1691" t="str">
        <f>_xll.BDP("646720JS Muni","DUR_ADJ_MID")</f>
        <v>#N/A Requesting Data...</v>
      </c>
      <c r="G1691" t="str">
        <f>_xll.BDP("646720JS Muni","SPREAD_AT_ISSUANCE_TO_WORST")</f>
        <v>#N/A Requesting Data...</v>
      </c>
      <c r="H1691" t="str">
        <f>_xll.BDP("646720JS Muni","ISSUE_DT")</f>
        <v>#N/A Requesting Data...</v>
      </c>
      <c r="I1691" t="str">
        <f>_xll.BDS("646720JS Muni","MUNI_PURPOSE_SCHED", "aggregate=y")</f>
        <v>#N/A Requesting Data...</v>
      </c>
      <c r="J1691" t="str">
        <f>_xll.BDP("646720JS Muni","CPN")</f>
        <v>#N/A Requesting Data...</v>
      </c>
      <c r="K1691" t="str">
        <f>_xll.BDP("646720JS Muni","MATURITY")</f>
        <v>#N/A Requesting Data...</v>
      </c>
      <c r="L1691">
        <v>145000</v>
      </c>
      <c r="M1691" t="str">
        <f>_xll.BDP("646720JS Muni","YIELD_ON_ISSUE_DATE")</f>
        <v>#N/A Requesting Data...</v>
      </c>
      <c r="N1691" t="str">
        <f>_xll.BDP("646720JS Muni","YTW_SPREAD_TO_MATURITY_AT_ISSU")</f>
        <v>#N/A Requesting Data...</v>
      </c>
      <c r="O1691" t="str">
        <f>_xll.BDP("646720JS Muni","BVAL_MID_YTM")</f>
        <v>#N/A Requesting Data...</v>
      </c>
      <c r="P1691" t="str">
        <f>_xll.BDP("646720JS Muni","MUNI_TAX_PROV")</f>
        <v>#N/A Requesting Data...</v>
      </c>
      <c r="Q1691" t="str">
        <f>_xll.BDP("646720JS Muni","MUNI_FED_TAX")</f>
        <v>#N/A Requesting Data...</v>
      </c>
      <c r="R1691" t="str">
        <f>_xll.BDP("646720JS Muni","MUNI_MSRB_VOLUME")</f>
        <v>#N/A Requesting Data...</v>
      </c>
      <c r="S1691" t="str">
        <f>_xll.BDP("646720JS Muni","BB_COMPOSITE")</f>
        <v>#N/A Requesting Data...</v>
      </c>
      <c r="T1691" t="str">
        <f>_xll.BDP("646720JS Muni","LQA_LIQUIDITY_SCORE")</f>
        <v>#N/A Requesting Data...</v>
      </c>
    </row>
    <row r="1692" spans="1:20" x14ac:dyDescent="0.25">
      <c r="A1692" t="str">
        <f>_xll.BDP("646720JT Muni","ID_CUSIP")</f>
        <v>#N/A Requesting Data...</v>
      </c>
      <c r="B1692" t="s">
        <v>412</v>
      </c>
      <c r="C1692" t="str">
        <f>_xll.BDP("646720JT Muni","INSURANCE_STATUS")</f>
        <v>#N/A Requesting Data...</v>
      </c>
      <c r="D1692" t="str">
        <f>_xll.BDP("646720JT Muni","STATE_CODE")</f>
        <v>#N/A Requesting Data...</v>
      </c>
      <c r="E1692" t="str">
        <f>_xll.BDP("646720JT Muni","COUNTY_LOCATION_ISSUER")</f>
        <v>#N/A Requesting Data...</v>
      </c>
      <c r="F1692" t="str">
        <f>_xll.BDP("646720JT Muni","DUR_ADJ_MID")</f>
        <v>#N/A Requesting Data...</v>
      </c>
      <c r="G1692" t="str">
        <f>_xll.BDP("646720JT Muni","SPREAD_AT_ISSUANCE_TO_WORST")</f>
        <v>#N/A Requesting Data...</v>
      </c>
      <c r="H1692" t="str">
        <f>_xll.BDP("646720JT Muni","ISSUE_DT")</f>
        <v>#N/A Requesting Data...</v>
      </c>
      <c r="I1692" t="str">
        <f>_xll.BDS("646720JT Muni","MUNI_PURPOSE_SCHED", "aggregate=y")</f>
        <v>#N/A Requesting Data...</v>
      </c>
      <c r="J1692" t="str">
        <f>_xll.BDP("646720JT Muni","CPN")</f>
        <v>#N/A Requesting Data...</v>
      </c>
      <c r="K1692" t="str">
        <f>_xll.BDP("646720JT Muni","MATURITY")</f>
        <v>#N/A Requesting Data...</v>
      </c>
      <c r="L1692">
        <v>150000</v>
      </c>
      <c r="M1692" t="str">
        <f>_xll.BDP("646720JT Muni","YIELD_ON_ISSUE_DATE")</f>
        <v>#N/A Requesting Data...</v>
      </c>
      <c r="N1692" t="str">
        <f>_xll.BDP("646720JT Muni","YTW_SPREAD_TO_MATURITY_AT_ISSU")</f>
        <v>#N/A Requesting Data...</v>
      </c>
      <c r="O1692" t="str">
        <f>_xll.BDP("646720JT Muni","BVAL_MID_YTM")</f>
        <v>#N/A Requesting Data...</v>
      </c>
      <c r="P1692" t="str">
        <f>_xll.BDP("646720JT Muni","MUNI_TAX_PROV")</f>
        <v>#N/A Requesting Data...</v>
      </c>
      <c r="Q1692" t="str">
        <f>_xll.BDP("646720JT Muni","MUNI_FED_TAX")</f>
        <v>#N/A Requesting Data...</v>
      </c>
      <c r="R1692" t="str">
        <f>_xll.BDP("646720JT Muni","MUNI_MSRB_VOLUME")</f>
        <v>#N/A Requesting Data...</v>
      </c>
      <c r="S1692" t="str">
        <f>_xll.BDP("646720JT Muni","BB_COMPOSITE")</f>
        <v>#N/A Requesting Data...</v>
      </c>
      <c r="T1692" t="str">
        <f>_xll.BDP("646720JT Muni","LQA_LIQUIDITY_SCORE")</f>
        <v>#N/A Requesting Data...</v>
      </c>
    </row>
    <row r="1693" spans="1:20" x14ac:dyDescent="0.25">
      <c r="A1693" t="str">
        <f>_xll.BDP("646720JU Muni","ID_CUSIP")</f>
        <v>#N/A Requesting Data...</v>
      </c>
      <c r="B1693" t="s">
        <v>412</v>
      </c>
      <c r="C1693" t="str">
        <f>_xll.BDP("646720JU Muni","INSURANCE_STATUS")</f>
        <v>#N/A Requesting Data...</v>
      </c>
      <c r="D1693" t="str">
        <f>_xll.BDP("646720JU Muni","STATE_CODE")</f>
        <v>#N/A Requesting Data...</v>
      </c>
      <c r="E1693" t="str">
        <f>_xll.BDP("646720JU Muni","COUNTY_LOCATION_ISSUER")</f>
        <v>#N/A Requesting Data...</v>
      </c>
      <c r="F1693" t="str">
        <f>_xll.BDP("646720JU Muni","DUR_ADJ_MID")</f>
        <v>#N/A Requesting Data...</v>
      </c>
      <c r="G1693" t="str">
        <f>_xll.BDP("646720JU Muni","SPREAD_AT_ISSUANCE_TO_WORST")</f>
        <v>#N/A Requesting Data...</v>
      </c>
      <c r="H1693" t="str">
        <f>_xll.BDP("646720JU Muni","ISSUE_DT")</f>
        <v>#N/A Requesting Data...</v>
      </c>
      <c r="I1693" t="str">
        <f>_xll.BDS("646720JU Muni","MUNI_PURPOSE_SCHED", "aggregate=y")</f>
        <v>#N/A Requesting Data...</v>
      </c>
      <c r="J1693" t="str">
        <f>_xll.BDP("646720JU Muni","CPN")</f>
        <v>#N/A Requesting Data...</v>
      </c>
      <c r="K1693" t="str">
        <f>_xll.BDP("646720JU Muni","MATURITY")</f>
        <v>#N/A Requesting Data...</v>
      </c>
      <c r="L1693">
        <v>150000</v>
      </c>
      <c r="M1693" t="str">
        <f>_xll.BDP("646720JU Muni","YIELD_ON_ISSUE_DATE")</f>
        <v>#N/A Requesting Data...</v>
      </c>
      <c r="N1693" t="str">
        <f>_xll.BDP("646720JU Muni","YTW_SPREAD_TO_MATURITY_AT_ISSU")</f>
        <v>#N/A Requesting Data...</v>
      </c>
      <c r="O1693" t="str">
        <f>_xll.BDP("646720JU Muni","BVAL_MID_YTM")</f>
        <v>#N/A Requesting Data...</v>
      </c>
      <c r="P1693" t="str">
        <f>_xll.BDP("646720JU Muni","MUNI_TAX_PROV")</f>
        <v>#N/A Requesting Data...</v>
      </c>
      <c r="Q1693" t="str">
        <f>_xll.BDP("646720JU Muni","MUNI_FED_TAX")</f>
        <v>#N/A Requesting Data...</v>
      </c>
      <c r="R1693" t="str">
        <f>_xll.BDP("646720JU Muni","MUNI_MSRB_VOLUME")</f>
        <v>#N/A Requesting Data...</v>
      </c>
      <c r="S1693" t="str">
        <f>_xll.BDP("646720JU Muni","BB_COMPOSITE")</f>
        <v>#N/A Requesting Data...</v>
      </c>
      <c r="T1693" t="str">
        <f>_xll.BDP("646720JU Muni","LQA_LIQUIDITY_SCORE")</f>
        <v>#N/A Requesting Data...</v>
      </c>
    </row>
    <row r="1694" spans="1:20" x14ac:dyDescent="0.25">
      <c r="A1694" t="str">
        <f>_xll.BDP("616874QG Muni","ID_CUSIP")</f>
        <v>#N/A Requesting Data...</v>
      </c>
      <c r="B1694" t="s">
        <v>413</v>
      </c>
      <c r="C1694" t="str">
        <f>_xll.BDP("616874QG Muni","INSURANCE_STATUS")</f>
        <v>#N/A Requesting Data...</v>
      </c>
      <c r="D1694" t="str">
        <f>_xll.BDP("616874QG Muni","STATE_CODE")</f>
        <v>#N/A Requesting Data...</v>
      </c>
      <c r="E1694" t="str">
        <f>_xll.BDP("616874QG Muni","COUNTY_LOCATION_ISSUER")</f>
        <v>#N/A Requesting Data...</v>
      </c>
      <c r="F1694" t="str">
        <f>_xll.BDP("616874QG Muni","DUR_ADJ_MID")</f>
        <v>#N/A Requesting Data...</v>
      </c>
      <c r="G1694" t="str">
        <f>_xll.BDP("616874QG Muni","SPREAD_AT_ISSUANCE_TO_WORST")</f>
        <v>#N/A Requesting Data...</v>
      </c>
      <c r="H1694" t="str">
        <f>_xll.BDP("616874QG Muni","ISSUE_DT")</f>
        <v>#N/A Requesting Data...</v>
      </c>
      <c r="I1694" t="str">
        <f>_xll.BDS("616874QG Muni","MUNI_PURPOSE_SCHED", "aggregate=y")</f>
        <v>#N/A Requesting Data...</v>
      </c>
      <c r="J1694" t="str">
        <f>_xll.BDP("616874QG Muni","CPN")</f>
        <v>#N/A Requesting Data...</v>
      </c>
      <c r="K1694" t="str">
        <f>_xll.BDP("616874QG Muni","MATURITY")</f>
        <v>#N/A Requesting Data...</v>
      </c>
      <c r="L1694">
        <v>60000</v>
      </c>
      <c r="M1694" t="str">
        <f>_xll.BDP("616874QG Muni","YIELD_ON_ISSUE_DATE")</f>
        <v>#N/A Requesting Data...</v>
      </c>
      <c r="N1694" t="str">
        <f>_xll.BDP("616874QG Muni","YTW_SPREAD_TO_MATURITY_AT_ISSU")</f>
        <v>#N/A Requesting Data...</v>
      </c>
      <c r="O1694" t="str">
        <f>_xll.BDP("616874QG Muni","BVAL_MID_YTM")</f>
        <v>#N/A Requesting Data...</v>
      </c>
      <c r="P1694" t="str">
        <f>_xll.BDP("616874QG Muni","MUNI_TAX_PROV")</f>
        <v>#N/A Requesting Data...</v>
      </c>
      <c r="Q1694" t="str">
        <f>_xll.BDP("616874QG Muni","MUNI_FED_TAX")</f>
        <v>#N/A Requesting Data...</v>
      </c>
      <c r="R1694" t="str">
        <f>_xll.BDP("616874QG Muni","MUNI_MSRB_VOLUME")</f>
        <v>#N/A Requesting Data...</v>
      </c>
      <c r="S1694" t="str">
        <f>_xll.BDP("616874QG Muni","BB_COMPOSITE")</f>
        <v>#N/A Requesting Data...</v>
      </c>
      <c r="T1694" t="str">
        <f>_xll.BDP("616874QG Muni","LQA_LIQUIDITY_SCORE")</f>
        <v>#N/A Requesting Data...</v>
      </c>
    </row>
    <row r="1695" spans="1:20" x14ac:dyDescent="0.25">
      <c r="A1695" t="str">
        <f>_xll.BDP("592642ER Muni","ID_CUSIP")</f>
        <v>#N/A Requesting Data...</v>
      </c>
      <c r="B1695" t="s">
        <v>414</v>
      </c>
      <c r="C1695" t="str">
        <f>_xll.BDP("592642ER Muni","INSURANCE_STATUS")</f>
        <v>#N/A Requesting Data...</v>
      </c>
      <c r="D1695" t="str">
        <f>_xll.BDP("592642ER Muni","STATE_CODE")</f>
        <v>#N/A Requesting Data...</v>
      </c>
      <c r="E1695" t="str">
        <f>_xll.BDP("592642ER Muni","COUNTY_LOCATION_ISSUER")</f>
        <v>#N/A Requesting Data...</v>
      </c>
      <c r="F1695" t="str">
        <f>_xll.BDP("592642ER Muni","DUR_ADJ_MID")</f>
        <v>#N/A Requesting Data...</v>
      </c>
      <c r="G1695" t="str">
        <f>_xll.BDP("592642ER Muni","SPREAD_AT_ISSUANCE_TO_WORST")</f>
        <v>#N/A Requesting Data...</v>
      </c>
      <c r="H1695" t="str">
        <f>_xll.BDP("592642ER Muni","ISSUE_DT")</f>
        <v>#N/A Requesting Data...</v>
      </c>
      <c r="I1695" t="str">
        <f>_xll.BDS("592642ER Muni","MUNI_PURPOSE_SCHED", "aggregate=y")</f>
        <v>#N/A Requesting Data...</v>
      </c>
      <c r="J1695" t="str">
        <f>_xll.BDP("592642ER Muni","CPN")</f>
        <v>#N/A Requesting Data...</v>
      </c>
      <c r="K1695" t="str">
        <f>_xll.BDP("592642ER Muni","MATURITY")</f>
        <v>#N/A Requesting Data...</v>
      </c>
      <c r="L1695">
        <v>1425000</v>
      </c>
      <c r="M1695" t="str">
        <f>_xll.BDP("592642ER Muni","YIELD_ON_ISSUE_DATE")</f>
        <v>#N/A Requesting Data...</v>
      </c>
      <c r="N1695" t="str">
        <f>_xll.BDP("592642ER Muni","YTW_SPREAD_TO_MATURITY_AT_ISSU")</f>
        <v>#N/A Requesting Data...</v>
      </c>
      <c r="O1695" t="str">
        <f>_xll.BDP("592642ER Muni","BVAL_MID_YTM")</f>
        <v>#N/A Requesting Data...</v>
      </c>
      <c r="P1695" t="str">
        <f>_xll.BDP("592642ER Muni","MUNI_TAX_PROV")</f>
        <v>#N/A Requesting Data...</v>
      </c>
      <c r="Q1695" t="str">
        <f>_xll.BDP("592642ER Muni","MUNI_FED_TAX")</f>
        <v>#N/A Requesting Data...</v>
      </c>
      <c r="R1695" t="str">
        <f>_xll.BDP("592642ER Muni","MUNI_MSRB_VOLUME")</f>
        <v>#N/A Requesting Data...</v>
      </c>
      <c r="S1695" t="str">
        <f>_xll.BDP("592642ER Muni","BB_COMPOSITE")</f>
        <v>#N/A Requesting Data...</v>
      </c>
      <c r="T1695" t="str">
        <f>_xll.BDP("592642ER Muni","LQA_LIQUIDITY_SCORE")</f>
        <v>#N/A Requesting Data...</v>
      </c>
    </row>
    <row r="1696" spans="1:20" x14ac:dyDescent="0.25">
      <c r="A1696" t="str">
        <f>_xll.BDP("592642ES Muni","ID_CUSIP")</f>
        <v>#N/A Requesting Data...</v>
      </c>
      <c r="B1696" t="s">
        <v>414</v>
      </c>
      <c r="C1696" t="str">
        <f>_xll.BDP("592642ES Muni","INSURANCE_STATUS")</f>
        <v>#N/A Requesting Data...</v>
      </c>
      <c r="D1696" t="str">
        <f>_xll.BDP("592642ES Muni","STATE_CODE")</f>
        <v>#N/A Requesting Data...</v>
      </c>
      <c r="E1696" t="str">
        <f>_xll.BDP("592642ES Muni","COUNTY_LOCATION_ISSUER")</f>
        <v>#N/A Requesting Data...</v>
      </c>
      <c r="F1696" t="str">
        <f>_xll.BDP("592642ES Muni","DUR_ADJ_MID")</f>
        <v>#N/A Requesting Data...</v>
      </c>
      <c r="G1696" t="str">
        <f>_xll.BDP("592642ES Muni","SPREAD_AT_ISSUANCE_TO_WORST")</f>
        <v>#N/A Requesting Data...</v>
      </c>
      <c r="H1696" t="str">
        <f>_xll.BDP("592642ES Muni","ISSUE_DT")</f>
        <v>#N/A Requesting Data...</v>
      </c>
      <c r="I1696" t="str">
        <f>_xll.BDS("592642ES Muni","MUNI_PURPOSE_SCHED", "aggregate=y")</f>
        <v>#N/A Requesting Data...</v>
      </c>
      <c r="J1696" t="str">
        <f>_xll.BDP("592642ES Muni","CPN")</f>
        <v>#N/A Requesting Data...</v>
      </c>
      <c r="K1696" t="str">
        <f>_xll.BDP("592642ES Muni","MATURITY")</f>
        <v>#N/A Requesting Data...</v>
      </c>
      <c r="L1696">
        <v>1495000</v>
      </c>
      <c r="M1696" t="str">
        <f>_xll.BDP("592642ES Muni","YIELD_ON_ISSUE_DATE")</f>
        <v>#N/A Requesting Data...</v>
      </c>
      <c r="N1696" t="str">
        <f>_xll.BDP("592642ES Muni","YTW_SPREAD_TO_MATURITY_AT_ISSU")</f>
        <v>#N/A Requesting Data...</v>
      </c>
      <c r="O1696" t="str">
        <f>_xll.BDP("592642ES Muni","BVAL_MID_YTM")</f>
        <v>#N/A Requesting Data...</v>
      </c>
      <c r="P1696" t="str">
        <f>_xll.BDP("592642ES Muni","MUNI_TAX_PROV")</f>
        <v>#N/A Requesting Data...</v>
      </c>
      <c r="Q1696" t="str">
        <f>_xll.BDP("592642ES Muni","MUNI_FED_TAX")</f>
        <v>#N/A Requesting Data...</v>
      </c>
      <c r="R1696" t="str">
        <f>_xll.BDP("592642ES Muni","MUNI_MSRB_VOLUME")</f>
        <v>#N/A Requesting Data...</v>
      </c>
      <c r="S1696" t="str">
        <f>_xll.BDP("592642ES Muni","BB_COMPOSITE")</f>
        <v>#N/A Requesting Data...</v>
      </c>
      <c r="T1696" t="str">
        <f>_xll.BDP("592642ES Muni","LQA_LIQUIDITY_SCORE")</f>
        <v>#N/A Requesting Data...</v>
      </c>
    </row>
    <row r="1697" spans="1:20" x14ac:dyDescent="0.25">
      <c r="A1697" t="str">
        <f>_xll.BDP("592642ET Muni","ID_CUSIP")</f>
        <v>#N/A Requesting Data...</v>
      </c>
      <c r="B1697" t="s">
        <v>414</v>
      </c>
      <c r="C1697" t="str">
        <f>_xll.BDP("592642ET Muni","INSURANCE_STATUS")</f>
        <v>#N/A Requesting Data...</v>
      </c>
      <c r="D1697" t="str">
        <f>_xll.BDP("592642ET Muni","STATE_CODE")</f>
        <v>#N/A Requesting Data...</v>
      </c>
      <c r="E1697" t="str">
        <f>_xll.BDP("592642ET Muni","COUNTY_LOCATION_ISSUER")</f>
        <v>#N/A Requesting Data...</v>
      </c>
      <c r="F1697" t="str">
        <f>_xll.BDP("592642ET Muni","DUR_ADJ_MID")</f>
        <v>#N/A Requesting Data...</v>
      </c>
      <c r="G1697" t="str">
        <f>_xll.BDP("592642ET Muni","SPREAD_AT_ISSUANCE_TO_WORST")</f>
        <v>#N/A Requesting Data...</v>
      </c>
      <c r="H1697" t="str">
        <f>_xll.BDP("592642ET Muni","ISSUE_DT")</f>
        <v>#N/A Requesting Data...</v>
      </c>
      <c r="I1697" t="str">
        <f>_xll.BDS("592642ET Muni","MUNI_PURPOSE_SCHED", "aggregate=y")</f>
        <v>#N/A Requesting Data...</v>
      </c>
      <c r="J1697" t="str">
        <f>_xll.BDP("592642ET Muni","CPN")</f>
        <v>#N/A Requesting Data...</v>
      </c>
      <c r="K1697" t="str">
        <f>_xll.BDP("592642ET Muni","MATURITY")</f>
        <v>#N/A Requesting Data...</v>
      </c>
      <c r="L1697">
        <v>1570000</v>
      </c>
      <c r="M1697" t="str">
        <f>_xll.BDP("592642ET Muni","YIELD_ON_ISSUE_DATE")</f>
        <v>#N/A Requesting Data...</v>
      </c>
      <c r="N1697" t="str">
        <f>_xll.BDP("592642ET Muni","YTW_SPREAD_TO_MATURITY_AT_ISSU")</f>
        <v>#N/A Requesting Data...</v>
      </c>
      <c r="O1697" t="str">
        <f>_xll.BDP("592642ET Muni","BVAL_MID_YTM")</f>
        <v>#N/A Requesting Data...</v>
      </c>
      <c r="P1697" t="str">
        <f>_xll.BDP("592642ET Muni","MUNI_TAX_PROV")</f>
        <v>#N/A Requesting Data...</v>
      </c>
      <c r="Q1697" t="str">
        <f>_xll.BDP("592642ET Muni","MUNI_FED_TAX")</f>
        <v>#N/A Requesting Data...</v>
      </c>
      <c r="R1697" t="str">
        <f>_xll.BDP("592642ET Muni","MUNI_MSRB_VOLUME")</f>
        <v>#N/A Requesting Data...</v>
      </c>
      <c r="S1697" t="str">
        <f>_xll.BDP("592642ET Muni","BB_COMPOSITE")</f>
        <v>#N/A Requesting Data...</v>
      </c>
      <c r="T1697" t="str">
        <f>_xll.BDP("592642ET Muni","LQA_LIQUIDITY_SCORE")</f>
        <v>#N/A Requesting Data...</v>
      </c>
    </row>
    <row r="1698" spans="1:20" x14ac:dyDescent="0.25">
      <c r="A1698" t="str">
        <f>_xll.BDP("592642EU Muni","ID_CUSIP")</f>
        <v>#N/A Requesting Data...</v>
      </c>
      <c r="B1698" t="s">
        <v>414</v>
      </c>
      <c r="C1698" t="str">
        <f>_xll.BDP("592642EU Muni","INSURANCE_STATUS")</f>
        <v>#N/A Requesting Data...</v>
      </c>
      <c r="D1698" t="str">
        <f>_xll.BDP("592642EU Muni","STATE_CODE")</f>
        <v>#N/A Requesting Data...</v>
      </c>
      <c r="E1698" t="str">
        <f>_xll.BDP("592642EU Muni","COUNTY_LOCATION_ISSUER")</f>
        <v>#N/A Requesting Data...</v>
      </c>
      <c r="F1698" t="str">
        <f>_xll.BDP("592642EU Muni","DUR_ADJ_MID")</f>
        <v>#N/A Requesting Data...</v>
      </c>
      <c r="G1698" t="str">
        <f>_xll.BDP("592642EU Muni","SPREAD_AT_ISSUANCE_TO_WORST")</f>
        <v>#N/A Requesting Data...</v>
      </c>
      <c r="H1698" t="str">
        <f>_xll.BDP("592642EU Muni","ISSUE_DT")</f>
        <v>#N/A Requesting Data...</v>
      </c>
      <c r="I1698" t="str">
        <f>_xll.BDS("592642EU Muni","MUNI_PURPOSE_SCHED", "aggregate=y")</f>
        <v>#N/A Requesting Data...</v>
      </c>
      <c r="J1698" t="str">
        <f>_xll.BDP("592642EU Muni","CPN")</f>
        <v>#N/A Requesting Data...</v>
      </c>
      <c r="K1698" t="str">
        <f>_xll.BDP("592642EU Muni","MATURITY")</f>
        <v>#N/A Requesting Data...</v>
      </c>
      <c r="L1698">
        <v>1645000</v>
      </c>
      <c r="M1698" t="str">
        <f>_xll.BDP("592642EU Muni","YIELD_ON_ISSUE_DATE")</f>
        <v>#N/A Requesting Data...</v>
      </c>
      <c r="N1698" t="str">
        <f>_xll.BDP("592642EU Muni","YTW_SPREAD_TO_MATURITY_AT_ISSU")</f>
        <v>#N/A Requesting Data...</v>
      </c>
      <c r="O1698" t="str">
        <f>_xll.BDP("592642EU Muni","BVAL_MID_YTM")</f>
        <v>#N/A Requesting Data...</v>
      </c>
      <c r="P1698" t="str">
        <f>_xll.BDP("592642EU Muni","MUNI_TAX_PROV")</f>
        <v>#N/A Requesting Data...</v>
      </c>
      <c r="Q1698" t="str">
        <f>_xll.BDP("592642EU Muni","MUNI_FED_TAX")</f>
        <v>#N/A Requesting Data...</v>
      </c>
      <c r="R1698" t="str">
        <f>_xll.BDP("592642EU Muni","MUNI_MSRB_VOLUME")</f>
        <v>#N/A Requesting Data...</v>
      </c>
      <c r="S1698" t="str">
        <f>_xll.BDP("592642EU Muni","BB_COMPOSITE")</f>
        <v>#N/A Requesting Data...</v>
      </c>
      <c r="T1698" t="str">
        <f>_xll.BDP("592642EU Muni","LQA_LIQUIDITY_SCORE")</f>
        <v>#N/A Requesting Data...</v>
      </c>
    </row>
    <row r="1699" spans="1:20" x14ac:dyDescent="0.25">
      <c r="A1699" t="str">
        <f>_xll.BDP("59266TPC Muni","ID_CUSIP")</f>
        <v>#N/A Requesting Data...</v>
      </c>
      <c r="B1699" t="s">
        <v>415</v>
      </c>
      <c r="C1699" t="str">
        <f>_xll.BDP("59266TPC Muni","INSURANCE_STATUS")</f>
        <v>#N/A Requesting Data...</v>
      </c>
      <c r="D1699" t="str">
        <f>_xll.BDP("59266TPC Muni","STATE_CODE")</f>
        <v>#N/A Requesting Data...</v>
      </c>
      <c r="E1699" t="str">
        <f>_xll.BDP("59266TPC Muni","COUNTY_LOCATION_ISSUER")</f>
        <v>#N/A Requesting Data...</v>
      </c>
      <c r="F1699" t="str">
        <f>_xll.BDP("59266TPC Muni","DUR_ADJ_MID")</f>
        <v>#N/A Requesting Data...</v>
      </c>
      <c r="G1699" t="str">
        <f>_xll.BDP("59266TPC Muni","SPREAD_AT_ISSUANCE_TO_WORST")</f>
        <v>#N/A Requesting Data...</v>
      </c>
      <c r="H1699" t="str">
        <f>_xll.BDP("59266TPC Muni","ISSUE_DT")</f>
        <v>#N/A Requesting Data...</v>
      </c>
      <c r="I1699" t="str">
        <f>_xll.BDS("59266TPC Muni","MUNI_PURPOSE_SCHED", "aggregate=y")</f>
        <v>#N/A Requesting Data...</v>
      </c>
      <c r="J1699" t="str">
        <f>_xll.BDP("59266TPC Muni","CPN")</f>
        <v>#N/A Requesting Data...</v>
      </c>
      <c r="K1699" t="str">
        <f>_xll.BDP("59266TPC Muni","MATURITY")</f>
        <v>#N/A Requesting Data...</v>
      </c>
      <c r="L1699">
        <v>57740000</v>
      </c>
      <c r="M1699" t="str">
        <f>_xll.BDP("59266TPC Muni","YIELD_ON_ISSUE_DATE")</f>
        <v>#N/A Requesting Data...</v>
      </c>
      <c r="N1699" t="str">
        <f>_xll.BDP("59266TPC Muni","YTW_SPREAD_TO_MATURITY_AT_ISSU")</f>
        <v>#N/A Requesting Data...</v>
      </c>
      <c r="O1699" t="str">
        <f>_xll.BDP("59266TPC Muni","BVAL_MID_YTM")</f>
        <v>#N/A Requesting Data...</v>
      </c>
      <c r="P1699" t="str">
        <f>_xll.BDP("59266TPC Muni","MUNI_TAX_PROV")</f>
        <v>#N/A Requesting Data...</v>
      </c>
      <c r="Q1699" t="str">
        <f>_xll.BDP("59266TPC Muni","MUNI_FED_TAX")</f>
        <v>#N/A Requesting Data...</v>
      </c>
      <c r="R1699" t="str">
        <f>_xll.BDP("59266TPC Muni","MUNI_MSRB_VOLUME")</f>
        <v>#N/A Requesting Data...</v>
      </c>
      <c r="S1699" t="str">
        <f>_xll.BDP("59266TPC Muni","BB_COMPOSITE")</f>
        <v>#N/A Requesting Data...</v>
      </c>
      <c r="T1699" t="str">
        <f>_xll.BDP("59266TPC Muni","LQA_LIQUIDITY_SCORE")</f>
        <v>#N/A Requesting Data...</v>
      </c>
    </row>
    <row r="1700" spans="1:20" x14ac:dyDescent="0.25">
      <c r="A1700" t="str">
        <f>_xll.BDP("67919PNY Muni","ID_CUSIP")</f>
        <v>#N/A Requesting Data...</v>
      </c>
      <c r="B1700" t="s">
        <v>352</v>
      </c>
      <c r="C1700" t="str">
        <f>_xll.BDP("67919PNY Muni","INSURANCE_STATUS")</f>
        <v>#N/A Requesting Data...</v>
      </c>
      <c r="D1700" t="str">
        <f>_xll.BDP("67919PNY Muni","STATE_CODE")</f>
        <v>#N/A Requesting Data...</v>
      </c>
      <c r="E1700" t="str">
        <f>_xll.BDP("67919PNY Muni","COUNTY_LOCATION_ISSUER")</f>
        <v>#N/A Requesting Data...</v>
      </c>
      <c r="F1700" t="str">
        <f>_xll.BDP("67919PNY Muni","DUR_ADJ_MID")</f>
        <v>#N/A Requesting Data...</v>
      </c>
      <c r="G1700" t="str">
        <f>_xll.BDP("67919PNY Muni","SPREAD_AT_ISSUANCE_TO_WORST")</f>
        <v>#N/A Requesting Data...</v>
      </c>
      <c r="H1700" t="str">
        <f>_xll.BDP("67919PNY Muni","ISSUE_DT")</f>
        <v>#N/A Requesting Data...</v>
      </c>
      <c r="I1700" t="str">
        <f>_xll.BDS("67919PNY Muni","MUNI_PURPOSE_SCHED", "aggregate=y")</f>
        <v>#N/A Requesting Data...</v>
      </c>
      <c r="J1700" t="str">
        <f>_xll.BDP("67919PNY Muni","CPN")</f>
        <v>#N/A Requesting Data...</v>
      </c>
      <c r="K1700" t="str">
        <f>_xll.BDP("67919PNY Muni","MATURITY")</f>
        <v>#N/A Requesting Data...</v>
      </c>
      <c r="L1700">
        <v>500000</v>
      </c>
      <c r="M1700" t="str">
        <f>_xll.BDP("67919PNY Muni","YIELD_ON_ISSUE_DATE")</f>
        <v>#N/A Requesting Data...</v>
      </c>
      <c r="N1700" t="str">
        <f>_xll.BDP("67919PNY Muni","YTW_SPREAD_TO_MATURITY_AT_ISSU")</f>
        <v>#N/A Requesting Data...</v>
      </c>
      <c r="O1700" t="str">
        <f>_xll.BDP("67919PNY Muni","BVAL_MID_YTM")</f>
        <v>#N/A Requesting Data...</v>
      </c>
      <c r="P1700" t="str">
        <f>_xll.BDP("67919PNY Muni","MUNI_TAX_PROV")</f>
        <v>#N/A Requesting Data...</v>
      </c>
      <c r="Q1700" t="str">
        <f>_xll.BDP("67919PNY Muni","MUNI_FED_TAX")</f>
        <v>#N/A Requesting Data...</v>
      </c>
      <c r="R1700" t="str">
        <f>_xll.BDP("67919PNY Muni","MUNI_MSRB_VOLUME")</f>
        <v>#N/A Requesting Data...</v>
      </c>
      <c r="S1700" t="str">
        <f>_xll.BDP("67919PNY Muni","BB_COMPOSITE")</f>
        <v>#N/A Requesting Data...</v>
      </c>
      <c r="T1700" t="str">
        <f>_xll.BDP("67919PNY Muni","LQA_LIQUIDITY_SCORE")</f>
        <v>#N/A Requesting Data...</v>
      </c>
    </row>
    <row r="1701" spans="1:20" x14ac:dyDescent="0.25">
      <c r="A1701" t="str">
        <f>_xll.BDP("67919PNZ Muni","ID_CUSIP")</f>
        <v>#N/A Requesting Data...</v>
      </c>
      <c r="B1701" t="s">
        <v>352</v>
      </c>
      <c r="C1701" t="str">
        <f>_xll.BDP("67919PNZ Muni","INSURANCE_STATUS")</f>
        <v>#N/A Requesting Data...</v>
      </c>
      <c r="D1701" t="str">
        <f>_xll.BDP("67919PNZ Muni","STATE_CODE")</f>
        <v>#N/A Requesting Data...</v>
      </c>
      <c r="E1701" t="str">
        <f>_xll.BDP("67919PNZ Muni","COUNTY_LOCATION_ISSUER")</f>
        <v>#N/A Requesting Data...</v>
      </c>
      <c r="F1701" t="str">
        <f>_xll.BDP("67919PNZ Muni","DUR_ADJ_MID")</f>
        <v>#N/A Requesting Data...</v>
      </c>
      <c r="G1701" t="str">
        <f>_xll.BDP("67919PNZ Muni","SPREAD_AT_ISSUANCE_TO_WORST")</f>
        <v>#N/A Requesting Data...</v>
      </c>
      <c r="H1701" t="str">
        <f>_xll.BDP("67919PNZ Muni","ISSUE_DT")</f>
        <v>#N/A Requesting Data...</v>
      </c>
      <c r="I1701" t="str">
        <f>_xll.BDS("67919PNZ Muni","MUNI_PURPOSE_SCHED", "aggregate=y")</f>
        <v>#N/A Requesting Data...</v>
      </c>
      <c r="J1701" t="str">
        <f>_xll.BDP("67919PNZ Muni","CPN")</f>
        <v>#N/A Requesting Data...</v>
      </c>
      <c r="K1701" t="str">
        <f>_xll.BDP("67919PNZ Muni","MATURITY")</f>
        <v>#N/A Requesting Data...</v>
      </c>
      <c r="L1701">
        <v>250000</v>
      </c>
      <c r="M1701" t="str">
        <f>_xll.BDP("67919PNZ Muni","YIELD_ON_ISSUE_DATE")</f>
        <v>#N/A Requesting Data...</v>
      </c>
      <c r="N1701" t="str">
        <f>_xll.BDP("67919PNZ Muni","YTW_SPREAD_TO_MATURITY_AT_ISSU")</f>
        <v>#N/A Requesting Data...</v>
      </c>
      <c r="O1701" t="str">
        <f>_xll.BDP("67919PNZ Muni","BVAL_MID_YTM")</f>
        <v>#N/A Requesting Data...</v>
      </c>
      <c r="P1701" t="str">
        <f>_xll.BDP("67919PNZ Muni","MUNI_TAX_PROV")</f>
        <v>#N/A Requesting Data...</v>
      </c>
      <c r="Q1701" t="str">
        <f>_xll.BDP("67919PNZ Muni","MUNI_FED_TAX")</f>
        <v>#N/A Requesting Data...</v>
      </c>
      <c r="R1701" t="str">
        <f>_xll.BDP("67919PNZ Muni","MUNI_MSRB_VOLUME")</f>
        <v>#N/A Requesting Data...</v>
      </c>
      <c r="S1701" t="str">
        <f>_xll.BDP("67919PNZ Muni","BB_COMPOSITE")</f>
        <v>#N/A Requesting Data...</v>
      </c>
      <c r="T1701" t="str">
        <f>_xll.BDP("67919PNZ Muni","LQA_LIQUIDITY_SCORE")</f>
        <v>#N/A Requesting Data...</v>
      </c>
    </row>
    <row r="1702" spans="1:20" x14ac:dyDescent="0.25">
      <c r="A1702" t="str">
        <f>_xll.BDP("67919PPA Muni","ID_CUSIP")</f>
        <v>#N/A Requesting Data...</v>
      </c>
      <c r="B1702" t="s">
        <v>352</v>
      </c>
      <c r="C1702" t="str">
        <f>_xll.BDP("67919PPA Muni","INSURANCE_STATUS")</f>
        <v>#N/A Requesting Data...</v>
      </c>
      <c r="D1702" t="str">
        <f>_xll.BDP("67919PPA Muni","STATE_CODE")</f>
        <v>#N/A Requesting Data...</v>
      </c>
      <c r="E1702" t="str">
        <f>_xll.BDP("67919PPA Muni","COUNTY_LOCATION_ISSUER")</f>
        <v>#N/A Requesting Data...</v>
      </c>
      <c r="F1702" t="str">
        <f>_xll.BDP("67919PPA Muni","DUR_ADJ_MID")</f>
        <v>#N/A Requesting Data...</v>
      </c>
      <c r="G1702" t="str">
        <f>_xll.BDP("67919PPA Muni","SPREAD_AT_ISSUANCE_TO_WORST")</f>
        <v>#N/A Requesting Data...</v>
      </c>
      <c r="H1702" t="str">
        <f>_xll.BDP("67919PPA Muni","ISSUE_DT")</f>
        <v>#N/A Requesting Data...</v>
      </c>
      <c r="I1702" t="str">
        <f>_xll.BDS("67919PPA Muni","MUNI_PURPOSE_SCHED", "aggregate=y")</f>
        <v>#N/A Requesting Data...</v>
      </c>
      <c r="J1702" t="str">
        <f>_xll.BDP("67919PPA Muni","CPN")</f>
        <v>#N/A Requesting Data...</v>
      </c>
      <c r="K1702" t="str">
        <f>_xll.BDP("67919PPA Muni","MATURITY")</f>
        <v>#N/A Requesting Data...</v>
      </c>
      <c r="L1702">
        <v>2870000</v>
      </c>
      <c r="M1702" t="str">
        <f>_xll.BDP("67919PPA Muni","YIELD_ON_ISSUE_DATE")</f>
        <v>#N/A Requesting Data...</v>
      </c>
      <c r="N1702" t="str">
        <f>_xll.BDP("67919PPA Muni","YTW_SPREAD_TO_MATURITY_AT_ISSU")</f>
        <v>#N/A Requesting Data...</v>
      </c>
      <c r="O1702" t="str">
        <f>_xll.BDP("67919PPA Muni","BVAL_MID_YTM")</f>
        <v>#N/A Requesting Data...</v>
      </c>
      <c r="P1702" t="str">
        <f>_xll.BDP("67919PPA Muni","MUNI_TAX_PROV")</f>
        <v>#N/A Requesting Data...</v>
      </c>
      <c r="Q1702" t="str">
        <f>_xll.BDP("67919PPA Muni","MUNI_FED_TAX")</f>
        <v>#N/A Requesting Data...</v>
      </c>
      <c r="R1702" t="str">
        <f>_xll.BDP("67919PPA Muni","MUNI_MSRB_VOLUME")</f>
        <v>#N/A Requesting Data...</v>
      </c>
      <c r="S1702" t="str">
        <f>_xll.BDP("67919PPA Muni","BB_COMPOSITE")</f>
        <v>#N/A Requesting Data...</v>
      </c>
      <c r="T1702" t="str">
        <f>_xll.BDP("67919PPA Muni","LQA_LIQUIDITY_SCORE")</f>
        <v>#N/A Requesting Data...</v>
      </c>
    </row>
    <row r="1703" spans="1:20" x14ac:dyDescent="0.25">
      <c r="A1703" t="str">
        <f>_xll.BDP("67920QQW Muni","ID_CUSIP")</f>
        <v>#N/A Requesting Data...</v>
      </c>
      <c r="B1703" t="s">
        <v>352</v>
      </c>
      <c r="C1703" t="str">
        <f>_xll.BDP("67920QQW Muni","INSURANCE_STATUS")</f>
        <v>#N/A Requesting Data...</v>
      </c>
      <c r="D1703" t="str">
        <f>_xll.BDP("67920QQW Muni","STATE_CODE")</f>
        <v>#N/A Requesting Data...</v>
      </c>
      <c r="E1703" t="str">
        <f>_xll.BDP("67920QQW Muni","COUNTY_LOCATION_ISSUER")</f>
        <v>#N/A Requesting Data...</v>
      </c>
      <c r="F1703" t="str">
        <f>_xll.BDP("67920QQW Muni","DUR_ADJ_MID")</f>
        <v>#N/A Requesting Data...</v>
      </c>
      <c r="G1703" t="str">
        <f>_xll.BDP("67920QQW Muni","SPREAD_AT_ISSUANCE_TO_WORST")</f>
        <v>#N/A Requesting Data...</v>
      </c>
      <c r="H1703" t="str">
        <f>_xll.BDP("67920QQW Muni","ISSUE_DT")</f>
        <v>#N/A Requesting Data...</v>
      </c>
      <c r="I1703" t="str">
        <f>_xll.BDS("67920QQW Muni","MUNI_PURPOSE_SCHED", "aggregate=y")</f>
        <v>#N/A Requesting Data...</v>
      </c>
      <c r="J1703" t="str">
        <f>_xll.BDP("67920QQW Muni","CPN")</f>
        <v>#N/A Requesting Data...</v>
      </c>
      <c r="K1703" t="str">
        <f>_xll.BDP("67920QQW Muni","MATURITY")</f>
        <v>#N/A Requesting Data...</v>
      </c>
      <c r="L1703">
        <v>100000</v>
      </c>
      <c r="M1703" t="str">
        <f>_xll.BDP("67920QQW Muni","YIELD_ON_ISSUE_DATE")</f>
        <v>#N/A Requesting Data...</v>
      </c>
      <c r="N1703" t="str">
        <f>_xll.BDP("67920QQW Muni","YTW_SPREAD_TO_MATURITY_AT_ISSU")</f>
        <v>#N/A Requesting Data...</v>
      </c>
      <c r="O1703" t="str">
        <f>_xll.BDP("67920QQW Muni","BVAL_MID_YTM")</f>
        <v>#N/A Requesting Data...</v>
      </c>
      <c r="P1703" t="str">
        <f>_xll.BDP("67920QQW Muni","MUNI_TAX_PROV")</f>
        <v>#N/A Requesting Data...</v>
      </c>
      <c r="Q1703" t="str">
        <f>_xll.BDP("67920QQW Muni","MUNI_FED_TAX")</f>
        <v>#N/A Requesting Data...</v>
      </c>
      <c r="R1703" t="str">
        <f>_xll.BDP("67920QQW Muni","MUNI_MSRB_VOLUME")</f>
        <v>#N/A Requesting Data...</v>
      </c>
      <c r="S1703" t="str">
        <f>_xll.BDP("67920QQW Muni","BB_COMPOSITE")</f>
        <v>#N/A Requesting Data...</v>
      </c>
      <c r="T1703" t="str">
        <f>_xll.BDP("67920QQW Muni","LQA_LIQUIDITY_SCORE")</f>
        <v>#N/A Requesting Data...</v>
      </c>
    </row>
    <row r="1704" spans="1:20" x14ac:dyDescent="0.25">
      <c r="A1704" t="str">
        <f>_xll.BDP("67920QRA Muni","ID_CUSIP")</f>
        <v>#N/A Requesting Data...</v>
      </c>
      <c r="B1704" t="s">
        <v>352</v>
      </c>
      <c r="C1704" t="str">
        <f>_xll.BDP("67920QRA Muni","INSURANCE_STATUS")</f>
        <v>#N/A Requesting Data...</v>
      </c>
      <c r="D1704" t="str">
        <f>_xll.BDP("67920QRA Muni","STATE_CODE")</f>
        <v>#N/A Requesting Data...</v>
      </c>
      <c r="E1704" t="str">
        <f>_xll.BDP("67920QRA Muni","COUNTY_LOCATION_ISSUER")</f>
        <v>#N/A Requesting Data...</v>
      </c>
      <c r="F1704" t="str">
        <f>_xll.BDP("67920QRA Muni","DUR_ADJ_MID")</f>
        <v>#N/A Requesting Data...</v>
      </c>
      <c r="G1704" t="str">
        <f>_xll.BDP("67920QRA Muni","SPREAD_AT_ISSUANCE_TO_WORST")</f>
        <v>#N/A Requesting Data...</v>
      </c>
      <c r="H1704" t="str">
        <f>_xll.BDP("67920QRA Muni","ISSUE_DT")</f>
        <v>#N/A Requesting Data...</v>
      </c>
      <c r="I1704" t="str">
        <f>_xll.BDS("67920QRA Muni","MUNI_PURPOSE_SCHED", "aggregate=y")</f>
        <v>#N/A Requesting Data...</v>
      </c>
      <c r="J1704" t="str">
        <f>_xll.BDP("67920QRA Muni","CPN")</f>
        <v>#N/A Requesting Data...</v>
      </c>
      <c r="K1704" t="str">
        <f>_xll.BDP("67920QRA Muni","MATURITY")</f>
        <v>#N/A Requesting Data...</v>
      </c>
      <c r="L1704">
        <v>475000</v>
      </c>
      <c r="M1704" t="str">
        <f>_xll.BDP("67920QRA Muni","YIELD_ON_ISSUE_DATE")</f>
        <v>#N/A Requesting Data...</v>
      </c>
      <c r="N1704" t="str">
        <f>_xll.BDP("67920QRA Muni","YTW_SPREAD_TO_MATURITY_AT_ISSU")</f>
        <v>#N/A Requesting Data...</v>
      </c>
      <c r="O1704" t="str">
        <f>_xll.BDP("67920QRA Muni","BVAL_MID_YTM")</f>
        <v>#N/A Requesting Data...</v>
      </c>
      <c r="P1704" t="str">
        <f>_xll.BDP("67920QRA Muni","MUNI_TAX_PROV")</f>
        <v>#N/A Requesting Data...</v>
      </c>
      <c r="Q1704" t="str">
        <f>_xll.BDP("67920QRA Muni","MUNI_FED_TAX")</f>
        <v>#N/A Requesting Data...</v>
      </c>
      <c r="R1704" t="str">
        <f>_xll.BDP("67920QRA Muni","MUNI_MSRB_VOLUME")</f>
        <v>#N/A Requesting Data...</v>
      </c>
      <c r="S1704" t="str">
        <f>_xll.BDP("67920QRA Muni","BB_COMPOSITE")</f>
        <v>#N/A Requesting Data...</v>
      </c>
      <c r="T1704" t="str">
        <f>_xll.BDP("67920QRA Muni","LQA_LIQUIDITY_SCORE")</f>
        <v>#N/A Requesting Data...</v>
      </c>
    </row>
    <row r="1705" spans="1:20" x14ac:dyDescent="0.25">
      <c r="A1705" t="str">
        <f>_xll.BDP("67920QRB Muni","ID_CUSIP")</f>
        <v>#N/A Requesting Data...</v>
      </c>
      <c r="B1705" t="s">
        <v>352</v>
      </c>
      <c r="C1705" t="str">
        <f>_xll.BDP("67920QRB Muni","INSURANCE_STATUS")</f>
        <v>#N/A Requesting Data...</v>
      </c>
      <c r="D1705" t="str">
        <f>_xll.BDP("67920QRB Muni","STATE_CODE")</f>
        <v>#N/A Requesting Data...</v>
      </c>
      <c r="E1705" t="str">
        <f>_xll.BDP("67920QRB Muni","COUNTY_LOCATION_ISSUER")</f>
        <v>#N/A Requesting Data...</v>
      </c>
      <c r="F1705" t="str">
        <f>_xll.BDP("67920QRB Muni","DUR_ADJ_MID")</f>
        <v>#N/A Requesting Data...</v>
      </c>
      <c r="G1705" t="str">
        <f>_xll.BDP("67920QRB Muni","SPREAD_AT_ISSUANCE_TO_WORST")</f>
        <v>#N/A Requesting Data...</v>
      </c>
      <c r="H1705" t="str">
        <f>_xll.BDP("67920QRB Muni","ISSUE_DT")</f>
        <v>#N/A Requesting Data...</v>
      </c>
      <c r="I1705" t="str">
        <f>_xll.BDS("67920QRB Muni","MUNI_PURPOSE_SCHED", "aggregate=y")</f>
        <v>#N/A Requesting Data...</v>
      </c>
      <c r="J1705" t="str">
        <f>_xll.BDP("67920QRB Muni","CPN")</f>
        <v>#N/A Requesting Data...</v>
      </c>
      <c r="K1705" t="str">
        <f>_xll.BDP("67920QRB Muni","MATURITY")</f>
        <v>#N/A Requesting Data...</v>
      </c>
      <c r="L1705">
        <v>500000</v>
      </c>
      <c r="M1705" t="str">
        <f>_xll.BDP("67920QRB Muni","YIELD_ON_ISSUE_DATE")</f>
        <v>#N/A Requesting Data...</v>
      </c>
      <c r="N1705" t="str">
        <f>_xll.BDP("67920QRB Muni","YTW_SPREAD_TO_MATURITY_AT_ISSU")</f>
        <v>#N/A Requesting Data...</v>
      </c>
      <c r="O1705" t="str">
        <f>_xll.BDP("67920QRB Muni","BVAL_MID_YTM")</f>
        <v>#N/A Requesting Data...</v>
      </c>
      <c r="P1705" t="str">
        <f>_xll.BDP("67920QRB Muni","MUNI_TAX_PROV")</f>
        <v>#N/A Requesting Data...</v>
      </c>
      <c r="Q1705" t="str">
        <f>_xll.BDP("67920QRB Muni","MUNI_FED_TAX")</f>
        <v>#N/A Requesting Data...</v>
      </c>
      <c r="R1705" t="str">
        <f>_xll.BDP("67920QRB Muni","MUNI_MSRB_VOLUME")</f>
        <v>#N/A Requesting Data...</v>
      </c>
      <c r="S1705" t="str">
        <f>_xll.BDP("67920QRB Muni","BB_COMPOSITE")</f>
        <v>#N/A Requesting Data...</v>
      </c>
      <c r="T1705" t="str">
        <f>_xll.BDP("67920QRB Muni","LQA_LIQUIDITY_SCORE")</f>
        <v>#N/A Requesting Data...</v>
      </c>
    </row>
    <row r="1706" spans="1:20" x14ac:dyDescent="0.25">
      <c r="A1706" t="str">
        <f>_xll.BDP("67920QRC Muni","ID_CUSIP")</f>
        <v>#N/A Requesting Data...</v>
      </c>
      <c r="B1706" t="s">
        <v>352</v>
      </c>
      <c r="C1706" t="str">
        <f>_xll.BDP("67920QRC Muni","INSURANCE_STATUS")</f>
        <v>#N/A Requesting Data...</v>
      </c>
      <c r="D1706" t="str">
        <f>_xll.BDP("67920QRC Muni","STATE_CODE")</f>
        <v>#N/A Requesting Data...</v>
      </c>
      <c r="E1706" t="str">
        <f>_xll.BDP("67920QRC Muni","COUNTY_LOCATION_ISSUER")</f>
        <v>#N/A Requesting Data...</v>
      </c>
      <c r="F1706" t="str">
        <f>_xll.BDP("67920QRC Muni","DUR_ADJ_MID")</f>
        <v>#N/A Requesting Data...</v>
      </c>
      <c r="G1706" t="str">
        <f>_xll.BDP("67920QRC Muni","SPREAD_AT_ISSUANCE_TO_WORST")</f>
        <v>#N/A Requesting Data...</v>
      </c>
      <c r="H1706" t="str">
        <f>_xll.BDP("67920QRC Muni","ISSUE_DT")</f>
        <v>#N/A Requesting Data...</v>
      </c>
      <c r="I1706" t="str">
        <f>_xll.BDS("67920QRC Muni","MUNI_PURPOSE_SCHED", "aggregate=y")</f>
        <v>#N/A Requesting Data...</v>
      </c>
      <c r="J1706" t="str">
        <f>_xll.BDP("67920QRC Muni","CPN")</f>
        <v>#N/A Requesting Data...</v>
      </c>
      <c r="K1706" t="str">
        <f>_xll.BDP("67920QRC Muni","MATURITY")</f>
        <v>#N/A Requesting Data...</v>
      </c>
      <c r="L1706">
        <v>530000</v>
      </c>
      <c r="M1706" t="str">
        <f>_xll.BDP("67920QRC Muni","YIELD_ON_ISSUE_DATE")</f>
        <v>#N/A Requesting Data...</v>
      </c>
      <c r="N1706" t="str">
        <f>_xll.BDP("67920QRC Muni","YTW_SPREAD_TO_MATURITY_AT_ISSU")</f>
        <v>#N/A Requesting Data...</v>
      </c>
      <c r="O1706" t="str">
        <f>_xll.BDP("67920QRC Muni","BVAL_MID_YTM")</f>
        <v>#N/A Requesting Data...</v>
      </c>
      <c r="P1706" t="str">
        <f>_xll.BDP("67920QRC Muni","MUNI_TAX_PROV")</f>
        <v>#N/A Requesting Data...</v>
      </c>
      <c r="Q1706" t="str">
        <f>_xll.BDP("67920QRC Muni","MUNI_FED_TAX")</f>
        <v>#N/A Requesting Data...</v>
      </c>
      <c r="R1706" t="str">
        <f>_xll.BDP("67920QRC Muni","MUNI_MSRB_VOLUME")</f>
        <v>#N/A Requesting Data...</v>
      </c>
      <c r="S1706" t="str">
        <f>_xll.BDP("67920QRC Muni","BB_COMPOSITE")</f>
        <v>#N/A Requesting Data...</v>
      </c>
      <c r="T1706" t="str">
        <f>_xll.BDP("67920QRC Muni","LQA_LIQUIDITY_SCORE")</f>
        <v>#N/A Requesting Data...</v>
      </c>
    </row>
    <row r="1707" spans="1:20" x14ac:dyDescent="0.25">
      <c r="A1707" t="str">
        <f>_xll.BDP("679468XQ Muni","ID_CUSIP")</f>
        <v>#N/A Requesting Data...</v>
      </c>
      <c r="B1707" t="s">
        <v>353</v>
      </c>
      <c r="C1707" t="str">
        <f>_xll.BDP("679468XQ Muni","INSURANCE_STATUS")</f>
        <v>#N/A Requesting Data...</v>
      </c>
      <c r="D1707" t="str">
        <f>_xll.BDP("679468XQ Muni","STATE_CODE")</f>
        <v>#N/A Requesting Data...</v>
      </c>
      <c r="E1707" t="str">
        <f>_xll.BDP("679468XQ Muni","COUNTY_LOCATION_ISSUER")</f>
        <v>#N/A Requesting Data...</v>
      </c>
      <c r="F1707" t="str">
        <f>_xll.BDP("679468XQ Muni","DUR_ADJ_MID")</f>
        <v>#N/A Requesting Data...</v>
      </c>
      <c r="G1707" t="str">
        <f>_xll.BDP("679468XQ Muni","SPREAD_AT_ISSUANCE_TO_WORST")</f>
        <v>#N/A Requesting Data...</v>
      </c>
      <c r="H1707" t="str">
        <f>_xll.BDP("679468XQ Muni","ISSUE_DT")</f>
        <v>#N/A Requesting Data...</v>
      </c>
      <c r="I1707" t="str">
        <f>_xll.BDS("679468XQ Muni","MUNI_PURPOSE_SCHED", "aggregate=y")</f>
        <v>#N/A Requesting Data...</v>
      </c>
      <c r="J1707" t="str">
        <f>_xll.BDP("679468XQ Muni","CPN")</f>
        <v>#N/A Requesting Data...</v>
      </c>
      <c r="K1707" t="str">
        <f>_xll.BDP("679468XQ Muni","MATURITY")</f>
        <v>#N/A Requesting Data...</v>
      </c>
      <c r="L1707">
        <v>455000</v>
      </c>
      <c r="M1707" t="str">
        <f>_xll.BDP("679468XQ Muni","YIELD_ON_ISSUE_DATE")</f>
        <v>#N/A Requesting Data...</v>
      </c>
      <c r="N1707" t="str">
        <f>_xll.BDP("679468XQ Muni","YTW_SPREAD_TO_MATURITY_AT_ISSU")</f>
        <v>#N/A Requesting Data...</v>
      </c>
      <c r="O1707" t="str">
        <f>_xll.BDP("679468XQ Muni","BVAL_MID_YTM")</f>
        <v>#N/A Requesting Data...</v>
      </c>
      <c r="P1707" t="str">
        <f>_xll.BDP("679468XQ Muni","MUNI_TAX_PROV")</f>
        <v>#N/A Requesting Data...</v>
      </c>
      <c r="Q1707" t="str">
        <f>_xll.BDP("679468XQ Muni","MUNI_FED_TAX")</f>
        <v>#N/A Requesting Data...</v>
      </c>
      <c r="R1707" t="str">
        <f>_xll.BDP("679468XQ Muni","MUNI_MSRB_VOLUME")</f>
        <v>#N/A Requesting Data...</v>
      </c>
      <c r="S1707" t="str">
        <f>_xll.BDP("679468XQ Muni","BB_COMPOSITE")</f>
        <v>#N/A Requesting Data...</v>
      </c>
      <c r="T1707" t="str">
        <f>_xll.BDP("679468XQ Muni","LQA_LIQUIDITY_SCORE")</f>
        <v>#N/A Requesting Data...</v>
      </c>
    </row>
    <row r="1708" spans="1:20" x14ac:dyDescent="0.25">
      <c r="A1708" t="str">
        <f>_xll.BDP("679468XR Muni","ID_CUSIP")</f>
        <v>#N/A Requesting Data...</v>
      </c>
      <c r="B1708" t="s">
        <v>353</v>
      </c>
      <c r="C1708" t="str">
        <f>_xll.BDP("679468XR Muni","INSURANCE_STATUS")</f>
        <v>#N/A Requesting Data...</v>
      </c>
      <c r="D1708" t="str">
        <f>_xll.BDP("679468XR Muni","STATE_CODE")</f>
        <v>#N/A Requesting Data...</v>
      </c>
      <c r="E1708" t="str">
        <f>_xll.BDP("679468XR Muni","COUNTY_LOCATION_ISSUER")</f>
        <v>#N/A Requesting Data...</v>
      </c>
      <c r="F1708" t="str">
        <f>_xll.BDP("679468XR Muni","DUR_ADJ_MID")</f>
        <v>#N/A Requesting Data...</v>
      </c>
      <c r="G1708" t="str">
        <f>_xll.BDP("679468XR Muni","SPREAD_AT_ISSUANCE_TO_WORST")</f>
        <v>#N/A Requesting Data...</v>
      </c>
      <c r="H1708" t="str">
        <f>_xll.BDP("679468XR Muni","ISSUE_DT")</f>
        <v>#N/A Requesting Data...</v>
      </c>
      <c r="I1708" t="str">
        <f>_xll.BDS("679468XR Muni","MUNI_PURPOSE_SCHED", "aggregate=y")</f>
        <v>#N/A Requesting Data...</v>
      </c>
      <c r="J1708" t="str">
        <f>_xll.BDP("679468XR Muni","CPN")</f>
        <v>#N/A Requesting Data...</v>
      </c>
      <c r="K1708" t="str">
        <f>_xll.BDP("679468XR Muni","MATURITY")</f>
        <v>#N/A Requesting Data...</v>
      </c>
      <c r="L1708">
        <v>475000</v>
      </c>
      <c r="M1708" t="str">
        <f>_xll.BDP("679468XR Muni","YIELD_ON_ISSUE_DATE")</f>
        <v>#N/A Requesting Data...</v>
      </c>
      <c r="N1708" t="str">
        <f>_xll.BDP("679468XR Muni","YTW_SPREAD_TO_MATURITY_AT_ISSU")</f>
        <v>#N/A Requesting Data...</v>
      </c>
      <c r="O1708" t="str">
        <f>_xll.BDP("679468XR Muni","BVAL_MID_YTM")</f>
        <v>#N/A Requesting Data...</v>
      </c>
      <c r="P1708" t="str">
        <f>_xll.BDP("679468XR Muni","MUNI_TAX_PROV")</f>
        <v>#N/A Requesting Data...</v>
      </c>
      <c r="Q1708" t="str">
        <f>_xll.BDP("679468XR Muni","MUNI_FED_TAX")</f>
        <v>#N/A Requesting Data...</v>
      </c>
      <c r="R1708" t="str">
        <f>_xll.BDP("679468XR Muni","MUNI_MSRB_VOLUME")</f>
        <v>#N/A Requesting Data...</v>
      </c>
      <c r="S1708" t="str">
        <f>_xll.BDP("679468XR Muni","BB_COMPOSITE")</f>
        <v>#N/A Requesting Data...</v>
      </c>
      <c r="T1708" t="str">
        <f>_xll.BDP("679468XR Muni","LQA_LIQUIDITY_SCORE")</f>
        <v>#N/A Requesting Data...</v>
      </c>
    </row>
    <row r="1709" spans="1:20" x14ac:dyDescent="0.25">
      <c r="A1709" t="str">
        <f>_xll.BDP("679468XS Muni","ID_CUSIP")</f>
        <v>#N/A Requesting Data...</v>
      </c>
      <c r="B1709" t="s">
        <v>353</v>
      </c>
      <c r="C1709" t="str">
        <f>_xll.BDP("679468XS Muni","INSURANCE_STATUS")</f>
        <v>#N/A Requesting Data...</v>
      </c>
      <c r="D1709" t="str">
        <f>_xll.BDP("679468XS Muni","STATE_CODE")</f>
        <v>#N/A Requesting Data...</v>
      </c>
      <c r="E1709" t="str">
        <f>_xll.BDP("679468XS Muni","COUNTY_LOCATION_ISSUER")</f>
        <v>#N/A Requesting Data...</v>
      </c>
      <c r="F1709" t="str">
        <f>_xll.BDP("679468XS Muni","DUR_ADJ_MID")</f>
        <v>#N/A Requesting Data...</v>
      </c>
      <c r="G1709" t="str">
        <f>_xll.BDP("679468XS Muni","SPREAD_AT_ISSUANCE_TO_WORST")</f>
        <v>#N/A Requesting Data...</v>
      </c>
      <c r="H1709" t="str">
        <f>_xll.BDP("679468XS Muni","ISSUE_DT")</f>
        <v>#N/A Requesting Data...</v>
      </c>
      <c r="I1709" t="str">
        <f>_xll.BDS("679468XS Muni","MUNI_PURPOSE_SCHED", "aggregate=y")</f>
        <v>#N/A Requesting Data...</v>
      </c>
      <c r="J1709" t="str">
        <f>_xll.BDP("679468XS Muni","CPN")</f>
        <v>#N/A Requesting Data...</v>
      </c>
      <c r="K1709" t="str">
        <f>_xll.BDP("679468XS Muni","MATURITY")</f>
        <v>#N/A Requesting Data...</v>
      </c>
      <c r="L1709">
        <v>500000</v>
      </c>
      <c r="M1709" t="str">
        <f>_xll.BDP("679468XS Muni","YIELD_ON_ISSUE_DATE")</f>
        <v>#N/A Requesting Data...</v>
      </c>
      <c r="N1709" t="str">
        <f>_xll.BDP("679468XS Muni","YTW_SPREAD_TO_MATURITY_AT_ISSU")</f>
        <v>#N/A Requesting Data...</v>
      </c>
      <c r="O1709" t="str">
        <f>_xll.BDP("679468XS Muni","BVAL_MID_YTM")</f>
        <v>#N/A Requesting Data...</v>
      </c>
      <c r="P1709" t="str">
        <f>_xll.BDP("679468XS Muni","MUNI_TAX_PROV")</f>
        <v>#N/A Requesting Data...</v>
      </c>
      <c r="Q1709" t="str">
        <f>_xll.BDP("679468XS Muni","MUNI_FED_TAX")</f>
        <v>#N/A Requesting Data...</v>
      </c>
      <c r="R1709" t="str">
        <f>_xll.BDP("679468XS Muni","MUNI_MSRB_VOLUME")</f>
        <v>#N/A Requesting Data...</v>
      </c>
      <c r="S1709" t="str">
        <f>_xll.BDP("679468XS Muni","BB_COMPOSITE")</f>
        <v>#N/A Requesting Data...</v>
      </c>
      <c r="T1709" t="str">
        <f>_xll.BDP("679468XS Muni","LQA_LIQUIDITY_SCORE")</f>
        <v>#N/A Requesting Data...</v>
      </c>
    </row>
    <row r="1710" spans="1:20" x14ac:dyDescent="0.25">
      <c r="A1710" t="str">
        <f>_xll.BDP("680418DD Muni","ID_CUSIP")</f>
        <v>#N/A Requesting Data...</v>
      </c>
      <c r="B1710" t="s">
        <v>416</v>
      </c>
      <c r="C1710" t="str">
        <f>_xll.BDP("680418DD Muni","INSURANCE_STATUS")</f>
        <v>#N/A Requesting Data...</v>
      </c>
      <c r="D1710" t="str">
        <f>_xll.BDP("680418DD Muni","STATE_CODE")</f>
        <v>#N/A Requesting Data...</v>
      </c>
      <c r="E1710" t="str">
        <f>_xll.BDP("680418DD Muni","COUNTY_LOCATION_ISSUER")</f>
        <v>#N/A Requesting Data...</v>
      </c>
      <c r="F1710" t="str">
        <f>_xll.BDP("680418DD Muni","DUR_ADJ_MID")</f>
        <v>#N/A Requesting Data...</v>
      </c>
      <c r="G1710" t="str">
        <f>_xll.BDP("680418DD Muni","SPREAD_AT_ISSUANCE_TO_WORST")</f>
        <v>#N/A Requesting Data...</v>
      </c>
      <c r="H1710" t="str">
        <f>_xll.BDP("680418DD Muni","ISSUE_DT")</f>
        <v>#N/A Requesting Data...</v>
      </c>
      <c r="I1710" t="str">
        <f>_xll.BDS("680418DD Muni","MUNI_PURPOSE_SCHED", "aggregate=y")</f>
        <v>#N/A Requesting Data...</v>
      </c>
      <c r="J1710" t="str">
        <f>_xll.BDP("680418DD Muni","CPN")</f>
        <v>#N/A Requesting Data...</v>
      </c>
      <c r="K1710" t="str">
        <f>_xll.BDP("680418DD Muni","MATURITY")</f>
        <v>#N/A Requesting Data...</v>
      </c>
      <c r="L1710">
        <v>310000</v>
      </c>
      <c r="M1710" t="str">
        <f>_xll.BDP("680418DD Muni","YIELD_ON_ISSUE_DATE")</f>
        <v>#N/A Requesting Data...</v>
      </c>
      <c r="N1710" t="str">
        <f>_xll.BDP("680418DD Muni","YTW_SPREAD_TO_MATURITY_AT_ISSU")</f>
        <v>#N/A Requesting Data...</v>
      </c>
      <c r="O1710" t="str">
        <f>_xll.BDP("680418DD Muni","BVAL_MID_YTM")</f>
        <v>#N/A Requesting Data...</v>
      </c>
      <c r="P1710" t="str">
        <f>_xll.BDP("680418DD Muni","MUNI_TAX_PROV")</f>
        <v>#N/A Requesting Data...</v>
      </c>
      <c r="Q1710" t="str">
        <f>_xll.BDP("680418DD Muni","MUNI_FED_TAX")</f>
        <v>#N/A Requesting Data...</v>
      </c>
      <c r="R1710" t="str">
        <f>_xll.BDP("680418DD Muni","MUNI_MSRB_VOLUME")</f>
        <v>#N/A Requesting Data...</v>
      </c>
      <c r="S1710" t="str">
        <f>_xll.BDP("680418DD Muni","BB_COMPOSITE")</f>
        <v>#N/A Requesting Data...</v>
      </c>
      <c r="T1710" t="str">
        <f>_xll.BDP("680418DD Muni","LQA_LIQUIDITY_SCORE")</f>
        <v>#N/A Requesting Data...</v>
      </c>
    </row>
    <row r="1711" spans="1:20" x14ac:dyDescent="0.25">
      <c r="A1711" t="str">
        <f>_xll.BDP("680418DE Muni","ID_CUSIP")</f>
        <v>#N/A Requesting Data...</v>
      </c>
      <c r="B1711" t="s">
        <v>416</v>
      </c>
      <c r="C1711" t="str">
        <f>_xll.BDP("680418DE Muni","INSURANCE_STATUS")</f>
        <v>#N/A Requesting Data...</v>
      </c>
      <c r="D1711" t="str">
        <f>_xll.BDP("680418DE Muni","STATE_CODE")</f>
        <v>#N/A Requesting Data...</v>
      </c>
      <c r="E1711" t="str">
        <f>_xll.BDP("680418DE Muni","COUNTY_LOCATION_ISSUER")</f>
        <v>#N/A Requesting Data...</v>
      </c>
      <c r="F1711" t="str">
        <f>_xll.BDP("680418DE Muni","DUR_ADJ_MID")</f>
        <v>#N/A Requesting Data...</v>
      </c>
      <c r="G1711" t="str">
        <f>_xll.BDP("680418DE Muni","SPREAD_AT_ISSUANCE_TO_WORST")</f>
        <v>#N/A Requesting Data...</v>
      </c>
      <c r="H1711" t="str">
        <f>_xll.BDP("680418DE Muni","ISSUE_DT")</f>
        <v>#N/A Requesting Data...</v>
      </c>
      <c r="I1711" t="str">
        <f>_xll.BDS("680418DE Muni","MUNI_PURPOSE_SCHED", "aggregate=y")</f>
        <v>#N/A Requesting Data...</v>
      </c>
      <c r="J1711" t="str">
        <f>_xll.BDP("680418DE Muni","CPN")</f>
        <v>#N/A Requesting Data...</v>
      </c>
      <c r="K1711" t="str">
        <f>_xll.BDP("680418DE Muni","MATURITY")</f>
        <v>#N/A Requesting Data...</v>
      </c>
      <c r="L1711">
        <v>320000</v>
      </c>
      <c r="M1711" t="str">
        <f>_xll.BDP("680418DE Muni","YIELD_ON_ISSUE_DATE")</f>
        <v>#N/A Requesting Data...</v>
      </c>
      <c r="N1711" t="str">
        <f>_xll.BDP("680418DE Muni","YTW_SPREAD_TO_MATURITY_AT_ISSU")</f>
        <v>#N/A Requesting Data...</v>
      </c>
      <c r="O1711" t="str">
        <f>_xll.BDP("680418DE Muni","BVAL_MID_YTM")</f>
        <v>#N/A Requesting Data...</v>
      </c>
      <c r="P1711" t="str">
        <f>_xll.BDP("680418DE Muni","MUNI_TAX_PROV")</f>
        <v>#N/A Requesting Data...</v>
      </c>
      <c r="Q1711" t="str">
        <f>_xll.BDP("680418DE Muni","MUNI_FED_TAX")</f>
        <v>#N/A Requesting Data...</v>
      </c>
      <c r="R1711" t="str">
        <f>_xll.BDP("680418DE Muni","MUNI_MSRB_VOLUME")</f>
        <v>#N/A Requesting Data...</v>
      </c>
      <c r="S1711" t="str">
        <f>_xll.BDP("680418DE Muni","BB_COMPOSITE")</f>
        <v>#N/A Requesting Data...</v>
      </c>
      <c r="T1711" t="str">
        <f>_xll.BDP("680418DE Muni","LQA_LIQUIDITY_SCORE")</f>
        <v>#N/A Requesting Data...</v>
      </c>
    </row>
    <row r="1712" spans="1:20" x14ac:dyDescent="0.25">
      <c r="A1712" t="str">
        <f>_xll.BDP("680418DF Muni","ID_CUSIP")</f>
        <v>#N/A Requesting Data...</v>
      </c>
      <c r="B1712" t="s">
        <v>416</v>
      </c>
      <c r="C1712" t="str">
        <f>_xll.BDP("680418DF Muni","INSURANCE_STATUS")</f>
        <v>#N/A Requesting Data...</v>
      </c>
      <c r="D1712" t="str">
        <f>_xll.BDP("680418DF Muni","STATE_CODE")</f>
        <v>#N/A Requesting Data...</v>
      </c>
      <c r="E1712" t="str">
        <f>_xll.BDP("680418DF Muni","COUNTY_LOCATION_ISSUER")</f>
        <v>#N/A Requesting Data...</v>
      </c>
      <c r="F1712" t="str">
        <f>_xll.BDP("680418DF Muni","DUR_ADJ_MID")</f>
        <v>#N/A Requesting Data...</v>
      </c>
      <c r="G1712" t="str">
        <f>_xll.BDP("680418DF Muni","SPREAD_AT_ISSUANCE_TO_WORST")</f>
        <v>#N/A Requesting Data...</v>
      </c>
      <c r="H1712" t="str">
        <f>_xll.BDP("680418DF Muni","ISSUE_DT")</f>
        <v>#N/A Requesting Data...</v>
      </c>
      <c r="I1712" t="str">
        <f>_xll.BDS("680418DF Muni","MUNI_PURPOSE_SCHED", "aggregate=y")</f>
        <v>#N/A Requesting Data...</v>
      </c>
      <c r="J1712" t="str">
        <f>_xll.BDP("680418DF Muni","CPN")</f>
        <v>#N/A Requesting Data...</v>
      </c>
      <c r="K1712" t="str">
        <f>_xll.BDP("680418DF Muni","MATURITY")</f>
        <v>#N/A Requesting Data...</v>
      </c>
      <c r="L1712">
        <v>330000</v>
      </c>
      <c r="M1712" t="str">
        <f>_xll.BDP("680418DF Muni","YIELD_ON_ISSUE_DATE")</f>
        <v>#N/A Requesting Data...</v>
      </c>
      <c r="N1712" t="str">
        <f>_xll.BDP("680418DF Muni","YTW_SPREAD_TO_MATURITY_AT_ISSU")</f>
        <v>#N/A Requesting Data...</v>
      </c>
      <c r="O1712" t="str">
        <f>_xll.BDP("680418DF Muni","BVAL_MID_YTM")</f>
        <v>#N/A Requesting Data...</v>
      </c>
      <c r="P1712" t="str">
        <f>_xll.BDP("680418DF Muni","MUNI_TAX_PROV")</f>
        <v>#N/A Requesting Data...</v>
      </c>
      <c r="Q1712" t="str">
        <f>_xll.BDP("680418DF Muni","MUNI_FED_TAX")</f>
        <v>#N/A Requesting Data...</v>
      </c>
      <c r="R1712" t="str">
        <f>_xll.BDP("680418DF Muni","MUNI_MSRB_VOLUME")</f>
        <v>#N/A Requesting Data...</v>
      </c>
      <c r="S1712" t="str">
        <f>_xll.BDP("680418DF Muni","BB_COMPOSITE")</f>
        <v>#N/A Requesting Data...</v>
      </c>
      <c r="T1712" t="str">
        <f>_xll.BDP("680418DF Muni","LQA_LIQUIDITY_SCORE")</f>
        <v>#N/A Requesting Data...</v>
      </c>
    </row>
    <row r="1713" spans="1:20" x14ac:dyDescent="0.25">
      <c r="A1713" t="str">
        <f>_xll.BDP("680418DG Muni","ID_CUSIP")</f>
        <v>#N/A Requesting Data...</v>
      </c>
      <c r="B1713" t="s">
        <v>416</v>
      </c>
      <c r="C1713" t="str">
        <f>_xll.BDP("680418DG Muni","INSURANCE_STATUS")</f>
        <v>#N/A Requesting Data...</v>
      </c>
      <c r="D1713" t="str">
        <f>_xll.BDP("680418DG Muni","STATE_CODE")</f>
        <v>#N/A Requesting Data...</v>
      </c>
      <c r="E1713" t="str">
        <f>_xll.BDP("680418DG Muni","COUNTY_LOCATION_ISSUER")</f>
        <v>#N/A Requesting Data...</v>
      </c>
      <c r="F1713" t="str">
        <f>_xll.BDP("680418DG Muni","DUR_ADJ_MID")</f>
        <v>#N/A Requesting Data...</v>
      </c>
      <c r="G1713" t="str">
        <f>_xll.BDP("680418DG Muni","SPREAD_AT_ISSUANCE_TO_WORST")</f>
        <v>#N/A Requesting Data...</v>
      </c>
      <c r="H1713" t="str">
        <f>_xll.BDP("680418DG Muni","ISSUE_DT")</f>
        <v>#N/A Requesting Data...</v>
      </c>
      <c r="I1713" t="str">
        <f>_xll.BDS("680418DG Muni","MUNI_PURPOSE_SCHED", "aggregate=y")</f>
        <v>#N/A Requesting Data...</v>
      </c>
      <c r="J1713" t="str">
        <f>_xll.BDP("680418DG Muni","CPN")</f>
        <v>#N/A Requesting Data...</v>
      </c>
      <c r="K1713" t="str">
        <f>_xll.BDP("680418DG Muni","MATURITY")</f>
        <v>#N/A Requesting Data...</v>
      </c>
      <c r="L1713">
        <v>335000</v>
      </c>
      <c r="M1713" t="str">
        <f>_xll.BDP("680418DG Muni","YIELD_ON_ISSUE_DATE")</f>
        <v>#N/A Requesting Data...</v>
      </c>
      <c r="N1713" t="str">
        <f>_xll.BDP("680418DG Muni","YTW_SPREAD_TO_MATURITY_AT_ISSU")</f>
        <v>#N/A Requesting Data...</v>
      </c>
      <c r="O1713" t="str">
        <f>_xll.BDP("680418DG Muni","BVAL_MID_YTM")</f>
        <v>#N/A Requesting Data...</v>
      </c>
      <c r="P1713" t="str">
        <f>_xll.BDP("680418DG Muni","MUNI_TAX_PROV")</f>
        <v>#N/A Requesting Data...</v>
      </c>
      <c r="Q1713" t="str">
        <f>_xll.BDP("680418DG Muni","MUNI_FED_TAX")</f>
        <v>#N/A Requesting Data...</v>
      </c>
      <c r="R1713" t="str">
        <f>_xll.BDP("680418DG Muni","MUNI_MSRB_VOLUME")</f>
        <v>#N/A Requesting Data...</v>
      </c>
      <c r="S1713" t="str">
        <f>_xll.BDP("680418DG Muni","BB_COMPOSITE")</f>
        <v>#N/A Requesting Data...</v>
      </c>
      <c r="T1713" t="str">
        <f>_xll.BDP("680418DG Muni","LQA_LIQUIDITY_SCORE")</f>
        <v>#N/A Requesting Data...</v>
      </c>
    </row>
    <row r="1714" spans="1:20" x14ac:dyDescent="0.25">
      <c r="A1714" t="str">
        <f>_xll.BDP("59266TPB Muni","ID_CUSIP")</f>
        <v>#N/A Requesting Data...</v>
      </c>
      <c r="B1714" t="s">
        <v>415</v>
      </c>
      <c r="C1714" t="str">
        <f>_xll.BDP("59266TPB Muni","INSURANCE_STATUS")</f>
        <v>#N/A Requesting Data...</v>
      </c>
      <c r="D1714" t="str">
        <f>_xll.BDP("59266TPB Muni","STATE_CODE")</f>
        <v>#N/A Requesting Data...</v>
      </c>
      <c r="E1714" t="str">
        <f>_xll.BDP("59266TPB Muni","COUNTY_LOCATION_ISSUER")</f>
        <v>#N/A Requesting Data...</v>
      </c>
      <c r="F1714" t="str">
        <f>_xll.BDP("59266TPB Muni","DUR_ADJ_MID")</f>
        <v>#N/A Requesting Data...</v>
      </c>
      <c r="G1714" t="str">
        <f>_xll.BDP("59266TPB Muni","SPREAD_AT_ISSUANCE_TO_WORST")</f>
        <v>#N/A Requesting Data...</v>
      </c>
      <c r="H1714" t="str">
        <f>_xll.BDP("59266TPB Muni","ISSUE_DT")</f>
        <v>#N/A Requesting Data...</v>
      </c>
      <c r="I1714" t="str">
        <f>_xll.BDS("59266TPB Muni","MUNI_PURPOSE_SCHED", "aggregate=y")</f>
        <v>#N/A Requesting Data...</v>
      </c>
      <c r="J1714" t="str">
        <f>_xll.BDP("59266TPB Muni","CPN")</f>
        <v>#N/A Requesting Data...</v>
      </c>
      <c r="K1714" t="str">
        <f>_xll.BDP("59266TPB Muni","MATURITY")</f>
        <v>#N/A Requesting Data...</v>
      </c>
      <c r="L1714">
        <v>6605000</v>
      </c>
      <c r="M1714" t="str">
        <f>_xll.BDP("59266TPB Muni","YIELD_ON_ISSUE_DATE")</f>
        <v>#N/A Requesting Data...</v>
      </c>
      <c r="N1714" t="str">
        <f>_xll.BDP("59266TPB Muni","YTW_SPREAD_TO_MATURITY_AT_ISSU")</f>
        <v>#N/A Requesting Data...</v>
      </c>
      <c r="O1714" t="str">
        <f>_xll.BDP("59266TPB Muni","BVAL_MID_YTM")</f>
        <v>#N/A Requesting Data...</v>
      </c>
      <c r="P1714" t="str">
        <f>_xll.BDP("59266TPB Muni","MUNI_TAX_PROV")</f>
        <v>#N/A Requesting Data...</v>
      </c>
      <c r="Q1714" t="str">
        <f>_xll.BDP("59266TPB Muni","MUNI_FED_TAX")</f>
        <v>#N/A Requesting Data...</v>
      </c>
      <c r="R1714" t="str">
        <f>_xll.BDP("59266TPB Muni","MUNI_MSRB_VOLUME")</f>
        <v>#N/A Requesting Data...</v>
      </c>
      <c r="S1714" t="str">
        <f>_xll.BDP("59266TPB Muni","BB_COMPOSITE")</f>
        <v>#N/A Requesting Data...</v>
      </c>
      <c r="T1714" t="str">
        <f>_xll.BDP("59266TPB Muni","LQA_LIQUIDITY_SCORE")</f>
        <v>#N/A Requesting Data...</v>
      </c>
    </row>
    <row r="1715" spans="1:20" x14ac:dyDescent="0.25">
      <c r="A1715" t="str">
        <f>_xll.BDP("721595HJ Muni","ID_CUSIP")</f>
        <v>#N/A Requesting Data...</v>
      </c>
      <c r="B1715" t="s">
        <v>417</v>
      </c>
      <c r="C1715" t="str">
        <f>_xll.BDP("721595HJ Muni","INSURANCE_STATUS")</f>
        <v>#N/A Requesting Data...</v>
      </c>
      <c r="D1715" t="str">
        <f>_xll.BDP("721595HJ Muni","STATE_CODE")</f>
        <v>#N/A Requesting Data...</v>
      </c>
      <c r="E1715" t="str">
        <f>_xll.BDP("721595HJ Muni","COUNTY_LOCATION_ISSUER")</f>
        <v>#N/A Requesting Data...</v>
      </c>
      <c r="F1715" t="str">
        <f>_xll.BDP("721595HJ Muni","DUR_ADJ_MID")</f>
        <v>#N/A Requesting Data...</v>
      </c>
      <c r="G1715" t="str">
        <f>_xll.BDP("721595HJ Muni","SPREAD_AT_ISSUANCE_TO_WORST")</f>
        <v>#N/A Requesting Data...</v>
      </c>
      <c r="H1715" t="str">
        <f>_xll.BDP("721595HJ Muni","ISSUE_DT")</f>
        <v>#N/A Requesting Data...</v>
      </c>
      <c r="I1715" t="str">
        <f>_xll.BDS("721595HJ Muni","MUNI_PURPOSE_SCHED", "aggregate=y")</f>
        <v>#N/A Requesting Data...</v>
      </c>
      <c r="J1715" t="str">
        <f>_xll.BDP("721595HJ Muni","CPN")</f>
        <v>#N/A Requesting Data...</v>
      </c>
      <c r="K1715" t="str">
        <f>_xll.BDP("721595HJ Muni","MATURITY")</f>
        <v>#N/A Requesting Data...</v>
      </c>
      <c r="L1715">
        <v>135000</v>
      </c>
      <c r="M1715" t="str">
        <f>_xll.BDP("721595HJ Muni","YIELD_ON_ISSUE_DATE")</f>
        <v>#N/A Requesting Data...</v>
      </c>
      <c r="N1715" t="str">
        <f>_xll.BDP("721595HJ Muni","YTW_SPREAD_TO_MATURITY_AT_ISSU")</f>
        <v>#N/A Requesting Data...</v>
      </c>
      <c r="O1715" t="str">
        <f>_xll.BDP("721595HJ Muni","BVAL_MID_YTM")</f>
        <v>#N/A Requesting Data...</v>
      </c>
      <c r="P1715" t="str">
        <f>_xll.BDP("721595HJ Muni","MUNI_TAX_PROV")</f>
        <v>#N/A Requesting Data...</v>
      </c>
      <c r="Q1715" t="str">
        <f>_xll.BDP("721595HJ Muni","MUNI_FED_TAX")</f>
        <v>#N/A Requesting Data...</v>
      </c>
      <c r="R1715" t="str">
        <f>_xll.BDP("721595HJ Muni","MUNI_MSRB_VOLUME")</f>
        <v>#N/A Requesting Data...</v>
      </c>
      <c r="S1715" t="str">
        <f>_xll.BDP("721595HJ Muni","BB_COMPOSITE")</f>
        <v>#N/A Requesting Data...</v>
      </c>
      <c r="T1715" t="str">
        <f>_xll.BDP("721595HJ Muni","LQA_LIQUIDITY_SCORE")</f>
        <v>#N/A Requesting Data...</v>
      </c>
    </row>
    <row r="1716" spans="1:20" x14ac:dyDescent="0.25">
      <c r="A1716" t="str">
        <f>_xll.BDP("722494QR Muni","ID_CUSIP")</f>
        <v>#N/A Requesting Data...</v>
      </c>
      <c r="B1716" t="s">
        <v>418</v>
      </c>
      <c r="C1716" t="str">
        <f>_xll.BDP("722494QR Muni","INSURANCE_STATUS")</f>
        <v>#N/A Requesting Data...</v>
      </c>
      <c r="D1716" t="str">
        <f>_xll.BDP("722494QR Muni","STATE_CODE")</f>
        <v>#N/A Requesting Data...</v>
      </c>
      <c r="E1716" t="str">
        <f>_xll.BDP("722494QR Muni","COUNTY_LOCATION_ISSUER")</f>
        <v>#N/A Requesting Data...</v>
      </c>
      <c r="F1716" t="str">
        <f>_xll.BDP("722494QR Muni","DUR_ADJ_MID")</f>
        <v>#N/A Requesting Data...</v>
      </c>
      <c r="G1716" t="str">
        <f>_xll.BDP("722494QR Muni","SPREAD_AT_ISSUANCE_TO_WORST")</f>
        <v>#N/A Requesting Data...</v>
      </c>
      <c r="H1716" t="str">
        <f>_xll.BDP("722494QR Muni","ISSUE_DT")</f>
        <v>#N/A Requesting Data...</v>
      </c>
      <c r="I1716" t="str">
        <f>_xll.BDS("722494QR Muni","MUNI_PURPOSE_SCHED", "aggregate=y")</f>
        <v>#N/A Requesting Data...</v>
      </c>
      <c r="J1716" t="str">
        <f>_xll.BDP("722494QR Muni","CPN")</f>
        <v>#N/A Requesting Data...</v>
      </c>
      <c r="K1716" t="str">
        <f>_xll.BDP("722494QR Muni","MATURITY")</f>
        <v>#N/A Requesting Data...</v>
      </c>
      <c r="L1716">
        <v>110000</v>
      </c>
      <c r="M1716" t="str">
        <f>_xll.BDP("722494QR Muni","YIELD_ON_ISSUE_DATE")</f>
        <v>#N/A Requesting Data...</v>
      </c>
      <c r="N1716" t="str">
        <f>_xll.BDP("722494QR Muni","YTW_SPREAD_TO_MATURITY_AT_ISSU")</f>
        <v>#N/A Requesting Data...</v>
      </c>
      <c r="O1716" t="str">
        <f>_xll.BDP("722494QR Muni","BVAL_MID_YTM")</f>
        <v>#N/A Requesting Data...</v>
      </c>
      <c r="P1716" t="str">
        <f>_xll.BDP("722494QR Muni","MUNI_TAX_PROV")</f>
        <v>#N/A Requesting Data...</v>
      </c>
      <c r="Q1716" t="str">
        <f>_xll.BDP("722494QR Muni","MUNI_FED_TAX")</f>
        <v>#N/A Requesting Data...</v>
      </c>
      <c r="R1716" t="str">
        <f>_xll.BDP("722494QR Muni","MUNI_MSRB_VOLUME")</f>
        <v>#N/A Requesting Data...</v>
      </c>
      <c r="S1716" t="str">
        <f>_xll.BDP("722494QR Muni","BB_COMPOSITE")</f>
        <v>#N/A Requesting Data...</v>
      </c>
      <c r="T1716" t="str">
        <f>_xll.BDP("722494QR Muni","LQA_LIQUIDITY_SCORE")</f>
        <v>#N/A Requesting Data...</v>
      </c>
    </row>
    <row r="1717" spans="1:20" x14ac:dyDescent="0.25">
      <c r="A1717" t="str">
        <f>_xll.BDP("724122VA Muni","ID_CUSIP")</f>
        <v>#N/A Requesting Data...</v>
      </c>
      <c r="B1717" t="s">
        <v>419</v>
      </c>
      <c r="C1717" t="str">
        <f>_xll.BDP("724122VA Muni","INSURANCE_STATUS")</f>
        <v>#N/A Requesting Data...</v>
      </c>
      <c r="D1717" t="str">
        <f>_xll.BDP("724122VA Muni","STATE_CODE")</f>
        <v>#N/A Requesting Data...</v>
      </c>
      <c r="E1717" t="str">
        <f>_xll.BDP("724122VA Muni","COUNTY_LOCATION_ISSUER")</f>
        <v>#N/A Requesting Data...</v>
      </c>
      <c r="F1717" t="str">
        <f>_xll.BDP("724122VA Muni","DUR_ADJ_MID")</f>
        <v>#N/A Requesting Data...</v>
      </c>
      <c r="G1717" t="str">
        <f>_xll.BDP("724122VA Muni","SPREAD_AT_ISSUANCE_TO_WORST")</f>
        <v>#N/A Requesting Data...</v>
      </c>
      <c r="H1717" t="str">
        <f>_xll.BDP("724122VA Muni","ISSUE_DT")</f>
        <v>#N/A Requesting Data...</v>
      </c>
      <c r="I1717" t="str">
        <f>_xll.BDS("724122VA Muni","MUNI_PURPOSE_SCHED", "aggregate=y")</f>
        <v>#N/A Requesting Data...</v>
      </c>
      <c r="J1717" t="str">
        <f>_xll.BDP("724122VA Muni","CPN")</f>
        <v>#N/A Requesting Data...</v>
      </c>
      <c r="K1717" t="str">
        <f>_xll.BDP("724122VA Muni","MATURITY")</f>
        <v>#N/A Requesting Data...</v>
      </c>
      <c r="L1717">
        <v>70000</v>
      </c>
      <c r="M1717" t="str">
        <f>_xll.BDP("724122VA Muni","YIELD_ON_ISSUE_DATE")</f>
        <v>#N/A Requesting Data...</v>
      </c>
      <c r="N1717" t="str">
        <f>_xll.BDP("724122VA Muni","YTW_SPREAD_TO_MATURITY_AT_ISSU")</f>
        <v>#N/A Requesting Data...</v>
      </c>
      <c r="O1717" t="str">
        <f>_xll.BDP("724122VA Muni","BVAL_MID_YTM")</f>
        <v>#N/A Requesting Data...</v>
      </c>
      <c r="P1717" t="str">
        <f>_xll.BDP("724122VA Muni","MUNI_TAX_PROV")</f>
        <v>#N/A Requesting Data...</v>
      </c>
      <c r="Q1717" t="str">
        <f>_xll.BDP("724122VA Muni","MUNI_FED_TAX")</f>
        <v>#N/A Requesting Data...</v>
      </c>
      <c r="R1717" t="str">
        <f>_xll.BDP("724122VA Muni","MUNI_MSRB_VOLUME")</f>
        <v>#N/A Requesting Data...</v>
      </c>
      <c r="S1717" t="str">
        <f>_xll.BDP("724122VA Muni","BB_COMPOSITE")</f>
        <v>#N/A Requesting Data...</v>
      </c>
      <c r="T1717" t="str">
        <f>_xll.BDP("724122VA Muni","LQA_LIQUIDITY_SCORE")</f>
        <v>#N/A Requesting Data...</v>
      </c>
    </row>
    <row r="1718" spans="1:20" x14ac:dyDescent="0.25">
      <c r="A1718" t="str">
        <f>_xll.BDP("724122VB Muni","ID_CUSIP")</f>
        <v>#N/A Requesting Data...</v>
      </c>
      <c r="B1718" t="s">
        <v>419</v>
      </c>
      <c r="C1718" t="str">
        <f>_xll.BDP("724122VB Muni","INSURANCE_STATUS")</f>
        <v>#N/A Requesting Data...</v>
      </c>
      <c r="D1718" t="str">
        <f>_xll.BDP("724122VB Muni","STATE_CODE")</f>
        <v>#N/A Requesting Data...</v>
      </c>
      <c r="E1718" t="str">
        <f>_xll.BDP("724122VB Muni","COUNTY_LOCATION_ISSUER")</f>
        <v>#N/A Requesting Data...</v>
      </c>
      <c r="F1718" t="str">
        <f>_xll.BDP("724122VB Muni","DUR_ADJ_MID")</f>
        <v>#N/A Requesting Data...</v>
      </c>
      <c r="G1718" t="str">
        <f>_xll.BDP("724122VB Muni","SPREAD_AT_ISSUANCE_TO_WORST")</f>
        <v>#N/A Requesting Data...</v>
      </c>
      <c r="H1718" t="str">
        <f>_xll.BDP("724122VB Muni","ISSUE_DT")</f>
        <v>#N/A Requesting Data...</v>
      </c>
      <c r="I1718" t="str">
        <f>_xll.BDS("724122VB Muni","MUNI_PURPOSE_SCHED", "aggregate=y")</f>
        <v>#N/A Requesting Data...</v>
      </c>
      <c r="J1718" t="str">
        <f>_xll.BDP("724122VB Muni","CPN")</f>
        <v>#N/A Requesting Data...</v>
      </c>
      <c r="K1718" t="str">
        <f>_xll.BDP("724122VB Muni","MATURITY")</f>
        <v>#N/A Requesting Data...</v>
      </c>
      <c r="L1718">
        <v>70000</v>
      </c>
      <c r="M1718" t="str">
        <f>_xll.BDP("724122VB Muni","YIELD_ON_ISSUE_DATE")</f>
        <v>#N/A Requesting Data...</v>
      </c>
      <c r="N1718" t="str">
        <f>_xll.BDP("724122VB Muni","YTW_SPREAD_TO_MATURITY_AT_ISSU")</f>
        <v>#N/A Requesting Data...</v>
      </c>
      <c r="O1718" t="str">
        <f>_xll.BDP("724122VB Muni","BVAL_MID_YTM")</f>
        <v>#N/A Requesting Data...</v>
      </c>
      <c r="P1718" t="str">
        <f>_xll.BDP("724122VB Muni","MUNI_TAX_PROV")</f>
        <v>#N/A Requesting Data...</v>
      </c>
      <c r="Q1718" t="str">
        <f>_xll.BDP("724122VB Muni","MUNI_FED_TAX")</f>
        <v>#N/A Requesting Data...</v>
      </c>
      <c r="R1718" t="str">
        <f>_xll.BDP("724122VB Muni","MUNI_MSRB_VOLUME")</f>
        <v>#N/A Requesting Data...</v>
      </c>
      <c r="S1718" t="str">
        <f>_xll.BDP("724122VB Muni","BB_COMPOSITE")</f>
        <v>#N/A Requesting Data...</v>
      </c>
      <c r="T1718" t="str">
        <f>_xll.BDP("724122VB Muni","LQA_LIQUIDITY_SCORE")</f>
        <v>#N/A Requesting Data...</v>
      </c>
    </row>
    <row r="1719" spans="1:20" x14ac:dyDescent="0.25">
      <c r="A1719" t="str">
        <f>_xll.BDP("724122VE Muni","ID_CUSIP")</f>
        <v>#N/A Requesting Data...</v>
      </c>
      <c r="B1719" t="s">
        <v>419</v>
      </c>
      <c r="C1719" t="str">
        <f>_xll.BDP("724122VE Muni","INSURANCE_STATUS")</f>
        <v>#N/A Requesting Data...</v>
      </c>
      <c r="D1719" t="str">
        <f>_xll.BDP("724122VE Muni","STATE_CODE")</f>
        <v>#N/A Requesting Data...</v>
      </c>
      <c r="E1719" t="str">
        <f>_xll.BDP("724122VE Muni","COUNTY_LOCATION_ISSUER")</f>
        <v>#N/A Requesting Data...</v>
      </c>
      <c r="F1719" t="str">
        <f>_xll.BDP("724122VE Muni","DUR_ADJ_MID")</f>
        <v>#N/A Requesting Data...</v>
      </c>
      <c r="G1719" t="str">
        <f>_xll.BDP("724122VE Muni","SPREAD_AT_ISSUANCE_TO_WORST")</f>
        <v>#N/A Requesting Data...</v>
      </c>
      <c r="H1719" t="str">
        <f>_xll.BDP("724122VE Muni","ISSUE_DT")</f>
        <v>#N/A Requesting Data...</v>
      </c>
      <c r="I1719" t="str">
        <f>_xll.BDS("724122VE Muni","MUNI_PURPOSE_SCHED", "aggregate=y")</f>
        <v>#N/A Requesting Data...</v>
      </c>
      <c r="J1719" t="str">
        <f>_xll.BDP("724122VE Muni","CPN")</f>
        <v>#N/A Requesting Data...</v>
      </c>
      <c r="K1719" t="str">
        <f>_xll.BDP("724122VE Muni","MATURITY")</f>
        <v>#N/A Requesting Data...</v>
      </c>
      <c r="L1719">
        <v>70000</v>
      </c>
      <c r="M1719" t="str">
        <f>_xll.BDP("724122VE Muni","YIELD_ON_ISSUE_DATE")</f>
        <v>#N/A Requesting Data...</v>
      </c>
      <c r="N1719" t="str">
        <f>_xll.BDP("724122VE Muni","YTW_SPREAD_TO_MATURITY_AT_ISSU")</f>
        <v>#N/A Requesting Data...</v>
      </c>
      <c r="O1719" t="str">
        <f>_xll.BDP("724122VE Muni","BVAL_MID_YTM")</f>
        <v>#N/A Requesting Data...</v>
      </c>
      <c r="P1719" t="str">
        <f>_xll.BDP("724122VE Muni","MUNI_TAX_PROV")</f>
        <v>#N/A Requesting Data...</v>
      </c>
      <c r="Q1719" t="str">
        <f>_xll.BDP("724122VE Muni","MUNI_FED_TAX")</f>
        <v>#N/A Requesting Data...</v>
      </c>
      <c r="R1719" t="str">
        <f>_xll.BDP("724122VE Muni","MUNI_MSRB_VOLUME")</f>
        <v>#N/A Requesting Data...</v>
      </c>
      <c r="S1719" t="str">
        <f>_xll.BDP("724122VE Muni","BB_COMPOSITE")</f>
        <v>#N/A Requesting Data...</v>
      </c>
      <c r="T1719" t="str">
        <f>_xll.BDP("724122VE Muni","LQA_LIQUIDITY_SCORE")</f>
        <v>#N/A Requesting Data...</v>
      </c>
    </row>
    <row r="1720" spans="1:20" x14ac:dyDescent="0.25">
      <c r="A1720" t="str">
        <f>_xll.BDP("768738XJ Muni","ID_CUSIP")</f>
        <v>#N/A Requesting Data...</v>
      </c>
      <c r="B1720" t="s">
        <v>420</v>
      </c>
      <c r="C1720" t="str">
        <f>_xll.BDP("768738XJ Muni","INSURANCE_STATUS")</f>
        <v>#N/A Requesting Data...</v>
      </c>
      <c r="D1720" t="str">
        <f>_xll.BDP("768738XJ Muni","STATE_CODE")</f>
        <v>#N/A Requesting Data...</v>
      </c>
      <c r="E1720" t="str">
        <f>_xll.BDP("768738XJ Muni","COUNTY_LOCATION_ISSUER")</f>
        <v>#N/A Requesting Data...</v>
      </c>
      <c r="F1720" t="str">
        <f>_xll.BDP("768738XJ Muni","DUR_ADJ_MID")</f>
        <v>#N/A Requesting Data...</v>
      </c>
      <c r="G1720" t="str">
        <f>_xll.BDP("768738XJ Muni","SPREAD_AT_ISSUANCE_TO_WORST")</f>
        <v>#N/A Requesting Data...</v>
      </c>
      <c r="H1720" t="str">
        <f>_xll.BDP("768738XJ Muni","ISSUE_DT")</f>
        <v>#N/A Requesting Data...</v>
      </c>
      <c r="I1720" t="str">
        <f>_xll.BDS("768738XJ Muni","MUNI_PURPOSE_SCHED", "aggregate=y")</f>
        <v>#N/A Requesting Data...</v>
      </c>
      <c r="J1720" t="str">
        <f>_xll.BDP("768738XJ Muni","CPN")</f>
        <v>#N/A Requesting Data...</v>
      </c>
      <c r="K1720" t="str">
        <f>_xll.BDP("768738XJ Muni","MATURITY")</f>
        <v>#N/A Requesting Data...</v>
      </c>
      <c r="L1720">
        <v>310000</v>
      </c>
      <c r="M1720" t="str">
        <f>_xll.BDP("768738XJ Muni","YIELD_ON_ISSUE_DATE")</f>
        <v>#N/A Requesting Data...</v>
      </c>
      <c r="N1720" t="str">
        <f>_xll.BDP("768738XJ Muni","YTW_SPREAD_TO_MATURITY_AT_ISSU")</f>
        <v>#N/A Requesting Data...</v>
      </c>
      <c r="O1720" t="str">
        <f>_xll.BDP("768738XJ Muni","BVAL_MID_YTM")</f>
        <v>#N/A Requesting Data...</v>
      </c>
      <c r="P1720" t="str">
        <f>_xll.BDP("768738XJ Muni","MUNI_TAX_PROV")</f>
        <v>#N/A Requesting Data...</v>
      </c>
      <c r="Q1720" t="str">
        <f>_xll.BDP("768738XJ Muni","MUNI_FED_TAX")</f>
        <v>#N/A Requesting Data...</v>
      </c>
      <c r="R1720" t="str">
        <f>_xll.BDP("768738XJ Muni","MUNI_MSRB_VOLUME")</f>
        <v>#N/A Requesting Data...</v>
      </c>
      <c r="S1720" t="str">
        <f>_xll.BDP("768738XJ Muni","BB_COMPOSITE")</f>
        <v>#N/A Requesting Data...</v>
      </c>
      <c r="T1720" t="str">
        <f>_xll.BDP("768738XJ Muni","LQA_LIQUIDITY_SCORE")</f>
        <v>#N/A Requesting Data...</v>
      </c>
    </row>
    <row r="1721" spans="1:20" x14ac:dyDescent="0.25">
      <c r="A1721" t="str">
        <f>_xll.BDP("768738XK Muni","ID_CUSIP")</f>
        <v>#N/A Requesting Data...</v>
      </c>
      <c r="B1721" t="s">
        <v>420</v>
      </c>
      <c r="C1721" t="str">
        <f>_xll.BDP("768738XK Muni","INSURANCE_STATUS")</f>
        <v>#N/A Requesting Data...</v>
      </c>
      <c r="D1721" t="str">
        <f>_xll.BDP("768738XK Muni","STATE_CODE")</f>
        <v>#N/A Requesting Data...</v>
      </c>
      <c r="E1721" t="str">
        <f>_xll.BDP("768738XK Muni","COUNTY_LOCATION_ISSUER")</f>
        <v>#N/A Requesting Data...</v>
      </c>
      <c r="F1721" t="str">
        <f>_xll.BDP("768738XK Muni","DUR_ADJ_MID")</f>
        <v>#N/A Requesting Data...</v>
      </c>
      <c r="G1721" t="str">
        <f>_xll.BDP("768738XK Muni","SPREAD_AT_ISSUANCE_TO_WORST")</f>
        <v>#N/A Requesting Data...</v>
      </c>
      <c r="H1721" t="str">
        <f>_xll.BDP("768738XK Muni","ISSUE_DT")</f>
        <v>#N/A Requesting Data...</v>
      </c>
      <c r="I1721" t="str">
        <f>_xll.BDS("768738XK Muni","MUNI_PURPOSE_SCHED", "aggregate=y")</f>
        <v>#N/A Requesting Data...</v>
      </c>
      <c r="J1721" t="str">
        <f>_xll.BDP("768738XK Muni","CPN")</f>
        <v>#N/A Requesting Data...</v>
      </c>
      <c r="K1721" t="str">
        <f>_xll.BDP("768738XK Muni","MATURITY")</f>
        <v>#N/A Requesting Data...</v>
      </c>
      <c r="L1721">
        <v>325000</v>
      </c>
      <c r="M1721" t="str">
        <f>_xll.BDP("768738XK Muni","YIELD_ON_ISSUE_DATE")</f>
        <v>#N/A Requesting Data...</v>
      </c>
      <c r="N1721" t="str">
        <f>_xll.BDP("768738XK Muni","YTW_SPREAD_TO_MATURITY_AT_ISSU")</f>
        <v>#N/A Requesting Data...</v>
      </c>
      <c r="O1721" t="str">
        <f>_xll.BDP("768738XK Muni","BVAL_MID_YTM")</f>
        <v>#N/A Requesting Data...</v>
      </c>
      <c r="P1721" t="str">
        <f>_xll.BDP("768738XK Muni","MUNI_TAX_PROV")</f>
        <v>#N/A Requesting Data...</v>
      </c>
      <c r="Q1721" t="str">
        <f>_xll.BDP("768738XK Muni","MUNI_FED_TAX")</f>
        <v>#N/A Requesting Data...</v>
      </c>
      <c r="R1721" t="str">
        <f>_xll.BDP("768738XK Muni","MUNI_MSRB_VOLUME")</f>
        <v>#N/A Requesting Data...</v>
      </c>
      <c r="S1721" t="str">
        <f>_xll.BDP("768738XK Muni","BB_COMPOSITE")</f>
        <v>#N/A Requesting Data...</v>
      </c>
      <c r="T1721" t="str">
        <f>_xll.BDP("768738XK Muni","LQA_LIQUIDITY_SCORE")</f>
        <v>#N/A Requesting Data...</v>
      </c>
    </row>
    <row r="1722" spans="1:20" x14ac:dyDescent="0.25">
      <c r="A1722" t="str">
        <f>_xll.BDP("768738XL Muni","ID_CUSIP")</f>
        <v>#N/A Requesting Data...</v>
      </c>
      <c r="B1722" t="s">
        <v>420</v>
      </c>
      <c r="C1722" t="str">
        <f>_xll.BDP("768738XL Muni","INSURANCE_STATUS")</f>
        <v>#N/A Requesting Data...</v>
      </c>
      <c r="D1722" t="str">
        <f>_xll.BDP("768738XL Muni","STATE_CODE")</f>
        <v>#N/A Requesting Data...</v>
      </c>
      <c r="E1722" t="str">
        <f>_xll.BDP("768738XL Muni","COUNTY_LOCATION_ISSUER")</f>
        <v>#N/A Requesting Data...</v>
      </c>
      <c r="F1722" t="str">
        <f>_xll.BDP("768738XL Muni","DUR_ADJ_MID")</f>
        <v>#N/A Requesting Data...</v>
      </c>
      <c r="G1722" t="str">
        <f>_xll.BDP("768738XL Muni","SPREAD_AT_ISSUANCE_TO_WORST")</f>
        <v>#N/A Requesting Data...</v>
      </c>
      <c r="H1722" t="str">
        <f>_xll.BDP("768738XL Muni","ISSUE_DT")</f>
        <v>#N/A Requesting Data...</v>
      </c>
      <c r="I1722" t="str">
        <f>_xll.BDS("768738XL Muni","MUNI_PURPOSE_SCHED", "aggregate=y")</f>
        <v>#N/A Requesting Data...</v>
      </c>
      <c r="J1722" t="str">
        <f>_xll.BDP("768738XL Muni","CPN")</f>
        <v>#N/A Requesting Data...</v>
      </c>
      <c r="K1722" t="str">
        <f>_xll.BDP("768738XL Muni","MATURITY")</f>
        <v>#N/A Requesting Data...</v>
      </c>
      <c r="L1722">
        <v>340000</v>
      </c>
      <c r="M1722" t="str">
        <f>_xll.BDP("768738XL Muni","YIELD_ON_ISSUE_DATE")</f>
        <v>#N/A Requesting Data...</v>
      </c>
      <c r="N1722" t="str">
        <f>_xll.BDP("768738XL Muni","YTW_SPREAD_TO_MATURITY_AT_ISSU")</f>
        <v>#N/A Requesting Data...</v>
      </c>
      <c r="O1722" t="str">
        <f>_xll.BDP("768738XL Muni","BVAL_MID_YTM")</f>
        <v>#N/A Requesting Data...</v>
      </c>
      <c r="P1722" t="str">
        <f>_xll.BDP("768738XL Muni","MUNI_TAX_PROV")</f>
        <v>#N/A Requesting Data...</v>
      </c>
      <c r="Q1722" t="str">
        <f>_xll.BDP("768738XL Muni","MUNI_FED_TAX")</f>
        <v>#N/A Requesting Data...</v>
      </c>
      <c r="R1722" t="str">
        <f>_xll.BDP("768738XL Muni","MUNI_MSRB_VOLUME")</f>
        <v>#N/A Requesting Data...</v>
      </c>
      <c r="S1722" t="str">
        <f>_xll.BDP("768738XL Muni","BB_COMPOSITE")</f>
        <v>#N/A Requesting Data...</v>
      </c>
      <c r="T1722" t="str">
        <f>_xll.BDP("768738XL Muni","LQA_LIQUIDITY_SCORE")</f>
        <v>#N/A Requesting Data...</v>
      </c>
    </row>
    <row r="1723" spans="1:20" x14ac:dyDescent="0.25">
      <c r="A1723" t="str">
        <f>_xll.BDP("768738XM Muni","ID_CUSIP")</f>
        <v>#N/A Requesting Data...</v>
      </c>
      <c r="B1723" t="s">
        <v>420</v>
      </c>
      <c r="C1723" t="str">
        <f>_xll.BDP("768738XM Muni","INSURANCE_STATUS")</f>
        <v>#N/A Requesting Data...</v>
      </c>
      <c r="D1723" t="str">
        <f>_xll.BDP("768738XM Muni","STATE_CODE")</f>
        <v>#N/A Requesting Data...</v>
      </c>
      <c r="E1723" t="str">
        <f>_xll.BDP("768738XM Muni","COUNTY_LOCATION_ISSUER")</f>
        <v>#N/A Requesting Data...</v>
      </c>
      <c r="F1723" t="str">
        <f>_xll.BDP("768738XM Muni","DUR_ADJ_MID")</f>
        <v>#N/A Requesting Data...</v>
      </c>
      <c r="G1723" t="str">
        <f>_xll.BDP("768738XM Muni","SPREAD_AT_ISSUANCE_TO_WORST")</f>
        <v>#N/A Requesting Data...</v>
      </c>
      <c r="H1723" t="str">
        <f>_xll.BDP("768738XM Muni","ISSUE_DT")</f>
        <v>#N/A Requesting Data...</v>
      </c>
      <c r="I1723" t="str">
        <f>_xll.BDS("768738XM Muni","MUNI_PURPOSE_SCHED", "aggregate=y")</f>
        <v>#N/A Requesting Data...</v>
      </c>
      <c r="J1723" t="str">
        <f>_xll.BDP("768738XM Muni","CPN")</f>
        <v>#N/A Requesting Data...</v>
      </c>
      <c r="K1723" t="str">
        <f>_xll.BDP("768738XM Muni","MATURITY")</f>
        <v>#N/A Requesting Data...</v>
      </c>
      <c r="L1723">
        <v>355000</v>
      </c>
      <c r="M1723" t="str">
        <f>_xll.BDP("768738XM Muni","YIELD_ON_ISSUE_DATE")</f>
        <v>#N/A Requesting Data...</v>
      </c>
      <c r="N1723" t="str">
        <f>_xll.BDP("768738XM Muni","YTW_SPREAD_TO_MATURITY_AT_ISSU")</f>
        <v>#N/A Requesting Data...</v>
      </c>
      <c r="O1723" t="str">
        <f>_xll.BDP("768738XM Muni","BVAL_MID_YTM")</f>
        <v>#N/A Requesting Data...</v>
      </c>
      <c r="P1723" t="str">
        <f>_xll.BDP("768738XM Muni","MUNI_TAX_PROV")</f>
        <v>#N/A Requesting Data...</v>
      </c>
      <c r="Q1723" t="str">
        <f>_xll.BDP("768738XM Muni","MUNI_FED_TAX")</f>
        <v>#N/A Requesting Data...</v>
      </c>
      <c r="R1723" t="str">
        <f>_xll.BDP("768738XM Muni","MUNI_MSRB_VOLUME")</f>
        <v>#N/A Requesting Data...</v>
      </c>
      <c r="S1723" t="str">
        <f>_xll.BDP("768738XM Muni","BB_COMPOSITE")</f>
        <v>#N/A Requesting Data...</v>
      </c>
      <c r="T1723" t="str">
        <f>_xll.BDP("768738XM Muni","LQA_LIQUIDITY_SCORE")</f>
        <v>#N/A Requesting Data...</v>
      </c>
    </row>
    <row r="1724" spans="1:20" x14ac:dyDescent="0.25">
      <c r="A1724" t="str">
        <f>_xll.BDP("768738XN Muni","ID_CUSIP")</f>
        <v>#N/A Requesting Data...</v>
      </c>
      <c r="B1724" t="s">
        <v>420</v>
      </c>
      <c r="C1724" t="str">
        <f>_xll.BDP("768738XN Muni","INSURANCE_STATUS")</f>
        <v>#N/A Requesting Data...</v>
      </c>
      <c r="D1724" t="str">
        <f>_xll.BDP("768738XN Muni","STATE_CODE")</f>
        <v>#N/A Requesting Data...</v>
      </c>
      <c r="E1724" t="str">
        <f>_xll.BDP("768738XN Muni","COUNTY_LOCATION_ISSUER")</f>
        <v>#N/A Requesting Data...</v>
      </c>
      <c r="F1724" t="str">
        <f>_xll.BDP("768738XN Muni","DUR_ADJ_MID")</f>
        <v>#N/A Requesting Data...</v>
      </c>
      <c r="G1724" t="str">
        <f>_xll.BDP("768738XN Muni","SPREAD_AT_ISSUANCE_TO_WORST")</f>
        <v>#N/A Requesting Data...</v>
      </c>
      <c r="H1724" t="str">
        <f>_xll.BDP("768738XN Muni","ISSUE_DT")</f>
        <v>#N/A Requesting Data...</v>
      </c>
      <c r="I1724" t="str">
        <f>_xll.BDS("768738XN Muni","MUNI_PURPOSE_SCHED", "aggregate=y")</f>
        <v>#N/A Requesting Data...</v>
      </c>
      <c r="J1724" t="str">
        <f>_xll.BDP("768738XN Muni","CPN")</f>
        <v>#N/A Requesting Data...</v>
      </c>
      <c r="K1724" t="str">
        <f>_xll.BDP("768738XN Muni","MATURITY")</f>
        <v>#N/A Requesting Data...</v>
      </c>
      <c r="L1724">
        <v>375000</v>
      </c>
      <c r="M1724" t="str">
        <f>_xll.BDP("768738XN Muni","YIELD_ON_ISSUE_DATE")</f>
        <v>#N/A Requesting Data...</v>
      </c>
      <c r="N1724" t="str">
        <f>_xll.BDP("768738XN Muni","YTW_SPREAD_TO_MATURITY_AT_ISSU")</f>
        <v>#N/A Requesting Data...</v>
      </c>
      <c r="O1724" t="str">
        <f>_xll.BDP("768738XN Muni","BVAL_MID_YTM")</f>
        <v>#N/A Requesting Data...</v>
      </c>
      <c r="P1724" t="str">
        <f>_xll.BDP("768738XN Muni","MUNI_TAX_PROV")</f>
        <v>#N/A Requesting Data...</v>
      </c>
      <c r="Q1724" t="str">
        <f>_xll.BDP("768738XN Muni","MUNI_FED_TAX")</f>
        <v>#N/A Requesting Data...</v>
      </c>
      <c r="R1724" t="str">
        <f>_xll.BDP("768738XN Muni","MUNI_MSRB_VOLUME")</f>
        <v>#N/A Requesting Data...</v>
      </c>
      <c r="S1724" t="str">
        <f>_xll.BDP("768738XN Muni","BB_COMPOSITE")</f>
        <v>#N/A Requesting Data...</v>
      </c>
      <c r="T1724" t="str">
        <f>_xll.BDP("768738XN Muni","LQA_LIQUIDITY_SCORE")</f>
        <v>#N/A Requesting Data...</v>
      </c>
    </row>
    <row r="1725" spans="1:20" x14ac:dyDescent="0.25">
      <c r="A1725" t="str">
        <f>_xll.BDP("5907747U Muni","ID_CUSIP")</f>
        <v>#N/A Requesting Data...</v>
      </c>
      <c r="B1725" t="s">
        <v>421</v>
      </c>
      <c r="C1725" t="str">
        <f>_xll.BDP("5907747U Muni","INSURANCE_STATUS")</f>
        <v>#N/A Requesting Data...</v>
      </c>
      <c r="D1725" t="str">
        <f>_xll.BDP("5907747U Muni","STATE_CODE")</f>
        <v>#N/A Requesting Data...</v>
      </c>
      <c r="E1725" t="str">
        <f>_xll.BDP("5907747U Muni","COUNTY_LOCATION_ISSUER")</f>
        <v>#N/A Requesting Data...</v>
      </c>
      <c r="F1725" t="str">
        <f>_xll.BDP("5907747U Muni","DUR_ADJ_MID")</f>
        <v>#N/A Requesting Data...</v>
      </c>
      <c r="G1725" t="str">
        <f>_xll.BDP("5907747U Muni","SPREAD_AT_ISSUANCE_TO_WORST")</f>
        <v>#N/A Requesting Data...</v>
      </c>
      <c r="H1725" t="str">
        <f>_xll.BDP("5907747U Muni","ISSUE_DT")</f>
        <v>#N/A Requesting Data...</v>
      </c>
      <c r="I1725" t="str">
        <f>_xll.BDS("5907747U Muni","MUNI_PURPOSE_SCHED", "aggregate=y")</f>
        <v>#N/A Requesting Data...</v>
      </c>
      <c r="J1725" t="str">
        <f>_xll.BDP("5907747U Muni","CPN")</f>
        <v>#N/A Requesting Data...</v>
      </c>
      <c r="K1725" t="str">
        <f>_xll.BDP("5907747U Muni","MATURITY")</f>
        <v>#N/A Requesting Data...</v>
      </c>
      <c r="L1725">
        <v>435000</v>
      </c>
      <c r="M1725" t="str">
        <f>_xll.BDP("5907747U Muni","YIELD_ON_ISSUE_DATE")</f>
        <v>#N/A Requesting Data...</v>
      </c>
      <c r="N1725" t="str">
        <f>_xll.BDP("5907747U Muni","YTW_SPREAD_TO_MATURITY_AT_ISSU")</f>
        <v>#N/A Requesting Data...</v>
      </c>
      <c r="O1725" t="str">
        <f>_xll.BDP("5907747U Muni","BVAL_MID_YTM")</f>
        <v>#N/A Requesting Data...</v>
      </c>
      <c r="P1725" t="str">
        <f>_xll.BDP("5907747U Muni","MUNI_TAX_PROV")</f>
        <v>#N/A Requesting Data...</v>
      </c>
      <c r="Q1725" t="str">
        <f>_xll.BDP("5907747U Muni","MUNI_FED_TAX")</f>
        <v>#N/A Requesting Data...</v>
      </c>
      <c r="R1725" t="str">
        <f>_xll.BDP("5907747U Muni","MUNI_MSRB_VOLUME")</f>
        <v>#N/A Requesting Data...</v>
      </c>
      <c r="S1725" t="str">
        <f>_xll.BDP("5907747U Muni","BB_COMPOSITE")</f>
        <v>#N/A Requesting Data...</v>
      </c>
      <c r="T1725" t="str">
        <f>_xll.BDP("5907747U Muni","LQA_LIQUIDITY_SCORE")</f>
        <v>#N/A Requesting Data...</v>
      </c>
    </row>
    <row r="1726" spans="1:20" x14ac:dyDescent="0.25">
      <c r="A1726" t="str">
        <f>_xll.BDP("5907747V Muni","ID_CUSIP")</f>
        <v>#N/A Requesting Data...</v>
      </c>
      <c r="B1726" t="s">
        <v>421</v>
      </c>
      <c r="C1726" t="str">
        <f>_xll.BDP("5907747V Muni","INSURANCE_STATUS")</f>
        <v>#N/A Requesting Data...</v>
      </c>
      <c r="D1726" t="str">
        <f>_xll.BDP("5907747V Muni","STATE_CODE")</f>
        <v>#N/A Requesting Data...</v>
      </c>
      <c r="E1726" t="str">
        <f>_xll.BDP("5907747V Muni","COUNTY_LOCATION_ISSUER")</f>
        <v>#N/A Requesting Data...</v>
      </c>
      <c r="F1726" t="str">
        <f>_xll.BDP("5907747V Muni","DUR_ADJ_MID")</f>
        <v>#N/A Requesting Data...</v>
      </c>
      <c r="G1726" t="str">
        <f>_xll.BDP("5907747V Muni","SPREAD_AT_ISSUANCE_TO_WORST")</f>
        <v>#N/A Requesting Data...</v>
      </c>
      <c r="H1726" t="str">
        <f>_xll.BDP("5907747V Muni","ISSUE_DT")</f>
        <v>#N/A Requesting Data...</v>
      </c>
      <c r="I1726" t="str">
        <f>_xll.BDS("5907747V Muni","MUNI_PURPOSE_SCHED", "aggregate=y")</f>
        <v>#N/A Requesting Data...</v>
      </c>
      <c r="J1726" t="str">
        <f>_xll.BDP("5907747V Muni","CPN")</f>
        <v>#N/A Requesting Data...</v>
      </c>
      <c r="K1726" t="str">
        <f>_xll.BDP("5907747V Muni","MATURITY")</f>
        <v>#N/A Requesting Data...</v>
      </c>
      <c r="L1726">
        <v>445000</v>
      </c>
      <c r="M1726" t="str">
        <f>_xll.BDP("5907747V Muni","YIELD_ON_ISSUE_DATE")</f>
        <v>#N/A Requesting Data...</v>
      </c>
      <c r="N1726" t="str">
        <f>_xll.BDP("5907747V Muni","YTW_SPREAD_TO_MATURITY_AT_ISSU")</f>
        <v>#N/A Requesting Data...</v>
      </c>
      <c r="O1726" t="str">
        <f>_xll.BDP("5907747V Muni","BVAL_MID_YTM")</f>
        <v>#N/A Requesting Data...</v>
      </c>
      <c r="P1726" t="str">
        <f>_xll.BDP("5907747V Muni","MUNI_TAX_PROV")</f>
        <v>#N/A Requesting Data...</v>
      </c>
      <c r="Q1726" t="str">
        <f>_xll.BDP("5907747V Muni","MUNI_FED_TAX")</f>
        <v>#N/A Requesting Data...</v>
      </c>
      <c r="R1726" t="str">
        <f>_xll.BDP("5907747V Muni","MUNI_MSRB_VOLUME")</f>
        <v>#N/A Requesting Data...</v>
      </c>
      <c r="S1726" t="str">
        <f>_xll.BDP("5907747V Muni","BB_COMPOSITE")</f>
        <v>#N/A Requesting Data...</v>
      </c>
      <c r="T1726" t="str">
        <f>_xll.BDP("5907747V Muni","LQA_LIQUIDITY_SCORE")</f>
        <v>#N/A Requesting Data...</v>
      </c>
    </row>
    <row r="1727" spans="1:20" x14ac:dyDescent="0.25">
      <c r="A1727" t="str">
        <f>_xll.BDP("5907747Z Muni","ID_CUSIP")</f>
        <v>#N/A Requesting Data...</v>
      </c>
      <c r="B1727" t="s">
        <v>421</v>
      </c>
      <c r="C1727" t="str">
        <f>_xll.BDP("5907747Z Muni","INSURANCE_STATUS")</f>
        <v>#N/A Requesting Data...</v>
      </c>
      <c r="D1727" t="str">
        <f>_xll.BDP("5907747Z Muni","STATE_CODE")</f>
        <v>#N/A Requesting Data...</v>
      </c>
      <c r="E1727" t="str">
        <f>_xll.BDP("5907747Z Muni","COUNTY_LOCATION_ISSUER")</f>
        <v>#N/A Requesting Data...</v>
      </c>
      <c r="F1727" t="str">
        <f>_xll.BDP("5907747Z Muni","DUR_ADJ_MID")</f>
        <v>#N/A Requesting Data...</v>
      </c>
      <c r="G1727" t="str">
        <f>_xll.BDP("5907747Z Muni","SPREAD_AT_ISSUANCE_TO_WORST")</f>
        <v>#N/A Requesting Data...</v>
      </c>
      <c r="H1727" t="str">
        <f>_xll.BDP("5907747Z Muni","ISSUE_DT")</f>
        <v>#N/A Requesting Data...</v>
      </c>
      <c r="I1727" t="str">
        <f>_xll.BDS("5907747Z Muni","MUNI_PURPOSE_SCHED", "aggregate=y")</f>
        <v>#N/A Requesting Data...</v>
      </c>
      <c r="J1727" t="str">
        <f>_xll.BDP("5907747Z Muni","CPN")</f>
        <v>#N/A Requesting Data...</v>
      </c>
      <c r="K1727" t="str">
        <f>_xll.BDP("5907747Z Muni","MATURITY")</f>
        <v>#N/A Requesting Data...</v>
      </c>
      <c r="L1727">
        <v>530000</v>
      </c>
      <c r="M1727" t="str">
        <f>_xll.BDP("5907747Z Muni","YIELD_ON_ISSUE_DATE")</f>
        <v>#N/A Requesting Data...</v>
      </c>
      <c r="N1727" t="str">
        <f>_xll.BDP("5907747Z Muni","YTW_SPREAD_TO_MATURITY_AT_ISSU")</f>
        <v>#N/A Requesting Data...</v>
      </c>
      <c r="O1727" t="str">
        <f>_xll.BDP("5907747Z Muni","BVAL_MID_YTM")</f>
        <v>#N/A Requesting Data...</v>
      </c>
      <c r="P1727" t="str">
        <f>_xll.BDP("5907747Z Muni","MUNI_TAX_PROV")</f>
        <v>#N/A Requesting Data...</v>
      </c>
      <c r="Q1727" t="str">
        <f>_xll.BDP("5907747Z Muni","MUNI_FED_TAX")</f>
        <v>#N/A Requesting Data...</v>
      </c>
      <c r="R1727" t="str">
        <f>_xll.BDP("5907747Z Muni","MUNI_MSRB_VOLUME")</f>
        <v>#N/A Requesting Data...</v>
      </c>
      <c r="S1727" t="str">
        <f>_xll.BDP("5907747Z Muni","BB_COMPOSITE")</f>
        <v>#N/A Requesting Data...</v>
      </c>
      <c r="T1727" t="str">
        <f>_xll.BDP("5907747Z Muni","LQA_LIQUIDITY_SCORE")</f>
        <v>#N/A Requesting Data...</v>
      </c>
    </row>
    <row r="1728" spans="1:20" x14ac:dyDescent="0.25">
      <c r="A1728" t="str">
        <f>_xll.BDP("722494QP Muni","ID_CUSIP")</f>
        <v>#N/A Requesting Data...</v>
      </c>
      <c r="B1728" t="s">
        <v>418</v>
      </c>
      <c r="C1728" t="str">
        <f>_xll.BDP("722494QP Muni","INSURANCE_STATUS")</f>
        <v>#N/A Requesting Data...</v>
      </c>
      <c r="D1728" t="str">
        <f>_xll.BDP("722494QP Muni","STATE_CODE")</f>
        <v>#N/A Requesting Data...</v>
      </c>
      <c r="E1728" t="str">
        <f>_xll.BDP("722494QP Muni","COUNTY_LOCATION_ISSUER")</f>
        <v>#N/A Requesting Data...</v>
      </c>
      <c r="F1728" t="str">
        <f>_xll.BDP("722494QP Muni","DUR_ADJ_MID")</f>
        <v>#N/A Requesting Data...</v>
      </c>
      <c r="G1728" t="str">
        <f>_xll.BDP("722494QP Muni","SPREAD_AT_ISSUANCE_TO_WORST")</f>
        <v>#N/A Requesting Data...</v>
      </c>
      <c r="H1728" t="str">
        <f>_xll.BDP("722494QP Muni","ISSUE_DT")</f>
        <v>#N/A Requesting Data...</v>
      </c>
      <c r="I1728" t="str">
        <f>_xll.BDS("722494QP Muni","MUNI_PURPOSE_SCHED", "aggregate=y")</f>
        <v>#N/A Requesting Data...</v>
      </c>
      <c r="J1728" t="str">
        <f>_xll.BDP("722494QP Muni","CPN")</f>
        <v>#N/A Requesting Data...</v>
      </c>
      <c r="K1728" t="str">
        <f>_xll.BDP("722494QP Muni","MATURITY")</f>
        <v>#N/A Requesting Data...</v>
      </c>
      <c r="L1728">
        <v>100000</v>
      </c>
      <c r="M1728" t="str">
        <f>_xll.BDP("722494QP Muni","YIELD_ON_ISSUE_DATE")</f>
        <v>#N/A Requesting Data...</v>
      </c>
      <c r="N1728" t="str">
        <f>_xll.BDP("722494QP Muni","YTW_SPREAD_TO_MATURITY_AT_ISSU")</f>
        <v>#N/A Requesting Data...</v>
      </c>
      <c r="O1728" t="str">
        <f>_xll.BDP("722494QP Muni","BVAL_MID_YTM")</f>
        <v>#N/A Requesting Data...</v>
      </c>
      <c r="P1728" t="str">
        <f>_xll.BDP("722494QP Muni","MUNI_TAX_PROV")</f>
        <v>#N/A Requesting Data...</v>
      </c>
      <c r="Q1728" t="str">
        <f>_xll.BDP("722494QP Muni","MUNI_FED_TAX")</f>
        <v>#N/A Requesting Data...</v>
      </c>
      <c r="R1728" t="str">
        <f>_xll.BDP("722494QP Muni","MUNI_MSRB_VOLUME")</f>
        <v>#N/A Requesting Data...</v>
      </c>
      <c r="S1728" t="str">
        <f>_xll.BDP("722494QP Muni","BB_COMPOSITE")</f>
        <v>#N/A Requesting Data...</v>
      </c>
      <c r="T1728" t="str">
        <f>_xll.BDP("722494QP Muni","LQA_LIQUIDITY_SCORE")</f>
        <v>#N/A Requesting Data...</v>
      </c>
    </row>
    <row r="1729" spans="1:20" x14ac:dyDescent="0.25">
      <c r="A1729" t="str">
        <f>_xll.BDP("722494QQ Muni","ID_CUSIP")</f>
        <v>#N/A Requesting Data...</v>
      </c>
      <c r="B1729" t="s">
        <v>418</v>
      </c>
      <c r="C1729" t="str">
        <f>_xll.BDP("722494QQ Muni","INSURANCE_STATUS")</f>
        <v>#N/A Requesting Data...</v>
      </c>
      <c r="D1729" t="str">
        <f>_xll.BDP("722494QQ Muni","STATE_CODE")</f>
        <v>#N/A Requesting Data...</v>
      </c>
      <c r="E1729" t="str">
        <f>_xll.BDP("722494QQ Muni","COUNTY_LOCATION_ISSUER")</f>
        <v>#N/A Requesting Data...</v>
      </c>
      <c r="F1729" t="str">
        <f>_xll.BDP("722494QQ Muni","DUR_ADJ_MID")</f>
        <v>#N/A Requesting Data...</v>
      </c>
      <c r="G1729" t="str">
        <f>_xll.BDP("722494QQ Muni","SPREAD_AT_ISSUANCE_TO_WORST")</f>
        <v>#N/A Requesting Data...</v>
      </c>
      <c r="H1729" t="str">
        <f>_xll.BDP("722494QQ Muni","ISSUE_DT")</f>
        <v>#N/A Requesting Data...</v>
      </c>
      <c r="I1729" t="str">
        <f>_xll.BDS("722494QQ Muni","MUNI_PURPOSE_SCHED", "aggregate=y")</f>
        <v>#N/A Requesting Data...</v>
      </c>
      <c r="J1729" t="str">
        <f>_xll.BDP("722494QQ Muni","CPN")</f>
        <v>#N/A Requesting Data...</v>
      </c>
      <c r="K1729" t="str">
        <f>_xll.BDP("722494QQ Muni","MATURITY")</f>
        <v>#N/A Requesting Data...</v>
      </c>
      <c r="L1729">
        <v>105000</v>
      </c>
      <c r="M1729" t="str">
        <f>_xll.BDP("722494QQ Muni","YIELD_ON_ISSUE_DATE")</f>
        <v>#N/A Requesting Data...</v>
      </c>
      <c r="N1729" t="str">
        <f>_xll.BDP("722494QQ Muni","YTW_SPREAD_TO_MATURITY_AT_ISSU")</f>
        <v>#N/A Requesting Data...</v>
      </c>
      <c r="O1729" t="str">
        <f>_xll.BDP("722494QQ Muni","BVAL_MID_YTM")</f>
        <v>#N/A Requesting Data...</v>
      </c>
      <c r="P1729" t="str">
        <f>_xll.BDP("722494QQ Muni","MUNI_TAX_PROV")</f>
        <v>#N/A Requesting Data...</v>
      </c>
      <c r="Q1729" t="str">
        <f>_xll.BDP("722494QQ Muni","MUNI_FED_TAX")</f>
        <v>#N/A Requesting Data...</v>
      </c>
      <c r="R1729" t="str">
        <f>_xll.BDP("722494QQ Muni","MUNI_MSRB_VOLUME")</f>
        <v>#N/A Requesting Data...</v>
      </c>
      <c r="S1729" t="str">
        <f>_xll.BDP("722494QQ Muni","BB_COMPOSITE")</f>
        <v>#N/A Requesting Data...</v>
      </c>
      <c r="T1729" t="str">
        <f>_xll.BDP("722494QQ Muni","LQA_LIQUIDITY_SCORE")</f>
        <v>#N/A Requesting Data...</v>
      </c>
    </row>
    <row r="1730" spans="1:20" x14ac:dyDescent="0.25">
      <c r="A1730" t="str">
        <f>_xll.BDP("722494QS Muni","ID_CUSIP")</f>
        <v>#N/A Requesting Data...</v>
      </c>
      <c r="B1730" t="s">
        <v>418</v>
      </c>
      <c r="C1730" t="str">
        <f>_xll.BDP("722494QS Muni","INSURANCE_STATUS")</f>
        <v>#N/A Requesting Data...</v>
      </c>
      <c r="D1730" t="str">
        <f>_xll.BDP("722494QS Muni","STATE_CODE")</f>
        <v>#N/A Requesting Data...</v>
      </c>
      <c r="E1730" t="str">
        <f>_xll.BDP("722494QS Muni","COUNTY_LOCATION_ISSUER")</f>
        <v>#N/A Requesting Data...</v>
      </c>
      <c r="F1730" t="str">
        <f>_xll.BDP("722494QS Muni","DUR_ADJ_MID")</f>
        <v>#N/A Requesting Data...</v>
      </c>
      <c r="G1730" t="str">
        <f>_xll.BDP("722494QS Muni","SPREAD_AT_ISSUANCE_TO_WORST")</f>
        <v>#N/A Requesting Data...</v>
      </c>
      <c r="H1730" t="str">
        <f>_xll.BDP("722494QS Muni","ISSUE_DT")</f>
        <v>#N/A Requesting Data...</v>
      </c>
      <c r="I1730" t="str">
        <f>_xll.BDS("722494QS Muni","MUNI_PURPOSE_SCHED", "aggregate=y")</f>
        <v>#N/A Requesting Data...</v>
      </c>
      <c r="J1730" t="str">
        <f>_xll.BDP("722494QS Muni","CPN")</f>
        <v>#N/A Requesting Data...</v>
      </c>
      <c r="K1730" t="str">
        <f>_xll.BDP("722494QS Muni","MATURITY")</f>
        <v>#N/A Requesting Data...</v>
      </c>
      <c r="L1730">
        <v>120000</v>
      </c>
      <c r="M1730" t="str">
        <f>_xll.BDP("722494QS Muni","YIELD_ON_ISSUE_DATE")</f>
        <v>#N/A Requesting Data...</v>
      </c>
      <c r="N1730" t="str">
        <f>_xll.BDP("722494QS Muni","YTW_SPREAD_TO_MATURITY_AT_ISSU")</f>
        <v>#N/A Requesting Data...</v>
      </c>
      <c r="O1730" t="str">
        <f>_xll.BDP("722494QS Muni","BVAL_MID_YTM")</f>
        <v>#N/A Requesting Data...</v>
      </c>
      <c r="P1730" t="str">
        <f>_xll.BDP("722494QS Muni","MUNI_TAX_PROV")</f>
        <v>#N/A Requesting Data...</v>
      </c>
      <c r="Q1730" t="str">
        <f>_xll.BDP("722494QS Muni","MUNI_FED_TAX")</f>
        <v>#N/A Requesting Data...</v>
      </c>
      <c r="R1730" t="str">
        <f>_xll.BDP("722494QS Muni","MUNI_MSRB_VOLUME")</f>
        <v>#N/A Requesting Data...</v>
      </c>
      <c r="S1730" t="str">
        <f>_xll.BDP("722494QS Muni","BB_COMPOSITE")</f>
        <v>#N/A Requesting Data...</v>
      </c>
      <c r="T1730" t="str">
        <f>_xll.BDP("722494QS Muni","LQA_LIQUIDITY_SCORE")</f>
        <v>#N/A Requesting Data...</v>
      </c>
    </row>
    <row r="1731" spans="1:20" x14ac:dyDescent="0.25">
      <c r="A1731" t="str">
        <f>_xll.BDP("724122VC Muni","ID_CUSIP")</f>
        <v>#N/A Requesting Data...</v>
      </c>
      <c r="B1731" t="s">
        <v>419</v>
      </c>
      <c r="C1731" t="str">
        <f>_xll.BDP("724122VC Muni","INSURANCE_STATUS")</f>
        <v>#N/A Requesting Data...</v>
      </c>
      <c r="D1731" t="str">
        <f>_xll.BDP("724122VC Muni","STATE_CODE")</f>
        <v>#N/A Requesting Data...</v>
      </c>
      <c r="E1731" t="str">
        <f>_xll.BDP("724122VC Muni","COUNTY_LOCATION_ISSUER")</f>
        <v>#N/A Requesting Data...</v>
      </c>
      <c r="F1731" t="str">
        <f>_xll.BDP("724122VC Muni","DUR_ADJ_MID")</f>
        <v>#N/A Requesting Data...</v>
      </c>
      <c r="G1731" t="str">
        <f>_xll.BDP("724122VC Muni","SPREAD_AT_ISSUANCE_TO_WORST")</f>
        <v>#N/A Requesting Data...</v>
      </c>
      <c r="H1731" t="str">
        <f>_xll.BDP("724122VC Muni","ISSUE_DT")</f>
        <v>#N/A Requesting Data...</v>
      </c>
      <c r="I1731" t="str">
        <f>_xll.BDS("724122VC Muni","MUNI_PURPOSE_SCHED", "aggregate=y")</f>
        <v>#N/A Requesting Data...</v>
      </c>
      <c r="J1731" t="str">
        <f>_xll.BDP("724122VC Muni","CPN")</f>
        <v>#N/A Requesting Data...</v>
      </c>
      <c r="K1731" t="str">
        <f>_xll.BDP("724122VC Muni","MATURITY")</f>
        <v>#N/A Requesting Data...</v>
      </c>
      <c r="L1731">
        <v>70000</v>
      </c>
      <c r="M1731" t="str">
        <f>_xll.BDP("724122VC Muni","YIELD_ON_ISSUE_DATE")</f>
        <v>#N/A Requesting Data...</v>
      </c>
      <c r="N1731" t="str">
        <f>_xll.BDP("724122VC Muni","YTW_SPREAD_TO_MATURITY_AT_ISSU")</f>
        <v>#N/A Requesting Data...</v>
      </c>
      <c r="O1731" t="str">
        <f>_xll.BDP("724122VC Muni","BVAL_MID_YTM")</f>
        <v>#N/A Requesting Data...</v>
      </c>
      <c r="P1731" t="str">
        <f>_xll.BDP("724122VC Muni","MUNI_TAX_PROV")</f>
        <v>#N/A Requesting Data...</v>
      </c>
      <c r="Q1731" t="str">
        <f>_xll.BDP("724122VC Muni","MUNI_FED_TAX")</f>
        <v>#N/A Requesting Data...</v>
      </c>
      <c r="R1731" t="str">
        <f>_xll.BDP("724122VC Muni","MUNI_MSRB_VOLUME")</f>
        <v>#N/A Requesting Data...</v>
      </c>
      <c r="S1731" t="str">
        <f>_xll.BDP("724122VC Muni","BB_COMPOSITE")</f>
        <v>#N/A Requesting Data...</v>
      </c>
      <c r="T1731" t="str">
        <f>_xll.BDP("724122VC Muni","LQA_LIQUIDITY_SCORE")</f>
        <v>#N/A Requesting Data...</v>
      </c>
    </row>
    <row r="1732" spans="1:20" x14ac:dyDescent="0.25">
      <c r="A1732" t="str">
        <f>_xll.BDP("724122VD Muni","ID_CUSIP")</f>
        <v>#N/A Requesting Data...</v>
      </c>
      <c r="B1732" t="s">
        <v>419</v>
      </c>
      <c r="C1732" t="str">
        <f>_xll.BDP("724122VD Muni","INSURANCE_STATUS")</f>
        <v>#N/A Requesting Data...</v>
      </c>
      <c r="D1732" t="str">
        <f>_xll.BDP("724122VD Muni","STATE_CODE")</f>
        <v>#N/A Requesting Data...</v>
      </c>
      <c r="E1732" t="str">
        <f>_xll.BDP("724122VD Muni","COUNTY_LOCATION_ISSUER")</f>
        <v>#N/A Requesting Data...</v>
      </c>
      <c r="F1732" t="str">
        <f>_xll.BDP("724122VD Muni","DUR_ADJ_MID")</f>
        <v>#N/A Requesting Data...</v>
      </c>
      <c r="G1732" t="str">
        <f>_xll.BDP("724122VD Muni","SPREAD_AT_ISSUANCE_TO_WORST")</f>
        <v>#N/A Requesting Data...</v>
      </c>
      <c r="H1732" t="str">
        <f>_xll.BDP("724122VD Muni","ISSUE_DT")</f>
        <v>#N/A Requesting Data...</v>
      </c>
      <c r="I1732" t="str">
        <f>_xll.BDS("724122VD Muni","MUNI_PURPOSE_SCHED", "aggregate=y")</f>
        <v>#N/A Requesting Data...</v>
      </c>
      <c r="J1732" t="str">
        <f>_xll.BDP("724122VD Muni","CPN")</f>
        <v>#N/A Requesting Data...</v>
      </c>
      <c r="K1732" t="str">
        <f>_xll.BDP("724122VD Muni","MATURITY")</f>
        <v>#N/A Requesting Data...</v>
      </c>
      <c r="L1732">
        <v>70000</v>
      </c>
      <c r="M1732" t="str">
        <f>_xll.BDP("724122VD Muni","YIELD_ON_ISSUE_DATE")</f>
        <v>#N/A Requesting Data...</v>
      </c>
      <c r="N1732" t="str">
        <f>_xll.BDP("724122VD Muni","YTW_SPREAD_TO_MATURITY_AT_ISSU")</f>
        <v>#N/A Requesting Data...</v>
      </c>
      <c r="O1732" t="str">
        <f>_xll.BDP("724122VD Muni","BVAL_MID_YTM")</f>
        <v>#N/A Requesting Data...</v>
      </c>
      <c r="P1732" t="str">
        <f>_xll.BDP("724122VD Muni","MUNI_TAX_PROV")</f>
        <v>#N/A Requesting Data...</v>
      </c>
      <c r="Q1732" t="str">
        <f>_xll.BDP("724122VD Muni","MUNI_FED_TAX")</f>
        <v>#N/A Requesting Data...</v>
      </c>
      <c r="R1732" t="str">
        <f>_xll.BDP("724122VD Muni","MUNI_MSRB_VOLUME")</f>
        <v>#N/A Requesting Data...</v>
      </c>
      <c r="S1732" t="str">
        <f>_xll.BDP("724122VD Muni","BB_COMPOSITE")</f>
        <v>#N/A Requesting Data...</v>
      </c>
      <c r="T1732" t="str">
        <f>_xll.BDP("724122VD Muni","LQA_LIQUIDITY_SCORE")</f>
        <v>#N/A Requesting Data...</v>
      </c>
    </row>
    <row r="1733" spans="1:20" x14ac:dyDescent="0.25">
      <c r="A1733" t="str">
        <f>_xll.BDP("87975CAD Muni","ID_CUSIP")</f>
        <v>#N/A Requesting Data...</v>
      </c>
      <c r="B1733" t="s">
        <v>422</v>
      </c>
      <c r="C1733" t="str">
        <f>_xll.BDP("87975CAD Muni","INSURANCE_STATUS")</f>
        <v>#N/A Requesting Data...</v>
      </c>
      <c r="D1733" t="str">
        <f>_xll.BDP("87975CAD Muni","STATE_CODE")</f>
        <v>#N/A Requesting Data...</v>
      </c>
      <c r="E1733" t="str">
        <f>_xll.BDP("87975CAD Muni","COUNTY_LOCATION_ISSUER")</f>
        <v>#N/A Requesting Data...</v>
      </c>
      <c r="F1733" t="str">
        <f>_xll.BDP("87975CAD Muni","DUR_ADJ_MID")</f>
        <v>#N/A Requesting Data...</v>
      </c>
      <c r="G1733" t="str">
        <f>_xll.BDP("87975CAD Muni","SPREAD_AT_ISSUANCE_TO_WORST")</f>
        <v>#N/A Requesting Data...</v>
      </c>
      <c r="H1733" t="str">
        <f>_xll.BDP("87975CAD Muni","ISSUE_DT")</f>
        <v>#N/A Requesting Data...</v>
      </c>
      <c r="I1733" t="str">
        <f>_xll.BDS("87975CAD Muni","MUNI_PURPOSE_SCHED", "aggregate=y")</f>
        <v>#N/A Requesting Data...</v>
      </c>
      <c r="J1733" t="str">
        <f>_xll.BDP("87975CAD Muni","CPN")</f>
        <v>#N/A Requesting Data...</v>
      </c>
      <c r="K1733" t="str">
        <f>_xll.BDP("87975CAD Muni","MATURITY")</f>
        <v>#N/A Requesting Data...</v>
      </c>
      <c r="L1733">
        <v>485000</v>
      </c>
      <c r="M1733" t="str">
        <f>_xll.BDP("87975CAD Muni","YIELD_ON_ISSUE_DATE")</f>
        <v>#N/A Requesting Data...</v>
      </c>
      <c r="N1733" t="str">
        <f>_xll.BDP("87975CAD Muni","YTW_SPREAD_TO_MATURITY_AT_ISSU")</f>
        <v>#N/A Requesting Data...</v>
      </c>
      <c r="O1733" t="str">
        <f>_xll.BDP("87975CAD Muni","BVAL_MID_YTM")</f>
        <v>#N/A Requesting Data...</v>
      </c>
      <c r="P1733" t="str">
        <f>_xll.BDP("87975CAD Muni","MUNI_TAX_PROV")</f>
        <v>#N/A Requesting Data...</v>
      </c>
      <c r="Q1733" t="str">
        <f>_xll.BDP("87975CAD Muni","MUNI_FED_TAX")</f>
        <v>#N/A Requesting Data...</v>
      </c>
      <c r="R1733" t="str">
        <f>_xll.BDP("87975CAD Muni","MUNI_MSRB_VOLUME")</f>
        <v>#N/A Requesting Data...</v>
      </c>
      <c r="S1733" t="str">
        <f>_xll.BDP("87975CAD Muni","BB_COMPOSITE")</f>
        <v>#N/A Requesting Data...</v>
      </c>
      <c r="T1733" t="str">
        <f>_xll.BDP("87975CAD Muni","LQA_LIQUIDITY_SCORE")</f>
        <v>#N/A Requesting Data...</v>
      </c>
    </row>
    <row r="1734" spans="1:20" x14ac:dyDescent="0.25">
      <c r="A1734" t="str">
        <f>_xll.BDP("87975CAF Muni","ID_CUSIP")</f>
        <v>#N/A Requesting Data...</v>
      </c>
      <c r="B1734" t="s">
        <v>422</v>
      </c>
      <c r="C1734" t="str">
        <f>_xll.BDP("87975CAF Muni","INSURANCE_STATUS")</f>
        <v>#N/A Requesting Data...</v>
      </c>
      <c r="D1734" t="str">
        <f>_xll.BDP("87975CAF Muni","STATE_CODE")</f>
        <v>#N/A Requesting Data...</v>
      </c>
      <c r="E1734" t="str">
        <f>_xll.BDP("87975CAF Muni","COUNTY_LOCATION_ISSUER")</f>
        <v>#N/A Requesting Data...</v>
      </c>
      <c r="F1734" t="str">
        <f>_xll.BDP("87975CAF Muni","DUR_ADJ_MID")</f>
        <v>#N/A Requesting Data...</v>
      </c>
      <c r="G1734" t="str">
        <f>_xll.BDP("87975CAF Muni","SPREAD_AT_ISSUANCE_TO_WORST")</f>
        <v>#N/A Requesting Data...</v>
      </c>
      <c r="H1734" t="str">
        <f>_xll.BDP("87975CAF Muni","ISSUE_DT")</f>
        <v>#N/A Requesting Data...</v>
      </c>
      <c r="I1734" t="str">
        <f>_xll.BDS("87975CAF Muni","MUNI_PURPOSE_SCHED", "aggregate=y")</f>
        <v>#N/A Requesting Data...</v>
      </c>
      <c r="J1734" t="str">
        <f>_xll.BDP("87975CAF Muni","CPN")</f>
        <v>#N/A Requesting Data...</v>
      </c>
      <c r="K1734" t="str">
        <f>_xll.BDP("87975CAF Muni","MATURITY")</f>
        <v>#N/A Requesting Data...</v>
      </c>
      <c r="L1734">
        <v>520000</v>
      </c>
      <c r="M1734" t="str">
        <f>_xll.BDP("87975CAF Muni","YIELD_ON_ISSUE_DATE")</f>
        <v>#N/A Requesting Data...</v>
      </c>
      <c r="N1734" t="str">
        <f>_xll.BDP("87975CAF Muni","YTW_SPREAD_TO_MATURITY_AT_ISSU")</f>
        <v>#N/A Requesting Data...</v>
      </c>
      <c r="O1734" t="str">
        <f>_xll.BDP("87975CAF Muni","BVAL_MID_YTM")</f>
        <v>#N/A Requesting Data...</v>
      </c>
      <c r="P1734" t="str">
        <f>_xll.BDP("87975CAF Muni","MUNI_TAX_PROV")</f>
        <v>#N/A Requesting Data...</v>
      </c>
      <c r="Q1734" t="str">
        <f>_xll.BDP("87975CAF Muni","MUNI_FED_TAX")</f>
        <v>#N/A Requesting Data...</v>
      </c>
      <c r="R1734" t="str">
        <f>_xll.BDP("87975CAF Muni","MUNI_MSRB_VOLUME")</f>
        <v>#N/A Requesting Data...</v>
      </c>
      <c r="S1734" t="str">
        <f>_xll.BDP("87975CAF Muni","BB_COMPOSITE")</f>
        <v>#N/A Requesting Data...</v>
      </c>
      <c r="T1734" t="str">
        <f>_xll.BDP("87975CAF Muni","LQA_LIQUIDITY_SCORE")</f>
        <v>#N/A Requesting Data...</v>
      </c>
    </row>
    <row r="1735" spans="1:20" x14ac:dyDescent="0.25">
      <c r="A1735" t="str">
        <f>_xll.BDP("78764YDP Muni","ID_CUSIP")</f>
        <v>#N/A Requesting Data...</v>
      </c>
      <c r="B1735" t="s">
        <v>423</v>
      </c>
      <c r="C1735" t="str">
        <f>_xll.BDP("78764YDP Muni","INSURANCE_STATUS")</f>
        <v>#N/A Requesting Data...</v>
      </c>
      <c r="D1735" t="str">
        <f>_xll.BDP("78764YDP Muni","STATE_CODE")</f>
        <v>#N/A Requesting Data...</v>
      </c>
      <c r="E1735" t="str">
        <f>_xll.BDP("78764YDP Muni","COUNTY_LOCATION_ISSUER")</f>
        <v>#N/A Requesting Data...</v>
      </c>
      <c r="F1735" t="str">
        <f>_xll.BDP("78764YDP Muni","DUR_ADJ_MID")</f>
        <v>#N/A Requesting Data...</v>
      </c>
      <c r="G1735" t="str">
        <f>_xll.BDP("78764YDP Muni","SPREAD_AT_ISSUANCE_TO_WORST")</f>
        <v>#N/A Requesting Data...</v>
      </c>
      <c r="H1735" t="str">
        <f>_xll.BDP("78764YDP Muni","ISSUE_DT")</f>
        <v>#N/A Requesting Data...</v>
      </c>
      <c r="I1735" t="str">
        <f>_xll.BDS("78764YDP Muni","MUNI_PURPOSE_SCHED", "aggregate=y")</f>
        <v>#N/A Requesting Data...</v>
      </c>
      <c r="J1735" t="str">
        <f>_xll.BDP("78764YDP Muni","CPN")</f>
        <v>#N/A Requesting Data...</v>
      </c>
      <c r="K1735" t="str">
        <f>_xll.BDP("78764YDP Muni","MATURITY")</f>
        <v>#N/A Requesting Data...</v>
      </c>
      <c r="L1735">
        <v>465000</v>
      </c>
      <c r="M1735" t="str">
        <f>_xll.BDP("78764YDP Muni","YIELD_ON_ISSUE_DATE")</f>
        <v>#N/A Requesting Data...</v>
      </c>
      <c r="N1735" t="str">
        <f>_xll.BDP("78764YDP Muni","YTW_SPREAD_TO_MATURITY_AT_ISSU")</f>
        <v>#N/A Requesting Data...</v>
      </c>
      <c r="O1735" t="str">
        <f>_xll.BDP("78764YDP Muni","BVAL_MID_YTM")</f>
        <v>#N/A Requesting Data...</v>
      </c>
      <c r="P1735" t="str">
        <f>_xll.BDP("78764YDP Muni","MUNI_TAX_PROV")</f>
        <v>#N/A Requesting Data...</v>
      </c>
      <c r="Q1735" t="str">
        <f>_xll.BDP("78764YDP Muni","MUNI_FED_TAX")</f>
        <v>#N/A Requesting Data...</v>
      </c>
      <c r="R1735" t="str">
        <f>_xll.BDP("78764YDP Muni","MUNI_MSRB_VOLUME")</f>
        <v>#N/A Requesting Data...</v>
      </c>
      <c r="S1735" t="str">
        <f>_xll.BDP("78764YDP Muni","BB_COMPOSITE")</f>
        <v>#N/A Requesting Data...</v>
      </c>
      <c r="T1735" t="str">
        <f>_xll.BDP("78764YDP Muni","LQA_LIQUIDITY_SCORE")</f>
        <v>#N/A Requesting Data...</v>
      </c>
    </row>
    <row r="1736" spans="1:20" x14ac:dyDescent="0.25">
      <c r="A1736" t="str">
        <f>_xll.BDP("78764YDQ Muni","ID_CUSIP")</f>
        <v>#N/A Requesting Data...</v>
      </c>
      <c r="B1736" t="s">
        <v>423</v>
      </c>
      <c r="C1736" t="str">
        <f>_xll.BDP("78764YDQ Muni","INSURANCE_STATUS")</f>
        <v>#N/A Requesting Data...</v>
      </c>
      <c r="D1736" t="str">
        <f>_xll.BDP("78764YDQ Muni","STATE_CODE")</f>
        <v>#N/A Requesting Data...</v>
      </c>
      <c r="E1736" t="str">
        <f>_xll.BDP("78764YDQ Muni","COUNTY_LOCATION_ISSUER")</f>
        <v>#N/A Requesting Data...</v>
      </c>
      <c r="F1736" t="str">
        <f>_xll.BDP("78764YDQ Muni","DUR_ADJ_MID")</f>
        <v>#N/A Requesting Data...</v>
      </c>
      <c r="G1736" t="str">
        <f>_xll.BDP("78764YDQ Muni","SPREAD_AT_ISSUANCE_TO_WORST")</f>
        <v>#N/A Requesting Data...</v>
      </c>
      <c r="H1736" t="str">
        <f>_xll.BDP("78764YDQ Muni","ISSUE_DT")</f>
        <v>#N/A Requesting Data...</v>
      </c>
      <c r="I1736" t="str">
        <f>_xll.BDS("78764YDQ Muni","MUNI_PURPOSE_SCHED", "aggregate=y")</f>
        <v>#N/A Requesting Data...</v>
      </c>
      <c r="J1736" t="str">
        <f>_xll.BDP("78764YDQ Muni","CPN")</f>
        <v>#N/A Requesting Data...</v>
      </c>
      <c r="K1736" t="str">
        <f>_xll.BDP("78764YDQ Muni","MATURITY")</f>
        <v>#N/A Requesting Data...</v>
      </c>
      <c r="L1736">
        <v>135000</v>
      </c>
      <c r="M1736" t="str">
        <f>_xll.BDP("78764YDQ Muni","YIELD_ON_ISSUE_DATE")</f>
        <v>#N/A Requesting Data...</v>
      </c>
      <c r="N1736" t="str">
        <f>_xll.BDP("78764YDQ Muni","YTW_SPREAD_TO_MATURITY_AT_ISSU")</f>
        <v>#N/A Requesting Data...</v>
      </c>
      <c r="O1736" t="str">
        <f>_xll.BDP("78764YDQ Muni","BVAL_MID_YTM")</f>
        <v>#N/A Requesting Data...</v>
      </c>
      <c r="P1736" t="str">
        <f>_xll.BDP("78764YDQ Muni","MUNI_TAX_PROV")</f>
        <v>#N/A Requesting Data...</v>
      </c>
      <c r="Q1736" t="str">
        <f>_xll.BDP("78764YDQ Muni","MUNI_FED_TAX")</f>
        <v>#N/A Requesting Data...</v>
      </c>
      <c r="R1736" t="str">
        <f>_xll.BDP("78764YDQ Muni","MUNI_MSRB_VOLUME")</f>
        <v>#N/A Requesting Data...</v>
      </c>
      <c r="S1736" t="str">
        <f>_xll.BDP("78764YDQ Muni","BB_COMPOSITE")</f>
        <v>#N/A Requesting Data...</v>
      </c>
      <c r="T1736" t="str">
        <f>_xll.BDP("78764YDQ Muni","LQA_LIQUIDITY_SCORE")</f>
        <v>#N/A Requesting Data...</v>
      </c>
    </row>
    <row r="1737" spans="1:20" x14ac:dyDescent="0.25">
      <c r="A1737" t="str">
        <f>_xll.BDP("787855M5 Muni","ID_CUSIP")</f>
        <v>#N/A Requesting Data...</v>
      </c>
      <c r="B1737" t="s">
        <v>424</v>
      </c>
      <c r="C1737" t="str">
        <f>_xll.BDP("787855M5 Muni","INSURANCE_STATUS")</f>
        <v>#N/A Requesting Data...</v>
      </c>
      <c r="D1737" t="str">
        <f>_xll.BDP("787855M5 Muni","STATE_CODE")</f>
        <v>#N/A Requesting Data...</v>
      </c>
      <c r="E1737" t="str">
        <f>_xll.BDP("787855M5 Muni","COUNTY_LOCATION_ISSUER")</f>
        <v>#N/A Requesting Data...</v>
      </c>
      <c r="F1737" t="str">
        <f>_xll.BDP("787855M5 Muni","DUR_ADJ_MID")</f>
        <v>#N/A Requesting Data...</v>
      </c>
      <c r="G1737" t="str">
        <f>_xll.BDP("787855M5 Muni","SPREAD_AT_ISSUANCE_TO_WORST")</f>
        <v>#N/A Requesting Data...</v>
      </c>
      <c r="H1737" t="str">
        <f>_xll.BDP("787855M5 Muni","ISSUE_DT")</f>
        <v>#N/A Requesting Data...</v>
      </c>
      <c r="I1737" t="str">
        <f>_xll.BDS("787855M5 Muni","MUNI_PURPOSE_SCHED", "aggregate=y")</f>
        <v>#N/A Requesting Data...</v>
      </c>
      <c r="J1737" t="str">
        <f>_xll.BDP("787855M5 Muni","CPN")</f>
        <v>#N/A Requesting Data...</v>
      </c>
      <c r="K1737" t="str">
        <f>_xll.BDP("787855M5 Muni","MATURITY")</f>
        <v>#N/A Requesting Data...</v>
      </c>
      <c r="L1737">
        <v>215000</v>
      </c>
      <c r="M1737" t="str">
        <f>_xll.BDP("787855M5 Muni","YIELD_ON_ISSUE_DATE")</f>
        <v>#N/A Requesting Data...</v>
      </c>
      <c r="N1737" t="str">
        <f>_xll.BDP("787855M5 Muni","YTW_SPREAD_TO_MATURITY_AT_ISSU")</f>
        <v>#N/A Requesting Data...</v>
      </c>
      <c r="O1737" t="str">
        <f>_xll.BDP("787855M5 Muni","BVAL_MID_YTM")</f>
        <v>#N/A Requesting Data...</v>
      </c>
      <c r="P1737" t="str">
        <f>_xll.BDP("787855M5 Muni","MUNI_TAX_PROV")</f>
        <v>#N/A Requesting Data...</v>
      </c>
      <c r="Q1737" t="str">
        <f>_xll.BDP("787855M5 Muni","MUNI_FED_TAX")</f>
        <v>#N/A Requesting Data...</v>
      </c>
      <c r="R1737" t="str">
        <f>_xll.BDP("787855M5 Muni","MUNI_MSRB_VOLUME")</f>
        <v>#N/A Requesting Data...</v>
      </c>
      <c r="S1737" t="str">
        <f>_xll.BDP("787855M5 Muni","BB_COMPOSITE")</f>
        <v>#N/A Requesting Data...</v>
      </c>
      <c r="T1737" t="str">
        <f>_xll.BDP("787855M5 Muni","LQA_LIQUIDITY_SCORE")</f>
        <v>#N/A Requesting Data...</v>
      </c>
    </row>
    <row r="1738" spans="1:20" x14ac:dyDescent="0.25">
      <c r="A1738" t="str">
        <f>_xll.BDP("790008PU Muni","ID_CUSIP")</f>
        <v>#N/A Requesting Data...</v>
      </c>
      <c r="B1738" t="s">
        <v>425</v>
      </c>
      <c r="C1738" t="str">
        <f>_xll.BDP("790008PU Muni","INSURANCE_STATUS")</f>
        <v>#N/A Requesting Data...</v>
      </c>
      <c r="D1738" t="str">
        <f>_xll.BDP("790008PU Muni","STATE_CODE")</f>
        <v>#N/A Requesting Data...</v>
      </c>
      <c r="E1738" t="str">
        <f>_xll.BDP("790008PU Muni","COUNTY_LOCATION_ISSUER")</f>
        <v>#N/A Requesting Data...</v>
      </c>
      <c r="F1738" t="str">
        <f>_xll.BDP("790008PU Muni","DUR_ADJ_MID")</f>
        <v>#N/A Requesting Data...</v>
      </c>
      <c r="G1738" t="str">
        <f>_xll.BDP("790008PU Muni","SPREAD_AT_ISSUANCE_TO_WORST")</f>
        <v>#N/A Requesting Data...</v>
      </c>
      <c r="H1738" t="str">
        <f>_xll.BDP("790008PU Muni","ISSUE_DT")</f>
        <v>#N/A Requesting Data...</v>
      </c>
      <c r="I1738" t="str">
        <f>_xll.BDS("790008PU Muni","MUNI_PURPOSE_SCHED", "aggregate=y")</f>
        <v>#N/A Requesting Data...</v>
      </c>
      <c r="J1738" t="str">
        <f>_xll.BDP("790008PU Muni","CPN")</f>
        <v>#N/A Requesting Data...</v>
      </c>
      <c r="K1738" t="str">
        <f>_xll.BDP("790008PU Muni","MATURITY")</f>
        <v>#N/A Requesting Data...</v>
      </c>
      <c r="L1738">
        <v>60000</v>
      </c>
      <c r="M1738" t="str">
        <f>_xll.BDP("790008PU Muni","YIELD_ON_ISSUE_DATE")</f>
        <v>#N/A Requesting Data...</v>
      </c>
      <c r="N1738" t="str">
        <f>_xll.BDP("790008PU Muni","YTW_SPREAD_TO_MATURITY_AT_ISSU")</f>
        <v>#N/A Requesting Data...</v>
      </c>
      <c r="O1738" t="str">
        <f>_xll.BDP("790008PU Muni","BVAL_MID_YTM")</f>
        <v>#N/A Requesting Data...</v>
      </c>
      <c r="P1738" t="str">
        <f>_xll.BDP("790008PU Muni","MUNI_TAX_PROV")</f>
        <v>#N/A Requesting Data...</v>
      </c>
      <c r="Q1738" t="str">
        <f>_xll.BDP("790008PU Muni","MUNI_FED_TAX")</f>
        <v>#N/A Requesting Data...</v>
      </c>
      <c r="R1738" t="str">
        <f>_xll.BDP("790008PU Muni","MUNI_MSRB_VOLUME")</f>
        <v>#N/A Requesting Data...</v>
      </c>
      <c r="S1738" t="str">
        <f>_xll.BDP("790008PU Muni","BB_COMPOSITE")</f>
        <v>#N/A Requesting Data...</v>
      </c>
      <c r="T1738" t="str">
        <f>_xll.BDP("790008PU Muni","LQA_LIQUIDITY_SCORE")</f>
        <v>#N/A Requesting Data...</v>
      </c>
    </row>
    <row r="1739" spans="1:20" x14ac:dyDescent="0.25">
      <c r="A1739" t="str">
        <f>_xll.BDP("790008PV Muni","ID_CUSIP")</f>
        <v>#N/A Requesting Data...</v>
      </c>
      <c r="B1739" t="s">
        <v>425</v>
      </c>
      <c r="C1739" t="str">
        <f>_xll.BDP("790008PV Muni","INSURANCE_STATUS")</f>
        <v>#N/A Requesting Data...</v>
      </c>
      <c r="D1739" t="str">
        <f>_xll.BDP("790008PV Muni","STATE_CODE")</f>
        <v>#N/A Requesting Data...</v>
      </c>
      <c r="E1739" t="str">
        <f>_xll.BDP("790008PV Muni","COUNTY_LOCATION_ISSUER")</f>
        <v>#N/A Requesting Data...</v>
      </c>
      <c r="F1739" t="str">
        <f>_xll.BDP("790008PV Muni","DUR_ADJ_MID")</f>
        <v>#N/A Requesting Data...</v>
      </c>
      <c r="G1739" t="str">
        <f>_xll.BDP("790008PV Muni","SPREAD_AT_ISSUANCE_TO_WORST")</f>
        <v>#N/A Requesting Data...</v>
      </c>
      <c r="H1739" t="str">
        <f>_xll.BDP("790008PV Muni","ISSUE_DT")</f>
        <v>#N/A Requesting Data...</v>
      </c>
      <c r="I1739" t="str">
        <f>_xll.BDS("790008PV Muni","MUNI_PURPOSE_SCHED", "aggregate=y")</f>
        <v>#N/A Requesting Data...</v>
      </c>
      <c r="J1739" t="str">
        <f>_xll.BDP("790008PV Muni","CPN")</f>
        <v>#N/A Requesting Data...</v>
      </c>
      <c r="K1739" t="str">
        <f>_xll.BDP("790008PV Muni","MATURITY")</f>
        <v>#N/A Requesting Data...</v>
      </c>
      <c r="L1739">
        <v>65000</v>
      </c>
      <c r="M1739" t="str">
        <f>_xll.BDP("790008PV Muni","YIELD_ON_ISSUE_DATE")</f>
        <v>#N/A Requesting Data...</v>
      </c>
      <c r="N1739" t="str">
        <f>_xll.BDP("790008PV Muni","YTW_SPREAD_TO_MATURITY_AT_ISSU")</f>
        <v>#N/A Requesting Data...</v>
      </c>
      <c r="O1739" t="str">
        <f>_xll.BDP("790008PV Muni","BVAL_MID_YTM")</f>
        <v>#N/A Requesting Data...</v>
      </c>
      <c r="P1739" t="str">
        <f>_xll.BDP("790008PV Muni","MUNI_TAX_PROV")</f>
        <v>#N/A Requesting Data...</v>
      </c>
      <c r="Q1739" t="str">
        <f>_xll.BDP("790008PV Muni","MUNI_FED_TAX")</f>
        <v>#N/A Requesting Data...</v>
      </c>
      <c r="R1739" t="str">
        <f>_xll.BDP("790008PV Muni","MUNI_MSRB_VOLUME")</f>
        <v>#N/A Requesting Data...</v>
      </c>
      <c r="S1739" t="str">
        <f>_xll.BDP("790008PV Muni","BB_COMPOSITE")</f>
        <v>#N/A Requesting Data...</v>
      </c>
      <c r="T1739" t="str">
        <f>_xll.BDP("790008PV Muni","LQA_LIQUIDITY_SCORE")</f>
        <v>#N/A Requesting Data...</v>
      </c>
    </row>
    <row r="1740" spans="1:20" x14ac:dyDescent="0.25">
      <c r="A1740" t="str">
        <f>_xll.BDP("790008PW Muni","ID_CUSIP")</f>
        <v>#N/A Requesting Data...</v>
      </c>
      <c r="B1740" t="s">
        <v>425</v>
      </c>
      <c r="C1740" t="str">
        <f>_xll.BDP("790008PW Muni","INSURANCE_STATUS")</f>
        <v>#N/A Requesting Data...</v>
      </c>
      <c r="D1740" t="str">
        <f>_xll.BDP("790008PW Muni","STATE_CODE")</f>
        <v>#N/A Requesting Data...</v>
      </c>
      <c r="E1740" t="str">
        <f>_xll.BDP("790008PW Muni","COUNTY_LOCATION_ISSUER")</f>
        <v>#N/A Requesting Data...</v>
      </c>
      <c r="F1740" t="str">
        <f>_xll.BDP("790008PW Muni","DUR_ADJ_MID")</f>
        <v>#N/A Requesting Data...</v>
      </c>
      <c r="G1740" t="str">
        <f>_xll.BDP("790008PW Muni","SPREAD_AT_ISSUANCE_TO_WORST")</f>
        <v>#N/A Requesting Data...</v>
      </c>
      <c r="H1740" t="str">
        <f>_xll.BDP("790008PW Muni","ISSUE_DT")</f>
        <v>#N/A Requesting Data...</v>
      </c>
      <c r="I1740" t="str">
        <f>_xll.BDS("790008PW Muni","MUNI_PURPOSE_SCHED", "aggregate=y")</f>
        <v>#N/A Requesting Data...</v>
      </c>
      <c r="J1740" t="str">
        <f>_xll.BDP("790008PW Muni","CPN")</f>
        <v>#N/A Requesting Data...</v>
      </c>
      <c r="K1740" t="str">
        <f>_xll.BDP("790008PW Muni","MATURITY")</f>
        <v>#N/A Requesting Data...</v>
      </c>
      <c r="L1740">
        <v>65000</v>
      </c>
      <c r="M1740" t="str">
        <f>_xll.BDP("790008PW Muni","YIELD_ON_ISSUE_DATE")</f>
        <v>#N/A Requesting Data...</v>
      </c>
      <c r="N1740" t="str">
        <f>_xll.BDP("790008PW Muni","YTW_SPREAD_TO_MATURITY_AT_ISSU")</f>
        <v>#N/A Requesting Data...</v>
      </c>
      <c r="O1740" t="str">
        <f>_xll.BDP("790008PW Muni","BVAL_MID_YTM")</f>
        <v>#N/A Requesting Data...</v>
      </c>
      <c r="P1740" t="str">
        <f>_xll.BDP("790008PW Muni","MUNI_TAX_PROV")</f>
        <v>#N/A Requesting Data...</v>
      </c>
      <c r="Q1740" t="str">
        <f>_xll.BDP("790008PW Muni","MUNI_FED_TAX")</f>
        <v>#N/A Requesting Data...</v>
      </c>
      <c r="R1740" t="str">
        <f>_xll.BDP("790008PW Muni","MUNI_MSRB_VOLUME")</f>
        <v>#N/A Requesting Data...</v>
      </c>
      <c r="S1740" t="str">
        <f>_xll.BDP("790008PW Muni","BB_COMPOSITE")</f>
        <v>#N/A Requesting Data...</v>
      </c>
      <c r="T1740" t="str">
        <f>_xll.BDP("790008PW Muni","LQA_LIQUIDITY_SCORE")</f>
        <v>#N/A Requesting Data...</v>
      </c>
    </row>
    <row r="1741" spans="1:20" x14ac:dyDescent="0.25">
      <c r="A1741" t="str">
        <f>_xll.BDP("790008PX Muni","ID_CUSIP")</f>
        <v>#N/A Requesting Data...</v>
      </c>
      <c r="B1741" t="s">
        <v>425</v>
      </c>
      <c r="C1741" t="str">
        <f>_xll.BDP("790008PX Muni","INSURANCE_STATUS")</f>
        <v>#N/A Requesting Data...</v>
      </c>
      <c r="D1741" t="str">
        <f>_xll.BDP("790008PX Muni","STATE_CODE")</f>
        <v>#N/A Requesting Data...</v>
      </c>
      <c r="E1741" t="str">
        <f>_xll.BDP("790008PX Muni","COUNTY_LOCATION_ISSUER")</f>
        <v>#N/A Requesting Data...</v>
      </c>
      <c r="F1741" t="str">
        <f>_xll.BDP("790008PX Muni","DUR_ADJ_MID")</f>
        <v>#N/A Requesting Data...</v>
      </c>
      <c r="G1741" t="str">
        <f>_xll.BDP("790008PX Muni","SPREAD_AT_ISSUANCE_TO_WORST")</f>
        <v>#N/A Requesting Data...</v>
      </c>
      <c r="H1741" t="str">
        <f>_xll.BDP("790008PX Muni","ISSUE_DT")</f>
        <v>#N/A Requesting Data...</v>
      </c>
      <c r="I1741" t="str">
        <f>_xll.BDS("790008PX Muni","MUNI_PURPOSE_SCHED", "aggregate=y")</f>
        <v>#N/A Requesting Data...</v>
      </c>
      <c r="J1741" t="str">
        <f>_xll.BDP("790008PX Muni","CPN")</f>
        <v>#N/A Requesting Data...</v>
      </c>
      <c r="K1741" t="str">
        <f>_xll.BDP("790008PX Muni","MATURITY")</f>
        <v>#N/A Requesting Data...</v>
      </c>
      <c r="L1741">
        <v>65000</v>
      </c>
      <c r="M1741" t="str">
        <f>_xll.BDP("790008PX Muni","YIELD_ON_ISSUE_DATE")</f>
        <v>#N/A Requesting Data...</v>
      </c>
      <c r="N1741" t="str">
        <f>_xll.BDP("790008PX Muni","YTW_SPREAD_TO_MATURITY_AT_ISSU")</f>
        <v>#N/A Requesting Data...</v>
      </c>
      <c r="O1741" t="str">
        <f>_xll.BDP("790008PX Muni","BVAL_MID_YTM")</f>
        <v>#N/A Requesting Data...</v>
      </c>
      <c r="P1741" t="str">
        <f>_xll.BDP("790008PX Muni","MUNI_TAX_PROV")</f>
        <v>#N/A Requesting Data...</v>
      </c>
      <c r="Q1741" t="str">
        <f>_xll.BDP("790008PX Muni","MUNI_FED_TAX")</f>
        <v>#N/A Requesting Data...</v>
      </c>
      <c r="R1741" t="str">
        <f>_xll.BDP("790008PX Muni","MUNI_MSRB_VOLUME")</f>
        <v>#N/A Requesting Data...</v>
      </c>
      <c r="S1741" t="str">
        <f>_xll.BDP("790008PX Muni","BB_COMPOSITE")</f>
        <v>#N/A Requesting Data...</v>
      </c>
      <c r="T1741" t="str">
        <f>_xll.BDP("790008PX Muni","LQA_LIQUIDITY_SCORE")</f>
        <v>#N/A Requesting Data...</v>
      </c>
    </row>
    <row r="1742" spans="1:20" x14ac:dyDescent="0.25">
      <c r="A1742" t="str">
        <f>_xll.BDP("791740G5 Muni","ID_CUSIP")</f>
        <v>#N/A Requesting Data...</v>
      </c>
      <c r="B1742" t="s">
        <v>426</v>
      </c>
      <c r="C1742" t="str">
        <f>_xll.BDP("791740G5 Muni","INSURANCE_STATUS")</f>
        <v>#N/A Requesting Data...</v>
      </c>
      <c r="D1742" t="str">
        <f>_xll.BDP("791740G5 Muni","STATE_CODE")</f>
        <v>#N/A Requesting Data...</v>
      </c>
      <c r="E1742" t="str">
        <f>_xll.BDP("791740G5 Muni","COUNTY_LOCATION_ISSUER")</f>
        <v>#N/A Requesting Data...</v>
      </c>
      <c r="F1742" t="str">
        <f>_xll.BDP("791740G5 Muni","DUR_ADJ_MID")</f>
        <v>#N/A Requesting Data...</v>
      </c>
      <c r="G1742" t="str">
        <f>_xll.BDP("791740G5 Muni","SPREAD_AT_ISSUANCE_TO_WORST")</f>
        <v>#N/A Requesting Data...</v>
      </c>
      <c r="H1742" t="str">
        <f>_xll.BDP("791740G5 Muni","ISSUE_DT")</f>
        <v>#N/A Requesting Data...</v>
      </c>
      <c r="I1742" t="str">
        <f>_xll.BDS("791740G5 Muni","MUNI_PURPOSE_SCHED", "aggregate=y")</f>
        <v>#N/A Requesting Data...</v>
      </c>
      <c r="J1742" t="str">
        <f>_xll.BDP("791740G5 Muni","CPN")</f>
        <v>#N/A Requesting Data...</v>
      </c>
      <c r="K1742" t="str">
        <f>_xll.BDP("791740G5 Muni","MATURITY")</f>
        <v>#N/A Requesting Data...</v>
      </c>
      <c r="L1742">
        <v>585000</v>
      </c>
      <c r="M1742" t="str">
        <f>_xll.BDP("791740G5 Muni","YIELD_ON_ISSUE_DATE")</f>
        <v>#N/A Requesting Data...</v>
      </c>
      <c r="N1742" t="str">
        <f>_xll.BDP("791740G5 Muni","YTW_SPREAD_TO_MATURITY_AT_ISSU")</f>
        <v>#N/A Requesting Data...</v>
      </c>
      <c r="O1742" t="str">
        <f>_xll.BDP("791740G5 Muni","BVAL_MID_YTM")</f>
        <v>#N/A Requesting Data...</v>
      </c>
      <c r="P1742" t="str">
        <f>_xll.BDP("791740G5 Muni","MUNI_TAX_PROV")</f>
        <v>#N/A Requesting Data...</v>
      </c>
      <c r="Q1742" t="str">
        <f>_xll.BDP("791740G5 Muni","MUNI_FED_TAX")</f>
        <v>#N/A Requesting Data...</v>
      </c>
      <c r="R1742" t="str">
        <f>_xll.BDP("791740G5 Muni","MUNI_MSRB_VOLUME")</f>
        <v>#N/A Requesting Data...</v>
      </c>
      <c r="S1742" t="str">
        <f>_xll.BDP("791740G5 Muni","BB_COMPOSITE")</f>
        <v>#N/A Requesting Data...</v>
      </c>
      <c r="T1742" t="str">
        <f>_xll.BDP("791740G5 Muni","LQA_LIQUIDITY_SCORE")</f>
        <v>#N/A Requesting Data...</v>
      </c>
    </row>
    <row r="1743" spans="1:20" x14ac:dyDescent="0.25">
      <c r="A1743" t="str">
        <f>_xll.BDP("791740G6 Muni","ID_CUSIP")</f>
        <v>#N/A Requesting Data...</v>
      </c>
      <c r="B1743" t="s">
        <v>426</v>
      </c>
      <c r="C1743" t="str">
        <f>_xll.BDP("791740G6 Muni","INSURANCE_STATUS")</f>
        <v>#N/A Requesting Data...</v>
      </c>
      <c r="D1743" t="str">
        <f>_xll.BDP("791740G6 Muni","STATE_CODE")</f>
        <v>#N/A Requesting Data...</v>
      </c>
      <c r="E1743" t="str">
        <f>_xll.BDP("791740G6 Muni","COUNTY_LOCATION_ISSUER")</f>
        <v>#N/A Requesting Data...</v>
      </c>
      <c r="F1743" t="str">
        <f>_xll.BDP("791740G6 Muni","DUR_ADJ_MID")</f>
        <v>#N/A Requesting Data...</v>
      </c>
      <c r="G1743" t="str">
        <f>_xll.BDP("791740G6 Muni","SPREAD_AT_ISSUANCE_TO_WORST")</f>
        <v>#N/A Requesting Data...</v>
      </c>
      <c r="H1743" t="str">
        <f>_xll.BDP("791740G6 Muni","ISSUE_DT")</f>
        <v>#N/A Requesting Data...</v>
      </c>
      <c r="I1743" t="str">
        <f>_xll.BDS("791740G6 Muni","MUNI_PURPOSE_SCHED", "aggregate=y")</f>
        <v>#N/A Requesting Data...</v>
      </c>
      <c r="J1743" t="str">
        <f>_xll.BDP("791740G6 Muni","CPN")</f>
        <v>#N/A Requesting Data...</v>
      </c>
      <c r="K1743" t="str">
        <f>_xll.BDP("791740G6 Muni","MATURITY")</f>
        <v>#N/A Requesting Data...</v>
      </c>
      <c r="L1743">
        <v>605000</v>
      </c>
      <c r="M1743" t="str">
        <f>_xll.BDP("791740G6 Muni","YIELD_ON_ISSUE_DATE")</f>
        <v>#N/A Requesting Data...</v>
      </c>
      <c r="N1743" t="str">
        <f>_xll.BDP("791740G6 Muni","YTW_SPREAD_TO_MATURITY_AT_ISSU")</f>
        <v>#N/A Requesting Data...</v>
      </c>
      <c r="O1743" t="str">
        <f>_xll.BDP("791740G6 Muni","BVAL_MID_YTM")</f>
        <v>#N/A Requesting Data...</v>
      </c>
      <c r="P1743" t="str">
        <f>_xll.BDP("791740G6 Muni","MUNI_TAX_PROV")</f>
        <v>#N/A Requesting Data...</v>
      </c>
      <c r="Q1743" t="str">
        <f>_xll.BDP("791740G6 Muni","MUNI_FED_TAX")</f>
        <v>#N/A Requesting Data...</v>
      </c>
      <c r="R1743" t="str">
        <f>_xll.BDP("791740G6 Muni","MUNI_MSRB_VOLUME")</f>
        <v>#N/A Requesting Data...</v>
      </c>
      <c r="S1743" t="str">
        <f>_xll.BDP("791740G6 Muni","BB_COMPOSITE")</f>
        <v>#N/A Requesting Data...</v>
      </c>
      <c r="T1743" t="str">
        <f>_xll.BDP("791740G6 Muni","LQA_LIQUIDITY_SCORE")</f>
        <v>#N/A Requesting Data...</v>
      </c>
    </row>
    <row r="1744" spans="1:20" x14ac:dyDescent="0.25">
      <c r="A1744" t="str">
        <f>_xll.BDP("791740G7 Muni","ID_CUSIP")</f>
        <v>#N/A Requesting Data...</v>
      </c>
      <c r="B1744" t="s">
        <v>426</v>
      </c>
      <c r="C1744" t="str">
        <f>_xll.BDP("791740G7 Muni","INSURANCE_STATUS")</f>
        <v>#N/A Requesting Data...</v>
      </c>
      <c r="D1744" t="str">
        <f>_xll.BDP("791740G7 Muni","STATE_CODE")</f>
        <v>#N/A Requesting Data...</v>
      </c>
      <c r="E1744" t="str">
        <f>_xll.BDP("791740G7 Muni","COUNTY_LOCATION_ISSUER")</f>
        <v>#N/A Requesting Data...</v>
      </c>
      <c r="F1744" t="str">
        <f>_xll.BDP("791740G7 Muni","DUR_ADJ_MID")</f>
        <v>#N/A Requesting Data...</v>
      </c>
      <c r="G1744" t="str">
        <f>_xll.BDP("791740G7 Muni","SPREAD_AT_ISSUANCE_TO_WORST")</f>
        <v>#N/A Requesting Data...</v>
      </c>
      <c r="H1744" t="str">
        <f>_xll.BDP("791740G7 Muni","ISSUE_DT")</f>
        <v>#N/A Requesting Data...</v>
      </c>
      <c r="I1744" t="str">
        <f>_xll.BDS("791740G7 Muni","MUNI_PURPOSE_SCHED", "aggregate=y")</f>
        <v>#N/A Requesting Data...</v>
      </c>
      <c r="J1744" t="str">
        <f>_xll.BDP("791740G7 Muni","CPN")</f>
        <v>#N/A Requesting Data...</v>
      </c>
      <c r="K1744" t="str">
        <f>_xll.BDP("791740G7 Muni","MATURITY")</f>
        <v>#N/A Requesting Data...</v>
      </c>
      <c r="L1744">
        <v>640000</v>
      </c>
      <c r="M1744" t="str">
        <f>_xll.BDP("791740G7 Muni","YIELD_ON_ISSUE_DATE")</f>
        <v>#N/A Requesting Data...</v>
      </c>
      <c r="N1744" t="str">
        <f>_xll.BDP("791740G7 Muni","YTW_SPREAD_TO_MATURITY_AT_ISSU")</f>
        <v>#N/A Requesting Data...</v>
      </c>
      <c r="O1744" t="str">
        <f>_xll.BDP("791740G7 Muni","BVAL_MID_YTM")</f>
        <v>#N/A Requesting Data...</v>
      </c>
      <c r="P1744" t="str">
        <f>_xll.BDP("791740G7 Muni","MUNI_TAX_PROV")</f>
        <v>#N/A Requesting Data...</v>
      </c>
      <c r="Q1744" t="str">
        <f>_xll.BDP("791740G7 Muni","MUNI_FED_TAX")</f>
        <v>#N/A Requesting Data...</v>
      </c>
      <c r="R1744" t="str">
        <f>_xll.BDP("791740G7 Muni","MUNI_MSRB_VOLUME")</f>
        <v>#N/A Requesting Data...</v>
      </c>
      <c r="S1744" t="str">
        <f>_xll.BDP("791740G7 Muni","BB_COMPOSITE")</f>
        <v>#N/A Requesting Data...</v>
      </c>
      <c r="T1744" t="str">
        <f>_xll.BDP("791740G7 Muni","LQA_LIQUIDITY_SCORE")</f>
        <v>#N/A Requesting Data...</v>
      </c>
    </row>
    <row r="1745" spans="1:20" x14ac:dyDescent="0.25">
      <c r="A1745" t="str">
        <f>_xll.BDP("791740G8 Muni","ID_CUSIP")</f>
        <v>#N/A Requesting Data...</v>
      </c>
      <c r="B1745" t="s">
        <v>426</v>
      </c>
      <c r="C1745" t="str">
        <f>_xll.BDP("791740G8 Muni","INSURANCE_STATUS")</f>
        <v>#N/A Requesting Data...</v>
      </c>
      <c r="D1745" t="str">
        <f>_xll.BDP("791740G8 Muni","STATE_CODE")</f>
        <v>#N/A Requesting Data...</v>
      </c>
      <c r="E1745" t="str">
        <f>_xll.BDP("791740G8 Muni","COUNTY_LOCATION_ISSUER")</f>
        <v>#N/A Requesting Data...</v>
      </c>
      <c r="F1745" t="str">
        <f>_xll.BDP("791740G8 Muni","DUR_ADJ_MID")</f>
        <v>#N/A Requesting Data...</v>
      </c>
      <c r="G1745" t="str">
        <f>_xll.BDP("791740G8 Muni","SPREAD_AT_ISSUANCE_TO_WORST")</f>
        <v>#N/A Requesting Data...</v>
      </c>
      <c r="H1745" t="str">
        <f>_xll.BDP("791740G8 Muni","ISSUE_DT")</f>
        <v>#N/A Requesting Data...</v>
      </c>
      <c r="I1745" t="str">
        <f>_xll.BDS("791740G8 Muni","MUNI_PURPOSE_SCHED", "aggregate=y")</f>
        <v>#N/A Requesting Data...</v>
      </c>
      <c r="J1745" t="str">
        <f>_xll.BDP("791740G8 Muni","CPN")</f>
        <v>#N/A Requesting Data...</v>
      </c>
      <c r="K1745" t="str">
        <f>_xll.BDP("791740G8 Muni","MATURITY")</f>
        <v>#N/A Requesting Data...</v>
      </c>
      <c r="L1745">
        <v>655000</v>
      </c>
      <c r="M1745" t="str">
        <f>_xll.BDP("791740G8 Muni","YIELD_ON_ISSUE_DATE")</f>
        <v>#N/A Requesting Data...</v>
      </c>
      <c r="N1745" t="str">
        <f>_xll.BDP("791740G8 Muni","YTW_SPREAD_TO_MATURITY_AT_ISSU")</f>
        <v>#N/A Requesting Data...</v>
      </c>
      <c r="O1745" t="str">
        <f>_xll.BDP("791740G8 Muni","BVAL_MID_YTM")</f>
        <v>#N/A Requesting Data...</v>
      </c>
      <c r="P1745" t="str">
        <f>_xll.BDP("791740G8 Muni","MUNI_TAX_PROV")</f>
        <v>#N/A Requesting Data...</v>
      </c>
      <c r="Q1745" t="str">
        <f>_xll.BDP("791740G8 Muni","MUNI_FED_TAX")</f>
        <v>#N/A Requesting Data...</v>
      </c>
      <c r="R1745" t="str">
        <f>_xll.BDP("791740G8 Muni","MUNI_MSRB_VOLUME")</f>
        <v>#N/A Requesting Data...</v>
      </c>
      <c r="S1745" t="str">
        <f>_xll.BDP("791740G8 Muni","BB_COMPOSITE")</f>
        <v>#N/A Requesting Data...</v>
      </c>
      <c r="T1745" t="str">
        <f>_xll.BDP("791740G8 Muni","LQA_LIQUIDITY_SCORE")</f>
        <v>#N/A Requesting Data...</v>
      </c>
    </row>
    <row r="1746" spans="1:20" x14ac:dyDescent="0.25">
      <c r="A1746" t="str">
        <f>_xll.BDP("702594BV Muni","ID_CUSIP")</f>
        <v>#N/A Requesting Data...</v>
      </c>
      <c r="B1746" t="s">
        <v>427</v>
      </c>
      <c r="C1746" t="str">
        <f>_xll.BDP("702594BV Muni","INSURANCE_STATUS")</f>
        <v>#N/A Requesting Data...</v>
      </c>
      <c r="D1746" t="str">
        <f>_xll.BDP("702594BV Muni","STATE_CODE")</f>
        <v>#N/A Requesting Data...</v>
      </c>
      <c r="E1746" t="str">
        <f>_xll.BDP("702594BV Muni","COUNTY_LOCATION_ISSUER")</f>
        <v>#N/A Requesting Data...</v>
      </c>
      <c r="F1746" t="str">
        <f>_xll.BDP("702594BV Muni","DUR_ADJ_MID")</f>
        <v>#N/A Requesting Data...</v>
      </c>
      <c r="G1746" t="str">
        <f>_xll.BDP("702594BV Muni","SPREAD_AT_ISSUANCE_TO_WORST")</f>
        <v>#N/A Requesting Data...</v>
      </c>
      <c r="H1746" t="str">
        <f>_xll.BDP("702594BV Muni","ISSUE_DT")</f>
        <v>#N/A Requesting Data...</v>
      </c>
      <c r="I1746" t="str">
        <f>_xll.BDS("702594BV Muni","MUNI_PURPOSE_SCHED", "aggregate=y")</f>
        <v>#N/A Requesting Data...</v>
      </c>
      <c r="J1746" t="str">
        <f>_xll.BDP("702594BV Muni","CPN")</f>
        <v>#N/A Requesting Data...</v>
      </c>
      <c r="K1746" t="str">
        <f>_xll.BDP("702594BV Muni","MATURITY")</f>
        <v>#N/A Requesting Data...</v>
      </c>
      <c r="L1746">
        <v>30000</v>
      </c>
      <c r="M1746" t="str">
        <f>_xll.BDP("702594BV Muni","YIELD_ON_ISSUE_DATE")</f>
        <v>#N/A Requesting Data...</v>
      </c>
      <c r="N1746" t="str">
        <f>_xll.BDP("702594BV Muni","YTW_SPREAD_TO_MATURITY_AT_ISSU")</f>
        <v>#N/A Requesting Data...</v>
      </c>
      <c r="O1746" t="str">
        <f>_xll.BDP("702594BV Muni","BVAL_MID_YTM")</f>
        <v>#N/A Requesting Data...</v>
      </c>
      <c r="P1746" t="str">
        <f>_xll.BDP("702594BV Muni","MUNI_TAX_PROV")</f>
        <v>#N/A Requesting Data...</v>
      </c>
      <c r="Q1746" t="str">
        <f>_xll.BDP("702594BV Muni","MUNI_FED_TAX")</f>
        <v>#N/A Requesting Data...</v>
      </c>
      <c r="R1746" t="str">
        <f>_xll.BDP("702594BV Muni","MUNI_MSRB_VOLUME")</f>
        <v>#N/A Requesting Data...</v>
      </c>
      <c r="S1746" t="str">
        <f>_xll.BDP("702594BV Muni","BB_COMPOSITE")</f>
        <v>#N/A Requesting Data...</v>
      </c>
      <c r="T1746" t="str">
        <f>_xll.BDP("702594BV Muni","LQA_LIQUIDITY_SCORE")</f>
        <v>#N/A Requesting Data...</v>
      </c>
    </row>
    <row r="1747" spans="1:20" x14ac:dyDescent="0.25">
      <c r="A1747" t="str">
        <f>_xll.BDP("702594BW Muni","ID_CUSIP")</f>
        <v>#N/A Requesting Data...</v>
      </c>
      <c r="B1747" t="s">
        <v>427</v>
      </c>
      <c r="C1747" t="str">
        <f>_xll.BDP("702594BW Muni","INSURANCE_STATUS")</f>
        <v>#N/A Requesting Data...</v>
      </c>
      <c r="D1747" t="str">
        <f>_xll.BDP("702594BW Muni","STATE_CODE")</f>
        <v>#N/A Requesting Data...</v>
      </c>
      <c r="E1747" t="str">
        <f>_xll.BDP("702594BW Muni","COUNTY_LOCATION_ISSUER")</f>
        <v>#N/A Requesting Data...</v>
      </c>
      <c r="F1747" t="str">
        <f>_xll.BDP("702594BW Muni","DUR_ADJ_MID")</f>
        <v>#N/A Requesting Data...</v>
      </c>
      <c r="G1747" t="str">
        <f>_xll.BDP("702594BW Muni","SPREAD_AT_ISSUANCE_TO_WORST")</f>
        <v>#N/A Requesting Data...</v>
      </c>
      <c r="H1747" t="str">
        <f>_xll.BDP("702594BW Muni","ISSUE_DT")</f>
        <v>#N/A Requesting Data...</v>
      </c>
      <c r="I1747" t="str">
        <f>_xll.BDS("702594BW Muni","MUNI_PURPOSE_SCHED", "aggregate=y")</f>
        <v>#N/A Requesting Data...</v>
      </c>
      <c r="J1747" t="str">
        <f>_xll.BDP("702594BW Muni","CPN")</f>
        <v>#N/A Requesting Data...</v>
      </c>
      <c r="K1747" t="str">
        <f>_xll.BDP("702594BW Muni","MATURITY")</f>
        <v>#N/A Requesting Data...</v>
      </c>
      <c r="L1747">
        <v>30000</v>
      </c>
      <c r="M1747" t="str">
        <f>_xll.BDP("702594BW Muni","YIELD_ON_ISSUE_DATE")</f>
        <v>#N/A Requesting Data...</v>
      </c>
      <c r="N1747" t="str">
        <f>_xll.BDP("702594BW Muni","YTW_SPREAD_TO_MATURITY_AT_ISSU")</f>
        <v>#N/A Requesting Data...</v>
      </c>
      <c r="O1747" t="str">
        <f>_xll.BDP("702594BW Muni","BVAL_MID_YTM")</f>
        <v>#N/A Requesting Data...</v>
      </c>
      <c r="P1747" t="str">
        <f>_xll.BDP("702594BW Muni","MUNI_TAX_PROV")</f>
        <v>#N/A Requesting Data...</v>
      </c>
      <c r="Q1747" t="str">
        <f>_xll.BDP("702594BW Muni","MUNI_FED_TAX")</f>
        <v>#N/A Requesting Data...</v>
      </c>
      <c r="R1747" t="str">
        <f>_xll.BDP("702594BW Muni","MUNI_MSRB_VOLUME")</f>
        <v>#N/A Requesting Data...</v>
      </c>
      <c r="S1747" t="str">
        <f>_xll.BDP("702594BW Muni","BB_COMPOSITE")</f>
        <v>#N/A Requesting Data...</v>
      </c>
      <c r="T1747" t="str">
        <f>_xll.BDP("702594BW Muni","LQA_LIQUIDITY_SCORE")</f>
        <v>#N/A Requesting Data...</v>
      </c>
    </row>
    <row r="1748" spans="1:20" x14ac:dyDescent="0.25">
      <c r="A1748" t="str">
        <f>_xll.BDP("702594BY Muni","ID_CUSIP")</f>
        <v>#N/A Requesting Data...</v>
      </c>
      <c r="B1748" t="s">
        <v>427</v>
      </c>
      <c r="C1748" t="str">
        <f>_xll.BDP("702594BY Muni","INSURANCE_STATUS")</f>
        <v>#N/A Requesting Data...</v>
      </c>
      <c r="D1748" t="str">
        <f>_xll.BDP("702594BY Muni","STATE_CODE")</f>
        <v>#N/A Requesting Data...</v>
      </c>
      <c r="E1748" t="str">
        <f>_xll.BDP("702594BY Muni","COUNTY_LOCATION_ISSUER")</f>
        <v>#N/A Requesting Data...</v>
      </c>
      <c r="F1748" t="str">
        <f>_xll.BDP("702594BY Muni","DUR_ADJ_MID")</f>
        <v>#N/A Requesting Data...</v>
      </c>
      <c r="G1748" t="str">
        <f>_xll.BDP("702594BY Muni","SPREAD_AT_ISSUANCE_TO_WORST")</f>
        <v>#N/A Requesting Data...</v>
      </c>
      <c r="H1748" t="str">
        <f>_xll.BDP("702594BY Muni","ISSUE_DT")</f>
        <v>#N/A Requesting Data...</v>
      </c>
      <c r="I1748" t="str">
        <f>_xll.BDS("702594BY Muni","MUNI_PURPOSE_SCHED", "aggregate=y")</f>
        <v>#N/A Requesting Data...</v>
      </c>
      <c r="J1748" t="str">
        <f>_xll.BDP("702594BY Muni","CPN")</f>
        <v>#N/A Requesting Data...</v>
      </c>
      <c r="K1748" t="str">
        <f>_xll.BDP("702594BY Muni","MATURITY")</f>
        <v>#N/A Requesting Data...</v>
      </c>
      <c r="L1748">
        <v>35000</v>
      </c>
      <c r="M1748" t="str">
        <f>_xll.BDP("702594BY Muni","YIELD_ON_ISSUE_DATE")</f>
        <v>#N/A Requesting Data...</v>
      </c>
      <c r="N1748" t="str">
        <f>_xll.BDP("702594BY Muni","YTW_SPREAD_TO_MATURITY_AT_ISSU")</f>
        <v>#N/A Requesting Data...</v>
      </c>
      <c r="O1748" t="str">
        <f>_xll.BDP("702594BY Muni","BVAL_MID_YTM")</f>
        <v>#N/A Requesting Data...</v>
      </c>
      <c r="P1748" t="str">
        <f>_xll.BDP("702594BY Muni","MUNI_TAX_PROV")</f>
        <v>#N/A Requesting Data...</v>
      </c>
      <c r="Q1748" t="str">
        <f>_xll.BDP("702594BY Muni","MUNI_FED_TAX")</f>
        <v>#N/A Requesting Data...</v>
      </c>
      <c r="R1748" t="str">
        <f>_xll.BDP("702594BY Muni","MUNI_MSRB_VOLUME")</f>
        <v>#N/A Requesting Data...</v>
      </c>
      <c r="S1748" t="str">
        <f>_xll.BDP("702594BY Muni","BB_COMPOSITE")</f>
        <v>#N/A Requesting Data...</v>
      </c>
      <c r="T1748" t="str">
        <f>_xll.BDP("702594BY Muni","LQA_LIQUIDITY_SCORE")</f>
        <v>#N/A Requesting Data...</v>
      </c>
    </row>
    <row r="1749" spans="1:20" x14ac:dyDescent="0.25">
      <c r="A1749" t="str">
        <f>_xll.BDP("706388QX Muni","ID_CUSIP")</f>
        <v>#N/A Requesting Data...</v>
      </c>
      <c r="B1749" t="s">
        <v>428</v>
      </c>
      <c r="C1749" t="str">
        <f>_xll.BDP("706388QX Muni","INSURANCE_STATUS")</f>
        <v>#N/A Requesting Data...</v>
      </c>
      <c r="D1749" t="str">
        <f>_xll.BDP("706388QX Muni","STATE_CODE")</f>
        <v>#N/A Requesting Data...</v>
      </c>
      <c r="E1749" t="str">
        <f>_xll.BDP("706388QX Muni","COUNTY_LOCATION_ISSUER")</f>
        <v>#N/A Requesting Data...</v>
      </c>
      <c r="F1749" t="str">
        <f>_xll.BDP("706388QX Muni","DUR_ADJ_MID")</f>
        <v>#N/A Requesting Data...</v>
      </c>
      <c r="G1749" t="str">
        <f>_xll.BDP("706388QX Muni","SPREAD_AT_ISSUANCE_TO_WORST")</f>
        <v>#N/A Requesting Data...</v>
      </c>
      <c r="H1749" t="str">
        <f>_xll.BDP("706388QX Muni","ISSUE_DT")</f>
        <v>#N/A Requesting Data...</v>
      </c>
      <c r="I1749" t="str">
        <f>_xll.BDS("706388QX Muni","MUNI_PURPOSE_SCHED", "aggregate=y")</f>
        <v>#N/A Requesting Data...</v>
      </c>
      <c r="J1749" t="str">
        <f>_xll.BDP("706388QX Muni","CPN")</f>
        <v>#N/A Requesting Data...</v>
      </c>
      <c r="K1749" t="str">
        <f>_xll.BDP("706388QX Muni","MATURITY")</f>
        <v>#N/A Requesting Data...</v>
      </c>
      <c r="L1749">
        <v>340000</v>
      </c>
      <c r="M1749" t="str">
        <f>_xll.BDP("706388QX Muni","YIELD_ON_ISSUE_DATE")</f>
        <v>#N/A Requesting Data...</v>
      </c>
      <c r="N1749" t="str">
        <f>_xll.BDP("706388QX Muni","YTW_SPREAD_TO_MATURITY_AT_ISSU")</f>
        <v>#N/A Requesting Data...</v>
      </c>
      <c r="O1749" t="str">
        <f>_xll.BDP("706388QX Muni","BVAL_MID_YTM")</f>
        <v>#N/A Requesting Data...</v>
      </c>
      <c r="P1749" t="str">
        <f>_xll.BDP("706388QX Muni","MUNI_TAX_PROV")</f>
        <v>#N/A Requesting Data...</v>
      </c>
      <c r="Q1749" t="str">
        <f>_xll.BDP("706388QX Muni","MUNI_FED_TAX")</f>
        <v>#N/A Requesting Data...</v>
      </c>
      <c r="R1749" t="str">
        <f>_xll.BDP("706388QX Muni","MUNI_MSRB_VOLUME")</f>
        <v>#N/A Requesting Data...</v>
      </c>
      <c r="S1749" t="str">
        <f>_xll.BDP("706388QX Muni","BB_COMPOSITE")</f>
        <v>#N/A Requesting Data...</v>
      </c>
      <c r="T1749" t="str">
        <f>_xll.BDP("706388QX Muni","LQA_LIQUIDITY_SCORE")</f>
        <v>#N/A Requesting Data...</v>
      </c>
    </row>
    <row r="1750" spans="1:20" x14ac:dyDescent="0.25">
      <c r="A1750" t="str">
        <f>_xll.BDP("706388RA Muni","ID_CUSIP")</f>
        <v>#N/A Requesting Data...</v>
      </c>
      <c r="B1750" t="s">
        <v>428</v>
      </c>
      <c r="C1750" t="str">
        <f>_xll.BDP("706388RA Muni","INSURANCE_STATUS")</f>
        <v>#N/A Requesting Data...</v>
      </c>
      <c r="D1750" t="str">
        <f>_xll.BDP("706388RA Muni","STATE_CODE")</f>
        <v>#N/A Requesting Data...</v>
      </c>
      <c r="E1750" t="str">
        <f>_xll.BDP("706388RA Muni","COUNTY_LOCATION_ISSUER")</f>
        <v>#N/A Requesting Data...</v>
      </c>
      <c r="F1750" t="str">
        <f>_xll.BDP("706388RA Muni","DUR_ADJ_MID")</f>
        <v>#N/A Requesting Data...</v>
      </c>
      <c r="G1750" t="str">
        <f>_xll.BDP("706388RA Muni","SPREAD_AT_ISSUANCE_TO_WORST")</f>
        <v>#N/A Requesting Data...</v>
      </c>
      <c r="H1750" t="str">
        <f>_xll.BDP("706388RA Muni","ISSUE_DT")</f>
        <v>#N/A Requesting Data...</v>
      </c>
      <c r="I1750" t="str">
        <f>_xll.BDS("706388RA Muni","MUNI_PURPOSE_SCHED", "aggregate=y")</f>
        <v>#N/A Requesting Data...</v>
      </c>
      <c r="J1750" t="str">
        <f>_xll.BDP("706388RA Muni","CPN")</f>
        <v>#N/A Requesting Data...</v>
      </c>
      <c r="K1750" t="str">
        <f>_xll.BDP("706388RA Muni","MATURITY")</f>
        <v>#N/A Requesting Data...</v>
      </c>
      <c r="L1750">
        <v>305000</v>
      </c>
      <c r="M1750" t="str">
        <f>_xll.BDP("706388RA Muni","YIELD_ON_ISSUE_DATE")</f>
        <v>#N/A Requesting Data...</v>
      </c>
      <c r="N1750" t="str">
        <f>_xll.BDP("706388RA Muni","YTW_SPREAD_TO_MATURITY_AT_ISSU")</f>
        <v>#N/A Requesting Data...</v>
      </c>
      <c r="O1750" t="str">
        <f>_xll.BDP("706388RA Muni","BVAL_MID_YTM")</f>
        <v>#N/A Requesting Data...</v>
      </c>
      <c r="P1750" t="str">
        <f>_xll.BDP("706388RA Muni","MUNI_TAX_PROV")</f>
        <v>#N/A Requesting Data...</v>
      </c>
      <c r="Q1750" t="str">
        <f>_xll.BDP("706388RA Muni","MUNI_FED_TAX")</f>
        <v>#N/A Requesting Data...</v>
      </c>
      <c r="R1750" t="str">
        <f>_xll.BDP("706388RA Muni","MUNI_MSRB_VOLUME")</f>
        <v>#N/A Requesting Data...</v>
      </c>
      <c r="S1750" t="str">
        <f>_xll.BDP("706388RA Muni","BB_COMPOSITE")</f>
        <v>#N/A Requesting Data...</v>
      </c>
      <c r="T1750" t="str">
        <f>_xll.BDP("706388RA Muni","LQA_LIQUIDITY_SCORE")</f>
        <v>#N/A Requesting Data...</v>
      </c>
    </row>
    <row r="1751" spans="1:20" x14ac:dyDescent="0.25">
      <c r="A1751" t="str">
        <f>_xll.BDP("706388RB Muni","ID_CUSIP")</f>
        <v>#N/A Requesting Data...</v>
      </c>
      <c r="B1751" t="s">
        <v>428</v>
      </c>
      <c r="C1751" t="str">
        <f>_xll.BDP("706388RB Muni","INSURANCE_STATUS")</f>
        <v>#N/A Requesting Data...</v>
      </c>
      <c r="D1751" t="str">
        <f>_xll.BDP("706388RB Muni","STATE_CODE")</f>
        <v>#N/A Requesting Data...</v>
      </c>
      <c r="E1751" t="str">
        <f>_xll.BDP("706388RB Muni","COUNTY_LOCATION_ISSUER")</f>
        <v>#N/A Requesting Data...</v>
      </c>
      <c r="F1751" t="str">
        <f>_xll.BDP("706388RB Muni","DUR_ADJ_MID")</f>
        <v>#N/A Requesting Data...</v>
      </c>
      <c r="G1751" t="str">
        <f>_xll.BDP("706388RB Muni","SPREAD_AT_ISSUANCE_TO_WORST")</f>
        <v>#N/A Requesting Data...</v>
      </c>
      <c r="H1751" t="str">
        <f>_xll.BDP("706388RB Muni","ISSUE_DT")</f>
        <v>#N/A Requesting Data...</v>
      </c>
      <c r="I1751" t="str">
        <f>_xll.BDS("706388RB Muni","MUNI_PURPOSE_SCHED", "aggregate=y")</f>
        <v>#N/A Requesting Data...</v>
      </c>
      <c r="J1751" t="str">
        <f>_xll.BDP("706388RB Muni","CPN")</f>
        <v>#N/A Requesting Data...</v>
      </c>
      <c r="K1751" t="str">
        <f>_xll.BDP("706388RB Muni","MATURITY")</f>
        <v>#N/A Requesting Data...</v>
      </c>
      <c r="L1751">
        <v>265000</v>
      </c>
      <c r="M1751" t="str">
        <f>_xll.BDP("706388RB Muni","YIELD_ON_ISSUE_DATE")</f>
        <v>#N/A Requesting Data...</v>
      </c>
      <c r="N1751" t="str">
        <f>_xll.BDP("706388RB Muni","YTW_SPREAD_TO_MATURITY_AT_ISSU")</f>
        <v>#N/A Requesting Data...</v>
      </c>
      <c r="O1751" t="str">
        <f>_xll.BDP("706388RB Muni","BVAL_MID_YTM")</f>
        <v>#N/A Requesting Data...</v>
      </c>
      <c r="P1751" t="str">
        <f>_xll.BDP("706388RB Muni","MUNI_TAX_PROV")</f>
        <v>#N/A Requesting Data...</v>
      </c>
      <c r="Q1751" t="str">
        <f>_xll.BDP("706388RB Muni","MUNI_FED_TAX")</f>
        <v>#N/A Requesting Data...</v>
      </c>
      <c r="R1751" t="str">
        <f>_xll.BDP("706388RB Muni","MUNI_MSRB_VOLUME")</f>
        <v>#N/A Requesting Data...</v>
      </c>
      <c r="S1751" t="str">
        <f>_xll.BDP("706388RB Muni","BB_COMPOSITE")</f>
        <v>#N/A Requesting Data...</v>
      </c>
      <c r="T1751" t="str">
        <f>_xll.BDP("706388RB Muni","LQA_LIQUIDITY_SCORE")</f>
        <v>#N/A Requesting Data...</v>
      </c>
    </row>
    <row r="1752" spans="1:20" x14ac:dyDescent="0.25">
      <c r="A1752" t="str">
        <f>_xll.BDP("876634HQ Muni","ID_CUSIP")</f>
        <v>#N/A Requesting Data...</v>
      </c>
      <c r="B1752" t="s">
        <v>429</v>
      </c>
      <c r="C1752" t="str">
        <f>_xll.BDP("876634HQ Muni","INSURANCE_STATUS")</f>
        <v>#N/A Requesting Data...</v>
      </c>
      <c r="D1752" t="str">
        <f>_xll.BDP("876634HQ Muni","STATE_CODE")</f>
        <v>#N/A Requesting Data...</v>
      </c>
      <c r="E1752" t="str">
        <f>_xll.BDP("876634HQ Muni","COUNTY_LOCATION_ISSUER")</f>
        <v>#N/A Requesting Data...</v>
      </c>
      <c r="F1752" t="str">
        <f>_xll.BDP("876634HQ Muni","DUR_ADJ_MID")</f>
        <v>#N/A Requesting Data...</v>
      </c>
      <c r="G1752" t="str">
        <f>_xll.BDP("876634HQ Muni","SPREAD_AT_ISSUANCE_TO_WORST")</f>
        <v>#N/A Requesting Data...</v>
      </c>
      <c r="H1752" t="str">
        <f>_xll.BDP("876634HQ Muni","ISSUE_DT")</f>
        <v>#N/A Requesting Data...</v>
      </c>
      <c r="I1752" t="str">
        <f>_xll.BDS("876634HQ Muni","MUNI_PURPOSE_SCHED", "aggregate=y")</f>
        <v>#N/A Requesting Data...</v>
      </c>
      <c r="J1752" t="str">
        <f>_xll.BDP("876634HQ Muni","CPN")</f>
        <v>#N/A Requesting Data...</v>
      </c>
      <c r="K1752" t="str">
        <f>_xll.BDP("876634HQ Muni","MATURITY")</f>
        <v>#N/A Requesting Data...</v>
      </c>
      <c r="L1752">
        <v>210000</v>
      </c>
      <c r="M1752" t="str">
        <f>_xll.BDP("876634HQ Muni","YIELD_ON_ISSUE_DATE")</f>
        <v>#N/A Requesting Data...</v>
      </c>
      <c r="N1752" t="str">
        <f>_xll.BDP("876634HQ Muni","YTW_SPREAD_TO_MATURITY_AT_ISSU")</f>
        <v>#N/A Requesting Data...</v>
      </c>
      <c r="O1752" t="str">
        <f>_xll.BDP("876634HQ Muni","BVAL_MID_YTM")</f>
        <v>#N/A Requesting Data...</v>
      </c>
      <c r="P1752" t="str">
        <f>_xll.BDP("876634HQ Muni","MUNI_TAX_PROV")</f>
        <v>#N/A Requesting Data...</v>
      </c>
      <c r="Q1752" t="str">
        <f>_xll.BDP("876634HQ Muni","MUNI_FED_TAX")</f>
        <v>#N/A Requesting Data...</v>
      </c>
      <c r="R1752" t="str">
        <f>_xll.BDP("876634HQ Muni","MUNI_MSRB_VOLUME")</f>
        <v>#N/A Requesting Data...</v>
      </c>
      <c r="S1752" t="str">
        <f>_xll.BDP("876634HQ Muni","BB_COMPOSITE")</f>
        <v>#N/A Requesting Data...</v>
      </c>
      <c r="T1752" t="str">
        <f>_xll.BDP("876634HQ Muni","LQA_LIQUIDITY_SCORE")</f>
        <v>#N/A Requesting Data...</v>
      </c>
    </row>
    <row r="1753" spans="1:20" x14ac:dyDescent="0.25">
      <c r="A1753" t="str">
        <f>_xll.BDP("876634HR Muni","ID_CUSIP")</f>
        <v>#N/A Requesting Data...</v>
      </c>
      <c r="B1753" t="s">
        <v>429</v>
      </c>
      <c r="C1753" t="str">
        <f>_xll.BDP("876634HR Muni","INSURANCE_STATUS")</f>
        <v>#N/A Requesting Data...</v>
      </c>
      <c r="D1753" t="str">
        <f>_xll.BDP("876634HR Muni","STATE_CODE")</f>
        <v>#N/A Requesting Data...</v>
      </c>
      <c r="E1753" t="str">
        <f>_xll.BDP("876634HR Muni","COUNTY_LOCATION_ISSUER")</f>
        <v>#N/A Requesting Data...</v>
      </c>
      <c r="F1753" t="str">
        <f>_xll.BDP("876634HR Muni","DUR_ADJ_MID")</f>
        <v>#N/A Requesting Data...</v>
      </c>
      <c r="G1753" t="str">
        <f>_xll.BDP("876634HR Muni","SPREAD_AT_ISSUANCE_TO_WORST")</f>
        <v>#N/A Requesting Data...</v>
      </c>
      <c r="H1753" t="str">
        <f>_xll.BDP("876634HR Muni","ISSUE_DT")</f>
        <v>#N/A Requesting Data...</v>
      </c>
      <c r="I1753" t="str">
        <f>_xll.BDS("876634HR Muni","MUNI_PURPOSE_SCHED", "aggregate=y")</f>
        <v>#N/A Requesting Data...</v>
      </c>
      <c r="J1753" t="str">
        <f>_xll.BDP("876634HR Muni","CPN")</f>
        <v>#N/A Requesting Data...</v>
      </c>
      <c r="K1753" t="str">
        <f>_xll.BDP("876634HR Muni","MATURITY")</f>
        <v>#N/A Requesting Data...</v>
      </c>
      <c r="L1753">
        <v>215000</v>
      </c>
      <c r="M1753" t="str">
        <f>_xll.BDP("876634HR Muni","YIELD_ON_ISSUE_DATE")</f>
        <v>#N/A Requesting Data...</v>
      </c>
      <c r="N1753" t="str">
        <f>_xll.BDP("876634HR Muni","YTW_SPREAD_TO_MATURITY_AT_ISSU")</f>
        <v>#N/A Requesting Data...</v>
      </c>
      <c r="O1753" t="str">
        <f>_xll.BDP("876634HR Muni","BVAL_MID_YTM")</f>
        <v>#N/A Requesting Data...</v>
      </c>
      <c r="P1753" t="str">
        <f>_xll.BDP("876634HR Muni","MUNI_TAX_PROV")</f>
        <v>#N/A Requesting Data...</v>
      </c>
      <c r="Q1753" t="str">
        <f>_xll.BDP("876634HR Muni","MUNI_FED_TAX")</f>
        <v>#N/A Requesting Data...</v>
      </c>
      <c r="R1753" t="str">
        <f>_xll.BDP("876634HR Muni","MUNI_MSRB_VOLUME")</f>
        <v>#N/A Requesting Data...</v>
      </c>
      <c r="S1753" t="str">
        <f>_xll.BDP("876634HR Muni","BB_COMPOSITE")</f>
        <v>#N/A Requesting Data...</v>
      </c>
      <c r="T1753" t="str">
        <f>_xll.BDP("876634HR Muni","LQA_LIQUIDITY_SCORE")</f>
        <v>#N/A Requesting Data...</v>
      </c>
    </row>
    <row r="1754" spans="1:20" x14ac:dyDescent="0.25">
      <c r="A1754" t="str">
        <f>_xll.BDP("878852CZ Muni","ID_CUSIP")</f>
        <v>#N/A Requesting Data...</v>
      </c>
      <c r="B1754" t="s">
        <v>430</v>
      </c>
      <c r="C1754" t="str">
        <f>_xll.BDP("878852CZ Muni","INSURANCE_STATUS")</f>
        <v>#N/A Requesting Data...</v>
      </c>
      <c r="D1754" t="str">
        <f>_xll.BDP("878852CZ Muni","STATE_CODE")</f>
        <v>#N/A Requesting Data...</v>
      </c>
      <c r="E1754" t="str">
        <f>_xll.BDP("878852CZ Muni","COUNTY_LOCATION_ISSUER")</f>
        <v>#N/A Requesting Data...</v>
      </c>
      <c r="F1754" t="str">
        <f>_xll.BDP("878852CZ Muni","DUR_ADJ_MID")</f>
        <v>#N/A Requesting Data...</v>
      </c>
      <c r="G1754" t="str">
        <f>_xll.BDP("878852CZ Muni","SPREAD_AT_ISSUANCE_TO_WORST")</f>
        <v>#N/A Requesting Data...</v>
      </c>
      <c r="H1754" t="str">
        <f>_xll.BDP("878852CZ Muni","ISSUE_DT")</f>
        <v>#N/A Requesting Data...</v>
      </c>
      <c r="I1754" t="str">
        <f>_xll.BDS("878852CZ Muni","MUNI_PURPOSE_SCHED", "aggregate=y")</f>
        <v>#N/A Requesting Data...</v>
      </c>
      <c r="J1754" t="str">
        <f>_xll.BDP("878852CZ Muni","CPN")</f>
        <v>#N/A Requesting Data...</v>
      </c>
      <c r="K1754" t="str">
        <f>_xll.BDP("878852CZ Muni","MATURITY")</f>
        <v>#N/A Requesting Data...</v>
      </c>
      <c r="L1754">
        <v>135000</v>
      </c>
      <c r="M1754" t="str">
        <f>_xll.BDP("878852CZ Muni","YIELD_ON_ISSUE_DATE")</f>
        <v>#N/A Requesting Data...</v>
      </c>
      <c r="N1754" t="str">
        <f>_xll.BDP("878852CZ Muni","YTW_SPREAD_TO_MATURITY_AT_ISSU")</f>
        <v>#N/A Requesting Data...</v>
      </c>
      <c r="O1754" t="str">
        <f>_xll.BDP("878852CZ Muni","BVAL_MID_YTM")</f>
        <v>#N/A Requesting Data...</v>
      </c>
      <c r="P1754" t="str">
        <f>_xll.BDP("878852CZ Muni","MUNI_TAX_PROV")</f>
        <v>#N/A Requesting Data...</v>
      </c>
      <c r="Q1754" t="str">
        <f>_xll.BDP("878852CZ Muni","MUNI_FED_TAX")</f>
        <v>#N/A Requesting Data...</v>
      </c>
      <c r="R1754" t="str">
        <f>_xll.BDP("878852CZ Muni","MUNI_MSRB_VOLUME")</f>
        <v>#N/A Requesting Data...</v>
      </c>
      <c r="S1754" t="str">
        <f>_xll.BDP("878852CZ Muni","BB_COMPOSITE")</f>
        <v>#N/A Requesting Data...</v>
      </c>
      <c r="T1754" t="str">
        <f>_xll.BDP("878852CZ Muni","LQA_LIQUIDITY_SCORE")</f>
        <v>#N/A Requesting Data...</v>
      </c>
    </row>
    <row r="1755" spans="1:20" x14ac:dyDescent="0.25">
      <c r="A1755" t="str">
        <f>_xll.BDP("87975CAC Muni","ID_CUSIP")</f>
        <v>#N/A Requesting Data...</v>
      </c>
      <c r="B1755" t="s">
        <v>422</v>
      </c>
      <c r="C1755" t="str">
        <f>_xll.BDP("87975CAC Muni","INSURANCE_STATUS")</f>
        <v>#N/A Requesting Data...</v>
      </c>
      <c r="D1755" t="str">
        <f>_xll.BDP("87975CAC Muni","STATE_CODE")</f>
        <v>#N/A Requesting Data...</v>
      </c>
      <c r="E1755" t="str">
        <f>_xll.BDP("87975CAC Muni","COUNTY_LOCATION_ISSUER")</f>
        <v>#N/A Requesting Data...</v>
      </c>
      <c r="F1755" t="str">
        <f>_xll.BDP("87975CAC Muni","DUR_ADJ_MID")</f>
        <v>#N/A Requesting Data...</v>
      </c>
      <c r="G1755" t="str">
        <f>_xll.BDP("87975CAC Muni","SPREAD_AT_ISSUANCE_TO_WORST")</f>
        <v>#N/A Requesting Data...</v>
      </c>
      <c r="H1755" t="str">
        <f>_xll.BDP("87975CAC Muni","ISSUE_DT")</f>
        <v>#N/A Requesting Data...</v>
      </c>
      <c r="I1755" t="str">
        <f>_xll.BDS("87975CAC Muni","MUNI_PURPOSE_SCHED", "aggregate=y")</f>
        <v>#N/A Requesting Data...</v>
      </c>
      <c r="J1755" t="str">
        <f>_xll.BDP("87975CAC Muni","CPN")</f>
        <v>#N/A Requesting Data...</v>
      </c>
      <c r="K1755" t="str">
        <f>_xll.BDP("87975CAC Muni","MATURITY")</f>
        <v>#N/A Requesting Data...</v>
      </c>
      <c r="L1755">
        <v>475000</v>
      </c>
      <c r="M1755" t="str">
        <f>_xll.BDP("87975CAC Muni","YIELD_ON_ISSUE_DATE")</f>
        <v>#N/A Requesting Data...</v>
      </c>
      <c r="N1755" t="str">
        <f>_xll.BDP("87975CAC Muni","YTW_SPREAD_TO_MATURITY_AT_ISSU")</f>
        <v>#N/A Requesting Data...</v>
      </c>
      <c r="O1755" t="str">
        <f>_xll.BDP("87975CAC Muni","BVAL_MID_YTM")</f>
        <v>#N/A Requesting Data...</v>
      </c>
      <c r="P1755" t="str">
        <f>_xll.BDP("87975CAC Muni","MUNI_TAX_PROV")</f>
        <v>#N/A Requesting Data...</v>
      </c>
      <c r="Q1755" t="str">
        <f>_xll.BDP("87975CAC Muni","MUNI_FED_TAX")</f>
        <v>#N/A Requesting Data...</v>
      </c>
      <c r="R1755" t="str">
        <f>_xll.BDP("87975CAC Muni","MUNI_MSRB_VOLUME")</f>
        <v>#N/A Requesting Data...</v>
      </c>
      <c r="S1755" t="str">
        <f>_xll.BDP("87975CAC Muni","BB_COMPOSITE")</f>
        <v>#N/A Requesting Data...</v>
      </c>
      <c r="T1755" t="str">
        <f>_xll.BDP("87975CAC Muni","LQA_LIQUIDITY_SCORE")</f>
        <v>#N/A Requesting Data...</v>
      </c>
    </row>
    <row r="1756" spans="1:20" x14ac:dyDescent="0.25">
      <c r="A1756" t="str">
        <f>_xll.BDP("87975CAE Muni","ID_CUSIP")</f>
        <v>#N/A Requesting Data...</v>
      </c>
      <c r="B1756" t="s">
        <v>422</v>
      </c>
      <c r="C1756" t="str">
        <f>_xll.BDP("87975CAE Muni","INSURANCE_STATUS")</f>
        <v>#N/A Requesting Data...</v>
      </c>
      <c r="D1756" t="str">
        <f>_xll.BDP("87975CAE Muni","STATE_CODE")</f>
        <v>#N/A Requesting Data...</v>
      </c>
      <c r="E1756" t="str">
        <f>_xll.BDP("87975CAE Muni","COUNTY_LOCATION_ISSUER")</f>
        <v>#N/A Requesting Data...</v>
      </c>
      <c r="F1756" t="str">
        <f>_xll.BDP("87975CAE Muni","DUR_ADJ_MID")</f>
        <v>#N/A Requesting Data...</v>
      </c>
      <c r="G1756" t="str">
        <f>_xll.BDP("87975CAE Muni","SPREAD_AT_ISSUANCE_TO_WORST")</f>
        <v>#N/A Requesting Data...</v>
      </c>
      <c r="H1756" t="str">
        <f>_xll.BDP("87975CAE Muni","ISSUE_DT")</f>
        <v>#N/A Requesting Data...</v>
      </c>
      <c r="I1756" t="str">
        <f>_xll.BDS("87975CAE Muni","MUNI_PURPOSE_SCHED", "aggregate=y")</f>
        <v>#N/A Requesting Data...</v>
      </c>
      <c r="J1756" t="str">
        <f>_xll.BDP("87975CAE Muni","CPN")</f>
        <v>#N/A Requesting Data...</v>
      </c>
      <c r="K1756" t="str">
        <f>_xll.BDP("87975CAE Muni","MATURITY")</f>
        <v>#N/A Requesting Data...</v>
      </c>
      <c r="L1756">
        <v>505000</v>
      </c>
      <c r="M1756" t="str">
        <f>_xll.BDP("87975CAE Muni","YIELD_ON_ISSUE_DATE")</f>
        <v>#N/A Requesting Data...</v>
      </c>
      <c r="N1756" t="str">
        <f>_xll.BDP("87975CAE Muni","YTW_SPREAD_TO_MATURITY_AT_ISSU")</f>
        <v>#N/A Requesting Data...</v>
      </c>
      <c r="O1756" t="str">
        <f>_xll.BDP("87975CAE Muni","BVAL_MID_YTM")</f>
        <v>#N/A Requesting Data...</v>
      </c>
      <c r="P1756" t="str">
        <f>_xll.BDP("87975CAE Muni","MUNI_TAX_PROV")</f>
        <v>#N/A Requesting Data...</v>
      </c>
      <c r="Q1756" t="str">
        <f>_xll.BDP("87975CAE Muni","MUNI_FED_TAX")</f>
        <v>#N/A Requesting Data...</v>
      </c>
      <c r="R1756" t="str">
        <f>_xll.BDP("87975CAE Muni","MUNI_MSRB_VOLUME")</f>
        <v>#N/A Requesting Data...</v>
      </c>
      <c r="S1756" t="str">
        <f>_xll.BDP("87975CAE Muni","BB_COMPOSITE")</f>
        <v>#N/A Requesting Data...</v>
      </c>
      <c r="T1756" t="str">
        <f>_xll.BDP("87975CAE Muni","LQA_LIQUIDITY_SCORE")</f>
        <v>#N/A Requesting Data...</v>
      </c>
    </row>
    <row r="1757" spans="1:20" x14ac:dyDescent="0.25">
      <c r="A1757" t="str">
        <f>_xll.BDP("78764YDM Muni","ID_CUSIP")</f>
        <v>#N/A Requesting Data...</v>
      </c>
      <c r="B1757" t="s">
        <v>423</v>
      </c>
      <c r="C1757" t="str">
        <f>_xll.BDP("78764YDM Muni","INSURANCE_STATUS")</f>
        <v>#N/A Requesting Data...</v>
      </c>
      <c r="D1757" t="str">
        <f>_xll.BDP("78764YDM Muni","STATE_CODE")</f>
        <v>#N/A Requesting Data...</v>
      </c>
      <c r="E1757" t="str">
        <f>_xll.BDP("78764YDM Muni","COUNTY_LOCATION_ISSUER")</f>
        <v>#N/A Requesting Data...</v>
      </c>
      <c r="F1757" t="str">
        <f>_xll.BDP("78764YDM Muni","DUR_ADJ_MID")</f>
        <v>#N/A Requesting Data...</v>
      </c>
      <c r="G1757" t="str">
        <f>_xll.BDP("78764YDM Muni","SPREAD_AT_ISSUANCE_TO_WORST")</f>
        <v>#N/A Requesting Data...</v>
      </c>
      <c r="H1757" t="str">
        <f>_xll.BDP("78764YDM Muni","ISSUE_DT")</f>
        <v>#N/A Requesting Data...</v>
      </c>
      <c r="I1757" t="str">
        <f>_xll.BDS("78764YDM Muni","MUNI_PURPOSE_SCHED", "aggregate=y")</f>
        <v>#N/A Requesting Data...</v>
      </c>
      <c r="J1757" t="str">
        <f>_xll.BDP("78764YDM Muni","CPN")</f>
        <v>#N/A Requesting Data...</v>
      </c>
      <c r="K1757" t="str">
        <f>_xll.BDP("78764YDM Muni","MATURITY")</f>
        <v>#N/A Requesting Data...</v>
      </c>
      <c r="L1757">
        <v>280000</v>
      </c>
      <c r="M1757" t="str">
        <f>_xll.BDP("78764YDM Muni","YIELD_ON_ISSUE_DATE")</f>
        <v>#N/A Requesting Data...</v>
      </c>
      <c r="N1757" t="str">
        <f>_xll.BDP("78764YDM Muni","YTW_SPREAD_TO_MATURITY_AT_ISSU")</f>
        <v>#N/A Requesting Data...</v>
      </c>
      <c r="O1757" t="str">
        <f>_xll.BDP("78764YDM Muni","BVAL_MID_YTM")</f>
        <v>#N/A Requesting Data...</v>
      </c>
      <c r="P1757" t="str">
        <f>_xll.BDP("78764YDM Muni","MUNI_TAX_PROV")</f>
        <v>#N/A Requesting Data...</v>
      </c>
      <c r="Q1757" t="str">
        <f>_xll.BDP("78764YDM Muni","MUNI_FED_TAX")</f>
        <v>#N/A Requesting Data...</v>
      </c>
      <c r="R1757" t="str">
        <f>_xll.BDP("78764YDM Muni","MUNI_MSRB_VOLUME")</f>
        <v>#N/A Requesting Data...</v>
      </c>
      <c r="S1757" t="str">
        <f>_xll.BDP("78764YDM Muni","BB_COMPOSITE")</f>
        <v>#N/A Requesting Data...</v>
      </c>
      <c r="T1757" t="str">
        <f>_xll.BDP("78764YDM Muni","LQA_LIQUIDITY_SCORE")</f>
        <v>#N/A Requesting Data...</v>
      </c>
    </row>
    <row r="1758" spans="1:20" x14ac:dyDescent="0.25">
      <c r="A1758" t="str">
        <f>_xll.BDP("78764YDN Muni","ID_CUSIP")</f>
        <v>#N/A Requesting Data...</v>
      </c>
      <c r="B1758" t="s">
        <v>423</v>
      </c>
      <c r="C1758" t="str">
        <f>_xll.BDP("78764YDN Muni","INSURANCE_STATUS")</f>
        <v>#N/A Requesting Data...</v>
      </c>
      <c r="D1758" t="str">
        <f>_xll.BDP("78764YDN Muni","STATE_CODE")</f>
        <v>#N/A Requesting Data...</v>
      </c>
      <c r="E1758" t="str">
        <f>_xll.BDP("78764YDN Muni","COUNTY_LOCATION_ISSUER")</f>
        <v>#N/A Requesting Data...</v>
      </c>
      <c r="F1758" t="str">
        <f>_xll.BDP("78764YDN Muni","DUR_ADJ_MID")</f>
        <v>#N/A Requesting Data...</v>
      </c>
      <c r="G1758" t="str">
        <f>_xll.BDP("78764YDN Muni","SPREAD_AT_ISSUANCE_TO_WORST")</f>
        <v>#N/A Requesting Data...</v>
      </c>
      <c r="H1758" t="str">
        <f>_xll.BDP("78764YDN Muni","ISSUE_DT")</f>
        <v>#N/A Requesting Data...</v>
      </c>
      <c r="I1758" t="str">
        <f>_xll.BDS("78764YDN Muni","MUNI_PURPOSE_SCHED", "aggregate=y")</f>
        <v>#N/A Requesting Data...</v>
      </c>
      <c r="J1758" t="str">
        <f>_xll.BDP("78764YDN Muni","CPN")</f>
        <v>#N/A Requesting Data...</v>
      </c>
      <c r="K1758" t="str">
        <f>_xll.BDP("78764YDN Muni","MATURITY")</f>
        <v>#N/A Requesting Data...</v>
      </c>
      <c r="L1758">
        <v>745000</v>
      </c>
      <c r="M1758" t="str">
        <f>_xll.BDP("78764YDN Muni","YIELD_ON_ISSUE_DATE")</f>
        <v>#N/A Requesting Data...</v>
      </c>
      <c r="N1758" t="str">
        <f>_xll.BDP("78764YDN Muni","YTW_SPREAD_TO_MATURITY_AT_ISSU")</f>
        <v>#N/A Requesting Data...</v>
      </c>
      <c r="O1758" t="str">
        <f>_xll.BDP("78764YDN Muni","BVAL_MID_YTM")</f>
        <v>#N/A Requesting Data...</v>
      </c>
      <c r="P1758" t="str">
        <f>_xll.BDP("78764YDN Muni","MUNI_TAX_PROV")</f>
        <v>#N/A Requesting Data...</v>
      </c>
      <c r="Q1758" t="str">
        <f>_xll.BDP("78764YDN Muni","MUNI_FED_TAX")</f>
        <v>#N/A Requesting Data...</v>
      </c>
      <c r="R1758" t="str">
        <f>_xll.BDP("78764YDN Muni","MUNI_MSRB_VOLUME")</f>
        <v>#N/A Requesting Data...</v>
      </c>
      <c r="S1758" t="str">
        <f>_xll.BDP("78764YDN Muni","BB_COMPOSITE")</f>
        <v>#N/A Requesting Data...</v>
      </c>
      <c r="T1758" t="str">
        <f>_xll.BDP("78764YDN Muni","LQA_LIQUIDITY_SCORE")</f>
        <v>#N/A Requesting Data...</v>
      </c>
    </row>
    <row r="1759" spans="1:20" x14ac:dyDescent="0.25">
      <c r="A1759" t="str">
        <f>_xll.BDP("787855M6 Muni","ID_CUSIP")</f>
        <v>#N/A Requesting Data...</v>
      </c>
      <c r="B1759" t="s">
        <v>424</v>
      </c>
      <c r="C1759" t="str">
        <f>_xll.BDP("787855M6 Muni","INSURANCE_STATUS")</f>
        <v>#N/A Requesting Data...</v>
      </c>
      <c r="D1759" t="str">
        <f>_xll.BDP("787855M6 Muni","STATE_CODE")</f>
        <v>#N/A Requesting Data...</v>
      </c>
      <c r="E1759" t="str">
        <f>_xll.BDP("787855M6 Muni","COUNTY_LOCATION_ISSUER")</f>
        <v>#N/A Requesting Data...</v>
      </c>
      <c r="F1759" t="str">
        <f>_xll.BDP("787855M6 Muni","DUR_ADJ_MID")</f>
        <v>#N/A Requesting Data...</v>
      </c>
      <c r="G1759" t="str">
        <f>_xll.BDP("787855M6 Muni","SPREAD_AT_ISSUANCE_TO_WORST")</f>
        <v>#N/A Requesting Data...</v>
      </c>
      <c r="H1759" t="str">
        <f>_xll.BDP("787855M6 Muni","ISSUE_DT")</f>
        <v>#N/A Requesting Data...</v>
      </c>
      <c r="I1759" t="str">
        <f>_xll.BDS("787855M6 Muni","MUNI_PURPOSE_SCHED", "aggregate=y")</f>
        <v>#N/A Requesting Data...</v>
      </c>
      <c r="J1759" t="str">
        <f>_xll.BDP("787855M6 Muni","CPN")</f>
        <v>#N/A Requesting Data...</v>
      </c>
      <c r="K1759" t="str">
        <f>_xll.BDP("787855M6 Muni","MATURITY")</f>
        <v>#N/A Requesting Data...</v>
      </c>
      <c r="L1759">
        <v>225000</v>
      </c>
      <c r="M1759" t="str">
        <f>_xll.BDP("787855M6 Muni","YIELD_ON_ISSUE_DATE")</f>
        <v>#N/A Requesting Data...</v>
      </c>
      <c r="N1759" t="str">
        <f>_xll.BDP("787855M6 Muni","YTW_SPREAD_TO_MATURITY_AT_ISSU")</f>
        <v>#N/A Requesting Data...</v>
      </c>
      <c r="O1759" t="str">
        <f>_xll.BDP("787855M6 Muni","BVAL_MID_YTM")</f>
        <v>#N/A Requesting Data...</v>
      </c>
      <c r="P1759" t="str">
        <f>_xll.BDP("787855M6 Muni","MUNI_TAX_PROV")</f>
        <v>#N/A Requesting Data...</v>
      </c>
      <c r="Q1759" t="str">
        <f>_xll.BDP("787855M6 Muni","MUNI_FED_TAX")</f>
        <v>#N/A Requesting Data...</v>
      </c>
      <c r="R1759" t="str">
        <f>_xll.BDP("787855M6 Muni","MUNI_MSRB_VOLUME")</f>
        <v>#N/A Requesting Data...</v>
      </c>
      <c r="S1759" t="str">
        <f>_xll.BDP("787855M6 Muni","BB_COMPOSITE")</f>
        <v>#N/A Requesting Data...</v>
      </c>
      <c r="T1759" t="str">
        <f>_xll.BDP("787855M6 Muni","LQA_LIQUIDITY_SCORE")</f>
        <v>#N/A Requesting Data...</v>
      </c>
    </row>
    <row r="1760" spans="1:20" x14ac:dyDescent="0.25">
      <c r="A1760" t="str">
        <f>_xll.BDP("787855M7 Muni","ID_CUSIP")</f>
        <v>#N/A Requesting Data...</v>
      </c>
      <c r="B1760" t="s">
        <v>424</v>
      </c>
      <c r="C1760" t="str">
        <f>_xll.BDP("787855M7 Muni","INSURANCE_STATUS")</f>
        <v>#N/A Requesting Data...</v>
      </c>
      <c r="D1760" t="str">
        <f>_xll.BDP("787855M7 Muni","STATE_CODE")</f>
        <v>#N/A Requesting Data...</v>
      </c>
      <c r="E1760" t="str">
        <f>_xll.BDP("787855M7 Muni","COUNTY_LOCATION_ISSUER")</f>
        <v>#N/A Requesting Data...</v>
      </c>
      <c r="F1760" t="str">
        <f>_xll.BDP("787855M7 Muni","DUR_ADJ_MID")</f>
        <v>#N/A Requesting Data...</v>
      </c>
      <c r="G1760" t="str">
        <f>_xll.BDP("787855M7 Muni","SPREAD_AT_ISSUANCE_TO_WORST")</f>
        <v>#N/A Requesting Data...</v>
      </c>
      <c r="H1760" t="str">
        <f>_xll.BDP("787855M7 Muni","ISSUE_DT")</f>
        <v>#N/A Requesting Data...</v>
      </c>
      <c r="I1760" t="str">
        <f>_xll.BDS("787855M7 Muni","MUNI_PURPOSE_SCHED", "aggregate=y")</f>
        <v>#N/A Requesting Data...</v>
      </c>
      <c r="J1760" t="str">
        <f>_xll.BDP("787855M7 Muni","CPN")</f>
        <v>#N/A Requesting Data...</v>
      </c>
      <c r="K1760" t="str">
        <f>_xll.BDP("787855M7 Muni","MATURITY")</f>
        <v>#N/A Requesting Data...</v>
      </c>
      <c r="L1760">
        <v>235000</v>
      </c>
      <c r="M1760" t="str">
        <f>_xll.BDP("787855M7 Muni","YIELD_ON_ISSUE_DATE")</f>
        <v>#N/A Requesting Data...</v>
      </c>
      <c r="N1760" t="str">
        <f>_xll.BDP("787855M7 Muni","YTW_SPREAD_TO_MATURITY_AT_ISSU")</f>
        <v>#N/A Requesting Data...</v>
      </c>
      <c r="O1760" t="str">
        <f>_xll.BDP("787855M7 Muni","BVAL_MID_YTM")</f>
        <v>#N/A Requesting Data...</v>
      </c>
      <c r="P1760" t="str">
        <f>_xll.BDP("787855M7 Muni","MUNI_TAX_PROV")</f>
        <v>#N/A Requesting Data...</v>
      </c>
      <c r="Q1760" t="str">
        <f>_xll.BDP("787855M7 Muni","MUNI_FED_TAX")</f>
        <v>#N/A Requesting Data...</v>
      </c>
      <c r="R1760" t="str">
        <f>_xll.BDP("787855M7 Muni","MUNI_MSRB_VOLUME")</f>
        <v>#N/A Requesting Data...</v>
      </c>
      <c r="S1760" t="str">
        <f>_xll.BDP("787855M7 Muni","BB_COMPOSITE")</f>
        <v>#N/A Requesting Data...</v>
      </c>
      <c r="T1760" t="str">
        <f>_xll.BDP("787855M7 Muni","LQA_LIQUIDITY_SCORE")</f>
        <v>#N/A Requesting Data...</v>
      </c>
    </row>
    <row r="1761" spans="1:20" x14ac:dyDescent="0.25">
      <c r="A1761" t="str">
        <f>_xll.BDP("704883UZ Muni","ID_CUSIP")</f>
        <v>#N/A Requesting Data...</v>
      </c>
      <c r="B1761" t="s">
        <v>431</v>
      </c>
      <c r="C1761" t="str">
        <f>_xll.BDP("704883UZ Muni","INSURANCE_STATUS")</f>
        <v>#N/A Requesting Data...</v>
      </c>
      <c r="D1761" t="str">
        <f>_xll.BDP("704883UZ Muni","STATE_CODE")</f>
        <v>#N/A Requesting Data...</v>
      </c>
      <c r="E1761" t="str">
        <f>_xll.BDP("704883UZ Muni","COUNTY_LOCATION_ISSUER")</f>
        <v>#N/A Requesting Data...</v>
      </c>
      <c r="F1761" t="str">
        <f>_xll.BDP("704883UZ Muni","DUR_ADJ_MID")</f>
        <v>#N/A Requesting Data...</v>
      </c>
      <c r="G1761" t="str">
        <f>_xll.BDP("704883UZ Muni","SPREAD_AT_ISSUANCE_TO_WORST")</f>
        <v>#N/A Requesting Data...</v>
      </c>
      <c r="H1761" t="str">
        <f>_xll.BDP("704883UZ Muni","ISSUE_DT")</f>
        <v>#N/A Requesting Data...</v>
      </c>
      <c r="I1761" t="str">
        <f>_xll.BDS("704883UZ Muni","MUNI_PURPOSE_SCHED", "aggregate=y")</f>
        <v>#N/A Requesting Data...</v>
      </c>
      <c r="J1761" t="str">
        <f>_xll.BDP("704883UZ Muni","CPN")</f>
        <v>#N/A Requesting Data...</v>
      </c>
      <c r="K1761" t="str">
        <f>_xll.BDP("704883UZ Muni","MATURITY")</f>
        <v>#N/A Requesting Data...</v>
      </c>
      <c r="L1761">
        <v>950000</v>
      </c>
      <c r="M1761" t="str">
        <f>_xll.BDP("704883UZ Muni","YIELD_ON_ISSUE_DATE")</f>
        <v>#N/A Requesting Data...</v>
      </c>
      <c r="N1761" t="str">
        <f>_xll.BDP("704883UZ Muni","YTW_SPREAD_TO_MATURITY_AT_ISSU")</f>
        <v>#N/A Requesting Data...</v>
      </c>
      <c r="O1761" t="str">
        <f>_xll.BDP("704883UZ Muni","BVAL_MID_YTM")</f>
        <v>#N/A Requesting Data...</v>
      </c>
      <c r="P1761" t="str">
        <f>_xll.BDP("704883UZ Muni","MUNI_TAX_PROV")</f>
        <v>#N/A Requesting Data...</v>
      </c>
      <c r="Q1761" t="str">
        <f>_xll.BDP("704883UZ Muni","MUNI_FED_TAX")</f>
        <v>#N/A Requesting Data...</v>
      </c>
      <c r="R1761" t="str">
        <f>_xll.BDP("704883UZ Muni","MUNI_MSRB_VOLUME")</f>
        <v>#N/A Requesting Data...</v>
      </c>
      <c r="S1761" t="str">
        <f>_xll.BDP("704883UZ Muni","BB_COMPOSITE")</f>
        <v>#N/A Requesting Data...</v>
      </c>
      <c r="T1761" t="str">
        <f>_xll.BDP("704883UZ Muni","LQA_LIQUIDITY_SCORE")</f>
        <v>#N/A Requesting Data...</v>
      </c>
    </row>
    <row r="1762" spans="1:20" x14ac:dyDescent="0.25">
      <c r="A1762" t="str">
        <f>_xll.BDP("704883VA Muni","ID_CUSIP")</f>
        <v>#N/A Requesting Data...</v>
      </c>
      <c r="B1762" t="s">
        <v>431</v>
      </c>
      <c r="C1762" t="str">
        <f>_xll.BDP("704883VA Muni","INSURANCE_STATUS")</f>
        <v>#N/A Requesting Data...</v>
      </c>
      <c r="D1762" t="str">
        <f>_xll.BDP("704883VA Muni","STATE_CODE")</f>
        <v>#N/A Requesting Data...</v>
      </c>
      <c r="E1762" t="str">
        <f>_xll.BDP("704883VA Muni","COUNTY_LOCATION_ISSUER")</f>
        <v>#N/A Requesting Data...</v>
      </c>
      <c r="F1762" t="str">
        <f>_xll.BDP("704883VA Muni","DUR_ADJ_MID")</f>
        <v>#N/A Requesting Data...</v>
      </c>
      <c r="G1762" t="str">
        <f>_xll.BDP("704883VA Muni","SPREAD_AT_ISSUANCE_TO_WORST")</f>
        <v>#N/A Requesting Data...</v>
      </c>
      <c r="H1762" t="str">
        <f>_xll.BDP("704883VA Muni","ISSUE_DT")</f>
        <v>#N/A Requesting Data...</v>
      </c>
      <c r="I1762" t="str">
        <f>_xll.BDS("704883VA Muni","MUNI_PURPOSE_SCHED", "aggregate=y")</f>
        <v>#N/A Requesting Data...</v>
      </c>
      <c r="J1762" t="str">
        <f>_xll.BDP("704883VA Muni","CPN")</f>
        <v>#N/A Requesting Data...</v>
      </c>
      <c r="K1762" t="str">
        <f>_xll.BDP("704883VA Muni","MATURITY")</f>
        <v>#N/A Requesting Data...</v>
      </c>
      <c r="L1762">
        <v>950000</v>
      </c>
      <c r="M1762" t="str">
        <f>_xll.BDP("704883VA Muni","YIELD_ON_ISSUE_DATE")</f>
        <v>#N/A Requesting Data...</v>
      </c>
      <c r="N1762" t="str">
        <f>_xll.BDP("704883VA Muni","YTW_SPREAD_TO_MATURITY_AT_ISSU")</f>
        <v>#N/A Requesting Data...</v>
      </c>
      <c r="O1762" t="str">
        <f>_xll.BDP("704883VA Muni","BVAL_MID_YTM")</f>
        <v>#N/A Requesting Data...</v>
      </c>
      <c r="P1762" t="str">
        <f>_xll.BDP("704883VA Muni","MUNI_TAX_PROV")</f>
        <v>#N/A Requesting Data...</v>
      </c>
      <c r="Q1762" t="str">
        <f>_xll.BDP("704883VA Muni","MUNI_FED_TAX")</f>
        <v>#N/A Requesting Data...</v>
      </c>
      <c r="R1762" t="str">
        <f>_xll.BDP("704883VA Muni","MUNI_MSRB_VOLUME")</f>
        <v>#N/A Requesting Data...</v>
      </c>
      <c r="S1762" t="str">
        <f>_xll.BDP("704883VA Muni","BB_COMPOSITE")</f>
        <v>#N/A Requesting Data...</v>
      </c>
      <c r="T1762" t="str">
        <f>_xll.BDP("704883VA Muni","LQA_LIQUIDITY_SCORE")</f>
        <v>#N/A Requesting Data...</v>
      </c>
    </row>
    <row r="1763" spans="1:20" x14ac:dyDescent="0.25">
      <c r="A1763" t="str">
        <f>_xll.BDP("704883VB Muni","ID_CUSIP")</f>
        <v>#N/A Requesting Data...</v>
      </c>
      <c r="B1763" t="s">
        <v>431</v>
      </c>
      <c r="C1763" t="str">
        <f>_xll.BDP("704883VB Muni","INSURANCE_STATUS")</f>
        <v>#N/A Requesting Data...</v>
      </c>
      <c r="D1763" t="str">
        <f>_xll.BDP("704883VB Muni","STATE_CODE")</f>
        <v>#N/A Requesting Data...</v>
      </c>
      <c r="E1763" t="str">
        <f>_xll.BDP("704883VB Muni","COUNTY_LOCATION_ISSUER")</f>
        <v>#N/A Requesting Data...</v>
      </c>
      <c r="F1763" t="str">
        <f>_xll.BDP("704883VB Muni","DUR_ADJ_MID")</f>
        <v>#N/A Requesting Data...</v>
      </c>
      <c r="G1763" t="str">
        <f>_xll.BDP("704883VB Muni","SPREAD_AT_ISSUANCE_TO_WORST")</f>
        <v>#N/A Requesting Data...</v>
      </c>
      <c r="H1763" t="str">
        <f>_xll.BDP("704883VB Muni","ISSUE_DT")</f>
        <v>#N/A Requesting Data...</v>
      </c>
      <c r="I1763" t="str">
        <f>_xll.BDS("704883VB Muni","MUNI_PURPOSE_SCHED", "aggregate=y")</f>
        <v>#N/A Requesting Data...</v>
      </c>
      <c r="J1763" t="str">
        <f>_xll.BDP("704883VB Muni","CPN")</f>
        <v>#N/A Requesting Data...</v>
      </c>
      <c r="K1763" t="str">
        <f>_xll.BDP("704883VB Muni","MATURITY")</f>
        <v>#N/A Requesting Data...</v>
      </c>
      <c r="L1763">
        <v>950000</v>
      </c>
      <c r="M1763" t="str">
        <f>_xll.BDP("704883VB Muni","YIELD_ON_ISSUE_DATE")</f>
        <v>#N/A Requesting Data...</v>
      </c>
      <c r="N1763" t="str">
        <f>_xll.BDP("704883VB Muni","YTW_SPREAD_TO_MATURITY_AT_ISSU")</f>
        <v>#N/A Requesting Data...</v>
      </c>
      <c r="O1763" t="str">
        <f>_xll.BDP("704883VB Muni","BVAL_MID_YTM")</f>
        <v>#N/A Requesting Data...</v>
      </c>
      <c r="P1763" t="str">
        <f>_xll.BDP("704883VB Muni","MUNI_TAX_PROV")</f>
        <v>#N/A Requesting Data...</v>
      </c>
      <c r="Q1763" t="str">
        <f>_xll.BDP("704883VB Muni","MUNI_FED_TAX")</f>
        <v>#N/A Requesting Data...</v>
      </c>
      <c r="R1763" t="str">
        <f>_xll.BDP("704883VB Muni","MUNI_MSRB_VOLUME")</f>
        <v>#N/A Requesting Data...</v>
      </c>
      <c r="S1763" t="str">
        <f>_xll.BDP("704883VB Muni","BB_COMPOSITE")</f>
        <v>#N/A Requesting Data...</v>
      </c>
      <c r="T1763" t="str">
        <f>_xll.BDP("704883VB Muni","LQA_LIQUIDITY_SCORE")</f>
        <v>#N/A Requesting Data...</v>
      </c>
    </row>
    <row r="1764" spans="1:20" x14ac:dyDescent="0.25">
      <c r="A1764" t="str">
        <f>_xll.BDP("704883VC Muni","ID_CUSIP")</f>
        <v>#N/A Requesting Data...</v>
      </c>
      <c r="B1764" t="s">
        <v>431</v>
      </c>
      <c r="C1764" t="str">
        <f>_xll.BDP("704883VC Muni","INSURANCE_STATUS")</f>
        <v>#N/A Requesting Data...</v>
      </c>
      <c r="D1764" t="str">
        <f>_xll.BDP("704883VC Muni","STATE_CODE")</f>
        <v>#N/A Requesting Data...</v>
      </c>
      <c r="E1764" t="str">
        <f>_xll.BDP("704883VC Muni","COUNTY_LOCATION_ISSUER")</f>
        <v>#N/A Requesting Data...</v>
      </c>
      <c r="F1764" t="str">
        <f>_xll.BDP("704883VC Muni","DUR_ADJ_MID")</f>
        <v>#N/A Requesting Data...</v>
      </c>
      <c r="G1764" t="str">
        <f>_xll.BDP("704883VC Muni","SPREAD_AT_ISSUANCE_TO_WORST")</f>
        <v>#N/A Requesting Data...</v>
      </c>
      <c r="H1764" t="str">
        <f>_xll.BDP("704883VC Muni","ISSUE_DT")</f>
        <v>#N/A Requesting Data...</v>
      </c>
      <c r="I1764" t="str">
        <f>_xll.BDS("704883VC Muni","MUNI_PURPOSE_SCHED", "aggregate=y")</f>
        <v>#N/A Requesting Data...</v>
      </c>
      <c r="J1764" t="str">
        <f>_xll.BDP("704883VC Muni","CPN")</f>
        <v>#N/A Requesting Data...</v>
      </c>
      <c r="K1764" t="str">
        <f>_xll.BDP("704883VC Muni","MATURITY")</f>
        <v>#N/A Requesting Data...</v>
      </c>
      <c r="L1764">
        <v>950000</v>
      </c>
      <c r="M1764" t="str">
        <f>_xll.BDP("704883VC Muni","YIELD_ON_ISSUE_DATE")</f>
        <v>#N/A Requesting Data...</v>
      </c>
      <c r="N1764" t="str">
        <f>_xll.BDP("704883VC Muni","YTW_SPREAD_TO_MATURITY_AT_ISSU")</f>
        <v>#N/A Requesting Data...</v>
      </c>
      <c r="O1764" t="str">
        <f>_xll.BDP("704883VC Muni","BVAL_MID_YTM")</f>
        <v>#N/A Requesting Data...</v>
      </c>
      <c r="P1764" t="str">
        <f>_xll.BDP("704883VC Muni","MUNI_TAX_PROV")</f>
        <v>#N/A Requesting Data...</v>
      </c>
      <c r="Q1764" t="str">
        <f>_xll.BDP("704883VC Muni","MUNI_FED_TAX")</f>
        <v>#N/A Requesting Data...</v>
      </c>
      <c r="R1764" t="str">
        <f>_xll.BDP("704883VC Muni","MUNI_MSRB_VOLUME")</f>
        <v>#N/A Requesting Data...</v>
      </c>
      <c r="S1764" t="str">
        <f>_xll.BDP("704883VC Muni","BB_COMPOSITE")</f>
        <v>#N/A Requesting Data...</v>
      </c>
      <c r="T1764" t="str">
        <f>_xll.BDP("704883VC Muni","LQA_LIQUIDITY_SCORE")</f>
        <v>#N/A Requesting Data...</v>
      </c>
    </row>
    <row r="1765" spans="1:20" x14ac:dyDescent="0.25">
      <c r="A1765" t="str">
        <f>_xll.BDP("704883VD Muni","ID_CUSIP")</f>
        <v>#N/A Requesting Data...</v>
      </c>
      <c r="B1765" t="s">
        <v>431</v>
      </c>
      <c r="C1765" t="str">
        <f>_xll.BDP("704883VD Muni","INSURANCE_STATUS")</f>
        <v>#N/A Requesting Data...</v>
      </c>
      <c r="D1765" t="str">
        <f>_xll.BDP("704883VD Muni","STATE_CODE")</f>
        <v>#N/A Requesting Data...</v>
      </c>
      <c r="E1765" t="str">
        <f>_xll.BDP("704883VD Muni","COUNTY_LOCATION_ISSUER")</f>
        <v>#N/A Requesting Data...</v>
      </c>
      <c r="F1765" t="str">
        <f>_xll.BDP("704883VD Muni","DUR_ADJ_MID")</f>
        <v>#N/A Requesting Data...</v>
      </c>
      <c r="G1765" t="str">
        <f>_xll.BDP("704883VD Muni","SPREAD_AT_ISSUANCE_TO_WORST")</f>
        <v>#N/A Requesting Data...</v>
      </c>
      <c r="H1765" t="str">
        <f>_xll.BDP("704883VD Muni","ISSUE_DT")</f>
        <v>#N/A Requesting Data...</v>
      </c>
      <c r="I1765" t="str">
        <f>_xll.BDS("704883VD Muni","MUNI_PURPOSE_SCHED", "aggregate=y")</f>
        <v>#N/A Requesting Data...</v>
      </c>
      <c r="J1765" t="str">
        <f>_xll.BDP("704883VD Muni","CPN")</f>
        <v>#N/A Requesting Data...</v>
      </c>
      <c r="K1765" t="str">
        <f>_xll.BDP("704883VD Muni","MATURITY")</f>
        <v>#N/A Requesting Data...</v>
      </c>
      <c r="L1765">
        <v>950000</v>
      </c>
      <c r="M1765" t="str">
        <f>_xll.BDP("704883VD Muni","YIELD_ON_ISSUE_DATE")</f>
        <v>#N/A Requesting Data...</v>
      </c>
      <c r="N1765" t="str">
        <f>_xll.BDP("704883VD Muni","YTW_SPREAD_TO_MATURITY_AT_ISSU")</f>
        <v>#N/A Requesting Data...</v>
      </c>
      <c r="O1765" t="str">
        <f>_xll.BDP("704883VD Muni","BVAL_MID_YTM")</f>
        <v>#N/A Requesting Data...</v>
      </c>
      <c r="P1765" t="str">
        <f>_xll.BDP("704883VD Muni","MUNI_TAX_PROV")</f>
        <v>#N/A Requesting Data...</v>
      </c>
      <c r="Q1765" t="str">
        <f>_xll.BDP("704883VD Muni","MUNI_FED_TAX")</f>
        <v>#N/A Requesting Data...</v>
      </c>
      <c r="R1765" t="str">
        <f>_xll.BDP("704883VD Muni","MUNI_MSRB_VOLUME")</f>
        <v>#N/A Requesting Data...</v>
      </c>
      <c r="S1765" t="str">
        <f>_xll.BDP("704883VD Muni","BB_COMPOSITE")</f>
        <v>#N/A Requesting Data...</v>
      </c>
      <c r="T1765" t="str">
        <f>_xll.BDP("704883VD Muni","LQA_LIQUIDITY_SCORE")</f>
        <v>#N/A Requesting Data...</v>
      </c>
    </row>
    <row r="1766" spans="1:20" x14ac:dyDescent="0.25">
      <c r="A1766" t="str">
        <f>_xll.BDP("704883VE Muni","ID_CUSIP")</f>
        <v>#N/A Requesting Data...</v>
      </c>
      <c r="B1766" t="s">
        <v>431</v>
      </c>
      <c r="C1766" t="str">
        <f>_xll.BDP("704883VE Muni","INSURANCE_STATUS")</f>
        <v>#N/A Requesting Data...</v>
      </c>
      <c r="D1766" t="str">
        <f>_xll.BDP("704883VE Muni","STATE_CODE")</f>
        <v>#N/A Requesting Data...</v>
      </c>
      <c r="E1766" t="str">
        <f>_xll.BDP("704883VE Muni","COUNTY_LOCATION_ISSUER")</f>
        <v>#N/A Requesting Data...</v>
      </c>
      <c r="F1766" t="str">
        <f>_xll.BDP("704883VE Muni","DUR_ADJ_MID")</f>
        <v>#N/A Requesting Data...</v>
      </c>
      <c r="G1766" t="str">
        <f>_xll.BDP("704883VE Muni","SPREAD_AT_ISSUANCE_TO_WORST")</f>
        <v>#N/A Requesting Data...</v>
      </c>
      <c r="H1766" t="str">
        <f>_xll.BDP("704883VE Muni","ISSUE_DT")</f>
        <v>#N/A Requesting Data...</v>
      </c>
      <c r="I1766" t="str">
        <f>_xll.BDS("704883VE Muni","MUNI_PURPOSE_SCHED", "aggregate=y")</f>
        <v>#N/A Requesting Data...</v>
      </c>
      <c r="J1766" t="str">
        <f>_xll.BDP("704883VE Muni","CPN")</f>
        <v>#N/A Requesting Data...</v>
      </c>
      <c r="K1766" t="str">
        <f>_xll.BDP("704883VE Muni","MATURITY")</f>
        <v>#N/A Requesting Data...</v>
      </c>
      <c r="L1766">
        <v>955000</v>
      </c>
      <c r="M1766" t="str">
        <f>_xll.BDP("704883VE Muni","YIELD_ON_ISSUE_DATE")</f>
        <v>#N/A Requesting Data...</v>
      </c>
      <c r="N1766" t="str">
        <f>_xll.BDP("704883VE Muni","YTW_SPREAD_TO_MATURITY_AT_ISSU")</f>
        <v>#N/A Requesting Data...</v>
      </c>
      <c r="O1766" t="str">
        <f>_xll.BDP("704883VE Muni","BVAL_MID_YTM")</f>
        <v>#N/A Requesting Data...</v>
      </c>
      <c r="P1766" t="str">
        <f>_xll.BDP("704883VE Muni","MUNI_TAX_PROV")</f>
        <v>#N/A Requesting Data...</v>
      </c>
      <c r="Q1766" t="str">
        <f>_xll.BDP("704883VE Muni","MUNI_FED_TAX")</f>
        <v>#N/A Requesting Data...</v>
      </c>
      <c r="R1766" t="str">
        <f>_xll.BDP("704883VE Muni","MUNI_MSRB_VOLUME")</f>
        <v>#N/A Requesting Data...</v>
      </c>
      <c r="S1766" t="str">
        <f>_xll.BDP("704883VE Muni","BB_COMPOSITE")</f>
        <v>#N/A Requesting Data...</v>
      </c>
      <c r="T1766" t="str">
        <f>_xll.BDP("704883VE Muni","LQA_LIQUIDITY_SCORE")</f>
        <v>#N/A Requesting Data...</v>
      </c>
    </row>
    <row r="1767" spans="1:20" x14ac:dyDescent="0.25">
      <c r="A1767" t="str">
        <f>_xll.BDP("704883VF Muni","ID_CUSIP")</f>
        <v>#N/A Requesting Data...</v>
      </c>
      <c r="B1767" t="s">
        <v>431</v>
      </c>
      <c r="C1767" t="str">
        <f>_xll.BDP("704883VF Muni","INSURANCE_STATUS")</f>
        <v>#N/A Requesting Data...</v>
      </c>
      <c r="D1767" t="str">
        <f>_xll.BDP("704883VF Muni","STATE_CODE")</f>
        <v>#N/A Requesting Data...</v>
      </c>
      <c r="E1767" t="str">
        <f>_xll.BDP("704883VF Muni","COUNTY_LOCATION_ISSUER")</f>
        <v>#N/A Requesting Data...</v>
      </c>
      <c r="F1767" t="str">
        <f>_xll.BDP("704883VF Muni","DUR_ADJ_MID")</f>
        <v>#N/A Requesting Data...</v>
      </c>
      <c r="G1767" t="str">
        <f>_xll.BDP("704883VF Muni","SPREAD_AT_ISSUANCE_TO_WORST")</f>
        <v>#N/A Requesting Data...</v>
      </c>
      <c r="H1767" t="str">
        <f>_xll.BDP("704883VF Muni","ISSUE_DT")</f>
        <v>#N/A Requesting Data...</v>
      </c>
      <c r="I1767" t="str">
        <f>_xll.BDS("704883VF Muni","MUNI_PURPOSE_SCHED", "aggregate=y")</f>
        <v>#N/A Requesting Data...</v>
      </c>
      <c r="J1767" t="str">
        <f>_xll.BDP("704883VF Muni","CPN")</f>
        <v>#N/A Requesting Data...</v>
      </c>
      <c r="K1767" t="str">
        <f>_xll.BDP("704883VF Muni","MATURITY")</f>
        <v>#N/A Requesting Data...</v>
      </c>
      <c r="L1767">
        <v>950000</v>
      </c>
      <c r="M1767" t="str">
        <f>_xll.BDP("704883VF Muni","YIELD_ON_ISSUE_DATE")</f>
        <v>#N/A Requesting Data...</v>
      </c>
      <c r="N1767" t="str">
        <f>_xll.BDP("704883VF Muni","YTW_SPREAD_TO_MATURITY_AT_ISSU")</f>
        <v>#N/A Requesting Data...</v>
      </c>
      <c r="O1767" t="str">
        <f>_xll.BDP("704883VF Muni","BVAL_MID_YTM")</f>
        <v>#N/A Requesting Data...</v>
      </c>
      <c r="P1767" t="str">
        <f>_xll.BDP("704883VF Muni","MUNI_TAX_PROV")</f>
        <v>#N/A Requesting Data...</v>
      </c>
      <c r="Q1767" t="str">
        <f>_xll.BDP("704883VF Muni","MUNI_FED_TAX")</f>
        <v>#N/A Requesting Data...</v>
      </c>
      <c r="R1767" t="str">
        <f>_xll.BDP("704883VF Muni","MUNI_MSRB_VOLUME")</f>
        <v>#N/A Requesting Data...</v>
      </c>
      <c r="S1767" t="str">
        <f>_xll.BDP("704883VF Muni","BB_COMPOSITE")</f>
        <v>#N/A Requesting Data...</v>
      </c>
      <c r="T1767" t="str">
        <f>_xll.BDP("704883VF Muni","LQA_LIQUIDITY_SCORE")</f>
        <v>#N/A Requesting Data...</v>
      </c>
    </row>
    <row r="1768" spans="1:20" x14ac:dyDescent="0.25">
      <c r="A1768" t="str">
        <f>_xll.BDP("706388QW Muni","ID_CUSIP")</f>
        <v>#N/A Requesting Data...</v>
      </c>
      <c r="B1768" t="s">
        <v>428</v>
      </c>
      <c r="C1768" t="str">
        <f>_xll.BDP("706388QW Muni","INSURANCE_STATUS")</f>
        <v>#N/A Requesting Data...</v>
      </c>
      <c r="D1768" t="str">
        <f>_xll.BDP("706388QW Muni","STATE_CODE")</f>
        <v>#N/A Requesting Data...</v>
      </c>
      <c r="E1768" t="str">
        <f>_xll.BDP("706388QW Muni","COUNTY_LOCATION_ISSUER")</f>
        <v>#N/A Requesting Data...</v>
      </c>
      <c r="F1768" t="str">
        <f>_xll.BDP("706388QW Muni","DUR_ADJ_MID")</f>
        <v>#N/A Requesting Data...</v>
      </c>
      <c r="G1768" t="str">
        <f>_xll.BDP("706388QW Muni","SPREAD_AT_ISSUANCE_TO_WORST")</f>
        <v>#N/A Requesting Data...</v>
      </c>
      <c r="H1768" t="str">
        <f>_xll.BDP("706388QW Muni","ISSUE_DT")</f>
        <v>#N/A Requesting Data...</v>
      </c>
      <c r="I1768" t="str">
        <f>_xll.BDS("706388QW Muni","MUNI_PURPOSE_SCHED", "aggregate=y")</f>
        <v>#N/A Requesting Data...</v>
      </c>
      <c r="J1768" t="str">
        <f>_xll.BDP("706388QW Muni","CPN")</f>
        <v>#N/A Requesting Data...</v>
      </c>
      <c r="K1768" t="str">
        <f>_xll.BDP("706388QW Muni","MATURITY")</f>
        <v>#N/A Requesting Data...</v>
      </c>
      <c r="L1768">
        <v>340000</v>
      </c>
      <c r="M1768" t="str">
        <f>_xll.BDP("706388QW Muni","YIELD_ON_ISSUE_DATE")</f>
        <v>#N/A Requesting Data...</v>
      </c>
      <c r="N1768" t="str">
        <f>_xll.BDP("706388QW Muni","YTW_SPREAD_TO_MATURITY_AT_ISSU")</f>
        <v>#N/A Requesting Data...</v>
      </c>
      <c r="O1768" t="str">
        <f>_xll.BDP("706388QW Muni","BVAL_MID_YTM")</f>
        <v>#N/A Requesting Data...</v>
      </c>
      <c r="P1768" t="str">
        <f>_xll.BDP("706388QW Muni","MUNI_TAX_PROV")</f>
        <v>#N/A Requesting Data...</v>
      </c>
      <c r="Q1768" t="str">
        <f>_xll.BDP("706388QW Muni","MUNI_FED_TAX")</f>
        <v>#N/A Requesting Data...</v>
      </c>
      <c r="R1768" t="str">
        <f>_xll.BDP("706388QW Muni","MUNI_MSRB_VOLUME")</f>
        <v>#N/A Requesting Data...</v>
      </c>
      <c r="S1768" t="str">
        <f>_xll.BDP("706388QW Muni","BB_COMPOSITE")</f>
        <v>#N/A Requesting Data...</v>
      </c>
      <c r="T1768" t="str">
        <f>_xll.BDP("706388QW Muni","LQA_LIQUIDITY_SCORE")</f>
        <v>#N/A Requesting Data...</v>
      </c>
    </row>
    <row r="1769" spans="1:20" x14ac:dyDescent="0.25">
      <c r="A1769" t="str">
        <f>_xll.BDP("706388QY Muni","ID_CUSIP")</f>
        <v>#N/A Requesting Data...</v>
      </c>
      <c r="B1769" t="s">
        <v>428</v>
      </c>
      <c r="C1769" t="str">
        <f>_xll.BDP("706388QY Muni","INSURANCE_STATUS")</f>
        <v>#N/A Requesting Data...</v>
      </c>
      <c r="D1769" t="str">
        <f>_xll.BDP("706388QY Muni","STATE_CODE")</f>
        <v>#N/A Requesting Data...</v>
      </c>
      <c r="E1769" t="str">
        <f>_xll.BDP("706388QY Muni","COUNTY_LOCATION_ISSUER")</f>
        <v>#N/A Requesting Data...</v>
      </c>
      <c r="F1769" t="str">
        <f>_xll.BDP("706388QY Muni","DUR_ADJ_MID")</f>
        <v>#N/A Requesting Data...</v>
      </c>
      <c r="G1769" t="str">
        <f>_xll.BDP("706388QY Muni","SPREAD_AT_ISSUANCE_TO_WORST")</f>
        <v>#N/A Requesting Data...</v>
      </c>
      <c r="H1769" t="str">
        <f>_xll.BDP("706388QY Muni","ISSUE_DT")</f>
        <v>#N/A Requesting Data...</v>
      </c>
      <c r="I1769" t="str">
        <f>_xll.BDS("706388QY Muni","MUNI_PURPOSE_SCHED", "aggregate=y")</f>
        <v>#N/A Requesting Data...</v>
      </c>
      <c r="J1769" t="str">
        <f>_xll.BDP("706388QY Muni","CPN")</f>
        <v>#N/A Requesting Data...</v>
      </c>
      <c r="K1769" t="str">
        <f>_xll.BDP("706388QY Muni","MATURITY")</f>
        <v>#N/A Requesting Data...</v>
      </c>
      <c r="L1769">
        <v>320000</v>
      </c>
      <c r="M1769" t="str">
        <f>_xll.BDP("706388QY Muni","YIELD_ON_ISSUE_DATE")</f>
        <v>#N/A Requesting Data...</v>
      </c>
      <c r="N1769" t="str">
        <f>_xll.BDP("706388QY Muni","YTW_SPREAD_TO_MATURITY_AT_ISSU")</f>
        <v>#N/A Requesting Data...</v>
      </c>
      <c r="O1769" t="str">
        <f>_xll.BDP("706388QY Muni","BVAL_MID_YTM")</f>
        <v>#N/A Requesting Data...</v>
      </c>
      <c r="P1769" t="str">
        <f>_xll.BDP("706388QY Muni","MUNI_TAX_PROV")</f>
        <v>#N/A Requesting Data...</v>
      </c>
      <c r="Q1769" t="str">
        <f>_xll.BDP("706388QY Muni","MUNI_FED_TAX")</f>
        <v>#N/A Requesting Data...</v>
      </c>
      <c r="R1769" t="str">
        <f>_xll.BDP("706388QY Muni","MUNI_MSRB_VOLUME")</f>
        <v>#N/A Requesting Data...</v>
      </c>
      <c r="S1769" t="str">
        <f>_xll.BDP("706388QY Muni","BB_COMPOSITE")</f>
        <v>#N/A Requesting Data...</v>
      </c>
      <c r="T1769" t="str">
        <f>_xll.BDP("706388QY Muni","LQA_LIQUIDITY_SCORE")</f>
        <v>#N/A Requesting Data...</v>
      </c>
    </row>
    <row r="1770" spans="1:20" x14ac:dyDescent="0.25">
      <c r="A1770" t="str">
        <f>_xll.BDP("706388QZ Muni","ID_CUSIP")</f>
        <v>#N/A Requesting Data...</v>
      </c>
      <c r="B1770" t="s">
        <v>428</v>
      </c>
      <c r="C1770" t="str">
        <f>_xll.BDP("706388QZ Muni","INSURANCE_STATUS")</f>
        <v>#N/A Requesting Data...</v>
      </c>
      <c r="D1770" t="str">
        <f>_xll.BDP("706388QZ Muni","STATE_CODE")</f>
        <v>#N/A Requesting Data...</v>
      </c>
      <c r="E1770" t="str">
        <f>_xll.BDP("706388QZ Muni","COUNTY_LOCATION_ISSUER")</f>
        <v>#N/A Requesting Data...</v>
      </c>
      <c r="F1770" t="str">
        <f>_xll.BDP("706388QZ Muni","DUR_ADJ_MID")</f>
        <v>#N/A Requesting Data...</v>
      </c>
      <c r="G1770" t="str">
        <f>_xll.BDP("706388QZ Muni","SPREAD_AT_ISSUANCE_TO_WORST")</f>
        <v>#N/A Requesting Data...</v>
      </c>
      <c r="H1770" t="str">
        <f>_xll.BDP("706388QZ Muni","ISSUE_DT")</f>
        <v>#N/A Requesting Data...</v>
      </c>
      <c r="I1770" t="str">
        <f>_xll.BDS("706388QZ Muni","MUNI_PURPOSE_SCHED", "aggregate=y")</f>
        <v>#N/A Requesting Data...</v>
      </c>
      <c r="J1770" t="str">
        <f>_xll.BDP("706388QZ Muni","CPN")</f>
        <v>#N/A Requesting Data...</v>
      </c>
      <c r="K1770" t="str">
        <f>_xll.BDP("706388QZ Muni","MATURITY")</f>
        <v>#N/A Requesting Data...</v>
      </c>
      <c r="L1770">
        <v>315000</v>
      </c>
      <c r="M1770" t="str">
        <f>_xll.BDP("706388QZ Muni","YIELD_ON_ISSUE_DATE")</f>
        <v>#N/A Requesting Data...</v>
      </c>
      <c r="N1770" t="str">
        <f>_xll.BDP("706388QZ Muni","YTW_SPREAD_TO_MATURITY_AT_ISSU")</f>
        <v>#N/A Requesting Data...</v>
      </c>
      <c r="O1770" t="str">
        <f>_xll.BDP("706388QZ Muni","BVAL_MID_YTM")</f>
        <v>#N/A Requesting Data...</v>
      </c>
      <c r="P1770" t="str">
        <f>_xll.BDP("706388QZ Muni","MUNI_TAX_PROV")</f>
        <v>#N/A Requesting Data...</v>
      </c>
      <c r="Q1770" t="str">
        <f>_xll.BDP("706388QZ Muni","MUNI_FED_TAX")</f>
        <v>#N/A Requesting Data...</v>
      </c>
      <c r="R1770" t="str">
        <f>_xll.BDP("706388QZ Muni","MUNI_MSRB_VOLUME")</f>
        <v>#N/A Requesting Data...</v>
      </c>
      <c r="S1770" t="str">
        <f>_xll.BDP("706388QZ Muni","BB_COMPOSITE")</f>
        <v>#N/A Requesting Data...</v>
      </c>
      <c r="T1770" t="str">
        <f>_xll.BDP("706388QZ Muni","LQA_LIQUIDITY_SCORE")</f>
        <v>#N/A Requesting Data...</v>
      </c>
    </row>
    <row r="1771" spans="1:20" x14ac:dyDescent="0.25">
      <c r="A1771" t="str">
        <f>_xll.BDP("708836GP Muni","ID_CUSIP")</f>
        <v>#N/A Requesting Data...</v>
      </c>
      <c r="B1771" t="s">
        <v>432</v>
      </c>
      <c r="C1771" t="str">
        <f>_xll.BDP("708836GP Muni","INSURANCE_STATUS")</f>
        <v>#N/A Requesting Data...</v>
      </c>
      <c r="D1771" t="str">
        <f>_xll.BDP("708836GP Muni","STATE_CODE")</f>
        <v>#N/A Requesting Data...</v>
      </c>
      <c r="E1771" t="str">
        <f>_xll.BDP("708836GP Muni","COUNTY_LOCATION_ISSUER")</f>
        <v>#N/A Requesting Data...</v>
      </c>
      <c r="F1771" t="str">
        <f>_xll.BDP("708836GP Muni","DUR_ADJ_MID")</f>
        <v>#N/A Requesting Data...</v>
      </c>
      <c r="G1771" t="str">
        <f>_xll.BDP("708836GP Muni","SPREAD_AT_ISSUANCE_TO_WORST")</f>
        <v>#N/A Requesting Data...</v>
      </c>
      <c r="H1771" t="str">
        <f>_xll.BDP("708836GP Muni","ISSUE_DT")</f>
        <v>#N/A Requesting Data...</v>
      </c>
      <c r="I1771" t="str">
        <f>_xll.BDS("708836GP Muni","MUNI_PURPOSE_SCHED", "aggregate=y")</f>
        <v>#N/A Requesting Data...</v>
      </c>
      <c r="J1771" t="str">
        <f>_xll.BDP("708836GP Muni","CPN")</f>
        <v>#N/A Requesting Data...</v>
      </c>
      <c r="K1771" t="str">
        <f>_xll.BDP("708836GP Muni","MATURITY")</f>
        <v>#N/A Requesting Data...</v>
      </c>
      <c r="L1771">
        <v>4840000</v>
      </c>
      <c r="M1771" t="str">
        <f>_xll.BDP("708836GP Muni","YIELD_ON_ISSUE_DATE")</f>
        <v>#N/A Requesting Data...</v>
      </c>
      <c r="N1771" t="str">
        <f>_xll.BDP("708836GP Muni","YTW_SPREAD_TO_MATURITY_AT_ISSU")</f>
        <v>#N/A Requesting Data...</v>
      </c>
      <c r="O1771" t="str">
        <f>_xll.BDP("708836GP Muni","BVAL_MID_YTM")</f>
        <v>#N/A Requesting Data...</v>
      </c>
      <c r="P1771" t="str">
        <f>_xll.BDP("708836GP Muni","MUNI_TAX_PROV")</f>
        <v>#N/A Requesting Data...</v>
      </c>
      <c r="Q1771" t="str">
        <f>_xll.BDP("708836GP Muni","MUNI_FED_TAX")</f>
        <v>#N/A Requesting Data...</v>
      </c>
      <c r="R1771" t="str">
        <f>_xll.BDP("708836GP Muni","MUNI_MSRB_VOLUME")</f>
        <v>#N/A Requesting Data...</v>
      </c>
      <c r="S1771" t="str">
        <f>_xll.BDP("708836GP Muni","BB_COMPOSITE")</f>
        <v>#N/A Requesting Data...</v>
      </c>
      <c r="T1771" t="str">
        <f>_xll.BDP("708836GP Muni","LQA_LIQUIDITY_SCORE")</f>
        <v>#N/A Requesting Data...</v>
      </c>
    </row>
    <row r="1772" spans="1:20" x14ac:dyDescent="0.25">
      <c r="A1772" t="str">
        <f>_xll.BDP("708836GR Muni","ID_CUSIP")</f>
        <v>#N/A Requesting Data...</v>
      </c>
      <c r="B1772" t="s">
        <v>432</v>
      </c>
      <c r="C1772" t="str">
        <f>_xll.BDP("708836GR Muni","INSURANCE_STATUS")</f>
        <v>#N/A Requesting Data...</v>
      </c>
      <c r="D1772" t="str">
        <f>_xll.BDP("708836GR Muni","STATE_CODE")</f>
        <v>#N/A Requesting Data...</v>
      </c>
      <c r="E1772" t="str">
        <f>_xll.BDP("708836GR Muni","COUNTY_LOCATION_ISSUER")</f>
        <v>#N/A Requesting Data...</v>
      </c>
      <c r="F1772" t="str">
        <f>_xll.BDP("708836GR Muni","DUR_ADJ_MID")</f>
        <v>#N/A Requesting Data...</v>
      </c>
      <c r="G1772" t="str">
        <f>_xll.BDP("708836GR Muni","SPREAD_AT_ISSUANCE_TO_WORST")</f>
        <v>#N/A Requesting Data...</v>
      </c>
      <c r="H1772" t="str">
        <f>_xll.BDP("708836GR Muni","ISSUE_DT")</f>
        <v>#N/A Requesting Data...</v>
      </c>
      <c r="I1772" t="str">
        <f>_xll.BDS("708836GR Muni","MUNI_PURPOSE_SCHED", "aggregate=y")</f>
        <v>#N/A Requesting Data...</v>
      </c>
      <c r="J1772" t="str">
        <f>_xll.BDP("708836GR Muni","CPN")</f>
        <v>#N/A Requesting Data...</v>
      </c>
      <c r="K1772" t="str">
        <f>_xll.BDP("708836GR Muni","MATURITY")</f>
        <v>#N/A Requesting Data...</v>
      </c>
      <c r="L1772">
        <v>5335000</v>
      </c>
      <c r="M1772" t="str">
        <f>_xll.BDP("708836GR Muni","YIELD_ON_ISSUE_DATE")</f>
        <v>#N/A Requesting Data...</v>
      </c>
      <c r="N1772" t="str">
        <f>_xll.BDP("708836GR Muni","YTW_SPREAD_TO_MATURITY_AT_ISSU")</f>
        <v>#N/A Requesting Data...</v>
      </c>
      <c r="O1772" t="str">
        <f>_xll.BDP("708836GR Muni","BVAL_MID_YTM")</f>
        <v>#N/A Requesting Data...</v>
      </c>
      <c r="P1772" t="str">
        <f>_xll.BDP("708836GR Muni","MUNI_TAX_PROV")</f>
        <v>#N/A Requesting Data...</v>
      </c>
      <c r="Q1772" t="str">
        <f>_xll.BDP("708836GR Muni","MUNI_FED_TAX")</f>
        <v>#N/A Requesting Data...</v>
      </c>
      <c r="R1772" t="str">
        <f>_xll.BDP("708836GR Muni","MUNI_MSRB_VOLUME")</f>
        <v>#N/A Requesting Data...</v>
      </c>
      <c r="S1772" t="str">
        <f>_xll.BDP("708836GR Muni","BB_COMPOSITE")</f>
        <v>#N/A Requesting Data...</v>
      </c>
      <c r="T1772" t="str">
        <f>_xll.BDP("708836GR Muni","LQA_LIQUIDITY_SCORE")</f>
        <v>#N/A Requesting Data...</v>
      </c>
    </row>
    <row r="1773" spans="1:20" x14ac:dyDescent="0.25">
      <c r="A1773" t="str">
        <f>_xll.BDP("708836GT Muni","ID_CUSIP")</f>
        <v>#N/A Requesting Data...</v>
      </c>
      <c r="B1773" t="s">
        <v>432</v>
      </c>
      <c r="C1773" t="str">
        <f>_xll.BDP("708836GT Muni","INSURANCE_STATUS")</f>
        <v>#N/A Requesting Data...</v>
      </c>
      <c r="D1773" t="str">
        <f>_xll.BDP("708836GT Muni","STATE_CODE")</f>
        <v>#N/A Requesting Data...</v>
      </c>
      <c r="E1773" t="str">
        <f>_xll.BDP("708836GT Muni","COUNTY_LOCATION_ISSUER")</f>
        <v>#N/A Requesting Data...</v>
      </c>
      <c r="F1773" t="str">
        <f>_xll.BDP("708836GT Muni","DUR_ADJ_MID")</f>
        <v>#N/A Requesting Data...</v>
      </c>
      <c r="G1773" t="str">
        <f>_xll.BDP("708836GT Muni","SPREAD_AT_ISSUANCE_TO_WORST")</f>
        <v>#N/A Requesting Data...</v>
      </c>
      <c r="H1773" t="str">
        <f>_xll.BDP("708836GT Muni","ISSUE_DT")</f>
        <v>#N/A Requesting Data...</v>
      </c>
      <c r="I1773" t="str">
        <f>_xll.BDS("708836GT Muni","MUNI_PURPOSE_SCHED", "aggregate=y")</f>
        <v>#N/A Requesting Data...</v>
      </c>
      <c r="J1773" t="str">
        <f>_xll.BDP("708836GT Muni","CPN")</f>
        <v>#N/A Requesting Data...</v>
      </c>
      <c r="K1773" t="str">
        <f>_xll.BDP("708836GT Muni","MATURITY")</f>
        <v>#N/A Requesting Data...</v>
      </c>
      <c r="L1773">
        <v>5880000</v>
      </c>
      <c r="M1773" t="str">
        <f>_xll.BDP("708836GT Muni","YIELD_ON_ISSUE_DATE")</f>
        <v>#N/A Requesting Data...</v>
      </c>
      <c r="N1773" t="str">
        <f>_xll.BDP("708836GT Muni","YTW_SPREAD_TO_MATURITY_AT_ISSU")</f>
        <v>#N/A Requesting Data...</v>
      </c>
      <c r="O1773" t="str">
        <f>_xll.BDP("708836GT Muni","BVAL_MID_YTM")</f>
        <v>#N/A Requesting Data...</v>
      </c>
      <c r="P1773" t="str">
        <f>_xll.BDP("708836GT Muni","MUNI_TAX_PROV")</f>
        <v>#N/A Requesting Data...</v>
      </c>
      <c r="Q1773" t="str">
        <f>_xll.BDP("708836GT Muni","MUNI_FED_TAX")</f>
        <v>#N/A Requesting Data...</v>
      </c>
      <c r="R1773" t="str">
        <f>_xll.BDP("708836GT Muni","MUNI_MSRB_VOLUME")</f>
        <v>#N/A Requesting Data...</v>
      </c>
      <c r="S1773" t="str">
        <f>_xll.BDP("708836GT Muni","BB_COMPOSITE")</f>
        <v>#N/A Requesting Data...</v>
      </c>
      <c r="T1773" t="str">
        <f>_xll.BDP("708836GT Muni","LQA_LIQUIDITY_SCORE")</f>
        <v>#N/A Requesting Data...</v>
      </c>
    </row>
    <row r="1774" spans="1:20" x14ac:dyDescent="0.25">
      <c r="A1774" t="str">
        <f>_xll.BDP("64986DGY Muni","ID_CUSIP")</f>
        <v>#N/A Requesting Data...</v>
      </c>
      <c r="B1774" t="s">
        <v>433</v>
      </c>
      <c r="C1774" t="str">
        <f>_xll.BDP("64986DGY Muni","INSURANCE_STATUS")</f>
        <v>#N/A Requesting Data...</v>
      </c>
      <c r="D1774" t="str">
        <f>_xll.BDP("64986DGY Muni","STATE_CODE")</f>
        <v>#N/A Requesting Data...</v>
      </c>
      <c r="E1774" t="str">
        <f>_xll.BDP("64986DGY Muni","COUNTY_LOCATION_ISSUER")</f>
        <v>#N/A Requesting Data...</v>
      </c>
      <c r="F1774" t="str">
        <f>_xll.BDP("64986DGY Muni","DUR_ADJ_MID")</f>
        <v>#N/A Requesting Data...</v>
      </c>
      <c r="G1774" t="str">
        <f>_xll.BDP("64986DGY Muni","SPREAD_AT_ISSUANCE_TO_WORST")</f>
        <v>#N/A Requesting Data...</v>
      </c>
      <c r="H1774" t="str">
        <f>_xll.BDP("64986DGY Muni","ISSUE_DT")</f>
        <v>#N/A Requesting Data...</v>
      </c>
      <c r="I1774" t="str">
        <f>_xll.BDS("64986DGY Muni","MUNI_PURPOSE_SCHED", "aggregate=y")</f>
        <v>#N/A Requesting Data...</v>
      </c>
      <c r="J1774" t="str">
        <f>_xll.BDP("64986DGY Muni","CPN")</f>
        <v>#N/A Requesting Data...</v>
      </c>
      <c r="K1774" t="str">
        <f>_xll.BDP("64986DGY Muni","MATURITY")</f>
        <v>#N/A Requesting Data...</v>
      </c>
      <c r="L1774">
        <v>4650000</v>
      </c>
      <c r="M1774" t="str">
        <f>_xll.BDP("64986DGY Muni","YIELD_ON_ISSUE_DATE")</f>
        <v>#N/A Requesting Data...</v>
      </c>
      <c r="N1774" t="str">
        <f>_xll.BDP("64986DGY Muni","YTW_SPREAD_TO_MATURITY_AT_ISSU")</f>
        <v>#N/A Requesting Data...</v>
      </c>
      <c r="O1774" t="str">
        <f>_xll.BDP("64986DGY Muni","BVAL_MID_YTM")</f>
        <v>#N/A Requesting Data...</v>
      </c>
      <c r="P1774" t="str">
        <f>_xll.BDP("64986DGY Muni","MUNI_TAX_PROV")</f>
        <v>#N/A Requesting Data...</v>
      </c>
      <c r="Q1774" t="str">
        <f>_xll.BDP("64986DGY Muni","MUNI_FED_TAX")</f>
        <v>#N/A Requesting Data...</v>
      </c>
      <c r="R1774" t="str">
        <f>_xll.BDP("64986DGY Muni","MUNI_MSRB_VOLUME")</f>
        <v>#N/A Requesting Data...</v>
      </c>
      <c r="S1774" t="str">
        <f>_xll.BDP("64986DGY Muni","BB_COMPOSITE")</f>
        <v>#N/A Requesting Data...</v>
      </c>
      <c r="T1774" t="str">
        <f>_xll.BDP("64986DGY Muni","LQA_LIQUIDITY_SCORE")</f>
        <v>#N/A Requesting Data...</v>
      </c>
    </row>
    <row r="1775" spans="1:20" x14ac:dyDescent="0.25">
      <c r="A1775" t="str">
        <f>_xll.BDP("64986DHA Muni","ID_CUSIP")</f>
        <v>#N/A Requesting Data...</v>
      </c>
      <c r="B1775" t="s">
        <v>433</v>
      </c>
      <c r="C1775" t="str">
        <f>_xll.BDP("64986DHA Muni","INSURANCE_STATUS")</f>
        <v>#N/A Requesting Data...</v>
      </c>
      <c r="D1775" t="str">
        <f>_xll.BDP("64986DHA Muni","STATE_CODE")</f>
        <v>#N/A Requesting Data...</v>
      </c>
      <c r="E1775" t="str">
        <f>_xll.BDP("64986DHA Muni","COUNTY_LOCATION_ISSUER")</f>
        <v>#N/A Requesting Data...</v>
      </c>
      <c r="F1775" t="str">
        <f>_xll.BDP("64986DHA Muni","DUR_ADJ_MID")</f>
        <v>#N/A Requesting Data...</v>
      </c>
      <c r="G1775" t="str">
        <f>_xll.BDP("64986DHA Muni","SPREAD_AT_ISSUANCE_TO_WORST")</f>
        <v>#N/A Requesting Data...</v>
      </c>
      <c r="H1775" t="str">
        <f>_xll.BDP("64986DHA Muni","ISSUE_DT")</f>
        <v>#N/A Requesting Data...</v>
      </c>
      <c r="I1775" t="str">
        <f>_xll.BDS("64986DHA Muni","MUNI_PURPOSE_SCHED", "aggregate=y")</f>
        <v>#N/A Requesting Data...</v>
      </c>
      <c r="J1775" t="str">
        <f>_xll.BDP("64986DHA Muni","CPN")</f>
        <v>#N/A Requesting Data...</v>
      </c>
      <c r="K1775" t="str">
        <f>_xll.BDP("64986DHA Muni","MATURITY")</f>
        <v>#N/A Requesting Data...</v>
      </c>
      <c r="L1775">
        <v>5145000</v>
      </c>
      <c r="M1775" t="str">
        <f>_xll.BDP("64986DHA Muni","YIELD_ON_ISSUE_DATE")</f>
        <v>#N/A Requesting Data...</v>
      </c>
      <c r="N1775" t="str">
        <f>_xll.BDP("64986DHA Muni","YTW_SPREAD_TO_MATURITY_AT_ISSU")</f>
        <v>#N/A Requesting Data...</v>
      </c>
      <c r="O1775" t="str">
        <f>_xll.BDP("64986DHA Muni","BVAL_MID_YTM")</f>
        <v>#N/A Requesting Data...</v>
      </c>
      <c r="P1775" t="str">
        <f>_xll.BDP("64986DHA Muni","MUNI_TAX_PROV")</f>
        <v>#N/A Requesting Data...</v>
      </c>
      <c r="Q1775" t="str">
        <f>_xll.BDP("64986DHA Muni","MUNI_FED_TAX")</f>
        <v>#N/A Requesting Data...</v>
      </c>
      <c r="R1775" t="str">
        <f>_xll.BDP("64986DHA Muni","MUNI_MSRB_VOLUME")</f>
        <v>#N/A Requesting Data...</v>
      </c>
      <c r="S1775" t="str">
        <f>_xll.BDP("64986DHA Muni","BB_COMPOSITE")</f>
        <v>#N/A Requesting Data...</v>
      </c>
      <c r="T1775" t="str">
        <f>_xll.BDP("64986DHA Muni","LQA_LIQUIDITY_SCORE")</f>
        <v>#N/A Requesting Data...</v>
      </c>
    </row>
    <row r="1776" spans="1:20" x14ac:dyDescent="0.25">
      <c r="A1776" t="str">
        <f>_xll.BDP("64986DHB Muni","ID_CUSIP")</f>
        <v>#N/A Requesting Data...</v>
      </c>
      <c r="B1776" t="s">
        <v>433</v>
      </c>
      <c r="C1776" t="str">
        <f>_xll.BDP("64986DHB Muni","INSURANCE_STATUS")</f>
        <v>#N/A Requesting Data...</v>
      </c>
      <c r="D1776" t="str">
        <f>_xll.BDP("64986DHB Muni","STATE_CODE")</f>
        <v>#N/A Requesting Data...</v>
      </c>
      <c r="E1776" t="str">
        <f>_xll.BDP("64986DHB Muni","COUNTY_LOCATION_ISSUER")</f>
        <v>#N/A Requesting Data...</v>
      </c>
      <c r="F1776" t="str">
        <f>_xll.BDP("64986DHB Muni","DUR_ADJ_MID")</f>
        <v>#N/A Requesting Data...</v>
      </c>
      <c r="G1776" t="str">
        <f>_xll.BDP("64986DHB Muni","SPREAD_AT_ISSUANCE_TO_WORST")</f>
        <v>#N/A Requesting Data...</v>
      </c>
      <c r="H1776" t="str">
        <f>_xll.BDP("64986DHB Muni","ISSUE_DT")</f>
        <v>#N/A Requesting Data...</v>
      </c>
      <c r="I1776" t="str">
        <f>_xll.BDS("64986DHB Muni","MUNI_PURPOSE_SCHED", "aggregate=y")</f>
        <v>#N/A Requesting Data...</v>
      </c>
      <c r="J1776" t="str">
        <f>_xll.BDP("64986DHB Muni","CPN")</f>
        <v>#N/A Requesting Data...</v>
      </c>
      <c r="K1776" t="str">
        <f>_xll.BDP("64986DHB Muni","MATURITY")</f>
        <v>#N/A Requesting Data...</v>
      </c>
      <c r="L1776">
        <v>5415000</v>
      </c>
      <c r="M1776" t="str">
        <f>_xll.BDP("64986DHB Muni","YIELD_ON_ISSUE_DATE")</f>
        <v>#N/A Requesting Data...</v>
      </c>
      <c r="N1776" t="str">
        <f>_xll.BDP("64986DHB Muni","YTW_SPREAD_TO_MATURITY_AT_ISSU")</f>
        <v>#N/A Requesting Data...</v>
      </c>
      <c r="O1776" t="str">
        <f>_xll.BDP("64986DHB Muni","BVAL_MID_YTM")</f>
        <v>#N/A Requesting Data...</v>
      </c>
      <c r="P1776" t="str">
        <f>_xll.BDP("64986DHB Muni","MUNI_TAX_PROV")</f>
        <v>#N/A Requesting Data...</v>
      </c>
      <c r="Q1776" t="str">
        <f>_xll.BDP("64986DHB Muni","MUNI_FED_TAX")</f>
        <v>#N/A Requesting Data...</v>
      </c>
      <c r="R1776" t="str">
        <f>_xll.BDP("64986DHB Muni","MUNI_MSRB_VOLUME")</f>
        <v>#N/A Requesting Data...</v>
      </c>
      <c r="S1776" t="str">
        <f>_xll.BDP("64986DHB Muni","BB_COMPOSITE")</f>
        <v>#N/A Requesting Data...</v>
      </c>
      <c r="T1776" t="str">
        <f>_xll.BDP("64986DHB Muni","LQA_LIQUIDITY_SCORE")</f>
        <v>#N/A Requesting Data...</v>
      </c>
    </row>
    <row r="1777" spans="1:20" x14ac:dyDescent="0.25">
      <c r="A1777" t="str">
        <f>_xll.BDP("652130ND Muni","ID_CUSIP")</f>
        <v>#N/A Requesting Data...</v>
      </c>
      <c r="B1777" t="s">
        <v>434</v>
      </c>
      <c r="C1777" t="str">
        <f>_xll.BDP("652130ND Muni","INSURANCE_STATUS")</f>
        <v>#N/A Requesting Data...</v>
      </c>
      <c r="D1777" t="str">
        <f>_xll.BDP("652130ND Muni","STATE_CODE")</f>
        <v>#N/A Requesting Data...</v>
      </c>
      <c r="E1777" t="str">
        <f>_xll.BDP("652130ND Muni","COUNTY_LOCATION_ISSUER")</f>
        <v>#N/A Requesting Data...</v>
      </c>
      <c r="F1777" t="str">
        <f>_xll.BDP("652130ND Muni","DUR_ADJ_MID")</f>
        <v>#N/A Requesting Data...</v>
      </c>
      <c r="G1777" t="str">
        <f>_xll.BDP("652130ND Muni","SPREAD_AT_ISSUANCE_TO_WORST")</f>
        <v>#N/A Requesting Data...</v>
      </c>
      <c r="H1777" t="str">
        <f>_xll.BDP("652130ND Muni","ISSUE_DT")</f>
        <v>#N/A Requesting Data...</v>
      </c>
      <c r="I1777" t="str">
        <f>_xll.BDS("652130ND Muni","MUNI_PURPOSE_SCHED", "aggregate=y")</f>
        <v>#N/A Requesting Data...</v>
      </c>
      <c r="J1777" t="str">
        <f>_xll.BDP("652130ND Muni","CPN")</f>
        <v>#N/A Requesting Data...</v>
      </c>
      <c r="K1777" t="str">
        <f>_xll.BDP("652130ND Muni","MATURITY")</f>
        <v>#N/A Requesting Data...</v>
      </c>
      <c r="L1777">
        <v>180000</v>
      </c>
      <c r="M1777" t="str">
        <f>_xll.BDP("652130ND Muni","YIELD_ON_ISSUE_DATE")</f>
        <v>#N/A Requesting Data...</v>
      </c>
      <c r="N1777" t="str">
        <f>_xll.BDP("652130ND Muni","YTW_SPREAD_TO_MATURITY_AT_ISSU")</f>
        <v>#N/A Requesting Data...</v>
      </c>
      <c r="O1777" t="str">
        <f>_xll.BDP("652130ND Muni","BVAL_MID_YTM")</f>
        <v>#N/A Requesting Data...</v>
      </c>
      <c r="P1777" t="str">
        <f>_xll.BDP("652130ND Muni","MUNI_TAX_PROV")</f>
        <v>#N/A Requesting Data...</v>
      </c>
      <c r="Q1777" t="str">
        <f>_xll.BDP("652130ND Muni","MUNI_FED_TAX")</f>
        <v>#N/A Requesting Data...</v>
      </c>
      <c r="R1777" t="str">
        <f>_xll.BDP("652130ND Muni","MUNI_MSRB_VOLUME")</f>
        <v>#N/A Requesting Data...</v>
      </c>
      <c r="S1777" t="str">
        <f>_xll.BDP("652130ND Muni","BB_COMPOSITE")</f>
        <v>#N/A Requesting Data...</v>
      </c>
      <c r="T1777" t="str">
        <f>_xll.BDP("652130ND Muni","LQA_LIQUIDITY_SCORE")</f>
        <v>#N/A Requesting Data...</v>
      </c>
    </row>
    <row r="1778" spans="1:20" x14ac:dyDescent="0.25">
      <c r="A1778" t="str">
        <f>_xll.BDP("652130NE Muni","ID_CUSIP")</f>
        <v>#N/A Requesting Data...</v>
      </c>
      <c r="B1778" t="s">
        <v>434</v>
      </c>
      <c r="C1778" t="str">
        <f>_xll.BDP("652130NE Muni","INSURANCE_STATUS")</f>
        <v>#N/A Requesting Data...</v>
      </c>
      <c r="D1778" t="str">
        <f>_xll.BDP("652130NE Muni","STATE_CODE")</f>
        <v>#N/A Requesting Data...</v>
      </c>
      <c r="E1778" t="str">
        <f>_xll.BDP("652130NE Muni","COUNTY_LOCATION_ISSUER")</f>
        <v>#N/A Requesting Data...</v>
      </c>
      <c r="F1778" t="str">
        <f>_xll.BDP("652130NE Muni","DUR_ADJ_MID")</f>
        <v>#N/A Requesting Data...</v>
      </c>
      <c r="G1778" t="str">
        <f>_xll.BDP("652130NE Muni","SPREAD_AT_ISSUANCE_TO_WORST")</f>
        <v>#N/A Requesting Data...</v>
      </c>
      <c r="H1778" t="str">
        <f>_xll.BDP("652130NE Muni","ISSUE_DT")</f>
        <v>#N/A Requesting Data...</v>
      </c>
      <c r="I1778" t="str">
        <f>_xll.BDS("652130NE Muni","MUNI_PURPOSE_SCHED", "aggregate=y")</f>
        <v>#N/A Requesting Data...</v>
      </c>
      <c r="J1778" t="str">
        <f>_xll.BDP("652130NE Muni","CPN")</f>
        <v>#N/A Requesting Data...</v>
      </c>
      <c r="K1778" t="str">
        <f>_xll.BDP("652130NE Muni","MATURITY")</f>
        <v>#N/A Requesting Data...</v>
      </c>
      <c r="L1778">
        <v>185000</v>
      </c>
      <c r="M1778" t="str">
        <f>_xll.BDP("652130NE Muni","YIELD_ON_ISSUE_DATE")</f>
        <v>#N/A Requesting Data...</v>
      </c>
      <c r="N1778" t="str">
        <f>_xll.BDP("652130NE Muni","YTW_SPREAD_TO_MATURITY_AT_ISSU")</f>
        <v>#N/A Requesting Data...</v>
      </c>
      <c r="O1778" t="str">
        <f>_xll.BDP("652130NE Muni","BVAL_MID_YTM")</f>
        <v>#N/A Requesting Data...</v>
      </c>
      <c r="P1778" t="str">
        <f>_xll.BDP("652130NE Muni","MUNI_TAX_PROV")</f>
        <v>#N/A Requesting Data...</v>
      </c>
      <c r="Q1778" t="str">
        <f>_xll.BDP("652130NE Muni","MUNI_FED_TAX")</f>
        <v>#N/A Requesting Data...</v>
      </c>
      <c r="R1778" t="str">
        <f>_xll.BDP("652130NE Muni","MUNI_MSRB_VOLUME")</f>
        <v>#N/A Requesting Data...</v>
      </c>
      <c r="S1778" t="str">
        <f>_xll.BDP("652130NE Muni","BB_COMPOSITE")</f>
        <v>#N/A Requesting Data...</v>
      </c>
      <c r="T1778" t="str">
        <f>_xll.BDP("652130NE Muni","LQA_LIQUIDITY_SCORE")</f>
        <v>#N/A Requesting Data...</v>
      </c>
    </row>
    <row r="1779" spans="1:20" x14ac:dyDescent="0.25">
      <c r="A1779" t="str">
        <f>_xll.BDP("652130NF Muni","ID_CUSIP")</f>
        <v>#N/A Requesting Data...</v>
      </c>
      <c r="B1779" t="s">
        <v>434</v>
      </c>
      <c r="C1779" t="str">
        <f>_xll.BDP("652130NF Muni","INSURANCE_STATUS")</f>
        <v>#N/A Requesting Data...</v>
      </c>
      <c r="D1779" t="str">
        <f>_xll.BDP("652130NF Muni","STATE_CODE")</f>
        <v>#N/A Requesting Data...</v>
      </c>
      <c r="E1779" t="str">
        <f>_xll.BDP("652130NF Muni","COUNTY_LOCATION_ISSUER")</f>
        <v>#N/A Requesting Data...</v>
      </c>
      <c r="F1779" t="str">
        <f>_xll.BDP("652130NF Muni","DUR_ADJ_MID")</f>
        <v>#N/A Requesting Data...</v>
      </c>
      <c r="G1779" t="str">
        <f>_xll.BDP("652130NF Muni","SPREAD_AT_ISSUANCE_TO_WORST")</f>
        <v>#N/A Requesting Data...</v>
      </c>
      <c r="H1779" t="str">
        <f>_xll.BDP("652130NF Muni","ISSUE_DT")</f>
        <v>#N/A Requesting Data...</v>
      </c>
      <c r="I1779" t="str">
        <f>_xll.BDS("652130NF Muni","MUNI_PURPOSE_SCHED", "aggregate=y")</f>
        <v>#N/A Requesting Data...</v>
      </c>
      <c r="J1779" t="str">
        <f>_xll.BDP("652130NF Muni","CPN")</f>
        <v>#N/A Requesting Data...</v>
      </c>
      <c r="K1779" t="str">
        <f>_xll.BDP("652130NF Muni","MATURITY")</f>
        <v>#N/A Requesting Data...</v>
      </c>
      <c r="L1779">
        <v>190000</v>
      </c>
      <c r="M1779" t="str">
        <f>_xll.BDP("652130NF Muni","YIELD_ON_ISSUE_DATE")</f>
        <v>#N/A Requesting Data...</v>
      </c>
      <c r="N1779" t="str">
        <f>_xll.BDP("652130NF Muni","YTW_SPREAD_TO_MATURITY_AT_ISSU")</f>
        <v>#N/A Requesting Data...</v>
      </c>
      <c r="O1779" t="str">
        <f>_xll.BDP("652130NF Muni","BVAL_MID_YTM")</f>
        <v>#N/A Requesting Data...</v>
      </c>
      <c r="P1779" t="str">
        <f>_xll.BDP("652130NF Muni","MUNI_TAX_PROV")</f>
        <v>#N/A Requesting Data...</v>
      </c>
      <c r="Q1779" t="str">
        <f>_xll.BDP("652130NF Muni","MUNI_FED_TAX")</f>
        <v>#N/A Requesting Data...</v>
      </c>
      <c r="R1779" t="str">
        <f>_xll.BDP("652130NF Muni","MUNI_MSRB_VOLUME")</f>
        <v>#N/A Requesting Data...</v>
      </c>
      <c r="S1779" t="str">
        <f>_xll.BDP("652130NF Muni","BB_COMPOSITE")</f>
        <v>#N/A Requesting Data...</v>
      </c>
      <c r="T1779" t="str">
        <f>_xll.BDP("652130NF Muni","LQA_LIQUIDITY_SCORE")</f>
        <v>#N/A Requesting Data...</v>
      </c>
    </row>
    <row r="1780" spans="1:20" x14ac:dyDescent="0.25">
      <c r="A1780" t="str">
        <f>_xll.BDP("652130NG Muni","ID_CUSIP")</f>
        <v>#N/A Requesting Data...</v>
      </c>
      <c r="B1780" t="s">
        <v>434</v>
      </c>
      <c r="C1780" t="str">
        <f>_xll.BDP("652130NG Muni","INSURANCE_STATUS")</f>
        <v>#N/A Requesting Data...</v>
      </c>
      <c r="D1780" t="str">
        <f>_xll.BDP("652130NG Muni","STATE_CODE")</f>
        <v>#N/A Requesting Data...</v>
      </c>
      <c r="E1780" t="str">
        <f>_xll.BDP("652130NG Muni","COUNTY_LOCATION_ISSUER")</f>
        <v>#N/A Requesting Data...</v>
      </c>
      <c r="F1780" t="str">
        <f>_xll.BDP("652130NG Muni","DUR_ADJ_MID")</f>
        <v>#N/A Requesting Data...</v>
      </c>
      <c r="G1780" t="str">
        <f>_xll.BDP("652130NG Muni","SPREAD_AT_ISSUANCE_TO_WORST")</f>
        <v>#N/A Requesting Data...</v>
      </c>
      <c r="H1780" t="str">
        <f>_xll.BDP("652130NG Muni","ISSUE_DT")</f>
        <v>#N/A Requesting Data...</v>
      </c>
      <c r="I1780" t="str">
        <f>_xll.BDS("652130NG Muni","MUNI_PURPOSE_SCHED", "aggregate=y")</f>
        <v>#N/A Requesting Data...</v>
      </c>
      <c r="J1780" t="str">
        <f>_xll.BDP("652130NG Muni","CPN")</f>
        <v>#N/A Requesting Data...</v>
      </c>
      <c r="K1780" t="str">
        <f>_xll.BDP("652130NG Muni","MATURITY")</f>
        <v>#N/A Requesting Data...</v>
      </c>
      <c r="L1780">
        <v>200000</v>
      </c>
      <c r="M1780" t="str">
        <f>_xll.BDP("652130NG Muni","YIELD_ON_ISSUE_DATE")</f>
        <v>#N/A Requesting Data...</v>
      </c>
      <c r="N1780" t="str">
        <f>_xll.BDP("652130NG Muni","YTW_SPREAD_TO_MATURITY_AT_ISSU")</f>
        <v>#N/A Requesting Data...</v>
      </c>
      <c r="O1780" t="str">
        <f>_xll.BDP("652130NG Muni","BVAL_MID_YTM")</f>
        <v>#N/A Requesting Data...</v>
      </c>
      <c r="P1780" t="str">
        <f>_xll.BDP("652130NG Muni","MUNI_TAX_PROV")</f>
        <v>#N/A Requesting Data...</v>
      </c>
      <c r="Q1780" t="str">
        <f>_xll.BDP("652130NG Muni","MUNI_FED_TAX")</f>
        <v>#N/A Requesting Data...</v>
      </c>
      <c r="R1780" t="str">
        <f>_xll.BDP("652130NG Muni","MUNI_MSRB_VOLUME")</f>
        <v>#N/A Requesting Data...</v>
      </c>
      <c r="S1780" t="str">
        <f>_xll.BDP("652130NG Muni","BB_COMPOSITE")</f>
        <v>#N/A Requesting Data...</v>
      </c>
      <c r="T1780" t="str">
        <f>_xll.BDP("652130NG Muni","LQA_LIQUIDITY_SCORE")</f>
        <v>#N/A Requesting Data...</v>
      </c>
    </row>
    <row r="1781" spans="1:20" x14ac:dyDescent="0.25">
      <c r="A1781" t="str">
        <f>_xll.BDP("652130NH Muni","ID_CUSIP")</f>
        <v>#N/A Requesting Data...</v>
      </c>
      <c r="B1781" t="s">
        <v>434</v>
      </c>
      <c r="C1781" t="str">
        <f>_xll.BDP("652130NH Muni","INSURANCE_STATUS")</f>
        <v>#N/A Requesting Data...</v>
      </c>
      <c r="D1781" t="str">
        <f>_xll.BDP("652130NH Muni","STATE_CODE")</f>
        <v>#N/A Requesting Data...</v>
      </c>
      <c r="E1781" t="str">
        <f>_xll.BDP("652130NH Muni","COUNTY_LOCATION_ISSUER")</f>
        <v>#N/A Requesting Data...</v>
      </c>
      <c r="F1781" t="str">
        <f>_xll.BDP("652130NH Muni","DUR_ADJ_MID")</f>
        <v>#N/A Requesting Data...</v>
      </c>
      <c r="G1781" t="str">
        <f>_xll.BDP("652130NH Muni","SPREAD_AT_ISSUANCE_TO_WORST")</f>
        <v>#N/A Requesting Data...</v>
      </c>
      <c r="H1781" t="str">
        <f>_xll.BDP("652130NH Muni","ISSUE_DT")</f>
        <v>#N/A Requesting Data...</v>
      </c>
      <c r="I1781" t="str">
        <f>_xll.BDS("652130NH Muni","MUNI_PURPOSE_SCHED", "aggregate=y")</f>
        <v>#N/A Requesting Data...</v>
      </c>
      <c r="J1781" t="str">
        <f>_xll.BDP("652130NH Muni","CPN")</f>
        <v>#N/A Requesting Data...</v>
      </c>
      <c r="K1781" t="str">
        <f>_xll.BDP("652130NH Muni","MATURITY")</f>
        <v>#N/A Requesting Data...</v>
      </c>
      <c r="L1781">
        <v>205000</v>
      </c>
      <c r="M1781" t="str">
        <f>_xll.BDP("652130NH Muni","YIELD_ON_ISSUE_DATE")</f>
        <v>#N/A Requesting Data...</v>
      </c>
      <c r="N1781" t="str">
        <f>_xll.BDP("652130NH Muni","YTW_SPREAD_TO_MATURITY_AT_ISSU")</f>
        <v>#N/A Requesting Data...</v>
      </c>
      <c r="O1781" t="str">
        <f>_xll.BDP("652130NH Muni","BVAL_MID_YTM")</f>
        <v>#N/A Requesting Data...</v>
      </c>
      <c r="P1781" t="str">
        <f>_xll.BDP("652130NH Muni","MUNI_TAX_PROV")</f>
        <v>#N/A Requesting Data...</v>
      </c>
      <c r="Q1781" t="str">
        <f>_xll.BDP("652130NH Muni","MUNI_FED_TAX")</f>
        <v>#N/A Requesting Data...</v>
      </c>
      <c r="R1781" t="str">
        <f>_xll.BDP("652130NH Muni","MUNI_MSRB_VOLUME")</f>
        <v>#N/A Requesting Data...</v>
      </c>
      <c r="S1781" t="str">
        <f>_xll.BDP("652130NH Muni","BB_COMPOSITE")</f>
        <v>#N/A Requesting Data...</v>
      </c>
      <c r="T1781" t="str">
        <f>_xll.BDP("652130NH Muni","LQA_LIQUIDITY_SCORE")</f>
        <v>#N/A Requesting Data...</v>
      </c>
    </row>
    <row r="1782" spans="1:20" x14ac:dyDescent="0.25">
      <c r="A1782" t="str">
        <f>_xll.BDP("702594BX Muni","ID_CUSIP")</f>
        <v>#N/A Requesting Data...</v>
      </c>
      <c r="B1782" t="s">
        <v>427</v>
      </c>
      <c r="C1782" t="str">
        <f>_xll.BDP("702594BX Muni","INSURANCE_STATUS")</f>
        <v>#N/A Requesting Data...</v>
      </c>
      <c r="D1782" t="str">
        <f>_xll.BDP("702594BX Muni","STATE_CODE")</f>
        <v>#N/A Requesting Data...</v>
      </c>
      <c r="E1782" t="str">
        <f>_xll.BDP("702594BX Muni","COUNTY_LOCATION_ISSUER")</f>
        <v>#N/A Requesting Data...</v>
      </c>
      <c r="F1782" t="str">
        <f>_xll.BDP("702594BX Muni","DUR_ADJ_MID")</f>
        <v>#N/A Requesting Data...</v>
      </c>
      <c r="G1782" t="str">
        <f>_xll.BDP("702594BX Muni","SPREAD_AT_ISSUANCE_TO_WORST")</f>
        <v>#N/A Requesting Data...</v>
      </c>
      <c r="H1782" t="str">
        <f>_xll.BDP("702594BX Muni","ISSUE_DT")</f>
        <v>#N/A Requesting Data...</v>
      </c>
      <c r="I1782" t="str">
        <f>_xll.BDS("702594BX Muni","MUNI_PURPOSE_SCHED", "aggregate=y")</f>
        <v>#N/A Requesting Data...</v>
      </c>
      <c r="J1782" t="str">
        <f>_xll.BDP("702594BX Muni","CPN")</f>
        <v>#N/A Requesting Data...</v>
      </c>
      <c r="K1782" t="str">
        <f>_xll.BDP("702594BX Muni","MATURITY")</f>
        <v>#N/A Requesting Data...</v>
      </c>
      <c r="L1782">
        <v>30000</v>
      </c>
      <c r="M1782" t="str">
        <f>_xll.BDP("702594BX Muni","YIELD_ON_ISSUE_DATE")</f>
        <v>#N/A Requesting Data...</v>
      </c>
      <c r="N1782" t="str">
        <f>_xll.BDP("702594BX Muni","YTW_SPREAD_TO_MATURITY_AT_ISSU")</f>
        <v>#N/A Requesting Data...</v>
      </c>
      <c r="O1782" t="str">
        <f>_xll.BDP("702594BX Muni","BVAL_MID_YTM")</f>
        <v>#N/A Requesting Data...</v>
      </c>
      <c r="P1782" t="str">
        <f>_xll.BDP("702594BX Muni","MUNI_TAX_PROV")</f>
        <v>#N/A Requesting Data...</v>
      </c>
      <c r="Q1782" t="str">
        <f>_xll.BDP("702594BX Muni","MUNI_FED_TAX")</f>
        <v>#N/A Requesting Data...</v>
      </c>
      <c r="R1782" t="str">
        <f>_xll.BDP("702594BX Muni","MUNI_MSRB_VOLUME")</f>
        <v>#N/A Requesting Data...</v>
      </c>
      <c r="S1782" t="str">
        <f>_xll.BDP("702594BX Muni","BB_COMPOSITE")</f>
        <v>#N/A Requesting Data...</v>
      </c>
      <c r="T1782" t="str">
        <f>_xll.BDP("702594BX Muni","LQA_LIQUIDITY_SCORE")</f>
        <v>#N/A Requesting Data...</v>
      </c>
    </row>
    <row r="1783" spans="1:20" x14ac:dyDescent="0.25">
      <c r="A1783" t="str">
        <f>_xll.BDP("702594BZ Muni","ID_CUSIP")</f>
        <v>#N/A Requesting Data...</v>
      </c>
      <c r="B1783" t="s">
        <v>427</v>
      </c>
      <c r="C1783" t="str">
        <f>_xll.BDP("702594BZ Muni","INSURANCE_STATUS")</f>
        <v>#N/A Requesting Data...</v>
      </c>
      <c r="D1783" t="str">
        <f>_xll.BDP("702594BZ Muni","STATE_CODE")</f>
        <v>#N/A Requesting Data...</v>
      </c>
      <c r="E1783" t="str">
        <f>_xll.BDP("702594BZ Muni","COUNTY_LOCATION_ISSUER")</f>
        <v>#N/A Requesting Data...</v>
      </c>
      <c r="F1783" t="str">
        <f>_xll.BDP("702594BZ Muni","DUR_ADJ_MID")</f>
        <v>#N/A Requesting Data...</v>
      </c>
      <c r="G1783" t="str">
        <f>_xll.BDP("702594BZ Muni","SPREAD_AT_ISSUANCE_TO_WORST")</f>
        <v>#N/A Requesting Data...</v>
      </c>
      <c r="H1783" t="str">
        <f>_xll.BDP("702594BZ Muni","ISSUE_DT")</f>
        <v>#N/A Requesting Data...</v>
      </c>
      <c r="I1783" t="str">
        <f>_xll.BDS("702594BZ Muni","MUNI_PURPOSE_SCHED", "aggregate=y")</f>
        <v>#N/A Requesting Data...</v>
      </c>
      <c r="J1783" t="str">
        <f>_xll.BDP("702594BZ Muni","CPN")</f>
        <v>#N/A Requesting Data...</v>
      </c>
      <c r="K1783" t="str">
        <f>_xll.BDP("702594BZ Muni","MATURITY")</f>
        <v>#N/A Requesting Data...</v>
      </c>
      <c r="L1783">
        <v>35000</v>
      </c>
      <c r="M1783" t="str">
        <f>_xll.BDP("702594BZ Muni","YIELD_ON_ISSUE_DATE")</f>
        <v>#N/A Requesting Data...</v>
      </c>
      <c r="N1783" t="str">
        <f>_xll.BDP("702594BZ Muni","YTW_SPREAD_TO_MATURITY_AT_ISSU")</f>
        <v>#N/A Requesting Data...</v>
      </c>
      <c r="O1783" t="str">
        <f>_xll.BDP("702594BZ Muni","BVAL_MID_YTM")</f>
        <v>#N/A Requesting Data...</v>
      </c>
      <c r="P1783" t="str">
        <f>_xll.BDP("702594BZ Muni","MUNI_TAX_PROV")</f>
        <v>#N/A Requesting Data...</v>
      </c>
      <c r="Q1783" t="str">
        <f>_xll.BDP("702594BZ Muni","MUNI_FED_TAX")</f>
        <v>#N/A Requesting Data...</v>
      </c>
      <c r="R1783" t="str">
        <f>_xll.BDP("702594BZ Muni","MUNI_MSRB_VOLUME")</f>
        <v>#N/A Requesting Data...</v>
      </c>
      <c r="S1783" t="str">
        <f>_xll.BDP("702594BZ Muni","BB_COMPOSITE")</f>
        <v>#N/A Requesting Data...</v>
      </c>
      <c r="T1783" t="str">
        <f>_xll.BDP("702594BZ Muni","LQA_LIQUIDITY_SCORE")</f>
        <v>#N/A Requesting Data...</v>
      </c>
    </row>
    <row r="1784" spans="1:20" x14ac:dyDescent="0.25">
      <c r="A1784" t="str">
        <f>_xll.BDP("702594CA Muni","ID_CUSIP")</f>
        <v>#N/A Requesting Data...</v>
      </c>
      <c r="B1784" t="s">
        <v>427</v>
      </c>
      <c r="C1784" t="str">
        <f>_xll.BDP("702594CA Muni","INSURANCE_STATUS")</f>
        <v>#N/A Requesting Data...</v>
      </c>
      <c r="D1784" t="str">
        <f>_xll.BDP("702594CA Muni","STATE_CODE")</f>
        <v>#N/A Requesting Data...</v>
      </c>
      <c r="E1784" t="str">
        <f>_xll.BDP("702594CA Muni","COUNTY_LOCATION_ISSUER")</f>
        <v>#N/A Requesting Data...</v>
      </c>
      <c r="F1784" t="str">
        <f>_xll.BDP("702594CA Muni","DUR_ADJ_MID")</f>
        <v>#N/A Requesting Data...</v>
      </c>
      <c r="G1784" t="str">
        <f>_xll.BDP("702594CA Muni","SPREAD_AT_ISSUANCE_TO_WORST")</f>
        <v>#N/A Requesting Data...</v>
      </c>
      <c r="H1784" t="str">
        <f>_xll.BDP("702594CA Muni","ISSUE_DT")</f>
        <v>#N/A Requesting Data...</v>
      </c>
      <c r="I1784" t="str">
        <f>_xll.BDS("702594CA Muni","MUNI_PURPOSE_SCHED", "aggregate=y")</f>
        <v>#N/A Requesting Data...</v>
      </c>
      <c r="J1784" t="str">
        <f>_xll.BDP("702594CA Muni","CPN")</f>
        <v>#N/A Requesting Data...</v>
      </c>
      <c r="K1784" t="str">
        <f>_xll.BDP("702594CA Muni","MATURITY")</f>
        <v>#N/A Requesting Data...</v>
      </c>
      <c r="L1784">
        <v>35000</v>
      </c>
      <c r="M1784" t="str">
        <f>_xll.BDP("702594CA Muni","YIELD_ON_ISSUE_DATE")</f>
        <v>#N/A Requesting Data...</v>
      </c>
      <c r="N1784" t="str">
        <f>_xll.BDP("702594CA Muni","YTW_SPREAD_TO_MATURITY_AT_ISSU")</f>
        <v>#N/A Requesting Data...</v>
      </c>
      <c r="O1784" t="str">
        <f>_xll.BDP("702594CA Muni","BVAL_MID_YTM")</f>
        <v>#N/A Requesting Data...</v>
      </c>
      <c r="P1784" t="str">
        <f>_xll.BDP("702594CA Muni","MUNI_TAX_PROV")</f>
        <v>#N/A Requesting Data...</v>
      </c>
      <c r="Q1784" t="str">
        <f>_xll.BDP("702594CA Muni","MUNI_FED_TAX")</f>
        <v>#N/A Requesting Data...</v>
      </c>
      <c r="R1784" t="str">
        <f>_xll.BDP("702594CA Muni","MUNI_MSRB_VOLUME")</f>
        <v>#N/A Requesting Data...</v>
      </c>
      <c r="S1784" t="str">
        <f>_xll.BDP("702594CA Muni","BB_COMPOSITE")</f>
        <v>#N/A Requesting Data...</v>
      </c>
      <c r="T1784" t="str">
        <f>_xll.BDP("702594CA Muni","LQA_LIQUIDITY_SCORE")</f>
        <v>#N/A Requesting Data...</v>
      </c>
    </row>
    <row r="1785" spans="1:20" x14ac:dyDescent="0.25">
      <c r="A1785" t="str">
        <f>_xll.BDP("702594CB Muni","ID_CUSIP")</f>
        <v>#N/A Requesting Data...</v>
      </c>
      <c r="B1785" t="s">
        <v>427</v>
      </c>
      <c r="C1785" t="str">
        <f>_xll.BDP("702594CB Muni","INSURANCE_STATUS")</f>
        <v>#N/A Requesting Data...</v>
      </c>
      <c r="D1785" t="str">
        <f>_xll.BDP("702594CB Muni","STATE_CODE")</f>
        <v>#N/A Requesting Data...</v>
      </c>
      <c r="E1785" t="str">
        <f>_xll.BDP("702594CB Muni","COUNTY_LOCATION_ISSUER")</f>
        <v>#N/A Requesting Data...</v>
      </c>
      <c r="F1785" t="str">
        <f>_xll.BDP("702594CB Muni","DUR_ADJ_MID")</f>
        <v>#N/A Requesting Data...</v>
      </c>
      <c r="G1785" t="str">
        <f>_xll.BDP("702594CB Muni","SPREAD_AT_ISSUANCE_TO_WORST")</f>
        <v>#N/A Requesting Data...</v>
      </c>
      <c r="H1785" t="str">
        <f>_xll.BDP("702594CB Muni","ISSUE_DT")</f>
        <v>#N/A Requesting Data...</v>
      </c>
      <c r="I1785" t="str">
        <f>_xll.BDS("702594CB Muni","MUNI_PURPOSE_SCHED", "aggregate=y")</f>
        <v>#N/A Requesting Data...</v>
      </c>
      <c r="J1785" t="str">
        <f>_xll.BDP("702594CB Muni","CPN")</f>
        <v>#N/A Requesting Data...</v>
      </c>
      <c r="K1785" t="str">
        <f>_xll.BDP("702594CB Muni","MATURITY")</f>
        <v>#N/A Requesting Data...</v>
      </c>
      <c r="L1785">
        <v>35000</v>
      </c>
      <c r="M1785" t="str">
        <f>_xll.BDP("702594CB Muni","YIELD_ON_ISSUE_DATE")</f>
        <v>#N/A Requesting Data...</v>
      </c>
      <c r="N1785" t="str">
        <f>_xll.BDP("702594CB Muni","YTW_SPREAD_TO_MATURITY_AT_ISSU")</f>
        <v>#N/A Requesting Data...</v>
      </c>
      <c r="O1785" t="str">
        <f>_xll.BDP("702594CB Muni","BVAL_MID_YTM")</f>
        <v>#N/A Requesting Data...</v>
      </c>
      <c r="P1785" t="str">
        <f>_xll.BDP("702594CB Muni","MUNI_TAX_PROV")</f>
        <v>#N/A Requesting Data...</v>
      </c>
      <c r="Q1785" t="str">
        <f>_xll.BDP("702594CB Muni","MUNI_FED_TAX")</f>
        <v>#N/A Requesting Data...</v>
      </c>
      <c r="R1785" t="str">
        <f>_xll.BDP("702594CB Muni","MUNI_MSRB_VOLUME")</f>
        <v>#N/A Requesting Data...</v>
      </c>
      <c r="S1785" t="str">
        <f>_xll.BDP("702594CB Muni","BB_COMPOSITE")</f>
        <v>#N/A Requesting Data...</v>
      </c>
      <c r="T1785" t="str">
        <f>_xll.BDP("702594CB Muni","LQA_LIQUIDITY_SCORE")</f>
        <v>#N/A Requesting Data...</v>
      </c>
    </row>
    <row r="1786" spans="1:20" x14ac:dyDescent="0.25">
      <c r="A1786" t="str">
        <f>_xll.BDP("779721SQ Muni","ID_CUSIP")</f>
        <v>#N/A Requesting Data...</v>
      </c>
      <c r="B1786" t="s">
        <v>435</v>
      </c>
      <c r="C1786" t="str">
        <f>_xll.BDP("779721SQ Muni","INSURANCE_STATUS")</f>
        <v>#N/A Requesting Data...</v>
      </c>
      <c r="D1786" t="str">
        <f>_xll.BDP("779721SQ Muni","STATE_CODE")</f>
        <v>#N/A Requesting Data...</v>
      </c>
      <c r="E1786" t="str">
        <f>_xll.BDP("779721SQ Muni","COUNTY_LOCATION_ISSUER")</f>
        <v>#N/A Requesting Data...</v>
      </c>
      <c r="F1786" t="str">
        <f>_xll.BDP("779721SQ Muni","DUR_ADJ_MID")</f>
        <v>#N/A Requesting Data...</v>
      </c>
      <c r="G1786" t="str">
        <f>_xll.BDP("779721SQ Muni","SPREAD_AT_ISSUANCE_TO_WORST")</f>
        <v>#N/A Requesting Data...</v>
      </c>
      <c r="H1786" t="str">
        <f>_xll.BDP("779721SQ Muni","ISSUE_DT")</f>
        <v>#N/A Requesting Data...</v>
      </c>
      <c r="I1786" t="str">
        <f>_xll.BDS("779721SQ Muni","MUNI_PURPOSE_SCHED", "aggregate=y")</f>
        <v>#N/A Requesting Data...</v>
      </c>
      <c r="J1786" t="str">
        <f>_xll.BDP("779721SQ Muni","CPN")</f>
        <v>#N/A Requesting Data...</v>
      </c>
      <c r="K1786" t="str">
        <f>_xll.BDP("779721SQ Muni","MATURITY")</f>
        <v>#N/A Requesting Data...</v>
      </c>
      <c r="L1786">
        <v>180000</v>
      </c>
      <c r="M1786" t="str">
        <f>_xll.BDP("779721SQ Muni","YIELD_ON_ISSUE_DATE")</f>
        <v>#N/A Requesting Data...</v>
      </c>
      <c r="N1786" t="str">
        <f>_xll.BDP("779721SQ Muni","YTW_SPREAD_TO_MATURITY_AT_ISSU")</f>
        <v>#N/A Requesting Data...</v>
      </c>
      <c r="O1786" t="str">
        <f>_xll.BDP("779721SQ Muni","BVAL_MID_YTM")</f>
        <v>#N/A Requesting Data...</v>
      </c>
      <c r="P1786" t="str">
        <f>_xll.BDP("779721SQ Muni","MUNI_TAX_PROV")</f>
        <v>#N/A Requesting Data...</v>
      </c>
      <c r="Q1786" t="str">
        <f>_xll.BDP("779721SQ Muni","MUNI_FED_TAX")</f>
        <v>#N/A Requesting Data...</v>
      </c>
      <c r="R1786" t="str">
        <f>_xll.BDP("779721SQ Muni","MUNI_MSRB_VOLUME")</f>
        <v>#N/A Requesting Data...</v>
      </c>
      <c r="S1786" t="str">
        <f>_xll.BDP("779721SQ Muni","BB_COMPOSITE")</f>
        <v>#N/A Requesting Data...</v>
      </c>
      <c r="T1786" t="str">
        <f>_xll.BDP("779721SQ Muni","LQA_LIQUIDITY_SCORE")</f>
        <v>#N/A Requesting Data...</v>
      </c>
    </row>
    <row r="1787" spans="1:20" x14ac:dyDescent="0.25">
      <c r="A1787" t="str">
        <f>_xll.BDP("782816AW Muni","ID_CUSIP")</f>
        <v>#N/A Requesting Data...</v>
      </c>
      <c r="B1787" t="s">
        <v>436</v>
      </c>
      <c r="C1787" t="str">
        <f>_xll.BDP("782816AW Muni","INSURANCE_STATUS")</f>
        <v>#N/A Requesting Data...</v>
      </c>
      <c r="D1787" t="str">
        <f>_xll.BDP("782816AW Muni","STATE_CODE")</f>
        <v>#N/A Requesting Data...</v>
      </c>
      <c r="E1787" t="str">
        <f>_xll.BDP("782816AW Muni","COUNTY_LOCATION_ISSUER")</f>
        <v>#N/A Requesting Data...</v>
      </c>
      <c r="F1787" t="str">
        <f>_xll.BDP("782816AW Muni","DUR_ADJ_MID")</f>
        <v>#N/A Requesting Data...</v>
      </c>
      <c r="G1787" t="str">
        <f>_xll.BDP("782816AW Muni","SPREAD_AT_ISSUANCE_TO_WORST")</f>
        <v>#N/A Requesting Data...</v>
      </c>
      <c r="H1787" t="str">
        <f>_xll.BDP("782816AW Muni","ISSUE_DT")</f>
        <v>#N/A Requesting Data...</v>
      </c>
      <c r="I1787" t="str">
        <f>_xll.BDS("782816AW Muni","MUNI_PURPOSE_SCHED", "aggregate=y")</f>
        <v>#N/A Requesting Data...</v>
      </c>
      <c r="J1787" t="str">
        <f>_xll.BDP("782816AW Muni","CPN")</f>
        <v>#N/A Requesting Data...</v>
      </c>
      <c r="K1787" t="str">
        <f>_xll.BDP("782816AW Muni","MATURITY")</f>
        <v>#N/A Requesting Data...</v>
      </c>
      <c r="L1787">
        <v>680000</v>
      </c>
      <c r="M1787" t="str">
        <f>_xll.BDP("782816AW Muni","YIELD_ON_ISSUE_DATE")</f>
        <v>#N/A Requesting Data...</v>
      </c>
      <c r="N1787" t="str">
        <f>_xll.BDP("782816AW Muni","YTW_SPREAD_TO_MATURITY_AT_ISSU")</f>
        <v>#N/A Requesting Data...</v>
      </c>
      <c r="O1787" t="str">
        <f>_xll.BDP("782816AW Muni","BVAL_MID_YTM")</f>
        <v>#N/A Requesting Data...</v>
      </c>
      <c r="P1787" t="str">
        <f>_xll.BDP("782816AW Muni","MUNI_TAX_PROV")</f>
        <v>#N/A Requesting Data...</v>
      </c>
      <c r="Q1787" t="str">
        <f>_xll.BDP("782816AW Muni","MUNI_FED_TAX")</f>
        <v>#N/A Requesting Data...</v>
      </c>
      <c r="R1787" t="str">
        <f>_xll.BDP("782816AW Muni","MUNI_MSRB_VOLUME")</f>
        <v>#N/A Requesting Data...</v>
      </c>
      <c r="S1787" t="str">
        <f>_xll.BDP("782816AW Muni","BB_COMPOSITE")</f>
        <v>#N/A Requesting Data...</v>
      </c>
      <c r="T1787" t="str">
        <f>_xll.BDP("782816AW Muni","LQA_LIQUIDITY_SCORE")</f>
        <v>#N/A Requesting Data...</v>
      </c>
    </row>
    <row r="1788" spans="1:20" x14ac:dyDescent="0.25">
      <c r="A1788" t="str">
        <f>_xll.BDP("782816AX Muni","ID_CUSIP")</f>
        <v>#N/A Requesting Data...</v>
      </c>
      <c r="B1788" t="s">
        <v>436</v>
      </c>
      <c r="C1788" t="str">
        <f>_xll.BDP("782816AX Muni","INSURANCE_STATUS")</f>
        <v>#N/A Requesting Data...</v>
      </c>
      <c r="D1788" t="str">
        <f>_xll.BDP("782816AX Muni","STATE_CODE")</f>
        <v>#N/A Requesting Data...</v>
      </c>
      <c r="E1788" t="str">
        <f>_xll.BDP("782816AX Muni","COUNTY_LOCATION_ISSUER")</f>
        <v>#N/A Requesting Data...</v>
      </c>
      <c r="F1788" t="str">
        <f>_xll.BDP("782816AX Muni","DUR_ADJ_MID")</f>
        <v>#N/A Requesting Data...</v>
      </c>
      <c r="G1788" t="str">
        <f>_xll.BDP("782816AX Muni","SPREAD_AT_ISSUANCE_TO_WORST")</f>
        <v>#N/A Requesting Data...</v>
      </c>
      <c r="H1788" t="str">
        <f>_xll.BDP("782816AX Muni","ISSUE_DT")</f>
        <v>#N/A Requesting Data...</v>
      </c>
      <c r="I1788" t="str">
        <f>_xll.BDS("782816AX Muni","MUNI_PURPOSE_SCHED", "aggregate=y")</f>
        <v>#N/A Requesting Data...</v>
      </c>
      <c r="J1788" t="str">
        <f>_xll.BDP("782816AX Muni","CPN")</f>
        <v>#N/A Requesting Data...</v>
      </c>
      <c r="K1788" t="str">
        <f>_xll.BDP("782816AX Muni","MATURITY")</f>
        <v>#N/A Requesting Data...</v>
      </c>
      <c r="L1788">
        <v>705000</v>
      </c>
      <c r="M1788" t="str">
        <f>_xll.BDP("782816AX Muni","YIELD_ON_ISSUE_DATE")</f>
        <v>#N/A Requesting Data...</v>
      </c>
      <c r="N1788" t="str">
        <f>_xll.BDP("782816AX Muni","YTW_SPREAD_TO_MATURITY_AT_ISSU")</f>
        <v>#N/A Requesting Data...</v>
      </c>
      <c r="O1788" t="str">
        <f>_xll.BDP("782816AX Muni","BVAL_MID_YTM")</f>
        <v>#N/A Requesting Data...</v>
      </c>
      <c r="P1788" t="str">
        <f>_xll.BDP("782816AX Muni","MUNI_TAX_PROV")</f>
        <v>#N/A Requesting Data...</v>
      </c>
      <c r="Q1788" t="str">
        <f>_xll.BDP("782816AX Muni","MUNI_FED_TAX")</f>
        <v>#N/A Requesting Data...</v>
      </c>
      <c r="R1788" t="str">
        <f>_xll.BDP("782816AX Muni","MUNI_MSRB_VOLUME")</f>
        <v>#N/A Requesting Data...</v>
      </c>
      <c r="S1788" t="str">
        <f>_xll.BDP("782816AX Muni","BB_COMPOSITE")</f>
        <v>#N/A Requesting Data...</v>
      </c>
      <c r="T1788" t="str">
        <f>_xll.BDP("782816AX Muni","LQA_LIQUIDITY_SCORE")</f>
        <v>#N/A Requesting Data...</v>
      </c>
    </row>
    <row r="1789" spans="1:20" x14ac:dyDescent="0.25">
      <c r="A1789" t="str">
        <f>_xll.BDP("782816AY Muni","ID_CUSIP")</f>
        <v>#N/A Requesting Data...</v>
      </c>
      <c r="B1789" t="s">
        <v>436</v>
      </c>
      <c r="C1789" t="str">
        <f>_xll.BDP("782816AY Muni","INSURANCE_STATUS")</f>
        <v>#N/A Requesting Data...</v>
      </c>
      <c r="D1789" t="str">
        <f>_xll.BDP("782816AY Muni","STATE_CODE")</f>
        <v>#N/A Requesting Data...</v>
      </c>
      <c r="E1789" t="str">
        <f>_xll.BDP("782816AY Muni","COUNTY_LOCATION_ISSUER")</f>
        <v>#N/A Requesting Data...</v>
      </c>
      <c r="F1789" t="str">
        <f>_xll.BDP("782816AY Muni","DUR_ADJ_MID")</f>
        <v>#N/A Requesting Data...</v>
      </c>
      <c r="G1789" t="str">
        <f>_xll.BDP("782816AY Muni","SPREAD_AT_ISSUANCE_TO_WORST")</f>
        <v>#N/A Requesting Data...</v>
      </c>
      <c r="H1789" t="str">
        <f>_xll.BDP("782816AY Muni","ISSUE_DT")</f>
        <v>#N/A Requesting Data...</v>
      </c>
      <c r="I1789" t="str">
        <f>_xll.BDS("782816AY Muni","MUNI_PURPOSE_SCHED", "aggregate=y")</f>
        <v>#N/A Requesting Data...</v>
      </c>
      <c r="J1789" t="str">
        <f>_xll.BDP("782816AY Muni","CPN")</f>
        <v>#N/A Requesting Data...</v>
      </c>
      <c r="K1789" t="str">
        <f>_xll.BDP("782816AY Muni","MATURITY")</f>
        <v>#N/A Requesting Data...</v>
      </c>
      <c r="L1789">
        <v>740000</v>
      </c>
      <c r="M1789" t="str">
        <f>_xll.BDP("782816AY Muni","YIELD_ON_ISSUE_DATE")</f>
        <v>#N/A Requesting Data...</v>
      </c>
      <c r="N1789" t="str">
        <f>_xll.BDP("782816AY Muni","YTW_SPREAD_TO_MATURITY_AT_ISSU")</f>
        <v>#N/A Requesting Data...</v>
      </c>
      <c r="O1789" t="str">
        <f>_xll.BDP("782816AY Muni","BVAL_MID_YTM")</f>
        <v>#N/A Requesting Data...</v>
      </c>
      <c r="P1789" t="str">
        <f>_xll.BDP("782816AY Muni","MUNI_TAX_PROV")</f>
        <v>#N/A Requesting Data...</v>
      </c>
      <c r="Q1789" t="str">
        <f>_xll.BDP("782816AY Muni","MUNI_FED_TAX")</f>
        <v>#N/A Requesting Data...</v>
      </c>
      <c r="R1789" t="str">
        <f>_xll.BDP("782816AY Muni","MUNI_MSRB_VOLUME")</f>
        <v>#N/A Requesting Data...</v>
      </c>
      <c r="S1789" t="str">
        <f>_xll.BDP("782816AY Muni","BB_COMPOSITE")</f>
        <v>#N/A Requesting Data...</v>
      </c>
      <c r="T1789" t="str">
        <f>_xll.BDP("782816AY Muni","LQA_LIQUIDITY_SCORE")</f>
        <v>#N/A Requesting Data...</v>
      </c>
    </row>
    <row r="1790" spans="1:20" x14ac:dyDescent="0.25">
      <c r="A1790" t="str">
        <f>_xll.BDP("641814CR Muni","ID_CUSIP")</f>
        <v>#N/A Requesting Data...</v>
      </c>
      <c r="B1790" t="s">
        <v>437</v>
      </c>
      <c r="C1790" t="str">
        <f>_xll.BDP("641814CR Muni","INSURANCE_STATUS")</f>
        <v>#N/A Requesting Data...</v>
      </c>
      <c r="D1790" t="str">
        <f>_xll.BDP("641814CR Muni","STATE_CODE")</f>
        <v>#N/A Requesting Data...</v>
      </c>
      <c r="E1790" t="str">
        <f>_xll.BDP("641814CR Muni","COUNTY_LOCATION_ISSUER")</f>
        <v>#N/A Requesting Data...</v>
      </c>
      <c r="F1790" t="str">
        <f>_xll.BDP("641814CR Muni","DUR_ADJ_MID")</f>
        <v>#N/A Requesting Data...</v>
      </c>
      <c r="G1790" t="str">
        <f>_xll.BDP("641814CR Muni","SPREAD_AT_ISSUANCE_TO_WORST")</f>
        <v>#N/A Requesting Data...</v>
      </c>
      <c r="H1790" t="str">
        <f>_xll.BDP("641814CR Muni","ISSUE_DT")</f>
        <v>#N/A Requesting Data...</v>
      </c>
      <c r="I1790" t="str">
        <f>_xll.BDS("641814CR Muni","MUNI_PURPOSE_SCHED", "aggregate=y")</f>
        <v>#N/A Requesting Data...</v>
      </c>
      <c r="J1790" t="str">
        <f>_xll.BDP("641814CR Muni","CPN")</f>
        <v>#N/A Requesting Data...</v>
      </c>
      <c r="K1790" t="str">
        <f>_xll.BDP("641814CR Muni","MATURITY")</f>
        <v>#N/A Requesting Data...</v>
      </c>
      <c r="L1790">
        <v>115000</v>
      </c>
      <c r="M1790" t="str">
        <f>_xll.BDP("641814CR Muni","YIELD_ON_ISSUE_DATE")</f>
        <v>#N/A Requesting Data...</v>
      </c>
      <c r="N1790" t="str">
        <f>_xll.BDP("641814CR Muni","YTW_SPREAD_TO_MATURITY_AT_ISSU")</f>
        <v>#N/A Requesting Data...</v>
      </c>
      <c r="O1790" t="str">
        <f>_xll.BDP("641814CR Muni","BVAL_MID_YTM")</f>
        <v>#N/A Requesting Data...</v>
      </c>
      <c r="P1790" t="str">
        <f>_xll.BDP("641814CR Muni","MUNI_TAX_PROV")</f>
        <v>#N/A Requesting Data...</v>
      </c>
      <c r="Q1790" t="str">
        <f>_xll.BDP("641814CR Muni","MUNI_FED_TAX")</f>
        <v>#N/A Requesting Data...</v>
      </c>
      <c r="R1790" t="str">
        <f>_xll.BDP("641814CR Muni","MUNI_MSRB_VOLUME")</f>
        <v>#N/A Requesting Data...</v>
      </c>
      <c r="S1790" t="str">
        <f>_xll.BDP("641814CR Muni","BB_COMPOSITE")</f>
        <v>#N/A Requesting Data...</v>
      </c>
      <c r="T1790" t="str">
        <f>_xll.BDP("641814CR Muni","LQA_LIQUIDITY_SCORE")</f>
        <v>#N/A Requesting Data...</v>
      </c>
    </row>
    <row r="1791" spans="1:20" x14ac:dyDescent="0.25">
      <c r="A1791" t="str">
        <f>_xll.BDP("641814CS Muni","ID_CUSIP")</f>
        <v>#N/A Requesting Data...</v>
      </c>
      <c r="B1791" t="s">
        <v>437</v>
      </c>
      <c r="C1791" t="str">
        <f>_xll.BDP("641814CS Muni","INSURANCE_STATUS")</f>
        <v>#N/A Requesting Data...</v>
      </c>
      <c r="D1791" t="str">
        <f>_xll.BDP("641814CS Muni","STATE_CODE")</f>
        <v>#N/A Requesting Data...</v>
      </c>
      <c r="E1791" t="str">
        <f>_xll.BDP("641814CS Muni","COUNTY_LOCATION_ISSUER")</f>
        <v>#N/A Requesting Data...</v>
      </c>
      <c r="F1791" t="str">
        <f>_xll.BDP("641814CS Muni","DUR_ADJ_MID")</f>
        <v>#N/A Requesting Data...</v>
      </c>
      <c r="G1791" t="str">
        <f>_xll.BDP("641814CS Muni","SPREAD_AT_ISSUANCE_TO_WORST")</f>
        <v>#N/A Requesting Data...</v>
      </c>
      <c r="H1791" t="str">
        <f>_xll.BDP("641814CS Muni","ISSUE_DT")</f>
        <v>#N/A Requesting Data...</v>
      </c>
      <c r="I1791" t="str">
        <f>_xll.BDS("641814CS Muni","MUNI_PURPOSE_SCHED", "aggregate=y")</f>
        <v>#N/A Requesting Data...</v>
      </c>
      <c r="J1791" t="str">
        <f>_xll.BDP("641814CS Muni","CPN")</f>
        <v>#N/A Requesting Data...</v>
      </c>
      <c r="K1791" t="str">
        <f>_xll.BDP("641814CS Muni","MATURITY")</f>
        <v>#N/A Requesting Data...</v>
      </c>
      <c r="L1791">
        <v>120000</v>
      </c>
      <c r="M1791" t="str">
        <f>_xll.BDP("641814CS Muni","YIELD_ON_ISSUE_DATE")</f>
        <v>#N/A Requesting Data...</v>
      </c>
      <c r="N1791" t="str">
        <f>_xll.BDP("641814CS Muni","YTW_SPREAD_TO_MATURITY_AT_ISSU")</f>
        <v>#N/A Requesting Data...</v>
      </c>
      <c r="O1791" t="str">
        <f>_xll.BDP("641814CS Muni","BVAL_MID_YTM")</f>
        <v>#N/A Requesting Data...</v>
      </c>
      <c r="P1791" t="str">
        <f>_xll.BDP("641814CS Muni","MUNI_TAX_PROV")</f>
        <v>#N/A Requesting Data...</v>
      </c>
      <c r="Q1791" t="str">
        <f>_xll.BDP("641814CS Muni","MUNI_FED_TAX")</f>
        <v>#N/A Requesting Data...</v>
      </c>
      <c r="R1791" t="str">
        <f>_xll.BDP("641814CS Muni","MUNI_MSRB_VOLUME")</f>
        <v>#N/A Requesting Data...</v>
      </c>
      <c r="S1791" t="str">
        <f>_xll.BDP("641814CS Muni","BB_COMPOSITE")</f>
        <v>#N/A Requesting Data...</v>
      </c>
      <c r="T1791" t="str">
        <f>_xll.BDP("641814CS Muni","LQA_LIQUIDITY_SCORE")</f>
        <v>#N/A Requesting Data...</v>
      </c>
    </row>
    <row r="1792" spans="1:20" x14ac:dyDescent="0.25">
      <c r="A1792" t="str">
        <f>_xll.BDP("641814CT Muni","ID_CUSIP")</f>
        <v>#N/A Requesting Data...</v>
      </c>
      <c r="B1792" t="s">
        <v>437</v>
      </c>
      <c r="C1792" t="str">
        <f>_xll.BDP("641814CT Muni","INSURANCE_STATUS")</f>
        <v>#N/A Requesting Data...</v>
      </c>
      <c r="D1792" t="str">
        <f>_xll.BDP("641814CT Muni","STATE_CODE")</f>
        <v>#N/A Requesting Data...</v>
      </c>
      <c r="E1792" t="str">
        <f>_xll.BDP("641814CT Muni","COUNTY_LOCATION_ISSUER")</f>
        <v>#N/A Requesting Data...</v>
      </c>
      <c r="F1792" t="str">
        <f>_xll.BDP("641814CT Muni","DUR_ADJ_MID")</f>
        <v>#N/A Requesting Data...</v>
      </c>
      <c r="G1792" t="str">
        <f>_xll.BDP("641814CT Muni","SPREAD_AT_ISSUANCE_TO_WORST")</f>
        <v>#N/A Requesting Data...</v>
      </c>
      <c r="H1792" t="str">
        <f>_xll.BDP("641814CT Muni","ISSUE_DT")</f>
        <v>#N/A Requesting Data...</v>
      </c>
      <c r="I1792" t="str">
        <f>_xll.BDS("641814CT Muni","MUNI_PURPOSE_SCHED", "aggregate=y")</f>
        <v>#N/A Requesting Data...</v>
      </c>
      <c r="J1792" t="str">
        <f>_xll.BDP("641814CT Muni","CPN")</f>
        <v>#N/A Requesting Data...</v>
      </c>
      <c r="K1792" t="str">
        <f>_xll.BDP("641814CT Muni","MATURITY")</f>
        <v>#N/A Requesting Data...</v>
      </c>
      <c r="L1792">
        <v>125000</v>
      </c>
      <c r="M1792" t="str">
        <f>_xll.BDP("641814CT Muni","YIELD_ON_ISSUE_DATE")</f>
        <v>#N/A Requesting Data...</v>
      </c>
      <c r="N1792" t="str">
        <f>_xll.BDP("641814CT Muni","YTW_SPREAD_TO_MATURITY_AT_ISSU")</f>
        <v>#N/A Requesting Data...</v>
      </c>
      <c r="O1792" t="str">
        <f>_xll.BDP("641814CT Muni","BVAL_MID_YTM")</f>
        <v>#N/A Requesting Data...</v>
      </c>
      <c r="P1792" t="str">
        <f>_xll.BDP("641814CT Muni","MUNI_TAX_PROV")</f>
        <v>#N/A Requesting Data...</v>
      </c>
      <c r="Q1792" t="str">
        <f>_xll.BDP("641814CT Muni","MUNI_FED_TAX")</f>
        <v>#N/A Requesting Data...</v>
      </c>
      <c r="R1792" t="str">
        <f>_xll.BDP("641814CT Muni","MUNI_MSRB_VOLUME")</f>
        <v>#N/A Requesting Data...</v>
      </c>
      <c r="S1792" t="str">
        <f>_xll.BDP("641814CT Muni","BB_COMPOSITE")</f>
        <v>#N/A Requesting Data...</v>
      </c>
      <c r="T1792" t="str">
        <f>_xll.BDP("641814CT Muni","LQA_LIQUIDITY_SCORE")</f>
        <v>#N/A Requesting Data...</v>
      </c>
    </row>
    <row r="1793" spans="1:20" x14ac:dyDescent="0.25">
      <c r="A1793" t="str">
        <f>_xll.BDP("641814CU Muni","ID_CUSIP")</f>
        <v>#N/A Requesting Data...</v>
      </c>
      <c r="B1793" t="s">
        <v>437</v>
      </c>
      <c r="C1793" t="str">
        <f>_xll.BDP("641814CU Muni","INSURANCE_STATUS")</f>
        <v>#N/A Requesting Data...</v>
      </c>
      <c r="D1793" t="str">
        <f>_xll.BDP("641814CU Muni","STATE_CODE")</f>
        <v>#N/A Requesting Data...</v>
      </c>
      <c r="E1793" t="str">
        <f>_xll.BDP("641814CU Muni","COUNTY_LOCATION_ISSUER")</f>
        <v>#N/A Requesting Data...</v>
      </c>
      <c r="F1793" t="str">
        <f>_xll.BDP("641814CU Muni","DUR_ADJ_MID")</f>
        <v>#N/A Requesting Data...</v>
      </c>
      <c r="G1793" t="str">
        <f>_xll.BDP("641814CU Muni","SPREAD_AT_ISSUANCE_TO_WORST")</f>
        <v>#N/A Requesting Data...</v>
      </c>
      <c r="H1793" t="str">
        <f>_xll.BDP("641814CU Muni","ISSUE_DT")</f>
        <v>#N/A Requesting Data...</v>
      </c>
      <c r="I1793" t="str">
        <f>_xll.BDS("641814CU Muni","MUNI_PURPOSE_SCHED", "aggregate=y")</f>
        <v>#N/A Requesting Data...</v>
      </c>
      <c r="J1793" t="str">
        <f>_xll.BDP("641814CU Muni","CPN")</f>
        <v>#N/A Requesting Data...</v>
      </c>
      <c r="K1793" t="str">
        <f>_xll.BDP("641814CU Muni","MATURITY")</f>
        <v>#N/A Requesting Data...</v>
      </c>
      <c r="L1793">
        <v>125000</v>
      </c>
      <c r="M1793" t="str">
        <f>_xll.BDP("641814CU Muni","YIELD_ON_ISSUE_DATE")</f>
        <v>#N/A Requesting Data...</v>
      </c>
      <c r="N1793" t="str">
        <f>_xll.BDP("641814CU Muni","YTW_SPREAD_TO_MATURITY_AT_ISSU")</f>
        <v>#N/A Requesting Data...</v>
      </c>
      <c r="O1793" t="str">
        <f>_xll.BDP("641814CU Muni","BVAL_MID_YTM")</f>
        <v>#N/A Requesting Data...</v>
      </c>
      <c r="P1793" t="str">
        <f>_xll.BDP("641814CU Muni","MUNI_TAX_PROV")</f>
        <v>#N/A Requesting Data...</v>
      </c>
      <c r="Q1793" t="str">
        <f>_xll.BDP("641814CU Muni","MUNI_FED_TAX")</f>
        <v>#N/A Requesting Data...</v>
      </c>
      <c r="R1793" t="str">
        <f>_xll.BDP("641814CU Muni","MUNI_MSRB_VOLUME")</f>
        <v>#N/A Requesting Data...</v>
      </c>
      <c r="S1793" t="str">
        <f>_xll.BDP("641814CU Muni","BB_COMPOSITE")</f>
        <v>#N/A Requesting Data...</v>
      </c>
      <c r="T1793" t="str">
        <f>_xll.BDP("641814CU Muni","LQA_LIQUIDITY_SCORE")</f>
        <v>#N/A Requesting Data...</v>
      </c>
    </row>
    <row r="1794" spans="1:20" x14ac:dyDescent="0.25">
      <c r="A1794" t="str">
        <f>_xll.BDP("641814CV Muni","ID_CUSIP")</f>
        <v>#N/A Requesting Data...</v>
      </c>
      <c r="B1794" t="s">
        <v>437</v>
      </c>
      <c r="C1794" t="str">
        <f>_xll.BDP("641814CV Muni","INSURANCE_STATUS")</f>
        <v>#N/A Requesting Data...</v>
      </c>
      <c r="D1794" t="str">
        <f>_xll.BDP("641814CV Muni","STATE_CODE")</f>
        <v>#N/A Requesting Data...</v>
      </c>
      <c r="E1794" t="str">
        <f>_xll.BDP("641814CV Muni","COUNTY_LOCATION_ISSUER")</f>
        <v>#N/A Requesting Data...</v>
      </c>
      <c r="F1794" t="str">
        <f>_xll.BDP("641814CV Muni","DUR_ADJ_MID")</f>
        <v>#N/A Requesting Data...</v>
      </c>
      <c r="G1794" t="str">
        <f>_xll.BDP("641814CV Muni","SPREAD_AT_ISSUANCE_TO_WORST")</f>
        <v>#N/A Requesting Data...</v>
      </c>
      <c r="H1794" t="str">
        <f>_xll.BDP("641814CV Muni","ISSUE_DT")</f>
        <v>#N/A Requesting Data...</v>
      </c>
      <c r="I1794" t="str">
        <f>_xll.BDS("641814CV Muni","MUNI_PURPOSE_SCHED", "aggregate=y")</f>
        <v>#N/A Requesting Data...</v>
      </c>
      <c r="J1794" t="str">
        <f>_xll.BDP("641814CV Muni","CPN")</f>
        <v>#N/A Requesting Data...</v>
      </c>
      <c r="K1794" t="str">
        <f>_xll.BDP("641814CV Muni","MATURITY")</f>
        <v>#N/A Requesting Data...</v>
      </c>
      <c r="L1794">
        <v>130000</v>
      </c>
      <c r="M1794" t="str">
        <f>_xll.BDP("641814CV Muni","YIELD_ON_ISSUE_DATE")</f>
        <v>#N/A Requesting Data...</v>
      </c>
      <c r="N1794" t="str">
        <f>_xll.BDP("641814CV Muni","YTW_SPREAD_TO_MATURITY_AT_ISSU")</f>
        <v>#N/A Requesting Data...</v>
      </c>
      <c r="O1794" t="str">
        <f>_xll.BDP("641814CV Muni","BVAL_MID_YTM")</f>
        <v>#N/A Requesting Data...</v>
      </c>
      <c r="P1794" t="str">
        <f>_xll.BDP("641814CV Muni","MUNI_TAX_PROV")</f>
        <v>#N/A Requesting Data...</v>
      </c>
      <c r="Q1794" t="str">
        <f>_xll.BDP("641814CV Muni","MUNI_FED_TAX")</f>
        <v>#N/A Requesting Data...</v>
      </c>
      <c r="R1794" t="str">
        <f>_xll.BDP("641814CV Muni","MUNI_MSRB_VOLUME")</f>
        <v>#N/A Requesting Data...</v>
      </c>
      <c r="S1794" t="str">
        <f>_xll.BDP("641814CV Muni","BB_COMPOSITE")</f>
        <v>#N/A Requesting Data...</v>
      </c>
      <c r="T1794" t="str">
        <f>_xll.BDP("641814CV Muni","LQA_LIQUIDITY_SCORE")</f>
        <v>#N/A Requesting Data...</v>
      </c>
    </row>
    <row r="1795" spans="1:20" x14ac:dyDescent="0.25">
      <c r="A1795" t="str">
        <f>_xll.BDP("641814CW Muni","ID_CUSIP")</f>
        <v>#N/A Requesting Data...</v>
      </c>
      <c r="B1795" t="s">
        <v>437</v>
      </c>
      <c r="C1795" t="str">
        <f>_xll.BDP("641814CW Muni","INSURANCE_STATUS")</f>
        <v>#N/A Requesting Data...</v>
      </c>
      <c r="D1795" t="str">
        <f>_xll.BDP("641814CW Muni","STATE_CODE")</f>
        <v>#N/A Requesting Data...</v>
      </c>
      <c r="E1795" t="str">
        <f>_xll.BDP("641814CW Muni","COUNTY_LOCATION_ISSUER")</f>
        <v>#N/A Requesting Data...</v>
      </c>
      <c r="F1795" t="str">
        <f>_xll.BDP("641814CW Muni","DUR_ADJ_MID")</f>
        <v>#N/A Requesting Data...</v>
      </c>
      <c r="G1795" t="str">
        <f>_xll.BDP("641814CW Muni","SPREAD_AT_ISSUANCE_TO_WORST")</f>
        <v>#N/A Requesting Data...</v>
      </c>
      <c r="H1795" t="str">
        <f>_xll.BDP("641814CW Muni","ISSUE_DT")</f>
        <v>#N/A Requesting Data...</v>
      </c>
      <c r="I1795" t="str">
        <f>_xll.BDS("641814CW Muni","MUNI_PURPOSE_SCHED", "aggregate=y")</f>
        <v>#N/A Requesting Data...</v>
      </c>
      <c r="J1795" t="str">
        <f>_xll.BDP("641814CW Muni","CPN")</f>
        <v>#N/A Requesting Data...</v>
      </c>
      <c r="K1795" t="str">
        <f>_xll.BDP("641814CW Muni","MATURITY")</f>
        <v>#N/A Requesting Data...</v>
      </c>
      <c r="L1795">
        <v>140000</v>
      </c>
      <c r="M1795" t="str">
        <f>_xll.BDP("641814CW Muni","YIELD_ON_ISSUE_DATE")</f>
        <v>#N/A Requesting Data...</v>
      </c>
      <c r="N1795" t="str">
        <f>_xll.BDP("641814CW Muni","YTW_SPREAD_TO_MATURITY_AT_ISSU")</f>
        <v>#N/A Requesting Data...</v>
      </c>
      <c r="O1795" t="str">
        <f>_xll.BDP("641814CW Muni","BVAL_MID_YTM")</f>
        <v>#N/A Requesting Data...</v>
      </c>
      <c r="P1795" t="str">
        <f>_xll.BDP("641814CW Muni","MUNI_TAX_PROV")</f>
        <v>#N/A Requesting Data...</v>
      </c>
      <c r="Q1795" t="str">
        <f>_xll.BDP("641814CW Muni","MUNI_FED_TAX")</f>
        <v>#N/A Requesting Data...</v>
      </c>
      <c r="R1795" t="str">
        <f>_xll.BDP("641814CW Muni","MUNI_MSRB_VOLUME")</f>
        <v>#N/A Requesting Data...</v>
      </c>
      <c r="S1795" t="str">
        <f>_xll.BDP("641814CW Muni","BB_COMPOSITE")</f>
        <v>#N/A Requesting Data...</v>
      </c>
      <c r="T1795" t="str">
        <f>_xll.BDP("641814CW Muni","LQA_LIQUIDITY_SCORE")</f>
        <v>#N/A Requesting Data...</v>
      </c>
    </row>
    <row r="1796" spans="1:20" x14ac:dyDescent="0.25">
      <c r="A1796" t="str">
        <f>_xll.BDP("641814CX Muni","ID_CUSIP")</f>
        <v>#N/A Requesting Data...</v>
      </c>
      <c r="B1796" t="s">
        <v>437</v>
      </c>
      <c r="C1796" t="str">
        <f>_xll.BDP("641814CX Muni","INSURANCE_STATUS")</f>
        <v>#N/A Requesting Data...</v>
      </c>
      <c r="D1796" t="str">
        <f>_xll.BDP("641814CX Muni","STATE_CODE")</f>
        <v>#N/A Requesting Data...</v>
      </c>
      <c r="E1796" t="str">
        <f>_xll.BDP("641814CX Muni","COUNTY_LOCATION_ISSUER")</f>
        <v>#N/A Requesting Data...</v>
      </c>
      <c r="F1796" t="str">
        <f>_xll.BDP("641814CX Muni","DUR_ADJ_MID")</f>
        <v>#N/A Requesting Data...</v>
      </c>
      <c r="G1796" t="str">
        <f>_xll.BDP("641814CX Muni","SPREAD_AT_ISSUANCE_TO_WORST")</f>
        <v>#N/A Requesting Data...</v>
      </c>
      <c r="H1796" t="str">
        <f>_xll.BDP("641814CX Muni","ISSUE_DT")</f>
        <v>#N/A Requesting Data...</v>
      </c>
      <c r="I1796" t="str">
        <f>_xll.BDS("641814CX Muni","MUNI_PURPOSE_SCHED", "aggregate=y")</f>
        <v>#N/A Requesting Data...</v>
      </c>
      <c r="J1796" t="str">
        <f>_xll.BDP("641814CX Muni","CPN")</f>
        <v>#N/A Requesting Data...</v>
      </c>
      <c r="K1796" t="str">
        <f>_xll.BDP("641814CX Muni","MATURITY")</f>
        <v>#N/A Requesting Data...</v>
      </c>
      <c r="L1796">
        <v>145000</v>
      </c>
      <c r="M1796" t="str">
        <f>_xll.BDP("641814CX Muni","YIELD_ON_ISSUE_DATE")</f>
        <v>#N/A Requesting Data...</v>
      </c>
      <c r="N1796" t="str">
        <f>_xll.BDP("641814CX Muni","YTW_SPREAD_TO_MATURITY_AT_ISSU")</f>
        <v>#N/A Requesting Data...</v>
      </c>
      <c r="O1796" t="str">
        <f>_xll.BDP("641814CX Muni","BVAL_MID_YTM")</f>
        <v>#N/A Requesting Data...</v>
      </c>
      <c r="P1796" t="str">
        <f>_xll.BDP("641814CX Muni","MUNI_TAX_PROV")</f>
        <v>#N/A Requesting Data...</v>
      </c>
      <c r="Q1796" t="str">
        <f>_xll.BDP("641814CX Muni","MUNI_FED_TAX")</f>
        <v>#N/A Requesting Data...</v>
      </c>
      <c r="R1796" t="str">
        <f>_xll.BDP("641814CX Muni","MUNI_MSRB_VOLUME")</f>
        <v>#N/A Requesting Data...</v>
      </c>
      <c r="S1796" t="str">
        <f>_xll.BDP("641814CX Muni","BB_COMPOSITE")</f>
        <v>#N/A Requesting Data...</v>
      </c>
      <c r="T1796" t="str">
        <f>_xll.BDP("641814CX Muni","LQA_LIQUIDITY_SCORE")</f>
        <v>#N/A Requesting Data...</v>
      </c>
    </row>
    <row r="1797" spans="1:20" x14ac:dyDescent="0.25">
      <c r="A1797" t="str">
        <f>_xll.BDP("642577UC Muni","ID_CUSIP")</f>
        <v>#N/A Requesting Data...</v>
      </c>
      <c r="B1797" t="s">
        <v>438</v>
      </c>
      <c r="C1797" t="str">
        <f>_xll.BDP("642577UC Muni","INSURANCE_STATUS")</f>
        <v>#N/A Requesting Data...</v>
      </c>
      <c r="D1797" t="str">
        <f>_xll.BDP("642577UC Muni","STATE_CODE")</f>
        <v>#N/A Requesting Data...</v>
      </c>
      <c r="E1797" t="str">
        <f>_xll.BDP("642577UC Muni","COUNTY_LOCATION_ISSUER")</f>
        <v>#N/A Requesting Data...</v>
      </c>
      <c r="F1797" t="str">
        <f>_xll.BDP("642577UC Muni","DUR_ADJ_MID")</f>
        <v>#N/A Requesting Data...</v>
      </c>
      <c r="G1797" t="str">
        <f>_xll.BDP("642577UC Muni","SPREAD_AT_ISSUANCE_TO_WORST")</f>
        <v>#N/A Requesting Data...</v>
      </c>
      <c r="H1797" t="str">
        <f>_xll.BDP("642577UC Muni","ISSUE_DT")</f>
        <v>#N/A Requesting Data...</v>
      </c>
      <c r="I1797" t="str">
        <f>_xll.BDS("642577UC Muni","MUNI_PURPOSE_SCHED", "aggregate=y")</f>
        <v>#N/A Requesting Data...</v>
      </c>
      <c r="J1797" t="str">
        <f>_xll.BDP("642577UC Muni","CPN")</f>
        <v>#N/A Requesting Data...</v>
      </c>
      <c r="K1797" t="str">
        <f>_xll.BDP("642577UC Muni","MATURITY")</f>
        <v>#N/A Requesting Data...</v>
      </c>
      <c r="L1797">
        <v>435000</v>
      </c>
      <c r="M1797" t="str">
        <f>_xll.BDP("642577UC Muni","YIELD_ON_ISSUE_DATE")</f>
        <v>#N/A Requesting Data...</v>
      </c>
      <c r="N1797" t="str">
        <f>_xll.BDP("642577UC Muni","YTW_SPREAD_TO_MATURITY_AT_ISSU")</f>
        <v>#N/A Requesting Data...</v>
      </c>
      <c r="O1797" t="str">
        <f>_xll.BDP("642577UC Muni","BVAL_MID_YTM")</f>
        <v>#N/A Requesting Data...</v>
      </c>
      <c r="P1797" t="str">
        <f>_xll.BDP("642577UC Muni","MUNI_TAX_PROV")</f>
        <v>#N/A Requesting Data...</v>
      </c>
      <c r="Q1797" t="str">
        <f>_xll.BDP("642577UC Muni","MUNI_FED_TAX")</f>
        <v>#N/A Requesting Data...</v>
      </c>
      <c r="R1797" t="str">
        <f>_xll.BDP("642577UC Muni","MUNI_MSRB_VOLUME")</f>
        <v>#N/A Requesting Data...</v>
      </c>
      <c r="S1797" t="str">
        <f>_xll.BDP("642577UC Muni","BB_COMPOSITE")</f>
        <v>#N/A Requesting Data...</v>
      </c>
      <c r="T1797" t="str">
        <f>_xll.BDP("642577UC Muni","LQA_LIQUIDITY_SCORE")</f>
        <v>#N/A Requesting Data...</v>
      </c>
    </row>
    <row r="1798" spans="1:20" x14ac:dyDescent="0.25">
      <c r="A1798" t="str">
        <f>_xll.BDP("642577UD Muni","ID_CUSIP")</f>
        <v>#N/A Requesting Data...</v>
      </c>
      <c r="B1798" t="s">
        <v>438</v>
      </c>
      <c r="C1798" t="str">
        <f>_xll.BDP("642577UD Muni","INSURANCE_STATUS")</f>
        <v>#N/A Requesting Data...</v>
      </c>
      <c r="D1798" t="str">
        <f>_xll.BDP("642577UD Muni","STATE_CODE")</f>
        <v>#N/A Requesting Data...</v>
      </c>
      <c r="E1798" t="str">
        <f>_xll.BDP("642577UD Muni","COUNTY_LOCATION_ISSUER")</f>
        <v>#N/A Requesting Data...</v>
      </c>
      <c r="F1798" t="str">
        <f>_xll.BDP("642577UD Muni","DUR_ADJ_MID")</f>
        <v>#N/A Requesting Data...</v>
      </c>
      <c r="G1798" t="str">
        <f>_xll.BDP("642577UD Muni","SPREAD_AT_ISSUANCE_TO_WORST")</f>
        <v>#N/A Requesting Data...</v>
      </c>
      <c r="H1798" t="str">
        <f>_xll.BDP("642577UD Muni","ISSUE_DT")</f>
        <v>#N/A Requesting Data...</v>
      </c>
      <c r="I1798" t="str">
        <f>_xll.BDS("642577UD Muni","MUNI_PURPOSE_SCHED", "aggregate=y")</f>
        <v>#N/A Requesting Data...</v>
      </c>
      <c r="J1798" t="str">
        <f>_xll.BDP("642577UD Muni","CPN")</f>
        <v>#N/A Requesting Data...</v>
      </c>
      <c r="K1798" t="str">
        <f>_xll.BDP("642577UD Muni","MATURITY")</f>
        <v>#N/A Requesting Data...</v>
      </c>
      <c r="L1798">
        <v>1175000</v>
      </c>
      <c r="M1798" t="str">
        <f>_xll.BDP("642577UD Muni","YIELD_ON_ISSUE_DATE")</f>
        <v>#N/A Requesting Data...</v>
      </c>
      <c r="N1798" t="str">
        <f>_xll.BDP("642577UD Muni","YTW_SPREAD_TO_MATURITY_AT_ISSU")</f>
        <v>#N/A Requesting Data...</v>
      </c>
      <c r="O1798" t="str">
        <f>_xll.BDP("642577UD Muni","BVAL_MID_YTM")</f>
        <v>#N/A Requesting Data...</v>
      </c>
      <c r="P1798" t="str">
        <f>_xll.BDP("642577UD Muni","MUNI_TAX_PROV")</f>
        <v>#N/A Requesting Data...</v>
      </c>
      <c r="Q1798" t="str">
        <f>_xll.BDP("642577UD Muni","MUNI_FED_TAX")</f>
        <v>#N/A Requesting Data...</v>
      </c>
      <c r="R1798" t="str">
        <f>_xll.BDP("642577UD Muni","MUNI_MSRB_VOLUME")</f>
        <v>#N/A Requesting Data...</v>
      </c>
      <c r="S1798" t="str">
        <f>_xll.BDP("642577UD Muni","BB_COMPOSITE")</f>
        <v>#N/A Requesting Data...</v>
      </c>
      <c r="T1798" t="str">
        <f>_xll.BDP("642577UD Muni","LQA_LIQUIDITY_SCORE")</f>
        <v>#N/A Requesting Data...</v>
      </c>
    </row>
    <row r="1799" spans="1:20" x14ac:dyDescent="0.25">
      <c r="A1799" t="str">
        <f>_xll.BDP("642577UE Muni","ID_CUSIP")</f>
        <v>#N/A Requesting Data...</v>
      </c>
      <c r="B1799" t="s">
        <v>438</v>
      </c>
      <c r="C1799" t="str">
        <f>_xll.BDP("642577UE Muni","INSURANCE_STATUS")</f>
        <v>#N/A Requesting Data...</v>
      </c>
      <c r="D1799" t="str">
        <f>_xll.BDP("642577UE Muni","STATE_CODE")</f>
        <v>#N/A Requesting Data...</v>
      </c>
      <c r="E1799" t="str">
        <f>_xll.BDP("642577UE Muni","COUNTY_LOCATION_ISSUER")</f>
        <v>#N/A Requesting Data...</v>
      </c>
      <c r="F1799" t="str">
        <f>_xll.BDP("642577UE Muni","DUR_ADJ_MID")</f>
        <v>#N/A Requesting Data...</v>
      </c>
      <c r="G1799" t="str">
        <f>_xll.BDP("642577UE Muni","SPREAD_AT_ISSUANCE_TO_WORST")</f>
        <v>#N/A Requesting Data...</v>
      </c>
      <c r="H1799" t="str">
        <f>_xll.BDP("642577UE Muni","ISSUE_DT")</f>
        <v>#N/A Requesting Data...</v>
      </c>
      <c r="I1799" t="str">
        <f>_xll.BDS("642577UE Muni","MUNI_PURPOSE_SCHED", "aggregate=y")</f>
        <v>#N/A Requesting Data...</v>
      </c>
      <c r="J1799" t="str">
        <f>_xll.BDP("642577UE Muni","CPN")</f>
        <v>#N/A Requesting Data...</v>
      </c>
      <c r="K1799" t="str">
        <f>_xll.BDP("642577UE Muni","MATURITY")</f>
        <v>#N/A Requesting Data...</v>
      </c>
      <c r="L1799">
        <v>1155000</v>
      </c>
      <c r="M1799" t="str">
        <f>_xll.BDP("642577UE Muni","YIELD_ON_ISSUE_DATE")</f>
        <v>#N/A Requesting Data...</v>
      </c>
      <c r="N1799" t="str">
        <f>_xll.BDP("642577UE Muni","YTW_SPREAD_TO_MATURITY_AT_ISSU")</f>
        <v>#N/A Requesting Data...</v>
      </c>
      <c r="O1799" t="str">
        <f>_xll.BDP("642577UE Muni","BVAL_MID_YTM")</f>
        <v>#N/A Requesting Data...</v>
      </c>
      <c r="P1799" t="str">
        <f>_xll.BDP("642577UE Muni","MUNI_TAX_PROV")</f>
        <v>#N/A Requesting Data...</v>
      </c>
      <c r="Q1799" t="str">
        <f>_xll.BDP("642577UE Muni","MUNI_FED_TAX")</f>
        <v>#N/A Requesting Data...</v>
      </c>
      <c r="R1799" t="str">
        <f>_xll.BDP("642577UE Muni","MUNI_MSRB_VOLUME")</f>
        <v>#N/A Requesting Data...</v>
      </c>
      <c r="S1799" t="str">
        <f>_xll.BDP("642577UE Muni","BB_COMPOSITE")</f>
        <v>#N/A Requesting Data...</v>
      </c>
      <c r="T1799" t="str">
        <f>_xll.BDP("642577UE Muni","LQA_LIQUIDITY_SCORE")</f>
        <v>#N/A Requesting Data...</v>
      </c>
    </row>
    <row r="1800" spans="1:20" x14ac:dyDescent="0.25">
      <c r="A1800" t="str">
        <f>_xll.BDP("642577UF Muni","ID_CUSIP")</f>
        <v>#N/A Requesting Data...</v>
      </c>
      <c r="B1800" t="s">
        <v>438</v>
      </c>
      <c r="C1800" t="str">
        <f>_xll.BDP("642577UF Muni","INSURANCE_STATUS")</f>
        <v>#N/A Requesting Data...</v>
      </c>
      <c r="D1800" t="str">
        <f>_xll.BDP("642577UF Muni","STATE_CODE")</f>
        <v>#N/A Requesting Data...</v>
      </c>
      <c r="E1800" t="str">
        <f>_xll.BDP("642577UF Muni","COUNTY_LOCATION_ISSUER")</f>
        <v>#N/A Requesting Data...</v>
      </c>
      <c r="F1800" t="str">
        <f>_xll.BDP("642577UF Muni","DUR_ADJ_MID")</f>
        <v>#N/A Requesting Data...</v>
      </c>
      <c r="G1800" t="str">
        <f>_xll.BDP("642577UF Muni","SPREAD_AT_ISSUANCE_TO_WORST")</f>
        <v>#N/A Requesting Data...</v>
      </c>
      <c r="H1800" t="str">
        <f>_xll.BDP("642577UF Muni","ISSUE_DT")</f>
        <v>#N/A Requesting Data...</v>
      </c>
      <c r="I1800" t="str">
        <f>_xll.BDS("642577UF Muni","MUNI_PURPOSE_SCHED", "aggregate=y")</f>
        <v>#N/A Requesting Data...</v>
      </c>
      <c r="J1800" t="str">
        <f>_xll.BDP("642577UF Muni","CPN")</f>
        <v>#N/A Requesting Data...</v>
      </c>
      <c r="K1800" t="str">
        <f>_xll.BDP("642577UF Muni","MATURITY")</f>
        <v>#N/A Requesting Data...</v>
      </c>
      <c r="L1800">
        <v>1145000</v>
      </c>
      <c r="M1800" t="str">
        <f>_xll.BDP("642577UF Muni","YIELD_ON_ISSUE_DATE")</f>
        <v>#N/A Requesting Data...</v>
      </c>
      <c r="N1800" t="str">
        <f>_xll.BDP("642577UF Muni","YTW_SPREAD_TO_MATURITY_AT_ISSU")</f>
        <v>#N/A Requesting Data...</v>
      </c>
      <c r="O1800" t="str">
        <f>_xll.BDP("642577UF Muni","BVAL_MID_YTM")</f>
        <v>#N/A Requesting Data...</v>
      </c>
      <c r="P1800" t="str">
        <f>_xll.BDP("642577UF Muni","MUNI_TAX_PROV")</f>
        <v>#N/A Requesting Data...</v>
      </c>
      <c r="Q1800" t="str">
        <f>_xll.BDP("642577UF Muni","MUNI_FED_TAX")</f>
        <v>#N/A Requesting Data...</v>
      </c>
      <c r="R1800" t="str">
        <f>_xll.BDP("642577UF Muni","MUNI_MSRB_VOLUME")</f>
        <v>#N/A Requesting Data...</v>
      </c>
      <c r="S1800" t="str">
        <f>_xll.BDP("642577UF Muni","BB_COMPOSITE")</f>
        <v>#N/A Requesting Data...</v>
      </c>
      <c r="T1800" t="str">
        <f>_xll.BDP("642577UF Muni","LQA_LIQUIDITY_SCORE")</f>
        <v>#N/A Requesting Data...</v>
      </c>
    </row>
    <row r="1801" spans="1:20" x14ac:dyDescent="0.25">
      <c r="A1801" t="str">
        <f>_xll.BDP("643058EU Muni","ID_CUSIP")</f>
        <v>#N/A Requesting Data...</v>
      </c>
      <c r="B1801" t="s">
        <v>439</v>
      </c>
      <c r="C1801" t="str">
        <f>_xll.BDP("643058EU Muni","INSURANCE_STATUS")</f>
        <v>#N/A Requesting Data...</v>
      </c>
      <c r="D1801" t="str">
        <f>_xll.BDP("643058EU Muni","STATE_CODE")</f>
        <v>#N/A Requesting Data...</v>
      </c>
      <c r="E1801" t="str">
        <f>_xll.BDP("643058EU Muni","COUNTY_LOCATION_ISSUER")</f>
        <v>#N/A Requesting Data...</v>
      </c>
      <c r="F1801" t="str">
        <f>_xll.BDP("643058EU Muni","DUR_ADJ_MID")</f>
        <v>#N/A Requesting Data...</v>
      </c>
      <c r="G1801" t="str">
        <f>_xll.BDP("643058EU Muni","SPREAD_AT_ISSUANCE_TO_WORST")</f>
        <v>#N/A Requesting Data...</v>
      </c>
      <c r="H1801" t="str">
        <f>_xll.BDP("643058EU Muni","ISSUE_DT")</f>
        <v>#N/A Requesting Data...</v>
      </c>
      <c r="I1801" t="str">
        <f>_xll.BDS("643058EU Muni","MUNI_PURPOSE_SCHED", "aggregate=y")</f>
        <v>#N/A Requesting Data...</v>
      </c>
      <c r="J1801" t="str">
        <f>_xll.BDP("643058EU Muni","CPN")</f>
        <v>#N/A Requesting Data...</v>
      </c>
      <c r="K1801" t="str">
        <f>_xll.BDP("643058EU Muni","MATURITY")</f>
        <v>#N/A Requesting Data...</v>
      </c>
      <c r="L1801">
        <v>65000</v>
      </c>
      <c r="M1801" t="str">
        <f>_xll.BDP("643058EU Muni","YIELD_ON_ISSUE_DATE")</f>
        <v>#N/A Requesting Data...</v>
      </c>
      <c r="N1801" t="str">
        <f>_xll.BDP("643058EU Muni","YTW_SPREAD_TO_MATURITY_AT_ISSU")</f>
        <v>#N/A Requesting Data...</v>
      </c>
      <c r="O1801" t="str">
        <f>_xll.BDP("643058EU Muni","BVAL_MID_YTM")</f>
        <v>#N/A Requesting Data...</v>
      </c>
      <c r="P1801" t="str">
        <f>_xll.BDP("643058EU Muni","MUNI_TAX_PROV")</f>
        <v>#N/A Requesting Data...</v>
      </c>
      <c r="Q1801" t="str">
        <f>_xll.BDP("643058EU Muni","MUNI_FED_TAX")</f>
        <v>#N/A Requesting Data...</v>
      </c>
      <c r="R1801" t="str">
        <f>_xll.BDP("643058EU Muni","MUNI_MSRB_VOLUME")</f>
        <v>#N/A Requesting Data...</v>
      </c>
      <c r="S1801" t="str">
        <f>_xll.BDP("643058EU Muni","BB_COMPOSITE")</f>
        <v>#N/A Requesting Data...</v>
      </c>
      <c r="T1801" t="str">
        <f>_xll.BDP("643058EU Muni","LQA_LIQUIDITY_SCORE")</f>
        <v>#N/A Requesting Data...</v>
      </c>
    </row>
    <row r="1802" spans="1:20" x14ac:dyDescent="0.25">
      <c r="A1802" t="str">
        <f>_xll.BDP("643058EV Muni","ID_CUSIP")</f>
        <v>#N/A Requesting Data...</v>
      </c>
      <c r="B1802" t="s">
        <v>439</v>
      </c>
      <c r="C1802" t="str">
        <f>_xll.BDP("643058EV Muni","INSURANCE_STATUS")</f>
        <v>#N/A Requesting Data...</v>
      </c>
      <c r="D1802" t="str">
        <f>_xll.BDP("643058EV Muni","STATE_CODE")</f>
        <v>#N/A Requesting Data...</v>
      </c>
      <c r="E1802" t="str">
        <f>_xll.BDP("643058EV Muni","COUNTY_LOCATION_ISSUER")</f>
        <v>#N/A Requesting Data...</v>
      </c>
      <c r="F1802" t="str">
        <f>_xll.BDP("643058EV Muni","DUR_ADJ_MID")</f>
        <v>#N/A Requesting Data...</v>
      </c>
      <c r="G1802" t="str">
        <f>_xll.BDP("643058EV Muni","SPREAD_AT_ISSUANCE_TO_WORST")</f>
        <v>#N/A Requesting Data...</v>
      </c>
      <c r="H1802" t="str">
        <f>_xll.BDP("643058EV Muni","ISSUE_DT")</f>
        <v>#N/A Requesting Data...</v>
      </c>
      <c r="I1802" t="str">
        <f>_xll.BDS("643058EV Muni","MUNI_PURPOSE_SCHED", "aggregate=y")</f>
        <v>#N/A Requesting Data...</v>
      </c>
      <c r="J1802" t="str">
        <f>_xll.BDP("643058EV Muni","CPN")</f>
        <v>#N/A Requesting Data...</v>
      </c>
      <c r="K1802" t="str">
        <f>_xll.BDP("643058EV Muni","MATURITY")</f>
        <v>#N/A Requesting Data...</v>
      </c>
      <c r="L1802">
        <v>65000</v>
      </c>
      <c r="M1802" t="str">
        <f>_xll.BDP("643058EV Muni","YIELD_ON_ISSUE_DATE")</f>
        <v>#N/A Requesting Data...</v>
      </c>
      <c r="N1802" t="str">
        <f>_xll.BDP("643058EV Muni","YTW_SPREAD_TO_MATURITY_AT_ISSU")</f>
        <v>#N/A Requesting Data...</v>
      </c>
      <c r="O1802" t="str">
        <f>_xll.BDP("643058EV Muni","BVAL_MID_YTM")</f>
        <v>#N/A Requesting Data...</v>
      </c>
      <c r="P1802" t="str">
        <f>_xll.BDP("643058EV Muni","MUNI_TAX_PROV")</f>
        <v>#N/A Requesting Data...</v>
      </c>
      <c r="Q1802" t="str">
        <f>_xll.BDP("643058EV Muni","MUNI_FED_TAX")</f>
        <v>#N/A Requesting Data...</v>
      </c>
      <c r="R1802" t="str">
        <f>_xll.BDP("643058EV Muni","MUNI_MSRB_VOLUME")</f>
        <v>#N/A Requesting Data...</v>
      </c>
      <c r="S1802" t="str">
        <f>_xll.BDP("643058EV Muni","BB_COMPOSITE")</f>
        <v>#N/A Requesting Data...</v>
      </c>
      <c r="T1802" t="str">
        <f>_xll.BDP("643058EV Muni","LQA_LIQUIDITY_SCORE")</f>
        <v>#N/A Requesting Data...</v>
      </c>
    </row>
    <row r="1803" spans="1:20" x14ac:dyDescent="0.25">
      <c r="A1803" t="str">
        <f>_xll.BDP("643058EW Muni","ID_CUSIP")</f>
        <v>#N/A Requesting Data...</v>
      </c>
      <c r="B1803" t="s">
        <v>439</v>
      </c>
      <c r="C1803" t="str">
        <f>_xll.BDP("643058EW Muni","INSURANCE_STATUS")</f>
        <v>#N/A Requesting Data...</v>
      </c>
      <c r="D1803" t="str">
        <f>_xll.BDP("643058EW Muni","STATE_CODE")</f>
        <v>#N/A Requesting Data...</v>
      </c>
      <c r="E1803" t="str">
        <f>_xll.BDP("643058EW Muni","COUNTY_LOCATION_ISSUER")</f>
        <v>#N/A Requesting Data...</v>
      </c>
      <c r="F1803" t="str">
        <f>_xll.BDP("643058EW Muni","DUR_ADJ_MID")</f>
        <v>#N/A Requesting Data...</v>
      </c>
      <c r="G1803" t="str">
        <f>_xll.BDP("643058EW Muni","SPREAD_AT_ISSUANCE_TO_WORST")</f>
        <v>#N/A Requesting Data...</v>
      </c>
      <c r="H1803" t="str">
        <f>_xll.BDP("643058EW Muni","ISSUE_DT")</f>
        <v>#N/A Requesting Data...</v>
      </c>
      <c r="I1803" t="str">
        <f>_xll.BDS("643058EW Muni","MUNI_PURPOSE_SCHED", "aggregate=y")</f>
        <v>#N/A Requesting Data...</v>
      </c>
      <c r="J1803" t="str">
        <f>_xll.BDP("643058EW Muni","CPN")</f>
        <v>#N/A Requesting Data...</v>
      </c>
      <c r="K1803" t="str">
        <f>_xll.BDP("643058EW Muni","MATURITY")</f>
        <v>#N/A Requesting Data...</v>
      </c>
      <c r="L1803">
        <v>65000</v>
      </c>
      <c r="M1803" t="str">
        <f>_xll.BDP("643058EW Muni","YIELD_ON_ISSUE_DATE")</f>
        <v>#N/A Requesting Data...</v>
      </c>
      <c r="N1803" t="str">
        <f>_xll.BDP("643058EW Muni","YTW_SPREAD_TO_MATURITY_AT_ISSU")</f>
        <v>#N/A Requesting Data...</v>
      </c>
      <c r="O1803" t="str">
        <f>_xll.BDP("643058EW Muni","BVAL_MID_YTM")</f>
        <v>#N/A Requesting Data...</v>
      </c>
      <c r="P1803" t="str">
        <f>_xll.BDP("643058EW Muni","MUNI_TAX_PROV")</f>
        <v>#N/A Requesting Data...</v>
      </c>
      <c r="Q1803" t="str">
        <f>_xll.BDP("643058EW Muni","MUNI_FED_TAX")</f>
        <v>#N/A Requesting Data...</v>
      </c>
      <c r="R1803" t="str">
        <f>_xll.BDP("643058EW Muni","MUNI_MSRB_VOLUME")</f>
        <v>#N/A Requesting Data...</v>
      </c>
      <c r="S1803" t="str">
        <f>_xll.BDP("643058EW Muni","BB_COMPOSITE")</f>
        <v>#N/A Requesting Data...</v>
      </c>
      <c r="T1803" t="str">
        <f>_xll.BDP("643058EW Muni","LQA_LIQUIDITY_SCORE")</f>
        <v>#N/A Requesting Data...</v>
      </c>
    </row>
    <row r="1804" spans="1:20" x14ac:dyDescent="0.25">
      <c r="A1804" t="str">
        <f>_xll.BDP("643058EX Muni","ID_CUSIP")</f>
        <v>#N/A Requesting Data...</v>
      </c>
      <c r="B1804" t="s">
        <v>439</v>
      </c>
      <c r="C1804" t="str">
        <f>_xll.BDP("643058EX Muni","INSURANCE_STATUS")</f>
        <v>#N/A Requesting Data...</v>
      </c>
      <c r="D1804" t="str">
        <f>_xll.BDP("643058EX Muni","STATE_CODE")</f>
        <v>#N/A Requesting Data...</v>
      </c>
      <c r="E1804" t="str">
        <f>_xll.BDP("643058EX Muni","COUNTY_LOCATION_ISSUER")</f>
        <v>#N/A Requesting Data...</v>
      </c>
      <c r="F1804" t="str">
        <f>_xll.BDP("643058EX Muni","DUR_ADJ_MID")</f>
        <v>#N/A Requesting Data...</v>
      </c>
      <c r="G1804" t="str">
        <f>_xll.BDP("643058EX Muni","SPREAD_AT_ISSUANCE_TO_WORST")</f>
        <v>#N/A Requesting Data...</v>
      </c>
      <c r="H1804" t="str">
        <f>_xll.BDP("643058EX Muni","ISSUE_DT")</f>
        <v>#N/A Requesting Data...</v>
      </c>
      <c r="I1804" t="str">
        <f>_xll.BDS("643058EX Muni","MUNI_PURPOSE_SCHED", "aggregate=y")</f>
        <v>#N/A Requesting Data...</v>
      </c>
      <c r="J1804" t="str">
        <f>_xll.BDP("643058EX Muni","CPN")</f>
        <v>#N/A Requesting Data...</v>
      </c>
      <c r="K1804" t="str">
        <f>_xll.BDP("643058EX Muni","MATURITY")</f>
        <v>#N/A Requesting Data...</v>
      </c>
      <c r="L1804">
        <v>65000</v>
      </c>
      <c r="M1804" t="str">
        <f>_xll.BDP("643058EX Muni","YIELD_ON_ISSUE_DATE")</f>
        <v>#N/A Requesting Data...</v>
      </c>
      <c r="N1804" t="str">
        <f>_xll.BDP("643058EX Muni","YTW_SPREAD_TO_MATURITY_AT_ISSU")</f>
        <v>#N/A Requesting Data...</v>
      </c>
      <c r="O1804" t="str">
        <f>_xll.BDP("643058EX Muni","BVAL_MID_YTM")</f>
        <v>#N/A Requesting Data...</v>
      </c>
      <c r="P1804" t="str">
        <f>_xll.BDP("643058EX Muni","MUNI_TAX_PROV")</f>
        <v>#N/A Requesting Data...</v>
      </c>
      <c r="Q1804" t="str">
        <f>_xll.BDP("643058EX Muni","MUNI_FED_TAX")</f>
        <v>#N/A Requesting Data...</v>
      </c>
      <c r="R1804" t="str">
        <f>_xll.BDP("643058EX Muni","MUNI_MSRB_VOLUME")</f>
        <v>#N/A Requesting Data...</v>
      </c>
      <c r="S1804" t="str">
        <f>_xll.BDP("643058EX Muni","BB_COMPOSITE")</f>
        <v>#N/A Requesting Data...</v>
      </c>
      <c r="T1804" t="str">
        <f>_xll.BDP("643058EX Muni","LQA_LIQUIDITY_SCORE")</f>
        <v>#N/A Requesting Data...</v>
      </c>
    </row>
    <row r="1805" spans="1:20" x14ac:dyDescent="0.25">
      <c r="A1805" t="str">
        <f>_xll.BDP("643058EY Muni","ID_CUSIP")</f>
        <v>#N/A Requesting Data...</v>
      </c>
      <c r="B1805" t="s">
        <v>439</v>
      </c>
      <c r="C1805" t="str">
        <f>_xll.BDP("643058EY Muni","INSURANCE_STATUS")</f>
        <v>#N/A Requesting Data...</v>
      </c>
      <c r="D1805" t="str">
        <f>_xll.BDP("643058EY Muni","STATE_CODE")</f>
        <v>#N/A Requesting Data...</v>
      </c>
      <c r="E1805" t="str">
        <f>_xll.BDP("643058EY Muni","COUNTY_LOCATION_ISSUER")</f>
        <v>#N/A Requesting Data...</v>
      </c>
      <c r="F1805" t="str">
        <f>_xll.BDP("643058EY Muni","DUR_ADJ_MID")</f>
        <v>#N/A Requesting Data...</v>
      </c>
      <c r="G1805" t="str">
        <f>_xll.BDP("643058EY Muni","SPREAD_AT_ISSUANCE_TO_WORST")</f>
        <v>#N/A Requesting Data...</v>
      </c>
      <c r="H1805" t="str">
        <f>_xll.BDP("643058EY Muni","ISSUE_DT")</f>
        <v>#N/A Requesting Data...</v>
      </c>
      <c r="I1805" t="str">
        <f>_xll.BDS("643058EY Muni","MUNI_PURPOSE_SCHED", "aggregate=y")</f>
        <v>#N/A Requesting Data...</v>
      </c>
      <c r="J1805" t="str">
        <f>_xll.BDP("643058EY Muni","CPN")</f>
        <v>#N/A Requesting Data...</v>
      </c>
      <c r="K1805" t="str">
        <f>_xll.BDP("643058EY Muni","MATURITY")</f>
        <v>#N/A Requesting Data...</v>
      </c>
      <c r="L1805">
        <v>65000</v>
      </c>
      <c r="M1805" t="str">
        <f>_xll.BDP("643058EY Muni","YIELD_ON_ISSUE_DATE")</f>
        <v>#N/A Requesting Data...</v>
      </c>
      <c r="N1805" t="str">
        <f>_xll.BDP("643058EY Muni","YTW_SPREAD_TO_MATURITY_AT_ISSU")</f>
        <v>#N/A Requesting Data...</v>
      </c>
      <c r="O1805" t="str">
        <f>_xll.BDP("643058EY Muni","BVAL_MID_YTM")</f>
        <v>#N/A Requesting Data...</v>
      </c>
      <c r="P1805" t="str">
        <f>_xll.BDP("643058EY Muni","MUNI_TAX_PROV")</f>
        <v>#N/A Requesting Data...</v>
      </c>
      <c r="Q1805" t="str">
        <f>_xll.BDP("643058EY Muni","MUNI_FED_TAX")</f>
        <v>#N/A Requesting Data...</v>
      </c>
      <c r="R1805" t="str">
        <f>_xll.BDP("643058EY Muni","MUNI_MSRB_VOLUME")</f>
        <v>#N/A Requesting Data...</v>
      </c>
      <c r="S1805" t="str">
        <f>_xll.BDP("643058EY Muni","BB_COMPOSITE")</f>
        <v>#N/A Requesting Data...</v>
      </c>
      <c r="T1805" t="str">
        <f>_xll.BDP("643058EY Muni","LQA_LIQUIDITY_SCORE")</f>
        <v>#N/A Requesting Data...</v>
      </c>
    </row>
    <row r="1806" spans="1:20" x14ac:dyDescent="0.25">
      <c r="A1806" t="str">
        <f>_xll.BDP("84251KBD Muni","ID_CUSIP")</f>
        <v>#N/A Requesting Data...</v>
      </c>
      <c r="B1806" t="s">
        <v>440</v>
      </c>
      <c r="C1806" t="str">
        <f>_xll.BDP("84251KBD Muni","INSURANCE_STATUS")</f>
        <v>#N/A Requesting Data...</v>
      </c>
      <c r="D1806" t="str">
        <f>_xll.BDP("84251KBD Muni","STATE_CODE")</f>
        <v>#N/A Requesting Data...</v>
      </c>
      <c r="E1806" t="str">
        <f>_xll.BDP("84251KBD Muni","COUNTY_LOCATION_ISSUER")</f>
        <v>#N/A Requesting Data...</v>
      </c>
      <c r="F1806" t="str">
        <f>_xll.BDP("84251KBD Muni","DUR_ADJ_MID")</f>
        <v>#N/A Requesting Data...</v>
      </c>
      <c r="G1806" t="str">
        <f>_xll.BDP("84251KBD Muni","SPREAD_AT_ISSUANCE_TO_WORST")</f>
        <v>#N/A Requesting Data...</v>
      </c>
      <c r="H1806" t="str">
        <f>_xll.BDP("84251KBD Muni","ISSUE_DT")</f>
        <v>#N/A Requesting Data...</v>
      </c>
      <c r="I1806" t="str">
        <f>_xll.BDS("84251KBD Muni","MUNI_PURPOSE_SCHED", "aggregate=y")</f>
        <v>#N/A Requesting Data...</v>
      </c>
      <c r="J1806" t="str">
        <f>_xll.BDP("84251KBD Muni","CPN")</f>
        <v>#N/A Requesting Data...</v>
      </c>
      <c r="K1806" t="str">
        <f>_xll.BDP("84251KBD Muni","MATURITY")</f>
        <v>#N/A Requesting Data...</v>
      </c>
      <c r="L1806">
        <v>1200000</v>
      </c>
      <c r="M1806" t="str">
        <f>_xll.BDP("84251KBD Muni","YIELD_ON_ISSUE_DATE")</f>
        <v>#N/A Requesting Data...</v>
      </c>
      <c r="N1806" t="str">
        <f>_xll.BDP("84251KBD Muni","YTW_SPREAD_TO_MATURITY_AT_ISSU")</f>
        <v>#N/A Requesting Data...</v>
      </c>
      <c r="O1806" t="str">
        <f>_xll.BDP("84251KBD Muni","BVAL_MID_YTM")</f>
        <v>#N/A Requesting Data...</v>
      </c>
      <c r="P1806" t="str">
        <f>_xll.BDP("84251KBD Muni","MUNI_TAX_PROV")</f>
        <v>#N/A Requesting Data...</v>
      </c>
      <c r="Q1806" t="str">
        <f>_xll.BDP("84251KBD Muni","MUNI_FED_TAX")</f>
        <v>#N/A Requesting Data...</v>
      </c>
      <c r="R1806" t="str">
        <f>_xll.BDP("84251KBD Muni","MUNI_MSRB_VOLUME")</f>
        <v>#N/A Requesting Data...</v>
      </c>
      <c r="S1806" t="str">
        <f>_xll.BDP("84251KBD Muni","BB_COMPOSITE")</f>
        <v>#N/A Requesting Data...</v>
      </c>
      <c r="T1806" t="str">
        <f>_xll.BDP("84251KBD Muni","LQA_LIQUIDITY_SCORE")</f>
        <v>#N/A Requesting Data...</v>
      </c>
    </row>
    <row r="1807" spans="1:20" x14ac:dyDescent="0.25">
      <c r="A1807" t="str">
        <f>_xll.BDP("84251KBE Muni","ID_CUSIP")</f>
        <v>#N/A Requesting Data...</v>
      </c>
      <c r="B1807" t="s">
        <v>440</v>
      </c>
      <c r="C1807" t="str">
        <f>_xll.BDP("84251KBE Muni","INSURANCE_STATUS")</f>
        <v>#N/A Requesting Data...</v>
      </c>
      <c r="D1807" t="str">
        <f>_xll.BDP("84251KBE Muni","STATE_CODE")</f>
        <v>#N/A Requesting Data...</v>
      </c>
      <c r="E1807" t="str">
        <f>_xll.BDP("84251KBE Muni","COUNTY_LOCATION_ISSUER")</f>
        <v>#N/A Requesting Data...</v>
      </c>
      <c r="F1807" t="str">
        <f>_xll.BDP("84251KBE Muni","DUR_ADJ_MID")</f>
        <v>#N/A Requesting Data...</v>
      </c>
      <c r="G1807" t="str">
        <f>_xll.BDP("84251KBE Muni","SPREAD_AT_ISSUANCE_TO_WORST")</f>
        <v>#N/A Requesting Data...</v>
      </c>
      <c r="H1807" t="str">
        <f>_xll.BDP("84251KBE Muni","ISSUE_DT")</f>
        <v>#N/A Requesting Data...</v>
      </c>
      <c r="I1807" t="str">
        <f>_xll.BDS("84251KBE Muni","MUNI_PURPOSE_SCHED", "aggregate=y")</f>
        <v>#N/A Requesting Data...</v>
      </c>
      <c r="J1807" t="str">
        <f>_xll.BDP("84251KBE Muni","CPN")</f>
        <v>#N/A Requesting Data...</v>
      </c>
      <c r="K1807" t="str">
        <f>_xll.BDP("84251KBE Muni","MATURITY")</f>
        <v>#N/A Requesting Data...</v>
      </c>
      <c r="L1807">
        <v>1260000</v>
      </c>
      <c r="M1807" t="str">
        <f>_xll.BDP("84251KBE Muni","YIELD_ON_ISSUE_DATE")</f>
        <v>#N/A Requesting Data...</v>
      </c>
      <c r="N1807" t="str">
        <f>_xll.BDP("84251KBE Muni","YTW_SPREAD_TO_MATURITY_AT_ISSU")</f>
        <v>#N/A Requesting Data...</v>
      </c>
      <c r="O1807" t="str">
        <f>_xll.BDP("84251KBE Muni","BVAL_MID_YTM")</f>
        <v>#N/A Requesting Data...</v>
      </c>
      <c r="P1807" t="str">
        <f>_xll.BDP("84251KBE Muni","MUNI_TAX_PROV")</f>
        <v>#N/A Requesting Data...</v>
      </c>
      <c r="Q1807" t="str">
        <f>_xll.BDP("84251KBE Muni","MUNI_FED_TAX")</f>
        <v>#N/A Requesting Data...</v>
      </c>
      <c r="R1807" t="str">
        <f>_xll.BDP("84251KBE Muni","MUNI_MSRB_VOLUME")</f>
        <v>#N/A Requesting Data...</v>
      </c>
      <c r="S1807" t="str">
        <f>_xll.BDP("84251KBE Muni","BB_COMPOSITE")</f>
        <v>#N/A Requesting Data...</v>
      </c>
      <c r="T1807" t="str">
        <f>_xll.BDP("84251KBE Muni","LQA_LIQUIDITY_SCORE")</f>
        <v>#N/A Requesting Data...</v>
      </c>
    </row>
    <row r="1808" spans="1:20" x14ac:dyDescent="0.25">
      <c r="A1808" t="str">
        <f>_xll.BDP("84251KBG Muni","ID_CUSIP")</f>
        <v>#N/A Requesting Data...</v>
      </c>
      <c r="B1808" t="s">
        <v>440</v>
      </c>
      <c r="C1808" t="str">
        <f>_xll.BDP("84251KBG Muni","INSURANCE_STATUS")</f>
        <v>#N/A Requesting Data...</v>
      </c>
      <c r="D1808" t="str">
        <f>_xll.BDP("84251KBG Muni","STATE_CODE")</f>
        <v>#N/A Requesting Data...</v>
      </c>
      <c r="E1808" t="str">
        <f>_xll.BDP("84251KBG Muni","COUNTY_LOCATION_ISSUER")</f>
        <v>#N/A Requesting Data...</v>
      </c>
      <c r="F1808" t="str">
        <f>_xll.BDP("84251KBG Muni","DUR_ADJ_MID")</f>
        <v>#N/A Requesting Data...</v>
      </c>
      <c r="G1808" t="str">
        <f>_xll.BDP("84251KBG Muni","SPREAD_AT_ISSUANCE_TO_WORST")</f>
        <v>#N/A Requesting Data...</v>
      </c>
      <c r="H1808" t="str">
        <f>_xll.BDP("84251KBG Muni","ISSUE_DT")</f>
        <v>#N/A Requesting Data...</v>
      </c>
      <c r="I1808" t="str">
        <f>_xll.BDS("84251KBG Muni","MUNI_PURPOSE_SCHED", "aggregate=y")</f>
        <v>#N/A Requesting Data...</v>
      </c>
      <c r="J1808" t="str">
        <f>_xll.BDP("84251KBG Muni","CPN")</f>
        <v>#N/A Requesting Data...</v>
      </c>
      <c r="K1808" t="str">
        <f>_xll.BDP("84251KBG Muni","MATURITY")</f>
        <v>#N/A Requesting Data...</v>
      </c>
      <c r="L1808">
        <v>1395000</v>
      </c>
      <c r="M1808" t="str">
        <f>_xll.BDP("84251KBG Muni","YIELD_ON_ISSUE_DATE")</f>
        <v>#N/A Requesting Data...</v>
      </c>
      <c r="N1808" t="str">
        <f>_xll.BDP("84251KBG Muni","YTW_SPREAD_TO_MATURITY_AT_ISSU")</f>
        <v>#N/A Requesting Data...</v>
      </c>
      <c r="O1808" t="str">
        <f>_xll.BDP("84251KBG Muni","BVAL_MID_YTM")</f>
        <v>#N/A Requesting Data...</v>
      </c>
      <c r="P1808" t="str">
        <f>_xll.BDP("84251KBG Muni","MUNI_TAX_PROV")</f>
        <v>#N/A Requesting Data...</v>
      </c>
      <c r="Q1808" t="str">
        <f>_xll.BDP("84251KBG Muni","MUNI_FED_TAX")</f>
        <v>#N/A Requesting Data...</v>
      </c>
      <c r="R1808" t="str">
        <f>_xll.BDP("84251KBG Muni","MUNI_MSRB_VOLUME")</f>
        <v>#N/A Requesting Data...</v>
      </c>
      <c r="S1808" t="str">
        <f>_xll.BDP("84251KBG Muni","BB_COMPOSITE")</f>
        <v>#N/A Requesting Data...</v>
      </c>
      <c r="T1808" t="str">
        <f>_xll.BDP("84251KBG Muni","LQA_LIQUIDITY_SCORE")</f>
        <v>#N/A Requesting Data...</v>
      </c>
    </row>
    <row r="1809" spans="1:20" x14ac:dyDescent="0.25">
      <c r="A1809" t="str">
        <f>_xll.BDP("84251KBH Muni","ID_CUSIP")</f>
        <v>#N/A Requesting Data...</v>
      </c>
      <c r="B1809" t="s">
        <v>440</v>
      </c>
      <c r="C1809" t="str">
        <f>_xll.BDP("84251KBH Muni","INSURANCE_STATUS")</f>
        <v>#N/A Requesting Data...</v>
      </c>
      <c r="D1809" t="str">
        <f>_xll.BDP("84251KBH Muni","STATE_CODE")</f>
        <v>#N/A Requesting Data...</v>
      </c>
      <c r="E1809" t="str">
        <f>_xll.BDP("84251KBH Muni","COUNTY_LOCATION_ISSUER")</f>
        <v>#N/A Requesting Data...</v>
      </c>
      <c r="F1809" t="str">
        <f>_xll.BDP("84251KBH Muni","DUR_ADJ_MID")</f>
        <v>#N/A Requesting Data...</v>
      </c>
      <c r="G1809" t="str">
        <f>_xll.BDP("84251KBH Muni","SPREAD_AT_ISSUANCE_TO_WORST")</f>
        <v>#N/A Requesting Data...</v>
      </c>
      <c r="H1809" t="str">
        <f>_xll.BDP("84251KBH Muni","ISSUE_DT")</f>
        <v>#N/A Requesting Data...</v>
      </c>
      <c r="I1809" t="str">
        <f>_xll.BDS("84251KBH Muni","MUNI_PURPOSE_SCHED", "aggregate=y")</f>
        <v>#N/A Requesting Data...</v>
      </c>
      <c r="J1809" t="str">
        <f>_xll.BDP("84251KBH Muni","CPN")</f>
        <v>#N/A Requesting Data...</v>
      </c>
      <c r="K1809" t="str">
        <f>_xll.BDP("84251KBH Muni","MATURITY")</f>
        <v>#N/A Requesting Data...</v>
      </c>
      <c r="L1809">
        <v>1465000</v>
      </c>
      <c r="M1809" t="str">
        <f>_xll.BDP("84251KBH Muni","YIELD_ON_ISSUE_DATE")</f>
        <v>#N/A Requesting Data...</v>
      </c>
      <c r="N1809" t="str">
        <f>_xll.BDP("84251KBH Muni","YTW_SPREAD_TO_MATURITY_AT_ISSU")</f>
        <v>#N/A Requesting Data...</v>
      </c>
      <c r="O1809" t="str">
        <f>_xll.BDP("84251KBH Muni","BVAL_MID_YTM")</f>
        <v>#N/A Requesting Data...</v>
      </c>
      <c r="P1809" t="str">
        <f>_xll.BDP("84251KBH Muni","MUNI_TAX_PROV")</f>
        <v>#N/A Requesting Data...</v>
      </c>
      <c r="Q1809" t="str">
        <f>_xll.BDP("84251KBH Muni","MUNI_FED_TAX")</f>
        <v>#N/A Requesting Data...</v>
      </c>
      <c r="R1809" t="str">
        <f>_xll.BDP("84251KBH Muni","MUNI_MSRB_VOLUME")</f>
        <v>#N/A Requesting Data...</v>
      </c>
      <c r="S1809" t="str">
        <f>_xll.BDP("84251KBH Muni","BB_COMPOSITE")</f>
        <v>#N/A Requesting Data...</v>
      </c>
      <c r="T1809" t="str">
        <f>_xll.BDP("84251KBH Muni","LQA_LIQUIDITY_SCORE")</f>
        <v>#N/A Requesting Data...</v>
      </c>
    </row>
    <row r="1810" spans="1:20" x14ac:dyDescent="0.25">
      <c r="A1810" t="str">
        <f>_xll.BDP("84251KBJ Muni","ID_CUSIP")</f>
        <v>#N/A Requesting Data...</v>
      </c>
      <c r="B1810" t="s">
        <v>440</v>
      </c>
      <c r="C1810" t="str">
        <f>_xll.BDP("84251KBJ Muni","INSURANCE_STATUS")</f>
        <v>#N/A Requesting Data...</v>
      </c>
      <c r="D1810" t="str">
        <f>_xll.BDP("84251KBJ Muni","STATE_CODE")</f>
        <v>#N/A Requesting Data...</v>
      </c>
      <c r="E1810" t="str">
        <f>_xll.BDP("84251KBJ Muni","COUNTY_LOCATION_ISSUER")</f>
        <v>#N/A Requesting Data...</v>
      </c>
      <c r="F1810" t="str">
        <f>_xll.BDP("84251KBJ Muni","DUR_ADJ_MID")</f>
        <v>#N/A Requesting Data...</v>
      </c>
      <c r="G1810" t="str">
        <f>_xll.BDP("84251KBJ Muni","SPREAD_AT_ISSUANCE_TO_WORST")</f>
        <v>#N/A Requesting Data...</v>
      </c>
      <c r="H1810" t="str">
        <f>_xll.BDP("84251KBJ Muni","ISSUE_DT")</f>
        <v>#N/A Requesting Data...</v>
      </c>
      <c r="I1810" t="str">
        <f>_xll.BDS("84251KBJ Muni","MUNI_PURPOSE_SCHED", "aggregate=y")</f>
        <v>#N/A Requesting Data...</v>
      </c>
      <c r="J1810" t="str">
        <f>_xll.BDP("84251KBJ Muni","CPN")</f>
        <v>#N/A Requesting Data...</v>
      </c>
      <c r="K1810" t="str">
        <f>_xll.BDP("84251KBJ Muni","MATURITY")</f>
        <v>#N/A Requesting Data...</v>
      </c>
      <c r="L1810">
        <v>1540000</v>
      </c>
      <c r="M1810" t="str">
        <f>_xll.BDP("84251KBJ Muni","YIELD_ON_ISSUE_DATE")</f>
        <v>#N/A Requesting Data...</v>
      </c>
      <c r="N1810" t="str">
        <f>_xll.BDP("84251KBJ Muni","YTW_SPREAD_TO_MATURITY_AT_ISSU")</f>
        <v>#N/A Requesting Data...</v>
      </c>
      <c r="O1810" t="str">
        <f>_xll.BDP("84251KBJ Muni","BVAL_MID_YTM")</f>
        <v>#N/A Requesting Data...</v>
      </c>
      <c r="P1810" t="str">
        <f>_xll.BDP("84251KBJ Muni","MUNI_TAX_PROV")</f>
        <v>#N/A Requesting Data...</v>
      </c>
      <c r="Q1810" t="str">
        <f>_xll.BDP("84251KBJ Muni","MUNI_FED_TAX")</f>
        <v>#N/A Requesting Data...</v>
      </c>
      <c r="R1810" t="str">
        <f>_xll.BDP("84251KBJ Muni","MUNI_MSRB_VOLUME")</f>
        <v>#N/A Requesting Data...</v>
      </c>
      <c r="S1810" t="str">
        <f>_xll.BDP("84251KBJ Muni","BB_COMPOSITE")</f>
        <v>#N/A Requesting Data...</v>
      </c>
      <c r="T1810" t="str">
        <f>_xll.BDP("84251KBJ Muni","LQA_LIQUIDITY_SCORE")</f>
        <v>#N/A Requesting Data...</v>
      </c>
    </row>
    <row r="1811" spans="1:20" x14ac:dyDescent="0.25">
      <c r="A1811" t="str">
        <f>_xll.BDP("843789GJ Muni","ID_CUSIP")</f>
        <v>#N/A Requesting Data...</v>
      </c>
      <c r="B1811" t="s">
        <v>441</v>
      </c>
      <c r="C1811" t="str">
        <f>_xll.BDP("843789GJ Muni","INSURANCE_STATUS")</f>
        <v>#N/A Requesting Data...</v>
      </c>
      <c r="D1811" t="str">
        <f>_xll.BDP("843789GJ Muni","STATE_CODE")</f>
        <v>#N/A Requesting Data...</v>
      </c>
      <c r="E1811" t="str">
        <f>_xll.BDP("843789GJ Muni","COUNTY_LOCATION_ISSUER")</f>
        <v>#N/A Requesting Data...</v>
      </c>
      <c r="F1811" t="str">
        <f>_xll.BDP("843789GJ Muni","DUR_ADJ_MID")</f>
        <v>#N/A Requesting Data...</v>
      </c>
      <c r="G1811" t="str">
        <f>_xll.BDP("843789GJ Muni","SPREAD_AT_ISSUANCE_TO_WORST")</f>
        <v>#N/A Requesting Data...</v>
      </c>
      <c r="H1811" t="str">
        <f>_xll.BDP("843789GJ Muni","ISSUE_DT")</f>
        <v>#N/A Requesting Data...</v>
      </c>
      <c r="I1811" t="str">
        <f>_xll.BDS("843789GJ Muni","MUNI_PURPOSE_SCHED", "aggregate=y")</f>
        <v>#N/A Requesting Data...</v>
      </c>
      <c r="J1811" t="str">
        <f>_xll.BDP("843789GJ Muni","CPN")</f>
        <v>#N/A Requesting Data...</v>
      </c>
      <c r="K1811" t="str">
        <f>_xll.BDP("843789GJ Muni","MATURITY")</f>
        <v>#N/A Requesting Data...</v>
      </c>
      <c r="L1811">
        <v>260000</v>
      </c>
      <c r="M1811" t="str">
        <f>_xll.BDP("843789GJ Muni","YIELD_ON_ISSUE_DATE")</f>
        <v>#N/A Requesting Data...</v>
      </c>
      <c r="N1811" t="str">
        <f>_xll.BDP("843789GJ Muni","YTW_SPREAD_TO_MATURITY_AT_ISSU")</f>
        <v>#N/A Requesting Data...</v>
      </c>
      <c r="O1811" t="str">
        <f>_xll.BDP("843789GJ Muni","BVAL_MID_YTM")</f>
        <v>#N/A Requesting Data...</v>
      </c>
      <c r="P1811" t="str">
        <f>_xll.BDP("843789GJ Muni","MUNI_TAX_PROV")</f>
        <v>#N/A Requesting Data...</v>
      </c>
      <c r="Q1811" t="str">
        <f>_xll.BDP("843789GJ Muni","MUNI_FED_TAX")</f>
        <v>#N/A Requesting Data...</v>
      </c>
      <c r="R1811" t="str">
        <f>_xll.BDP("843789GJ Muni","MUNI_MSRB_VOLUME")</f>
        <v>#N/A Requesting Data...</v>
      </c>
      <c r="S1811" t="str">
        <f>_xll.BDP("843789GJ Muni","BB_COMPOSITE")</f>
        <v>#N/A Requesting Data...</v>
      </c>
      <c r="T1811" t="str">
        <f>_xll.BDP("843789GJ Muni","LQA_LIQUIDITY_SCORE")</f>
        <v>#N/A Requesting Data...</v>
      </c>
    </row>
    <row r="1812" spans="1:20" x14ac:dyDescent="0.25">
      <c r="A1812" t="str">
        <f>_xll.BDP("843789GK Muni","ID_CUSIP")</f>
        <v>#N/A Requesting Data...</v>
      </c>
      <c r="B1812" t="s">
        <v>441</v>
      </c>
      <c r="C1812" t="str">
        <f>_xll.BDP("843789GK Muni","INSURANCE_STATUS")</f>
        <v>#N/A Requesting Data...</v>
      </c>
      <c r="D1812" t="str">
        <f>_xll.BDP("843789GK Muni","STATE_CODE")</f>
        <v>#N/A Requesting Data...</v>
      </c>
      <c r="E1812" t="str">
        <f>_xll.BDP("843789GK Muni","COUNTY_LOCATION_ISSUER")</f>
        <v>#N/A Requesting Data...</v>
      </c>
      <c r="F1812" t="str">
        <f>_xll.BDP("843789GK Muni","DUR_ADJ_MID")</f>
        <v>#N/A Requesting Data...</v>
      </c>
      <c r="G1812" t="str">
        <f>_xll.BDP("843789GK Muni","SPREAD_AT_ISSUANCE_TO_WORST")</f>
        <v>#N/A Requesting Data...</v>
      </c>
      <c r="H1812" t="str">
        <f>_xll.BDP("843789GK Muni","ISSUE_DT")</f>
        <v>#N/A Requesting Data...</v>
      </c>
      <c r="I1812" t="str">
        <f>_xll.BDS("843789GK Muni","MUNI_PURPOSE_SCHED", "aggregate=y")</f>
        <v>#N/A Requesting Data...</v>
      </c>
      <c r="J1812" t="str">
        <f>_xll.BDP("843789GK Muni","CPN")</f>
        <v>#N/A Requesting Data...</v>
      </c>
      <c r="K1812" t="str">
        <f>_xll.BDP("843789GK Muni","MATURITY")</f>
        <v>#N/A Requesting Data...</v>
      </c>
      <c r="L1812">
        <v>260000</v>
      </c>
      <c r="M1812" t="str">
        <f>_xll.BDP("843789GK Muni","YIELD_ON_ISSUE_DATE")</f>
        <v>#N/A Requesting Data...</v>
      </c>
      <c r="N1812" t="str">
        <f>_xll.BDP("843789GK Muni","YTW_SPREAD_TO_MATURITY_AT_ISSU")</f>
        <v>#N/A Requesting Data...</v>
      </c>
      <c r="O1812" t="str">
        <f>_xll.BDP("843789GK Muni","BVAL_MID_YTM")</f>
        <v>#N/A Requesting Data...</v>
      </c>
      <c r="P1812" t="str">
        <f>_xll.BDP("843789GK Muni","MUNI_TAX_PROV")</f>
        <v>#N/A Requesting Data...</v>
      </c>
      <c r="Q1812" t="str">
        <f>_xll.BDP("843789GK Muni","MUNI_FED_TAX")</f>
        <v>#N/A Requesting Data...</v>
      </c>
      <c r="R1812" t="str">
        <f>_xll.BDP("843789GK Muni","MUNI_MSRB_VOLUME")</f>
        <v>#N/A Requesting Data...</v>
      </c>
      <c r="S1812" t="str">
        <f>_xll.BDP("843789GK Muni","BB_COMPOSITE")</f>
        <v>#N/A Requesting Data...</v>
      </c>
      <c r="T1812" t="str">
        <f>_xll.BDP("843789GK Muni","LQA_LIQUIDITY_SCORE")</f>
        <v>#N/A Requesting Data...</v>
      </c>
    </row>
    <row r="1813" spans="1:20" x14ac:dyDescent="0.25">
      <c r="A1813" t="str">
        <f>_xll.BDP("84442PAF Muni","ID_CUSIP")</f>
        <v>#N/A Requesting Data...</v>
      </c>
      <c r="B1813" t="s">
        <v>442</v>
      </c>
      <c r="C1813" t="str">
        <f>_xll.BDP("84442PAF Muni","INSURANCE_STATUS")</f>
        <v>#N/A Requesting Data...</v>
      </c>
      <c r="D1813" t="str">
        <f>_xll.BDP("84442PAF Muni","STATE_CODE")</f>
        <v>#N/A Requesting Data...</v>
      </c>
      <c r="E1813" t="str">
        <f>_xll.BDP("84442PAF Muni","COUNTY_LOCATION_ISSUER")</f>
        <v>#N/A Requesting Data...</v>
      </c>
      <c r="F1813" t="str">
        <f>_xll.BDP("84442PAF Muni","DUR_ADJ_MID")</f>
        <v>#N/A Requesting Data...</v>
      </c>
      <c r="G1813" t="str">
        <f>_xll.BDP("84442PAF Muni","SPREAD_AT_ISSUANCE_TO_WORST")</f>
        <v>#N/A Requesting Data...</v>
      </c>
      <c r="H1813" t="str">
        <f>_xll.BDP("84442PAF Muni","ISSUE_DT")</f>
        <v>#N/A Requesting Data...</v>
      </c>
      <c r="I1813" t="str">
        <f>_xll.BDS("84442PAF Muni","MUNI_PURPOSE_SCHED", "aggregate=y")</f>
        <v>#N/A Requesting Data...</v>
      </c>
      <c r="J1813" t="str">
        <f>_xll.BDP("84442PAF Muni","CPN")</f>
        <v>#N/A Requesting Data...</v>
      </c>
      <c r="K1813" t="str">
        <f>_xll.BDP("84442PAF Muni","MATURITY")</f>
        <v>#N/A Requesting Data...</v>
      </c>
      <c r="L1813">
        <v>175000</v>
      </c>
      <c r="M1813" t="str">
        <f>_xll.BDP("84442PAF Muni","YIELD_ON_ISSUE_DATE")</f>
        <v>#N/A Requesting Data...</v>
      </c>
      <c r="N1813" t="str">
        <f>_xll.BDP("84442PAF Muni","YTW_SPREAD_TO_MATURITY_AT_ISSU")</f>
        <v>#N/A Requesting Data...</v>
      </c>
      <c r="O1813" t="str">
        <f>_xll.BDP("84442PAF Muni","BVAL_MID_YTM")</f>
        <v>#N/A Requesting Data...</v>
      </c>
      <c r="P1813" t="str">
        <f>_xll.BDP("84442PAF Muni","MUNI_TAX_PROV")</f>
        <v>#N/A Requesting Data...</v>
      </c>
      <c r="Q1813" t="str">
        <f>_xll.BDP("84442PAF Muni","MUNI_FED_TAX")</f>
        <v>#N/A Requesting Data...</v>
      </c>
      <c r="R1813" t="str">
        <f>_xll.BDP("84442PAF Muni","MUNI_MSRB_VOLUME")</f>
        <v>#N/A Requesting Data...</v>
      </c>
      <c r="S1813" t="str">
        <f>_xll.BDP("84442PAF Muni","BB_COMPOSITE")</f>
        <v>#N/A Requesting Data...</v>
      </c>
      <c r="T1813" t="str">
        <f>_xll.BDP("84442PAF Muni","LQA_LIQUIDITY_SCORE")</f>
        <v>#N/A Requesting Data...</v>
      </c>
    </row>
    <row r="1814" spans="1:20" x14ac:dyDescent="0.25">
      <c r="A1814" t="str">
        <f>_xll.BDP("84442PAG Muni","ID_CUSIP")</f>
        <v>#N/A Requesting Data...</v>
      </c>
      <c r="B1814" t="s">
        <v>442</v>
      </c>
      <c r="C1814" t="str">
        <f>_xll.BDP("84442PAG Muni","INSURANCE_STATUS")</f>
        <v>#N/A Requesting Data...</v>
      </c>
      <c r="D1814" t="str">
        <f>_xll.BDP("84442PAG Muni","STATE_CODE")</f>
        <v>#N/A Requesting Data...</v>
      </c>
      <c r="E1814" t="str">
        <f>_xll.BDP("84442PAG Muni","COUNTY_LOCATION_ISSUER")</f>
        <v>#N/A Requesting Data...</v>
      </c>
      <c r="F1814" t="str">
        <f>_xll.BDP("84442PAG Muni","DUR_ADJ_MID")</f>
        <v>#N/A Requesting Data...</v>
      </c>
      <c r="G1814" t="str">
        <f>_xll.BDP("84442PAG Muni","SPREAD_AT_ISSUANCE_TO_WORST")</f>
        <v>#N/A Requesting Data...</v>
      </c>
      <c r="H1814" t="str">
        <f>_xll.BDP("84442PAG Muni","ISSUE_DT")</f>
        <v>#N/A Requesting Data...</v>
      </c>
      <c r="I1814" t="str">
        <f>_xll.BDS("84442PAG Muni","MUNI_PURPOSE_SCHED", "aggregate=y")</f>
        <v>#N/A Requesting Data...</v>
      </c>
      <c r="J1814" t="str">
        <f>_xll.BDP("84442PAG Muni","CPN")</f>
        <v>#N/A Requesting Data...</v>
      </c>
      <c r="K1814" t="str">
        <f>_xll.BDP("84442PAG Muni","MATURITY")</f>
        <v>#N/A Requesting Data...</v>
      </c>
      <c r="L1814">
        <v>185000</v>
      </c>
      <c r="M1814" t="str">
        <f>_xll.BDP("84442PAG Muni","YIELD_ON_ISSUE_DATE")</f>
        <v>#N/A Requesting Data...</v>
      </c>
      <c r="N1814" t="str">
        <f>_xll.BDP("84442PAG Muni","YTW_SPREAD_TO_MATURITY_AT_ISSU")</f>
        <v>#N/A Requesting Data...</v>
      </c>
      <c r="O1814" t="str">
        <f>_xll.BDP("84442PAG Muni","BVAL_MID_YTM")</f>
        <v>#N/A Requesting Data...</v>
      </c>
      <c r="P1814" t="str">
        <f>_xll.BDP("84442PAG Muni","MUNI_TAX_PROV")</f>
        <v>#N/A Requesting Data...</v>
      </c>
      <c r="Q1814" t="str">
        <f>_xll.BDP("84442PAG Muni","MUNI_FED_TAX")</f>
        <v>#N/A Requesting Data...</v>
      </c>
      <c r="R1814" t="str">
        <f>_xll.BDP("84442PAG Muni","MUNI_MSRB_VOLUME")</f>
        <v>#N/A Requesting Data...</v>
      </c>
      <c r="S1814" t="str">
        <f>_xll.BDP("84442PAG Muni","BB_COMPOSITE")</f>
        <v>#N/A Requesting Data...</v>
      </c>
      <c r="T1814" t="str">
        <f>_xll.BDP("84442PAG Muni","LQA_LIQUIDITY_SCORE")</f>
        <v>#N/A Requesting Data...</v>
      </c>
    </row>
    <row r="1815" spans="1:20" x14ac:dyDescent="0.25">
      <c r="A1815" t="str">
        <f>_xll.BDP("643408TE Muni","ID_CUSIP")</f>
        <v>#N/A Requesting Data...</v>
      </c>
      <c r="B1815" t="s">
        <v>443</v>
      </c>
      <c r="C1815" t="str">
        <f>_xll.BDP("643408TE Muni","INSURANCE_STATUS")</f>
        <v>#N/A Requesting Data...</v>
      </c>
      <c r="D1815" t="str">
        <f>_xll.BDP("643408TE Muni","STATE_CODE")</f>
        <v>#N/A Requesting Data...</v>
      </c>
      <c r="E1815" t="str">
        <f>_xll.BDP("643408TE Muni","COUNTY_LOCATION_ISSUER")</f>
        <v>#N/A Requesting Data...</v>
      </c>
      <c r="F1815" t="str">
        <f>_xll.BDP("643408TE Muni","DUR_ADJ_MID")</f>
        <v>#N/A Requesting Data...</v>
      </c>
      <c r="G1815" t="str">
        <f>_xll.BDP("643408TE Muni","SPREAD_AT_ISSUANCE_TO_WORST")</f>
        <v>#N/A Requesting Data...</v>
      </c>
      <c r="H1815" t="str">
        <f>_xll.BDP("643408TE Muni","ISSUE_DT")</f>
        <v>#N/A Requesting Data...</v>
      </c>
      <c r="I1815" t="str">
        <f>_xll.BDS("643408TE Muni","MUNI_PURPOSE_SCHED", "aggregate=y")</f>
        <v>#N/A Requesting Data...</v>
      </c>
      <c r="J1815" t="str">
        <f>_xll.BDP("643408TE Muni","CPN")</f>
        <v>#N/A Requesting Data...</v>
      </c>
      <c r="K1815" t="str">
        <f>_xll.BDP("643408TE Muni","MATURITY")</f>
        <v>#N/A Requesting Data...</v>
      </c>
      <c r="L1815">
        <v>925000</v>
      </c>
      <c r="M1815" t="str">
        <f>_xll.BDP("643408TE Muni","YIELD_ON_ISSUE_DATE")</f>
        <v>#N/A Requesting Data...</v>
      </c>
      <c r="N1815" t="str">
        <f>_xll.BDP("643408TE Muni","YTW_SPREAD_TO_MATURITY_AT_ISSU")</f>
        <v>#N/A Requesting Data...</v>
      </c>
      <c r="O1815" t="str">
        <f>_xll.BDP("643408TE Muni","BVAL_MID_YTM")</f>
        <v>#N/A Requesting Data...</v>
      </c>
      <c r="P1815" t="str">
        <f>_xll.BDP("643408TE Muni","MUNI_TAX_PROV")</f>
        <v>#N/A Requesting Data...</v>
      </c>
      <c r="Q1815" t="str">
        <f>_xll.BDP("643408TE Muni","MUNI_FED_TAX")</f>
        <v>#N/A Requesting Data...</v>
      </c>
      <c r="R1815" t="str">
        <f>_xll.BDP("643408TE Muni","MUNI_MSRB_VOLUME")</f>
        <v>#N/A Requesting Data...</v>
      </c>
      <c r="S1815" t="str">
        <f>_xll.BDP("643408TE Muni","BB_COMPOSITE")</f>
        <v>#N/A Requesting Data...</v>
      </c>
      <c r="T1815" t="str">
        <f>_xll.BDP("643408TE Muni","LQA_LIQUIDITY_SCORE")</f>
        <v>#N/A Requesting Data...</v>
      </c>
    </row>
    <row r="1816" spans="1:20" x14ac:dyDescent="0.25">
      <c r="A1816" t="str">
        <f>_xll.BDP("69674TBB Muni","ID_CUSIP")</f>
        <v>#N/A Requesting Data...</v>
      </c>
      <c r="B1816" t="s">
        <v>444</v>
      </c>
      <c r="C1816" t="str">
        <f>_xll.BDP("69674TBB Muni","INSURANCE_STATUS")</f>
        <v>#N/A Requesting Data...</v>
      </c>
      <c r="D1816" t="str">
        <f>_xll.BDP("69674TBB Muni","STATE_CODE")</f>
        <v>#N/A Requesting Data...</v>
      </c>
      <c r="E1816" t="str">
        <f>_xll.BDP("69674TBB Muni","COUNTY_LOCATION_ISSUER")</f>
        <v>#N/A Requesting Data...</v>
      </c>
      <c r="F1816" t="str">
        <f>_xll.BDP("69674TBB Muni","DUR_ADJ_MID")</f>
        <v>#N/A Requesting Data...</v>
      </c>
      <c r="G1816" t="str">
        <f>_xll.BDP("69674TBB Muni","SPREAD_AT_ISSUANCE_TO_WORST")</f>
        <v>#N/A Requesting Data...</v>
      </c>
      <c r="H1816" t="str">
        <f>_xll.BDP("69674TBB Muni","ISSUE_DT")</f>
        <v>#N/A Requesting Data...</v>
      </c>
      <c r="I1816" t="str">
        <f>_xll.BDS("69674TBB Muni","MUNI_PURPOSE_SCHED", "aggregate=y")</f>
        <v>#N/A Requesting Data...</v>
      </c>
      <c r="J1816" t="str">
        <f>_xll.BDP("69674TBB Muni","CPN")</f>
        <v>#N/A Requesting Data...</v>
      </c>
      <c r="K1816" t="str">
        <f>_xll.BDP("69674TBB Muni","MATURITY")</f>
        <v>#N/A Requesting Data...</v>
      </c>
      <c r="L1816">
        <v>265000</v>
      </c>
      <c r="M1816" t="str">
        <f>_xll.BDP("69674TBB Muni","YIELD_ON_ISSUE_DATE")</f>
        <v>#N/A Requesting Data...</v>
      </c>
      <c r="N1816" t="str">
        <f>_xll.BDP("69674TBB Muni","YTW_SPREAD_TO_MATURITY_AT_ISSU")</f>
        <v>#N/A Requesting Data...</v>
      </c>
      <c r="O1816" t="str">
        <f>_xll.BDP("69674TBB Muni","BVAL_MID_YTM")</f>
        <v>#N/A Requesting Data...</v>
      </c>
      <c r="P1816" t="str">
        <f>_xll.BDP("69674TBB Muni","MUNI_TAX_PROV")</f>
        <v>#N/A Requesting Data...</v>
      </c>
      <c r="Q1816" t="str">
        <f>_xll.BDP("69674TBB Muni","MUNI_FED_TAX")</f>
        <v>#N/A Requesting Data...</v>
      </c>
      <c r="R1816" t="str">
        <f>_xll.BDP("69674TBB Muni","MUNI_MSRB_VOLUME")</f>
        <v>#N/A Requesting Data...</v>
      </c>
      <c r="S1816" t="str">
        <f>_xll.BDP("69674TBB Muni","BB_COMPOSITE")</f>
        <v>#N/A Requesting Data...</v>
      </c>
      <c r="T1816" t="str">
        <f>_xll.BDP("69674TBB Muni","LQA_LIQUIDITY_SCORE")</f>
        <v>#N/A Requesting Data...</v>
      </c>
    </row>
    <row r="1817" spans="1:20" x14ac:dyDescent="0.25">
      <c r="A1817" t="str">
        <f>_xll.BDP("69674TBD Muni","ID_CUSIP")</f>
        <v>#N/A Requesting Data...</v>
      </c>
      <c r="B1817" t="s">
        <v>444</v>
      </c>
      <c r="C1817" t="str">
        <f>_xll.BDP("69674TBD Muni","INSURANCE_STATUS")</f>
        <v>#N/A Requesting Data...</v>
      </c>
      <c r="D1817" t="str">
        <f>_xll.BDP("69674TBD Muni","STATE_CODE")</f>
        <v>#N/A Requesting Data...</v>
      </c>
      <c r="E1817" t="str">
        <f>_xll.BDP("69674TBD Muni","COUNTY_LOCATION_ISSUER")</f>
        <v>#N/A Requesting Data...</v>
      </c>
      <c r="F1817" t="str">
        <f>_xll.BDP("69674TBD Muni","DUR_ADJ_MID")</f>
        <v>#N/A Requesting Data...</v>
      </c>
      <c r="G1817" t="str">
        <f>_xll.BDP("69674TBD Muni","SPREAD_AT_ISSUANCE_TO_WORST")</f>
        <v>#N/A Requesting Data...</v>
      </c>
      <c r="H1817" t="str">
        <f>_xll.BDP("69674TBD Muni","ISSUE_DT")</f>
        <v>#N/A Requesting Data...</v>
      </c>
      <c r="I1817" t="str">
        <f>_xll.BDS("69674TBD Muni","MUNI_PURPOSE_SCHED", "aggregate=y")</f>
        <v>#N/A Requesting Data...</v>
      </c>
      <c r="J1817" t="str">
        <f>_xll.BDP("69674TBD Muni","CPN")</f>
        <v>#N/A Requesting Data...</v>
      </c>
      <c r="K1817" t="str">
        <f>_xll.BDP("69674TBD Muni","MATURITY")</f>
        <v>#N/A Requesting Data...</v>
      </c>
      <c r="L1817">
        <v>290000</v>
      </c>
      <c r="M1817" t="str">
        <f>_xll.BDP("69674TBD Muni","YIELD_ON_ISSUE_DATE")</f>
        <v>#N/A Requesting Data...</v>
      </c>
      <c r="N1817" t="str">
        <f>_xll.BDP("69674TBD Muni","YTW_SPREAD_TO_MATURITY_AT_ISSU")</f>
        <v>#N/A Requesting Data...</v>
      </c>
      <c r="O1817" t="str">
        <f>_xll.BDP("69674TBD Muni","BVAL_MID_YTM")</f>
        <v>#N/A Requesting Data...</v>
      </c>
      <c r="P1817" t="str">
        <f>_xll.BDP("69674TBD Muni","MUNI_TAX_PROV")</f>
        <v>#N/A Requesting Data...</v>
      </c>
      <c r="Q1817" t="str">
        <f>_xll.BDP("69674TBD Muni","MUNI_FED_TAX")</f>
        <v>#N/A Requesting Data...</v>
      </c>
      <c r="R1817" t="str">
        <f>_xll.BDP("69674TBD Muni","MUNI_MSRB_VOLUME")</f>
        <v>#N/A Requesting Data...</v>
      </c>
      <c r="S1817" t="str">
        <f>_xll.BDP("69674TBD Muni","BB_COMPOSITE")</f>
        <v>#N/A Requesting Data...</v>
      </c>
      <c r="T1817" t="str">
        <f>_xll.BDP("69674TBD Muni","LQA_LIQUIDITY_SCORE")</f>
        <v>#N/A Requesting Data...</v>
      </c>
    </row>
    <row r="1818" spans="1:20" x14ac:dyDescent="0.25">
      <c r="A1818" t="str">
        <f>_xll.BDP("69674TBF Muni","ID_CUSIP")</f>
        <v>#N/A Requesting Data...</v>
      </c>
      <c r="B1818" t="s">
        <v>444</v>
      </c>
      <c r="C1818" t="str">
        <f>_xll.BDP("69674TBF Muni","INSURANCE_STATUS")</f>
        <v>#N/A Requesting Data...</v>
      </c>
      <c r="D1818" t="str">
        <f>_xll.BDP("69674TBF Muni","STATE_CODE")</f>
        <v>#N/A Requesting Data...</v>
      </c>
      <c r="E1818" t="str">
        <f>_xll.BDP("69674TBF Muni","COUNTY_LOCATION_ISSUER")</f>
        <v>#N/A Requesting Data...</v>
      </c>
      <c r="F1818" t="str">
        <f>_xll.BDP("69674TBF Muni","DUR_ADJ_MID")</f>
        <v>#N/A Requesting Data...</v>
      </c>
      <c r="G1818" t="str">
        <f>_xll.BDP("69674TBF Muni","SPREAD_AT_ISSUANCE_TO_WORST")</f>
        <v>#N/A Requesting Data...</v>
      </c>
      <c r="H1818" t="str">
        <f>_xll.BDP("69674TBF Muni","ISSUE_DT")</f>
        <v>#N/A Requesting Data...</v>
      </c>
      <c r="I1818" t="str">
        <f>_xll.BDS("69674TBF Muni","MUNI_PURPOSE_SCHED", "aggregate=y")</f>
        <v>#N/A Requesting Data...</v>
      </c>
      <c r="J1818" t="str">
        <f>_xll.BDP("69674TBF Muni","CPN")</f>
        <v>#N/A Requesting Data...</v>
      </c>
      <c r="K1818" t="str">
        <f>_xll.BDP("69674TBF Muni","MATURITY")</f>
        <v>#N/A Requesting Data...</v>
      </c>
      <c r="L1818">
        <v>320000</v>
      </c>
      <c r="M1818" t="str">
        <f>_xll.BDP("69674TBF Muni","YIELD_ON_ISSUE_DATE")</f>
        <v>#N/A Requesting Data...</v>
      </c>
      <c r="N1818" t="str">
        <f>_xll.BDP("69674TBF Muni","YTW_SPREAD_TO_MATURITY_AT_ISSU")</f>
        <v>#N/A Requesting Data...</v>
      </c>
      <c r="O1818" t="str">
        <f>_xll.BDP("69674TBF Muni","BVAL_MID_YTM")</f>
        <v>#N/A Requesting Data...</v>
      </c>
      <c r="P1818" t="str">
        <f>_xll.BDP("69674TBF Muni","MUNI_TAX_PROV")</f>
        <v>#N/A Requesting Data...</v>
      </c>
      <c r="Q1818" t="str">
        <f>_xll.BDP("69674TBF Muni","MUNI_FED_TAX")</f>
        <v>#N/A Requesting Data...</v>
      </c>
      <c r="R1818" t="str">
        <f>_xll.BDP("69674TBF Muni","MUNI_MSRB_VOLUME")</f>
        <v>#N/A Requesting Data...</v>
      </c>
      <c r="S1818" t="str">
        <f>_xll.BDP("69674TBF Muni","BB_COMPOSITE")</f>
        <v>#N/A Requesting Data...</v>
      </c>
      <c r="T1818" t="str">
        <f>_xll.BDP("69674TBF Muni","LQA_LIQUIDITY_SCORE")</f>
        <v>#N/A Requesting Data...</v>
      </c>
    </row>
    <row r="1819" spans="1:20" x14ac:dyDescent="0.25">
      <c r="A1819" t="str">
        <f>_xll.BDP("69704PBZ Muni","ID_CUSIP")</f>
        <v>#N/A Requesting Data...</v>
      </c>
      <c r="B1819" t="s">
        <v>445</v>
      </c>
      <c r="C1819" t="str">
        <f>_xll.BDP("69704PBZ Muni","INSURANCE_STATUS")</f>
        <v>#N/A Requesting Data...</v>
      </c>
      <c r="D1819" t="str">
        <f>_xll.BDP("69704PBZ Muni","STATE_CODE")</f>
        <v>#N/A Requesting Data...</v>
      </c>
      <c r="E1819" t="str">
        <f>_xll.BDP("69704PBZ Muni","COUNTY_LOCATION_ISSUER")</f>
        <v>#N/A Requesting Data...</v>
      </c>
      <c r="F1819" t="str">
        <f>_xll.BDP("69704PBZ Muni","DUR_ADJ_MID")</f>
        <v>#N/A Requesting Data...</v>
      </c>
      <c r="G1819" t="str">
        <f>_xll.BDP("69704PBZ Muni","SPREAD_AT_ISSUANCE_TO_WORST")</f>
        <v>#N/A Requesting Data...</v>
      </c>
      <c r="H1819" t="str">
        <f>_xll.BDP("69704PBZ Muni","ISSUE_DT")</f>
        <v>#N/A Requesting Data...</v>
      </c>
      <c r="I1819" t="str">
        <f>_xll.BDS("69704PBZ Muni","MUNI_PURPOSE_SCHED", "aggregate=y")</f>
        <v>#N/A Requesting Data...</v>
      </c>
      <c r="J1819" t="str">
        <f>_xll.BDP("69704PBZ Muni","CPN")</f>
        <v>#N/A Requesting Data...</v>
      </c>
      <c r="K1819" t="str">
        <f>_xll.BDP("69704PBZ Muni","MATURITY")</f>
        <v>#N/A Requesting Data...</v>
      </c>
      <c r="L1819">
        <v>85000</v>
      </c>
      <c r="M1819" t="str">
        <f>_xll.BDP("69704PBZ Muni","YIELD_ON_ISSUE_DATE")</f>
        <v>#N/A Requesting Data...</v>
      </c>
      <c r="N1819" t="str">
        <f>_xll.BDP("69704PBZ Muni","YTW_SPREAD_TO_MATURITY_AT_ISSU")</f>
        <v>#N/A Requesting Data...</v>
      </c>
      <c r="O1819" t="str">
        <f>_xll.BDP("69704PBZ Muni","BVAL_MID_YTM")</f>
        <v>#N/A Requesting Data...</v>
      </c>
      <c r="P1819" t="str">
        <f>_xll.BDP("69704PBZ Muni","MUNI_TAX_PROV")</f>
        <v>#N/A Requesting Data...</v>
      </c>
      <c r="Q1819" t="str">
        <f>_xll.BDP("69704PBZ Muni","MUNI_FED_TAX")</f>
        <v>#N/A Requesting Data...</v>
      </c>
      <c r="R1819" t="str">
        <f>_xll.BDP("69704PBZ Muni","MUNI_MSRB_VOLUME")</f>
        <v>#N/A Requesting Data...</v>
      </c>
      <c r="S1819" t="str">
        <f>_xll.BDP("69704PBZ Muni","BB_COMPOSITE")</f>
        <v>#N/A Requesting Data...</v>
      </c>
      <c r="T1819" t="str">
        <f>_xll.BDP("69704PBZ Muni","LQA_LIQUIDITY_SCORE")</f>
        <v>#N/A Requesting Data...</v>
      </c>
    </row>
    <row r="1820" spans="1:20" x14ac:dyDescent="0.25">
      <c r="A1820" t="str">
        <f>_xll.BDP("69704PCA Muni","ID_CUSIP")</f>
        <v>#N/A Requesting Data...</v>
      </c>
      <c r="B1820" t="s">
        <v>445</v>
      </c>
      <c r="C1820" t="str">
        <f>_xll.BDP("69704PCA Muni","INSURANCE_STATUS")</f>
        <v>#N/A Requesting Data...</v>
      </c>
      <c r="D1820" t="str">
        <f>_xll.BDP("69704PCA Muni","STATE_CODE")</f>
        <v>#N/A Requesting Data...</v>
      </c>
      <c r="E1820" t="str">
        <f>_xll.BDP("69704PCA Muni","COUNTY_LOCATION_ISSUER")</f>
        <v>#N/A Requesting Data...</v>
      </c>
      <c r="F1820" t="str">
        <f>_xll.BDP("69704PCA Muni","DUR_ADJ_MID")</f>
        <v>#N/A Requesting Data...</v>
      </c>
      <c r="G1820" t="str">
        <f>_xll.BDP("69704PCA Muni","SPREAD_AT_ISSUANCE_TO_WORST")</f>
        <v>#N/A Requesting Data...</v>
      </c>
      <c r="H1820" t="str">
        <f>_xll.BDP("69704PCA Muni","ISSUE_DT")</f>
        <v>#N/A Requesting Data...</v>
      </c>
      <c r="I1820" t="str">
        <f>_xll.BDS("69704PCA Muni","MUNI_PURPOSE_SCHED", "aggregate=y")</f>
        <v>#N/A Requesting Data...</v>
      </c>
      <c r="J1820" t="str">
        <f>_xll.BDP("69704PCA Muni","CPN")</f>
        <v>#N/A Requesting Data...</v>
      </c>
      <c r="K1820" t="str">
        <f>_xll.BDP("69704PCA Muni","MATURITY")</f>
        <v>#N/A Requesting Data...</v>
      </c>
      <c r="L1820">
        <v>85000</v>
      </c>
      <c r="M1820" t="str">
        <f>_xll.BDP("69704PCA Muni","YIELD_ON_ISSUE_DATE")</f>
        <v>#N/A Requesting Data...</v>
      </c>
      <c r="N1820" t="str">
        <f>_xll.BDP("69704PCA Muni","YTW_SPREAD_TO_MATURITY_AT_ISSU")</f>
        <v>#N/A Requesting Data...</v>
      </c>
      <c r="O1820" t="str">
        <f>_xll.BDP("69704PCA Muni","BVAL_MID_YTM")</f>
        <v>#N/A Requesting Data...</v>
      </c>
      <c r="P1820" t="str">
        <f>_xll.BDP("69704PCA Muni","MUNI_TAX_PROV")</f>
        <v>#N/A Requesting Data...</v>
      </c>
      <c r="Q1820" t="str">
        <f>_xll.BDP("69704PCA Muni","MUNI_FED_TAX")</f>
        <v>#N/A Requesting Data...</v>
      </c>
      <c r="R1820" t="str">
        <f>_xll.BDP("69704PCA Muni","MUNI_MSRB_VOLUME")</f>
        <v>#N/A Requesting Data...</v>
      </c>
      <c r="S1820" t="str">
        <f>_xll.BDP("69704PCA Muni","BB_COMPOSITE")</f>
        <v>#N/A Requesting Data...</v>
      </c>
      <c r="T1820" t="str">
        <f>_xll.BDP("69704PCA Muni","LQA_LIQUIDITY_SCORE")</f>
        <v>#N/A Requesting Data...</v>
      </c>
    </row>
    <row r="1821" spans="1:20" x14ac:dyDescent="0.25">
      <c r="A1821" t="str">
        <f>_xll.BDP("69750TJF Muni","ID_CUSIP")</f>
        <v>#N/A Requesting Data...</v>
      </c>
      <c r="B1821" t="s">
        <v>446</v>
      </c>
      <c r="C1821" t="str">
        <f>_xll.BDP("69750TJF Muni","INSURANCE_STATUS")</f>
        <v>#N/A Requesting Data...</v>
      </c>
      <c r="D1821" t="str">
        <f>_xll.BDP("69750TJF Muni","STATE_CODE")</f>
        <v>#N/A Requesting Data...</v>
      </c>
      <c r="E1821" t="str">
        <f>_xll.BDP("69750TJF Muni","COUNTY_LOCATION_ISSUER")</f>
        <v>#N/A Requesting Data...</v>
      </c>
      <c r="F1821" t="str">
        <f>_xll.BDP("69750TJF Muni","DUR_ADJ_MID")</f>
        <v>#N/A Requesting Data...</v>
      </c>
      <c r="G1821" t="str">
        <f>_xll.BDP("69750TJF Muni","SPREAD_AT_ISSUANCE_TO_WORST")</f>
        <v>#N/A Requesting Data...</v>
      </c>
      <c r="H1821" t="str">
        <f>_xll.BDP("69750TJF Muni","ISSUE_DT")</f>
        <v>#N/A Requesting Data...</v>
      </c>
      <c r="I1821" t="str">
        <f>_xll.BDS("69750TJF Muni","MUNI_PURPOSE_SCHED", "aggregate=y")</f>
        <v>#N/A Requesting Data...</v>
      </c>
      <c r="J1821" t="str">
        <f>_xll.BDP("69750TJF Muni","CPN")</f>
        <v>#N/A Requesting Data...</v>
      </c>
      <c r="K1821" t="str">
        <f>_xll.BDP("69750TJF Muni","MATURITY")</f>
        <v>#N/A Requesting Data...</v>
      </c>
      <c r="L1821">
        <v>125000</v>
      </c>
      <c r="M1821" t="str">
        <f>_xll.BDP("69750TJF Muni","YIELD_ON_ISSUE_DATE")</f>
        <v>#N/A Requesting Data...</v>
      </c>
      <c r="N1821" t="str">
        <f>_xll.BDP("69750TJF Muni","YTW_SPREAD_TO_MATURITY_AT_ISSU")</f>
        <v>#N/A Requesting Data...</v>
      </c>
      <c r="O1821" t="str">
        <f>_xll.BDP("69750TJF Muni","BVAL_MID_YTM")</f>
        <v>#N/A Requesting Data...</v>
      </c>
      <c r="P1821" t="str">
        <f>_xll.BDP("69750TJF Muni","MUNI_TAX_PROV")</f>
        <v>#N/A Requesting Data...</v>
      </c>
      <c r="Q1821" t="str">
        <f>_xll.BDP("69750TJF Muni","MUNI_FED_TAX")</f>
        <v>#N/A Requesting Data...</v>
      </c>
      <c r="R1821" t="str">
        <f>_xll.BDP("69750TJF Muni","MUNI_MSRB_VOLUME")</f>
        <v>#N/A Requesting Data...</v>
      </c>
      <c r="S1821" t="str">
        <f>_xll.BDP("69750TJF Muni","BB_COMPOSITE")</f>
        <v>#N/A Requesting Data...</v>
      </c>
      <c r="T1821" t="str">
        <f>_xll.BDP("69750TJF Muni","LQA_LIQUIDITY_SCORE")</f>
        <v>#N/A Requesting Data...</v>
      </c>
    </row>
    <row r="1822" spans="1:20" x14ac:dyDescent="0.25">
      <c r="A1822" t="str">
        <f>_xll.BDP("643058EZ Muni","ID_CUSIP")</f>
        <v>#N/A Requesting Data...</v>
      </c>
      <c r="B1822" t="s">
        <v>439</v>
      </c>
      <c r="C1822" t="str">
        <f>_xll.BDP("643058EZ Muni","INSURANCE_STATUS")</f>
        <v>#N/A Requesting Data...</v>
      </c>
      <c r="D1822" t="str">
        <f>_xll.BDP("643058EZ Muni","STATE_CODE")</f>
        <v>#N/A Requesting Data...</v>
      </c>
      <c r="E1822" t="str">
        <f>_xll.BDP("643058EZ Muni","COUNTY_LOCATION_ISSUER")</f>
        <v>#N/A Requesting Data...</v>
      </c>
      <c r="F1822" t="str">
        <f>_xll.BDP("643058EZ Muni","DUR_ADJ_MID")</f>
        <v>#N/A Requesting Data...</v>
      </c>
      <c r="G1822" t="str">
        <f>_xll.BDP("643058EZ Muni","SPREAD_AT_ISSUANCE_TO_WORST")</f>
        <v>#N/A Requesting Data...</v>
      </c>
      <c r="H1822" t="str">
        <f>_xll.BDP("643058EZ Muni","ISSUE_DT")</f>
        <v>#N/A Requesting Data...</v>
      </c>
      <c r="I1822" t="str">
        <f>_xll.BDS("643058EZ Muni","MUNI_PURPOSE_SCHED", "aggregate=y")</f>
        <v>#N/A Requesting Data...</v>
      </c>
      <c r="J1822" t="str">
        <f>_xll.BDP("643058EZ Muni","CPN")</f>
        <v>#N/A Requesting Data...</v>
      </c>
      <c r="K1822" t="str">
        <f>_xll.BDP("643058EZ Muni","MATURITY")</f>
        <v>#N/A Requesting Data...</v>
      </c>
      <c r="L1822">
        <v>65000</v>
      </c>
      <c r="M1822" t="str">
        <f>_xll.BDP("643058EZ Muni","YIELD_ON_ISSUE_DATE")</f>
        <v>#N/A Requesting Data...</v>
      </c>
      <c r="N1822" t="str">
        <f>_xll.BDP("643058EZ Muni","YTW_SPREAD_TO_MATURITY_AT_ISSU")</f>
        <v>#N/A Requesting Data...</v>
      </c>
      <c r="O1822" t="str">
        <f>_xll.BDP("643058EZ Muni","BVAL_MID_YTM")</f>
        <v>#N/A Requesting Data...</v>
      </c>
      <c r="P1822" t="str">
        <f>_xll.BDP("643058EZ Muni","MUNI_TAX_PROV")</f>
        <v>#N/A Requesting Data...</v>
      </c>
      <c r="Q1822" t="str">
        <f>_xll.BDP("643058EZ Muni","MUNI_FED_TAX")</f>
        <v>#N/A Requesting Data...</v>
      </c>
      <c r="R1822" t="str">
        <f>_xll.BDP("643058EZ Muni","MUNI_MSRB_VOLUME")</f>
        <v>#N/A Requesting Data...</v>
      </c>
      <c r="S1822" t="str">
        <f>_xll.BDP("643058EZ Muni","BB_COMPOSITE")</f>
        <v>#N/A Requesting Data...</v>
      </c>
      <c r="T1822" t="str">
        <f>_xll.BDP("643058EZ Muni","LQA_LIQUIDITY_SCORE")</f>
        <v>#N/A Requesting Data...</v>
      </c>
    </row>
    <row r="1823" spans="1:20" x14ac:dyDescent="0.25">
      <c r="A1823" t="str">
        <f>_xll.BDP("643058FA Muni","ID_CUSIP")</f>
        <v>#N/A Requesting Data...</v>
      </c>
      <c r="B1823" t="s">
        <v>439</v>
      </c>
      <c r="C1823" t="str">
        <f>_xll.BDP("643058FA Muni","INSURANCE_STATUS")</f>
        <v>#N/A Requesting Data...</v>
      </c>
      <c r="D1823" t="str">
        <f>_xll.BDP("643058FA Muni","STATE_CODE")</f>
        <v>#N/A Requesting Data...</v>
      </c>
      <c r="E1823" t="str">
        <f>_xll.BDP("643058FA Muni","COUNTY_LOCATION_ISSUER")</f>
        <v>#N/A Requesting Data...</v>
      </c>
      <c r="F1823" t="str">
        <f>_xll.BDP("643058FA Muni","DUR_ADJ_MID")</f>
        <v>#N/A Requesting Data...</v>
      </c>
      <c r="G1823" t="str">
        <f>_xll.BDP("643058FA Muni","SPREAD_AT_ISSUANCE_TO_WORST")</f>
        <v>#N/A Requesting Data...</v>
      </c>
      <c r="H1823" t="str">
        <f>_xll.BDP("643058FA Muni","ISSUE_DT")</f>
        <v>#N/A Requesting Data...</v>
      </c>
      <c r="I1823" t="str">
        <f>_xll.BDS("643058FA Muni","MUNI_PURPOSE_SCHED", "aggregate=y")</f>
        <v>#N/A Requesting Data...</v>
      </c>
      <c r="J1823" t="str">
        <f>_xll.BDP("643058FA Muni","CPN")</f>
        <v>#N/A Requesting Data...</v>
      </c>
      <c r="K1823" t="str">
        <f>_xll.BDP("643058FA Muni","MATURITY")</f>
        <v>#N/A Requesting Data...</v>
      </c>
      <c r="L1823">
        <v>65000</v>
      </c>
      <c r="M1823" t="str">
        <f>_xll.BDP("643058FA Muni","YIELD_ON_ISSUE_DATE")</f>
        <v>#N/A Requesting Data...</v>
      </c>
      <c r="N1823" t="str">
        <f>_xll.BDP("643058FA Muni","YTW_SPREAD_TO_MATURITY_AT_ISSU")</f>
        <v>#N/A Requesting Data...</v>
      </c>
      <c r="O1823" t="str">
        <f>_xll.BDP("643058FA Muni","BVAL_MID_YTM")</f>
        <v>#N/A Requesting Data...</v>
      </c>
      <c r="P1823" t="str">
        <f>_xll.BDP("643058FA Muni","MUNI_TAX_PROV")</f>
        <v>#N/A Requesting Data...</v>
      </c>
      <c r="Q1823" t="str">
        <f>_xll.BDP("643058FA Muni","MUNI_FED_TAX")</f>
        <v>#N/A Requesting Data...</v>
      </c>
      <c r="R1823" t="str">
        <f>_xll.BDP("643058FA Muni","MUNI_MSRB_VOLUME")</f>
        <v>#N/A Requesting Data...</v>
      </c>
      <c r="S1823" t="str">
        <f>_xll.BDP("643058FA Muni","BB_COMPOSITE")</f>
        <v>#N/A Requesting Data...</v>
      </c>
      <c r="T1823" t="str">
        <f>_xll.BDP("643058FA Muni","LQA_LIQUIDITY_SCORE")</f>
        <v>#N/A Requesting Data...</v>
      </c>
    </row>
    <row r="1824" spans="1:20" x14ac:dyDescent="0.25">
      <c r="A1824" t="str">
        <f>_xll.BDP("643408TC Muni","ID_CUSIP")</f>
        <v>#N/A Requesting Data...</v>
      </c>
      <c r="B1824" t="s">
        <v>443</v>
      </c>
      <c r="C1824" t="str">
        <f>_xll.BDP("643408TC Muni","INSURANCE_STATUS")</f>
        <v>#N/A Requesting Data...</v>
      </c>
      <c r="D1824" t="str">
        <f>_xll.BDP("643408TC Muni","STATE_CODE")</f>
        <v>#N/A Requesting Data...</v>
      </c>
      <c r="E1824" t="str">
        <f>_xll.BDP("643408TC Muni","COUNTY_LOCATION_ISSUER")</f>
        <v>#N/A Requesting Data...</v>
      </c>
      <c r="F1824" t="str">
        <f>_xll.BDP("643408TC Muni","DUR_ADJ_MID")</f>
        <v>#N/A Requesting Data...</v>
      </c>
      <c r="G1824" t="str">
        <f>_xll.BDP("643408TC Muni","SPREAD_AT_ISSUANCE_TO_WORST")</f>
        <v>#N/A Requesting Data...</v>
      </c>
      <c r="H1824" t="str">
        <f>_xll.BDP("643408TC Muni","ISSUE_DT")</f>
        <v>#N/A Requesting Data...</v>
      </c>
      <c r="I1824" t="str">
        <f>_xll.BDS("643408TC Muni","MUNI_PURPOSE_SCHED", "aggregate=y")</f>
        <v>#N/A Requesting Data...</v>
      </c>
      <c r="J1824" t="str">
        <f>_xll.BDP("643408TC Muni","CPN")</f>
        <v>#N/A Requesting Data...</v>
      </c>
      <c r="K1824" t="str">
        <f>_xll.BDP("643408TC Muni","MATURITY")</f>
        <v>#N/A Requesting Data...</v>
      </c>
      <c r="L1824">
        <v>1080000</v>
      </c>
      <c r="M1824" t="str">
        <f>_xll.BDP("643408TC Muni","YIELD_ON_ISSUE_DATE")</f>
        <v>#N/A Requesting Data...</v>
      </c>
      <c r="N1824" t="str">
        <f>_xll.BDP("643408TC Muni","YTW_SPREAD_TO_MATURITY_AT_ISSU")</f>
        <v>#N/A Requesting Data...</v>
      </c>
      <c r="O1824" t="str">
        <f>_xll.BDP("643408TC Muni","BVAL_MID_YTM")</f>
        <v>#N/A Requesting Data...</v>
      </c>
      <c r="P1824" t="str">
        <f>_xll.BDP("643408TC Muni","MUNI_TAX_PROV")</f>
        <v>#N/A Requesting Data...</v>
      </c>
      <c r="Q1824" t="str">
        <f>_xll.BDP("643408TC Muni","MUNI_FED_TAX")</f>
        <v>#N/A Requesting Data...</v>
      </c>
      <c r="R1824" t="str">
        <f>_xll.BDP("643408TC Muni","MUNI_MSRB_VOLUME")</f>
        <v>#N/A Requesting Data...</v>
      </c>
      <c r="S1824" t="str">
        <f>_xll.BDP("643408TC Muni","BB_COMPOSITE")</f>
        <v>#N/A Requesting Data...</v>
      </c>
      <c r="T1824" t="str">
        <f>_xll.BDP("643408TC Muni","LQA_LIQUIDITY_SCORE")</f>
        <v>#N/A Requesting Data...</v>
      </c>
    </row>
    <row r="1825" spans="1:20" x14ac:dyDescent="0.25">
      <c r="A1825" t="str">
        <f>_xll.BDP("643408TD Muni","ID_CUSIP")</f>
        <v>#N/A Requesting Data...</v>
      </c>
      <c r="B1825" t="s">
        <v>443</v>
      </c>
      <c r="C1825" t="str">
        <f>_xll.BDP("643408TD Muni","INSURANCE_STATUS")</f>
        <v>#N/A Requesting Data...</v>
      </c>
      <c r="D1825" t="str">
        <f>_xll.BDP("643408TD Muni","STATE_CODE")</f>
        <v>#N/A Requesting Data...</v>
      </c>
      <c r="E1825" t="str">
        <f>_xll.BDP("643408TD Muni","COUNTY_LOCATION_ISSUER")</f>
        <v>#N/A Requesting Data...</v>
      </c>
      <c r="F1825" t="str">
        <f>_xll.BDP("643408TD Muni","DUR_ADJ_MID")</f>
        <v>#N/A Requesting Data...</v>
      </c>
      <c r="G1825" t="str">
        <f>_xll.BDP("643408TD Muni","SPREAD_AT_ISSUANCE_TO_WORST")</f>
        <v>#N/A Requesting Data...</v>
      </c>
      <c r="H1825" t="str">
        <f>_xll.BDP("643408TD Muni","ISSUE_DT")</f>
        <v>#N/A Requesting Data...</v>
      </c>
      <c r="I1825" t="str">
        <f>_xll.BDS("643408TD Muni","MUNI_PURPOSE_SCHED", "aggregate=y")</f>
        <v>#N/A Requesting Data...</v>
      </c>
      <c r="J1825" t="str">
        <f>_xll.BDP("643408TD Muni","CPN")</f>
        <v>#N/A Requesting Data...</v>
      </c>
      <c r="K1825" t="str">
        <f>_xll.BDP("643408TD Muni","MATURITY")</f>
        <v>#N/A Requesting Data...</v>
      </c>
      <c r="L1825">
        <v>920000</v>
      </c>
      <c r="M1825" t="str">
        <f>_xll.BDP("643408TD Muni","YIELD_ON_ISSUE_DATE")</f>
        <v>#N/A Requesting Data...</v>
      </c>
      <c r="N1825" t="str">
        <f>_xll.BDP("643408TD Muni","YTW_SPREAD_TO_MATURITY_AT_ISSU")</f>
        <v>#N/A Requesting Data...</v>
      </c>
      <c r="O1825" t="str">
        <f>_xll.BDP("643408TD Muni","BVAL_MID_YTM")</f>
        <v>#N/A Requesting Data...</v>
      </c>
      <c r="P1825" t="str">
        <f>_xll.BDP("643408TD Muni","MUNI_TAX_PROV")</f>
        <v>#N/A Requesting Data...</v>
      </c>
      <c r="Q1825" t="str">
        <f>_xll.BDP("643408TD Muni","MUNI_FED_TAX")</f>
        <v>#N/A Requesting Data...</v>
      </c>
      <c r="R1825" t="str">
        <f>_xll.BDP("643408TD Muni","MUNI_MSRB_VOLUME")</f>
        <v>#N/A Requesting Data...</v>
      </c>
      <c r="S1825" t="str">
        <f>_xll.BDP("643408TD Muni","BB_COMPOSITE")</f>
        <v>#N/A Requesting Data...</v>
      </c>
      <c r="T1825" t="str">
        <f>_xll.BDP("643408TD Muni","LQA_LIQUIDITY_SCORE")</f>
        <v>#N/A Requesting Data...</v>
      </c>
    </row>
    <row r="1826" spans="1:20" x14ac:dyDescent="0.25">
      <c r="A1826" t="str">
        <f>_xll.BDP("643408TF Muni","ID_CUSIP")</f>
        <v>#N/A Requesting Data...</v>
      </c>
      <c r="B1826" t="s">
        <v>443</v>
      </c>
      <c r="C1826" t="str">
        <f>_xll.BDP("643408TF Muni","INSURANCE_STATUS")</f>
        <v>#N/A Requesting Data...</v>
      </c>
      <c r="D1826" t="str">
        <f>_xll.BDP("643408TF Muni","STATE_CODE")</f>
        <v>#N/A Requesting Data...</v>
      </c>
      <c r="E1826" t="str">
        <f>_xll.BDP("643408TF Muni","COUNTY_LOCATION_ISSUER")</f>
        <v>#N/A Requesting Data...</v>
      </c>
      <c r="F1826" t="str">
        <f>_xll.BDP("643408TF Muni","DUR_ADJ_MID")</f>
        <v>#N/A Requesting Data...</v>
      </c>
      <c r="G1826" t="str">
        <f>_xll.BDP("643408TF Muni","SPREAD_AT_ISSUANCE_TO_WORST")</f>
        <v>#N/A Requesting Data...</v>
      </c>
      <c r="H1826" t="str">
        <f>_xll.BDP("643408TF Muni","ISSUE_DT")</f>
        <v>#N/A Requesting Data...</v>
      </c>
      <c r="I1826" t="str">
        <f>_xll.BDS("643408TF Muni","MUNI_PURPOSE_SCHED", "aggregate=y")</f>
        <v>#N/A Requesting Data...</v>
      </c>
      <c r="J1826" t="str">
        <f>_xll.BDP("643408TF Muni","CPN")</f>
        <v>#N/A Requesting Data...</v>
      </c>
      <c r="K1826" t="str">
        <f>_xll.BDP("643408TF Muni","MATURITY")</f>
        <v>#N/A Requesting Data...</v>
      </c>
      <c r="L1826">
        <v>925000</v>
      </c>
      <c r="M1826" t="str">
        <f>_xll.BDP("643408TF Muni","YIELD_ON_ISSUE_DATE")</f>
        <v>#N/A Requesting Data...</v>
      </c>
      <c r="N1826" t="str">
        <f>_xll.BDP("643408TF Muni","YTW_SPREAD_TO_MATURITY_AT_ISSU")</f>
        <v>#N/A Requesting Data...</v>
      </c>
      <c r="O1826" t="str">
        <f>_xll.BDP("643408TF Muni","BVAL_MID_YTM")</f>
        <v>#N/A Requesting Data...</v>
      </c>
      <c r="P1826" t="str">
        <f>_xll.BDP("643408TF Muni","MUNI_TAX_PROV")</f>
        <v>#N/A Requesting Data...</v>
      </c>
      <c r="Q1826" t="str">
        <f>_xll.BDP("643408TF Muni","MUNI_FED_TAX")</f>
        <v>#N/A Requesting Data...</v>
      </c>
      <c r="R1826" t="str">
        <f>_xll.BDP("643408TF Muni","MUNI_MSRB_VOLUME")</f>
        <v>#N/A Requesting Data...</v>
      </c>
      <c r="S1826" t="str">
        <f>_xll.BDP("643408TF Muni","BB_COMPOSITE")</f>
        <v>#N/A Requesting Data...</v>
      </c>
      <c r="T1826" t="str">
        <f>_xll.BDP("643408TF Muni","LQA_LIQUIDITY_SCORE")</f>
        <v>#N/A Requesting Data...</v>
      </c>
    </row>
    <row r="1827" spans="1:20" x14ac:dyDescent="0.25">
      <c r="A1827" t="str">
        <f>_xll.BDP("69674TBA Muni","ID_CUSIP")</f>
        <v>#N/A Requesting Data...</v>
      </c>
      <c r="B1827" t="s">
        <v>444</v>
      </c>
      <c r="C1827" t="str">
        <f>_xll.BDP("69674TBA Muni","INSURANCE_STATUS")</f>
        <v>#N/A Requesting Data...</v>
      </c>
      <c r="D1827" t="str">
        <f>_xll.BDP("69674TBA Muni","STATE_CODE")</f>
        <v>#N/A Requesting Data...</v>
      </c>
      <c r="E1827" t="str">
        <f>_xll.BDP("69674TBA Muni","COUNTY_LOCATION_ISSUER")</f>
        <v>#N/A Requesting Data...</v>
      </c>
      <c r="F1827" t="str">
        <f>_xll.BDP("69674TBA Muni","DUR_ADJ_MID")</f>
        <v>#N/A Requesting Data...</v>
      </c>
      <c r="G1827" t="str">
        <f>_xll.BDP("69674TBA Muni","SPREAD_AT_ISSUANCE_TO_WORST")</f>
        <v>#N/A Requesting Data...</v>
      </c>
      <c r="H1827" t="str">
        <f>_xll.BDP("69674TBA Muni","ISSUE_DT")</f>
        <v>#N/A Requesting Data...</v>
      </c>
      <c r="I1827" t="str">
        <f>_xll.BDS("69674TBA Muni","MUNI_PURPOSE_SCHED", "aggregate=y")</f>
        <v>#N/A Requesting Data...</v>
      </c>
      <c r="J1827" t="str">
        <f>_xll.BDP("69674TBA Muni","CPN")</f>
        <v>#N/A Requesting Data...</v>
      </c>
      <c r="K1827" t="str">
        <f>_xll.BDP("69674TBA Muni","MATURITY")</f>
        <v>#N/A Requesting Data...</v>
      </c>
      <c r="L1827">
        <v>250000</v>
      </c>
      <c r="M1827" t="str">
        <f>_xll.BDP("69674TBA Muni","YIELD_ON_ISSUE_DATE")</f>
        <v>#N/A Requesting Data...</v>
      </c>
      <c r="N1827" t="str">
        <f>_xll.BDP("69674TBA Muni","YTW_SPREAD_TO_MATURITY_AT_ISSU")</f>
        <v>#N/A Requesting Data...</v>
      </c>
      <c r="O1827" t="str">
        <f>_xll.BDP("69674TBA Muni","BVAL_MID_YTM")</f>
        <v>#N/A Requesting Data...</v>
      </c>
      <c r="P1827" t="str">
        <f>_xll.BDP("69674TBA Muni","MUNI_TAX_PROV")</f>
        <v>#N/A Requesting Data...</v>
      </c>
      <c r="Q1827" t="str">
        <f>_xll.BDP("69674TBA Muni","MUNI_FED_TAX")</f>
        <v>#N/A Requesting Data...</v>
      </c>
      <c r="R1827" t="str">
        <f>_xll.BDP("69674TBA Muni","MUNI_MSRB_VOLUME")</f>
        <v>#N/A Requesting Data...</v>
      </c>
      <c r="S1827" t="str">
        <f>_xll.BDP("69674TBA Muni","BB_COMPOSITE")</f>
        <v>#N/A Requesting Data...</v>
      </c>
      <c r="T1827" t="str">
        <f>_xll.BDP("69674TBA Muni","LQA_LIQUIDITY_SCORE")</f>
        <v>#N/A Requesting Data...</v>
      </c>
    </row>
    <row r="1828" spans="1:20" x14ac:dyDescent="0.25">
      <c r="A1828" t="str">
        <f>_xll.BDP("69674TBC Muni","ID_CUSIP")</f>
        <v>#N/A Requesting Data...</v>
      </c>
      <c r="B1828" t="s">
        <v>444</v>
      </c>
      <c r="C1828" t="str">
        <f>_xll.BDP("69674TBC Muni","INSURANCE_STATUS")</f>
        <v>#N/A Requesting Data...</v>
      </c>
      <c r="D1828" t="str">
        <f>_xll.BDP("69674TBC Muni","STATE_CODE")</f>
        <v>#N/A Requesting Data...</v>
      </c>
      <c r="E1828" t="str">
        <f>_xll.BDP("69674TBC Muni","COUNTY_LOCATION_ISSUER")</f>
        <v>#N/A Requesting Data...</v>
      </c>
      <c r="F1828" t="str">
        <f>_xll.BDP("69674TBC Muni","DUR_ADJ_MID")</f>
        <v>#N/A Requesting Data...</v>
      </c>
      <c r="G1828" t="str">
        <f>_xll.BDP("69674TBC Muni","SPREAD_AT_ISSUANCE_TO_WORST")</f>
        <v>#N/A Requesting Data...</v>
      </c>
      <c r="H1828" t="str">
        <f>_xll.BDP("69674TBC Muni","ISSUE_DT")</f>
        <v>#N/A Requesting Data...</v>
      </c>
      <c r="I1828" t="str">
        <f>_xll.BDS("69674TBC Muni","MUNI_PURPOSE_SCHED", "aggregate=y")</f>
        <v>#N/A Requesting Data...</v>
      </c>
      <c r="J1828" t="str">
        <f>_xll.BDP("69674TBC Muni","CPN")</f>
        <v>#N/A Requesting Data...</v>
      </c>
      <c r="K1828" t="str">
        <f>_xll.BDP("69674TBC Muni","MATURITY")</f>
        <v>#N/A Requesting Data...</v>
      </c>
      <c r="L1828">
        <v>275000</v>
      </c>
      <c r="M1828" t="str">
        <f>_xll.BDP("69674TBC Muni","YIELD_ON_ISSUE_DATE")</f>
        <v>#N/A Requesting Data...</v>
      </c>
      <c r="N1828" t="str">
        <f>_xll.BDP("69674TBC Muni","YTW_SPREAD_TO_MATURITY_AT_ISSU")</f>
        <v>#N/A Requesting Data...</v>
      </c>
      <c r="O1828" t="str">
        <f>_xll.BDP("69674TBC Muni","BVAL_MID_YTM")</f>
        <v>#N/A Requesting Data...</v>
      </c>
      <c r="P1828" t="str">
        <f>_xll.BDP("69674TBC Muni","MUNI_TAX_PROV")</f>
        <v>#N/A Requesting Data...</v>
      </c>
      <c r="Q1828" t="str">
        <f>_xll.BDP("69674TBC Muni","MUNI_FED_TAX")</f>
        <v>#N/A Requesting Data...</v>
      </c>
      <c r="R1828" t="str">
        <f>_xll.BDP("69674TBC Muni","MUNI_MSRB_VOLUME")</f>
        <v>#N/A Requesting Data...</v>
      </c>
      <c r="S1828" t="str">
        <f>_xll.BDP("69674TBC Muni","BB_COMPOSITE")</f>
        <v>#N/A Requesting Data...</v>
      </c>
      <c r="T1828" t="str">
        <f>_xll.BDP("69674TBC Muni","LQA_LIQUIDITY_SCORE")</f>
        <v>#N/A Requesting Data...</v>
      </c>
    </row>
    <row r="1829" spans="1:20" x14ac:dyDescent="0.25">
      <c r="A1829" t="str">
        <f>_xll.BDP("69674TBE Muni","ID_CUSIP")</f>
        <v>#N/A Requesting Data...</v>
      </c>
      <c r="B1829" t="s">
        <v>444</v>
      </c>
      <c r="C1829" t="str">
        <f>_xll.BDP("69674TBE Muni","INSURANCE_STATUS")</f>
        <v>#N/A Requesting Data...</v>
      </c>
      <c r="D1829" t="str">
        <f>_xll.BDP("69674TBE Muni","STATE_CODE")</f>
        <v>#N/A Requesting Data...</v>
      </c>
      <c r="E1829" t="str">
        <f>_xll.BDP("69674TBE Muni","COUNTY_LOCATION_ISSUER")</f>
        <v>#N/A Requesting Data...</v>
      </c>
      <c r="F1829" t="str">
        <f>_xll.BDP("69674TBE Muni","DUR_ADJ_MID")</f>
        <v>#N/A Requesting Data...</v>
      </c>
      <c r="G1829" t="str">
        <f>_xll.BDP("69674TBE Muni","SPREAD_AT_ISSUANCE_TO_WORST")</f>
        <v>#N/A Requesting Data...</v>
      </c>
      <c r="H1829" t="str">
        <f>_xll.BDP("69674TBE Muni","ISSUE_DT")</f>
        <v>#N/A Requesting Data...</v>
      </c>
      <c r="I1829" t="str">
        <f>_xll.BDS("69674TBE Muni","MUNI_PURPOSE_SCHED", "aggregate=y")</f>
        <v>#N/A Requesting Data...</v>
      </c>
      <c r="J1829" t="str">
        <f>_xll.BDP("69674TBE Muni","CPN")</f>
        <v>#N/A Requesting Data...</v>
      </c>
      <c r="K1829" t="str">
        <f>_xll.BDP("69674TBE Muni","MATURITY")</f>
        <v>#N/A Requesting Data...</v>
      </c>
      <c r="L1829">
        <v>305000</v>
      </c>
      <c r="M1829" t="str">
        <f>_xll.BDP("69674TBE Muni","YIELD_ON_ISSUE_DATE")</f>
        <v>#N/A Requesting Data...</v>
      </c>
      <c r="N1829" t="str">
        <f>_xll.BDP("69674TBE Muni","YTW_SPREAD_TO_MATURITY_AT_ISSU")</f>
        <v>#N/A Requesting Data...</v>
      </c>
      <c r="O1829" t="str">
        <f>_xll.BDP("69674TBE Muni","BVAL_MID_YTM")</f>
        <v>#N/A Requesting Data...</v>
      </c>
      <c r="P1829" t="str">
        <f>_xll.BDP("69674TBE Muni","MUNI_TAX_PROV")</f>
        <v>#N/A Requesting Data...</v>
      </c>
      <c r="Q1829" t="str">
        <f>_xll.BDP("69674TBE Muni","MUNI_FED_TAX")</f>
        <v>#N/A Requesting Data...</v>
      </c>
      <c r="R1829" t="str">
        <f>_xll.BDP("69674TBE Muni","MUNI_MSRB_VOLUME")</f>
        <v>#N/A Requesting Data...</v>
      </c>
      <c r="S1829" t="str">
        <f>_xll.BDP("69674TBE Muni","BB_COMPOSITE")</f>
        <v>#N/A Requesting Data...</v>
      </c>
      <c r="T1829" t="str">
        <f>_xll.BDP("69674TBE Muni","LQA_LIQUIDITY_SCORE")</f>
        <v>#N/A Requesting Data...</v>
      </c>
    </row>
    <row r="1830" spans="1:20" x14ac:dyDescent="0.25">
      <c r="A1830" t="str">
        <f>_xll.BDP("84251KBC Muni","ID_CUSIP")</f>
        <v>#N/A Requesting Data...</v>
      </c>
      <c r="B1830" t="s">
        <v>440</v>
      </c>
      <c r="C1830" t="str">
        <f>_xll.BDP("84251KBC Muni","INSURANCE_STATUS")</f>
        <v>#N/A Requesting Data...</v>
      </c>
      <c r="D1830" t="str">
        <f>_xll.BDP("84251KBC Muni","STATE_CODE")</f>
        <v>#N/A Requesting Data...</v>
      </c>
      <c r="E1830" t="str">
        <f>_xll.BDP("84251KBC Muni","COUNTY_LOCATION_ISSUER")</f>
        <v>#N/A Requesting Data...</v>
      </c>
      <c r="F1830" t="str">
        <f>_xll.BDP("84251KBC Muni","DUR_ADJ_MID")</f>
        <v>#N/A Requesting Data...</v>
      </c>
      <c r="G1830" t="str">
        <f>_xll.BDP("84251KBC Muni","SPREAD_AT_ISSUANCE_TO_WORST")</f>
        <v>#N/A Requesting Data...</v>
      </c>
      <c r="H1830" t="str">
        <f>_xll.BDP("84251KBC Muni","ISSUE_DT")</f>
        <v>#N/A Requesting Data...</v>
      </c>
      <c r="I1830" t="str">
        <f>_xll.BDS("84251KBC Muni","MUNI_PURPOSE_SCHED", "aggregate=y")</f>
        <v>#N/A Requesting Data...</v>
      </c>
      <c r="J1830" t="str">
        <f>_xll.BDP("84251KBC Muni","CPN")</f>
        <v>#N/A Requesting Data...</v>
      </c>
      <c r="K1830" t="str">
        <f>_xll.BDP("84251KBC Muni","MATURITY")</f>
        <v>#N/A Requesting Data...</v>
      </c>
      <c r="L1830">
        <v>1145000</v>
      </c>
      <c r="M1830" t="str">
        <f>_xll.BDP("84251KBC Muni","YIELD_ON_ISSUE_DATE")</f>
        <v>#N/A Requesting Data...</v>
      </c>
      <c r="N1830" t="str">
        <f>_xll.BDP("84251KBC Muni","YTW_SPREAD_TO_MATURITY_AT_ISSU")</f>
        <v>#N/A Requesting Data...</v>
      </c>
      <c r="O1830" t="str">
        <f>_xll.BDP("84251KBC Muni","BVAL_MID_YTM")</f>
        <v>#N/A Requesting Data...</v>
      </c>
      <c r="P1830" t="str">
        <f>_xll.BDP("84251KBC Muni","MUNI_TAX_PROV")</f>
        <v>#N/A Requesting Data...</v>
      </c>
      <c r="Q1830" t="str">
        <f>_xll.BDP("84251KBC Muni","MUNI_FED_TAX")</f>
        <v>#N/A Requesting Data...</v>
      </c>
      <c r="R1830" t="str">
        <f>_xll.BDP("84251KBC Muni","MUNI_MSRB_VOLUME")</f>
        <v>#N/A Requesting Data...</v>
      </c>
      <c r="S1830" t="str">
        <f>_xll.BDP("84251KBC Muni","BB_COMPOSITE")</f>
        <v>#N/A Requesting Data...</v>
      </c>
      <c r="T1830" t="str">
        <f>_xll.BDP("84251KBC Muni","LQA_LIQUIDITY_SCORE")</f>
        <v>#N/A Requesting Data...</v>
      </c>
    </row>
    <row r="1831" spans="1:20" x14ac:dyDescent="0.25">
      <c r="A1831" t="str">
        <f>_xll.BDP("84251KBF Muni","ID_CUSIP")</f>
        <v>#N/A Requesting Data...</v>
      </c>
      <c r="B1831" t="s">
        <v>440</v>
      </c>
      <c r="C1831" t="str">
        <f>_xll.BDP("84251KBF Muni","INSURANCE_STATUS")</f>
        <v>#N/A Requesting Data...</v>
      </c>
      <c r="D1831" t="str">
        <f>_xll.BDP("84251KBF Muni","STATE_CODE")</f>
        <v>#N/A Requesting Data...</v>
      </c>
      <c r="E1831" t="str">
        <f>_xll.BDP("84251KBF Muni","COUNTY_LOCATION_ISSUER")</f>
        <v>#N/A Requesting Data...</v>
      </c>
      <c r="F1831" t="str">
        <f>_xll.BDP("84251KBF Muni","DUR_ADJ_MID")</f>
        <v>#N/A Requesting Data...</v>
      </c>
      <c r="G1831" t="str">
        <f>_xll.BDP("84251KBF Muni","SPREAD_AT_ISSUANCE_TO_WORST")</f>
        <v>#N/A Requesting Data...</v>
      </c>
      <c r="H1831" t="str">
        <f>_xll.BDP("84251KBF Muni","ISSUE_DT")</f>
        <v>#N/A Requesting Data...</v>
      </c>
      <c r="I1831" t="str">
        <f>_xll.BDS("84251KBF Muni","MUNI_PURPOSE_SCHED", "aggregate=y")</f>
        <v>#N/A Requesting Data...</v>
      </c>
      <c r="J1831" t="str">
        <f>_xll.BDP("84251KBF Muni","CPN")</f>
        <v>#N/A Requesting Data...</v>
      </c>
      <c r="K1831" t="str">
        <f>_xll.BDP("84251KBF Muni","MATURITY")</f>
        <v>#N/A Requesting Data...</v>
      </c>
      <c r="L1831">
        <v>1325000</v>
      </c>
      <c r="M1831" t="str">
        <f>_xll.BDP("84251KBF Muni","YIELD_ON_ISSUE_DATE")</f>
        <v>#N/A Requesting Data...</v>
      </c>
      <c r="N1831" t="str">
        <f>_xll.BDP("84251KBF Muni","YTW_SPREAD_TO_MATURITY_AT_ISSU")</f>
        <v>#N/A Requesting Data...</v>
      </c>
      <c r="O1831" t="str">
        <f>_xll.BDP("84251KBF Muni","BVAL_MID_YTM")</f>
        <v>#N/A Requesting Data...</v>
      </c>
      <c r="P1831" t="str">
        <f>_xll.BDP("84251KBF Muni","MUNI_TAX_PROV")</f>
        <v>#N/A Requesting Data...</v>
      </c>
      <c r="Q1831" t="str">
        <f>_xll.BDP("84251KBF Muni","MUNI_FED_TAX")</f>
        <v>#N/A Requesting Data...</v>
      </c>
      <c r="R1831" t="str">
        <f>_xll.BDP("84251KBF Muni","MUNI_MSRB_VOLUME")</f>
        <v>#N/A Requesting Data...</v>
      </c>
      <c r="S1831" t="str">
        <f>_xll.BDP("84251KBF Muni","BB_COMPOSITE")</f>
        <v>#N/A Requesting Data...</v>
      </c>
      <c r="T1831" t="str">
        <f>_xll.BDP("84251KBF Muni","LQA_LIQUIDITY_SCORE")</f>
        <v>#N/A Requesting Data...</v>
      </c>
    </row>
    <row r="1832" spans="1:20" x14ac:dyDescent="0.25">
      <c r="A1832" t="str">
        <f>_xll.BDP("843789GH Muni","ID_CUSIP")</f>
        <v>#N/A Requesting Data...</v>
      </c>
      <c r="B1832" t="s">
        <v>441</v>
      </c>
      <c r="C1832" t="str">
        <f>_xll.BDP("843789GH Muni","INSURANCE_STATUS")</f>
        <v>#N/A Requesting Data...</v>
      </c>
      <c r="D1832" t="str">
        <f>_xll.BDP("843789GH Muni","STATE_CODE")</f>
        <v>#N/A Requesting Data...</v>
      </c>
      <c r="E1832" t="str">
        <f>_xll.BDP("843789GH Muni","COUNTY_LOCATION_ISSUER")</f>
        <v>#N/A Requesting Data...</v>
      </c>
      <c r="F1832" t="str">
        <f>_xll.BDP("843789GH Muni","DUR_ADJ_MID")</f>
        <v>#N/A Requesting Data...</v>
      </c>
      <c r="G1832" t="str">
        <f>_xll.BDP("843789GH Muni","SPREAD_AT_ISSUANCE_TO_WORST")</f>
        <v>#N/A Requesting Data...</v>
      </c>
      <c r="H1832" t="str">
        <f>_xll.BDP("843789GH Muni","ISSUE_DT")</f>
        <v>#N/A Requesting Data...</v>
      </c>
      <c r="I1832" t="str">
        <f>_xll.BDS("843789GH Muni","MUNI_PURPOSE_SCHED", "aggregate=y")</f>
        <v>#N/A Requesting Data...</v>
      </c>
      <c r="J1832" t="str">
        <f>_xll.BDP("843789GH Muni","CPN")</f>
        <v>#N/A Requesting Data...</v>
      </c>
      <c r="K1832" t="str">
        <f>_xll.BDP("843789GH Muni","MATURITY")</f>
        <v>#N/A Requesting Data...</v>
      </c>
      <c r="L1832">
        <v>100000</v>
      </c>
      <c r="M1832" t="str">
        <f>_xll.BDP("843789GH Muni","YIELD_ON_ISSUE_DATE")</f>
        <v>#N/A Requesting Data...</v>
      </c>
      <c r="N1832" t="str">
        <f>_xll.BDP("843789GH Muni","YTW_SPREAD_TO_MATURITY_AT_ISSU")</f>
        <v>#N/A Requesting Data...</v>
      </c>
      <c r="O1832" t="str">
        <f>_xll.BDP("843789GH Muni","BVAL_MID_YTM")</f>
        <v>#N/A Requesting Data...</v>
      </c>
      <c r="P1832" t="str">
        <f>_xll.BDP("843789GH Muni","MUNI_TAX_PROV")</f>
        <v>#N/A Requesting Data...</v>
      </c>
      <c r="Q1832" t="str">
        <f>_xll.BDP("843789GH Muni","MUNI_FED_TAX")</f>
        <v>#N/A Requesting Data...</v>
      </c>
      <c r="R1832" t="str">
        <f>_xll.BDP("843789GH Muni","MUNI_MSRB_VOLUME")</f>
        <v>#N/A Requesting Data...</v>
      </c>
      <c r="S1832" t="str">
        <f>_xll.BDP("843789GH Muni","BB_COMPOSITE")</f>
        <v>#N/A Requesting Data...</v>
      </c>
      <c r="T1832" t="str">
        <f>_xll.BDP("843789GH Muni","LQA_LIQUIDITY_SCORE")</f>
        <v>#N/A Requesting Data...</v>
      </c>
    </row>
    <row r="1833" spans="1:20" x14ac:dyDescent="0.25">
      <c r="A1833" t="str">
        <f>_xll.BDP("843789GL Muni","ID_CUSIP")</f>
        <v>#N/A Requesting Data...</v>
      </c>
      <c r="B1833" t="s">
        <v>441</v>
      </c>
      <c r="C1833" t="str">
        <f>_xll.BDP("843789GL Muni","INSURANCE_STATUS")</f>
        <v>#N/A Requesting Data...</v>
      </c>
      <c r="D1833" t="str">
        <f>_xll.BDP("843789GL Muni","STATE_CODE")</f>
        <v>#N/A Requesting Data...</v>
      </c>
      <c r="E1833" t="str">
        <f>_xll.BDP("843789GL Muni","COUNTY_LOCATION_ISSUER")</f>
        <v>#N/A Requesting Data...</v>
      </c>
      <c r="F1833" t="str">
        <f>_xll.BDP("843789GL Muni","DUR_ADJ_MID")</f>
        <v>#N/A Requesting Data...</v>
      </c>
      <c r="G1833" t="str">
        <f>_xll.BDP("843789GL Muni","SPREAD_AT_ISSUANCE_TO_WORST")</f>
        <v>#N/A Requesting Data...</v>
      </c>
      <c r="H1833" t="str">
        <f>_xll.BDP("843789GL Muni","ISSUE_DT")</f>
        <v>#N/A Requesting Data...</v>
      </c>
      <c r="I1833" t="str">
        <f>_xll.BDS("843789GL Muni","MUNI_PURPOSE_SCHED", "aggregate=y")</f>
        <v>#N/A Requesting Data...</v>
      </c>
      <c r="J1833" t="str">
        <f>_xll.BDP("843789GL Muni","CPN")</f>
        <v>#N/A Requesting Data...</v>
      </c>
      <c r="K1833" t="str">
        <f>_xll.BDP("843789GL Muni","MATURITY")</f>
        <v>#N/A Requesting Data...</v>
      </c>
      <c r="L1833">
        <v>260000</v>
      </c>
      <c r="M1833" t="str">
        <f>_xll.BDP("843789GL Muni","YIELD_ON_ISSUE_DATE")</f>
        <v>#N/A Requesting Data...</v>
      </c>
      <c r="N1833" t="str">
        <f>_xll.BDP("843789GL Muni","YTW_SPREAD_TO_MATURITY_AT_ISSU")</f>
        <v>#N/A Requesting Data...</v>
      </c>
      <c r="O1833" t="str">
        <f>_xll.BDP("843789GL Muni","BVAL_MID_YTM")</f>
        <v>#N/A Requesting Data...</v>
      </c>
      <c r="P1833" t="str">
        <f>_xll.BDP("843789GL Muni","MUNI_TAX_PROV")</f>
        <v>#N/A Requesting Data...</v>
      </c>
      <c r="Q1833" t="str">
        <f>_xll.BDP("843789GL Muni","MUNI_FED_TAX")</f>
        <v>#N/A Requesting Data...</v>
      </c>
      <c r="R1833" t="str">
        <f>_xll.BDP("843789GL Muni","MUNI_MSRB_VOLUME")</f>
        <v>#N/A Requesting Data...</v>
      </c>
      <c r="S1833" t="str">
        <f>_xll.BDP("843789GL Muni","BB_COMPOSITE")</f>
        <v>#N/A Requesting Data...</v>
      </c>
      <c r="T1833" t="str">
        <f>_xll.BDP("843789GL Muni","LQA_LIQUIDITY_SCORE")</f>
        <v>#N/A Requesting Data...</v>
      </c>
    </row>
    <row r="1834" spans="1:20" x14ac:dyDescent="0.25">
      <c r="A1834" t="str">
        <f>_xll.BDP("843789GM Muni","ID_CUSIP")</f>
        <v>#N/A Requesting Data...</v>
      </c>
      <c r="B1834" t="s">
        <v>441</v>
      </c>
      <c r="C1834" t="str">
        <f>_xll.BDP("843789GM Muni","INSURANCE_STATUS")</f>
        <v>#N/A Requesting Data...</v>
      </c>
      <c r="D1834" t="str">
        <f>_xll.BDP("843789GM Muni","STATE_CODE")</f>
        <v>#N/A Requesting Data...</v>
      </c>
      <c r="E1834" t="str">
        <f>_xll.BDP("843789GM Muni","COUNTY_LOCATION_ISSUER")</f>
        <v>#N/A Requesting Data...</v>
      </c>
      <c r="F1834" t="str">
        <f>_xll.BDP("843789GM Muni","DUR_ADJ_MID")</f>
        <v>#N/A Requesting Data...</v>
      </c>
      <c r="G1834" t="str">
        <f>_xll.BDP("843789GM Muni","SPREAD_AT_ISSUANCE_TO_WORST")</f>
        <v>#N/A Requesting Data...</v>
      </c>
      <c r="H1834" t="str">
        <f>_xll.BDP("843789GM Muni","ISSUE_DT")</f>
        <v>#N/A Requesting Data...</v>
      </c>
      <c r="I1834" t="str">
        <f>_xll.BDS("843789GM Muni","MUNI_PURPOSE_SCHED", "aggregate=y")</f>
        <v>#N/A Requesting Data...</v>
      </c>
      <c r="J1834" t="str">
        <f>_xll.BDP("843789GM Muni","CPN")</f>
        <v>#N/A Requesting Data...</v>
      </c>
      <c r="K1834" t="str">
        <f>_xll.BDP("843789GM Muni","MATURITY")</f>
        <v>#N/A Requesting Data...</v>
      </c>
      <c r="L1834">
        <v>260000</v>
      </c>
      <c r="M1834" t="str">
        <f>_xll.BDP("843789GM Muni","YIELD_ON_ISSUE_DATE")</f>
        <v>#N/A Requesting Data...</v>
      </c>
      <c r="N1834" t="str">
        <f>_xll.BDP("843789GM Muni","YTW_SPREAD_TO_MATURITY_AT_ISSU")</f>
        <v>#N/A Requesting Data...</v>
      </c>
      <c r="O1834" t="str">
        <f>_xll.BDP("843789GM Muni","BVAL_MID_YTM")</f>
        <v>#N/A Requesting Data...</v>
      </c>
      <c r="P1834" t="str">
        <f>_xll.BDP("843789GM Muni","MUNI_TAX_PROV")</f>
        <v>#N/A Requesting Data...</v>
      </c>
      <c r="Q1834" t="str">
        <f>_xll.BDP("843789GM Muni","MUNI_FED_TAX")</f>
        <v>#N/A Requesting Data...</v>
      </c>
      <c r="R1834" t="str">
        <f>_xll.BDP("843789GM Muni","MUNI_MSRB_VOLUME")</f>
        <v>#N/A Requesting Data...</v>
      </c>
      <c r="S1834" t="str">
        <f>_xll.BDP("843789GM Muni","BB_COMPOSITE")</f>
        <v>#N/A Requesting Data...</v>
      </c>
      <c r="T1834" t="str">
        <f>_xll.BDP("843789GM Muni","LQA_LIQUIDITY_SCORE")</f>
        <v>#N/A Requesting Data...</v>
      </c>
    </row>
    <row r="1835" spans="1:20" x14ac:dyDescent="0.25">
      <c r="A1835" t="str">
        <f>_xll.BDP("84442PAE Muni","ID_CUSIP")</f>
        <v>#N/A Requesting Data...</v>
      </c>
      <c r="B1835" t="s">
        <v>442</v>
      </c>
      <c r="C1835" t="str">
        <f>_xll.BDP("84442PAE Muni","INSURANCE_STATUS")</f>
        <v>#N/A Requesting Data...</v>
      </c>
      <c r="D1835" t="str">
        <f>_xll.BDP("84442PAE Muni","STATE_CODE")</f>
        <v>#N/A Requesting Data...</v>
      </c>
      <c r="E1835" t="str">
        <f>_xll.BDP("84442PAE Muni","COUNTY_LOCATION_ISSUER")</f>
        <v>#N/A Requesting Data...</v>
      </c>
      <c r="F1835" t="str">
        <f>_xll.BDP("84442PAE Muni","DUR_ADJ_MID")</f>
        <v>#N/A Requesting Data...</v>
      </c>
      <c r="G1835" t="str">
        <f>_xll.BDP("84442PAE Muni","SPREAD_AT_ISSUANCE_TO_WORST")</f>
        <v>#N/A Requesting Data...</v>
      </c>
      <c r="H1835" t="str">
        <f>_xll.BDP("84442PAE Muni","ISSUE_DT")</f>
        <v>#N/A Requesting Data...</v>
      </c>
      <c r="I1835" t="str">
        <f>_xll.BDS("84442PAE Muni","MUNI_PURPOSE_SCHED", "aggregate=y")</f>
        <v>#N/A Requesting Data...</v>
      </c>
      <c r="J1835" t="str">
        <f>_xll.BDP("84442PAE Muni","CPN")</f>
        <v>#N/A Requesting Data...</v>
      </c>
      <c r="K1835" t="str">
        <f>_xll.BDP("84442PAE Muni","MATURITY")</f>
        <v>#N/A Requesting Data...</v>
      </c>
      <c r="L1835">
        <v>170000</v>
      </c>
      <c r="M1835" t="str">
        <f>_xll.BDP("84442PAE Muni","YIELD_ON_ISSUE_DATE")</f>
        <v>#N/A Requesting Data...</v>
      </c>
      <c r="N1835" t="str">
        <f>_xll.BDP("84442PAE Muni","YTW_SPREAD_TO_MATURITY_AT_ISSU")</f>
        <v>#N/A Requesting Data...</v>
      </c>
      <c r="O1835" t="str">
        <f>_xll.BDP("84442PAE Muni","BVAL_MID_YTM")</f>
        <v>#N/A Requesting Data...</v>
      </c>
      <c r="P1835" t="str">
        <f>_xll.BDP("84442PAE Muni","MUNI_TAX_PROV")</f>
        <v>#N/A Requesting Data...</v>
      </c>
      <c r="Q1835" t="str">
        <f>_xll.BDP("84442PAE Muni","MUNI_FED_TAX")</f>
        <v>#N/A Requesting Data...</v>
      </c>
      <c r="R1835" t="str">
        <f>_xll.BDP("84442PAE Muni","MUNI_MSRB_VOLUME")</f>
        <v>#N/A Requesting Data...</v>
      </c>
      <c r="S1835" t="str">
        <f>_xll.BDP("84442PAE Muni","BB_COMPOSITE")</f>
        <v>#N/A Requesting Data...</v>
      </c>
      <c r="T1835" t="str">
        <f>_xll.BDP("84442PAE Muni","LQA_LIQUIDITY_SCORE")</f>
        <v>#N/A Requesting Data...</v>
      </c>
    </row>
    <row r="1836" spans="1:20" x14ac:dyDescent="0.25">
      <c r="A1836" t="str">
        <f>_xll.BDP("84442PAH Muni","ID_CUSIP")</f>
        <v>#N/A Requesting Data...</v>
      </c>
      <c r="B1836" t="s">
        <v>442</v>
      </c>
      <c r="C1836" t="str">
        <f>_xll.BDP("84442PAH Muni","INSURANCE_STATUS")</f>
        <v>#N/A Requesting Data...</v>
      </c>
      <c r="D1836" t="str">
        <f>_xll.BDP("84442PAH Muni","STATE_CODE")</f>
        <v>#N/A Requesting Data...</v>
      </c>
      <c r="E1836" t="str">
        <f>_xll.BDP("84442PAH Muni","COUNTY_LOCATION_ISSUER")</f>
        <v>#N/A Requesting Data...</v>
      </c>
      <c r="F1836" t="str">
        <f>_xll.BDP("84442PAH Muni","DUR_ADJ_MID")</f>
        <v>#N/A Requesting Data...</v>
      </c>
      <c r="G1836" t="str">
        <f>_xll.BDP("84442PAH Muni","SPREAD_AT_ISSUANCE_TO_WORST")</f>
        <v>#N/A Requesting Data...</v>
      </c>
      <c r="H1836" t="str">
        <f>_xll.BDP("84442PAH Muni","ISSUE_DT")</f>
        <v>#N/A Requesting Data...</v>
      </c>
      <c r="I1836" t="str">
        <f>_xll.BDS("84442PAH Muni","MUNI_PURPOSE_SCHED", "aggregate=y")</f>
        <v>#N/A Requesting Data...</v>
      </c>
      <c r="J1836" t="str">
        <f>_xll.BDP("84442PAH Muni","CPN")</f>
        <v>#N/A Requesting Data...</v>
      </c>
      <c r="K1836" t="str">
        <f>_xll.BDP("84442PAH Muni","MATURITY")</f>
        <v>#N/A Requesting Data...</v>
      </c>
      <c r="L1836">
        <v>190000</v>
      </c>
      <c r="M1836" t="str">
        <f>_xll.BDP("84442PAH Muni","YIELD_ON_ISSUE_DATE")</f>
        <v>#N/A Requesting Data...</v>
      </c>
      <c r="N1836" t="str">
        <f>_xll.BDP("84442PAH Muni","YTW_SPREAD_TO_MATURITY_AT_ISSU")</f>
        <v>#N/A Requesting Data...</v>
      </c>
      <c r="O1836" t="str">
        <f>_xll.BDP("84442PAH Muni","BVAL_MID_YTM")</f>
        <v>#N/A Requesting Data...</v>
      </c>
      <c r="P1836" t="str">
        <f>_xll.BDP("84442PAH Muni","MUNI_TAX_PROV")</f>
        <v>#N/A Requesting Data...</v>
      </c>
      <c r="Q1836" t="str">
        <f>_xll.BDP("84442PAH Muni","MUNI_FED_TAX")</f>
        <v>#N/A Requesting Data...</v>
      </c>
      <c r="R1836" t="str">
        <f>_xll.BDP("84442PAH Muni","MUNI_MSRB_VOLUME")</f>
        <v>#N/A Requesting Data...</v>
      </c>
      <c r="S1836" t="str">
        <f>_xll.BDP("84442PAH Muni","BB_COMPOSITE")</f>
        <v>#N/A Requesting Data...</v>
      </c>
      <c r="T1836" t="str">
        <f>_xll.BDP("84442PAH Muni","LQA_LIQUIDITY_SCORE")</f>
        <v>#N/A Requesting Data...</v>
      </c>
    </row>
    <row r="1837" spans="1:20" x14ac:dyDescent="0.25">
      <c r="A1837" t="str">
        <f>_xll.BDP("84442PAJ Muni","ID_CUSIP")</f>
        <v>#N/A Requesting Data...</v>
      </c>
      <c r="B1837" t="s">
        <v>442</v>
      </c>
      <c r="C1837" t="str">
        <f>_xll.BDP("84442PAJ Muni","INSURANCE_STATUS")</f>
        <v>#N/A Requesting Data...</v>
      </c>
      <c r="D1837" t="str">
        <f>_xll.BDP("84442PAJ Muni","STATE_CODE")</f>
        <v>#N/A Requesting Data...</v>
      </c>
      <c r="E1837" t="str">
        <f>_xll.BDP("84442PAJ Muni","COUNTY_LOCATION_ISSUER")</f>
        <v>#N/A Requesting Data...</v>
      </c>
      <c r="F1837" t="str">
        <f>_xll.BDP("84442PAJ Muni","DUR_ADJ_MID")</f>
        <v>#N/A Requesting Data...</v>
      </c>
      <c r="G1837" t="str">
        <f>_xll.BDP("84442PAJ Muni","SPREAD_AT_ISSUANCE_TO_WORST")</f>
        <v>#N/A Requesting Data...</v>
      </c>
      <c r="H1837" t="str">
        <f>_xll.BDP("84442PAJ Muni","ISSUE_DT")</f>
        <v>#N/A Requesting Data...</v>
      </c>
      <c r="I1837" t="str">
        <f>_xll.BDS("84442PAJ Muni","MUNI_PURPOSE_SCHED", "aggregate=y")</f>
        <v>#N/A Requesting Data...</v>
      </c>
      <c r="J1837" t="str">
        <f>_xll.BDP("84442PAJ Muni","CPN")</f>
        <v>#N/A Requesting Data...</v>
      </c>
      <c r="K1837" t="str">
        <f>_xll.BDP("84442PAJ Muni","MATURITY")</f>
        <v>#N/A Requesting Data...</v>
      </c>
      <c r="L1837">
        <v>200000</v>
      </c>
      <c r="M1837" t="str">
        <f>_xll.BDP("84442PAJ Muni","YIELD_ON_ISSUE_DATE")</f>
        <v>#N/A Requesting Data...</v>
      </c>
      <c r="N1837" t="str">
        <f>_xll.BDP("84442PAJ Muni","YTW_SPREAD_TO_MATURITY_AT_ISSU")</f>
        <v>#N/A Requesting Data...</v>
      </c>
      <c r="O1837" t="str">
        <f>_xll.BDP("84442PAJ Muni","BVAL_MID_YTM")</f>
        <v>#N/A Requesting Data...</v>
      </c>
      <c r="P1837" t="str">
        <f>_xll.BDP("84442PAJ Muni","MUNI_TAX_PROV")</f>
        <v>#N/A Requesting Data...</v>
      </c>
      <c r="Q1837" t="str">
        <f>_xll.BDP("84442PAJ Muni","MUNI_FED_TAX")</f>
        <v>#N/A Requesting Data...</v>
      </c>
      <c r="R1837" t="str">
        <f>_xll.BDP("84442PAJ Muni","MUNI_MSRB_VOLUME")</f>
        <v>#N/A Requesting Data...</v>
      </c>
      <c r="S1837" t="str">
        <f>_xll.BDP("84442PAJ Muni","BB_COMPOSITE")</f>
        <v>#N/A Requesting Data...</v>
      </c>
      <c r="T1837" t="str">
        <f>_xll.BDP("84442PAJ Muni","LQA_LIQUIDITY_SCORE")</f>
        <v>#N/A Requesting Data...</v>
      </c>
    </row>
    <row r="1838" spans="1:20" x14ac:dyDescent="0.25">
      <c r="A1838" t="str">
        <f>_xll.BDP("84442PAK Muni","ID_CUSIP")</f>
        <v>#N/A Requesting Data...</v>
      </c>
      <c r="B1838" t="s">
        <v>442</v>
      </c>
      <c r="C1838" t="str">
        <f>_xll.BDP("84442PAK Muni","INSURANCE_STATUS")</f>
        <v>#N/A Requesting Data...</v>
      </c>
      <c r="D1838" t="str">
        <f>_xll.BDP("84442PAK Muni","STATE_CODE")</f>
        <v>#N/A Requesting Data...</v>
      </c>
      <c r="E1838" t="str">
        <f>_xll.BDP("84442PAK Muni","COUNTY_LOCATION_ISSUER")</f>
        <v>#N/A Requesting Data...</v>
      </c>
      <c r="F1838" t="str">
        <f>_xll.BDP("84442PAK Muni","DUR_ADJ_MID")</f>
        <v>#N/A Requesting Data...</v>
      </c>
      <c r="G1838" t="str">
        <f>_xll.BDP("84442PAK Muni","SPREAD_AT_ISSUANCE_TO_WORST")</f>
        <v>#N/A Requesting Data...</v>
      </c>
      <c r="H1838" t="str">
        <f>_xll.BDP("84442PAK Muni","ISSUE_DT")</f>
        <v>#N/A Requesting Data...</v>
      </c>
      <c r="I1838" t="str">
        <f>_xll.BDS("84442PAK Muni","MUNI_PURPOSE_SCHED", "aggregate=y")</f>
        <v>#N/A Requesting Data...</v>
      </c>
      <c r="J1838" t="str">
        <f>_xll.BDP("84442PAK Muni","CPN")</f>
        <v>#N/A Requesting Data...</v>
      </c>
      <c r="K1838" t="str">
        <f>_xll.BDP("84442PAK Muni","MATURITY")</f>
        <v>#N/A Requesting Data...</v>
      </c>
      <c r="L1838">
        <v>210000</v>
      </c>
      <c r="M1838" t="str">
        <f>_xll.BDP("84442PAK Muni","YIELD_ON_ISSUE_DATE")</f>
        <v>#N/A Requesting Data...</v>
      </c>
      <c r="N1838" t="str">
        <f>_xll.BDP("84442PAK Muni","YTW_SPREAD_TO_MATURITY_AT_ISSU")</f>
        <v>#N/A Requesting Data...</v>
      </c>
      <c r="O1838" t="str">
        <f>_xll.BDP("84442PAK Muni","BVAL_MID_YTM")</f>
        <v>#N/A Requesting Data...</v>
      </c>
      <c r="P1838" t="str">
        <f>_xll.BDP("84442PAK Muni","MUNI_TAX_PROV")</f>
        <v>#N/A Requesting Data...</v>
      </c>
      <c r="Q1838" t="str">
        <f>_xll.BDP("84442PAK Muni","MUNI_FED_TAX")</f>
        <v>#N/A Requesting Data...</v>
      </c>
      <c r="R1838" t="str">
        <f>_xll.BDP("84442PAK Muni","MUNI_MSRB_VOLUME")</f>
        <v>#N/A Requesting Data...</v>
      </c>
      <c r="S1838" t="str">
        <f>_xll.BDP("84442PAK Muni","BB_COMPOSITE")</f>
        <v>#N/A Requesting Data...</v>
      </c>
      <c r="T1838" t="str">
        <f>_xll.BDP("84442PAK Muni","LQA_LIQUIDITY_SCORE")</f>
        <v>#N/A Requesting Data...</v>
      </c>
    </row>
    <row r="1839" spans="1:20" x14ac:dyDescent="0.25">
      <c r="A1839" t="str">
        <f>_xll.BDP("778765GF Muni","ID_CUSIP")</f>
        <v>#N/A Requesting Data...</v>
      </c>
      <c r="B1839" t="s">
        <v>447</v>
      </c>
      <c r="C1839" t="str">
        <f>_xll.BDP("778765GF Muni","INSURANCE_STATUS")</f>
        <v>#N/A Requesting Data...</v>
      </c>
      <c r="D1839" t="str">
        <f>_xll.BDP("778765GF Muni","STATE_CODE")</f>
        <v>#N/A Requesting Data...</v>
      </c>
      <c r="E1839" t="str">
        <f>_xll.BDP("778765GF Muni","COUNTY_LOCATION_ISSUER")</f>
        <v>#N/A Requesting Data...</v>
      </c>
      <c r="F1839" t="str">
        <f>_xll.BDP("778765GF Muni","DUR_ADJ_MID")</f>
        <v>#N/A Requesting Data...</v>
      </c>
      <c r="G1839" t="str">
        <f>_xll.BDP("778765GF Muni","SPREAD_AT_ISSUANCE_TO_WORST")</f>
        <v>#N/A Requesting Data...</v>
      </c>
      <c r="H1839" t="str">
        <f>_xll.BDP("778765GF Muni","ISSUE_DT")</f>
        <v>#N/A Requesting Data...</v>
      </c>
      <c r="I1839" t="str">
        <f>_xll.BDS("778765GF Muni","MUNI_PURPOSE_SCHED", "aggregate=y")</f>
        <v>#N/A Requesting Data...</v>
      </c>
      <c r="J1839" t="str">
        <f>_xll.BDP("778765GF Muni","CPN")</f>
        <v>#N/A Requesting Data...</v>
      </c>
      <c r="K1839" t="str">
        <f>_xll.BDP("778765GF Muni","MATURITY")</f>
        <v>#N/A Requesting Data...</v>
      </c>
      <c r="L1839">
        <v>230000</v>
      </c>
      <c r="M1839" t="str">
        <f>_xll.BDP("778765GF Muni","YIELD_ON_ISSUE_DATE")</f>
        <v>#N/A Requesting Data...</v>
      </c>
      <c r="N1839" t="str">
        <f>_xll.BDP("778765GF Muni","YTW_SPREAD_TO_MATURITY_AT_ISSU")</f>
        <v>#N/A Requesting Data...</v>
      </c>
      <c r="O1839" t="str">
        <f>_xll.BDP("778765GF Muni","BVAL_MID_YTM")</f>
        <v>#N/A Requesting Data...</v>
      </c>
      <c r="P1839" t="str">
        <f>_xll.BDP("778765GF Muni","MUNI_TAX_PROV")</f>
        <v>#N/A Requesting Data...</v>
      </c>
      <c r="Q1839" t="str">
        <f>_xll.BDP("778765GF Muni","MUNI_FED_TAX")</f>
        <v>#N/A Requesting Data...</v>
      </c>
      <c r="R1839" t="str">
        <f>_xll.BDP("778765GF Muni","MUNI_MSRB_VOLUME")</f>
        <v>#N/A Requesting Data...</v>
      </c>
      <c r="S1839" t="str">
        <f>_xll.BDP("778765GF Muni","BB_COMPOSITE")</f>
        <v>#N/A Requesting Data...</v>
      </c>
      <c r="T1839" t="str">
        <f>_xll.BDP("778765GF Muni","LQA_LIQUIDITY_SCORE")</f>
        <v>#N/A Requesting Data...</v>
      </c>
    </row>
    <row r="1840" spans="1:20" x14ac:dyDescent="0.25">
      <c r="A1840" t="str">
        <f>_xll.BDP("778765GK Muni","ID_CUSIP")</f>
        <v>#N/A Requesting Data...</v>
      </c>
      <c r="B1840" t="s">
        <v>447</v>
      </c>
      <c r="C1840" t="str">
        <f>_xll.BDP("778765GK Muni","INSURANCE_STATUS")</f>
        <v>#N/A Requesting Data...</v>
      </c>
      <c r="D1840" t="str">
        <f>_xll.BDP("778765GK Muni","STATE_CODE")</f>
        <v>#N/A Requesting Data...</v>
      </c>
      <c r="E1840" t="str">
        <f>_xll.BDP("778765GK Muni","COUNTY_LOCATION_ISSUER")</f>
        <v>#N/A Requesting Data...</v>
      </c>
      <c r="F1840" t="str">
        <f>_xll.BDP("778765GK Muni","DUR_ADJ_MID")</f>
        <v>#N/A Requesting Data...</v>
      </c>
      <c r="G1840" t="str">
        <f>_xll.BDP("778765GK Muni","SPREAD_AT_ISSUANCE_TO_WORST")</f>
        <v>#N/A Requesting Data...</v>
      </c>
      <c r="H1840" t="str">
        <f>_xll.BDP("778765GK Muni","ISSUE_DT")</f>
        <v>#N/A Requesting Data...</v>
      </c>
      <c r="I1840" t="str">
        <f>_xll.BDS("778765GK Muni","MUNI_PURPOSE_SCHED", "aggregate=y")</f>
        <v>#N/A Requesting Data...</v>
      </c>
      <c r="J1840" t="str">
        <f>_xll.BDP("778765GK Muni","CPN")</f>
        <v>#N/A Requesting Data...</v>
      </c>
      <c r="K1840" t="str">
        <f>_xll.BDP("778765GK Muni","MATURITY")</f>
        <v>#N/A Requesting Data...</v>
      </c>
      <c r="L1840">
        <v>265000</v>
      </c>
      <c r="M1840" t="str">
        <f>_xll.BDP("778765GK Muni","YIELD_ON_ISSUE_DATE")</f>
        <v>#N/A Requesting Data...</v>
      </c>
      <c r="N1840" t="str">
        <f>_xll.BDP("778765GK Muni","YTW_SPREAD_TO_MATURITY_AT_ISSU")</f>
        <v>#N/A Requesting Data...</v>
      </c>
      <c r="O1840" t="str">
        <f>_xll.BDP("778765GK Muni","BVAL_MID_YTM")</f>
        <v>#N/A Requesting Data...</v>
      </c>
      <c r="P1840" t="str">
        <f>_xll.BDP("778765GK Muni","MUNI_TAX_PROV")</f>
        <v>#N/A Requesting Data...</v>
      </c>
      <c r="Q1840" t="str">
        <f>_xll.BDP("778765GK Muni","MUNI_FED_TAX")</f>
        <v>#N/A Requesting Data...</v>
      </c>
      <c r="R1840" t="str">
        <f>_xll.BDP("778765GK Muni","MUNI_MSRB_VOLUME")</f>
        <v>#N/A Requesting Data...</v>
      </c>
      <c r="S1840" t="str">
        <f>_xll.BDP("778765GK Muni","BB_COMPOSITE")</f>
        <v>#N/A Requesting Data...</v>
      </c>
      <c r="T1840" t="str">
        <f>_xll.BDP("778765GK Muni","LQA_LIQUIDITY_SCORE")</f>
        <v>#N/A Requesting Data...</v>
      </c>
    </row>
    <row r="1841" spans="1:20" x14ac:dyDescent="0.25">
      <c r="A1841" t="str">
        <f>_xll.BDP("779721SS Muni","ID_CUSIP")</f>
        <v>#N/A Requesting Data...</v>
      </c>
      <c r="B1841" t="s">
        <v>435</v>
      </c>
      <c r="C1841" t="str">
        <f>_xll.BDP("779721SS Muni","INSURANCE_STATUS")</f>
        <v>#N/A Requesting Data...</v>
      </c>
      <c r="D1841" t="str">
        <f>_xll.BDP("779721SS Muni","STATE_CODE")</f>
        <v>#N/A Requesting Data...</v>
      </c>
      <c r="E1841" t="str">
        <f>_xll.BDP("779721SS Muni","COUNTY_LOCATION_ISSUER")</f>
        <v>#N/A Requesting Data...</v>
      </c>
      <c r="F1841" t="str">
        <f>_xll.BDP("779721SS Muni","DUR_ADJ_MID")</f>
        <v>#N/A Requesting Data...</v>
      </c>
      <c r="G1841" t="str">
        <f>_xll.BDP("779721SS Muni","SPREAD_AT_ISSUANCE_TO_WORST")</f>
        <v>#N/A Requesting Data...</v>
      </c>
      <c r="H1841" t="str">
        <f>_xll.BDP("779721SS Muni","ISSUE_DT")</f>
        <v>#N/A Requesting Data...</v>
      </c>
      <c r="I1841" t="str">
        <f>_xll.BDS("779721SS Muni","MUNI_PURPOSE_SCHED", "aggregate=y")</f>
        <v>#N/A Requesting Data...</v>
      </c>
      <c r="J1841" t="str">
        <f>_xll.BDP("779721SS Muni","CPN")</f>
        <v>#N/A Requesting Data...</v>
      </c>
      <c r="K1841" t="str">
        <f>_xll.BDP("779721SS Muni","MATURITY")</f>
        <v>#N/A Requesting Data...</v>
      </c>
      <c r="L1841">
        <v>200000</v>
      </c>
      <c r="M1841" t="str">
        <f>_xll.BDP("779721SS Muni","YIELD_ON_ISSUE_DATE")</f>
        <v>#N/A Requesting Data...</v>
      </c>
      <c r="N1841" t="str">
        <f>_xll.BDP("779721SS Muni","YTW_SPREAD_TO_MATURITY_AT_ISSU")</f>
        <v>#N/A Requesting Data...</v>
      </c>
      <c r="O1841" t="str">
        <f>_xll.BDP("779721SS Muni","BVAL_MID_YTM")</f>
        <v>#N/A Requesting Data...</v>
      </c>
      <c r="P1841" t="str">
        <f>_xll.BDP("779721SS Muni","MUNI_TAX_PROV")</f>
        <v>#N/A Requesting Data...</v>
      </c>
      <c r="Q1841" t="str">
        <f>_xll.BDP("779721SS Muni","MUNI_FED_TAX")</f>
        <v>#N/A Requesting Data...</v>
      </c>
      <c r="R1841" t="str">
        <f>_xll.BDP("779721SS Muni","MUNI_MSRB_VOLUME")</f>
        <v>#N/A Requesting Data...</v>
      </c>
      <c r="S1841" t="str">
        <f>_xll.BDP("779721SS Muni","BB_COMPOSITE")</f>
        <v>#N/A Requesting Data...</v>
      </c>
      <c r="T1841" t="str">
        <f>_xll.BDP("779721SS Muni","LQA_LIQUIDITY_SCORE")</f>
        <v>#N/A Requesting Data...</v>
      </c>
    </row>
    <row r="1842" spans="1:20" x14ac:dyDescent="0.25">
      <c r="A1842" t="str">
        <f>_xll.BDP("779721SV Muni","ID_CUSIP")</f>
        <v>#N/A Requesting Data...</v>
      </c>
      <c r="B1842" t="s">
        <v>435</v>
      </c>
      <c r="C1842" t="str">
        <f>_xll.BDP("779721SV Muni","INSURANCE_STATUS")</f>
        <v>#N/A Requesting Data...</v>
      </c>
      <c r="D1842" t="str">
        <f>_xll.BDP("779721SV Muni","STATE_CODE")</f>
        <v>#N/A Requesting Data...</v>
      </c>
      <c r="E1842" t="str">
        <f>_xll.BDP("779721SV Muni","COUNTY_LOCATION_ISSUER")</f>
        <v>#N/A Requesting Data...</v>
      </c>
      <c r="F1842" t="str">
        <f>_xll.BDP("779721SV Muni","DUR_ADJ_MID")</f>
        <v>#N/A Requesting Data...</v>
      </c>
      <c r="G1842" t="str">
        <f>_xll.BDP("779721SV Muni","SPREAD_AT_ISSUANCE_TO_WORST")</f>
        <v>#N/A Requesting Data...</v>
      </c>
      <c r="H1842" t="str">
        <f>_xll.BDP("779721SV Muni","ISSUE_DT")</f>
        <v>#N/A Requesting Data...</v>
      </c>
      <c r="I1842" t="str">
        <f>_xll.BDS("779721SV Muni","MUNI_PURPOSE_SCHED", "aggregate=y")</f>
        <v>#N/A Requesting Data...</v>
      </c>
      <c r="J1842" t="str">
        <f>_xll.BDP("779721SV Muni","CPN")</f>
        <v>#N/A Requesting Data...</v>
      </c>
      <c r="K1842" t="str">
        <f>_xll.BDP("779721SV Muni","MATURITY")</f>
        <v>#N/A Requesting Data...</v>
      </c>
      <c r="L1842">
        <v>230000</v>
      </c>
      <c r="M1842" t="str">
        <f>_xll.BDP("779721SV Muni","YIELD_ON_ISSUE_DATE")</f>
        <v>#N/A Requesting Data...</v>
      </c>
      <c r="N1842" t="str">
        <f>_xll.BDP("779721SV Muni","YTW_SPREAD_TO_MATURITY_AT_ISSU")</f>
        <v>#N/A Requesting Data...</v>
      </c>
      <c r="O1842" t="str">
        <f>_xll.BDP("779721SV Muni","BVAL_MID_YTM")</f>
        <v>#N/A Requesting Data...</v>
      </c>
      <c r="P1842" t="str">
        <f>_xll.BDP("779721SV Muni","MUNI_TAX_PROV")</f>
        <v>#N/A Requesting Data...</v>
      </c>
      <c r="Q1842" t="str">
        <f>_xll.BDP("779721SV Muni","MUNI_FED_TAX")</f>
        <v>#N/A Requesting Data...</v>
      </c>
      <c r="R1842" t="str">
        <f>_xll.BDP("779721SV Muni","MUNI_MSRB_VOLUME")</f>
        <v>#N/A Requesting Data...</v>
      </c>
      <c r="S1842" t="str">
        <f>_xll.BDP("779721SV Muni","BB_COMPOSITE")</f>
        <v>#N/A Requesting Data...</v>
      </c>
      <c r="T1842" t="str">
        <f>_xll.BDP("779721SV Muni","LQA_LIQUIDITY_SCORE")</f>
        <v>#N/A Requesting Data...</v>
      </c>
    </row>
    <row r="1843" spans="1:20" x14ac:dyDescent="0.25">
      <c r="A1843" t="str">
        <f>_xll.BDP("782790HF Muni","ID_CUSIP")</f>
        <v>#N/A Requesting Data...</v>
      </c>
      <c r="B1843" t="s">
        <v>448</v>
      </c>
      <c r="C1843" t="str">
        <f>_xll.BDP("782790HF Muni","INSURANCE_STATUS")</f>
        <v>#N/A Requesting Data...</v>
      </c>
      <c r="D1843" t="str">
        <f>_xll.BDP("782790HF Muni","STATE_CODE")</f>
        <v>#N/A Requesting Data...</v>
      </c>
      <c r="E1843" t="str">
        <f>_xll.BDP("782790HF Muni","COUNTY_LOCATION_ISSUER")</f>
        <v>#N/A Requesting Data...</v>
      </c>
      <c r="F1843" t="str">
        <f>_xll.BDP("782790HF Muni","DUR_ADJ_MID")</f>
        <v>#N/A Requesting Data...</v>
      </c>
      <c r="G1843" t="str">
        <f>_xll.BDP("782790HF Muni","SPREAD_AT_ISSUANCE_TO_WORST")</f>
        <v>#N/A Requesting Data...</v>
      </c>
      <c r="H1843" t="str">
        <f>_xll.BDP("782790HF Muni","ISSUE_DT")</f>
        <v>#N/A Requesting Data...</v>
      </c>
      <c r="I1843" t="str">
        <f>_xll.BDS("782790HF Muni","MUNI_PURPOSE_SCHED", "aggregate=y")</f>
        <v>#N/A Requesting Data...</v>
      </c>
      <c r="J1843" t="str">
        <f>_xll.BDP("782790HF Muni","CPN")</f>
        <v>#N/A Requesting Data...</v>
      </c>
      <c r="K1843" t="str">
        <f>_xll.BDP("782790HF Muni","MATURITY")</f>
        <v>#N/A Requesting Data...</v>
      </c>
      <c r="L1843">
        <v>635000</v>
      </c>
      <c r="M1843" t="str">
        <f>_xll.BDP("782790HF Muni","YIELD_ON_ISSUE_DATE")</f>
        <v>#N/A Requesting Data...</v>
      </c>
      <c r="N1843" t="str">
        <f>_xll.BDP("782790HF Muni","YTW_SPREAD_TO_MATURITY_AT_ISSU")</f>
        <v>#N/A Requesting Data...</v>
      </c>
      <c r="O1843" t="str">
        <f>_xll.BDP("782790HF Muni","BVAL_MID_YTM")</f>
        <v>#N/A Requesting Data...</v>
      </c>
      <c r="P1843" t="str">
        <f>_xll.BDP("782790HF Muni","MUNI_TAX_PROV")</f>
        <v>#N/A Requesting Data...</v>
      </c>
      <c r="Q1843" t="str">
        <f>_xll.BDP("782790HF Muni","MUNI_FED_TAX")</f>
        <v>#N/A Requesting Data...</v>
      </c>
      <c r="R1843" t="str">
        <f>_xll.BDP("782790HF Muni","MUNI_MSRB_VOLUME")</f>
        <v>#N/A Requesting Data...</v>
      </c>
      <c r="S1843" t="str">
        <f>_xll.BDP("782790HF Muni","BB_COMPOSITE")</f>
        <v>#N/A Requesting Data...</v>
      </c>
      <c r="T1843" t="str">
        <f>_xll.BDP("782790HF Muni","LQA_LIQUIDITY_SCORE")</f>
        <v>#N/A Requesting Data...</v>
      </c>
    </row>
    <row r="1844" spans="1:20" x14ac:dyDescent="0.25">
      <c r="A1844" t="str">
        <f>_xll.BDP("782790HG Muni","ID_CUSIP")</f>
        <v>#N/A Requesting Data...</v>
      </c>
      <c r="B1844" t="s">
        <v>448</v>
      </c>
      <c r="C1844" t="str">
        <f>_xll.BDP("782790HG Muni","INSURANCE_STATUS")</f>
        <v>#N/A Requesting Data...</v>
      </c>
      <c r="D1844" t="str">
        <f>_xll.BDP("782790HG Muni","STATE_CODE")</f>
        <v>#N/A Requesting Data...</v>
      </c>
      <c r="E1844" t="str">
        <f>_xll.BDP("782790HG Muni","COUNTY_LOCATION_ISSUER")</f>
        <v>#N/A Requesting Data...</v>
      </c>
      <c r="F1844" t="str">
        <f>_xll.BDP("782790HG Muni","DUR_ADJ_MID")</f>
        <v>#N/A Requesting Data...</v>
      </c>
      <c r="G1844" t="str">
        <f>_xll.BDP("782790HG Muni","SPREAD_AT_ISSUANCE_TO_WORST")</f>
        <v>#N/A Requesting Data...</v>
      </c>
      <c r="H1844" t="str">
        <f>_xll.BDP("782790HG Muni","ISSUE_DT")</f>
        <v>#N/A Requesting Data...</v>
      </c>
      <c r="I1844" t="str">
        <f>_xll.BDS("782790HG Muni","MUNI_PURPOSE_SCHED", "aggregate=y")</f>
        <v>#N/A Requesting Data...</v>
      </c>
      <c r="J1844" t="str">
        <f>_xll.BDP("782790HG Muni","CPN")</f>
        <v>#N/A Requesting Data...</v>
      </c>
      <c r="K1844" t="str">
        <f>_xll.BDP("782790HG Muni","MATURITY")</f>
        <v>#N/A Requesting Data...</v>
      </c>
      <c r="L1844">
        <v>650000</v>
      </c>
      <c r="M1844" t="str">
        <f>_xll.BDP("782790HG Muni","YIELD_ON_ISSUE_DATE")</f>
        <v>#N/A Requesting Data...</v>
      </c>
      <c r="N1844" t="str">
        <f>_xll.BDP("782790HG Muni","YTW_SPREAD_TO_MATURITY_AT_ISSU")</f>
        <v>#N/A Requesting Data...</v>
      </c>
      <c r="O1844" t="str">
        <f>_xll.BDP("782790HG Muni","BVAL_MID_YTM")</f>
        <v>#N/A Requesting Data...</v>
      </c>
      <c r="P1844" t="str">
        <f>_xll.BDP("782790HG Muni","MUNI_TAX_PROV")</f>
        <v>#N/A Requesting Data...</v>
      </c>
      <c r="Q1844" t="str">
        <f>_xll.BDP("782790HG Muni","MUNI_FED_TAX")</f>
        <v>#N/A Requesting Data...</v>
      </c>
      <c r="R1844" t="str">
        <f>_xll.BDP("782790HG Muni","MUNI_MSRB_VOLUME")</f>
        <v>#N/A Requesting Data...</v>
      </c>
      <c r="S1844" t="str">
        <f>_xll.BDP("782790HG Muni","BB_COMPOSITE")</f>
        <v>#N/A Requesting Data...</v>
      </c>
      <c r="T1844" t="str">
        <f>_xll.BDP("782790HG Muni","LQA_LIQUIDITY_SCORE")</f>
        <v>#N/A Requesting Data...</v>
      </c>
    </row>
    <row r="1845" spans="1:20" x14ac:dyDescent="0.25">
      <c r="A1845" t="str">
        <f>_xll.BDP("778765GH Muni","ID_CUSIP")</f>
        <v>#N/A Requesting Data...</v>
      </c>
      <c r="B1845" t="s">
        <v>447</v>
      </c>
      <c r="C1845" t="str">
        <f>_xll.BDP("778765GH Muni","INSURANCE_STATUS")</f>
        <v>#N/A Requesting Data...</v>
      </c>
      <c r="D1845" t="str">
        <f>_xll.BDP("778765GH Muni","STATE_CODE")</f>
        <v>#N/A Requesting Data...</v>
      </c>
      <c r="E1845" t="str">
        <f>_xll.BDP("778765GH Muni","COUNTY_LOCATION_ISSUER")</f>
        <v>#N/A Requesting Data...</v>
      </c>
      <c r="F1845" t="str">
        <f>_xll.BDP("778765GH Muni","DUR_ADJ_MID")</f>
        <v>#N/A Requesting Data...</v>
      </c>
      <c r="G1845" t="str">
        <f>_xll.BDP("778765GH Muni","SPREAD_AT_ISSUANCE_TO_WORST")</f>
        <v>#N/A Requesting Data...</v>
      </c>
      <c r="H1845" t="str">
        <f>_xll.BDP("778765GH Muni","ISSUE_DT")</f>
        <v>#N/A Requesting Data...</v>
      </c>
      <c r="I1845" t="str">
        <f>_xll.BDS("778765GH Muni","MUNI_PURPOSE_SCHED", "aggregate=y")</f>
        <v>#N/A Requesting Data...</v>
      </c>
      <c r="J1845" t="str">
        <f>_xll.BDP("778765GH Muni","CPN")</f>
        <v>#N/A Requesting Data...</v>
      </c>
      <c r="K1845" t="str">
        <f>_xll.BDP("778765GH Muni","MATURITY")</f>
        <v>#N/A Requesting Data...</v>
      </c>
      <c r="L1845">
        <v>270000</v>
      </c>
      <c r="M1845" t="str">
        <f>_xll.BDP("778765GH Muni","YIELD_ON_ISSUE_DATE")</f>
        <v>#N/A Requesting Data...</v>
      </c>
      <c r="N1845" t="str">
        <f>_xll.BDP("778765GH Muni","YTW_SPREAD_TO_MATURITY_AT_ISSU")</f>
        <v>#N/A Requesting Data...</v>
      </c>
      <c r="O1845" t="str">
        <f>_xll.BDP("778765GH Muni","BVAL_MID_YTM")</f>
        <v>#N/A Requesting Data...</v>
      </c>
      <c r="P1845" t="str">
        <f>_xll.BDP("778765GH Muni","MUNI_TAX_PROV")</f>
        <v>#N/A Requesting Data...</v>
      </c>
      <c r="Q1845" t="str">
        <f>_xll.BDP("778765GH Muni","MUNI_FED_TAX")</f>
        <v>#N/A Requesting Data...</v>
      </c>
      <c r="R1845" t="str">
        <f>_xll.BDP("778765GH Muni","MUNI_MSRB_VOLUME")</f>
        <v>#N/A Requesting Data...</v>
      </c>
      <c r="S1845" t="str">
        <f>_xll.BDP("778765GH Muni","BB_COMPOSITE")</f>
        <v>#N/A Requesting Data...</v>
      </c>
      <c r="T1845" t="str">
        <f>_xll.BDP("778765GH Muni","LQA_LIQUIDITY_SCORE")</f>
        <v>#N/A Requesting Data...</v>
      </c>
    </row>
    <row r="1846" spans="1:20" x14ac:dyDescent="0.25">
      <c r="A1846" t="str">
        <f>_xll.BDP("779721SR Muni","ID_CUSIP")</f>
        <v>#N/A Requesting Data...</v>
      </c>
      <c r="B1846" t="s">
        <v>435</v>
      </c>
      <c r="C1846" t="str">
        <f>_xll.BDP("779721SR Muni","INSURANCE_STATUS")</f>
        <v>#N/A Requesting Data...</v>
      </c>
      <c r="D1846" t="str">
        <f>_xll.BDP("779721SR Muni","STATE_CODE")</f>
        <v>#N/A Requesting Data...</v>
      </c>
      <c r="E1846" t="str">
        <f>_xll.BDP("779721SR Muni","COUNTY_LOCATION_ISSUER")</f>
        <v>#N/A Requesting Data...</v>
      </c>
      <c r="F1846" t="str">
        <f>_xll.BDP("779721SR Muni","DUR_ADJ_MID")</f>
        <v>#N/A Requesting Data...</v>
      </c>
      <c r="G1846" t="str">
        <f>_xll.BDP("779721SR Muni","SPREAD_AT_ISSUANCE_TO_WORST")</f>
        <v>#N/A Requesting Data...</v>
      </c>
      <c r="H1846" t="str">
        <f>_xll.BDP("779721SR Muni","ISSUE_DT")</f>
        <v>#N/A Requesting Data...</v>
      </c>
      <c r="I1846" t="str">
        <f>_xll.BDS("779721SR Muni","MUNI_PURPOSE_SCHED", "aggregate=y")</f>
        <v>#N/A Requesting Data...</v>
      </c>
      <c r="J1846" t="str">
        <f>_xll.BDP("779721SR Muni","CPN")</f>
        <v>#N/A Requesting Data...</v>
      </c>
      <c r="K1846" t="str">
        <f>_xll.BDP("779721SR Muni","MATURITY")</f>
        <v>#N/A Requesting Data...</v>
      </c>
      <c r="L1846">
        <v>190000</v>
      </c>
      <c r="M1846" t="str">
        <f>_xll.BDP("779721SR Muni","YIELD_ON_ISSUE_DATE")</f>
        <v>#N/A Requesting Data...</v>
      </c>
      <c r="N1846" t="str">
        <f>_xll.BDP("779721SR Muni","YTW_SPREAD_TO_MATURITY_AT_ISSU")</f>
        <v>#N/A Requesting Data...</v>
      </c>
      <c r="O1846" t="str">
        <f>_xll.BDP("779721SR Muni","BVAL_MID_YTM")</f>
        <v>#N/A Requesting Data...</v>
      </c>
      <c r="P1846" t="str">
        <f>_xll.BDP("779721SR Muni","MUNI_TAX_PROV")</f>
        <v>#N/A Requesting Data...</v>
      </c>
      <c r="Q1846" t="str">
        <f>_xll.BDP("779721SR Muni","MUNI_FED_TAX")</f>
        <v>#N/A Requesting Data...</v>
      </c>
      <c r="R1846" t="str">
        <f>_xll.BDP("779721SR Muni","MUNI_MSRB_VOLUME")</f>
        <v>#N/A Requesting Data...</v>
      </c>
      <c r="S1846" t="str">
        <f>_xll.BDP("779721SR Muni","BB_COMPOSITE")</f>
        <v>#N/A Requesting Data...</v>
      </c>
      <c r="T1846" t="str">
        <f>_xll.BDP("779721SR Muni","LQA_LIQUIDITY_SCORE")</f>
        <v>#N/A Requesting Data...</v>
      </c>
    </row>
    <row r="1847" spans="1:20" x14ac:dyDescent="0.25">
      <c r="A1847" t="str">
        <f>_xll.BDP("779721ST Muni","ID_CUSIP")</f>
        <v>#N/A Requesting Data...</v>
      </c>
      <c r="B1847" t="s">
        <v>435</v>
      </c>
      <c r="C1847" t="str">
        <f>_xll.BDP("779721ST Muni","INSURANCE_STATUS")</f>
        <v>#N/A Requesting Data...</v>
      </c>
      <c r="D1847" t="str">
        <f>_xll.BDP("779721ST Muni","STATE_CODE")</f>
        <v>#N/A Requesting Data...</v>
      </c>
      <c r="E1847" t="str">
        <f>_xll.BDP("779721ST Muni","COUNTY_LOCATION_ISSUER")</f>
        <v>#N/A Requesting Data...</v>
      </c>
      <c r="F1847" t="str">
        <f>_xll.BDP("779721ST Muni","DUR_ADJ_MID")</f>
        <v>#N/A Requesting Data...</v>
      </c>
      <c r="G1847" t="str">
        <f>_xll.BDP("779721ST Muni","SPREAD_AT_ISSUANCE_TO_WORST")</f>
        <v>#N/A Requesting Data...</v>
      </c>
      <c r="H1847" t="str">
        <f>_xll.BDP("779721ST Muni","ISSUE_DT")</f>
        <v>#N/A Requesting Data...</v>
      </c>
      <c r="I1847" t="str">
        <f>_xll.BDS("779721ST Muni","MUNI_PURPOSE_SCHED", "aggregate=y")</f>
        <v>#N/A Requesting Data...</v>
      </c>
      <c r="J1847" t="str">
        <f>_xll.BDP("779721ST Muni","CPN")</f>
        <v>#N/A Requesting Data...</v>
      </c>
      <c r="K1847" t="str">
        <f>_xll.BDP("779721ST Muni","MATURITY")</f>
        <v>#N/A Requesting Data...</v>
      </c>
      <c r="L1847">
        <v>210000</v>
      </c>
      <c r="M1847" t="str">
        <f>_xll.BDP("779721ST Muni","YIELD_ON_ISSUE_DATE")</f>
        <v>#N/A Requesting Data...</v>
      </c>
      <c r="N1847" t="str">
        <f>_xll.BDP("779721ST Muni","YTW_SPREAD_TO_MATURITY_AT_ISSU")</f>
        <v>#N/A Requesting Data...</v>
      </c>
      <c r="O1847" t="str">
        <f>_xll.BDP("779721ST Muni","BVAL_MID_YTM")</f>
        <v>#N/A Requesting Data...</v>
      </c>
      <c r="P1847" t="str">
        <f>_xll.BDP("779721ST Muni","MUNI_TAX_PROV")</f>
        <v>#N/A Requesting Data...</v>
      </c>
      <c r="Q1847" t="str">
        <f>_xll.BDP("779721ST Muni","MUNI_FED_TAX")</f>
        <v>#N/A Requesting Data...</v>
      </c>
      <c r="R1847" t="str">
        <f>_xll.BDP("779721ST Muni","MUNI_MSRB_VOLUME")</f>
        <v>#N/A Requesting Data...</v>
      </c>
      <c r="S1847" t="str">
        <f>_xll.BDP("779721ST Muni","BB_COMPOSITE")</f>
        <v>#N/A Requesting Data...</v>
      </c>
      <c r="T1847" t="str">
        <f>_xll.BDP("779721ST Muni","LQA_LIQUIDITY_SCORE")</f>
        <v>#N/A Requesting Data...</v>
      </c>
    </row>
    <row r="1848" spans="1:20" x14ac:dyDescent="0.25">
      <c r="A1848" t="str">
        <f>_xll.BDP("779721SU Muni","ID_CUSIP")</f>
        <v>#N/A Requesting Data...</v>
      </c>
      <c r="B1848" t="s">
        <v>435</v>
      </c>
      <c r="C1848" t="str">
        <f>_xll.BDP("779721SU Muni","INSURANCE_STATUS")</f>
        <v>#N/A Requesting Data...</v>
      </c>
      <c r="D1848" t="str">
        <f>_xll.BDP("779721SU Muni","STATE_CODE")</f>
        <v>#N/A Requesting Data...</v>
      </c>
      <c r="E1848" t="str">
        <f>_xll.BDP("779721SU Muni","COUNTY_LOCATION_ISSUER")</f>
        <v>#N/A Requesting Data...</v>
      </c>
      <c r="F1848" t="str">
        <f>_xll.BDP("779721SU Muni","DUR_ADJ_MID")</f>
        <v>#N/A Requesting Data...</v>
      </c>
      <c r="G1848" t="str">
        <f>_xll.BDP("779721SU Muni","SPREAD_AT_ISSUANCE_TO_WORST")</f>
        <v>#N/A Requesting Data...</v>
      </c>
      <c r="H1848" t="str">
        <f>_xll.BDP("779721SU Muni","ISSUE_DT")</f>
        <v>#N/A Requesting Data...</v>
      </c>
      <c r="I1848" t="str">
        <f>_xll.BDS("779721SU Muni","MUNI_PURPOSE_SCHED", "aggregate=y")</f>
        <v>#N/A Requesting Data...</v>
      </c>
      <c r="J1848" t="str">
        <f>_xll.BDP("779721SU Muni","CPN")</f>
        <v>#N/A Requesting Data...</v>
      </c>
      <c r="K1848" t="str">
        <f>_xll.BDP("779721SU Muni","MATURITY")</f>
        <v>#N/A Requesting Data...</v>
      </c>
      <c r="L1848">
        <v>220000</v>
      </c>
      <c r="M1848" t="str">
        <f>_xll.BDP("779721SU Muni","YIELD_ON_ISSUE_DATE")</f>
        <v>#N/A Requesting Data...</v>
      </c>
      <c r="N1848" t="str">
        <f>_xll.BDP("779721SU Muni","YTW_SPREAD_TO_MATURITY_AT_ISSU")</f>
        <v>#N/A Requesting Data...</v>
      </c>
      <c r="O1848" t="str">
        <f>_xll.BDP("779721SU Muni","BVAL_MID_YTM")</f>
        <v>#N/A Requesting Data...</v>
      </c>
      <c r="P1848" t="str">
        <f>_xll.BDP("779721SU Muni","MUNI_TAX_PROV")</f>
        <v>#N/A Requesting Data...</v>
      </c>
      <c r="Q1848" t="str">
        <f>_xll.BDP("779721SU Muni","MUNI_FED_TAX")</f>
        <v>#N/A Requesting Data...</v>
      </c>
      <c r="R1848" t="str">
        <f>_xll.BDP("779721SU Muni","MUNI_MSRB_VOLUME")</f>
        <v>#N/A Requesting Data...</v>
      </c>
      <c r="S1848" t="str">
        <f>_xll.BDP("779721SU Muni","BB_COMPOSITE")</f>
        <v>#N/A Requesting Data...</v>
      </c>
      <c r="T1848" t="str">
        <f>_xll.BDP("779721SU Muni","LQA_LIQUIDITY_SCORE")</f>
        <v>#N/A Requesting Data...</v>
      </c>
    </row>
    <row r="1849" spans="1:20" x14ac:dyDescent="0.25">
      <c r="A1849" t="str">
        <f>_xll.BDP("61759CCN Muni","ID_CUSIP")</f>
        <v>#N/A Requesting Data...</v>
      </c>
      <c r="B1849" t="s">
        <v>449</v>
      </c>
      <c r="C1849" t="str">
        <f>_xll.BDP("61759CCN Muni","INSURANCE_STATUS")</f>
        <v>#N/A Requesting Data...</v>
      </c>
      <c r="D1849" t="str">
        <f>_xll.BDP("61759CCN Muni","STATE_CODE")</f>
        <v>#N/A Requesting Data...</v>
      </c>
      <c r="E1849" t="str">
        <f>_xll.BDP("61759CCN Muni","COUNTY_LOCATION_ISSUER")</f>
        <v>#N/A Requesting Data...</v>
      </c>
      <c r="F1849" t="str">
        <f>_xll.BDP("61759CCN Muni","DUR_ADJ_MID")</f>
        <v>#N/A Requesting Data...</v>
      </c>
      <c r="G1849" t="str">
        <f>_xll.BDP("61759CCN Muni","SPREAD_AT_ISSUANCE_TO_WORST")</f>
        <v>#N/A Requesting Data...</v>
      </c>
      <c r="H1849" t="str">
        <f>_xll.BDP("61759CCN Muni","ISSUE_DT")</f>
        <v>#N/A Requesting Data...</v>
      </c>
      <c r="I1849" t="str">
        <f>_xll.BDS("61759CCN Muni","MUNI_PURPOSE_SCHED", "aggregate=y")</f>
        <v>#N/A Requesting Data...</v>
      </c>
      <c r="J1849" t="str">
        <f>_xll.BDP("61759CCN Muni","CPN")</f>
        <v>#N/A Requesting Data...</v>
      </c>
      <c r="K1849" t="str">
        <f>_xll.BDP("61759CCN Muni","MATURITY")</f>
        <v>#N/A Requesting Data...</v>
      </c>
      <c r="L1849">
        <v>645000</v>
      </c>
      <c r="M1849" t="str">
        <f>_xll.BDP("61759CCN Muni","YIELD_ON_ISSUE_DATE")</f>
        <v>#N/A Requesting Data...</v>
      </c>
      <c r="N1849" t="str">
        <f>_xll.BDP("61759CCN Muni","YTW_SPREAD_TO_MATURITY_AT_ISSU")</f>
        <v>#N/A Requesting Data...</v>
      </c>
      <c r="O1849" t="str">
        <f>_xll.BDP("61759CCN Muni","BVAL_MID_YTM")</f>
        <v>#N/A Requesting Data...</v>
      </c>
      <c r="P1849" t="str">
        <f>_xll.BDP("61759CCN Muni","MUNI_TAX_PROV")</f>
        <v>#N/A Requesting Data...</v>
      </c>
      <c r="Q1849" t="str">
        <f>_xll.BDP("61759CCN Muni","MUNI_FED_TAX")</f>
        <v>#N/A Requesting Data...</v>
      </c>
      <c r="R1849" t="str">
        <f>_xll.BDP("61759CCN Muni","MUNI_MSRB_VOLUME")</f>
        <v>#N/A Requesting Data...</v>
      </c>
      <c r="S1849" t="str">
        <f>_xll.BDP("61759CCN Muni","BB_COMPOSITE")</f>
        <v>#N/A Requesting Data...</v>
      </c>
      <c r="T1849" t="str">
        <f>_xll.BDP("61759CCN Muni","LQA_LIQUIDITY_SCORE")</f>
        <v>#N/A Requesting Data...</v>
      </c>
    </row>
    <row r="1850" spans="1:20" x14ac:dyDescent="0.25">
      <c r="A1850" t="str">
        <f>_xll.BDP("61759CCP Muni","ID_CUSIP")</f>
        <v>#N/A Requesting Data...</v>
      </c>
      <c r="B1850" t="s">
        <v>449</v>
      </c>
      <c r="C1850" t="str">
        <f>_xll.BDP("61759CCP Muni","INSURANCE_STATUS")</f>
        <v>#N/A Requesting Data...</v>
      </c>
      <c r="D1850" t="str">
        <f>_xll.BDP("61759CCP Muni","STATE_CODE")</f>
        <v>#N/A Requesting Data...</v>
      </c>
      <c r="E1850" t="str">
        <f>_xll.BDP("61759CCP Muni","COUNTY_LOCATION_ISSUER")</f>
        <v>#N/A Requesting Data...</v>
      </c>
      <c r="F1850" t="str">
        <f>_xll.BDP("61759CCP Muni","DUR_ADJ_MID")</f>
        <v>#N/A Requesting Data...</v>
      </c>
      <c r="G1850" t="str">
        <f>_xll.BDP("61759CCP Muni","SPREAD_AT_ISSUANCE_TO_WORST")</f>
        <v>#N/A Requesting Data...</v>
      </c>
      <c r="H1850" t="str">
        <f>_xll.BDP("61759CCP Muni","ISSUE_DT")</f>
        <v>#N/A Requesting Data...</v>
      </c>
      <c r="I1850" t="str">
        <f>_xll.BDS("61759CCP Muni","MUNI_PURPOSE_SCHED", "aggregate=y")</f>
        <v>#N/A Requesting Data...</v>
      </c>
      <c r="J1850" t="str">
        <f>_xll.BDP("61759CCP Muni","CPN")</f>
        <v>#N/A Requesting Data...</v>
      </c>
      <c r="K1850" t="str">
        <f>_xll.BDP("61759CCP Muni","MATURITY")</f>
        <v>#N/A Requesting Data...</v>
      </c>
      <c r="L1850">
        <v>190000</v>
      </c>
      <c r="M1850" t="str">
        <f>_xll.BDP("61759CCP Muni","YIELD_ON_ISSUE_DATE")</f>
        <v>#N/A Requesting Data...</v>
      </c>
      <c r="N1850" t="str">
        <f>_xll.BDP("61759CCP Muni","YTW_SPREAD_TO_MATURITY_AT_ISSU")</f>
        <v>#N/A Requesting Data...</v>
      </c>
      <c r="O1850" t="str">
        <f>_xll.BDP("61759CCP Muni","BVAL_MID_YTM")</f>
        <v>#N/A Requesting Data...</v>
      </c>
      <c r="P1850" t="str">
        <f>_xll.BDP("61759CCP Muni","MUNI_TAX_PROV")</f>
        <v>#N/A Requesting Data...</v>
      </c>
      <c r="Q1850" t="str">
        <f>_xll.BDP("61759CCP Muni","MUNI_FED_TAX")</f>
        <v>#N/A Requesting Data...</v>
      </c>
      <c r="R1850" t="str">
        <f>_xll.BDP("61759CCP Muni","MUNI_MSRB_VOLUME")</f>
        <v>#N/A Requesting Data...</v>
      </c>
      <c r="S1850" t="str">
        <f>_xll.BDP("61759CCP Muni","BB_COMPOSITE")</f>
        <v>#N/A Requesting Data...</v>
      </c>
      <c r="T1850" t="str">
        <f>_xll.BDP("61759CCP Muni","LQA_LIQUIDITY_SCORE")</f>
        <v>#N/A Requesting Data...</v>
      </c>
    </row>
    <row r="1851" spans="1:20" x14ac:dyDescent="0.25">
      <c r="A1851" t="str">
        <f>_xll.BDP("61759CCR Muni","ID_CUSIP")</f>
        <v>#N/A Requesting Data...</v>
      </c>
      <c r="B1851" t="s">
        <v>449</v>
      </c>
      <c r="C1851" t="str">
        <f>_xll.BDP("61759CCR Muni","INSURANCE_STATUS")</f>
        <v>#N/A Requesting Data...</v>
      </c>
      <c r="D1851" t="str">
        <f>_xll.BDP("61759CCR Muni","STATE_CODE")</f>
        <v>#N/A Requesting Data...</v>
      </c>
      <c r="E1851" t="str">
        <f>_xll.BDP("61759CCR Muni","COUNTY_LOCATION_ISSUER")</f>
        <v>#N/A Requesting Data...</v>
      </c>
      <c r="F1851" t="str">
        <f>_xll.BDP("61759CCR Muni","DUR_ADJ_MID")</f>
        <v>#N/A Requesting Data...</v>
      </c>
      <c r="G1851" t="str">
        <f>_xll.BDP("61759CCR Muni","SPREAD_AT_ISSUANCE_TO_WORST")</f>
        <v>#N/A Requesting Data...</v>
      </c>
      <c r="H1851" t="str">
        <f>_xll.BDP("61759CCR Muni","ISSUE_DT")</f>
        <v>#N/A Requesting Data...</v>
      </c>
      <c r="I1851" t="str">
        <f>_xll.BDS("61759CCR Muni","MUNI_PURPOSE_SCHED", "aggregate=y")</f>
        <v>#N/A Requesting Data...</v>
      </c>
      <c r="J1851" t="str">
        <f>_xll.BDP("61759CCR Muni","CPN")</f>
        <v>#N/A Requesting Data...</v>
      </c>
      <c r="K1851" t="str">
        <f>_xll.BDP("61759CCR Muni","MATURITY")</f>
        <v>#N/A Requesting Data...</v>
      </c>
      <c r="L1851">
        <v>255000</v>
      </c>
      <c r="M1851" t="str">
        <f>_xll.BDP("61759CCR Muni","YIELD_ON_ISSUE_DATE")</f>
        <v>#N/A Requesting Data...</v>
      </c>
      <c r="N1851" t="str">
        <f>_xll.BDP("61759CCR Muni","YTW_SPREAD_TO_MATURITY_AT_ISSU")</f>
        <v>#N/A Requesting Data...</v>
      </c>
      <c r="O1851" t="str">
        <f>_xll.BDP("61759CCR Muni","BVAL_MID_YTM")</f>
        <v>#N/A Requesting Data...</v>
      </c>
      <c r="P1851" t="str">
        <f>_xll.BDP("61759CCR Muni","MUNI_TAX_PROV")</f>
        <v>#N/A Requesting Data...</v>
      </c>
      <c r="Q1851" t="str">
        <f>_xll.BDP("61759CCR Muni","MUNI_FED_TAX")</f>
        <v>#N/A Requesting Data...</v>
      </c>
      <c r="R1851" t="str">
        <f>_xll.BDP("61759CCR Muni","MUNI_MSRB_VOLUME")</f>
        <v>#N/A Requesting Data...</v>
      </c>
      <c r="S1851" t="str">
        <f>_xll.BDP("61759CCR Muni","BB_COMPOSITE")</f>
        <v>#N/A Requesting Data...</v>
      </c>
      <c r="T1851" t="str">
        <f>_xll.BDP("61759CCR Muni","LQA_LIQUIDITY_SCORE")</f>
        <v>#N/A Requesting Data...</v>
      </c>
    </row>
    <row r="1852" spans="1:20" x14ac:dyDescent="0.25">
      <c r="A1852" t="str">
        <f>_xll.BDP("61771KBC Muni","ID_CUSIP")</f>
        <v>#N/A Requesting Data...</v>
      </c>
      <c r="B1852" t="s">
        <v>450</v>
      </c>
      <c r="C1852" t="str">
        <f>_xll.BDP("61771KBC Muni","INSURANCE_STATUS")</f>
        <v>#N/A Requesting Data...</v>
      </c>
      <c r="D1852" t="str">
        <f>_xll.BDP("61771KBC Muni","STATE_CODE")</f>
        <v>#N/A Requesting Data...</v>
      </c>
      <c r="E1852" t="str">
        <f>_xll.BDP("61771KBC Muni","COUNTY_LOCATION_ISSUER")</f>
        <v>#N/A Requesting Data...</v>
      </c>
      <c r="F1852" t="str">
        <f>_xll.BDP("61771KBC Muni","DUR_ADJ_MID")</f>
        <v>#N/A Requesting Data...</v>
      </c>
      <c r="G1852" t="str">
        <f>_xll.BDP("61771KBC Muni","SPREAD_AT_ISSUANCE_TO_WORST")</f>
        <v>#N/A Requesting Data...</v>
      </c>
      <c r="H1852" t="str">
        <f>_xll.BDP("61771KBC Muni","ISSUE_DT")</f>
        <v>#N/A Requesting Data...</v>
      </c>
      <c r="I1852" t="str">
        <f>_xll.BDS("61771KBC Muni","MUNI_PURPOSE_SCHED", "aggregate=y")</f>
        <v>#N/A Requesting Data...</v>
      </c>
      <c r="J1852" t="str">
        <f>_xll.BDP("61771KBC Muni","CPN")</f>
        <v>#N/A Requesting Data...</v>
      </c>
      <c r="K1852" t="str">
        <f>_xll.BDP("61771KBC Muni","MATURITY")</f>
        <v>#N/A Requesting Data...</v>
      </c>
      <c r="L1852">
        <v>170000</v>
      </c>
      <c r="M1852" t="str">
        <f>_xll.BDP("61771KBC Muni","YIELD_ON_ISSUE_DATE")</f>
        <v>#N/A Requesting Data...</v>
      </c>
      <c r="N1852" t="str">
        <f>_xll.BDP("61771KBC Muni","YTW_SPREAD_TO_MATURITY_AT_ISSU")</f>
        <v>#N/A Requesting Data...</v>
      </c>
      <c r="O1852" t="str">
        <f>_xll.BDP("61771KBC Muni","BVAL_MID_YTM")</f>
        <v>#N/A Requesting Data...</v>
      </c>
      <c r="P1852" t="str">
        <f>_xll.BDP("61771KBC Muni","MUNI_TAX_PROV")</f>
        <v>#N/A Requesting Data...</v>
      </c>
      <c r="Q1852" t="str">
        <f>_xll.BDP("61771KBC Muni","MUNI_FED_TAX")</f>
        <v>#N/A Requesting Data...</v>
      </c>
      <c r="R1852" t="str">
        <f>_xll.BDP("61771KBC Muni","MUNI_MSRB_VOLUME")</f>
        <v>#N/A Requesting Data...</v>
      </c>
      <c r="S1852" t="str">
        <f>_xll.BDP("61771KBC Muni","BB_COMPOSITE")</f>
        <v>#N/A Requesting Data...</v>
      </c>
      <c r="T1852" t="str">
        <f>_xll.BDP("61771KBC Muni","LQA_LIQUIDITY_SCORE")</f>
        <v>#N/A Requesting Data...</v>
      </c>
    </row>
    <row r="1853" spans="1:20" x14ac:dyDescent="0.25">
      <c r="A1853" t="str">
        <f>_xll.BDP("6490246A Muni","ID_CUSIP")</f>
        <v>#N/A Requesting Data...</v>
      </c>
      <c r="B1853" t="s">
        <v>451</v>
      </c>
      <c r="C1853" t="str">
        <f>_xll.BDP("6490246A Muni","INSURANCE_STATUS")</f>
        <v>#N/A Requesting Data...</v>
      </c>
      <c r="D1853" t="str">
        <f>_xll.BDP("6490246A Muni","STATE_CODE")</f>
        <v>#N/A Requesting Data...</v>
      </c>
      <c r="E1853" t="str">
        <f>_xll.BDP("6490246A Muni","COUNTY_LOCATION_ISSUER")</f>
        <v>#N/A Requesting Data...</v>
      </c>
      <c r="F1853" t="str">
        <f>_xll.BDP("6490246A Muni","DUR_ADJ_MID")</f>
        <v>#N/A Requesting Data...</v>
      </c>
      <c r="G1853" t="str">
        <f>_xll.BDP("6490246A Muni","SPREAD_AT_ISSUANCE_TO_WORST")</f>
        <v>#N/A Requesting Data...</v>
      </c>
      <c r="H1853" t="str">
        <f>_xll.BDP("6490246A Muni","ISSUE_DT")</f>
        <v>#N/A Requesting Data...</v>
      </c>
      <c r="I1853" t="str">
        <f>_xll.BDS("6490246A Muni","MUNI_PURPOSE_SCHED", "aggregate=y")</f>
        <v>#N/A Requesting Data...</v>
      </c>
      <c r="J1853" t="str">
        <f>_xll.BDP("6490246A Muni","CPN")</f>
        <v>#N/A Requesting Data...</v>
      </c>
      <c r="K1853" t="str">
        <f>_xll.BDP("6490246A Muni","MATURITY")</f>
        <v>#N/A Requesting Data...</v>
      </c>
      <c r="L1853">
        <v>120000</v>
      </c>
      <c r="M1853" t="str">
        <f>_xll.BDP("6490246A Muni","YIELD_ON_ISSUE_DATE")</f>
        <v>#N/A Requesting Data...</v>
      </c>
      <c r="N1853" t="str">
        <f>_xll.BDP("6490246A Muni","YTW_SPREAD_TO_MATURITY_AT_ISSU")</f>
        <v>#N/A Requesting Data...</v>
      </c>
      <c r="O1853" t="str">
        <f>_xll.BDP("6490246A Muni","BVAL_MID_YTM")</f>
        <v>#N/A Requesting Data...</v>
      </c>
      <c r="P1853" t="str">
        <f>_xll.BDP("6490246A Muni","MUNI_TAX_PROV")</f>
        <v>#N/A Requesting Data...</v>
      </c>
      <c r="Q1853" t="str">
        <f>_xll.BDP("6490246A Muni","MUNI_FED_TAX")</f>
        <v>#N/A Requesting Data...</v>
      </c>
      <c r="R1853" t="str">
        <f>_xll.BDP("6490246A Muni","MUNI_MSRB_VOLUME")</f>
        <v>#N/A Requesting Data...</v>
      </c>
      <c r="S1853" t="str">
        <f>_xll.BDP("6490246A Muni","BB_COMPOSITE")</f>
        <v>#N/A Requesting Data...</v>
      </c>
      <c r="T1853" t="str">
        <f>_xll.BDP("6490246A Muni","LQA_LIQUIDITY_SCORE")</f>
        <v>#N/A Requesting Data...</v>
      </c>
    </row>
    <row r="1854" spans="1:20" x14ac:dyDescent="0.25">
      <c r="A1854" t="str">
        <f>_xll.BDP("6490246B Muni","ID_CUSIP")</f>
        <v>#N/A Requesting Data...</v>
      </c>
      <c r="B1854" t="s">
        <v>451</v>
      </c>
      <c r="C1854" t="str">
        <f>_xll.BDP("6490246B Muni","INSURANCE_STATUS")</f>
        <v>#N/A Requesting Data...</v>
      </c>
      <c r="D1854" t="str">
        <f>_xll.BDP("6490246B Muni","STATE_CODE")</f>
        <v>#N/A Requesting Data...</v>
      </c>
      <c r="E1854" t="str">
        <f>_xll.BDP("6490246B Muni","COUNTY_LOCATION_ISSUER")</f>
        <v>#N/A Requesting Data...</v>
      </c>
      <c r="F1854" t="str">
        <f>_xll.BDP("6490246B Muni","DUR_ADJ_MID")</f>
        <v>#N/A Requesting Data...</v>
      </c>
      <c r="G1854" t="str">
        <f>_xll.BDP("6490246B Muni","SPREAD_AT_ISSUANCE_TO_WORST")</f>
        <v>#N/A Requesting Data...</v>
      </c>
      <c r="H1854" t="str">
        <f>_xll.BDP("6490246B Muni","ISSUE_DT")</f>
        <v>#N/A Requesting Data...</v>
      </c>
      <c r="I1854" t="str">
        <f>_xll.BDS("6490246B Muni","MUNI_PURPOSE_SCHED", "aggregate=y")</f>
        <v>#N/A Requesting Data...</v>
      </c>
      <c r="J1854" t="str">
        <f>_xll.BDP("6490246B Muni","CPN")</f>
        <v>#N/A Requesting Data...</v>
      </c>
      <c r="K1854" t="str">
        <f>_xll.BDP("6490246B Muni","MATURITY")</f>
        <v>#N/A Requesting Data...</v>
      </c>
      <c r="L1854">
        <v>125000</v>
      </c>
      <c r="M1854" t="str">
        <f>_xll.BDP("6490246B Muni","YIELD_ON_ISSUE_DATE")</f>
        <v>#N/A Requesting Data...</v>
      </c>
      <c r="N1854" t="str">
        <f>_xll.BDP("6490246B Muni","YTW_SPREAD_TO_MATURITY_AT_ISSU")</f>
        <v>#N/A Requesting Data...</v>
      </c>
      <c r="O1854" t="str">
        <f>_xll.BDP("6490246B Muni","BVAL_MID_YTM")</f>
        <v>#N/A Requesting Data...</v>
      </c>
      <c r="P1854" t="str">
        <f>_xll.BDP("6490246B Muni","MUNI_TAX_PROV")</f>
        <v>#N/A Requesting Data...</v>
      </c>
      <c r="Q1854" t="str">
        <f>_xll.BDP("6490246B Muni","MUNI_FED_TAX")</f>
        <v>#N/A Requesting Data...</v>
      </c>
      <c r="R1854" t="str">
        <f>_xll.BDP("6490246B Muni","MUNI_MSRB_VOLUME")</f>
        <v>#N/A Requesting Data...</v>
      </c>
      <c r="S1854" t="str">
        <f>_xll.BDP("6490246B Muni","BB_COMPOSITE")</f>
        <v>#N/A Requesting Data...</v>
      </c>
      <c r="T1854" t="str">
        <f>_xll.BDP("6490246B Muni","LQA_LIQUIDITY_SCORE")</f>
        <v>#N/A Requesting Data...</v>
      </c>
    </row>
    <row r="1855" spans="1:20" x14ac:dyDescent="0.25">
      <c r="A1855" t="str">
        <f>_xll.BDP("6490246C Muni","ID_CUSIP")</f>
        <v>#N/A Requesting Data...</v>
      </c>
      <c r="B1855" t="s">
        <v>451</v>
      </c>
      <c r="C1855" t="str">
        <f>_xll.BDP("6490246C Muni","INSURANCE_STATUS")</f>
        <v>#N/A Requesting Data...</v>
      </c>
      <c r="D1855" t="str">
        <f>_xll.BDP("6490246C Muni","STATE_CODE")</f>
        <v>#N/A Requesting Data...</v>
      </c>
      <c r="E1855" t="str">
        <f>_xll.BDP("6490246C Muni","COUNTY_LOCATION_ISSUER")</f>
        <v>#N/A Requesting Data...</v>
      </c>
      <c r="F1855" t="str">
        <f>_xll.BDP("6490246C Muni","DUR_ADJ_MID")</f>
        <v>#N/A Requesting Data...</v>
      </c>
      <c r="G1855" t="str">
        <f>_xll.BDP("6490246C Muni","SPREAD_AT_ISSUANCE_TO_WORST")</f>
        <v>#N/A Requesting Data...</v>
      </c>
      <c r="H1855" t="str">
        <f>_xll.BDP("6490246C Muni","ISSUE_DT")</f>
        <v>#N/A Requesting Data...</v>
      </c>
      <c r="I1855" t="str">
        <f>_xll.BDS("6490246C Muni","MUNI_PURPOSE_SCHED", "aggregate=y")</f>
        <v>#N/A Requesting Data...</v>
      </c>
      <c r="J1855" t="str">
        <f>_xll.BDP("6490246C Muni","CPN")</f>
        <v>#N/A Requesting Data...</v>
      </c>
      <c r="K1855" t="str">
        <f>_xll.BDP("6490246C Muni","MATURITY")</f>
        <v>#N/A Requesting Data...</v>
      </c>
      <c r="L1855">
        <v>130000</v>
      </c>
      <c r="M1855" t="str">
        <f>_xll.BDP("6490246C Muni","YIELD_ON_ISSUE_DATE")</f>
        <v>#N/A Requesting Data...</v>
      </c>
      <c r="N1855" t="str">
        <f>_xll.BDP("6490246C Muni","YTW_SPREAD_TO_MATURITY_AT_ISSU")</f>
        <v>#N/A Requesting Data...</v>
      </c>
      <c r="O1855" t="str">
        <f>_xll.BDP("6490246C Muni","BVAL_MID_YTM")</f>
        <v>#N/A Requesting Data...</v>
      </c>
      <c r="P1855" t="str">
        <f>_xll.BDP("6490246C Muni","MUNI_TAX_PROV")</f>
        <v>#N/A Requesting Data...</v>
      </c>
      <c r="Q1855" t="str">
        <f>_xll.BDP("6490246C Muni","MUNI_FED_TAX")</f>
        <v>#N/A Requesting Data...</v>
      </c>
      <c r="R1855" t="str">
        <f>_xll.BDP("6490246C Muni","MUNI_MSRB_VOLUME")</f>
        <v>#N/A Requesting Data...</v>
      </c>
      <c r="S1855" t="str">
        <f>_xll.BDP("6490246C Muni","BB_COMPOSITE")</f>
        <v>#N/A Requesting Data...</v>
      </c>
      <c r="T1855" t="str">
        <f>_xll.BDP("6490246C Muni","LQA_LIQUIDITY_SCORE")</f>
        <v>#N/A Requesting Data...</v>
      </c>
    </row>
    <row r="1856" spans="1:20" x14ac:dyDescent="0.25">
      <c r="A1856" t="str">
        <f>_xll.BDP("6490246D Muni","ID_CUSIP")</f>
        <v>#N/A Requesting Data...</v>
      </c>
      <c r="B1856" t="s">
        <v>451</v>
      </c>
      <c r="C1856" t="str">
        <f>_xll.BDP("6490246D Muni","INSURANCE_STATUS")</f>
        <v>#N/A Requesting Data...</v>
      </c>
      <c r="D1856" t="str">
        <f>_xll.BDP("6490246D Muni","STATE_CODE")</f>
        <v>#N/A Requesting Data...</v>
      </c>
      <c r="E1856" t="str">
        <f>_xll.BDP("6490246D Muni","COUNTY_LOCATION_ISSUER")</f>
        <v>#N/A Requesting Data...</v>
      </c>
      <c r="F1856" t="str">
        <f>_xll.BDP("6490246D Muni","DUR_ADJ_MID")</f>
        <v>#N/A Requesting Data...</v>
      </c>
      <c r="G1856" t="str">
        <f>_xll.BDP("6490246D Muni","SPREAD_AT_ISSUANCE_TO_WORST")</f>
        <v>#N/A Requesting Data...</v>
      </c>
      <c r="H1856" t="str">
        <f>_xll.BDP("6490246D Muni","ISSUE_DT")</f>
        <v>#N/A Requesting Data...</v>
      </c>
      <c r="I1856" t="str">
        <f>_xll.BDS("6490246D Muni","MUNI_PURPOSE_SCHED", "aggregate=y")</f>
        <v>#N/A Requesting Data...</v>
      </c>
      <c r="J1856" t="str">
        <f>_xll.BDP("6490246D Muni","CPN")</f>
        <v>#N/A Requesting Data...</v>
      </c>
      <c r="K1856" t="str">
        <f>_xll.BDP("6490246D Muni","MATURITY")</f>
        <v>#N/A Requesting Data...</v>
      </c>
      <c r="L1856">
        <v>135000</v>
      </c>
      <c r="M1856" t="str">
        <f>_xll.BDP("6490246D Muni","YIELD_ON_ISSUE_DATE")</f>
        <v>#N/A Requesting Data...</v>
      </c>
      <c r="N1856" t="str">
        <f>_xll.BDP("6490246D Muni","YTW_SPREAD_TO_MATURITY_AT_ISSU")</f>
        <v>#N/A Requesting Data...</v>
      </c>
      <c r="O1856" t="str">
        <f>_xll.BDP("6490246D Muni","BVAL_MID_YTM")</f>
        <v>#N/A Requesting Data...</v>
      </c>
      <c r="P1856" t="str">
        <f>_xll.BDP("6490246D Muni","MUNI_TAX_PROV")</f>
        <v>#N/A Requesting Data...</v>
      </c>
      <c r="Q1856" t="str">
        <f>_xll.BDP("6490246D Muni","MUNI_FED_TAX")</f>
        <v>#N/A Requesting Data...</v>
      </c>
      <c r="R1856" t="str">
        <f>_xll.BDP("6490246D Muni","MUNI_MSRB_VOLUME")</f>
        <v>#N/A Requesting Data...</v>
      </c>
      <c r="S1856" t="str">
        <f>_xll.BDP("6490246D Muni","BB_COMPOSITE")</f>
        <v>#N/A Requesting Data...</v>
      </c>
      <c r="T1856" t="str">
        <f>_xll.BDP("6490246D Muni","LQA_LIQUIDITY_SCORE")</f>
        <v>#N/A Requesting Data...</v>
      </c>
    </row>
    <row r="1857" spans="1:20" x14ac:dyDescent="0.25">
      <c r="A1857" t="str">
        <f>_xll.BDP("6490246E Muni","ID_CUSIP")</f>
        <v>#N/A Requesting Data...</v>
      </c>
      <c r="B1857" t="s">
        <v>451</v>
      </c>
      <c r="C1857" t="str">
        <f>_xll.BDP("6490246E Muni","INSURANCE_STATUS")</f>
        <v>#N/A Requesting Data...</v>
      </c>
      <c r="D1857" t="str">
        <f>_xll.BDP("6490246E Muni","STATE_CODE")</f>
        <v>#N/A Requesting Data...</v>
      </c>
      <c r="E1857" t="str">
        <f>_xll.BDP("6490246E Muni","COUNTY_LOCATION_ISSUER")</f>
        <v>#N/A Requesting Data...</v>
      </c>
      <c r="F1857" t="str">
        <f>_xll.BDP("6490246E Muni","DUR_ADJ_MID")</f>
        <v>#N/A Requesting Data...</v>
      </c>
      <c r="G1857" t="str">
        <f>_xll.BDP("6490246E Muni","SPREAD_AT_ISSUANCE_TO_WORST")</f>
        <v>#N/A Requesting Data...</v>
      </c>
      <c r="H1857" t="str">
        <f>_xll.BDP("6490246E Muni","ISSUE_DT")</f>
        <v>#N/A Requesting Data...</v>
      </c>
      <c r="I1857" t="str">
        <f>_xll.BDS("6490246E Muni","MUNI_PURPOSE_SCHED", "aggregate=y")</f>
        <v>#N/A Requesting Data...</v>
      </c>
      <c r="J1857" t="str">
        <f>_xll.BDP("6490246E Muni","CPN")</f>
        <v>#N/A Requesting Data...</v>
      </c>
      <c r="K1857" t="str">
        <f>_xll.BDP("6490246E Muni","MATURITY")</f>
        <v>#N/A Requesting Data...</v>
      </c>
      <c r="L1857">
        <v>140000</v>
      </c>
      <c r="M1857" t="str">
        <f>_xll.BDP("6490246E Muni","YIELD_ON_ISSUE_DATE")</f>
        <v>#N/A Requesting Data...</v>
      </c>
      <c r="N1857" t="str">
        <f>_xll.BDP("6490246E Muni","YTW_SPREAD_TO_MATURITY_AT_ISSU")</f>
        <v>#N/A Requesting Data...</v>
      </c>
      <c r="O1857" t="str">
        <f>_xll.BDP("6490246E Muni","BVAL_MID_YTM")</f>
        <v>#N/A Requesting Data...</v>
      </c>
      <c r="P1857" t="str">
        <f>_xll.BDP("6490246E Muni","MUNI_TAX_PROV")</f>
        <v>#N/A Requesting Data...</v>
      </c>
      <c r="Q1857" t="str">
        <f>_xll.BDP("6490246E Muni","MUNI_FED_TAX")</f>
        <v>#N/A Requesting Data...</v>
      </c>
      <c r="R1857" t="str">
        <f>_xll.BDP("6490246E Muni","MUNI_MSRB_VOLUME")</f>
        <v>#N/A Requesting Data...</v>
      </c>
      <c r="S1857" t="str">
        <f>_xll.BDP("6490246E Muni","BB_COMPOSITE")</f>
        <v>#N/A Requesting Data...</v>
      </c>
      <c r="T1857" t="str">
        <f>_xll.BDP("6490246E Muni","LQA_LIQUIDITY_SCORE")</f>
        <v>#N/A Requesting Data...</v>
      </c>
    </row>
    <row r="1858" spans="1:20" x14ac:dyDescent="0.25">
      <c r="A1858" t="str">
        <f>_xll.BDP("649228U4 Muni","ID_CUSIP")</f>
        <v>#N/A Requesting Data...</v>
      </c>
      <c r="B1858" t="s">
        <v>452</v>
      </c>
      <c r="C1858" t="str">
        <f>_xll.BDP("649228U4 Muni","INSURANCE_STATUS")</f>
        <v>#N/A Requesting Data...</v>
      </c>
      <c r="D1858" t="str">
        <f>_xll.BDP("649228U4 Muni","STATE_CODE")</f>
        <v>#N/A Requesting Data...</v>
      </c>
      <c r="E1858" t="str">
        <f>_xll.BDP("649228U4 Muni","COUNTY_LOCATION_ISSUER")</f>
        <v>#N/A Requesting Data...</v>
      </c>
      <c r="F1858" t="str">
        <f>_xll.BDP("649228U4 Muni","DUR_ADJ_MID")</f>
        <v>#N/A Requesting Data...</v>
      </c>
      <c r="G1858" t="str">
        <f>_xll.BDP("649228U4 Muni","SPREAD_AT_ISSUANCE_TO_WORST")</f>
        <v>#N/A Requesting Data...</v>
      </c>
      <c r="H1858" t="str">
        <f>_xll.BDP("649228U4 Muni","ISSUE_DT")</f>
        <v>#N/A Requesting Data...</v>
      </c>
      <c r="I1858" t="str">
        <f>_xll.BDS("649228U4 Muni","MUNI_PURPOSE_SCHED", "aggregate=y")</f>
        <v>#N/A Requesting Data...</v>
      </c>
      <c r="J1858" t="str">
        <f>_xll.BDP("649228U4 Muni","CPN")</f>
        <v>#N/A Requesting Data...</v>
      </c>
      <c r="K1858" t="str">
        <f>_xll.BDP("649228U4 Muni","MATURITY")</f>
        <v>#N/A Requesting Data...</v>
      </c>
      <c r="L1858">
        <v>470000</v>
      </c>
      <c r="M1858" t="str">
        <f>_xll.BDP("649228U4 Muni","YIELD_ON_ISSUE_DATE")</f>
        <v>#N/A Requesting Data...</v>
      </c>
      <c r="N1858" t="str">
        <f>_xll.BDP("649228U4 Muni","YTW_SPREAD_TO_MATURITY_AT_ISSU")</f>
        <v>#N/A Requesting Data...</v>
      </c>
      <c r="O1858" t="str">
        <f>_xll.BDP("649228U4 Muni","BVAL_MID_YTM")</f>
        <v>#N/A Requesting Data...</v>
      </c>
      <c r="P1858" t="str">
        <f>_xll.BDP("649228U4 Muni","MUNI_TAX_PROV")</f>
        <v>#N/A Requesting Data...</v>
      </c>
      <c r="Q1858" t="str">
        <f>_xll.BDP("649228U4 Muni","MUNI_FED_TAX")</f>
        <v>#N/A Requesting Data...</v>
      </c>
      <c r="R1858" t="str">
        <f>_xll.BDP("649228U4 Muni","MUNI_MSRB_VOLUME")</f>
        <v>#N/A Requesting Data...</v>
      </c>
      <c r="S1858" t="str">
        <f>_xll.BDP("649228U4 Muni","BB_COMPOSITE")</f>
        <v>#N/A Requesting Data...</v>
      </c>
      <c r="T1858" t="str">
        <f>_xll.BDP("649228U4 Muni","LQA_LIQUIDITY_SCORE")</f>
        <v>#N/A Requesting Data...</v>
      </c>
    </row>
    <row r="1859" spans="1:20" x14ac:dyDescent="0.25">
      <c r="A1859" t="str">
        <f>_xll.BDP("649228U5 Muni","ID_CUSIP")</f>
        <v>#N/A Requesting Data...</v>
      </c>
      <c r="B1859" t="s">
        <v>452</v>
      </c>
      <c r="C1859" t="str">
        <f>_xll.BDP("649228U5 Muni","INSURANCE_STATUS")</f>
        <v>#N/A Requesting Data...</v>
      </c>
      <c r="D1859" t="str">
        <f>_xll.BDP("649228U5 Muni","STATE_CODE")</f>
        <v>#N/A Requesting Data...</v>
      </c>
      <c r="E1859" t="str">
        <f>_xll.BDP("649228U5 Muni","COUNTY_LOCATION_ISSUER")</f>
        <v>#N/A Requesting Data...</v>
      </c>
      <c r="F1859" t="str">
        <f>_xll.BDP("649228U5 Muni","DUR_ADJ_MID")</f>
        <v>#N/A Requesting Data...</v>
      </c>
      <c r="G1859" t="str">
        <f>_xll.BDP("649228U5 Muni","SPREAD_AT_ISSUANCE_TO_WORST")</f>
        <v>#N/A Requesting Data...</v>
      </c>
      <c r="H1859" t="str">
        <f>_xll.BDP("649228U5 Muni","ISSUE_DT")</f>
        <v>#N/A Requesting Data...</v>
      </c>
      <c r="I1859" t="str">
        <f>_xll.BDS("649228U5 Muni","MUNI_PURPOSE_SCHED", "aggregate=y")</f>
        <v>#N/A Requesting Data...</v>
      </c>
      <c r="J1859" t="str">
        <f>_xll.BDP("649228U5 Muni","CPN")</f>
        <v>#N/A Requesting Data...</v>
      </c>
      <c r="K1859" t="str">
        <f>_xll.BDP("649228U5 Muni","MATURITY")</f>
        <v>#N/A Requesting Data...</v>
      </c>
      <c r="L1859">
        <v>470000</v>
      </c>
      <c r="M1859" t="str">
        <f>_xll.BDP("649228U5 Muni","YIELD_ON_ISSUE_DATE")</f>
        <v>#N/A Requesting Data...</v>
      </c>
      <c r="N1859" t="str">
        <f>_xll.BDP("649228U5 Muni","YTW_SPREAD_TO_MATURITY_AT_ISSU")</f>
        <v>#N/A Requesting Data...</v>
      </c>
      <c r="O1859" t="str">
        <f>_xll.BDP("649228U5 Muni","BVAL_MID_YTM")</f>
        <v>#N/A Requesting Data...</v>
      </c>
      <c r="P1859" t="str">
        <f>_xll.BDP("649228U5 Muni","MUNI_TAX_PROV")</f>
        <v>#N/A Requesting Data...</v>
      </c>
      <c r="Q1859" t="str">
        <f>_xll.BDP("649228U5 Muni","MUNI_FED_TAX")</f>
        <v>#N/A Requesting Data...</v>
      </c>
      <c r="R1859" t="str">
        <f>_xll.BDP("649228U5 Muni","MUNI_MSRB_VOLUME")</f>
        <v>#N/A Requesting Data...</v>
      </c>
      <c r="S1859" t="str">
        <f>_xll.BDP("649228U5 Muni","BB_COMPOSITE")</f>
        <v>#N/A Requesting Data...</v>
      </c>
      <c r="T1859" t="str">
        <f>_xll.BDP("649228U5 Muni","LQA_LIQUIDITY_SCORE")</f>
        <v>#N/A Requesting Data...</v>
      </c>
    </row>
    <row r="1860" spans="1:20" x14ac:dyDescent="0.25">
      <c r="A1860" t="str">
        <f>_xll.BDP("649228U6 Muni","ID_CUSIP")</f>
        <v>#N/A Requesting Data...</v>
      </c>
      <c r="B1860" t="s">
        <v>452</v>
      </c>
      <c r="C1860" t="str">
        <f>_xll.BDP("649228U6 Muni","INSURANCE_STATUS")</f>
        <v>#N/A Requesting Data...</v>
      </c>
      <c r="D1860" t="str">
        <f>_xll.BDP("649228U6 Muni","STATE_CODE")</f>
        <v>#N/A Requesting Data...</v>
      </c>
      <c r="E1860" t="str">
        <f>_xll.BDP("649228U6 Muni","COUNTY_LOCATION_ISSUER")</f>
        <v>#N/A Requesting Data...</v>
      </c>
      <c r="F1860" t="str">
        <f>_xll.BDP("649228U6 Muni","DUR_ADJ_MID")</f>
        <v>#N/A Requesting Data...</v>
      </c>
      <c r="G1860" t="str">
        <f>_xll.BDP("649228U6 Muni","SPREAD_AT_ISSUANCE_TO_WORST")</f>
        <v>#N/A Requesting Data...</v>
      </c>
      <c r="H1860" t="str">
        <f>_xll.BDP("649228U6 Muni","ISSUE_DT")</f>
        <v>#N/A Requesting Data...</v>
      </c>
      <c r="I1860" t="str">
        <f>_xll.BDS("649228U6 Muni","MUNI_PURPOSE_SCHED", "aggregate=y")</f>
        <v>#N/A Requesting Data...</v>
      </c>
      <c r="J1860" t="str">
        <f>_xll.BDP("649228U6 Muni","CPN")</f>
        <v>#N/A Requesting Data...</v>
      </c>
      <c r="K1860" t="str">
        <f>_xll.BDP("649228U6 Muni","MATURITY")</f>
        <v>#N/A Requesting Data...</v>
      </c>
      <c r="L1860">
        <v>485000</v>
      </c>
      <c r="M1860" t="str">
        <f>_xll.BDP("649228U6 Muni","YIELD_ON_ISSUE_DATE")</f>
        <v>#N/A Requesting Data...</v>
      </c>
      <c r="N1860" t="str">
        <f>_xll.BDP("649228U6 Muni","YTW_SPREAD_TO_MATURITY_AT_ISSU")</f>
        <v>#N/A Requesting Data...</v>
      </c>
      <c r="O1860" t="str">
        <f>_xll.BDP("649228U6 Muni","BVAL_MID_YTM")</f>
        <v>#N/A Requesting Data...</v>
      </c>
      <c r="P1860" t="str">
        <f>_xll.BDP("649228U6 Muni","MUNI_TAX_PROV")</f>
        <v>#N/A Requesting Data...</v>
      </c>
      <c r="Q1860" t="str">
        <f>_xll.BDP("649228U6 Muni","MUNI_FED_TAX")</f>
        <v>#N/A Requesting Data...</v>
      </c>
      <c r="R1860" t="str">
        <f>_xll.BDP("649228U6 Muni","MUNI_MSRB_VOLUME")</f>
        <v>#N/A Requesting Data...</v>
      </c>
      <c r="S1860" t="str">
        <f>_xll.BDP("649228U6 Muni","BB_COMPOSITE")</f>
        <v>#N/A Requesting Data...</v>
      </c>
      <c r="T1860" t="str">
        <f>_xll.BDP("649228U6 Muni","LQA_LIQUIDITY_SCORE")</f>
        <v>#N/A Requesting Data...</v>
      </c>
    </row>
    <row r="1861" spans="1:20" x14ac:dyDescent="0.25">
      <c r="A1861" t="str">
        <f>_xll.BDP("649228U7 Muni","ID_CUSIP")</f>
        <v>#N/A Requesting Data...</v>
      </c>
      <c r="B1861" t="s">
        <v>452</v>
      </c>
      <c r="C1861" t="str">
        <f>_xll.BDP("649228U7 Muni","INSURANCE_STATUS")</f>
        <v>#N/A Requesting Data...</v>
      </c>
      <c r="D1861" t="str">
        <f>_xll.BDP("649228U7 Muni","STATE_CODE")</f>
        <v>#N/A Requesting Data...</v>
      </c>
      <c r="E1861" t="str">
        <f>_xll.BDP("649228U7 Muni","COUNTY_LOCATION_ISSUER")</f>
        <v>#N/A Requesting Data...</v>
      </c>
      <c r="F1861" t="str">
        <f>_xll.BDP("649228U7 Muni","DUR_ADJ_MID")</f>
        <v>#N/A Requesting Data...</v>
      </c>
      <c r="G1861" t="str">
        <f>_xll.BDP("649228U7 Muni","SPREAD_AT_ISSUANCE_TO_WORST")</f>
        <v>#N/A Requesting Data...</v>
      </c>
      <c r="H1861" t="str">
        <f>_xll.BDP("649228U7 Muni","ISSUE_DT")</f>
        <v>#N/A Requesting Data...</v>
      </c>
      <c r="I1861" t="str">
        <f>_xll.BDS("649228U7 Muni","MUNI_PURPOSE_SCHED", "aggregate=y")</f>
        <v>#N/A Requesting Data...</v>
      </c>
      <c r="J1861" t="str">
        <f>_xll.BDP("649228U7 Muni","CPN")</f>
        <v>#N/A Requesting Data...</v>
      </c>
      <c r="K1861" t="str">
        <f>_xll.BDP("649228U7 Muni","MATURITY")</f>
        <v>#N/A Requesting Data...</v>
      </c>
      <c r="L1861">
        <v>525000</v>
      </c>
      <c r="M1861" t="str">
        <f>_xll.BDP("649228U7 Muni","YIELD_ON_ISSUE_DATE")</f>
        <v>#N/A Requesting Data...</v>
      </c>
      <c r="N1861" t="str">
        <f>_xll.BDP("649228U7 Muni","YTW_SPREAD_TO_MATURITY_AT_ISSU")</f>
        <v>#N/A Requesting Data...</v>
      </c>
      <c r="O1861" t="str">
        <f>_xll.BDP("649228U7 Muni","BVAL_MID_YTM")</f>
        <v>#N/A Requesting Data...</v>
      </c>
      <c r="P1861" t="str">
        <f>_xll.BDP("649228U7 Muni","MUNI_TAX_PROV")</f>
        <v>#N/A Requesting Data...</v>
      </c>
      <c r="Q1861" t="str">
        <f>_xll.BDP("649228U7 Muni","MUNI_FED_TAX")</f>
        <v>#N/A Requesting Data...</v>
      </c>
      <c r="R1861" t="str">
        <f>_xll.BDP("649228U7 Muni","MUNI_MSRB_VOLUME")</f>
        <v>#N/A Requesting Data...</v>
      </c>
      <c r="S1861" t="str">
        <f>_xll.BDP("649228U7 Muni","BB_COMPOSITE")</f>
        <v>#N/A Requesting Data...</v>
      </c>
      <c r="T1861" t="str">
        <f>_xll.BDP("649228U7 Muni","LQA_LIQUIDITY_SCORE")</f>
        <v>#N/A Requesting Data...</v>
      </c>
    </row>
    <row r="1862" spans="1:20" x14ac:dyDescent="0.25">
      <c r="A1862" t="str">
        <f>_xll.BDP("777870YF Muni","ID_CUSIP")</f>
        <v>#N/A Requesting Data...</v>
      </c>
      <c r="B1862" t="s">
        <v>453</v>
      </c>
      <c r="C1862" t="str">
        <f>_xll.BDP("777870YF Muni","INSURANCE_STATUS")</f>
        <v>#N/A Requesting Data...</v>
      </c>
      <c r="D1862" t="str">
        <f>_xll.BDP("777870YF Muni","STATE_CODE")</f>
        <v>#N/A Requesting Data...</v>
      </c>
      <c r="E1862" t="str">
        <f>_xll.BDP("777870YF Muni","COUNTY_LOCATION_ISSUER")</f>
        <v>#N/A Requesting Data...</v>
      </c>
      <c r="F1862" t="str">
        <f>_xll.BDP("777870YF Muni","DUR_ADJ_MID")</f>
        <v>#N/A Requesting Data...</v>
      </c>
      <c r="G1862" t="str">
        <f>_xll.BDP("777870YF Muni","SPREAD_AT_ISSUANCE_TO_WORST")</f>
        <v>#N/A Requesting Data...</v>
      </c>
      <c r="H1862" t="str">
        <f>_xll.BDP("777870YF Muni","ISSUE_DT")</f>
        <v>#N/A Requesting Data...</v>
      </c>
      <c r="I1862" t="str">
        <f>_xll.BDS("777870YF Muni","MUNI_PURPOSE_SCHED", "aggregate=y")</f>
        <v>#N/A Requesting Data...</v>
      </c>
      <c r="J1862" t="str">
        <f>_xll.BDP("777870YF Muni","CPN")</f>
        <v>#N/A Requesting Data...</v>
      </c>
      <c r="K1862" t="str">
        <f>_xll.BDP("777870YF Muni","MATURITY")</f>
        <v>#N/A Requesting Data...</v>
      </c>
      <c r="L1862">
        <v>100000</v>
      </c>
      <c r="M1862" t="str">
        <f>_xll.BDP("777870YF Muni","YIELD_ON_ISSUE_DATE")</f>
        <v>#N/A Requesting Data...</v>
      </c>
      <c r="N1862" t="str">
        <f>_xll.BDP("777870YF Muni","YTW_SPREAD_TO_MATURITY_AT_ISSU")</f>
        <v>#N/A Requesting Data...</v>
      </c>
      <c r="O1862" t="str">
        <f>_xll.BDP("777870YF Muni","BVAL_MID_YTM")</f>
        <v>#N/A Requesting Data...</v>
      </c>
      <c r="P1862" t="str">
        <f>_xll.BDP("777870YF Muni","MUNI_TAX_PROV")</f>
        <v>#N/A Requesting Data...</v>
      </c>
      <c r="Q1862" t="str">
        <f>_xll.BDP("777870YF Muni","MUNI_FED_TAX")</f>
        <v>#N/A Requesting Data...</v>
      </c>
      <c r="R1862" t="str">
        <f>_xll.BDP("777870YF Muni","MUNI_MSRB_VOLUME")</f>
        <v>#N/A Requesting Data...</v>
      </c>
      <c r="S1862" t="str">
        <f>_xll.BDP("777870YF Muni","BB_COMPOSITE")</f>
        <v>#N/A Requesting Data...</v>
      </c>
      <c r="T1862" t="str">
        <f>_xll.BDP("777870YF Muni","LQA_LIQUIDITY_SCORE")</f>
        <v>#N/A Requesting Data...</v>
      </c>
    </row>
    <row r="1863" spans="1:20" x14ac:dyDescent="0.25">
      <c r="A1863" t="str">
        <f>_xll.BDP("777870YG Muni","ID_CUSIP")</f>
        <v>#N/A Requesting Data...</v>
      </c>
      <c r="B1863" t="s">
        <v>453</v>
      </c>
      <c r="C1863" t="str">
        <f>_xll.BDP("777870YG Muni","INSURANCE_STATUS")</f>
        <v>#N/A Requesting Data...</v>
      </c>
      <c r="D1863" t="str">
        <f>_xll.BDP("777870YG Muni","STATE_CODE")</f>
        <v>#N/A Requesting Data...</v>
      </c>
      <c r="E1863" t="str">
        <f>_xll.BDP("777870YG Muni","COUNTY_LOCATION_ISSUER")</f>
        <v>#N/A Requesting Data...</v>
      </c>
      <c r="F1863" t="str">
        <f>_xll.BDP("777870YG Muni","DUR_ADJ_MID")</f>
        <v>#N/A Requesting Data...</v>
      </c>
      <c r="G1863" t="str">
        <f>_xll.BDP("777870YG Muni","SPREAD_AT_ISSUANCE_TO_WORST")</f>
        <v>#N/A Requesting Data...</v>
      </c>
      <c r="H1863" t="str">
        <f>_xll.BDP("777870YG Muni","ISSUE_DT")</f>
        <v>#N/A Requesting Data...</v>
      </c>
      <c r="I1863" t="str">
        <f>_xll.BDS("777870YG Muni","MUNI_PURPOSE_SCHED", "aggregate=y")</f>
        <v>#N/A Requesting Data...</v>
      </c>
      <c r="J1863" t="str">
        <f>_xll.BDP("777870YG Muni","CPN")</f>
        <v>#N/A Requesting Data...</v>
      </c>
      <c r="K1863" t="str">
        <f>_xll.BDP("777870YG Muni","MATURITY")</f>
        <v>#N/A Requesting Data...</v>
      </c>
      <c r="L1863">
        <v>115000</v>
      </c>
      <c r="M1863" t="str">
        <f>_xll.BDP("777870YG Muni","YIELD_ON_ISSUE_DATE")</f>
        <v>#N/A Requesting Data...</v>
      </c>
      <c r="N1863" t="str">
        <f>_xll.BDP("777870YG Muni","YTW_SPREAD_TO_MATURITY_AT_ISSU")</f>
        <v>#N/A Requesting Data...</v>
      </c>
      <c r="O1863" t="str">
        <f>_xll.BDP("777870YG Muni","BVAL_MID_YTM")</f>
        <v>#N/A Requesting Data...</v>
      </c>
      <c r="P1863" t="str">
        <f>_xll.BDP("777870YG Muni","MUNI_TAX_PROV")</f>
        <v>#N/A Requesting Data...</v>
      </c>
      <c r="Q1863" t="str">
        <f>_xll.BDP("777870YG Muni","MUNI_FED_TAX")</f>
        <v>#N/A Requesting Data...</v>
      </c>
      <c r="R1863" t="str">
        <f>_xll.BDP("777870YG Muni","MUNI_MSRB_VOLUME")</f>
        <v>#N/A Requesting Data...</v>
      </c>
      <c r="S1863" t="str">
        <f>_xll.BDP("777870YG Muni","BB_COMPOSITE")</f>
        <v>#N/A Requesting Data...</v>
      </c>
      <c r="T1863" t="str">
        <f>_xll.BDP("777870YG Muni","LQA_LIQUIDITY_SCORE")</f>
        <v>#N/A Requesting Data...</v>
      </c>
    </row>
    <row r="1864" spans="1:20" x14ac:dyDescent="0.25">
      <c r="A1864" t="str">
        <f>_xll.BDP("777870YJ Muni","ID_CUSIP")</f>
        <v>#N/A Requesting Data...</v>
      </c>
      <c r="B1864" t="s">
        <v>453</v>
      </c>
      <c r="C1864" t="str">
        <f>_xll.BDP("777870YJ Muni","INSURANCE_STATUS")</f>
        <v>#N/A Requesting Data...</v>
      </c>
      <c r="D1864" t="str">
        <f>_xll.BDP("777870YJ Muni","STATE_CODE")</f>
        <v>#N/A Requesting Data...</v>
      </c>
      <c r="E1864" t="str">
        <f>_xll.BDP("777870YJ Muni","COUNTY_LOCATION_ISSUER")</f>
        <v>#N/A Requesting Data...</v>
      </c>
      <c r="F1864" t="str">
        <f>_xll.BDP("777870YJ Muni","DUR_ADJ_MID")</f>
        <v>#N/A Requesting Data...</v>
      </c>
      <c r="G1864" t="str">
        <f>_xll.BDP("777870YJ Muni","SPREAD_AT_ISSUANCE_TO_WORST")</f>
        <v>#N/A Requesting Data...</v>
      </c>
      <c r="H1864" t="str">
        <f>_xll.BDP("777870YJ Muni","ISSUE_DT")</f>
        <v>#N/A Requesting Data...</v>
      </c>
      <c r="I1864" t="str">
        <f>_xll.BDS("777870YJ Muni","MUNI_PURPOSE_SCHED", "aggregate=y")</f>
        <v>#N/A Requesting Data...</v>
      </c>
      <c r="J1864" t="str">
        <f>_xll.BDP("777870YJ Muni","CPN")</f>
        <v>#N/A Requesting Data...</v>
      </c>
      <c r="K1864" t="str">
        <f>_xll.BDP("777870YJ Muni","MATURITY")</f>
        <v>#N/A Requesting Data...</v>
      </c>
      <c r="L1864">
        <v>150000</v>
      </c>
      <c r="M1864" t="str">
        <f>_xll.BDP("777870YJ Muni","YIELD_ON_ISSUE_DATE")</f>
        <v>#N/A Requesting Data...</v>
      </c>
      <c r="N1864" t="str">
        <f>_xll.BDP("777870YJ Muni","YTW_SPREAD_TO_MATURITY_AT_ISSU")</f>
        <v>#N/A Requesting Data...</v>
      </c>
      <c r="O1864" t="str">
        <f>_xll.BDP("777870YJ Muni","BVAL_MID_YTM")</f>
        <v>#N/A Requesting Data...</v>
      </c>
      <c r="P1864" t="str">
        <f>_xll.BDP("777870YJ Muni","MUNI_TAX_PROV")</f>
        <v>#N/A Requesting Data...</v>
      </c>
      <c r="Q1864" t="str">
        <f>_xll.BDP("777870YJ Muni","MUNI_FED_TAX")</f>
        <v>#N/A Requesting Data...</v>
      </c>
      <c r="R1864" t="str">
        <f>_xll.BDP("777870YJ Muni","MUNI_MSRB_VOLUME")</f>
        <v>#N/A Requesting Data...</v>
      </c>
      <c r="S1864" t="str">
        <f>_xll.BDP("777870YJ Muni","BB_COMPOSITE")</f>
        <v>#N/A Requesting Data...</v>
      </c>
      <c r="T1864" t="str">
        <f>_xll.BDP("777870YJ Muni","LQA_LIQUIDITY_SCORE")</f>
        <v>#N/A Requesting Data...</v>
      </c>
    </row>
    <row r="1865" spans="1:20" x14ac:dyDescent="0.25">
      <c r="A1865" t="str">
        <f>_xll.BDP("778765GG Muni","ID_CUSIP")</f>
        <v>#N/A Requesting Data...</v>
      </c>
      <c r="B1865" t="s">
        <v>447</v>
      </c>
      <c r="C1865" t="str">
        <f>_xll.BDP("778765GG Muni","INSURANCE_STATUS")</f>
        <v>#N/A Requesting Data...</v>
      </c>
      <c r="D1865" t="str">
        <f>_xll.BDP("778765GG Muni","STATE_CODE")</f>
        <v>#N/A Requesting Data...</v>
      </c>
      <c r="E1865" t="str">
        <f>_xll.BDP("778765GG Muni","COUNTY_LOCATION_ISSUER")</f>
        <v>#N/A Requesting Data...</v>
      </c>
      <c r="F1865" t="str">
        <f>_xll.BDP("778765GG Muni","DUR_ADJ_MID")</f>
        <v>#N/A Requesting Data...</v>
      </c>
      <c r="G1865" t="str">
        <f>_xll.BDP("778765GG Muni","SPREAD_AT_ISSUANCE_TO_WORST")</f>
        <v>#N/A Requesting Data...</v>
      </c>
      <c r="H1865" t="str">
        <f>_xll.BDP("778765GG Muni","ISSUE_DT")</f>
        <v>#N/A Requesting Data...</v>
      </c>
      <c r="I1865" t="str">
        <f>_xll.BDS("778765GG Muni","MUNI_PURPOSE_SCHED", "aggregate=y")</f>
        <v>#N/A Requesting Data...</v>
      </c>
      <c r="J1865" t="str">
        <f>_xll.BDP("778765GG Muni","CPN")</f>
        <v>#N/A Requesting Data...</v>
      </c>
      <c r="K1865" t="str">
        <f>_xll.BDP("778765GG Muni","MATURITY")</f>
        <v>#N/A Requesting Data...</v>
      </c>
      <c r="L1865">
        <v>240000</v>
      </c>
      <c r="M1865" t="str">
        <f>_xll.BDP("778765GG Muni","YIELD_ON_ISSUE_DATE")</f>
        <v>#N/A Requesting Data...</v>
      </c>
      <c r="N1865" t="str">
        <f>_xll.BDP("778765GG Muni","YTW_SPREAD_TO_MATURITY_AT_ISSU")</f>
        <v>#N/A Requesting Data...</v>
      </c>
      <c r="O1865" t="str">
        <f>_xll.BDP("778765GG Muni","BVAL_MID_YTM")</f>
        <v>#N/A Requesting Data...</v>
      </c>
      <c r="P1865" t="str">
        <f>_xll.BDP("778765GG Muni","MUNI_TAX_PROV")</f>
        <v>#N/A Requesting Data...</v>
      </c>
      <c r="Q1865" t="str">
        <f>_xll.BDP("778765GG Muni","MUNI_FED_TAX")</f>
        <v>#N/A Requesting Data...</v>
      </c>
      <c r="R1865" t="str">
        <f>_xll.BDP("778765GG Muni","MUNI_MSRB_VOLUME")</f>
        <v>#N/A Requesting Data...</v>
      </c>
      <c r="S1865" t="str">
        <f>_xll.BDP("778765GG Muni","BB_COMPOSITE")</f>
        <v>#N/A Requesting Data...</v>
      </c>
      <c r="T1865" t="str">
        <f>_xll.BDP("778765GG Muni","LQA_LIQUIDITY_SCORE")</f>
        <v>#N/A Requesting Data...</v>
      </c>
    </row>
    <row r="1866" spans="1:20" x14ac:dyDescent="0.25">
      <c r="A1866" t="str">
        <f>_xll.BDP("778765GJ Muni","ID_CUSIP")</f>
        <v>#N/A Requesting Data...</v>
      </c>
      <c r="B1866" t="s">
        <v>447</v>
      </c>
      <c r="C1866" t="str">
        <f>_xll.BDP("778765GJ Muni","INSURANCE_STATUS")</f>
        <v>#N/A Requesting Data...</v>
      </c>
      <c r="D1866" t="str">
        <f>_xll.BDP("778765GJ Muni","STATE_CODE")</f>
        <v>#N/A Requesting Data...</v>
      </c>
      <c r="E1866" t="str">
        <f>_xll.BDP("778765GJ Muni","COUNTY_LOCATION_ISSUER")</f>
        <v>#N/A Requesting Data...</v>
      </c>
      <c r="F1866" t="str">
        <f>_xll.BDP("778765GJ Muni","DUR_ADJ_MID")</f>
        <v>#N/A Requesting Data...</v>
      </c>
      <c r="G1866" t="str">
        <f>_xll.BDP("778765GJ Muni","SPREAD_AT_ISSUANCE_TO_WORST")</f>
        <v>#N/A Requesting Data...</v>
      </c>
      <c r="H1866" t="str">
        <f>_xll.BDP("778765GJ Muni","ISSUE_DT")</f>
        <v>#N/A Requesting Data...</v>
      </c>
      <c r="I1866" t="str">
        <f>_xll.BDS("778765GJ Muni","MUNI_PURPOSE_SCHED", "aggregate=y")</f>
        <v>#N/A Requesting Data...</v>
      </c>
      <c r="J1866" t="str">
        <f>_xll.BDP("778765GJ Muni","CPN")</f>
        <v>#N/A Requesting Data...</v>
      </c>
      <c r="K1866" t="str">
        <f>_xll.BDP("778765GJ Muni","MATURITY")</f>
        <v>#N/A Requesting Data...</v>
      </c>
      <c r="L1866">
        <v>270000</v>
      </c>
      <c r="M1866" t="str">
        <f>_xll.BDP("778765GJ Muni","YIELD_ON_ISSUE_DATE")</f>
        <v>#N/A Requesting Data...</v>
      </c>
      <c r="N1866" t="str">
        <f>_xll.BDP("778765GJ Muni","YTW_SPREAD_TO_MATURITY_AT_ISSU")</f>
        <v>#N/A Requesting Data...</v>
      </c>
      <c r="O1866" t="str">
        <f>_xll.BDP("778765GJ Muni","BVAL_MID_YTM")</f>
        <v>#N/A Requesting Data...</v>
      </c>
      <c r="P1866" t="str">
        <f>_xll.BDP("778765GJ Muni","MUNI_TAX_PROV")</f>
        <v>#N/A Requesting Data...</v>
      </c>
      <c r="Q1866" t="str">
        <f>_xll.BDP("778765GJ Muni","MUNI_FED_TAX")</f>
        <v>#N/A Requesting Data...</v>
      </c>
      <c r="R1866" t="str">
        <f>_xll.BDP("778765GJ Muni","MUNI_MSRB_VOLUME")</f>
        <v>#N/A Requesting Data...</v>
      </c>
      <c r="S1866" t="str">
        <f>_xll.BDP("778765GJ Muni","BB_COMPOSITE")</f>
        <v>#N/A Requesting Data...</v>
      </c>
      <c r="T1866" t="str">
        <f>_xll.BDP("778765GJ Muni","LQA_LIQUIDITY_SCORE")</f>
        <v>#N/A Requesting Data...</v>
      </c>
    </row>
    <row r="1867" spans="1:20" x14ac:dyDescent="0.25">
      <c r="A1867" t="str">
        <f>_xll.BDP("796844SM Muni","ID_CUSIP")</f>
        <v>#N/A Requesting Data...</v>
      </c>
      <c r="B1867" t="s">
        <v>454</v>
      </c>
      <c r="C1867" t="str">
        <f>_xll.BDP("796844SM Muni","INSURANCE_STATUS")</f>
        <v>#N/A Requesting Data...</v>
      </c>
      <c r="D1867" t="str">
        <f>_xll.BDP("796844SM Muni","STATE_CODE")</f>
        <v>#N/A Requesting Data...</v>
      </c>
      <c r="E1867" t="str">
        <f>_xll.BDP("796844SM Muni","COUNTY_LOCATION_ISSUER")</f>
        <v>#N/A Requesting Data...</v>
      </c>
      <c r="F1867" t="str">
        <f>_xll.BDP("796844SM Muni","DUR_ADJ_MID")</f>
        <v>#N/A Requesting Data...</v>
      </c>
      <c r="G1867" t="str">
        <f>_xll.BDP("796844SM Muni","SPREAD_AT_ISSUANCE_TO_WORST")</f>
        <v>#N/A Requesting Data...</v>
      </c>
      <c r="H1867" t="str">
        <f>_xll.BDP("796844SM Muni","ISSUE_DT")</f>
        <v>#N/A Requesting Data...</v>
      </c>
      <c r="I1867" t="str">
        <f>_xll.BDS("796844SM Muni","MUNI_PURPOSE_SCHED", "aggregate=y")</f>
        <v>#N/A Requesting Data...</v>
      </c>
      <c r="J1867" t="str">
        <f>_xll.BDP("796844SM Muni","CPN")</f>
        <v>#N/A Requesting Data...</v>
      </c>
      <c r="K1867" t="str">
        <f>_xll.BDP("796844SM Muni","MATURITY")</f>
        <v>#N/A Requesting Data...</v>
      </c>
      <c r="L1867">
        <v>325000</v>
      </c>
      <c r="M1867" t="str">
        <f>_xll.BDP("796844SM Muni","YIELD_ON_ISSUE_DATE")</f>
        <v>#N/A Requesting Data...</v>
      </c>
      <c r="N1867" t="str">
        <f>_xll.BDP("796844SM Muni","YTW_SPREAD_TO_MATURITY_AT_ISSU")</f>
        <v>#N/A Requesting Data...</v>
      </c>
      <c r="O1867" t="str">
        <f>_xll.BDP("796844SM Muni","BVAL_MID_YTM")</f>
        <v>#N/A Requesting Data...</v>
      </c>
      <c r="P1867" t="str">
        <f>_xll.BDP("796844SM Muni","MUNI_TAX_PROV")</f>
        <v>#N/A Requesting Data...</v>
      </c>
      <c r="Q1867" t="str">
        <f>_xll.BDP("796844SM Muni","MUNI_FED_TAX")</f>
        <v>#N/A Requesting Data...</v>
      </c>
      <c r="R1867" t="str">
        <f>_xll.BDP("796844SM Muni","MUNI_MSRB_VOLUME")</f>
        <v>#N/A Requesting Data...</v>
      </c>
      <c r="S1867" t="str">
        <f>_xll.BDP("796844SM Muni","BB_COMPOSITE")</f>
        <v>#N/A Requesting Data...</v>
      </c>
      <c r="T1867" t="str">
        <f>_xll.BDP("796844SM Muni","LQA_LIQUIDITY_SCORE")</f>
        <v>#N/A Requesting Data...</v>
      </c>
    </row>
    <row r="1868" spans="1:20" x14ac:dyDescent="0.25">
      <c r="A1868" t="str">
        <f>_xll.BDP("613704QQ Muni","ID_CUSIP")</f>
        <v>#N/A Requesting Data...</v>
      </c>
      <c r="B1868" t="s">
        <v>455</v>
      </c>
      <c r="C1868" t="str">
        <f>_xll.BDP("613704QQ Muni","INSURANCE_STATUS")</f>
        <v>#N/A Requesting Data...</v>
      </c>
      <c r="D1868" t="str">
        <f>_xll.BDP("613704QQ Muni","STATE_CODE")</f>
        <v>#N/A Requesting Data...</v>
      </c>
      <c r="E1868" t="str">
        <f>_xll.BDP("613704QQ Muni","COUNTY_LOCATION_ISSUER")</f>
        <v>#N/A Requesting Data...</v>
      </c>
      <c r="F1868" t="str">
        <f>_xll.BDP("613704QQ Muni","DUR_ADJ_MID")</f>
        <v>#N/A Requesting Data...</v>
      </c>
      <c r="G1868" t="str">
        <f>_xll.BDP("613704QQ Muni","SPREAD_AT_ISSUANCE_TO_WORST")</f>
        <v>#N/A Requesting Data...</v>
      </c>
      <c r="H1868" t="str">
        <f>_xll.BDP("613704QQ Muni","ISSUE_DT")</f>
        <v>#N/A Requesting Data...</v>
      </c>
      <c r="I1868" t="str">
        <f>_xll.BDS("613704QQ Muni","MUNI_PURPOSE_SCHED", "aggregate=y")</f>
        <v>#N/A Requesting Data...</v>
      </c>
      <c r="J1868" t="str">
        <f>_xll.BDP("613704QQ Muni","CPN")</f>
        <v>#N/A Requesting Data...</v>
      </c>
      <c r="K1868" t="str">
        <f>_xll.BDP("613704QQ Muni","MATURITY")</f>
        <v>#N/A Requesting Data...</v>
      </c>
      <c r="L1868">
        <v>75000</v>
      </c>
      <c r="M1868" t="str">
        <f>_xll.BDP("613704QQ Muni","YIELD_ON_ISSUE_DATE")</f>
        <v>#N/A Requesting Data...</v>
      </c>
      <c r="N1868" t="str">
        <f>_xll.BDP("613704QQ Muni","YTW_SPREAD_TO_MATURITY_AT_ISSU")</f>
        <v>#N/A Requesting Data...</v>
      </c>
      <c r="O1868" t="str">
        <f>_xll.BDP("613704QQ Muni","BVAL_MID_YTM")</f>
        <v>#N/A Requesting Data...</v>
      </c>
      <c r="P1868" t="str">
        <f>_xll.BDP("613704QQ Muni","MUNI_TAX_PROV")</f>
        <v>#N/A Requesting Data...</v>
      </c>
      <c r="Q1868" t="str">
        <f>_xll.BDP("613704QQ Muni","MUNI_FED_TAX")</f>
        <v>#N/A Requesting Data...</v>
      </c>
      <c r="R1868" t="str">
        <f>_xll.BDP("613704QQ Muni","MUNI_MSRB_VOLUME")</f>
        <v>#N/A Requesting Data...</v>
      </c>
      <c r="S1868" t="str">
        <f>_xll.BDP("613704QQ Muni","BB_COMPOSITE")</f>
        <v>#N/A Requesting Data...</v>
      </c>
      <c r="T1868" t="str">
        <f>_xll.BDP("613704QQ Muni","LQA_LIQUIDITY_SCORE")</f>
        <v>#N/A Requesting Data...</v>
      </c>
    </row>
    <row r="1869" spans="1:20" x14ac:dyDescent="0.25">
      <c r="A1869" t="str">
        <f>_xll.BDP("61371EBB Muni","ID_CUSIP")</f>
        <v>#N/A Requesting Data...</v>
      </c>
      <c r="B1869" t="s">
        <v>456</v>
      </c>
      <c r="C1869" t="str">
        <f>_xll.BDP("61371EBB Muni","INSURANCE_STATUS")</f>
        <v>#N/A Requesting Data...</v>
      </c>
      <c r="D1869" t="str">
        <f>_xll.BDP("61371EBB Muni","STATE_CODE")</f>
        <v>#N/A Requesting Data...</v>
      </c>
      <c r="E1869" t="str">
        <f>_xll.BDP("61371EBB Muni","COUNTY_LOCATION_ISSUER")</f>
        <v>#N/A Requesting Data...</v>
      </c>
      <c r="F1869" t="str">
        <f>_xll.BDP("61371EBB Muni","DUR_ADJ_MID")</f>
        <v>#N/A Requesting Data...</v>
      </c>
      <c r="G1869" t="str">
        <f>_xll.BDP("61371EBB Muni","SPREAD_AT_ISSUANCE_TO_WORST")</f>
        <v>#N/A Requesting Data...</v>
      </c>
      <c r="H1869" t="str">
        <f>_xll.BDP("61371EBB Muni","ISSUE_DT")</f>
        <v>#N/A Requesting Data...</v>
      </c>
      <c r="I1869" t="str">
        <f>_xll.BDS("61371EBB Muni","MUNI_PURPOSE_SCHED", "aggregate=y")</f>
        <v>#N/A Requesting Data...</v>
      </c>
      <c r="J1869" t="str">
        <f>_xll.BDP("61371EBB Muni","CPN")</f>
        <v>#N/A Requesting Data...</v>
      </c>
      <c r="K1869" t="str">
        <f>_xll.BDP("61371EBB Muni","MATURITY")</f>
        <v>#N/A Requesting Data...</v>
      </c>
      <c r="L1869">
        <v>195000</v>
      </c>
      <c r="M1869" t="str">
        <f>_xll.BDP("61371EBB Muni","YIELD_ON_ISSUE_DATE")</f>
        <v>#N/A Requesting Data...</v>
      </c>
      <c r="N1869" t="str">
        <f>_xll.BDP("61371EBB Muni","YTW_SPREAD_TO_MATURITY_AT_ISSU")</f>
        <v>#N/A Requesting Data...</v>
      </c>
      <c r="O1869" t="str">
        <f>_xll.BDP("61371EBB Muni","BVAL_MID_YTM")</f>
        <v>#N/A Requesting Data...</v>
      </c>
      <c r="P1869" t="str">
        <f>_xll.BDP("61371EBB Muni","MUNI_TAX_PROV")</f>
        <v>#N/A Requesting Data...</v>
      </c>
      <c r="Q1869" t="str">
        <f>_xll.BDP("61371EBB Muni","MUNI_FED_TAX")</f>
        <v>#N/A Requesting Data...</v>
      </c>
      <c r="R1869" t="str">
        <f>_xll.BDP("61371EBB Muni","MUNI_MSRB_VOLUME")</f>
        <v>#N/A Requesting Data...</v>
      </c>
      <c r="S1869" t="str">
        <f>_xll.BDP("61371EBB Muni","BB_COMPOSITE")</f>
        <v>#N/A Requesting Data...</v>
      </c>
      <c r="T1869" t="str">
        <f>_xll.BDP("61371EBB Muni","LQA_LIQUIDITY_SCORE")</f>
        <v>#N/A Requesting Data...</v>
      </c>
    </row>
    <row r="1870" spans="1:20" x14ac:dyDescent="0.25">
      <c r="A1870" t="str">
        <f>_xll.BDP("61371EBC Muni","ID_CUSIP")</f>
        <v>#N/A Requesting Data...</v>
      </c>
      <c r="B1870" t="s">
        <v>456</v>
      </c>
      <c r="C1870" t="str">
        <f>_xll.BDP("61371EBC Muni","INSURANCE_STATUS")</f>
        <v>#N/A Requesting Data...</v>
      </c>
      <c r="D1870" t="str">
        <f>_xll.BDP("61371EBC Muni","STATE_CODE")</f>
        <v>#N/A Requesting Data...</v>
      </c>
      <c r="E1870" t="str">
        <f>_xll.BDP("61371EBC Muni","COUNTY_LOCATION_ISSUER")</f>
        <v>#N/A Requesting Data...</v>
      </c>
      <c r="F1870" t="str">
        <f>_xll.BDP("61371EBC Muni","DUR_ADJ_MID")</f>
        <v>#N/A Requesting Data...</v>
      </c>
      <c r="G1870" t="str">
        <f>_xll.BDP("61371EBC Muni","SPREAD_AT_ISSUANCE_TO_WORST")</f>
        <v>#N/A Requesting Data...</v>
      </c>
      <c r="H1870" t="str">
        <f>_xll.BDP("61371EBC Muni","ISSUE_DT")</f>
        <v>#N/A Requesting Data...</v>
      </c>
      <c r="I1870" t="str">
        <f>_xll.BDS("61371EBC Muni","MUNI_PURPOSE_SCHED", "aggregate=y")</f>
        <v>#N/A Requesting Data...</v>
      </c>
      <c r="J1870" t="str">
        <f>_xll.BDP("61371EBC Muni","CPN")</f>
        <v>#N/A Requesting Data...</v>
      </c>
      <c r="K1870" t="str">
        <f>_xll.BDP("61371EBC Muni","MATURITY")</f>
        <v>#N/A Requesting Data...</v>
      </c>
      <c r="L1870">
        <v>200000</v>
      </c>
      <c r="M1870" t="str">
        <f>_xll.BDP("61371EBC Muni","YIELD_ON_ISSUE_DATE")</f>
        <v>#N/A Requesting Data...</v>
      </c>
      <c r="N1870" t="str">
        <f>_xll.BDP("61371EBC Muni","YTW_SPREAD_TO_MATURITY_AT_ISSU")</f>
        <v>#N/A Requesting Data...</v>
      </c>
      <c r="O1870" t="str">
        <f>_xll.BDP("61371EBC Muni","BVAL_MID_YTM")</f>
        <v>#N/A Requesting Data...</v>
      </c>
      <c r="P1870" t="str">
        <f>_xll.BDP("61371EBC Muni","MUNI_TAX_PROV")</f>
        <v>#N/A Requesting Data...</v>
      </c>
      <c r="Q1870" t="str">
        <f>_xll.BDP("61371EBC Muni","MUNI_FED_TAX")</f>
        <v>#N/A Requesting Data...</v>
      </c>
      <c r="R1870" t="str">
        <f>_xll.BDP("61371EBC Muni","MUNI_MSRB_VOLUME")</f>
        <v>#N/A Requesting Data...</v>
      </c>
      <c r="S1870" t="str">
        <f>_xll.BDP("61371EBC Muni","BB_COMPOSITE")</f>
        <v>#N/A Requesting Data...</v>
      </c>
      <c r="T1870" t="str">
        <f>_xll.BDP("61371EBC Muni","LQA_LIQUIDITY_SCORE")</f>
        <v>#N/A Requesting Data...</v>
      </c>
    </row>
    <row r="1871" spans="1:20" x14ac:dyDescent="0.25">
      <c r="A1871" t="str">
        <f>_xll.BDP("61371EBD Muni","ID_CUSIP")</f>
        <v>#N/A Requesting Data...</v>
      </c>
      <c r="B1871" t="s">
        <v>456</v>
      </c>
      <c r="C1871" t="str">
        <f>_xll.BDP("61371EBD Muni","INSURANCE_STATUS")</f>
        <v>#N/A Requesting Data...</v>
      </c>
      <c r="D1871" t="str">
        <f>_xll.BDP("61371EBD Muni","STATE_CODE")</f>
        <v>#N/A Requesting Data...</v>
      </c>
      <c r="E1871" t="str">
        <f>_xll.BDP("61371EBD Muni","COUNTY_LOCATION_ISSUER")</f>
        <v>#N/A Requesting Data...</v>
      </c>
      <c r="F1871" t="str">
        <f>_xll.BDP("61371EBD Muni","DUR_ADJ_MID")</f>
        <v>#N/A Requesting Data...</v>
      </c>
      <c r="G1871" t="str">
        <f>_xll.BDP("61371EBD Muni","SPREAD_AT_ISSUANCE_TO_WORST")</f>
        <v>#N/A Requesting Data...</v>
      </c>
      <c r="H1871" t="str">
        <f>_xll.BDP("61371EBD Muni","ISSUE_DT")</f>
        <v>#N/A Requesting Data...</v>
      </c>
      <c r="I1871" t="str">
        <f>_xll.BDS("61371EBD Muni","MUNI_PURPOSE_SCHED", "aggregate=y")</f>
        <v>#N/A Requesting Data...</v>
      </c>
      <c r="J1871" t="str">
        <f>_xll.BDP("61371EBD Muni","CPN")</f>
        <v>#N/A Requesting Data...</v>
      </c>
      <c r="K1871" t="str">
        <f>_xll.BDP("61371EBD Muni","MATURITY")</f>
        <v>#N/A Requesting Data...</v>
      </c>
      <c r="L1871">
        <v>210000</v>
      </c>
      <c r="M1871" t="str">
        <f>_xll.BDP("61371EBD Muni","YIELD_ON_ISSUE_DATE")</f>
        <v>#N/A Requesting Data...</v>
      </c>
      <c r="N1871" t="str">
        <f>_xll.BDP("61371EBD Muni","YTW_SPREAD_TO_MATURITY_AT_ISSU")</f>
        <v>#N/A Requesting Data...</v>
      </c>
      <c r="O1871" t="str">
        <f>_xll.BDP("61371EBD Muni","BVAL_MID_YTM")</f>
        <v>#N/A Requesting Data...</v>
      </c>
      <c r="P1871" t="str">
        <f>_xll.BDP("61371EBD Muni","MUNI_TAX_PROV")</f>
        <v>#N/A Requesting Data...</v>
      </c>
      <c r="Q1871" t="str">
        <f>_xll.BDP("61371EBD Muni","MUNI_FED_TAX")</f>
        <v>#N/A Requesting Data...</v>
      </c>
      <c r="R1871" t="str">
        <f>_xll.BDP("61371EBD Muni","MUNI_MSRB_VOLUME")</f>
        <v>#N/A Requesting Data...</v>
      </c>
      <c r="S1871" t="str">
        <f>_xll.BDP("61371EBD Muni","BB_COMPOSITE")</f>
        <v>#N/A Requesting Data...</v>
      </c>
      <c r="T1871" t="str">
        <f>_xll.BDP("61371EBD Muni","LQA_LIQUIDITY_SCORE")</f>
        <v>#N/A Requesting Data...</v>
      </c>
    </row>
    <row r="1872" spans="1:20" x14ac:dyDescent="0.25">
      <c r="A1872" t="str">
        <f>_xll.BDP("61372GCJ Muni","ID_CUSIP")</f>
        <v>#N/A Requesting Data...</v>
      </c>
      <c r="B1872" t="s">
        <v>409</v>
      </c>
      <c r="C1872" t="str">
        <f>_xll.BDP("61372GCJ Muni","INSURANCE_STATUS")</f>
        <v>#N/A Requesting Data...</v>
      </c>
      <c r="D1872" t="str">
        <f>_xll.BDP("61372GCJ Muni","STATE_CODE")</f>
        <v>#N/A Requesting Data...</v>
      </c>
      <c r="E1872" t="str">
        <f>_xll.BDP("61372GCJ Muni","COUNTY_LOCATION_ISSUER")</f>
        <v>#N/A Requesting Data...</v>
      </c>
      <c r="F1872" t="str">
        <f>_xll.BDP("61372GCJ Muni","DUR_ADJ_MID")</f>
        <v>#N/A Requesting Data...</v>
      </c>
      <c r="G1872" t="str">
        <f>_xll.BDP("61372GCJ Muni","SPREAD_AT_ISSUANCE_TO_WORST")</f>
        <v>#N/A Requesting Data...</v>
      </c>
      <c r="H1872" t="str">
        <f>_xll.BDP("61372GCJ Muni","ISSUE_DT")</f>
        <v>#N/A Requesting Data...</v>
      </c>
      <c r="I1872" t="str">
        <f>_xll.BDS("61372GCJ Muni","MUNI_PURPOSE_SCHED", "aggregate=y")</f>
        <v>#N/A Requesting Data...</v>
      </c>
      <c r="J1872" t="str">
        <f>_xll.BDP("61372GCJ Muni","CPN")</f>
        <v>#N/A Requesting Data...</v>
      </c>
      <c r="K1872" t="str">
        <f>_xll.BDP("61372GCJ Muni","MATURITY")</f>
        <v>#N/A Requesting Data...</v>
      </c>
      <c r="L1872">
        <v>65000</v>
      </c>
      <c r="M1872" t="str">
        <f>_xll.BDP("61372GCJ Muni","YIELD_ON_ISSUE_DATE")</f>
        <v>#N/A Requesting Data...</v>
      </c>
      <c r="N1872" t="str">
        <f>_xll.BDP("61372GCJ Muni","YTW_SPREAD_TO_MATURITY_AT_ISSU")</f>
        <v>#N/A Requesting Data...</v>
      </c>
      <c r="O1872" t="str">
        <f>_xll.BDP("61372GCJ Muni","BVAL_MID_YTM")</f>
        <v>#N/A Requesting Data...</v>
      </c>
      <c r="P1872" t="str">
        <f>_xll.BDP("61372GCJ Muni","MUNI_TAX_PROV")</f>
        <v>#N/A Requesting Data...</v>
      </c>
      <c r="Q1872" t="str">
        <f>_xll.BDP("61372GCJ Muni","MUNI_FED_TAX")</f>
        <v>#N/A Requesting Data...</v>
      </c>
      <c r="R1872" t="str">
        <f>_xll.BDP("61372GCJ Muni","MUNI_MSRB_VOLUME")</f>
        <v>#N/A Requesting Data...</v>
      </c>
      <c r="S1872" t="str">
        <f>_xll.BDP("61372GCJ Muni","BB_COMPOSITE")</f>
        <v>#N/A Requesting Data...</v>
      </c>
      <c r="T1872" t="str">
        <f>_xll.BDP("61372GCJ Muni","LQA_LIQUIDITY_SCORE")</f>
        <v>#N/A Requesting Data...</v>
      </c>
    </row>
    <row r="1873" spans="1:20" x14ac:dyDescent="0.25">
      <c r="A1873" t="str">
        <f>_xll.BDP("613903CK Muni","ID_CUSIP")</f>
        <v>#N/A Requesting Data...</v>
      </c>
      <c r="B1873" t="s">
        <v>411</v>
      </c>
      <c r="C1873" t="str">
        <f>_xll.BDP("613903CK Muni","INSURANCE_STATUS")</f>
        <v>#N/A Requesting Data...</v>
      </c>
      <c r="D1873" t="str">
        <f>_xll.BDP("613903CK Muni","STATE_CODE")</f>
        <v>#N/A Requesting Data...</v>
      </c>
      <c r="E1873" t="str">
        <f>_xll.BDP("613903CK Muni","COUNTY_LOCATION_ISSUER")</f>
        <v>#N/A Requesting Data...</v>
      </c>
      <c r="F1873" t="str">
        <f>_xll.BDP("613903CK Muni","DUR_ADJ_MID")</f>
        <v>#N/A Requesting Data...</v>
      </c>
      <c r="G1873" t="str">
        <f>_xll.BDP("613903CK Muni","SPREAD_AT_ISSUANCE_TO_WORST")</f>
        <v>#N/A Requesting Data...</v>
      </c>
      <c r="H1873" t="str">
        <f>_xll.BDP("613903CK Muni","ISSUE_DT")</f>
        <v>#N/A Requesting Data...</v>
      </c>
      <c r="I1873" t="str">
        <f>_xll.BDS("613903CK Muni","MUNI_PURPOSE_SCHED", "aggregate=y")</f>
        <v>#N/A Requesting Data...</v>
      </c>
      <c r="J1873" t="str">
        <f>_xll.BDP("613903CK Muni","CPN")</f>
        <v>#N/A Requesting Data...</v>
      </c>
      <c r="K1873" t="str">
        <f>_xll.BDP("613903CK Muni","MATURITY")</f>
        <v>#N/A Requesting Data...</v>
      </c>
      <c r="L1873">
        <v>110000</v>
      </c>
      <c r="M1873" t="str">
        <f>_xll.BDP("613903CK Muni","YIELD_ON_ISSUE_DATE")</f>
        <v>#N/A Requesting Data...</v>
      </c>
      <c r="N1873" t="str">
        <f>_xll.BDP("613903CK Muni","YTW_SPREAD_TO_MATURITY_AT_ISSU")</f>
        <v>#N/A Requesting Data...</v>
      </c>
      <c r="O1873" t="str">
        <f>_xll.BDP("613903CK Muni","BVAL_MID_YTM")</f>
        <v>#N/A Requesting Data...</v>
      </c>
      <c r="P1873" t="str">
        <f>_xll.BDP("613903CK Muni","MUNI_TAX_PROV")</f>
        <v>#N/A Requesting Data...</v>
      </c>
      <c r="Q1873" t="str">
        <f>_xll.BDP("613903CK Muni","MUNI_FED_TAX")</f>
        <v>#N/A Requesting Data...</v>
      </c>
      <c r="R1873" t="str">
        <f>_xll.BDP("613903CK Muni","MUNI_MSRB_VOLUME")</f>
        <v>#N/A Requesting Data...</v>
      </c>
      <c r="S1873" t="str">
        <f>_xll.BDP("613903CK Muni","BB_COMPOSITE")</f>
        <v>#N/A Requesting Data...</v>
      </c>
      <c r="T1873" t="str">
        <f>_xll.BDP("613903CK Muni","LQA_LIQUIDITY_SCORE")</f>
        <v>#N/A Requesting Data...</v>
      </c>
    </row>
    <row r="1874" spans="1:20" x14ac:dyDescent="0.25">
      <c r="A1874" t="str">
        <f>_xll.BDP("646720JR Muni","ID_CUSIP")</f>
        <v>#N/A Requesting Data...</v>
      </c>
      <c r="B1874" t="s">
        <v>412</v>
      </c>
      <c r="C1874" t="str">
        <f>_xll.BDP("646720JR Muni","INSURANCE_STATUS")</f>
        <v>#N/A Requesting Data...</v>
      </c>
      <c r="D1874" t="str">
        <f>_xll.BDP("646720JR Muni","STATE_CODE")</f>
        <v>#N/A Requesting Data...</v>
      </c>
      <c r="E1874" t="str">
        <f>_xll.BDP("646720JR Muni","COUNTY_LOCATION_ISSUER")</f>
        <v>#N/A Requesting Data...</v>
      </c>
      <c r="F1874" t="str">
        <f>_xll.BDP("646720JR Muni","DUR_ADJ_MID")</f>
        <v>#N/A Requesting Data...</v>
      </c>
      <c r="G1874" t="str">
        <f>_xll.BDP("646720JR Muni","SPREAD_AT_ISSUANCE_TO_WORST")</f>
        <v>#N/A Requesting Data...</v>
      </c>
      <c r="H1874" t="str">
        <f>_xll.BDP("646720JR Muni","ISSUE_DT")</f>
        <v>#N/A Requesting Data...</v>
      </c>
      <c r="I1874" t="str">
        <f>_xll.BDS("646720JR Muni","MUNI_PURPOSE_SCHED", "aggregate=y")</f>
        <v>#N/A Requesting Data...</v>
      </c>
      <c r="J1874" t="str">
        <f>_xll.BDP("646720JR Muni","CPN")</f>
        <v>#N/A Requesting Data...</v>
      </c>
      <c r="K1874" t="str">
        <f>_xll.BDP("646720JR Muni","MATURITY")</f>
        <v>#N/A Requesting Data...</v>
      </c>
      <c r="L1874">
        <v>135000</v>
      </c>
      <c r="M1874" t="str">
        <f>_xll.BDP("646720JR Muni","YIELD_ON_ISSUE_DATE")</f>
        <v>#N/A Requesting Data...</v>
      </c>
      <c r="N1874" t="str">
        <f>_xll.BDP("646720JR Muni","YTW_SPREAD_TO_MATURITY_AT_ISSU")</f>
        <v>#N/A Requesting Data...</v>
      </c>
      <c r="O1874" t="str">
        <f>_xll.BDP("646720JR Muni","BVAL_MID_YTM")</f>
        <v>#N/A Requesting Data...</v>
      </c>
      <c r="P1874" t="str">
        <f>_xll.BDP("646720JR Muni","MUNI_TAX_PROV")</f>
        <v>#N/A Requesting Data...</v>
      </c>
      <c r="Q1874" t="str">
        <f>_xll.BDP("646720JR Muni","MUNI_FED_TAX")</f>
        <v>#N/A Requesting Data...</v>
      </c>
      <c r="R1874" t="str">
        <f>_xll.BDP("646720JR Muni","MUNI_MSRB_VOLUME")</f>
        <v>#N/A Requesting Data...</v>
      </c>
      <c r="S1874" t="str">
        <f>_xll.BDP("646720JR Muni","BB_COMPOSITE")</f>
        <v>#N/A Requesting Data...</v>
      </c>
      <c r="T1874" t="str">
        <f>_xll.BDP("646720JR Muni","LQA_LIQUIDITY_SCORE")</f>
        <v>#N/A Requesting Data...</v>
      </c>
    </row>
    <row r="1875" spans="1:20" x14ac:dyDescent="0.25">
      <c r="A1875" t="str">
        <f>_xll.BDP("646720JV Muni","ID_CUSIP")</f>
        <v>#N/A Requesting Data...</v>
      </c>
      <c r="B1875" t="s">
        <v>412</v>
      </c>
      <c r="C1875" t="str">
        <f>_xll.BDP("646720JV Muni","INSURANCE_STATUS")</f>
        <v>#N/A Requesting Data...</v>
      </c>
      <c r="D1875" t="str">
        <f>_xll.BDP("646720JV Muni","STATE_CODE")</f>
        <v>#N/A Requesting Data...</v>
      </c>
      <c r="E1875" t="str">
        <f>_xll.BDP("646720JV Muni","COUNTY_LOCATION_ISSUER")</f>
        <v>#N/A Requesting Data...</v>
      </c>
      <c r="F1875" t="str">
        <f>_xll.BDP("646720JV Muni","DUR_ADJ_MID")</f>
        <v>#N/A Requesting Data...</v>
      </c>
      <c r="G1875" t="str">
        <f>_xll.BDP("646720JV Muni","SPREAD_AT_ISSUANCE_TO_WORST")</f>
        <v>#N/A Requesting Data...</v>
      </c>
      <c r="H1875" t="str">
        <f>_xll.BDP("646720JV Muni","ISSUE_DT")</f>
        <v>#N/A Requesting Data...</v>
      </c>
      <c r="I1875" t="str">
        <f>_xll.BDS("646720JV Muni","MUNI_PURPOSE_SCHED", "aggregate=y")</f>
        <v>#N/A Requesting Data...</v>
      </c>
      <c r="J1875" t="str">
        <f>_xll.BDP("646720JV Muni","CPN")</f>
        <v>#N/A Requesting Data...</v>
      </c>
      <c r="K1875" t="str">
        <f>_xll.BDP("646720JV Muni","MATURITY")</f>
        <v>#N/A Requesting Data...</v>
      </c>
      <c r="L1875">
        <v>160000</v>
      </c>
      <c r="M1875" t="str">
        <f>_xll.BDP("646720JV Muni","YIELD_ON_ISSUE_DATE")</f>
        <v>#N/A Requesting Data...</v>
      </c>
      <c r="N1875" t="str">
        <f>_xll.BDP("646720JV Muni","YTW_SPREAD_TO_MATURITY_AT_ISSU")</f>
        <v>#N/A Requesting Data...</v>
      </c>
      <c r="O1875" t="str">
        <f>_xll.BDP("646720JV Muni","BVAL_MID_YTM")</f>
        <v>#N/A Requesting Data...</v>
      </c>
      <c r="P1875" t="str">
        <f>_xll.BDP("646720JV Muni","MUNI_TAX_PROV")</f>
        <v>#N/A Requesting Data...</v>
      </c>
      <c r="Q1875" t="str">
        <f>_xll.BDP("646720JV Muni","MUNI_FED_TAX")</f>
        <v>#N/A Requesting Data...</v>
      </c>
      <c r="R1875" t="str">
        <f>_xll.BDP("646720JV Muni","MUNI_MSRB_VOLUME")</f>
        <v>#N/A Requesting Data...</v>
      </c>
      <c r="S1875" t="str">
        <f>_xll.BDP("646720JV Muni","BB_COMPOSITE")</f>
        <v>#N/A Requesting Data...</v>
      </c>
      <c r="T1875" t="str">
        <f>_xll.BDP("646720JV Muni","LQA_LIQUIDITY_SCORE")</f>
        <v>#N/A Requesting Data...</v>
      </c>
    </row>
    <row r="1876" spans="1:20" x14ac:dyDescent="0.25">
      <c r="A1876" t="str">
        <f>_xll.BDP("79642GAE Muni","ID_CUSIP")</f>
        <v>#N/A Requesting Data...</v>
      </c>
      <c r="B1876" t="s">
        <v>457</v>
      </c>
      <c r="C1876" t="str">
        <f>_xll.BDP("79642GAE Muni","INSURANCE_STATUS")</f>
        <v>#N/A Requesting Data...</v>
      </c>
      <c r="D1876" t="str">
        <f>_xll.BDP("79642GAE Muni","STATE_CODE")</f>
        <v>#N/A Requesting Data...</v>
      </c>
      <c r="E1876" t="str">
        <f>_xll.BDP("79642GAE Muni","COUNTY_LOCATION_ISSUER")</f>
        <v>#N/A Requesting Data...</v>
      </c>
      <c r="F1876" t="str">
        <f>_xll.BDP("79642GAE Muni","DUR_ADJ_MID")</f>
        <v>#N/A Requesting Data...</v>
      </c>
      <c r="G1876" t="str">
        <f>_xll.BDP("79642GAE Muni","SPREAD_AT_ISSUANCE_TO_WORST")</f>
        <v>#N/A Requesting Data...</v>
      </c>
      <c r="H1876" t="str">
        <f>_xll.BDP("79642GAE Muni","ISSUE_DT")</f>
        <v>#N/A Requesting Data...</v>
      </c>
      <c r="I1876" t="str">
        <f>_xll.BDS("79642GAE Muni","MUNI_PURPOSE_SCHED", "aggregate=y")</f>
        <v>#N/A Requesting Data...</v>
      </c>
      <c r="J1876" t="str">
        <f>_xll.BDP("79642GAE Muni","CPN")</f>
        <v>#N/A Requesting Data...</v>
      </c>
      <c r="K1876" t="str">
        <f>_xll.BDP("79642GAE Muni","MATURITY")</f>
        <v>#N/A Requesting Data...</v>
      </c>
      <c r="L1876">
        <v>2710000</v>
      </c>
      <c r="M1876" t="str">
        <f>_xll.BDP("79642GAE Muni","YIELD_ON_ISSUE_DATE")</f>
        <v>#N/A Requesting Data...</v>
      </c>
      <c r="N1876" t="str">
        <f>_xll.BDP("79642GAE Muni","YTW_SPREAD_TO_MATURITY_AT_ISSU")</f>
        <v>#N/A Requesting Data...</v>
      </c>
      <c r="O1876" t="str">
        <f>_xll.BDP("79642GAE Muni","BVAL_MID_YTM")</f>
        <v>#N/A Requesting Data...</v>
      </c>
      <c r="P1876" t="str">
        <f>_xll.BDP("79642GAE Muni","MUNI_TAX_PROV")</f>
        <v>#N/A Requesting Data...</v>
      </c>
      <c r="Q1876" t="str">
        <f>_xll.BDP("79642GAE Muni","MUNI_FED_TAX")</f>
        <v>#N/A Requesting Data...</v>
      </c>
      <c r="R1876" t="str">
        <f>_xll.BDP("79642GAE Muni","MUNI_MSRB_VOLUME")</f>
        <v>#N/A Requesting Data...</v>
      </c>
      <c r="S1876" t="str">
        <f>_xll.BDP("79642GAE Muni","BB_COMPOSITE")</f>
        <v>#N/A Requesting Data...</v>
      </c>
      <c r="T1876" t="str">
        <f>_xll.BDP("79642GAE Muni","LQA_LIQUIDITY_SCORE")</f>
        <v>#N/A Requesting Data...</v>
      </c>
    </row>
    <row r="1877" spans="1:20" x14ac:dyDescent="0.25">
      <c r="A1877" t="str">
        <f>_xll.BDP("79642GAH Muni","ID_CUSIP")</f>
        <v>#N/A Requesting Data...</v>
      </c>
      <c r="B1877" t="s">
        <v>457</v>
      </c>
      <c r="C1877" t="str">
        <f>_xll.BDP("79642GAH Muni","INSURANCE_STATUS")</f>
        <v>#N/A Requesting Data...</v>
      </c>
      <c r="D1877" t="str">
        <f>_xll.BDP("79642GAH Muni","STATE_CODE")</f>
        <v>#N/A Requesting Data...</v>
      </c>
      <c r="E1877" t="str">
        <f>_xll.BDP("79642GAH Muni","COUNTY_LOCATION_ISSUER")</f>
        <v>#N/A Requesting Data...</v>
      </c>
      <c r="F1877" t="str">
        <f>_xll.BDP("79642GAH Muni","DUR_ADJ_MID")</f>
        <v>#N/A Requesting Data...</v>
      </c>
      <c r="G1877" t="str">
        <f>_xll.BDP("79642GAH Muni","SPREAD_AT_ISSUANCE_TO_WORST")</f>
        <v>#N/A Requesting Data...</v>
      </c>
      <c r="H1877" t="str">
        <f>_xll.BDP("79642GAH Muni","ISSUE_DT")</f>
        <v>#N/A Requesting Data...</v>
      </c>
      <c r="I1877" t="str">
        <f>_xll.BDS("79642GAH Muni","MUNI_PURPOSE_SCHED", "aggregate=y")</f>
        <v>#N/A Requesting Data...</v>
      </c>
      <c r="J1877" t="str">
        <f>_xll.BDP("79642GAH Muni","CPN")</f>
        <v>#N/A Requesting Data...</v>
      </c>
      <c r="K1877" t="str">
        <f>_xll.BDP("79642GAH Muni","MATURITY")</f>
        <v>#N/A Requesting Data...</v>
      </c>
      <c r="L1877">
        <v>3145000</v>
      </c>
      <c r="M1877" t="str">
        <f>_xll.BDP("79642GAH Muni","YIELD_ON_ISSUE_DATE")</f>
        <v>#N/A Requesting Data...</v>
      </c>
      <c r="N1877" t="str">
        <f>_xll.BDP("79642GAH Muni","YTW_SPREAD_TO_MATURITY_AT_ISSU")</f>
        <v>#N/A Requesting Data...</v>
      </c>
      <c r="O1877" t="str">
        <f>_xll.BDP("79642GAH Muni","BVAL_MID_YTM")</f>
        <v>#N/A Requesting Data...</v>
      </c>
      <c r="P1877" t="str">
        <f>_xll.BDP("79642GAH Muni","MUNI_TAX_PROV")</f>
        <v>#N/A Requesting Data...</v>
      </c>
      <c r="Q1877" t="str">
        <f>_xll.BDP("79642GAH Muni","MUNI_FED_TAX")</f>
        <v>#N/A Requesting Data...</v>
      </c>
      <c r="R1877" t="str">
        <f>_xll.BDP("79642GAH Muni","MUNI_MSRB_VOLUME")</f>
        <v>#N/A Requesting Data...</v>
      </c>
      <c r="S1877" t="str">
        <f>_xll.BDP("79642GAH Muni","BB_COMPOSITE")</f>
        <v>#N/A Requesting Data...</v>
      </c>
      <c r="T1877" t="str">
        <f>_xll.BDP("79642GAH Muni","LQA_LIQUIDITY_SCORE")</f>
        <v>#N/A Requesting Data...</v>
      </c>
    </row>
    <row r="1878" spans="1:20" x14ac:dyDescent="0.25">
      <c r="A1878" t="str">
        <f>_xll.BDP("79642GAK Muni","ID_CUSIP")</f>
        <v>#N/A Requesting Data...</v>
      </c>
      <c r="B1878" t="s">
        <v>457</v>
      </c>
      <c r="C1878" t="str">
        <f>_xll.BDP("79642GAK Muni","INSURANCE_STATUS")</f>
        <v>#N/A Requesting Data...</v>
      </c>
      <c r="D1878" t="str">
        <f>_xll.BDP("79642GAK Muni","STATE_CODE")</f>
        <v>#N/A Requesting Data...</v>
      </c>
      <c r="E1878" t="str">
        <f>_xll.BDP("79642GAK Muni","COUNTY_LOCATION_ISSUER")</f>
        <v>#N/A Requesting Data...</v>
      </c>
      <c r="F1878" t="str">
        <f>_xll.BDP("79642GAK Muni","DUR_ADJ_MID")</f>
        <v>#N/A Requesting Data...</v>
      </c>
      <c r="G1878" t="str">
        <f>_xll.BDP("79642GAK Muni","SPREAD_AT_ISSUANCE_TO_WORST")</f>
        <v>#N/A Requesting Data...</v>
      </c>
      <c r="H1878" t="str">
        <f>_xll.BDP("79642GAK Muni","ISSUE_DT")</f>
        <v>#N/A Requesting Data...</v>
      </c>
      <c r="I1878" t="str">
        <f>_xll.BDS("79642GAK Muni","MUNI_PURPOSE_SCHED", "aggregate=y")</f>
        <v>#N/A Requesting Data...</v>
      </c>
      <c r="J1878" t="str">
        <f>_xll.BDP("79642GAK Muni","CPN")</f>
        <v>#N/A Requesting Data...</v>
      </c>
      <c r="K1878" t="str">
        <f>_xll.BDP("79642GAK Muni","MATURITY")</f>
        <v>#N/A Requesting Data...</v>
      </c>
      <c r="L1878">
        <v>3475000</v>
      </c>
      <c r="M1878" t="str">
        <f>_xll.BDP("79642GAK Muni","YIELD_ON_ISSUE_DATE")</f>
        <v>#N/A Requesting Data...</v>
      </c>
      <c r="N1878" t="str">
        <f>_xll.BDP("79642GAK Muni","YTW_SPREAD_TO_MATURITY_AT_ISSU")</f>
        <v>#N/A Requesting Data...</v>
      </c>
      <c r="O1878" t="str">
        <f>_xll.BDP("79642GAK Muni","BVAL_MID_YTM")</f>
        <v>#N/A Requesting Data...</v>
      </c>
      <c r="P1878" t="str">
        <f>_xll.BDP("79642GAK Muni","MUNI_TAX_PROV")</f>
        <v>#N/A Requesting Data...</v>
      </c>
      <c r="Q1878" t="str">
        <f>_xll.BDP("79642GAK Muni","MUNI_FED_TAX")</f>
        <v>#N/A Requesting Data...</v>
      </c>
      <c r="R1878" t="str">
        <f>_xll.BDP("79642GAK Muni","MUNI_MSRB_VOLUME")</f>
        <v>#N/A Requesting Data...</v>
      </c>
      <c r="S1878" t="str">
        <f>_xll.BDP("79642GAK Muni","BB_COMPOSITE")</f>
        <v>#N/A Requesting Data...</v>
      </c>
      <c r="T1878" t="str">
        <f>_xll.BDP("79642GAK Muni","LQA_LIQUIDITY_SCORE")</f>
        <v>#N/A Requesting Data...</v>
      </c>
    </row>
    <row r="1879" spans="1:20" x14ac:dyDescent="0.25">
      <c r="A1879" t="str">
        <f>_xll.BDP("796844SN Muni","ID_CUSIP")</f>
        <v>#N/A Requesting Data...</v>
      </c>
      <c r="B1879" t="s">
        <v>454</v>
      </c>
      <c r="C1879" t="str">
        <f>_xll.BDP("796844SN Muni","INSURANCE_STATUS")</f>
        <v>#N/A Requesting Data...</v>
      </c>
      <c r="D1879" t="str">
        <f>_xll.BDP("796844SN Muni","STATE_CODE")</f>
        <v>#N/A Requesting Data...</v>
      </c>
      <c r="E1879" t="str">
        <f>_xll.BDP("796844SN Muni","COUNTY_LOCATION_ISSUER")</f>
        <v>#N/A Requesting Data...</v>
      </c>
      <c r="F1879" t="str">
        <f>_xll.BDP("796844SN Muni","DUR_ADJ_MID")</f>
        <v>#N/A Requesting Data...</v>
      </c>
      <c r="G1879" t="str">
        <f>_xll.BDP("796844SN Muni","SPREAD_AT_ISSUANCE_TO_WORST")</f>
        <v>#N/A Requesting Data...</v>
      </c>
      <c r="H1879" t="str">
        <f>_xll.BDP("796844SN Muni","ISSUE_DT")</f>
        <v>#N/A Requesting Data...</v>
      </c>
      <c r="I1879" t="str">
        <f>_xll.BDS("796844SN Muni","MUNI_PURPOSE_SCHED", "aggregate=y")</f>
        <v>#N/A Requesting Data...</v>
      </c>
      <c r="J1879" t="str">
        <f>_xll.BDP("796844SN Muni","CPN")</f>
        <v>#N/A Requesting Data...</v>
      </c>
      <c r="K1879" t="str">
        <f>_xll.BDP("796844SN Muni","MATURITY")</f>
        <v>#N/A Requesting Data...</v>
      </c>
      <c r="L1879">
        <v>335000</v>
      </c>
      <c r="M1879" t="str">
        <f>_xll.BDP("796844SN Muni","YIELD_ON_ISSUE_DATE")</f>
        <v>#N/A Requesting Data...</v>
      </c>
      <c r="N1879" t="str">
        <f>_xll.BDP("796844SN Muni","YTW_SPREAD_TO_MATURITY_AT_ISSU")</f>
        <v>#N/A Requesting Data...</v>
      </c>
      <c r="O1879" t="str">
        <f>_xll.BDP("796844SN Muni","BVAL_MID_YTM")</f>
        <v>#N/A Requesting Data...</v>
      </c>
      <c r="P1879" t="str">
        <f>_xll.BDP("796844SN Muni","MUNI_TAX_PROV")</f>
        <v>#N/A Requesting Data...</v>
      </c>
      <c r="Q1879" t="str">
        <f>_xll.BDP("796844SN Muni","MUNI_FED_TAX")</f>
        <v>#N/A Requesting Data...</v>
      </c>
      <c r="R1879" t="str">
        <f>_xll.BDP("796844SN Muni","MUNI_MSRB_VOLUME")</f>
        <v>#N/A Requesting Data...</v>
      </c>
      <c r="S1879" t="str">
        <f>_xll.BDP("796844SN Muni","BB_COMPOSITE")</f>
        <v>#N/A Requesting Data...</v>
      </c>
      <c r="T1879" t="str">
        <f>_xll.BDP("796844SN Muni","LQA_LIQUIDITY_SCORE")</f>
        <v>#N/A Requesting Data...</v>
      </c>
    </row>
    <row r="1880" spans="1:20" x14ac:dyDescent="0.25">
      <c r="A1880" t="str">
        <f>_xll.BDP("796844SQ Muni","ID_CUSIP")</f>
        <v>#N/A Requesting Data...</v>
      </c>
      <c r="B1880" t="s">
        <v>454</v>
      </c>
      <c r="C1880" t="str">
        <f>_xll.BDP("796844SQ Muni","INSURANCE_STATUS")</f>
        <v>#N/A Requesting Data...</v>
      </c>
      <c r="D1880" t="str">
        <f>_xll.BDP("796844SQ Muni","STATE_CODE")</f>
        <v>#N/A Requesting Data...</v>
      </c>
      <c r="E1880" t="str">
        <f>_xll.BDP("796844SQ Muni","COUNTY_LOCATION_ISSUER")</f>
        <v>#N/A Requesting Data...</v>
      </c>
      <c r="F1880" t="str">
        <f>_xll.BDP("796844SQ Muni","DUR_ADJ_MID")</f>
        <v>#N/A Requesting Data...</v>
      </c>
      <c r="G1880" t="str">
        <f>_xll.BDP("796844SQ Muni","SPREAD_AT_ISSUANCE_TO_WORST")</f>
        <v>#N/A Requesting Data...</v>
      </c>
      <c r="H1880" t="str">
        <f>_xll.BDP("796844SQ Muni","ISSUE_DT")</f>
        <v>#N/A Requesting Data...</v>
      </c>
      <c r="I1880" t="str">
        <f>_xll.BDS("796844SQ Muni","MUNI_PURPOSE_SCHED", "aggregate=y")</f>
        <v>#N/A Requesting Data...</v>
      </c>
      <c r="J1880" t="str">
        <f>_xll.BDP("796844SQ Muni","CPN")</f>
        <v>#N/A Requesting Data...</v>
      </c>
      <c r="K1880" t="str">
        <f>_xll.BDP("796844SQ Muni","MATURITY")</f>
        <v>#N/A Requesting Data...</v>
      </c>
      <c r="L1880">
        <v>365000</v>
      </c>
      <c r="M1880" t="str">
        <f>_xll.BDP("796844SQ Muni","YIELD_ON_ISSUE_DATE")</f>
        <v>#N/A Requesting Data...</v>
      </c>
      <c r="N1880" t="str">
        <f>_xll.BDP("796844SQ Muni","YTW_SPREAD_TO_MATURITY_AT_ISSU")</f>
        <v>#N/A Requesting Data...</v>
      </c>
      <c r="O1880" t="str">
        <f>_xll.BDP("796844SQ Muni","BVAL_MID_YTM")</f>
        <v>#N/A Requesting Data...</v>
      </c>
      <c r="P1880" t="str">
        <f>_xll.BDP("796844SQ Muni","MUNI_TAX_PROV")</f>
        <v>#N/A Requesting Data...</v>
      </c>
      <c r="Q1880" t="str">
        <f>_xll.BDP("796844SQ Muni","MUNI_FED_TAX")</f>
        <v>#N/A Requesting Data...</v>
      </c>
      <c r="R1880" t="str">
        <f>_xll.BDP("796844SQ Muni","MUNI_MSRB_VOLUME")</f>
        <v>#N/A Requesting Data...</v>
      </c>
      <c r="S1880" t="str">
        <f>_xll.BDP("796844SQ Muni","BB_COMPOSITE")</f>
        <v>#N/A Requesting Data...</v>
      </c>
      <c r="T1880" t="str">
        <f>_xll.BDP("796844SQ Muni","LQA_LIQUIDITY_SCORE")</f>
        <v>#N/A Requesting Data...</v>
      </c>
    </row>
    <row r="1881" spans="1:20" x14ac:dyDescent="0.25">
      <c r="A1881" t="str">
        <f>_xll.BDP("616874QE Muni","ID_CUSIP")</f>
        <v>#N/A Requesting Data...</v>
      </c>
      <c r="B1881" t="s">
        <v>413</v>
      </c>
      <c r="C1881" t="str">
        <f>_xll.BDP("616874QE Muni","INSURANCE_STATUS")</f>
        <v>#N/A Requesting Data...</v>
      </c>
      <c r="D1881" t="str">
        <f>_xll.BDP("616874QE Muni","STATE_CODE")</f>
        <v>#N/A Requesting Data...</v>
      </c>
      <c r="E1881" t="str">
        <f>_xll.BDP("616874QE Muni","COUNTY_LOCATION_ISSUER")</f>
        <v>#N/A Requesting Data...</v>
      </c>
      <c r="F1881" t="str">
        <f>_xll.BDP("616874QE Muni","DUR_ADJ_MID")</f>
        <v>#N/A Requesting Data...</v>
      </c>
      <c r="G1881" t="str">
        <f>_xll.BDP("616874QE Muni","SPREAD_AT_ISSUANCE_TO_WORST")</f>
        <v>#N/A Requesting Data...</v>
      </c>
      <c r="H1881" t="str">
        <f>_xll.BDP("616874QE Muni","ISSUE_DT")</f>
        <v>#N/A Requesting Data...</v>
      </c>
      <c r="I1881" t="str">
        <f>_xll.BDS("616874QE Muni","MUNI_PURPOSE_SCHED", "aggregate=y")</f>
        <v>#N/A Requesting Data...</v>
      </c>
      <c r="J1881" t="str">
        <f>_xll.BDP("616874QE Muni","CPN")</f>
        <v>#N/A Requesting Data...</v>
      </c>
      <c r="K1881" t="str">
        <f>_xll.BDP("616874QE Muni","MATURITY")</f>
        <v>#N/A Requesting Data...</v>
      </c>
      <c r="L1881">
        <v>55000</v>
      </c>
      <c r="M1881" t="str">
        <f>_xll.BDP("616874QE Muni","YIELD_ON_ISSUE_DATE")</f>
        <v>#N/A Requesting Data...</v>
      </c>
      <c r="N1881" t="str">
        <f>_xll.BDP("616874QE Muni","YTW_SPREAD_TO_MATURITY_AT_ISSU")</f>
        <v>#N/A Requesting Data...</v>
      </c>
      <c r="O1881" t="str">
        <f>_xll.BDP("616874QE Muni","BVAL_MID_YTM")</f>
        <v>#N/A Requesting Data...</v>
      </c>
      <c r="P1881" t="str">
        <f>_xll.BDP("616874QE Muni","MUNI_TAX_PROV")</f>
        <v>#N/A Requesting Data...</v>
      </c>
      <c r="Q1881" t="str">
        <f>_xll.BDP("616874QE Muni","MUNI_FED_TAX")</f>
        <v>#N/A Requesting Data...</v>
      </c>
      <c r="R1881" t="str">
        <f>_xll.BDP("616874QE Muni","MUNI_MSRB_VOLUME")</f>
        <v>#N/A Requesting Data...</v>
      </c>
      <c r="S1881" t="str">
        <f>_xll.BDP("616874QE Muni","BB_COMPOSITE")</f>
        <v>#N/A Requesting Data...</v>
      </c>
      <c r="T1881" t="str">
        <f>_xll.BDP("616874QE Muni","LQA_LIQUIDITY_SCORE")</f>
        <v>#N/A Requesting Data...</v>
      </c>
    </row>
    <row r="1882" spans="1:20" x14ac:dyDescent="0.25">
      <c r="A1882" t="str">
        <f>_xll.BDP("616874QF Muni","ID_CUSIP")</f>
        <v>#N/A Requesting Data...</v>
      </c>
      <c r="B1882" t="s">
        <v>413</v>
      </c>
      <c r="C1882" t="str">
        <f>_xll.BDP("616874QF Muni","INSURANCE_STATUS")</f>
        <v>#N/A Requesting Data...</v>
      </c>
      <c r="D1882" t="str">
        <f>_xll.BDP("616874QF Muni","STATE_CODE")</f>
        <v>#N/A Requesting Data...</v>
      </c>
      <c r="E1882" t="str">
        <f>_xll.BDP("616874QF Muni","COUNTY_LOCATION_ISSUER")</f>
        <v>#N/A Requesting Data...</v>
      </c>
      <c r="F1882" t="str">
        <f>_xll.BDP("616874QF Muni","DUR_ADJ_MID")</f>
        <v>#N/A Requesting Data...</v>
      </c>
      <c r="G1882" t="str">
        <f>_xll.BDP("616874QF Muni","SPREAD_AT_ISSUANCE_TO_WORST")</f>
        <v>#N/A Requesting Data...</v>
      </c>
      <c r="H1882" t="str">
        <f>_xll.BDP("616874QF Muni","ISSUE_DT")</f>
        <v>#N/A Requesting Data...</v>
      </c>
      <c r="I1882" t="str">
        <f>_xll.BDS("616874QF Muni","MUNI_PURPOSE_SCHED", "aggregate=y")</f>
        <v>#N/A Requesting Data...</v>
      </c>
      <c r="J1882" t="str">
        <f>_xll.BDP("616874QF Muni","CPN")</f>
        <v>#N/A Requesting Data...</v>
      </c>
      <c r="K1882" t="str">
        <f>_xll.BDP("616874QF Muni","MATURITY")</f>
        <v>#N/A Requesting Data...</v>
      </c>
      <c r="L1882">
        <v>55000</v>
      </c>
      <c r="M1882" t="str">
        <f>_xll.BDP("616874QF Muni","YIELD_ON_ISSUE_DATE")</f>
        <v>#N/A Requesting Data...</v>
      </c>
      <c r="N1882" t="str">
        <f>_xll.BDP("616874QF Muni","YTW_SPREAD_TO_MATURITY_AT_ISSU")</f>
        <v>#N/A Requesting Data...</v>
      </c>
      <c r="O1882" t="str">
        <f>_xll.BDP("616874QF Muni","BVAL_MID_YTM")</f>
        <v>#N/A Requesting Data...</v>
      </c>
      <c r="P1882" t="str">
        <f>_xll.BDP("616874QF Muni","MUNI_TAX_PROV")</f>
        <v>#N/A Requesting Data...</v>
      </c>
      <c r="Q1882" t="str">
        <f>_xll.BDP("616874QF Muni","MUNI_FED_TAX")</f>
        <v>#N/A Requesting Data...</v>
      </c>
      <c r="R1882" t="str">
        <f>_xll.BDP("616874QF Muni","MUNI_MSRB_VOLUME")</f>
        <v>#N/A Requesting Data...</v>
      </c>
      <c r="S1882" t="str">
        <f>_xll.BDP("616874QF Muni","BB_COMPOSITE")</f>
        <v>#N/A Requesting Data...</v>
      </c>
      <c r="T1882" t="str">
        <f>_xll.BDP("616874QF Muni","LQA_LIQUIDITY_SCORE")</f>
        <v>#N/A Requesting Data...</v>
      </c>
    </row>
    <row r="1883" spans="1:20" x14ac:dyDescent="0.25">
      <c r="A1883" t="str">
        <f>_xll.BDP("616874QH Muni","ID_CUSIP")</f>
        <v>#N/A Requesting Data...</v>
      </c>
      <c r="B1883" t="s">
        <v>413</v>
      </c>
      <c r="C1883" t="str">
        <f>_xll.BDP("616874QH Muni","INSURANCE_STATUS")</f>
        <v>#N/A Requesting Data...</v>
      </c>
      <c r="D1883" t="str">
        <f>_xll.BDP("616874QH Muni","STATE_CODE")</f>
        <v>#N/A Requesting Data...</v>
      </c>
      <c r="E1883" t="str">
        <f>_xll.BDP("616874QH Muni","COUNTY_LOCATION_ISSUER")</f>
        <v>#N/A Requesting Data...</v>
      </c>
      <c r="F1883" t="str">
        <f>_xll.BDP("616874QH Muni","DUR_ADJ_MID")</f>
        <v>#N/A Requesting Data...</v>
      </c>
      <c r="G1883" t="str">
        <f>_xll.BDP("616874QH Muni","SPREAD_AT_ISSUANCE_TO_WORST")</f>
        <v>#N/A Requesting Data...</v>
      </c>
      <c r="H1883" t="str">
        <f>_xll.BDP("616874QH Muni","ISSUE_DT")</f>
        <v>#N/A Requesting Data...</v>
      </c>
      <c r="I1883" t="str">
        <f>_xll.BDS("616874QH Muni","MUNI_PURPOSE_SCHED", "aggregate=y")</f>
        <v>#N/A Requesting Data...</v>
      </c>
      <c r="J1883" t="str">
        <f>_xll.BDP("616874QH Muni","CPN")</f>
        <v>#N/A Requesting Data...</v>
      </c>
      <c r="K1883" t="str">
        <f>_xll.BDP("616874QH Muni","MATURITY")</f>
        <v>#N/A Requesting Data...</v>
      </c>
      <c r="L1883">
        <v>65000</v>
      </c>
      <c r="M1883" t="str">
        <f>_xll.BDP("616874QH Muni","YIELD_ON_ISSUE_DATE")</f>
        <v>#N/A Requesting Data...</v>
      </c>
      <c r="N1883" t="str">
        <f>_xll.BDP("616874QH Muni","YTW_SPREAD_TO_MATURITY_AT_ISSU")</f>
        <v>#N/A Requesting Data...</v>
      </c>
      <c r="O1883" t="str">
        <f>_xll.BDP("616874QH Muni","BVAL_MID_YTM")</f>
        <v>#N/A Requesting Data...</v>
      </c>
      <c r="P1883" t="str">
        <f>_xll.BDP("616874QH Muni","MUNI_TAX_PROV")</f>
        <v>#N/A Requesting Data...</v>
      </c>
      <c r="Q1883" t="str">
        <f>_xll.BDP("616874QH Muni","MUNI_FED_TAX")</f>
        <v>#N/A Requesting Data...</v>
      </c>
      <c r="R1883" t="str">
        <f>_xll.BDP("616874QH Muni","MUNI_MSRB_VOLUME")</f>
        <v>#N/A Requesting Data...</v>
      </c>
      <c r="S1883" t="str">
        <f>_xll.BDP("616874QH Muni","BB_COMPOSITE")</f>
        <v>#N/A Requesting Data...</v>
      </c>
      <c r="T1883" t="str">
        <f>_xll.BDP("616874QH Muni","LQA_LIQUIDITY_SCORE")</f>
        <v>#N/A Requesting Data...</v>
      </c>
    </row>
    <row r="1884" spans="1:20" x14ac:dyDescent="0.25">
      <c r="A1884" t="str">
        <f>_xll.BDP("61759CCM Muni","ID_CUSIP")</f>
        <v>#N/A Requesting Data...</v>
      </c>
      <c r="B1884" t="s">
        <v>449</v>
      </c>
      <c r="C1884" t="str">
        <f>_xll.BDP("61759CCM Muni","INSURANCE_STATUS")</f>
        <v>#N/A Requesting Data...</v>
      </c>
      <c r="D1884" t="str">
        <f>_xll.BDP("61759CCM Muni","STATE_CODE")</f>
        <v>#N/A Requesting Data...</v>
      </c>
      <c r="E1884" t="str">
        <f>_xll.BDP("61759CCM Muni","COUNTY_LOCATION_ISSUER")</f>
        <v>#N/A Requesting Data...</v>
      </c>
      <c r="F1884" t="str">
        <f>_xll.BDP("61759CCM Muni","DUR_ADJ_MID")</f>
        <v>#N/A Requesting Data...</v>
      </c>
      <c r="G1884" t="str">
        <f>_xll.BDP("61759CCM Muni","SPREAD_AT_ISSUANCE_TO_WORST")</f>
        <v>#N/A Requesting Data...</v>
      </c>
      <c r="H1884" t="str">
        <f>_xll.BDP("61759CCM Muni","ISSUE_DT")</f>
        <v>#N/A Requesting Data...</v>
      </c>
      <c r="I1884" t="str">
        <f>_xll.BDS("61759CCM Muni","MUNI_PURPOSE_SCHED", "aggregate=y")</f>
        <v>#N/A Requesting Data...</v>
      </c>
      <c r="J1884" t="str">
        <f>_xll.BDP("61759CCM Muni","CPN")</f>
        <v>#N/A Requesting Data...</v>
      </c>
      <c r="K1884" t="str">
        <f>_xll.BDP("61759CCM Muni","MATURITY")</f>
        <v>#N/A Requesting Data...</v>
      </c>
      <c r="L1884">
        <v>585000</v>
      </c>
      <c r="M1884" t="str">
        <f>_xll.BDP("61759CCM Muni","YIELD_ON_ISSUE_DATE")</f>
        <v>#N/A Requesting Data...</v>
      </c>
      <c r="N1884" t="str">
        <f>_xll.BDP("61759CCM Muni","YTW_SPREAD_TO_MATURITY_AT_ISSU")</f>
        <v>#N/A Requesting Data...</v>
      </c>
      <c r="O1884" t="str">
        <f>_xll.BDP("61759CCM Muni","BVAL_MID_YTM")</f>
        <v>#N/A Requesting Data...</v>
      </c>
      <c r="P1884" t="str">
        <f>_xll.BDP("61759CCM Muni","MUNI_TAX_PROV")</f>
        <v>#N/A Requesting Data...</v>
      </c>
      <c r="Q1884" t="str">
        <f>_xll.BDP("61759CCM Muni","MUNI_FED_TAX")</f>
        <v>#N/A Requesting Data...</v>
      </c>
      <c r="R1884" t="str">
        <f>_xll.BDP("61759CCM Muni","MUNI_MSRB_VOLUME")</f>
        <v>#N/A Requesting Data...</v>
      </c>
      <c r="S1884" t="str">
        <f>_xll.BDP("61759CCM Muni","BB_COMPOSITE")</f>
        <v>#N/A Requesting Data...</v>
      </c>
      <c r="T1884" t="str">
        <f>_xll.BDP("61759CCM Muni","LQA_LIQUIDITY_SCORE")</f>
        <v>#N/A Requesting Data...</v>
      </c>
    </row>
    <row r="1885" spans="1:20" x14ac:dyDescent="0.25">
      <c r="A1885" t="str">
        <f>_xll.BDP("61759CCQ Muni","ID_CUSIP")</f>
        <v>#N/A Requesting Data...</v>
      </c>
      <c r="B1885" t="s">
        <v>449</v>
      </c>
      <c r="C1885" t="str">
        <f>_xll.BDP("61759CCQ Muni","INSURANCE_STATUS")</f>
        <v>#N/A Requesting Data...</v>
      </c>
      <c r="D1885" t="str">
        <f>_xll.BDP("61759CCQ Muni","STATE_CODE")</f>
        <v>#N/A Requesting Data...</v>
      </c>
      <c r="E1885" t="str">
        <f>_xll.BDP("61759CCQ Muni","COUNTY_LOCATION_ISSUER")</f>
        <v>#N/A Requesting Data...</v>
      </c>
      <c r="F1885" t="str">
        <f>_xll.BDP("61759CCQ Muni","DUR_ADJ_MID")</f>
        <v>#N/A Requesting Data...</v>
      </c>
      <c r="G1885" t="str">
        <f>_xll.BDP("61759CCQ Muni","SPREAD_AT_ISSUANCE_TO_WORST")</f>
        <v>#N/A Requesting Data...</v>
      </c>
      <c r="H1885" t="str">
        <f>_xll.BDP("61759CCQ Muni","ISSUE_DT")</f>
        <v>#N/A Requesting Data...</v>
      </c>
      <c r="I1885" t="str">
        <f>_xll.BDS("61759CCQ Muni","MUNI_PURPOSE_SCHED", "aggregate=y")</f>
        <v>#N/A Requesting Data...</v>
      </c>
      <c r="J1885" t="str">
        <f>_xll.BDP("61759CCQ Muni","CPN")</f>
        <v>#N/A Requesting Data...</v>
      </c>
      <c r="K1885" t="str">
        <f>_xll.BDP("61759CCQ Muni","MATURITY")</f>
        <v>#N/A Requesting Data...</v>
      </c>
      <c r="L1885">
        <v>220000</v>
      </c>
      <c r="M1885" t="str">
        <f>_xll.BDP("61759CCQ Muni","YIELD_ON_ISSUE_DATE")</f>
        <v>#N/A Requesting Data...</v>
      </c>
      <c r="N1885" t="str">
        <f>_xll.BDP("61759CCQ Muni","YTW_SPREAD_TO_MATURITY_AT_ISSU")</f>
        <v>#N/A Requesting Data...</v>
      </c>
      <c r="O1885" t="str">
        <f>_xll.BDP("61759CCQ Muni","BVAL_MID_YTM")</f>
        <v>#N/A Requesting Data...</v>
      </c>
      <c r="P1885" t="str">
        <f>_xll.BDP("61759CCQ Muni","MUNI_TAX_PROV")</f>
        <v>#N/A Requesting Data...</v>
      </c>
      <c r="Q1885" t="str">
        <f>_xll.BDP("61759CCQ Muni","MUNI_FED_TAX")</f>
        <v>#N/A Requesting Data...</v>
      </c>
      <c r="R1885" t="str">
        <f>_xll.BDP("61759CCQ Muni","MUNI_MSRB_VOLUME")</f>
        <v>#N/A Requesting Data...</v>
      </c>
      <c r="S1885" t="str">
        <f>_xll.BDP("61759CCQ Muni","BB_COMPOSITE")</f>
        <v>#N/A Requesting Data...</v>
      </c>
      <c r="T1885" t="str">
        <f>_xll.BDP("61759CCQ Muni","LQA_LIQUIDITY_SCORE")</f>
        <v>#N/A Requesting Data...</v>
      </c>
    </row>
    <row r="1886" spans="1:20" x14ac:dyDescent="0.25">
      <c r="A1886" t="str">
        <f>_xll.BDP("61759CCS Muni","ID_CUSIP")</f>
        <v>#N/A Requesting Data...</v>
      </c>
      <c r="B1886" t="s">
        <v>449</v>
      </c>
      <c r="C1886" t="str">
        <f>_xll.BDP("61759CCS Muni","INSURANCE_STATUS")</f>
        <v>#N/A Requesting Data...</v>
      </c>
      <c r="D1886" t="str">
        <f>_xll.BDP("61759CCS Muni","STATE_CODE")</f>
        <v>#N/A Requesting Data...</v>
      </c>
      <c r="E1886" t="str">
        <f>_xll.BDP("61759CCS Muni","COUNTY_LOCATION_ISSUER")</f>
        <v>#N/A Requesting Data...</v>
      </c>
      <c r="F1886" t="str">
        <f>_xll.BDP("61759CCS Muni","DUR_ADJ_MID")</f>
        <v>#N/A Requesting Data...</v>
      </c>
      <c r="G1886" t="str">
        <f>_xll.BDP("61759CCS Muni","SPREAD_AT_ISSUANCE_TO_WORST")</f>
        <v>#N/A Requesting Data...</v>
      </c>
      <c r="H1886" t="str">
        <f>_xll.BDP("61759CCS Muni","ISSUE_DT")</f>
        <v>#N/A Requesting Data...</v>
      </c>
      <c r="I1886" t="str">
        <f>_xll.BDS("61759CCS Muni","MUNI_PURPOSE_SCHED", "aggregate=y")</f>
        <v>#N/A Requesting Data...</v>
      </c>
      <c r="J1886" t="str">
        <f>_xll.BDP("61759CCS Muni","CPN")</f>
        <v>#N/A Requesting Data...</v>
      </c>
      <c r="K1886" t="str">
        <f>_xll.BDP("61759CCS Muni","MATURITY")</f>
        <v>#N/A Requesting Data...</v>
      </c>
      <c r="L1886">
        <v>295000</v>
      </c>
      <c r="M1886" t="str">
        <f>_xll.BDP("61759CCS Muni","YIELD_ON_ISSUE_DATE")</f>
        <v>#N/A Requesting Data...</v>
      </c>
      <c r="N1886" t="str">
        <f>_xll.BDP("61759CCS Muni","YTW_SPREAD_TO_MATURITY_AT_ISSU")</f>
        <v>#N/A Requesting Data...</v>
      </c>
      <c r="O1886" t="str">
        <f>_xll.BDP("61759CCS Muni","BVAL_MID_YTM")</f>
        <v>#N/A Requesting Data...</v>
      </c>
      <c r="P1886" t="str">
        <f>_xll.BDP("61759CCS Muni","MUNI_TAX_PROV")</f>
        <v>#N/A Requesting Data...</v>
      </c>
      <c r="Q1886" t="str">
        <f>_xll.BDP("61759CCS Muni","MUNI_FED_TAX")</f>
        <v>#N/A Requesting Data...</v>
      </c>
      <c r="R1886" t="str">
        <f>_xll.BDP("61759CCS Muni","MUNI_MSRB_VOLUME")</f>
        <v>#N/A Requesting Data...</v>
      </c>
      <c r="S1886" t="str">
        <f>_xll.BDP("61759CCS Muni","BB_COMPOSITE")</f>
        <v>#N/A Requesting Data...</v>
      </c>
      <c r="T1886" t="str">
        <f>_xll.BDP("61759CCS Muni","LQA_LIQUIDITY_SCORE")</f>
        <v>#N/A Requesting Data...</v>
      </c>
    </row>
    <row r="1887" spans="1:20" x14ac:dyDescent="0.25">
      <c r="A1887" t="str">
        <f>_xll.BDP("61771KBB Muni","ID_CUSIP")</f>
        <v>#N/A Requesting Data...</v>
      </c>
      <c r="B1887" t="s">
        <v>450</v>
      </c>
      <c r="C1887" t="str">
        <f>_xll.BDP("61771KBB Muni","INSURANCE_STATUS")</f>
        <v>#N/A Requesting Data...</v>
      </c>
      <c r="D1887" t="str">
        <f>_xll.BDP("61771KBB Muni","STATE_CODE")</f>
        <v>#N/A Requesting Data...</v>
      </c>
      <c r="E1887" t="str">
        <f>_xll.BDP("61771KBB Muni","COUNTY_LOCATION_ISSUER")</f>
        <v>#N/A Requesting Data...</v>
      </c>
      <c r="F1887" t="str">
        <f>_xll.BDP("61771KBB Muni","DUR_ADJ_MID")</f>
        <v>#N/A Requesting Data...</v>
      </c>
      <c r="G1887" t="str">
        <f>_xll.BDP("61771KBB Muni","SPREAD_AT_ISSUANCE_TO_WORST")</f>
        <v>#N/A Requesting Data...</v>
      </c>
      <c r="H1887" t="str">
        <f>_xll.BDP("61771KBB Muni","ISSUE_DT")</f>
        <v>#N/A Requesting Data...</v>
      </c>
      <c r="I1887" t="str">
        <f>_xll.BDS("61771KBB Muni","MUNI_PURPOSE_SCHED", "aggregate=y")</f>
        <v>#N/A Requesting Data...</v>
      </c>
      <c r="J1887" t="str">
        <f>_xll.BDP("61771KBB Muni","CPN")</f>
        <v>#N/A Requesting Data...</v>
      </c>
      <c r="K1887" t="str">
        <f>_xll.BDP("61771KBB Muni","MATURITY")</f>
        <v>#N/A Requesting Data...</v>
      </c>
      <c r="L1887">
        <v>165000</v>
      </c>
      <c r="M1887" t="str">
        <f>_xll.BDP("61771KBB Muni","YIELD_ON_ISSUE_DATE")</f>
        <v>#N/A Requesting Data...</v>
      </c>
      <c r="N1887" t="str">
        <f>_xll.BDP("61771KBB Muni","YTW_SPREAD_TO_MATURITY_AT_ISSU")</f>
        <v>#N/A Requesting Data...</v>
      </c>
      <c r="O1887" t="str">
        <f>_xll.BDP("61771KBB Muni","BVAL_MID_YTM")</f>
        <v>#N/A Requesting Data...</v>
      </c>
      <c r="P1887" t="str">
        <f>_xll.BDP("61771KBB Muni","MUNI_TAX_PROV")</f>
        <v>#N/A Requesting Data...</v>
      </c>
      <c r="Q1887" t="str">
        <f>_xll.BDP("61771KBB Muni","MUNI_FED_TAX")</f>
        <v>#N/A Requesting Data...</v>
      </c>
      <c r="R1887" t="str">
        <f>_xll.BDP("61771KBB Muni","MUNI_MSRB_VOLUME")</f>
        <v>#N/A Requesting Data...</v>
      </c>
      <c r="S1887" t="str">
        <f>_xll.BDP("61771KBB Muni","BB_COMPOSITE")</f>
        <v>#N/A Requesting Data...</v>
      </c>
      <c r="T1887" t="str">
        <f>_xll.BDP("61771KBB Muni","LQA_LIQUIDITY_SCORE")</f>
        <v>#N/A Requesting Data...</v>
      </c>
    </row>
    <row r="1888" spans="1:20" x14ac:dyDescent="0.25">
      <c r="A1888" t="str">
        <f>_xll.BDP("777870YH Muni","ID_CUSIP")</f>
        <v>#N/A Requesting Data...</v>
      </c>
      <c r="B1888" t="s">
        <v>453</v>
      </c>
      <c r="C1888" t="str">
        <f>_xll.BDP("777870YH Muni","INSURANCE_STATUS")</f>
        <v>#N/A Requesting Data...</v>
      </c>
      <c r="D1888" t="str">
        <f>_xll.BDP("777870YH Muni","STATE_CODE")</f>
        <v>#N/A Requesting Data...</v>
      </c>
      <c r="E1888" t="str">
        <f>_xll.BDP("777870YH Muni","COUNTY_LOCATION_ISSUER")</f>
        <v>#N/A Requesting Data...</v>
      </c>
      <c r="F1888" t="str">
        <f>_xll.BDP("777870YH Muni","DUR_ADJ_MID")</f>
        <v>#N/A Requesting Data...</v>
      </c>
      <c r="G1888" t="str">
        <f>_xll.BDP("777870YH Muni","SPREAD_AT_ISSUANCE_TO_WORST")</f>
        <v>#N/A Requesting Data...</v>
      </c>
      <c r="H1888" t="str">
        <f>_xll.BDP("777870YH Muni","ISSUE_DT")</f>
        <v>#N/A Requesting Data...</v>
      </c>
      <c r="I1888" t="str">
        <f>_xll.BDS("777870YH Muni","MUNI_PURPOSE_SCHED", "aggregate=y")</f>
        <v>#N/A Requesting Data...</v>
      </c>
      <c r="J1888" t="str">
        <f>_xll.BDP("777870YH Muni","CPN")</f>
        <v>#N/A Requesting Data...</v>
      </c>
      <c r="K1888" t="str">
        <f>_xll.BDP("777870YH Muni","MATURITY")</f>
        <v>#N/A Requesting Data...</v>
      </c>
      <c r="L1888">
        <v>130000</v>
      </c>
      <c r="M1888" t="str">
        <f>_xll.BDP("777870YH Muni","YIELD_ON_ISSUE_DATE")</f>
        <v>#N/A Requesting Data...</v>
      </c>
      <c r="N1888" t="str">
        <f>_xll.BDP("777870YH Muni","YTW_SPREAD_TO_MATURITY_AT_ISSU")</f>
        <v>#N/A Requesting Data...</v>
      </c>
      <c r="O1888" t="str">
        <f>_xll.BDP("777870YH Muni","BVAL_MID_YTM")</f>
        <v>#N/A Requesting Data...</v>
      </c>
      <c r="P1888" t="str">
        <f>_xll.BDP("777870YH Muni","MUNI_TAX_PROV")</f>
        <v>#N/A Requesting Data...</v>
      </c>
      <c r="Q1888" t="str">
        <f>_xll.BDP("777870YH Muni","MUNI_FED_TAX")</f>
        <v>#N/A Requesting Data...</v>
      </c>
      <c r="R1888" t="str">
        <f>_xll.BDP("777870YH Muni","MUNI_MSRB_VOLUME")</f>
        <v>#N/A Requesting Data...</v>
      </c>
      <c r="S1888" t="str">
        <f>_xll.BDP("777870YH Muni","BB_COMPOSITE")</f>
        <v>#N/A Requesting Data...</v>
      </c>
      <c r="T1888" t="str">
        <f>_xll.BDP("777870YH Muni","LQA_LIQUIDITY_SCORE")</f>
        <v>#N/A Requesting Data...</v>
      </c>
    </row>
    <row r="1889" spans="1:20" x14ac:dyDescent="0.25">
      <c r="A1889" t="str">
        <f>_xll.BDP("721595HK Muni","ID_CUSIP")</f>
        <v>#N/A Requesting Data...</v>
      </c>
      <c r="B1889" t="s">
        <v>417</v>
      </c>
      <c r="C1889" t="str">
        <f>_xll.BDP("721595HK Muni","INSURANCE_STATUS")</f>
        <v>#N/A Requesting Data...</v>
      </c>
      <c r="D1889" t="str">
        <f>_xll.BDP("721595HK Muni","STATE_CODE")</f>
        <v>#N/A Requesting Data...</v>
      </c>
      <c r="E1889" t="str">
        <f>_xll.BDP("721595HK Muni","COUNTY_LOCATION_ISSUER")</f>
        <v>#N/A Requesting Data...</v>
      </c>
      <c r="F1889" t="str">
        <f>_xll.BDP("721595HK Muni","DUR_ADJ_MID")</f>
        <v>#N/A Requesting Data...</v>
      </c>
      <c r="G1889" t="str">
        <f>_xll.BDP("721595HK Muni","SPREAD_AT_ISSUANCE_TO_WORST")</f>
        <v>#N/A Requesting Data...</v>
      </c>
      <c r="H1889" t="str">
        <f>_xll.BDP("721595HK Muni","ISSUE_DT")</f>
        <v>#N/A Requesting Data...</v>
      </c>
      <c r="I1889" t="str">
        <f>_xll.BDS("721595HK Muni","MUNI_PURPOSE_SCHED", "aggregate=y")</f>
        <v>#N/A Requesting Data...</v>
      </c>
      <c r="J1889" t="str">
        <f>_xll.BDP("721595HK Muni","CPN")</f>
        <v>#N/A Requesting Data...</v>
      </c>
      <c r="K1889" t="str">
        <f>_xll.BDP("721595HK Muni","MATURITY")</f>
        <v>#N/A Requesting Data...</v>
      </c>
      <c r="L1889">
        <v>145000</v>
      </c>
      <c r="M1889" t="str">
        <f>_xll.BDP("721595HK Muni","YIELD_ON_ISSUE_DATE")</f>
        <v>#N/A Requesting Data...</v>
      </c>
      <c r="N1889" t="str">
        <f>_xll.BDP("721595HK Muni","YTW_SPREAD_TO_MATURITY_AT_ISSU")</f>
        <v>#N/A Requesting Data...</v>
      </c>
      <c r="O1889" t="str">
        <f>_xll.BDP("721595HK Muni","BVAL_MID_YTM")</f>
        <v>#N/A Requesting Data...</v>
      </c>
      <c r="P1889" t="str">
        <f>_xll.BDP("721595HK Muni","MUNI_TAX_PROV")</f>
        <v>#N/A Requesting Data...</v>
      </c>
      <c r="Q1889" t="str">
        <f>_xll.BDP("721595HK Muni","MUNI_FED_TAX")</f>
        <v>#N/A Requesting Data...</v>
      </c>
      <c r="R1889" t="str">
        <f>_xll.BDP("721595HK Muni","MUNI_MSRB_VOLUME")</f>
        <v>#N/A Requesting Data...</v>
      </c>
      <c r="S1889" t="str">
        <f>_xll.BDP("721595HK Muni","BB_COMPOSITE")</f>
        <v>#N/A Requesting Data...</v>
      </c>
      <c r="T1889" t="str">
        <f>_xll.BDP("721595HK Muni","LQA_LIQUIDITY_SCORE")</f>
        <v>#N/A Requesting Data...</v>
      </c>
    </row>
    <row r="1890" spans="1:20" x14ac:dyDescent="0.25">
      <c r="A1890" t="str">
        <f>_xll.BDP("721595HL Muni","ID_CUSIP")</f>
        <v>#N/A Requesting Data...</v>
      </c>
      <c r="B1890" t="s">
        <v>417</v>
      </c>
      <c r="C1890" t="str">
        <f>_xll.BDP("721595HL Muni","INSURANCE_STATUS")</f>
        <v>#N/A Requesting Data...</v>
      </c>
      <c r="D1890" t="str">
        <f>_xll.BDP("721595HL Muni","STATE_CODE")</f>
        <v>#N/A Requesting Data...</v>
      </c>
      <c r="E1890" t="str">
        <f>_xll.BDP("721595HL Muni","COUNTY_LOCATION_ISSUER")</f>
        <v>#N/A Requesting Data...</v>
      </c>
      <c r="F1890" t="str">
        <f>_xll.BDP("721595HL Muni","DUR_ADJ_MID")</f>
        <v>#N/A Requesting Data...</v>
      </c>
      <c r="G1890" t="str">
        <f>_xll.BDP("721595HL Muni","SPREAD_AT_ISSUANCE_TO_WORST")</f>
        <v>#N/A Requesting Data...</v>
      </c>
      <c r="H1890" t="str">
        <f>_xll.BDP("721595HL Muni","ISSUE_DT")</f>
        <v>#N/A Requesting Data...</v>
      </c>
      <c r="I1890" t="str">
        <f>_xll.BDS("721595HL Muni","MUNI_PURPOSE_SCHED", "aggregate=y")</f>
        <v>#N/A Requesting Data...</v>
      </c>
      <c r="J1890" t="str">
        <f>_xll.BDP("721595HL Muni","CPN")</f>
        <v>#N/A Requesting Data...</v>
      </c>
      <c r="K1890" t="str">
        <f>_xll.BDP("721595HL Muni","MATURITY")</f>
        <v>#N/A Requesting Data...</v>
      </c>
      <c r="L1890">
        <v>150000</v>
      </c>
      <c r="M1890" t="str">
        <f>_xll.BDP("721595HL Muni","YIELD_ON_ISSUE_DATE")</f>
        <v>#N/A Requesting Data...</v>
      </c>
      <c r="N1890" t="str">
        <f>_xll.BDP("721595HL Muni","YTW_SPREAD_TO_MATURITY_AT_ISSU")</f>
        <v>#N/A Requesting Data...</v>
      </c>
      <c r="O1890" t="str">
        <f>_xll.BDP("721595HL Muni","BVAL_MID_YTM")</f>
        <v>#N/A Requesting Data...</v>
      </c>
      <c r="P1890" t="str">
        <f>_xll.BDP("721595HL Muni","MUNI_TAX_PROV")</f>
        <v>#N/A Requesting Data...</v>
      </c>
      <c r="Q1890" t="str">
        <f>_xll.BDP("721595HL Muni","MUNI_FED_TAX")</f>
        <v>#N/A Requesting Data...</v>
      </c>
      <c r="R1890" t="str">
        <f>_xll.BDP("721595HL Muni","MUNI_MSRB_VOLUME")</f>
        <v>#N/A Requesting Data...</v>
      </c>
      <c r="S1890" t="str">
        <f>_xll.BDP("721595HL Muni","BB_COMPOSITE")</f>
        <v>#N/A Requesting Data...</v>
      </c>
      <c r="T1890" t="str">
        <f>_xll.BDP("721595HL Muni","LQA_LIQUIDITY_SCORE")</f>
        <v>#N/A Requesting Data...</v>
      </c>
    </row>
    <row r="1891" spans="1:20" x14ac:dyDescent="0.25">
      <c r="A1891" t="str">
        <f>_xll.BDP("721595HM Muni","ID_CUSIP")</f>
        <v>#N/A Requesting Data...</v>
      </c>
      <c r="B1891" t="s">
        <v>417</v>
      </c>
      <c r="C1891" t="str">
        <f>_xll.BDP("721595HM Muni","INSURANCE_STATUS")</f>
        <v>#N/A Requesting Data...</v>
      </c>
      <c r="D1891" t="str">
        <f>_xll.BDP("721595HM Muni","STATE_CODE")</f>
        <v>#N/A Requesting Data...</v>
      </c>
      <c r="E1891" t="str">
        <f>_xll.BDP("721595HM Muni","COUNTY_LOCATION_ISSUER")</f>
        <v>#N/A Requesting Data...</v>
      </c>
      <c r="F1891" t="str">
        <f>_xll.BDP("721595HM Muni","DUR_ADJ_MID")</f>
        <v>#N/A Requesting Data...</v>
      </c>
      <c r="G1891" t="str">
        <f>_xll.BDP("721595HM Muni","SPREAD_AT_ISSUANCE_TO_WORST")</f>
        <v>#N/A Requesting Data...</v>
      </c>
      <c r="H1891" t="str">
        <f>_xll.BDP("721595HM Muni","ISSUE_DT")</f>
        <v>#N/A Requesting Data...</v>
      </c>
      <c r="I1891" t="str">
        <f>_xll.BDS("721595HM Muni","MUNI_PURPOSE_SCHED", "aggregate=y")</f>
        <v>#N/A Requesting Data...</v>
      </c>
      <c r="J1891" t="str">
        <f>_xll.BDP("721595HM Muni","CPN")</f>
        <v>#N/A Requesting Data...</v>
      </c>
      <c r="K1891" t="str">
        <f>_xll.BDP("721595HM Muni","MATURITY")</f>
        <v>#N/A Requesting Data...</v>
      </c>
      <c r="L1891">
        <v>160000</v>
      </c>
      <c r="M1891" t="str">
        <f>_xll.BDP("721595HM Muni","YIELD_ON_ISSUE_DATE")</f>
        <v>#N/A Requesting Data...</v>
      </c>
      <c r="N1891" t="str">
        <f>_xll.BDP("721595HM Muni","YTW_SPREAD_TO_MATURITY_AT_ISSU")</f>
        <v>#N/A Requesting Data...</v>
      </c>
      <c r="O1891" t="str">
        <f>_xll.BDP("721595HM Muni","BVAL_MID_YTM")</f>
        <v>#N/A Requesting Data...</v>
      </c>
      <c r="P1891" t="str">
        <f>_xll.BDP("721595HM Muni","MUNI_TAX_PROV")</f>
        <v>#N/A Requesting Data...</v>
      </c>
      <c r="Q1891" t="str">
        <f>_xll.BDP("721595HM Muni","MUNI_FED_TAX")</f>
        <v>#N/A Requesting Data...</v>
      </c>
      <c r="R1891" t="str">
        <f>_xll.BDP("721595HM Muni","MUNI_MSRB_VOLUME")</f>
        <v>#N/A Requesting Data...</v>
      </c>
      <c r="S1891" t="str">
        <f>_xll.BDP("721595HM Muni","BB_COMPOSITE")</f>
        <v>#N/A Requesting Data...</v>
      </c>
      <c r="T1891" t="str">
        <f>_xll.BDP("721595HM Muni","LQA_LIQUIDITY_SCORE")</f>
        <v>#N/A Requesting Data...</v>
      </c>
    </row>
    <row r="1892" spans="1:20" x14ac:dyDescent="0.25">
      <c r="A1892" t="str">
        <f>_xll.BDP("721595HN Muni","ID_CUSIP")</f>
        <v>#N/A Requesting Data...</v>
      </c>
      <c r="B1892" t="s">
        <v>417</v>
      </c>
      <c r="C1892" t="str">
        <f>_xll.BDP("721595HN Muni","INSURANCE_STATUS")</f>
        <v>#N/A Requesting Data...</v>
      </c>
      <c r="D1892" t="str">
        <f>_xll.BDP("721595HN Muni","STATE_CODE")</f>
        <v>#N/A Requesting Data...</v>
      </c>
      <c r="E1892" t="str">
        <f>_xll.BDP("721595HN Muni","COUNTY_LOCATION_ISSUER")</f>
        <v>#N/A Requesting Data...</v>
      </c>
      <c r="F1892" t="str">
        <f>_xll.BDP("721595HN Muni","DUR_ADJ_MID")</f>
        <v>#N/A Requesting Data...</v>
      </c>
      <c r="G1892" t="str">
        <f>_xll.BDP("721595HN Muni","SPREAD_AT_ISSUANCE_TO_WORST")</f>
        <v>#N/A Requesting Data...</v>
      </c>
      <c r="H1892" t="str">
        <f>_xll.BDP("721595HN Muni","ISSUE_DT")</f>
        <v>#N/A Requesting Data...</v>
      </c>
      <c r="I1892" t="str">
        <f>_xll.BDS("721595HN Muni","MUNI_PURPOSE_SCHED", "aggregate=y")</f>
        <v>#N/A Requesting Data...</v>
      </c>
      <c r="J1892" t="str">
        <f>_xll.BDP("721595HN Muni","CPN")</f>
        <v>#N/A Requesting Data...</v>
      </c>
      <c r="K1892" t="str">
        <f>_xll.BDP("721595HN Muni","MATURITY")</f>
        <v>#N/A Requesting Data...</v>
      </c>
      <c r="L1892">
        <v>165000</v>
      </c>
      <c r="M1892" t="str">
        <f>_xll.BDP("721595HN Muni","YIELD_ON_ISSUE_DATE")</f>
        <v>#N/A Requesting Data...</v>
      </c>
      <c r="N1892" t="str">
        <f>_xll.BDP("721595HN Muni","YTW_SPREAD_TO_MATURITY_AT_ISSU")</f>
        <v>#N/A Requesting Data...</v>
      </c>
      <c r="O1892" t="str">
        <f>_xll.BDP("721595HN Muni","BVAL_MID_YTM")</f>
        <v>#N/A Requesting Data...</v>
      </c>
      <c r="P1892" t="str">
        <f>_xll.BDP("721595HN Muni","MUNI_TAX_PROV")</f>
        <v>#N/A Requesting Data...</v>
      </c>
      <c r="Q1892" t="str">
        <f>_xll.BDP("721595HN Muni","MUNI_FED_TAX")</f>
        <v>#N/A Requesting Data...</v>
      </c>
      <c r="R1892" t="str">
        <f>_xll.BDP("721595HN Muni","MUNI_MSRB_VOLUME")</f>
        <v>#N/A Requesting Data...</v>
      </c>
      <c r="S1892" t="str">
        <f>_xll.BDP("721595HN Muni","BB_COMPOSITE")</f>
        <v>#N/A Requesting Data...</v>
      </c>
      <c r="T1892" t="str">
        <f>_xll.BDP("721595HN Muni","LQA_LIQUIDITY_SCORE")</f>
        <v>#N/A Requesting Data...</v>
      </c>
    </row>
    <row r="1893" spans="1:20" x14ac:dyDescent="0.25">
      <c r="A1893" t="str">
        <f>_xll.BDP("5907747X Muni","ID_CUSIP")</f>
        <v>#N/A Requesting Data...</v>
      </c>
      <c r="B1893" t="s">
        <v>421</v>
      </c>
      <c r="C1893" t="str">
        <f>_xll.BDP("5907747X Muni","INSURANCE_STATUS")</f>
        <v>#N/A Requesting Data...</v>
      </c>
      <c r="D1893" t="str">
        <f>_xll.BDP("5907747X Muni","STATE_CODE")</f>
        <v>#N/A Requesting Data...</v>
      </c>
      <c r="E1893" t="str">
        <f>_xll.BDP("5907747X Muni","COUNTY_LOCATION_ISSUER")</f>
        <v>#N/A Requesting Data...</v>
      </c>
      <c r="F1893" t="str">
        <f>_xll.BDP("5907747X Muni","DUR_ADJ_MID")</f>
        <v>#N/A Requesting Data...</v>
      </c>
      <c r="G1893" t="str">
        <f>_xll.BDP("5907747X Muni","SPREAD_AT_ISSUANCE_TO_WORST")</f>
        <v>#N/A Requesting Data...</v>
      </c>
      <c r="H1893" t="str">
        <f>_xll.BDP("5907747X Muni","ISSUE_DT")</f>
        <v>#N/A Requesting Data...</v>
      </c>
      <c r="I1893" t="str">
        <f>_xll.BDS("5907747X Muni","MUNI_PURPOSE_SCHED", "aggregate=y")</f>
        <v>#N/A Requesting Data...</v>
      </c>
      <c r="J1893" t="str">
        <f>_xll.BDP("5907747X Muni","CPN")</f>
        <v>#N/A Requesting Data...</v>
      </c>
      <c r="K1893" t="str">
        <f>_xll.BDP("5907747X Muni","MATURITY")</f>
        <v>#N/A Requesting Data...</v>
      </c>
      <c r="L1893">
        <v>485000</v>
      </c>
      <c r="M1893" t="str">
        <f>_xll.BDP("5907747X Muni","YIELD_ON_ISSUE_DATE")</f>
        <v>#N/A Requesting Data...</v>
      </c>
      <c r="N1893" t="str">
        <f>_xll.BDP("5907747X Muni","YTW_SPREAD_TO_MATURITY_AT_ISSU")</f>
        <v>#N/A Requesting Data...</v>
      </c>
      <c r="O1893" t="str">
        <f>_xll.BDP("5907747X Muni","BVAL_MID_YTM")</f>
        <v>#N/A Requesting Data...</v>
      </c>
      <c r="P1893" t="str">
        <f>_xll.BDP("5907747X Muni","MUNI_TAX_PROV")</f>
        <v>#N/A Requesting Data...</v>
      </c>
      <c r="Q1893" t="str">
        <f>_xll.BDP("5907747X Muni","MUNI_FED_TAX")</f>
        <v>#N/A Requesting Data...</v>
      </c>
      <c r="R1893" t="str">
        <f>_xll.BDP("5907747X Muni","MUNI_MSRB_VOLUME")</f>
        <v>#N/A Requesting Data...</v>
      </c>
      <c r="S1893" t="str">
        <f>_xll.BDP("5907747X Muni","BB_COMPOSITE")</f>
        <v>#N/A Requesting Data...</v>
      </c>
      <c r="T1893" t="str">
        <f>_xll.BDP("5907747X Muni","LQA_LIQUIDITY_SCORE")</f>
        <v>#N/A Requesting Data...</v>
      </c>
    </row>
    <row r="1894" spans="1:20" x14ac:dyDescent="0.25">
      <c r="A1894" t="str">
        <f>_xll.BDP("5907747Y Muni","ID_CUSIP")</f>
        <v>#N/A Requesting Data...</v>
      </c>
      <c r="B1894" t="s">
        <v>421</v>
      </c>
      <c r="C1894" t="str">
        <f>_xll.BDP("5907747Y Muni","INSURANCE_STATUS")</f>
        <v>#N/A Requesting Data...</v>
      </c>
      <c r="D1894" t="str">
        <f>_xll.BDP("5907747Y Muni","STATE_CODE")</f>
        <v>#N/A Requesting Data...</v>
      </c>
      <c r="E1894" t="str">
        <f>_xll.BDP("5907747Y Muni","COUNTY_LOCATION_ISSUER")</f>
        <v>#N/A Requesting Data...</v>
      </c>
      <c r="F1894" t="str">
        <f>_xll.BDP("5907747Y Muni","DUR_ADJ_MID")</f>
        <v>#N/A Requesting Data...</v>
      </c>
      <c r="G1894" t="str">
        <f>_xll.BDP("5907747Y Muni","SPREAD_AT_ISSUANCE_TO_WORST")</f>
        <v>#N/A Requesting Data...</v>
      </c>
      <c r="H1894" t="str">
        <f>_xll.BDP("5907747Y Muni","ISSUE_DT")</f>
        <v>#N/A Requesting Data...</v>
      </c>
      <c r="I1894" t="str">
        <f>_xll.BDS("5907747Y Muni","MUNI_PURPOSE_SCHED", "aggregate=y")</f>
        <v>#N/A Requesting Data...</v>
      </c>
      <c r="J1894" t="str">
        <f>_xll.BDP("5907747Y Muni","CPN")</f>
        <v>#N/A Requesting Data...</v>
      </c>
      <c r="K1894" t="str">
        <f>_xll.BDP("5907747Y Muni","MATURITY")</f>
        <v>#N/A Requesting Data...</v>
      </c>
      <c r="L1894">
        <v>510000</v>
      </c>
      <c r="M1894" t="str">
        <f>_xll.BDP("5907747Y Muni","YIELD_ON_ISSUE_DATE")</f>
        <v>#N/A Requesting Data...</v>
      </c>
      <c r="N1894" t="str">
        <f>_xll.BDP("5907747Y Muni","YTW_SPREAD_TO_MATURITY_AT_ISSU")</f>
        <v>#N/A Requesting Data...</v>
      </c>
      <c r="O1894" t="str">
        <f>_xll.BDP("5907747Y Muni","BVAL_MID_YTM")</f>
        <v>#N/A Requesting Data...</v>
      </c>
      <c r="P1894" t="str">
        <f>_xll.BDP("5907747Y Muni","MUNI_TAX_PROV")</f>
        <v>#N/A Requesting Data...</v>
      </c>
      <c r="Q1894" t="str">
        <f>_xll.BDP("5907747Y Muni","MUNI_FED_TAX")</f>
        <v>#N/A Requesting Data...</v>
      </c>
      <c r="R1894" t="str">
        <f>_xll.BDP("5907747Y Muni","MUNI_MSRB_VOLUME")</f>
        <v>#N/A Requesting Data...</v>
      </c>
      <c r="S1894" t="str">
        <f>_xll.BDP("5907747Y Muni","BB_COMPOSITE")</f>
        <v>#N/A Requesting Data...</v>
      </c>
      <c r="T1894" t="str">
        <f>_xll.BDP("5907747Y Muni","LQA_LIQUIDITY_SCORE")</f>
        <v>#N/A Requesting Data...</v>
      </c>
    </row>
    <row r="1895" spans="1:20" x14ac:dyDescent="0.25">
      <c r="A1895" t="str">
        <f>_xll.BDP("65887PTW Muni","ID_CUSIP")</f>
        <v>#N/A Requesting Data...</v>
      </c>
      <c r="B1895" t="s">
        <v>458</v>
      </c>
      <c r="C1895" t="str">
        <f>_xll.BDP("65887PTW Muni","INSURANCE_STATUS")</f>
        <v>#N/A Requesting Data...</v>
      </c>
      <c r="D1895" t="str">
        <f>_xll.BDP("65887PTW Muni","STATE_CODE")</f>
        <v>#N/A Requesting Data...</v>
      </c>
      <c r="E1895" t="str">
        <f>_xll.BDP("65887PTW Muni","COUNTY_LOCATION_ISSUER")</f>
        <v>#N/A Requesting Data...</v>
      </c>
      <c r="F1895" t="str">
        <f>_xll.BDP("65887PTW Muni","DUR_ADJ_MID")</f>
        <v>#N/A Requesting Data...</v>
      </c>
      <c r="G1895" t="str">
        <f>_xll.BDP("65887PTW Muni","SPREAD_AT_ISSUANCE_TO_WORST")</f>
        <v>#N/A Requesting Data...</v>
      </c>
      <c r="H1895" t="str">
        <f>_xll.BDP("65887PTW Muni","ISSUE_DT")</f>
        <v>#N/A Requesting Data...</v>
      </c>
      <c r="I1895" t="str">
        <f>_xll.BDS("65887PTW Muni","MUNI_PURPOSE_SCHED", "aggregate=y")</f>
        <v>#N/A Requesting Data...</v>
      </c>
      <c r="J1895" t="str">
        <f>_xll.BDP("65887PTW Muni","CPN")</f>
        <v>#N/A Requesting Data...</v>
      </c>
      <c r="K1895" t="str">
        <f>_xll.BDP("65887PTW Muni","MATURITY")</f>
        <v>#N/A Requesting Data...</v>
      </c>
      <c r="L1895">
        <v>4500000</v>
      </c>
      <c r="M1895" t="str">
        <f>_xll.BDP("65887PTW Muni","YIELD_ON_ISSUE_DATE")</f>
        <v>#N/A Requesting Data...</v>
      </c>
      <c r="N1895" t="str">
        <f>_xll.BDP("65887PTW Muni","YTW_SPREAD_TO_MATURITY_AT_ISSU")</f>
        <v>#N/A Requesting Data...</v>
      </c>
      <c r="O1895" t="str">
        <f>_xll.BDP("65887PTW Muni","BVAL_MID_YTM")</f>
        <v>#N/A Requesting Data...</v>
      </c>
      <c r="P1895" t="str">
        <f>_xll.BDP("65887PTW Muni","MUNI_TAX_PROV")</f>
        <v>#N/A Requesting Data...</v>
      </c>
      <c r="Q1895" t="str">
        <f>_xll.BDP("65887PTW Muni","MUNI_FED_TAX")</f>
        <v>#N/A Requesting Data...</v>
      </c>
      <c r="R1895" t="str">
        <f>_xll.BDP("65887PTW Muni","MUNI_MSRB_VOLUME")</f>
        <v>#N/A Requesting Data...</v>
      </c>
      <c r="S1895" t="str">
        <f>_xll.BDP("65887PTW Muni","BB_COMPOSITE")</f>
        <v>#N/A Requesting Data...</v>
      </c>
      <c r="T1895" t="str">
        <f>_xll.BDP("65887PTW Muni","LQA_LIQUIDITY_SCORE")</f>
        <v>#N/A Requesting Data...</v>
      </c>
    </row>
    <row r="1896" spans="1:20" x14ac:dyDescent="0.25">
      <c r="A1896" t="str">
        <f>_xll.BDP("65887PTX Muni","ID_CUSIP")</f>
        <v>#N/A Requesting Data...</v>
      </c>
      <c r="B1896" t="s">
        <v>458</v>
      </c>
      <c r="C1896" t="str">
        <f>_xll.BDP("65887PTX Muni","INSURANCE_STATUS")</f>
        <v>#N/A Requesting Data...</v>
      </c>
      <c r="D1896" t="str">
        <f>_xll.BDP("65887PTX Muni","STATE_CODE")</f>
        <v>#N/A Requesting Data...</v>
      </c>
      <c r="E1896" t="str">
        <f>_xll.BDP("65887PTX Muni","COUNTY_LOCATION_ISSUER")</f>
        <v>#N/A Requesting Data...</v>
      </c>
      <c r="F1896" t="str">
        <f>_xll.BDP("65887PTX Muni","DUR_ADJ_MID")</f>
        <v>#N/A Requesting Data...</v>
      </c>
      <c r="G1896" t="str">
        <f>_xll.BDP("65887PTX Muni","SPREAD_AT_ISSUANCE_TO_WORST")</f>
        <v>#N/A Requesting Data...</v>
      </c>
      <c r="H1896" t="str">
        <f>_xll.BDP("65887PTX Muni","ISSUE_DT")</f>
        <v>#N/A Requesting Data...</v>
      </c>
      <c r="I1896" t="str">
        <f>_xll.BDS("65887PTX Muni","MUNI_PURPOSE_SCHED", "aggregate=y")</f>
        <v>#N/A Requesting Data...</v>
      </c>
      <c r="J1896" t="str">
        <f>_xll.BDP("65887PTX Muni","CPN")</f>
        <v>#N/A Requesting Data...</v>
      </c>
      <c r="K1896" t="str">
        <f>_xll.BDP("65887PTX Muni","MATURITY")</f>
        <v>#N/A Requesting Data...</v>
      </c>
      <c r="L1896">
        <v>4730000</v>
      </c>
      <c r="M1896" t="str">
        <f>_xll.BDP("65887PTX Muni","YIELD_ON_ISSUE_DATE")</f>
        <v>#N/A Requesting Data...</v>
      </c>
      <c r="N1896" t="str">
        <f>_xll.BDP("65887PTX Muni","YTW_SPREAD_TO_MATURITY_AT_ISSU")</f>
        <v>#N/A Requesting Data...</v>
      </c>
      <c r="O1896" t="str">
        <f>_xll.BDP("65887PTX Muni","BVAL_MID_YTM")</f>
        <v>#N/A Requesting Data...</v>
      </c>
      <c r="P1896" t="str">
        <f>_xll.BDP("65887PTX Muni","MUNI_TAX_PROV")</f>
        <v>#N/A Requesting Data...</v>
      </c>
      <c r="Q1896" t="str">
        <f>_xll.BDP("65887PTX Muni","MUNI_FED_TAX")</f>
        <v>#N/A Requesting Data...</v>
      </c>
      <c r="R1896" t="str">
        <f>_xll.BDP("65887PTX Muni","MUNI_MSRB_VOLUME")</f>
        <v>#N/A Requesting Data...</v>
      </c>
      <c r="S1896" t="str">
        <f>_xll.BDP("65887PTX Muni","BB_COMPOSITE")</f>
        <v>#N/A Requesting Data...</v>
      </c>
      <c r="T1896" t="str">
        <f>_xll.BDP("65887PTX Muni","LQA_LIQUIDITY_SCORE")</f>
        <v>#N/A Requesting Data...</v>
      </c>
    </row>
    <row r="1897" spans="1:20" x14ac:dyDescent="0.25">
      <c r="A1897" t="str">
        <f>_xll.BDP("65887PTY Muni","ID_CUSIP")</f>
        <v>#N/A Requesting Data...</v>
      </c>
      <c r="B1897" t="s">
        <v>458</v>
      </c>
      <c r="C1897" t="str">
        <f>_xll.BDP("65887PTY Muni","INSURANCE_STATUS")</f>
        <v>#N/A Requesting Data...</v>
      </c>
      <c r="D1897" t="str">
        <f>_xll.BDP("65887PTY Muni","STATE_CODE")</f>
        <v>#N/A Requesting Data...</v>
      </c>
      <c r="E1897" t="str">
        <f>_xll.BDP("65887PTY Muni","COUNTY_LOCATION_ISSUER")</f>
        <v>#N/A Requesting Data...</v>
      </c>
      <c r="F1897" t="str">
        <f>_xll.BDP("65887PTY Muni","DUR_ADJ_MID")</f>
        <v>#N/A Requesting Data...</v>
      </c>
      <c r="G1897" t="str">
        <f>_xll.BDP("65887PTY Muni","SPREAD_AT_ISSUANCE_TO_WORST")</f>
        <v>#N/A Requesting Data...</v>
      </c>
      <c r="H1897" t="str">
        <f>_xll.BDP("65887PTY Muni","ISSUE_DT")</f>
        <v>#N/A Requesting Data...</v>
      </c>
      <c r="I1897" t="str">
        <f>_xll.BDS("65887PTY Muni","MUNI_PURPOSE_SCHED", "aggregate=y")</f>
        <v>#N/A Requesting Data...</v>
      </c>
      <c r="J1897" t="str">
        <f>_xll.BDP("65887PTY Muni","CPN")</f>
        <v>#N/A Requesting Data...</v>
      </c>
      <c r="K1897" t="str">
        <f>_xll.BDP("65887PTY Muni","MATURITY")</f>
        <v>#N/A Requesting Data...</v>
      </c>
      <c r="L1897">
        <v>4965000</v>
      </c>
      <c r="M1897" t="str">
        <f>_xll.BDP("65887PTY Muni","YIELD_ON_ISSUE_DATE")</f>
        <v>#N/A Requesting Data...</v>
      </c>
      <c r="N1897" t="str">
        <f>_xll.BDP("65887PTY Muni","YTW_SPREAD_TO_MATURITY_AT_ISSU")</f>
        <v>#N/A Requesting Data...</v>
      </c>
      <c r="O1897" t="str">
        <f>_xll.BDP("65887PTY Muni","BVAL_MID_YTM")</f>
        <v>#N/A Requesting Data...</v>
      </c>
      <c r="P1897" t="str">
        <f>_xll.BDP("65887PTY Muni","MUNI_TAX_PROV")</f>
        <v>#N/A Requesting Data...</v>
      </c>
      <c r="Q1897" t="str">
        <f>_xll.BDP("65887PTY Muni","MUNI_FED_TAX")</f>
        <v>#N/A Requesting Data...</v>
      </c>
      <c r="R1897" t="str">
        <f>_xll.BDP("65887PTY Muni","MUNI_MSRB_VOLUME")</f>
        <v>#N/A Requesting Data...</v>
      </c>
      <c r="S1897" t="str">
        <f>_xll.BDP("65887PTY Muni","BB_COMPOSITE")</f>
        <v>#N/A Requesting Data...</v>
      </c>
      <c r="T1897" t="str">
        <f>_xll.BDP("65887PTY Muni","LQA_LIQUIDITY_SCORE")</f>
        <v>#N/A Requesting Data...</v>
      </c>
    </row>
    <row r="1898" spans="1:20" x14ac:dyDescent="0.25">
      <c r="A1898" t="str">
        <f>_xll.BDP("65887PTZ Muni","ID_CUSIP")</f>
        <v>#N/A Requesting Data...</v>
      </c>
      <c r="B1898" t="s">
        <v>458</v>
      </c>
      <c r="C1898" t="str">
        <f>_xll.BDP("65887PTZ Muni","INSURANCE_STATUS")</f>
        <v>#N/A Requesting Data...</v>
      </c>
      <c r="D1898" t="str">
        <f>_xll.BDP("65887PTZ Muni","STATE_CODE")</f>
        <v>#N/A Requesting Data...</v>
      </c>
      <c r="E1898" t="str">
        <f>_xll.BDP("65887PTZ Muni","COUNTY_LOCATION_ISSUER")</f>
        <v>#N/A Requesting Data...</v>
      </c>
      <c r="F1898" t="str">
        <f>_xll.BDP("65887PTZ Muni","DUR_ADJ_MID")</f>
        <v>#N/A Requesting Data...</v>
      </c>
      <c r="G1898" t="str">
        <f>_xll.BDP("65887PTZ Muni","SPREAD_AT_ISSUANCE_TO_WORST")</f>
        <v>#N/A Requesting Data...</v>
      </c>
      <c r="H1898" t="str">
        <f>_xll.BDP("65887PTZ Muni","ISSUE_DT")</f>
        <v>#N/A Requesting Data...</v>
      </c>
      <c r="I1898" t="str">
        <f>_xll.BDS("65887PTZ Muni","MUNI_PURPOSE_SCHED", "aggregate=y")</f>
        <v>#N/A Requesting Data...</v>
      </c>
      <c r="J1898" t="str">
        <f>_xll.BDP("65887PTZ Muni","CPN")</f>
        <v>#N/A Requesting Data...</v>
      </c>
      <c r="K1898" t="str">
        <f>_xll.BDP("65887PTZ Muni","MATURITY")</f>
        <v>#N/A Requesting Data...</v>
      </c>
      <c r="L1898">
        <v>5220000</v>
      </c>
      <c r="M1898" t="str">
        <f>_xll.BDP("65887PTZ Muni","YIELD_ON_ISSUE_DATE")</f>
        <v>#N/A Requesting Data...</v>
      </c>
      <c r="N1898" t="str">
        <f>_xll.BDP("65887PTZ Muni","YTW_SPREAD_TO_MATURITY_AT_ISSU")</f>
        <v>#N/A Requesting Data...</v>
      </c>
      <c r="O1898" t="str">
        <f>_xll.BDP("65887PTZ Muni","BVAL_MID_YTM")</f>
        <v>#N/A Requesting Data...</v>
      </c>
      <c r="P1898" t="str">
        <f>_xll.BDP("65887PTZ Muni","MUNI_TAX_PROV")</f>
        <v>#N/A Requesting Data...</v>
      </c>
      <c r="Q1898" t="str">
        <f>_xll.BDP("65887PTZ Muni","MUNI_FED_TAX")</f>
        <v>#N/A Requesting Data...</v>
      </c>
      <c r="R1898" t="str">
        <f>_xll.BDP("65887PTZ Muni","MUNI_MSRB_VOLUME")</f>
        <v>#N/A Requesting Data...</v>
      </c>
      <c r="S1898" t="str">
        <f>_xll.BDP("65887PTZ Muni","BB_COMPOSITE")</f>
        <v>#N/A Requesting Data...</v>
      </c>
      <c r="T1898" t="str">
        <f>_xll.BDP("65887PTZ Muni","LQA_LIQUIDITY_SCORE")</f>
        <v>#N/A Requesting Data...</v>
      </c>
    </row>
    <row r="1899" spans="1:20" x14ac:dyDescent="0.25">
      <c r="A1899" t="str">
        <f>_xll.BDP("65887PUA Muni","ID_CUSIP")</f>
        <v>#N/A Requesting Data...</v>
      </c>
      <c r="B1899" t="s">
        <v>458</v>
      </c>
      <c r="C1899" t="str">
        <f>_xll.BDP("65887PUA Muni","INSURANCE_STATUS")</f>
        <v>#N/A Requesting Data...</v>
      </c>
      <c r="D1899" t="str">
        <f>_xll.BDP("65887PUA Muni","STATE_CODE")</f>
        <v>#N/A Requesting Data...</v>
      </c>
      <c r="E1899" t="str">
        <f>_xll.BDP("65887PUA Muni","COUNTY_LOCATION_ISSUER")</f>
        <v>#N/A Requesting Data...</v>
      </c>
      <c r="F1899" t="str">
        <f>_xll.BDP("65887PUA Muni","DUR_ADJ_MID")</f>
        <v>#N/A Requesting Data...</v>
      </c>
      <c r="G1899" t="str">
        <f>_xll.BDP("65887PUA Muni","SPREAD_AT_ISSUANCE_TO_WORST")</f>
        <v>#N/A Requesting Data...</v>
      </c>
      <c r="H1899" t="str">
        <f>_xll.BDP("65887PUA Muni","ISSUE_DT")</f>
        <v>#N/A Requesting Data...</v>
      </c>
      <c r="I1899" t="str">
        <f>_xll.BDS("65887PUA Muni","MUNI_PURPOSE_SCHED", "aggregate=y")</f>
        <v>#N/A Requesting Data...</v>
      </c>
      <c r="J1899" t="str">
        <f>_xll.BDP("65887PUA Muni","CPN")</f>
        <v>#N/A Requesting Data...</v>
      </c>
      <c r="K1899" t="str">
        <f>_xll.BDP("65887PUA Muni","MATURITY")</f>
        <v>#N/A Requesting Data...</v>
      </c>
      <c r="L1899">
        <v>5480000</v>
      </c>
      <c r="M1899" t="str">
        <f>_xll.BDP("65887PUA Muni","YIELD_ON_ISSUE_DATE")</f>
        <v>#N/A Requesting Data...</v>
      </c>
      <c r="N1899" t="str">
        <f>_xll.BDP("65887PUA Muni","YTW_SPREAD_TO_MATURITY_AT_ISSU")</f>
        <v>#N/A Requesting Data...</v>
      </c>
      <c r="O1899" t="str">
        <f>_xll.BDP("65887PUA Muni","BVAL_MID_YTM")</f>
        <v>#N/A Requesting Data...</v>
      </c>
      <c r="P1899" t="str">
        <f>_xll.BDP("65887PUA Muni","MUNI_TAX_PROV")</f>
        <v>#N/A Requesting Data...</v>
      </c>
      <c r="Q1899" t="str">
        <f>_xll.BDP("65887PUA Muni","MUNI_FED_TAX")</f>
        <v>#N/A Requesting Data...</v>
      </c>
      <c r="R1899" t="str">
        <f>_xll.BDP("65887PUA Muni","MUNI_MSRB_VOLUME")</f>
        <v>#N/A Requesting Data...</v>
      </c>
      <c r="S1899" t="str">
        <f>_xll.BDP("65887PUA Muni","BB_COMPOSITE")</f>
        <v>#N/A Requesting Data...</v>
      </c>
      <c r="T1899" t="str">
        <f>_xll.BDP("65887PUA Muni","LQA_LIQUIDITY_SCORE")</f>
        <v>#N/A Requesting Data...</v>
      </c>
    </row>
    <row r="1900" spans="1:20" x14ac:dyDescent="0.25">
      <c r="A1900" t="str">
        <f>_xll.BDP("65887PUB Muni","ID_CUSIP")</f>
        <v>#N/A Requesting Data...</v>
      </c>
      <c r="B1900" t="s">
        <v>458</v>
      </c>
      <c r="C1900" t="str">
        <f>_xll.BDP("65887PUB Muni","INSURANCE_STATUS")</f>
        <v>#N/A Requesting Data...</v>
      </c>
      <c r="D1900" t="str">
        <f>_xll.BDP("65887PUB Muni","STATE_CODE")</f>
        <v>#N/A Requesting Data...</v>
      </c>
      <c r="E1900" t="str">
        <f>_xll.BDP("65887PUB Muni","COUNTY_LOCATION_ISSUER")</f>
        <v>#N/A Requesting Data...</v>
      </c>
      <c r="F1900" t="str">
        <f>_xll.BDP("65887PUB Muni","DUR_ADJ_MID")</f>
        <v>#N/A Requesting Data...</v>
      </c>
      <c r="G1900" t="str">
        <f>_xll.BDP("65887PUB Muni","SPREAD_AT_ISSUANCE_TO_WORST")</f>
        <v>#N/A Requesting Data...</v>
      </c>
      <c r="H1900" t="str">
        <f>_xll.BDP("65887PUB Muni","ISSUE_DT")</f>
        <v>#N/A Requesting Data...</v>
      </c>
      <c r="I1900" t="str">
        <f>_xll.BDS("65887PUB Muni","MUNI_PURPOSE_SCHED", "aggregate=y")</f>
        <v>#N/A Requesting Data...</v>
      </c>
      <c r="J1900" t="str">
        <f>_xll.BDP("65887PUB Muni","CPN")</f>
        <v>#N/A Requesting Data...</v>
      </c>
      <c r="K1900" t="str">
        <f>_xll.BDP("65887PUB Muni","MATURITY")</f>
        <v>#N/A Requesting Data...</v>
      </c>
      <c r="L1900">
        <v>5745000</v>
      </c>
      <c r="M1900" t="str">
        <f>_xll.BDP("65887PUB Muni","YIELD_ON_ISSUE_DATE")</f>
        <v>#N/A Requesting Data...</v>
      </c>
      <c r="N1900" t="str">
        <f>_xll.BDP("65887PUB Muni","YTW_SPREAD_TO_MATURITY_AT_ISSU")</f>
        <v>#N/A Requesting Data...</v>
      </c>
      <c r="O1900" t="str">
        <f>_xll.BDP("65887PUB Muni","BVAL_MID_YTM")</f>
        <v>#N/A Requesting Data...</v>
      </c>
      <c r="P1900" t="str">
        <f>_xll.BDP("65887PUB Muni","MUNI_TAX_PROV")</f>
        <v>#N/A Requesting Data...</v>
      </c>
      <c r="Q1900" t="str">
        <f>_xll.BDP("65887PUB Muni","MUNI_FED_TAX")</f>
        <v>#N/A Requesting Data...</v>
      </c>
      <c r="R1900" t="str">
        <f>_xll.BDP("65887PUB Muni","MUNI_MSRB_VOLUME")</f>
        <v>#N/A Requesting Data...</v>
      </c>
      <c r="S1900" t="str">
        <f>_xll.BDP("65887PUB Muni","BB_COMPOSITE")</f>
        <v>#N/A Requesting Data...</v>
      </c>
      <c r="T1900" t="str">
        <f>_xll.BDP("65887PUB Muni","LQA_LIQUIDITY_SCORE")</f>
        <v>#N/A Requesting Data...</v>
      </c>
    </row>
    <row r="1901" spans="1:20" x14ac:dyDescent="0.25">
      <c r="A1901" t="str">
        <f>_xll.BDP("65887PUC Muni","ID_CUSIP")</f>
        <v>#N/A Requesting Data...</v>
      </c>
      <c r="B1901" t="s">
        <v>458</v>
      </c>
      <c r="C1901" t="str">
        <f>_xll.BDP("65887PUC Muni","INSURANCE_STATUS")</f>
        <v>#N/A Requesting Data...</v>
      </c>
      <c r="D1901" t="str">
        <f>_xll.BDP("65887PUC Muni","STATE_CODE")</f>
        <v>#N/A Requesting Data...</v>
      </c>
      <c r="E1901" t="str">
        <f>_xll.BDP("65887PUC Muni","COUNTY_LOCATION_ISSUER")</f>
        <v>#N/A Requesting Data...</v>
      </c>
      <c r="F1901" t="str">
        <f>_xll.BDP("65887PUC Muni","DUR_ADJ_MID")</f>
        <v>#N/A Requesting Data...</v>
      </c>
      <c r="G1901" t="str">
        <f>_xll.BDP("65887PUC Muni","SPREAD_AT_ISSUANCE_TO_WORST")</f>
        <v>#N/A Requesting Data...</v>
      </c>
      <c r="H1901" t="str">
        <f>_xll.BDP("65887PUC Muni","ISSUE_DT")</f>
        <v>#N/A Requesting Data...</v>
      </c>
      <c r="I1901" t="str">
        <f>_xll.BDS("65887PUC Muni","MUNI_PURPOSE_SCHED", "aggregate=y")</f>
        <v>#N/A Requesting Data...</v>
      </c>
      <c r="J1901" t="str">
        <f>_xll.BDP("65887PUC Muni","CPN")</f>
        <v>#N/A Requesting Data...</v>
      </c>
      <c r="K1901" t="str">
        <f>_xll.BDP("65887PUC Muni","MATURITY")</f>
        <v>#N/A Requesting Data...</v>
      </c>
      <c r="L1901">
        <v>6030000</v>
      </c>
      <c r="M1901" t="str">
        <f>_xll.BDP("65887PUC Muni","YIELD_ON_ISSUE_DATE")</f>
        <v>#N/A Requesting Data...</v>
      </c>
      <c r="N1901" t="str">
        <f>_xll.BDP("65887PUC Muni","YTW_SPREAD_TO_MATURITY_AT_ISSU")</f>
        <v>#N/A Requesting Data...</v>
      </c>
      <c r="O1901" t="str">
        <f>_xll.BDP("65887PUC Muni","BVAL_MID_YTM")</f>
        <v>#N/A Requesting Data...</v>
      </c>
      <c r="P1901" t="str">
        <f>_xll.BDP("65887PUC Muni","MUNI_TAX_PROV")</f>
        <v>#N/A Requesting Data...</v>
      </c>
      <c r="Q1901" t="str">
        <f>_xll.BDP("65887PUC Muni","MUNI_FED_TAX")</f>
        <v>#N/A Requesting Data...</v>
      </c>
      <c r="R1901" t="str">
        <f>_xll.BDP("65887PUC Muni","MUNI_MSRB_VOLUME")</f>
        <v>#N/A Requesting Data...</v>
      </c>
      <c r="S1901" t="str">
        <f>_xll.BDP("65887PUC Muni","BB_COMPOSITE")</f>
        <v>#N/A Requesting Data...</v>
      </c>
      <c r="T1901" t="str">
        <f>_xll.BDP("65887PUC Muni","LQA_LIQUIDITY_SCORE")</f>
        <v>#N/A Requesting Data...</v>
      </c>
    </row>
    <row r="1902" spans="1:20" x14ac:dyDescent="0.25">
      <c r="A1902" t="str">
        <f>_xll.BDP("5907747W Muni","ID_CUSIP")</f>
        <v>#N/A Requesting Data...</v>
      </c>
      <c r="B1902" t="s">
        <v>421</v>
      </c>
      <c r="C1902" t="str">
        <f>_xll.BDP("5907747W Muni","INSURANCE_STATUS")</f>
        <v>#N/A Requesting Data...</v>
      </c>
      <c r="D1902" t="str">
        <f>_xll.BDP("5907747W Muni","STATE_CODE")</f>
        <v>#N/A Requesting Data...</v>
      </c>
      <c r="E1902" t="str">
        <f>_xll.BDP("5907747W Muni","COUNTY_LOCATION_ISSUER")</f>
        <v>#N/A Requesting Data...</v>
      </c>
      <c r="F1902" t="str">
        <f>_xll.BDP("5907747W Muni","DUR_ADJ_MID")</f>
        <v>#N/A Requesting Data...</v>
      </c>
      <c r="G1902" t="str">
        <f>_xll.BDP("5907747W Muni","SPREAD_AT_ISSUANCE_TO_WORST")</f>
        <v>#N/A Requesting Data...</v>
      </c>
      <c r="H1902" t="str">
        <f>_xll.BDP("5907747W Muni","ISSUE_DT")</f>
        <v>#N/A Requesting Data...</v>
      </c>
      <c r="I1902" t="str">
        <f>_xll.BDS("5907747W Muni","MUNI_PURPOSE_SCHED", "aggregate=y")</f>
        <v>#N/A Requesting Data...</v>
      </c>
      <c r="J1902" t="str">
        <f>_xll.BDP("5907747W Muni","CPN")</f>
        <v>#N/A Requesting Data...</v>
      </c>
      <c r="K1902" t="str">
        <f>_xll.BDP("5907747W Muni","MATURITY")</f>
        <v>#N/A Requesting Data...</v>
      </c>
      <c r="L1902">
        <v>465000</v>
      </c>
      <c r="M1902" t="str">
        <f>_xll.BDP("5907747W Muni","YIELD_ON_ISSUE_DATE")</f>
        <v>#N/A Requesting Data...</v>
      </c>
      <c r="N1902" t="str">
        <f>_xll.BDP("5907747W Muni","YTW_SPREAD_TO_MATURITY_AT_ISSU")</f>
        <v>#N/A Requesting Data...</v>
      </c>
      <c r="O1902" t="str">
        <f>_xll.BDP("5907747W Muni","BVAL_MID_YTM")</f>
        <v>#N/A Requesting Data...</v>
      </c>
      <c r="P1902" t="str">
        <f>_xll.BDP("5907747W Muni","MUNI_TAX_PROV")</f>
        <v>#N/A Requesting Data...</v>
      </c>
      <c r="Q1902" t="str">
        <f>_xll.BDP("5907747W Muni","MUNI_FED_TAX")</f>
        <v>#N/A Requesting Data...</v>
      </c>
      <c r="R1902" t="str">
        <f>_xll.BDP("5907747W Muni","MUNI_MSRB_VOLUME")</f>
        <v>#N/A Requesting Data...</v>
      </c>
      <c r="S1902" t="str">
        <f>_xll.BDP("5907747W Muni","BB_COMPOSITE")</f>
        <v>#N/A Requesting Data...</v>
      </c>
      <c r="T1902" t="str">
        <f>_xll.BDP("5907747W Muni","LQA_LIQUIDITY_SCORE")</f>
        <v>#N/A Requesting Data...</v>
      </c>
    </row>
    <row r="1903" spans="1:20" x14ac:dyDescent="0.25">
      <c r="A1903" t="str">
        <f>_xll.BDP("383392AU Muni","ID_CUSIP")</f>
        <v>#N/A Requesting Data...</v>
      </c>
      <c r="B1903" t="s">
        <v>337</v>
      </c>
      <c r="C1903" t="str">
        <f>_xll.BDP("383392AU Muni","INSURANCE_STATUS")</f>
        <v>#N/A Requesting Data...</v>
      </c>
      <c r="D1903" t="str">
        <f>_xll.BDP("383392AU Muni","STATE_CODE")</f>
        <v>#N/A Requesting Data...</v>
      </c>
      <c r="E1903" t="str">
        <f>_xll.BDP("383392AU Muni","COUNTY_LOCATION_ISSUER")</f>
        <v>#N/A Requesting Data...</v>
      </c>
      <c r="F1903" t="str">
        <f>_xll.BDP("383392AU Muni","DUR_ADJ_MID")</f>
        <v>#N/A Requesting Data...</v>
      </c>
      <c r="G1903" t="str">
        <f>_xll.BDP("383392AU Muni","SPREAD_AT_ISSUANCE_TO_WORST")</f>
        <v>#N/A Requesting Data...</v>
      </c>
      <c r="H1903" t="str">
        <f>_xll.BDP("383392AU Muni","ISSUE_DT")</f>
        <v>#N/A Requesting Data...</v>
      </c>
      <c r="I1903" t="str">
        <f>_xll.BDS("383392AU Muni","MUNI_PURPOSE_SCHED", "aggregate=y")</f>
        <v>#N/A Requesting Data...</v>
      </c>
      <c r="J1903" t="str">
        <f>_xll.BDP("383392AU Muni","CPN")</f>
        <v>#N/A Requesting Data...</v>
      </c>
      <c r="K1903" t="str">
        <f>_xll.BDP("383392AU Muni","MATURITY")</f>
        <v>#N/A Requesting Data...</v>
      </c>
      <c r="L1903">
        <v>130000</v>
      </c>
      <c r="M1903" t="str">
        <f>_xll.BDP("383392AU Muni","YIELD_ON_ISSUE_DATE")</f>
        <v>#N/A Requesting Data...</v>
      </c>
      <c r="N1903" t="str">
        <f>_xll.BDP("383392AU Muni","YTW_SPREAD_TO_MATURITY_AT_ISSU")</f>
        <v>#N/A Requesting Data...</v>
      </c>
      <c r="O1903" t="str">
        <f>_xll.BDP("383392AU Muni","BVAL_MID_YTM")</f>
        <v>#N/A Requesting Data...</v>
      </c>
      <c r="P1903" t="str">
        <f>_xll.BDP("383392AU Muni","MUNI_TAX_PROV")</f>
        <v>#N/A Requesting Data...</v>
      </c>
      <c r="Q1903" t="str">
        <f>_xll.BDP("383392AU Muni","MUNI_FED_TAX")</f>
        <v>#N/A Requesting Data...</v>
      </c>
      <c r="R1903" t="str">
        <f>_xll.BDP("383392AU Muni","MUNI_MSRB_VOLUME")</f>
        <v>#N/A Requesting Data...</v>
      </c>
      <c r="S1903" t="str">
        <f>_xll.BDP("383392AU Muni","BB_COMPOSITE")</f>
        <v>#N/A Requesting Data...</v>
      </c>
      <c r="T1903" t="str">
        <f>_xll.BDP("383392AU Muni","LQA_LIQUIDITY_SCORE")</f>
        <v>#N/A Requesting Data...</v>
      </c>
    </row>
    <row r="1904" spans="1:20" x14ac:dyDescent="0.25">
      <c r="A1904" t="str">
        <f>_xll.BDP("396093AJ Muni","ID_CUSIP")</f>
        <v>#N/A Requesting Data...</v>
      </c>
      <c r="B1904" t="s">
        <v>338</v>
      </c>
      <c r="C1904" t="str">
        <f>_xll.BDP("396093AJ Muni","INSURANCE_STATUS")</f>
        <v>#N/A Requesting Data...</v>
      </c>
      <c r="D1904" t="str">
        <f>_xll.BDP("396093AJ Muni","STATE_CODE")</f>
        <v>#N/A Requesting Data...</v>
      </c>
      <c r="E1904" t="str">
        <f>_xll.BDP("396093AJ Muni","COUNTY_LOCATION_ISSUER")</f>
        <v>#N/A Requesting Data...</v>
      </c>
      <c r="F1904" t="str">
        <f>_xll.BDP("396093AJ Muni","DUR_ADJ_MID")</f>
        <v>#N/A Requesting Data...</v>
      </c>
      <c r="G1904" t="str">
        <f>_xll.BDP("396093AJ Muni","SPREAD_AT_ISSUANCE_TO_WORST")</f>
        <v>#N/A Requesting Data...</v>
      </c>
      <c r="H1904" t="str">
        <f>_xll.BDP("396093AJ Muni","ISSUE_DT")</f>
        <v>#N/A Requesting Data...</v>
      </c>
      <c r="I1904" t="str">
        <f>_xll.BDS("396093AJ Muni","MUNI_PURPOSE_SCHED", "aggregate=y")</f>
        <v>#N/A Requesting Data...</v>
      </c>
      <c r="J1904" t="str">
        <f>_xll.BDP("396093AJ Muni","CPN")</f>
        <v>#N/A Requesting Data...</v>
      </c>
      <c r="K1904" t="str">
        <f>_xll.BDP("396093AJ Muni","MATURITY")</f>
        <v>#N/A Requesting Data...</v>
      </c>
      <c r="L1904">
        <v>370000</v>
      </c>
      <c r="M1904" t="str">
        <f>_xll.BDP("396093AJ Muni","YIELD_ON_ISSUE_DATE")</f>
        <v>#N/A Requesting Data...</v>
      </c>
      <c r="N1904" t="str">
        <f>_xll.BDP("396093AJ Muni","YTW_SPREAD_TO_MATURITY_AT_ISSU")</f>
        <v>#N/A Requesting Data...</v>
      </c>
      <c r="O1904" t="str">
        <f>_xll.BDP("396093AJ Muni","BVAL_MID_YTM")</f>
        <v>#N/A Requesting Data...</v>
      </c>
      <c r="P1904" t="str">
        <f>_xll.BDP("396093AJ Muni","MUNI_TAX_PROV")</f>
        <v>#N/A Requesting Data...</v>
      </c>
      <c r="Q1904" t="str">
        <f>_xll.BDP("396093AJ Muni","MUNI_FED_TAX")</f>
        <v>#N/A Requesting Data...</v>
      </c>
      <c r="R1904" t="str">
        <f>_xll.BDP("396093AJ Muni","MUNI_MSRB_VOLUME")</f>
        <v>#N/A Requesting Data...</v>
      </c>
      <c r="S1904" t="str">
        <f>_xll.BDP("396093AJ Muni","BB_COMPOSITE")</f>
        <v>#N/A Requesting Data...</v>
      </c>
      <c r="T1904" t="str">
        <f>_xll.BDP("396093AJ Muni","LQA_LIQUIDITY_SCORE")</f>
        <v>#N/A Requesting Data...</v>
      </c>
    </row>
    <row r="1905" spans="1:20" x14ac:dyDescent="0.25">
      <c r="A1905" t="str">
        <f>_xll.BDP("378136Z2 Muni","ID_CUSIP")</f>
        <v>#N/A Requesting Data...</v>
      </c>
      <c r="B1905" t="s">
        <v>344</v>
      </c>
      <c r="C1905" t="str">
        <f>_xll.BDP("378136Z2 Muni","INSURANCE_STATUS")</f>
        <v>#N/A Requesting Data...</v>
      </c>
      <c r="D1905" t="str">
        <f>_xll.BDP("378136Z2 Muni","STATE_CODE")</f>
        <v>#N/A Requesting Data...</v>
      </c>
      <c r="E1905" t="str">
        <f>_xll.BDP("378136Z2 Muni","COUNTY_LOCATION_ISSUER")</f>
        <v>#N/A Requesting Data...</v>
      </c>
      <c r="F1905" t="str">
        <f>_xll.BDP("378136Z2 Muni","DUR_ADJ_MID")</f>
        <v>#N/A Requesting Data...</v>
      </c>
      <c r="G1905" t="str">
        <f>_xll.BDP("378136Z2 Muni","SPREAD_AT_ISSUANCE_TO_WORST")</f>
        <v>#N/A Requesting Data...</v>
      </c>
      <c r="H1905" t="str">
        <f>_xll.BDP("378136Z2 Muni","ISSUE_DT")</f>
        <v>#N/A Requesting Data...</v>
      </c>
      <c r="I1905" t="str">
        <f>_xll.BDS("378136Z2 Muni","MUNI_PURPOSE_SCHED", "aggregate=y")</f>
        <v>#N/A Requesting Data...</v>
      </c>
      <c r="J1905" t="str">
        <f>_xll.BDP("378136Z2 Muni","CPN")</f>
        <v>#N/A Requesting Data...</v>
      </c>
      <c r="K1905" t="str">
        <f>_xll.BDP("378136Z2 Muni","MATURITY")</f>
        <v>#N/A Requesting Data...</v>
      </c>
      <c r="L1905">
        <v>300000</v>
      </c>
      <c r="M1905" t="str">
        <f>_xll.BDP("378136Z2 Muni","YIELD_ON_ISSUE_DATE")</f>
        <v>#N/A Requesting Data...</v>
      </c>
      <c r="N1905" t="str">
        <f>_xll.BDP("378136Z2 Muni","YTW_SPREAD_TO_MATURITY_AT_ISSU")</f>
        <v>#N/A Requesting Data...</v>
      </c>
      <c r="O1905" t="str">
        <f>_xll.BDP("378136Z2 Muni","BVAL_MID_YTM")</f>
        <v>#N/A Requesting Data...</v>
      </c>
      <c r="P1905" t="str">
        <f>_xll.BDP("378136Z2 Muni","MUNI_TAX_PROV")</f>
        <v>#N/A Requesting Data...</v>
      </c>
      <c r="Q1905" t="str">
        <f>_xll.BDP("378136Z2 Muni","MUNI_FED_TAX")</f>
        <v>#N/A Requesting Data...</v>
      </c>
      <c r="R1905" t="str">
        <f>_xll.BDP("378136Z2 Muni","MUNI_MSRB_VOLUME")</f>
        <v>#N/A Requesting Data...</v>
      </c>
      <c r="S1905" t="str">
        <f>_xll.BDP("378136Z2 Muni","BB_COMPOSITE")</f>
        <v>#N/A Requesting Data...</v>
      </c>
      <c r="T1905" t="str">
        <f>_xll.BDP("378136Z2 Muni","LQA_LIQUIDITY_SCORE")</f>
        <v>#N/A Requesting Data...</v>
      </c>
    </row>
    <row r="1906" spans="1:20" x14ac:dyDescent="0.25">
      <c r="A1906" t="str">
        <f>_xll.BDP("382460NS Muni","ID_CUSIP")</f>
        <v>#N/A Requesting Data...</v>
      </c>
      <c r="B1906" t="s">
        <v>459</v>
      </c>
      <c r="C1906" t="str">
        <f>_xll.BDP("382460NS Muni","INSURANCE_STATUS")</f>
        <v>#N/A Requesting Data...</v>
      </c>
      <c r="D1906" t="str">
        <f>_xll.BDP("382460NS Muni","STATE_CODE")</f>
        <v>#N/A Requesting Data...</v>
      </c>
      <c r="E1906" t="str">
        <f>_xll.BDP("382460NS Muni","COUNTY_LOCATION_ISSUER")</f>
        <v>#N/A Requesting Data...</v>
      </c>
      <c r="F1906" t="str">
        <f>_xll.BDP("382460NS Muni","DUR_ADJ_MID")</f>
        <v>#N/A Requesting Data...</v>
      </c>
      <c r="G1906" t="str">
        <f>_xll.BDP("382460NS Muni","SPREAD_AT_ISSUANCE_TO_WORST")</f>
        <v>#N/A Requesting Data...</v>
      </c>
      <c r="H1906" t="str">
        <f>_xll.BDP("382460NS Muni","ISSUE_DT")</f>
        <v>#N/A Requesting Data...</v>
      </c>
      <c r="I1906" t="str">
        <f>_xll.BDS("382460NS Muni","MUNI_PURPOSE_SCHED", "aggregate=y")</f>
        <v>#N/A Requesting Data...</v>
      </c>
      <c r="J1906" t="str">
        <f>_xll.BDP("382460NS Muni","CPN")</f>
        <v>#N/A Requesting Data...</v>
      </c>
      <c r="K1906" t="str">
        <f>_xll.BDP("382460NS Muni","MATURITY")</f>
        <v>#N/A Requesting Data...</v>
      </c>
      <c r="L1906">
        <v>165000</v>
      </c>
      <c r="M1906" t="str">
        <f>_xll.BDP("382460NS Muni","YIELD_ON_ISSUE_DATE")</f>
        <v>#N/A Requesting Data...</v>
      </c>
      <c r="N1906" t="str">
        <f>_xll.BDP("382460NS Muni","YTW_SPREAD_TO_MATURITY_AT_ISSU")</f>
        <v>#N/A Requesting Data...</v>
      </c>
      <c r="O1906" t="str">
        <f>_xll.BDP("382460NS Muni","BVAL_MID_YTM")</f>
        <v>#N/A Requesting Data...</v>
      </c>
      <c r="P1906" t="str">
        <f>_xll.BDP("382460NS Muni","MUNI_TAX_PROV")</f>
        <v>#N/A Requesting Data...</v>
      </c>
      <c r="Q1906" t="str">
        <f>_xll.BDP("382460NS Muni","MUNI_FED_TAX")</f>
        <v>#N/A Requesting Data...</v>
      </c>
      <c r="R1906" t="str">
        <f>_xll.BDP("382460NS Muni","MUNI_MSRB_VOLUME")</f>
        <v>#N/A Requesting Data...</v>
      </c>
      <c r="S1906" t="str">
        <f>_xll.BDP("382460NS Muni","BB_COMPOSITE")</f>
        <v>#N/A Requesting Data...</v>
      </c>
      <c r="T1906" t="str">
        <f>_xll.BDP("382460NS Muni","LQA_LIQUIDITY_SCORE")</f>
        <v>#N/A Requesting Data...</v>
      </c>
    </row>
    <row r="1907" spans="1:20" x14ac:dyDescent="0.25">
      <c r="A1907" t="str">
        <f>_xll.BDP("382460NV Muni","ID_CUSIP")</f>
        <v>#N/A Requesting Data...</v>
      </c>
      <c r="B1907" t="s">
        <v>459</v>
      </c>
      <c r="C1907" t="str">
        <f>_xll.BDP("382460NV Muni","INSURANCE_STATUS")</f>
        <v>#N/A Requesting Data...</v>
      </c>
      <c r="D1907" t="str">
        <f>_xll.BDP("382460NV Muni","STATE_CODE")</f>
        <v>#N/A Requesting Data...</v>
      </c>
      <c r="E1907" t="str">
        <f>_xll.BDP("382460NV Muni","COUNTY_LOCATION_ISSUER")</f>
        <v>#N/A Requesting Data...</v>
      </c>
      <c r="F1907" t="str">
        <f>_xll.BDP("382460NV Muni","DUR_ADJ_MID")</f>
        <v>#N/A Requesting Data...</v>
      </c>
      <c r="G1907" t="str">
        <f>_xll.BDP("382460NV Muni","SPREAD_AT_ISSUANCE_TO_WORST")</f>
        <v>#N/A Requesting Data...</v>
      </c>
      <c r="H1907" t="str">
        <f>_xll.BDP("382460NV Muni","ISSUE_DT")</f>
        <v>#N/A Requesting Data...</v>
      </c>
      <c r="I1907" t="str">
        <f>_xll.BDS("382460NV Muni","MUNI_PURPOSE_SCHED", "aggregate=y")</f>
        <v>#N/A Requesting Data...</v>
      </c>
      <c r="J1907" t="str">
        <f>_xll.BDP("382460NV Muni","CPN")</f>
        <v>#N/A Requesting Data...</v>
      </c>
      <c r="K1907" t="str">
        <f>_xll.BDP("382460NV Muni","MATURITY")</f>
        <v>#N/A Requesting Data...</v>
      </c>
      <c r="L1907">
        <v>180000</v>
      </c>
      <c r="M1907" t="str">
        <f>_xll.BDP("382460NV Muni","YIELD_ON_ISSUE_DATE")</f>
        <v>#N/A Requesting Data...</v>
      </c>
      <c r="N1907" t="str">
        <f>_xll.BDP("382460NV Muni","YTW_SPREAD_TO_MATURITY_AT_ISSU")</f>
        <v>#N/A Requesting Data...</v>
      </c>
      <c r="O1907" t="str">
        <f>_xll.BDP("382460NV Muni","BVAL_MID_YTM")</f>
        <v>#N/A Requesting Data...</v>
      </c>
      <c r="P1907" t="str">
        <f>_xll.BDP("382460NV Muni","MUNI_TAX_PROV")</f>
        <v>#N/A Requesting Data...</v>
      </c>
      <c r="Q1907" t="str">
        <f>_xll.BDP("382460NV Muni","MUNI_FED_TAX")</f>
        <v>#N/A Requesting Data...</v>
      </c>
      <c r="R1907" t="str">
        <f>_xll.BDP("382460NV Muni","MUNI_MSRB_VOLUME")</f>
        <v>#N/A Requesting Data...</v>
      </c>
      <c r="S1907" t="str">
        <f>_xll.BDP("382460NV Muni","BB_COMPOSITE")</f>
        <v>#N/A Requesting Data...</v>
      </c>
      <c r="T1907" t="str">
        <f>_xll.BDP("382460NV Muni","LQA_LIQUIDITY_SCORE")</f>
        <v>#N/A Requesting Data...</v>
      </c>
    </row>
    <row r="1908" spans="1:20" x14ac:dyDescent="0.25">
      <c r="A1908" t="str">
        <f>_xll.BDP("383392AT Muni","ID_CUSIP")</f>
        <v>#N/A Requesting Data...</v>
      </c>
      <c r="B1908" t="s">
        <v>337</v>
      </c>
      <c r="C1908" t="str">
        <f>_xll.BDP("383392AT Muni","INSURANCE_STATUS")</f>
        <v>#N/A Requesting Data...</v>
      </c>
      <c r="D1908" t="str">
        <f>_xll.BDP("383392AT Muni","STATE_CODE")</f>
        <v>#N/A Requesting Data...</v>
      </c>
      <c r="E1908" t="str">
        <f>_xll.BDP("383392AT Muni","COUNTY_LOCATION_ISSUER")</f>
        <v>#N/A Requesting Data...</v>
      </c>
      <c r="F1908" t="str">
        <f>_xll.BDP("383392AT Muni","DUR_ADJ_MID")</f>
        <v>#N/A Requesting Data...</v>
      </c>
      <c r="G1908" t="str">
        <f>_xll.BDP("383392AT Muni","SPREAD_AT_ISSUANCE_TO_WORST")</f>
        <v>#N/A Requesting Data...</v>
      </c>
      <c r="H1908" t="str">
        <f>_xll.BDP("383392AT Muni","ISSUE_DT")</f>
        <v>#N/A Requesting Data...</v>
      </c>
      <c r="I1908" t="str">
        <f>_xll.BDS("383392AT Muni","MUNI_PURPOSE_SCHED", "aggregate=y")</f>
        <v>#N/A Requesting Data...</v>
      </c>
      <c r="J1908" t="str">
        <f>_xll.BDP("383392AT Muni","CPN")</f>
        <v>#N/A Requesting Data...</v>
      </c>
      <c r="K1908" t="str">
        <f>_xll.BDP("383392AT Muni","MATURITY")</f>
        <v>#N/A Requesting Data...</v>
      </c>
      <c r="L1908">
        <v>125000</v>
      </c>
      <c r="M1908" t="str">
        <f>_xll.BDP("383392AT Muni","YIELD_ON_ISSUE_DATE")</f>
        <v>#N/A Requesting Data...</v>
      </c>
      <c r="N1908" t="str">
        <f>_xll.BDP("383392AT Muni","YTW_SPREAD_TO_MATURITY_AT_ISSU")</f>
        <v>#N/A Requesting Data...</v>
      </c>
      <c r="O1908" t="str">
        <f>_xll.BDP("383392AT Muni","BVAL_MID_YTM")</f>
        <v>#N/A Requesting Data...</v>
      </c>
      <c r="P1908" t="str">
        <f>_xll.BDP("383392AT Muni","MUNI_TAX_PROV")</f>
        <v>#N/A Requesting Data...</v>
      </c>
      <c r="Q1908" t="str">
        <f>_xll.BDP("383392AT Muni","MUNI_FED_TAX")</f>
        <v>#N/A Requesting Data...</v>
      </c>
      <c r="R1908" t="str">
        <f>_xll.BDP("383392AT Muni","MUNI_MSRB_VOLUME")</f>
        <v>#N/A Requesting Data...</v>
      </c>
      <c r="S1908" t="str">
        <f>_xll.BDP("383392AT Muni","BB_COMPOSITE")</f>
        <v>#N/A Requesting Data...</v>
      </c>
      <c r="T1908" t="str">
        <f>_xll.BDP("383392AT Muni","LQA_LIQUIDITY_SCORE")</f>
        <v>#N/A Requesting Data...</v>
      </c>
    </row>
    <row r="1909" spans="1:20" x14ac:dyDescent="0.25">
      <c r="A1909" t="str">
        <f>_xll.BDP("396093AF Muni","ID_CUSIP")</f>
        <v>#N/A Requesting Data...</v>
      </c>
      <c r="B1909" t="s">
        <v>338</v>
      </c>
      <c r="C1909" t="str">
        <f>_xll.BDP("396093AF Muni","INSURANCE_STATUS")</f>
        <v>#N/A Requesting Data...</v>
      </c>
      <c r="D1909" t="str">
        <f>_xll.BDP("396093AF Muni","STATE_CODE")</f>
        <v>#N/A Requesting Data...</v>
      </c>
      <c r="E1909" t="str">
        <f>_xll.BDP("396093AF Muni","COUNTY_LOCATION_ISSUER")</f>
        <v>#N/A Requesting Data...</v>
      </c>
      <c r="F1909" t="str">
        <f>_xll.BDP("396093AF Muni","DUR_ADJ_MID")</f>
        <v>#N/A Requesting Data...</v>
      </c>
      <c r="G1909" t="str">
        <f>_xll.BDP("396093AF Muni","SPREAD_AT_ISSUANCE_TO_WORST")</f>
        <v>#N/A Requesting Data...</v>
      </c>
      <c r="H1909" t="str">
        <f>_xll.BDP("396093AF Muni","ISSUE_DT")</f>
        <v>#N/A Requesting Data...</v>
      </c>
      <c r="I1909" t="str">
        <f>_xll.BDS("396093AF Muni","MUNI_PURPOSE_SCHED", "aggregate=y")</f>
        <v>#N/A Requesting Data...</v>
      </c>
      <c r="J1909" t="str">
        <f>_xll.BDP("396093AF Muni","CPN")</f>
        <v>#N/A Requesting Data...</v>
      </c>
      <c r="K1909" t="str">
        <f>_xll.BDP("396093AF Muni","MATURITY")</f>
        <v>#N/A Requesting Data...</v>
      </c>
      <c r="L1909">
        <v>330000</v>
      </c>
      <c r="M1909" t="str">
        <f>_xll.BDP("396093AF Muni","YIELD_ON_ISSUE_DATE")</f>
        <v>#N/A Requesting Data...</v>
      </c>
      <c r="N1909" t="str">
        <f>_xll.BDP("396093AF Muni","YTW_SPREAD_TO_MATURITY_AT_ISSU")</f>
        <v>#N/A Requesting Data...</v>
      </c>
      <c r="O1909" t="str">
        <f>_xll.BDP("396093AF Muni","BVAL_MID_YTM")</f>
        <v>#N/A Requesting Data...</v>
      </c>
      <c r="P1909" t="str">
        <f>_xll.BDP("396093AF Muni","MUNI_TAX_PROV")</f>
        <v>#N/A Requesting Data...</v>
      </c>
      <c r="Q1909" t="str">
        <f>_xll.BDP("396093AF Muni","MUNI_FED_TAX")</f>
        <v>#N/A Requesting Data...</v>
      </c>
      <c r="R1909" t="str">
        <f>_xll.BDP("396093AF Muni","MUNI_MSRB_VOLUME")</f>
        <v>#N/A Requesting Data...</v>
      </c>
      <c r="S1909" t="str">
        <f>_xll.BDP("396093AF Muni","BB_COMPOSITE")</f>
        <v>#N/A Requesting Data...</v>
      </c>
      <c r="T1909" t="str">
        <f>_xll.BDP("396093AF Muni","LQA_LIQUIDITY_SCORE")</f>
        <v>#N/A Requesting Data...</v>
      </c>
    </row>
    <row r="1910" spans="1:20" x14ac:dyDescent="0.25">
      <c r="A1910" t="str">
        <f>_xll.BDP("382460NQ Muni","ID_CUSIP")</f>
        <v>#N/A Requesting Data...</v>
      </c>
      <c r="B1910" t="s">
        <v>459</v>
      </c>
      <c r="C1910" t="str">
        <f>_xll.BDP("382460NQ Muni","INSURANCE_STATUS")</f>
        <v>#N/A Requesting Data...</v>
      </c>
      <c r="D1910" t="str">
        <f>_xll.BDP("382460NQ Muni","STATE_CODE")</f>
        <v>#N/A Requesting Data...</v>
      </c>
      <c r="E1910" t="str">
        <f>_xll.BDP("382460NQ Muni","COUNTY_LOCATION_ISSUER")</f>
        <v>#N/A Requesting Data...</v>
      </c>
      <c r="F1910" t="str">
        <f>_xll.BDP("382460NQ Muni","DUR_ADJ_MID")</f>
        <v>#N/A Requesting Data...</v>
      </c>
      <c r="G1910" t="str">
        <f>_xll.BDP("382460NQ Muni","SPREAD_AT_ISSUANCE_TO_WORST")</f>
        <v>#N/A Requesting Data...</v>
      </c>
      <c r="H1910" t="str">
        <f>_xll.BDP("382460NQ Muni","ISSUE_DT")</f>
        <v>#N/A Requesting Data...</v>
      </c>
      <c r="I1910" t="str">
        <f>_xll.BDS("382460NQ Muni","MUNI_PURPOSE_SCHED", "aggregate=y")</f>
        <v>#N/A Requesting Data...</v>
      </c>
      <c r="J1910" t="str">
        <f>_xll.BDP("382460NQ Muni","CPN")</f>
        <v>#N/A Requesting Data...</v>
      </c>
      <c r="K1910" t="str">
        <f>_xll.BDP("382460NQ Muni","MATURITY")</f>
        <v>#N/A Requesting Data...</v>
      </c>
      <c r="L1910">
        <v>160000</v>
      </c>
      <c r="M1910" t="str">
        <f>_xll.BDP("382460NQ Muni","YIELD_ON_ISSUE_DATE")</f>
        <v>#N/A Requesting Data...</v>
      </c>
      <c r="N1910" t="str">
        <f>_xll.BDP("382460NQ Muni","YTW_SPREAD_TO_MATURITY_AT_ISSU")</f>
        <v>#N/A Requesting Data...</v>
      </c>
      <c r="O1910" t="str">
        <f>_xll.BDP("382460NQ Muni","BVAL_MID_YTM")</f>
        <v>#N/A Requesting Data...</v>
      </c>
      <c r="P1910" t="str">
        <f>_xll.BDP("382460NQ Muni","MUNI_TAX_PROV")</f>
        <v>#N/A Requesting Data...</v>
      </c>
      <c r="Q1910" t="str">
        <f>_xll.BDP("382460NQ Muni","MUNI_FED_TAX")</f>
        <v>#N/A Requesting Data...</v>
      </c>
      <c r="R1910" t="str">
        <f>_xll.BDP("382460NQ Muni","MUNI_MSRB_VOLUME")</f>
        <v>#N/A Requesting Data...</v>
      </c>
      <c r="S1910" t="str">
        <f>_xll.BDP("382460NQ Muni","BB_COMPOSITE")</f>
        <v>#N/A Requesting Data...</v>
      </c>
      <c r="T1910" t="str">
        <f>_xll.BDP("382460NQ Muni","LQA_LIQUIDITY_SCORE")</f>
        <v>#N/A Requesting Data...</v>
      </c>
    </row>
    <row r="1911" spans="1:20" x14ac:dyDescent="0.25">
      <c r="A1911" t="str">
        <f>_xll.BDP("382460NR Muni","ID_CUSIP")</f>
        <v>#N/A Requesting Data...</v>
      </c>
      <c r="B1911" t="s">
        <v>459</v>
      </c>
      <c r="C1911" t="str">
        <f>_xll.BDP("382460NR Muni","INSURANCE_STATUS")</f>
        <v>#N/A Requesting Data...</v>
      </c>
      <c r="D1911" t="str">
        <f>_xll.BDP("382460NR Muni","STATE_CODE")</f>
        <v>#N/A Requesting Data...</v>
      </c>
      <c r="E1911" t="str">
        <f>_xll.BDP("382460NR Muni","COUNTY_LOCATION_ISSUER")</f>
        <v>#N/A Requesting Data...</v>
      </c>
      <c r="F1911" t="str">
        <f>_xll.BDP("382460NR Muni","DUR_ADJ_MID")</f>
        <v>#N/A Requesting Data...</v>
      </c>
      <c r="G1911" t="str">
        <f>_xll.BDP("382460NR Muni","SPREAD_AT_ISSUANCE_TO_WORST")</f>
        <v>#N/A Requesting Data...</v>
      </c>
      <c r="H1911" t="str">
        <f>_xll.BDP("382460NR Muni","ISSUE_DT")</f>
        <v>#N/A Requesting Data...</v>
      </c>
      <c r="I1911" t="str">
        <f>_xll.BDS("382460NR Muni","MUNI_PURPOSE_SCHED", "aggregate=y")</f>
        <v>#N/A Requesting Data...</v>
      </c>
      <c r="J1911" t="str">
        <f>_xll.BDP("382460NR Muni","CPN")</f>
        <v>#N/A Requesting Data...</v>
      </c>
      <c r="K1911" t="str">
        <f>_xll.BDP("382460NR Muni","MATURITY")</f>
        <v>#N/A Requesting Data...</v>
      </c>
      <c r="L1911">
        <v>160000</v>
      </c>
      <c r="M1911" t="str">
        <f>_xll.BDP("382460NR Muni","YIELD_ON_ISSUE_DATE")</f>
        <v>#N/A Requesting Data...</v>
      </c>
      <c r="N1911" t="str">
        <f>_xll.BDP("382460NR Muni","YTW_SPREAD_TO_MATURITY_AT_ISSU")</f>
        <v>#N/A Requesting Data...</v>
      </c>
      <c r="O1911" t="str">
        <f>_xll.BDP("382460NR Muni","BVAL_MID_YTM")</f>
        <v>#N/A Requesting Data...</v>
      </c>
      <c r="P1911" t="str">
        <f>_xll.BDP("382460NR Muni","MUNI_TAX_PROV")</f>
        <v>#N/A Requesting Data...</v>
      </c>
      <c r="Q1911" t="str">
        <f>_xll.BDP("382460NR Muni","MUNI_FED_TAX")</f>
        <v>#N/A Requesting Data...</v>
      </c>
      <c r="R1911" t="str">
        <f>_xll.BDP("382460NR Muni","MUNI_MSRB_VOLUME")</f>
        <v>#N/A Requesting Data...</v>
      </c>
      <c r="S1911" t="str">
        <f>_xll.BDP("382460NR Muni","BB_COMPOSITE")</f>
        <v>#N/A Requesting Data...</v>
      </c>
      <c r="T1911" t="str">
        <f>_xll.BDP("382460NR Muni","LQA_LIQUIDITY_SCORE")</f>
        <v>#N/A Requesting Data...</v>
      </c>
    </row>
    <row r="1912" spans="1:20" x14ac:dyDescent="0.25">
      <c r="A1912" t="str">
        <f>_xll.BDP("382460NT Muni","ID_CUSIP")</f>
        <v>#N/A Requesting Data...</v>
      </c>
      <c r="B1912" t="s">
        <v>459</v>
      </c>
      <c r="C1912" t="str">
        <f>_xll.BDP("382460NT Muni","INSURANCE_STATUS")</f>
        <v>#N/A Requesting Data...</v>
      </c>
      <c r="D1912" t="str">
        <f>_xll.BDP("382460NT Muni","STATE_CODE")</f>
        <v>#N/A Requesting Data...</v>
      </c>
      <c r="E1912" t="str">
        <f>_xll.BDP("382460NT Muni","COUNTY_LOCATION_ISSUER")</f>
        <v>#N/A Requesting Data...</v>
      </c>
      <c r="F1912" t="str">
        <f>_xll.BDP("382460NT Muni","DUR_ADJ_MID")</f>
        <v>#N/A Requesting Data...</v>
      </c>
      <c r="G1912" t="str">
        <f>_xll.BDP("382460NT Muni","SPREAD_AT_ISSUANCE_TO_WORST")</f>
        <v>#N/A Requesting Data...</v>
      </c>
      <c r="H1912" t="str">
        <f>_xll.BDP("382460NT Muni","ISSUE_DT")</f>
        <v>#N/A Requesting Data...</v>
      </c>
      <c r="I1912" t="str">
        <f>_xll.BDS("382460NT Muni","MUNI_PURPOSE_SCHED", "aggregate=y")</f>
        <v>#N/A Requesting Data...</v>
      </c>
      <c r="J1912" t="str">
        <f>_xll.BDP("382460NT Muni","CPN")</f>
        <v>#N/A Requesting Data...</v>
      </c>
      <c r="K1912" t="str">
        <f>_xll.BDP("382460NT Muni","MATURITY")</f>
        <v>#N/A Requesting Data...</v>
      </c>
      <c r="L1912">
        <v>175000</v>
      </c>
      <c r="M1912" t="str">
        <f>_xll.BDP("382460NT Muni","YIELD_ON_ISSUE_DATE")</f>
        <v>#N/A Requesting Data...</v>
      </c>
      <c r="N1912" t="str">
        <f>_xll.BDP("382460NT Muni","YTW_SPREAD_TO_MATURITY_AT_ISSU")</f>
        <v>#N/A Requesting Data...</v>
      </c>
      <c r="O1912" t="str">
        <f>_xll.BDP("382460NT Muni","BVAL_MID_YTM")</f>
        <v>#N/A Requesting Data...</v>
      </c>
      <c r="P1912" t="str">
        <f>_xll.BDP("382460NT Muni","MUNI_TAX_PROV")</f>
        <v>#N/A Requesting Data...</v>
      </c>
      <c r="Q1912" t="str">
        <f>_xll.BDP("382460NT Muni","MUNI_FED_TAX")</f>
        <v>#N/A Requesting Data...</v>
      </c>
      <c r="R1912" t="str">
        <f>_xll.BDP("382460NT Muni","MUNI_MSRB_VOLUME")</f>
        <v>#N/A Requesting Data...</v>
      </c>
      <c r="S1912" t="str">
        <f>_xll.BDP("382460NT Muni","BB_COMPOSITE")</f>
        <v>#N/A Requesting Data...</v>
      </c>
      <c r="T1912" t="str">
        <f>_xll.BDP("382460NT Muni","LQA_LIQUIDITY_SCORE")</f>
        <v>#N/A Requesting Data...</v>
      </c>
    </row>
    <row r="1913" spans="1:20" x14ac:dyDescent="0.25">
      <c r="A1913" t="str">
        <f>_xll.BDP("382460NU Muni","ID_CUSIP")</f>
        <v>#N/A Requesting Data...</v>
      </c>
      <c r="B1913" t="s">
        <v>459</v>
      </c>
      <c r="C1913" t="str">
        <f>_xll.BDP("382460NU Muni","INSURANCE_STATUS")</f>
        <v>#N/A Requesting Data...</v>
      </c>
      <c r="D1913" t="str">
        <f>_xll.BDP("382460NU Muni","STATE_CODE")</f>
        <v>#N/A Requesting Data...</v>
      </c>
      <c r="E1913" t="str">
        <f>_xll.BDP("382460NU Muni","COUNTY_LOCATION_ISSUER")</f>
        <v>#N/A Requesting Data...</v>
      </c>
      <c r="F1913" t="str">
        <f>_xll.BDP("382460NU Muni","DUR_ADJ_MID")</f>
        <v>#N/A Requesting Data...</v>
      </c>
      <c r="G1913" t="str">
        <f>_xll.BDP("382460NU Muni","SPREAD_AT_ISSUANCE_TO_WORST")</f>
        <v>#N/A Requesting Data...</v>
      </c>
      <c r="H1913" t="str">
        <f>_xll.BDP("382460NU Muni","ISSUE_DT")</f>
        <v>#N/A Requesting Data...</v>
      </c>
      <c r="I1913" t="str">
        <f>_xll.BDS("382460NU Muni","MUNI_PURPOSE_SCHED", "aggregate=y")</f>
        <v>#N/A Requesting Data...</v>
      </c>
      <c r="J1913" t="str">
        <f>_xll.BDP("382460NU Muni","CPN")</f>
        <v>#N/A Requesting Data...</v>
      </c>
      <c r="K1913" t="str">
        <f>_xll.BDP("382460NU Muni","MATURITY")</f>
        <v>#N/A Requesting Data...</v>
      </c>
      <c r="L1913">
        <v>180000</v>
      </c>
      <c r="M1913" t="str">
        <f>_xll.BDP("382460NU Muni","YIELD_ON_ISSUE_DATE")</f>
        <v>#N/A Requesting Data...</v>
      </c>
      <c r="N1913" t="str">
        <f>_xll.BDP("382460NU Muni","YTW_SPREAD_TO_MATURITY_AT_ISSU")</f>
        <v>#N/A Requesting Data...</v>
      </c>
      <c r="O1913" t="str">
        <f>_xll.BDP("382460NU Muni","BVAL_MID_YTM")</f>
        <v>#N/A Requesting Data...</v>
      </c>
      <c r="P1913" t="str">
        <f>_xll.BDP("382460NU Muni","MUNI_TAX_PROV")</f>
        <v>#N/A Requesting Data...</v>
      </c>
      <c r="Q1913" t="str">
        <f>_xll.BDP("382460NU Muni","MUNI_FED_TAX")</f>
        <v>#N/A Requesting Data...</v>
      </c>
      <c r="R1913" t="str">
        <f>_xll.BDP("382460NU Muni","MUNI_MSRB_VOLUME")</f>
        <v>#N/A Requesting Data...</v>
      </c>
      <c r="S1913" t="str">
        <f>_xll.BDP("382460NU Muni","BB_COMPOSITE")</f>
        <v>#N/A Requesting Data...</v>
      </c>
      <c r="T1913" t="str">
        <f>_xll.BDP("382460NU Muni","LQA_LIQUIDITY_SCORE")</f>
        <v>#N/A Requesting Data...</v>
      </c>
    </row>
    <row r="1914" spans="1:20" x14ac:dyDescent="0.25">
      <c r="A1914" t="str">
        <f>_xll.BDP("378136Y9 Muni","ID_CUSIP")</f>
        <v>#N/A Requesting Data...</v>
      </c>
      <c r="B1914" t="s">
        <v>344</v>
      </c>
      <c r="C1914" t="str">
        <f>_xll.BDP("378136Y9 Muni","INSURANCE_STATUS")</f>
        <v>#N/A Requesting Data...</v>
      </c>
      <c r="D1914" t="str">
        <f>_xll.BDP("378136Y9 Muni","STATE_CODE")</f>
        <v>#N/A Requesting Data...</v>
      </c>
      <c r="E1914" t="str">
        <f>_xll.BDP("378136Y9 Muni","COUNTY_LOCATION_ISSUER")</f>
        <v>#N/A Requesting Data...</v>
      </c>
      <c r="F1914" t="str">
        <f>_xll.BDP("378136Y9 Muni","DUR_ADJ_MID")</f>
        <v>#N/A Requesting Data...</v>
      </c>
      <c r="G1914" t="str">
        <f>_xll.BDP("378136Y9 Muni","SPREAD_AT_ISSUANCE_TO_WORST")</f>
        <v>#N/A Requesting Data...</v>
      </c>
      <c r="H1914" t="str">
        <f>_xll.BDP("378136Y9 Muni","ISSUE_DT")</f>
        <v>#N/A Requesting Data...</v>
      </c>
      <c r="I1914" t="str">
        <f>_xll.BDS("378136Y9 Muni","MUNI_PURPOSE_SCHED", "aggregate=y")</f>
        <v>#N/A Requesting Data...</v>
      </c>
      <c r="J1914" t="str">
        <f>_xll.BDP("378136Y9 Muni","CPN")</f>
        <v>#N/A Requesting Data...</v>
      </c>
      <c r="K1914" t="str">
        <f>_xll.BDP("378136Y9 Muni","MATURITY")</f>
        <v>#N/A Requesting Data...</v>
      </c>
      <c r="L1914">
        <v>280000</v>
      </c>
      <c r="M1914" t="str">
        <f>_xll.BDP("378136Y9 Muni","YIELD_ON_ISSUE_DATE")</f>
        <v>#N/A Requesting Data...</v>
      </c>
      <c r="N1914" t="str">
        <f>_xll.BDP("378136Y9 Muni","YTW_SPREAD_TO_MATURITY_AT_ISSU")</f>
        <v>#N/A Requesting Data...</v>
      </c>
      <c r="O1914" t="str">
        <f>_xll.BDP("378136Y9 Muni","BVAL_MID_YTM")</f>
        <v>#N/A Requesting Data...</v>
      </c>
      <c r="P1914" t="str">
        <f>_xll.BDP("378136Y9 Muni","MUNI_TAX_PROV")</f>
        <v>#N/A Requesting Data...</v>
      </c>
      <c r="Q1914" t="str">
        <f>_xll.BDP("378136Y9 Muni","MUNI_FED_TAX")</f>
        <v>#N/A Requesting Data...</v>
      </c>
      <c r="R1914" t="str">
        <f>_xll.BDP("378136Y9 Muni","MUNI_MSRB_VOLUME")</f>
        <v>#N/A Requesting Data...</v>
      </c>
      <c r="S1914" t="str">
        <f>_xll.BDP("378136Y9 Muni","BB_COMPOSITE")</f>
        <v>#N/A Requesting Data...</v>
      </c>
      <c r="T1914" t="str">
        <f>_xll.BDP("378136Y9 Muni","LQA_LIQUIDITY_SCORE")</f>
        <v>#N/A Requesting Data...</v>
      </c>
    </row>
    <row r="1915" spans="1:20" x14ac:dyDescent="0.25">
      <c r="A1915" t="str">
        <f>_xll.BDP("396093AE Muni","ID_CUSIP")</f>
        <v>#N/A Requesting Data...</v>
      </c>
      <c r="B1915" t="s">
        <v>338</v>
      </c>
      <c r="C1915" t="str">
        <f>_xll.BDP("396093AE Muni","INSURANCE_STATUS")</f>
        <v>#N/A Requesting Data...</v>
      </c>
      <c r="D1915" t="str">
        <f>_xll.BDP("396093AE Muni","STATE_CODE")</f>
        <v>#N/A Requesting Data...</v>
      </c>
      <c r="E1915" t="str">
        <f>_xll.BDP("396093AE Muni","COUNTY_LOCATION_ISSUER")</f>
        <v>#N/A Requesting Data...</v>
      </c>
      <c r="F1915" t="str">
        <f>_xll.BDP("396093AE Muni","DUR_ADJ_MID")</f>
        <v>#N/A Requesting Data...</v>
      </c>
      <c r="G1915" t="str">
        <f>_xll.BDP("396093AE Muni","SPREAD_AT_ISSUANCE_TO_WORST")</f>
        <v>#N/A Requesting Data...</v>
      </c>
      <c r="H1915" t="str">
        <f>_xll.BDP("396093AE Muni","ISSUE_DT")</f>
        <v>#N/A Requesting Data...</v>
      </c>
      <c r="I1915" t="str">
        <f>_xll.BDS("396093AE Muni","MUNI_PURPOSE_SCHED", "aggregate=y")</f>
        <v>#N/A Requesting Data...</v>
      </c>
      <c r="J1915" t="str">
        <f>_xll.BDP("396093AE Muni","CPN")</f>
        <v>#N/A Requesting Data...</v>
      </c>
      <c r="K1915" t="str">
        <f>_xll.BDP("396093AE Muni","MATURITY")</f>
        <v>#N/A Requesting Data...</v>
      </c>
      <c r="L1915">
        <v>220000</v>
      </c>
      <c r="M1915" t="str">
        <f>_xll.BDP("396093AE Muni","YIELD_ON_ISSUE_DATE")</f>
        <v>#N/A Requesting Data...</v>
      </c>
      <c r="N1915" t="str">
        <f>_xll.BDP("396093AE Muni","YTW_SPREAD_TO_MATURITY_AT_ISSU")</f>
        <v>#N/A Requesting Data...</v>
      </c>
      <c r="O1915" t="str">
        <f>_xll.BDP("396093AE Muni","BVAL_MID_YTM")</f>
        <v>#N/A Requesting Data...</v>
      </c>
      <c r="P1915" t="str">
        <f>_xll.BDP("396093AE Muni","MUNI_TAX_PROV")</f>
        <v>#N/A Requesting Data...</v>
      </c>
      <c r="Q1915" t="str">
        <f>_xll.BDP("396093AE Muni","MUNI_FED_TAX")</f>
        <v>#N/A Requesting Data...</v>
      </c>
      <c r="R1915" t="str">
        <f>_xll.BDP("396093AE Muni","MUNI_MSRB_VOLUME")</f>
        <v>#N/A Requesting Data...</v>
      </c>
      <c r="S1915" t="str">
        <f>_xll.BDP("396093AE Muni","BB_COMPOSITE")</f>
        <v>#N/A Requesting Data...</v>
      </c>
      <c r="T1915" t="str">
        <f>_xll.BDP("396093AE Muni","LQA_LIQUIDITY_SCORE")</f>
        <v>#N/A Requesting Data...</v>
      </c>
    </row>
    <row r="1916" spans="1:20" x14ac:dyDescent="0.25">
      <c r="A1916" t="str">
        <f>_xll.BDP("396093AH Muni","ID_CUSIP")</f>
        <v>#N/A Requesting Data...</v>
      </c>
      <c r="B1916" t="s">
        <v>338</v>
      </c>
      <c r="C1916" t="str">
        <f>_xll.BDP("396093AH Muni","INSURANCE_STATUS")</f>
        <v>#N/A Requesting Data...</v>
      </c>
      <c r="D1916" t="str">
        <f>_xll.BDP("396093AH Muni","STATE_CODE")</f>
        <v>#N/A Requesting Data...</v>
      </c>
      <c r="E1916" t="str">
        <f>_xll.BDP("396093AH Muni","COUNTY_LOCATION_ISSUER")</f>
        <v>#N/A Requesting Data...</v>
      </c>
      <c r="F1916" t="str">
        <f>_xll.BDP("396093AH Muni","DUR_ADJ_MID")</f>
        <v>#N/A Requesting Data...</v>
      </c>
      <c r="G1916" t="str">
        <f>_xll.BDP("396093AH Muni","SPREAD_AT_ISSUANCE_TO_WORST")</f>
        <v>#N/A Requesting Data...</v>
      </c>
      <c r="H1916" t="str">
        <f>_xll.BDP("396093AH Muni","ISSUE_DT")</f>
        <v>#N/A Requesting Data...</v>
      </c>
      <c r="I1916" t="str">
        <f>_xll.BDS("396093AH Muni","MUNI_PURPOSE_SCHED", "aggregate=y")</f>
        <v>#N/A Requesting Data...</v>
      </c>
      <c r="J1916" t="str">
        <f>_xll.BDP("396093AH Muni","CPN")</f>
        <v>#N/A Requesting Data...</v>
      </c>
      <c r="K1916" t="str">
        <f>_xll.BDP("396093AH Muni","MATURITY")</f>
        <v>#N/A Requesting Data...</v>
      </c>
      <c r="L1916">
        <v>355000</v>
      </c>
      <c r="M1916" t="str">
        <f>_xll.BDP("396093AH Muni","YIELD_ON_ISSUE_DATE")</f>
        <v>#N/A Requesting Data...</v>
      </c>
      <c r="N1916" t="str">
        <f>_xll.BDP("396093AH Muni","YTW_SPREAD_TO_MATURITY_AT_ISSU")</f>
        <v>#N/A Requesting Data...</v>
      </c>
      <c r="O1916" t="str">
        <f>_xll.BDP("396093AH Muni","BVAL_MID_YTM")</f>
        <v>#N/A Requesting Data...</v>
      </c>
      <c r="P1916" t="str">
        <f>_xll.BDP("396093AH Muni","MUNI_TAX_PROV")</f>
        <v>#N/A Requesting Data...</v>
      </c>
      <c r="Q1916" t="str">
        <f>_xll.BDP("396093AH Muni","MUNI_FED_TAX")</f>
        <v>#N/A Requesting Data...</v>
      </c>
      <c r="R1916" t="str">
        <f>_xll.BDP("396093AH Muni","MUNI_MSRB_VOLUME")</f>
        <v>#N/A Requesting Data...</v>
      </c>
      <c r="S1916" t="str">
        <f>_xll.BDP("396093AH Muni","BB_COMPOSITE")</f>
        <v>#N/A Requesting Data...</v>
      </c>
      <c r="T1916" t="str">
        <f>_xll.BDP("396093AH Muni","LQA_LIQUIDITY_SCORE")</f>
        <v>#N/A Requesting Data...</v>
      </c>
    </row>
    <row r="1917" spans="1:20" x14ac:dyDescent="0.25">
      <c r="A1917" t="str">
        <f>_xll.BDP("64986DGZ Muni","ID_CUSIP")</f>
        <v>#N/A Requesting Data...</v>
      </c>
      <c r="B1917" t="s">
        <v>433</v>
      </c>
      <c r="C1917" t="str">
        <f>_xll.BDP("64986DGZ Muni","INSURANCE_STATUS")</f>
        <v>#N/A Requesting Data...</v>
      </c>
      <c r="D1917" t="str">
        <f>_xll.BDP("64986DGZ Muni","STATE_CODE")</f>
        <v>#N/A Requesting Data...</v>
      </c>
      <c r="E1917" t="str">
        <f>_xll.BDP("64986DGZ Muni","COUNTY_LOCATION_ISSUER")</f>
        <v>#N/A Requesting Data...</v>
      </c>
      <c r="F1917" t="str">
        <f>_xll.BDP("64986DGZ Muni","DUR_ADJ_MID")</f>
        <v>#N/A Requesting Data...</v>
      </c>
      <c r="G1917" t="str">
        <f>_xll.BDP("64986DGZ Muni","SPREAD_AT_ISSUANCE_TO_WORST")</f>
        <v>#N/A Requesting Data...</v>
      </c>
      <c r="H1917" t="str">
        <f>_xll.BDP("64986DGZ Muni","ISSUE_DT")</f>
        <v>#N/A Requesting Data...</v>
      </c>
      <c r="I1917" t="str">
        <f>_xll.BDS("64986DGZ Muni","MUNI_PURPOSE_SCHED", "aggregate=y")</f>
        <v>#N/A Requesting Data...</v>
      </c>
      <c r="J1917" t="str">
        <f>_xll.BDP("64986DGZ Muni","CPN")</f>
        <v>#N/A Requesting Data...</v>
      </c>
      <c r="K1917" t="str">
        <f>_xll.BDP("64986DGZ Muni","MATURITY")</f>
        <v>#N/A Requesting Data...</v>
      </c>
      <c r="L1917">
        <v>4895000</v>
      </c>
      <c r="M1917" t="str">
        <f>_xll.BDP("64986DGZ Muni","YIELD_ON_ISSUE_DATE")</f>
        <v>#N/A Requesting Data...</v>
      </c>
      <c r="N1917" t="str">
        <f>_xll.BDP("64986DGZ Muni","YTW_SPREAD_TO_MATURITY_AT_ISSU")</f>
        <v>#N/A Requesting Data...</v>
      </c>
      <c r="O1917" t="str">
        <f>_xll.BDP("64986DGZ Muni","BVAL_MID_YTM")</f>
        <v>#N/A Requesting Data...</v>
      </c>
      <c r="P1917" t="str">
        <f>_xll.BDP("64986DGZ Muni","MUNI_TAX_PROV")</f>
        <v>#N/A Requesting Data...</v>
      </c>
      <c r="Q1917" t="str">
        <f>_xll.BDP("64986DGZ Muni","MUNI_FED_TAX")</f>
        <v>#N/A Requesting Data...</v>
      </c>
      <c r="R1917" t="str">
        <f>_xll.BDP("64986DGZ Muni","MUNI_MSRB_VOLUME")</f>
        <v>#N/A Requesting Data...</v>
      </c>
      <c r="S1917" t="str">
        <f>_xll.BDP("64986DGZ Muni","BB_COMPOSITE")</f>
        <v>#N/A Requesting Data...</v>
      </c>
      <c r="T1917" t="str">
        <f>_xll.BDP("64986DGZ Muni","LQA_LIQUIDITY_SCORE")</f>
        <v>#N/A Requesting Data...</v>
      </c>
    </row>
    <row r="1918" spans="1:20" x14ac:dyDescent="0.25">
      <c r="A1918" t="str">
        <f>_xll.BDP("64986DHC Muni","ID_CUSIP")</f>
        <v>#N/A Requesting Data...</v>
      </c>
      <c r="B1918" t="s">
        <v>433</v>
      </c>
      <c r="C1918" t="str">
        <f>_xll.BDP("64986DHC Muni","INSURANCE_STATUS")</f>
        <v>#N/A Requesting Data...</v>
      </c>
      <c r="D1918" t="str">
        <f>_xll.BDP("64986DHC Muni","STATE_CODE")</f>
        <v>#N/A Requesting Data...</v>
      </c>
      <c r="E1918" t="str">
        <f>_xll.BDP("64986DHC Muni","COUNTY_LOCATION_ISSUER")</f>
        <v>#N/A Requesting Data...</v>
      </c>
      <c r="F1918" t="str">
        <f>_xll.BDP("64986DHC Muni","DUR_ADJ_MID")</f>
        <v>#N/A Requesting Data...</v>
      </c>
      <c r="G1918" t="str">
        <f>_xll.BDP("64986DHC Muni","SPREAD_AT_ISSUANCE_TO_WORST")</f>
        <v>#N/A Requesting Data...</v>
      </c>
      <c r="H1918" t="str">
        <f>_xll.BDP("64986DHC Muni","ISSUE_DT")</f>
        <v>#N/A Requesting Data...</v>
      </c>
      <c r="I1918" t="str">
        <f>_xll.BDS("64986DHC Muni","MUNI_PURPOSE_SCHED", "aggregate=y")</f>
        <v>#N/A Requesting Data...</v>
      </c>
      <c r="J1918" t="str">
        <f>_xll.BDP("64986DHC Muni","CPN")</f>
        <v>#N/A Requesting Data...</v>
      </c>
      <c r="K1918" t="str">
        <f>_xll.BDP("64986DHC Muni","MATURITY")</f>
        <v>#N/A Requesting Data...</v>
      </c>
      <c r="L1918">
        <v>5690000</v>
      </c>
      <c r="M1918" t="str">
        <f>_xll.BDP("64986DHC Muni","YIELD_ON_ISSUE_DATE")</f>
        <v>#N/A Requesting Data...</v>
      </c>
      <c r="N1918" t="str">
        <f>_xll.BDP("64986DHC Muni","YTW_SPREAD_TO_MATURITY_AT_ISSU")</f>
        <v>#N/A Requesting Data...</v>
      </c>
      <c r="O1918" t="str">
        <f>_xll.BDP("64986DHC Muni","BVAL_MID_YTM")</f>
        <v>#N/A Requesting Data...</v>
      </c>
      <c r="P1918" t="str">
        <f>_xll.BDP("64986DHC Muni","MUNI_TAX_PROV")</f>
        <v>#N/A Requesting Data...</v>
      </c>
      <c r="Q1918" t="str">
        <f>_xll.BDP("64986DHC Muni","MUNI_FED_TAX")</f>
        <v>#N/A Requesting Data...</v>
      </c>
      <c r="R1918" t="str">
        <f>_xll.BDP("64986DHC Muni","MUNI_MSRB_VOLUME")</f>
        <v>#N/A Requesting Data...</v>
      </c>
      <c r="S1918" t="str">
        <f>_xll.BDP("64986DHC Muni","BB_COMPOSITE")</f>
        <v>#N/A Requesting Data...</v>
      </c>
      <c r="T1918" t="str">
        <f>_xll.BDP("64986DHC Muni","LQA_LIQUIDITY_SCORE")</f>
        <v>#N/A Requesting Data...</v>
      </c>
    </row>
    <row r="1919" spans="1:20" x14ac:dyDescent="0.25">
      <c r="A1919" t="str">
        <f>_xll.BDP("64986DHD Muni","ID_CUSIP")</f>
        <v>#N/A Requesting Data...</v>
      </c>
      <c r="B1919" t="s">
        <v>433</v>
      </c>
      <c r="C1919" t="str">
        <f>_xll.BDP("64986DHD Muni","INSURANCE_STATUS")</f>
        <v>#N/A Requesting Data...</v>
      </c>
      <c r="D1919" t="str">
        <f>_xll.BDP("64986DHD Muni","STATE_CODE")</f>
        <v>#N/A Requesting Data...</v>
      </c>
      <c r="E1919" t="str">
        <f>_xll.BDP("64986DHD Muni","COUNTY_LOCATION_ISSUER")</f>
        <v>#N/A Requesting Data...</v>
      </c>
      <c r="F1919" t="str">
        <f>_xll.BDP("64986DHD Muni","DUR_ADJ_MID")</f>
        <v>#N/A Requesting Data...</v>
      </c>
      <c r="G1919" t="str">
        <f>_xll.BDP("64986DHD Muni","SPREAD_AT_ISSUANCE_TO_WORST")</f>
        <v>#N/A Requesting Data...</v>
      </c>
      <c r="H1919" t="str">
        <f>_xll.BDP("64986DHD Muni","ISSUE_DT")</f>
        <v>#N/A Requesting Data...</v>
      </c>
      <c r="I1919" t="str">
        <f>_xll.BDS("64986DHD Muni","MUNI_PURPOSE_SCHED", "aggregate=y")</f>
        <v>#N/A Requesting Data...</v>
      </c>
      <c r="J1919" t="str">
        <f>_xll.BDP("64986DHD Muni","CPN")</f>
        <v>#N/A Requesting Data...</v>
      </c>
      <c r="K1919" t="str">
        <f>_xll.BDP("64986DHD Muni","MATURITY")</f>
        <v>#N/A Requesting Data...</v>
      </c>
      <c r="L1919">
        <v>5985000</v>
      </c>
      <c r="M1919" t="str">
        <f>_xll.BDP("64986DHD Muni","YIELD_ON_ISSUE_DATE")</f>
        <v>#N/A Requesting Data...</v>
      </c>
      <c r="N1919" t="str">
        <f>_xll.BDP("64986DHD Muni","YTW_SPREAD_TO_MATURITY_AT_ISSU")</f>
        <v>#N/A Requesting Data...</v>
      </c>
      <c r="O1919" t="str">
        <f>_xll.BDP("64986DHD Muni","BVAL_MID_YTM")</f>
        <v>#N/A Requesting Data...</v>
      </c>
      <c r="P1919" t="str">
        <f>_xll.BDP("64986DHD Muni","MUNI_TAX_PROV")</f>
        <v>#N/A Requesting Data...</v>
      </c>
      <c r="Q1919" t="str">
        <f>_xll.BDP("64986DHD Muni","MUNI_FED_TAX")</f>
        <v>#N/A Requesting Data...</v>
      </c>
      <c r="R1919" t="str">
        <f>_xll.BDP("64986DHD Muni","MUNI_MSRB_VOLUME")</f>
        <v>#N/A Requesting Data...</v>
      </c>
      <c r="S1919" t="str">
        <f>_xll.BDP("64986DHD Muni","BB_COMPOSITE")</f>
        <v>#N/A Requesting Data...</v>
      </c>
      <c r="T1919" t="str">
        <f>_xll.BDP("64986DHD Muni","LQA_LIQUIDITY_SCORE")</f>
        <v>#N/A Requesting Data...</v>
      </c>
    </row>
    <row r="1920" spans="1:20" x14ac:dyDescent="0.25">
      <c r="A1920" t="str">
        <f>_xll.BDP("79642GAF Muni","ID_CUSIP")</f>
        <v>#N/A Requesting Data...</v>
      </c>
      <c r="B1920" t="s">
        <v>457</v>
      </c>
      <c r="C1920" t="str">
        <f>_xll.BDP("79642GAF Muni","INSURANCE_STATUS")</f>
        <v>#N/A Requesting Data...</v>
      </c>
      <c r="D1920" t="str">
        <f>_xll.BDP("79642GAF Muni","STATE_CODE")</f>
        <v>#N/A Requesting Data...</v>
      </c>
      <c r="E1920" t="str">
        <f>_xll.BDP("79642GAF Muni","COUNTY_LOCATION_ISSUER")</f>
        <v>#N/A Requesting Data...</v>
      </c>
      <c r="F1920" t="str">
        <f>_xll.BDP("79642GAF Muni","DUR_ADJ_MID")</f>
        <v>#N/A Requesting Data...</v>
      </c>
      <c r="G1920" t="str">
        <f>_xll.BDP("79642GAF Muni","SPREAD_AT_ISSUANCE_TO_WORST")</f>
        <v>#N/A Requesting Data...</v>
      </c>
      <c r="H1920" t="str">
        <f>_xll.BDP("79642GAF Muni","ISSUE_DT")</f>
        <v>#N/A Requesting Data...</v>
      </c>
      <c r="I1920" t="str">
        <f>_xll.BDS("79642GAF Muni","MUNI_PURPOSE_SCHED", "aggregate=y")</f>
        <v>#N/A Requesting Data...</v>
      </c>
      <c r="J1920" t="str">
        <f>_xll.BDP("79642GAF Muni","CPN")</f>
        <v>#N/A Requesting Data...</v>
      </c>
      <c r="K1920" t="str">
        <f>_xll.BDP("79642GAF Muni","MATURITY")</f>
        <v>#N/A Requesting Data...</v>
      </c>
      <c r="L1920">
        <v>2845000</v>
      </c>
      <c r="M1920" t="str">
        <f>_xll.BDP("79642GAF Muni","YIELD_ON_ISSUE_DATE")</f>
        <v>#N/A Requesting Data...</v>
      </c>
      <c r="N1920" t="str">
        <f>_xll.BDP("79642GAF Muni","YTW_SPREAD_TO_MATURITY_AT_ISSU")</f>
        <v>#N/A Requesting Data...</v>
      </c>
      <c r="O1920" t="str">
        <f>_xll.BDP("79642GAF Muni","BVAL_MID_YTM")</f>
        <v>#N/A Requesting Data...</v>
      </c>
      <c r="P1920" t="str">
        <f>_xll.BDP("79642GAF Muni","MUNI_TAX_PROV")</f>
        <v>#N/A Requesting Data...</v>
      </c>
      <c r="Q1920" t="str">
        <f>_xll.BDP("79642GAF Muni","MUNI_FED_TAX")</f>
        <v>#N/A Requesting Data...</v>
      </c>
      <c r="R1920" t="str">
        <f>_xll.BDP("79642GAF Muni","MUNI_MSRB_VOLUME")</f>
        <v>#N/A Requesting Data...</v>
      </c>
      <c r="S1920" t="str">
        <f>_xll.BDP("79642GAF Muni","BB_COMPOSITE")</f>
        <v>#N/A Requesting Data...</v>
      </c>
      <c r="T1920" t="str">
        <f>_xll.BDP("79642GAF Muni","LQA_LIQUIDITY_SCORE")</f>
        <v>#N/A Requesting Data...</v>
      </c>
    </row>
    <row r="1921" spans="1:20" x14ac:dyDescent="0.25">
      <c r="A1921" t="str">
        <f>_xll.BDP("79642GAG Muni","ID_CUSIP")</f>
        <v>#N/A Requesting Data...</v>
      </c>
      <c r="B1921" t="s">
        <v>457</v>
      </c>
      <c r="C1921" t="str">
        <f>_xll.BDP("79642GAG Muni","INSURANCE_STATUS")</f>
        <v>#N/A Requesting Data...</v>
      </c>
      <c r="D1921" t="str">
        <f>_xll.BDP("79642GAG Muni","STATE_CODE")</f>
        <v>#N/A Requesting Data...</v>
      </c>
      <c r="E1921" t="str">
        <f>_xll.BDP("79642GAG Muni","COUNTY_LOCATION_ISSUER")</f>
        <v>#N/A Requesting Data...</v>
      </c>
      <c r="F1921" t="str">
        <f>_xll.BDP("79642GAG Muni","DUR_ADJ_MID")</f>
        <v>#N/A Requesting Data...</v>
      </c>
      <c r="G1921" t="str">
        <f>_xll.BDP("79642GAG Muni","SPREAD_AT_ISSUANCE_TO_WORST")</f>
        <v>#N/A Requesting Data...</v>
      </c>
      <c r="H1921" t="str">
        <f>_xll.BDP("79642GAG Muni","ISSUE_DT")</f>
        <v>#N/A Requesting Data...</v>
      </c>
      <c r="I1921" t="str">
        <f>_xll.BDS("79642GAG Muni","MUNI_PURPOSE_SCHED", "aggregate=y")</f>
        <v>#N/A Requesting Data...</v>
      </c>
      <c r="J1921" t="str">
        <f>_xll.BDP("79642GAG Muni","CPN")</f>
        <v>#N/A Requesting Data...</v>
      </c>
      <c r="K1921" t="str">
        <f>_xll.BDP("79642GAG Muni","MATURITY")</f>
        <v>#N/A Requesting Data...</v>
      </c>
      <c r="L1921">
        <v>2990000</v>
      </c>
      <c r="M1921" t="str">
        <f>_xll.BDP("79642GAG Muni","YIELD_ON_ISSUE_DATE")</f>
        <v>#N/A Requesting Data...</v>
      </c>
      <c r="N1921" t="str">
        <f>_xll.BDP("79642GAG Muni","YTW_SPREAD_TO_MATURITY_AT_ISSU")</f>
        <v>#N/A Requesting Data...</v>
      </c>
      <c r="O1921" t="str">
        <f>_xll.BDP("79642GAG Muni","BVAL_MID_YTM")</f>
        <v>#N/A Requesting Data...</v>
      </c>
      <c r="P1921" t="str">
        <f>_xll.BDP("79642GAG Muni","MUNI_TAX_PROV")</f>
        <v>#N/A Requesting Data...</v>
      </c>
      <c r="Q1921" t="str">
        <f>_xll.BDP("79642GAG Muni","MUNI_FED_TAX")</f>
        <v>#N/A Requesting Data...</v>
      </c>
      <c r="R1921" t="str">
        <f>_xll.BDP("79642GAG Muni","MUNI_MSRB_VOLUME")</f>
        <v>#N/A Requesting Data...</v>
      </c>
      <c r="S1921" t="str">
        <f>_xll.BDP("79642GAG Muni","BB_COMPOSITE")</f>
        <v>#N/A Requesting Data...</v>
      </c>
      <c r="T1921" t="str">
        <f>_xll.BDP("79642GAG Muni","LQA_LIQUIDITY_SCORE")</f>
        <v>#N/A Requesting Data...</v>
      </c>
    </row>
    <row r="1922" spans="1:20" x14ac:dyDescent="0.25">
      <c r="A1922" t="str">
        <f>_xll.BDP("79642GAJ Muni","ID_CUSIP")</f>
        <v>#N/A Requesting Data...</v>
      </c>
      <c r="B1922" t="s">
        <v>457</v>
      </c>
      <c r="C1922" t="str">
        <f>_xll.BDP("79642GAJ Muni","INSURANCE_STATUS")</f>
        <v>#N/A Requesting Data...</v>
      </c>
      <c r="D1922" t="str">
        <f>_xll.BDP("79642GAJ Muni","STATE_CODE")</f>
        <v>#N/A Requesting Data...</v>
      </c>
      <c r="E1922" t="str">
        <f>_xll.BDP("79642GAJ Muni","COUNTY_LOCATION_ISSUER")</f>
        <v>#N/A Requesting Data...</v>
      </c>
      <c r="F1922" t="str">
        <f>_xll.BDP("79642GAJ Muni","DUR_ADJ_MID")</f>
        <v>#N/A Requesting Data...</v>
      </c>
      <c r="G1922" t="str">
        <f>_xll.BDP("79642GAJ Muni","SPREAD_AT_ISSUANCE_TO_WORST")</f>
        <v>#N/A Requesting Data...</v>
      </c>
      <c r="H1922" t="str">
        <f>_xll.BDP("79642GAJ Muni","ISSUE_DT")</f>
        <v>#N/A Requesting Data...</v>
      </c>
      <c r="I1922" t="str">
        <f>_xll.BDS("79642GAJ Muni","MUNI_PURPOSE_SCHED", "aggregate=y")</f>
        <v>#N/A Requesting Data...</v>
      </c>
      <c r="J1922" t="str">
        <f>_xll.BDP("79642GAJ Muni","CPN")</f>
        <v>#N/A Requesting Data...</v>
      </c>
      <c r="K1922" t="str">
        <f>_xll.BDP("79642GAJ Muni","MATURITY")</f>
        <v>#N/A Requesting Data...</v>
      </c>
      <c r="L1922">
        <v>3310000</v>
      </c>
      <c r="M1922" t="str">
        <f>_xll.BDP("79642GAJ Muni","YIELD_ON_ISSUE_DATE")</f>
        <v>#N/A Requesting Data...</v>
      </c>
      <c r="N1922" t="str">
        <f>_xll.BDP("79642GAJ Muni","YTW_SPREAD_TO_MATURITY_AT_ISSU")</f>
        <v>#N/A Requesting Data...</v>
      </c>
      <c r="O1922" t="str">
        <f>_xll.BDP("79642GAJ Muni","BVAL_MID_YTM")</f>
        <v>#N/A Requesting Data...</v>
      </c>
      <c r="P1922" t="str">
        <f>_xll.BDP("79642GAJ Muni","MUNI_TAX_PROV")</f>
        <v>#N/A Requesting Data...</v>
      </c>
      <c r="Q1922" t="str">
        <f>_xll.BDP("79642GAJ Muni","MUNI_FED_TAX")</f>
        <v>#N/A Requesting Data...</v>
      </c>
      <c r="R1922" t="str">
        <f>_xll.BDP("79642GAJ Muni","MUNI_MSRB_VOLUME")</f>
        <v>#N/A Requesting Data...</v>
      </c>
      <c r="S1922" t="str">
        <f>_xll.BDP("79642GAJ Muni","BB_COMPOSITE")</f>
        <v>#N/A Requesting Data...</v>
      </c>
      <c r="T1922" t="str">
        <f>_xll.BDP("79642GAJ Muni","LQA_LIQUIDITY_SCORE")</f>
        <v>#N/A Requesting Data...</v>
      </c>
    </row>
    <row r="1923" spans="1:20" x14ac:dyDescent="0.25">
      <c r="A1923" t="str">
        <f>_xll.BDP("796844SP Muni","ID_CUSIP")</f>
        <v>#N/A Requesting Data...</v>
      </c>
      <c r="B1923" t="s">
        <v>454</v>
      </c>
      <c r="C1923" t="str">
        <f>_xll.BDP("796844SP Muni","INSURANCE_STATUS")</f>
        <v>#N/A Requesting Data...</v>
      </c>
      <c r="D1923" t="str">
        <f>_xll.BDP("796844SP Muni","STATE_CODE")</f>
        <v>#N/A Requesting Data...</v>
      </c>
      <c r="E1923" t="str">
        <f>_xll.BDP("796844SP Muni","COUNTY_LOCATION_ISSUER")</f>
        <v>#N/A Requesting Data...</v>
      </c>
      <c r="F1923" t="str">
        <f>_xll.BDP("796844SP Muni","DUR_ADJ_MID")</f>
        <v>#N/A Requesting Data...</v>
      </c>
      <c r="G1923" t="str">
        <f>_xll.BDP("796844SP Muni","SPREAD_AT_ISSUANCE_TO_WORST")</f>
        <v>#N/A Requesting Data...</v>
      </c>
      <c r="H1923" t="str">
        <f>_xll.BDP("796844SP Muni","ISSUE_DT")</f>
        <v>#N/A Requesting Data...</v>
      </c>
      <c r="I1923" t="str">
        <f>_xll.BDS("796844SP Muni","MUNI_PURPOSE_SCHED", "aggregate=y")</f>
        <v>#N/A Requesting Data...</v>
      </c>
      <c r="J1923" t="str">
        <f>_xll.BDP("796844SP Muni","CPN")</f>
        <v>#N/A Requesting Data...</v>
      </c>
      <c r="K1923" t="str">
        <f>_xll.BDP("796844SP Muni","MATURITY")</f>
        <v>#N/A Requesting Data...</v>
      </c>
      <c r="L1923">
        <v>350000</v>
      </c>
      <c r="M1923" t="str">
        <f>_xll.BDP("796844SP Muni","YIELD_ON_ISSUE_DATE")</f>
        <v>#N/A Requesting Data...</v>
      </c>
      <c r="N1923" t="str">
        <f>_xll.BDP("796844SP Muni","YTW_SPREAD_TO_MATURITY_AT_ISSU")</f>
        <v>#N/A Requesting Data...</v>
      </c>
      <c r="O1923" t="str">
        <f>_xll.BDP("796844SP Muni","BVAL_MID_YTM")</f>
        <v>#N/A Requesting Data...</v>
      </c>
      <c r="P1923" t="str">
        <f>_xll.BDP("796844SP Muni","MUNI_TAX_PROV")</f>
        <v>#N/A Requesting Data...</v>
      </c>
      <c r="Q1923" t="str">
        <f>_xll.BDP("796844SP Muni","MUNI_FED_TAX")</f>
        <v>#N/A Requesting Data...</v>
      </c>
      <c r="R1923" t="str">
        <f>_xll.BDP("796844SP Muni","MUNI_MSRB_VOLUME")</f>
        <v>#N/A Requesting Data...</v>
      </c>
      <c r="S1923" t="str">
        <f>_xll.BDP("796844SP Muni","BB_COMPOSITE")</f>
        <v>#N/A Requesting Data...</v>
      </c>
      <c r="T1923" t="str">
        <f>_xll.BDP("796844SP Muni","LQA_LIQUIDITY_SCORE")</f>
        <v>#N/A Requesting Data...</v>
      </c>
    </row>
    <row r="1924" spans="1:20" x14ac:dyDescent="0.25">
      <c r="A1924" t="str">
        <f>_xll.BDP("82621XDD Muni","ID_CUSIP")</f>
        <v>#N/A Requesting Data...</v>
      </c>
      <c r="B1924" t="s">
        <v>460</v>
      </c>
      <c r="C1924" t="str">
        <f>_xll.BDP("82621XDD Muni","INSURANCE_STATUS")</f>
        <v>#N/A Requesting Data...</v>
      </c>
      <c r="D1924" t="str">
        <f>_xll.BDP("82621XDD Muni","STATE_CODE")</f>
        <v>#N/A Requesting Data...</v>
      </c>
      <c r="E1924" t="str">
        <f>_xll.BDP("82621XDD Muni","COUNTY_LOCATION_ISSUER")</f>
        <v>#N/A Requesting Data...</v>
      </c>
      <c r="F1924" t="str">
        <f>_xll.BDP("82621XDD Muni","DUR_ADJ_MID")</f>
        <v>#N/A Requesting Data...</v>
      </c>
      <c r="G1924" t="str">
        <f>_xll.BDP("82621XDD Muni","SPREAD_AT_ISSUANCE_TO_WORST")</f>
        <v>#N/A Requesting Data...</v>
      </c>
      <c r="H1924" t="str">
        <f>_xll.BDP("82621XDD Muni","ISSUE_DT")</f>
        <v>#N/A Requesting Data...</v>
      </c>
      <c r="I1924" t="str">
        <f>_xll.BDS("82621XDD Muni","MUNI_PURPOSE_SCHED", "aggregate=y")</f>
        <v>#N/A Requesting Data...</v>
      </c>
      <c r="J1924" t="str">
        <f>_xll.BDP("82621XDD Muni","CPN")</f>
        <v>#N/A Requesting Data...</v>
      </c>
      <c r="K1924" t="str">
        <f>_xll.BDP("82621XDD Muni","MATURITY")</f>
        <v>#N/A Requesting Data...</v>
      </c>
      <c r="L1924">
        <v>225000</v>
      </c>
      <c r="M1924" t="str">
        <f>_xll.BDP("82621XDD Muni","YIELD_ON_ISSUE_DATE")</f>
        <v>#N/A Requesting Data...</v>
      </c>
      <c r="N1924" t="str">
        <f>_xll.BDP("82621XDD Muni","YTW_SPREAD_TO_MATURITY_AT_ISSU")</f>
        <v>#N/A Requesting Data...</v>
      </c>
      <c r="O1924" t="str">
        <f>_xll.BDP("82621XDD Muni","BVAL_MID_YTM")</f>
        <v>#N/A Requesting Data...</v>
      </c>
      <c r="P1924" t="str">
        <f>_xll.BDP("82621XDD Muni","MUNI_TAX_PROV")</f>
        <v>#N/A Requesting Data...</v>
      </c>
      <c r="Q1924" t="str">
        <f>_xll.BDP("82621XDD Muni","MUNI_FED_TAX")</f>
        <v>#N/A Requesting Data...</v>
      </c>
      <c r="R1924" t="str">
        <f>_xll.BDP("82621XDD Muni","MUNI_MSRB_VOLUME")</f>
        <v>#N/A Requesting Data...</v>
      </c>
      <c r="S1924" t="str">
        <f>_xll.BDP("82621XDD Muni","BB_COMPOSITE")</f>
        <v>#N/A Requesting Data...</v>
      </c>
      <c r="T1924" t="str">
        <f>_xll.BDP("82621XDD Muni","LQA_LIQUIDITY_SCORE")</f>
        <v>#N/A Requesting Data...</v>
      </c>
    </row>
    <row r="1925" spans="1:20" x14ac:dyDescent="0.25">
      <c r="A1925" t="str">
        <f>_xll.BDP("831049DY Muni","ID_CUSIP")</f>
        <v>#N/A Requesting Data...</v>
      </c>
      <c r="B1925" t="s">
        <v>461</v>
      </c>
      <c r="C1925" t="str">
        <f>_xll.BDP("831049DY Muni","INSURANCE_STATUS")</f>
        <v>#N/A Requesting Data...</v>
      </c>
      <c r="D1925" t="str">
        <f>_xll.BDP("831049DY Muni","STATE_CODE")</f>
        <v>#N/A Requesting Data...</v>
      </c>
      <c r="E1925" t="str">
        <f>_xll.BDP("831049DY Muni","COUNTY_LOCATION_ISSUER")</f>
        <v>#N/A Requesting Data...</v>
      </c>
      <c r="F1925" t="str">
        <f>_xll.BDP("831049DY Muni","DUR_ADJ_MID")</f>
        <v>#N/A Requesting Data...</v>
      </c>
      <c r="G1925" t="str">
        <f>_xll.BDP("831049DY Muni","SPREAD_AT_ISSUANCE_TO_WORST")</f>
        <v>#N/A Requesting Data...</v>
      </c>
      <c r="H1925" t="str">
        <f>_xll.BDP("831049DY Muni","ISSUE_DT")</f>
        <v>#N/A Requesting Data...</v>
      </c>
      <c r="I1925" t="str">
        <f>_xll.BDS("831049DY Muni","MUNI_PURPOSE_SCHED", "aggregate=y")</f>
        <v>#N/A Requesting Data...</v>
      </c>
      <c r="J1925" t="str">
        <f>_xll.BDP("831049DY Muni","CPN")</f>
        <v>#N/A Requesting Data...</v>
      </c>
      <c r="K1925" t="str">
        <f>_xll.BDP("831049DY Muni","MATURITY")</f>
        <v>#N/A Requesting Data...</v>
      </c>
      <c r="L1925">
        <v>240000</v>
      </c>
      <c r="M1925" t="str">
        <f>_xll.BDP("831049DY Muni","YIELD_ON_ISSUE_DATE")</f>
        <v>#N/A Requesting Data...</v>
      </c>
      <c r="N1925" t="str">
        <f>_xll.BDP("831049DY Muni","YTW_SPREAD_TO_MATURITY_AT_ISSU")</f>
        <v>#N/A Requesting Data...</v>
      </c>
      <c r="O1925" t="str">
        <f>_xll.BDP("831049DY Muni","BVAL_MID_YTM")</f>
        <v>#N/A Requesting Data...</v>
      </c>
      <c r="P1925" t="str">
        <f>_xll.BDP("831049DY Muni","MUNI_TAX_PROV")</f>
        <v>#N/A Requesting Data...</v>
      </c>
      <c r="Q1925" t="str">
        <f>_xll.BDP("831049DY Muni","MUNI_FED_TAX")</f>
        <v>#N/A Requesting Data...</v>
      </c>
      <c r="R1925" t="str">
        <f>_xll.BDP("831049DY Muni","MUNI_MSRB_VOLUME")</f>
        <v>#N/A Requesting Data...</v>
      </c>
      <c r="S1925" t="str">
        <f>_xll.BDP("831049DY Muni","BB_COMPOSITE")</f>
        <v>#N/A Requesting Data...</v>
      </c>
      <c r="T1925" t="str">
        <f>_xll.BDP("831049DY Muni","LQA_LIQUIDITY_SCORE")</f>
        <v>#N/A Requesting Data...</v>
      </c>
    </row>
    <row r="1926" spans="1:20" x14ac:dyDescent="0.25">
      <c r="A1926" t="str">
        <f>_xll.BDP("735626BV Muni","ID_CUSIP")</f>
        <v>#N/A Requesting Data...</v>
      </c>
      <c r="B1926" t="s">
        <v>462</v>
      </c>
      <c r="C1926" t="str">
        <f>_xll.BDP("735626BV Muni","INSURANCE_STATUS")</f>
        <v>#N/A Requesting Data...</v>
      </c>
      <c r="D1926" t="str">
        <f>_xll.BDP("735626BV Muni","STATE_CODE")</f>
        <v>#N/A Requesting Data...</v>
      </c>
      <c r="E1926" t="str">
        <f>_xll.BDP("735626BV Muni","COUNTY_LOCATION_ISSUER")</f>
        <v>#N/A Requesting Data...</v>
      </c>
      <c r="F1926" t="str">
        <f>_xll.BDP("735626BV Muni","DUR_ADJ_MID")</f>
        <v>#N/A Requesting Data...</v>
      </c>
      <c r="G1926" t="str">
        <f>_xll.BDP("735626BV Muni","SPREAD_AT_ISSUANCE_TO_WORST")</f>
        <v>#N/A Requesting Data...</v>
      </c>
      <c r="H1926" t="str">
        <f>_xll.BDP("735626BV Muni","ISSUE_DT")</f>
        <v>#N/A Requesting Data...</v>
      </c>
      <c r="I1926" t="str">
        <f>_xll.BDS("735626BV Muni","MUNI_PURPOSE_SCHED", "aggregate=y")</f>
        <v>#N/A Requesting Data...</v>
      </c>
      <c r="J1926" t="str">
        <f>_xll.BDP("735626BV Muni","CPN")</f>
        <v>#N/A Requesting Data...</v>
      </c>
      <c r="K1926" t="str">
        <f>_xll.BDP("735626BV Muni","MATURITY")</f>
        <v>#N/A Requesting Data...</v>
      </c>
      <c r="L1926">
        <v>190000</v>
      </c>
      <c r="M1926" t="str">
        <f>_xll.BDP("735626BV Muni","YIELD_ON_ISSUE_DATE")</f>
        <v>#N/A Requesting Data...</v>
      </c>
      <c r="N1926" t="str">
        <f>_xll.BDP("735626BV Muni","YTW_SPREAD_TO_MATURITY_AT_ISSU")</f>
        <v>#N/A Requesting Data...</v>
      </c>
      <c r="O1926" t="str">
        <f>_xll.BDP("735626BV Muni","BVAL_MID_YTM")</f>
        <v>#N/A Requesting Data...</v>
      </c>
      <c r="P1926" t="str">
        <f>_xll.BDP("735626BV Muni","MUNI_TAX_PROV")</f>
        <v>#N/A Requesting Data...</v>
      </c>
      <c r="Q1926" t="str">
        <f>_xll.BDP("735626BV Muni","MUNI_FED_TAX")</f>
        <v>#N/A Requesting Data...</v>
      </c>
      <c r="R1926" t="str">
        <f>_xll.BDP("735626BV Muni","MUNI_MSRB_VOLUME")</f>
        <v>#N/A Requesting Data...</v>
      </c>
      <c r="S1926" t="str">
        <f>_xll.BDP("735626BV Muni","BB_COMPOSITE")</f>
        <v>#N/A Requesting Data...</v>
      </c>
      <c r="T1926" t="str">
        <f>_xll.BDP("735626BV Muni","LQA_LIQUIDITY_SCORE")</f>
        <v>#N/A Requesting Data...</v>
      </c>
    </row>
    <row r="1927" spans="1:20" x14ac:dyDescent="0.25">
      <c r="A1927" t="str">
        <f>_xll.BDP("735626BW Muni","ID_CUSIP")</f>
        <v>#N/A Requesting Data...</v>
      </c>
      <c r="B1927" t="s">
        <v>462</v>
      </c>
      <c r="C1927" t="str">
        <f>_xll.BDP("735626BW Muni","INSURANCE_STATUS")</f>
        <v>#N/A Requesting Data...</v>
      </c>
      <c r="D1927" t="str">
        <f>_xll.BDP("735626BW Muni","STATE_CODE")</f>
        <v>#N/A Requesting Data...</v>
      </c>
      <c r="E1927" t="str">
        <f>_xll.BDP("735626BW Muni","COUNTY_LOCATION_ISSUER")</f>
        <v>#N/A Requesting Data...</v>
      </c>
      <c r="F1927" t="str">
        <f>_xll.BDP("735626BW Muni","DUR_ADJ_MID")</f>
        <v>#N/A Requesting Data...</v>
      </c>
      <c r="G1927" t="str">
        <f>_xll.BDP("735626BW Muni","SPREAD_AT_ISSUANCE_TO_WORST")</f>
        <v>#N/A Requesting Data...</v>
      </c>
      <c r="H1927" t="str">
        <f>_xll.BDP("735626BW Muni","ISSUE_DT")</f>
        <v>#N/A Requesting Data...</v>
      </c>
      <c r="I1927" t="str">
        <f>_xll.BDS("735626BW Muni","MUNI_PURPOSE_SCHED", "aggregate=y")</f>
        <v>#N/A Requesting Data...</v>
      </c>
      <c r="J1927" t="str">
        <f>_xll.BDP("735626BW Muni","CPN")</f>
        <v>#N/A Requesting Data...</v>
      </c>
      <c r="K1927" t="str">
        <f>_xll.BDP("735626BW Muni","MATURITY")</f>
        <v>#N/A Requesting Data...</v>
      </c>
      <c r="L1927">
        <v>195000</v>
      </c>
      <c r="M1927" t="str">
        <f>_xll.BDP("735626BW Muni","YIELD_ON_ISSUE_DATE")</f>
        <v>#N/A Requesting Data...</v>
      </c>
      <c r="N1927" t="str">
        <f>_xll.BDP("735626BW Muni","YTW_SPREAD_TO_MATURITY_AT_ISSU")</f>
        <v>#N/A Requesting Data...</v>
      </c>
      <c r="O1927" t="str">
        <f>_xll.BDP("735626BW Muni","BVAL_MID_YTM")</f>
        <v>#N/A Requesting Data...</v>
      </c>
      <c r="P1927" t="str">
        <f>_xll.BDP("735626BW Muni","MUNI_TAX_PROV")</f>
        <v>#N/A Requesting Data...</v>
      </c>
      <c r="Q1927" t="str">
        <f>_xll.BDP("735626BW Muni","MUNI_FED_TAX")</f>
        <v>#N/A Requesting Data...</v>
      </c>
      <c r="R1927" t="str">
        <f>_xll.BDP("735626BW Muni","MUNI_MSRB_VOLUME")</f>
        <v>#N/A Requesting Data...</v>
      </c>
      <c r="S1927" t="str">
        <f>_xll.BDP("735626BW Muni","BB_COMPOSITE")</f>
        <v>#N/A Requesting Data...</v>
      </c>
      <c r="T1927" t="str">
        <f>_xll.BDP("735626BW Muni","LQA_LIQUIDITY_SCORE")</f>
        <v>#N/A Requesting Data...</v>
      </c>
    </row>
    <row r="1928" spans="1:20" x14ac:dyDescent="0.25">
      <c r="A1928" t="str">
        <f>_xll.BDP("735626BX Muni","ID_CUSIP")</f>
        <v>#N/A Requesting Data...</v>
      </c>
      <c r="B1928" t="s">
        <v>462</v>
      </c>
      <c r="C1928" t="str">
        <f>_xll.BDP("735626BX Muni","INSURANCE_STATUS")</f>
        <v>#N/A Requesting Data...</v>
      </c>
      <c r="D1928" t="str">
        <f>_xll.BDP("735626BX Muni","STATE_CODE")</f>
        <v>#N/A Requesting Data...</v>
      </c>
      <c r="E1928" t="str">
        <f>_xll.BDP("735626BX Muni","COUNTY_LOCATION_ISSUER")</f>
        <v>#N/A Requesting Data...</v>
      </c>
      <c r="F1928" t="str">
        <f>_xll.BDP("735626BX Muni","DUR_ADJ_MID")</f>
        <v>#N/A Requesting Data...</v>
      </c>
      <c r="G1928" t="str">
        <f>_xll.BDP("735626BX Muni","SPREAD_AT_ISSUANCE_TO_WORST")</f>
        <v>#N/A Requesting Data...</v>
      </c>
      <c r="H1928" t="str">
        <f>_xll.BDP("735626BX Muni","ISSUE_DT")</f>
        <v>#N/A Requesting Data...</v>
      </c>
      <c r="I1928" t="str">
        <f>_xll.BDS("735626BX Muni","MUNI_PURPOSE_SCHED", "aggregate=y")</f>
        <v>#N/A Requesting Data...</v>
      </c>
      <c r="J1928" t="str">
        <f>_xll.BDP("735626BX Muni","CPN")</f>
        <v>#N/A Requesting Data...</v>
      </c>
      <c r="K1928" t="str">
        <f>_xll.BDP("735626BX Muni","MATURITY")</f>
        <v>#N/A Requesting Data...</v>
      </c>
      <c r="L1928">
        <v>200000</v>
      </c>
      <c r="M1928" t="str">
        <f>_xll.BDP("735626BX Muni","YIELD_ON_ISSUE_DATE")</f>
        <v>#N/A Requesting Data...</v>
      </c>
      <c r="N1928" t="str">
        <f>_xll.BDP("735626BX Muni","YTW_SPREAD_TO_MATURITY_AT_ISSU")</f>
        <v>#N/A Requesting Data...</v>
      </c>
      <c r="O1928" t="str">
        <f>_xll.BDP("735626BX Muni","BVAL_MID_YTM")</f>
        <v>#N/A Requesting Data...</v>
      </c>
      <c r="P1928" t="str">
        <f>_xll.BDP("735626BX Muni","MUNI_TAX_PROV")</f>
        <v>#N/A Requesting Data...</v>
      </c>
      <c r="Q1928" t="str">
        <f>_xll.BDP("735626BX Muni","MUNI_FED_TAX")</f>
        <v>#N/A Requesting Data...</v>
      </c>
      <c r="R1928" t="str">
        <f>_xll.BDP("735626BX Muni","MUNI_MSRB_VOLUME")</f>
        <v>#N/A Requesting Data...</v>
      </c>
      <c r="S1928" t="str">
        <f>_xll.BDP("735626BX Muni","BB_COMPOSITE")</f>
        <v>#N/A Requesting Data...</v>
      </c>
      <c r="T1928" t="str">
        <f>_xll.BDP("735626BX Muni","LQA_LIQUIDITY_SCORE")</f>
        <v>#N/A Requesting Data...</v>
      </c>
    </row>
    <row r="1929" spans="1:20" x14ac:dyDescent="0.25">
      <c r="A1929" t="str">
        <f>_xll.BDP("735626BY Muni","ID_CUSIP")</f>
        <v>#N/A Requesting Data...</v>
      </c>
      <c r="B1929" t="s">
        <v>462</v>
      </c>
      <c r="C1929" t="str">
        <f>_xll.BDP("735626BY Muni","INSURANCE_STATUS")</f>
        <v>#N/A Requesting Data...</v>
      </c>
      <c r="D1929" t="str">
        <f>_xll.BDP("735626BY Muni","STATE_CODE")</f>
        <v>#N/A Requesting Data...</v>
      </c>
      <c r="E1929" t="str">
        <f>_xll.BDP("735626BY Muni","COUNTY_LOCATION_ISSUER")</f>
        <v>#N/A Requesting Data...</v>
      </c>
      <c r="F1929" t="str">
        <f>_xll.BDP("735626BY Muni","DUR_ADJ_MID")</f>
        <v>#N/A Requesting Data...</v>
      </c>
      <c r="G1929" t="str">
        <f>_xll.BDP("735626BY Muni","SPREAD_AT_ISSUANCE_TO_WORST")</f>
        <v>#N/A Requesting Data...</v>
      </c>
      <c r="H1929" t="str">
        <f>_xll.BDP("735626BY Muni","ISSUE_DT")</f>
        <v>#N/A Requesting Data...</v>
      </c>
      <c r="I1929" t="str">
        <f>_xll.BDS("735626BY Muni","MUNI_PURPOSE_SCHED", "aggregate=y")</f>
        <v>#N/A Requesting Data...</v>
      </c>
      <c r="J1929" t="str">
        <f>_xll.BDP("735626BY Muni","CPN")</f>
        <v>#N/A Requesting Data...</v>
      </c>
      <c r="K1929" t="str">
        <f>_xll.BDP("735626BY Muni","MATURITY")</f>
        <v>#N/A Requesting Data...</v>
      </c>
      <c r="L1929">
        <v>210000</v>
      </c>
      <c r="M1929" t="str">
        <f>_xll.BDP("735626BY Muni","YIELD_ON_ISSUE_DATE")</f>
        <v>#N/A Requesting Data...</v>
      </c>
      <c r="N1929" t="str">
        <f>_xll.BDP("735626BY Muni","YTW_SPREAD_TO_MATURITY_AT_ISSU")</f>
        <v>#N/A Requesting Data...</v>
      </c>
      <c r="O1929" t="str">
        <f>_xll.BDP("735626BY Muni","BVAL_MID_YTM")</f>
        <v>#N/A Requesting Data...</v>
      </c>
      <c r="P1929" t="str">
        <f>_xll.BDP("735626BY Muni","MUNI_TAX_PROV")</f>
        <v>#N/A Requesting Data...</v>
      </c>
      <c r="Q1929" t="str">
        <f>_xll.BDP("735626BY Muni","MUNI_FED_TAX")</f>
        <v>#N/A Requesting Data...</v>
      </c>
      <c r="R1929" t="str">
        <f>_xll.BDP("735626BY Muni","MUNI_MSRB_VOLUME")</f>
        <v>#N/A Requesting Data...</v>
      </c>
      <c r="S1929" t="str">
        <f>_xll.BDP("735626BY Muni","BB_COMPOSITE")</f>
        <v>#N/A Requesting Data...</v>
      </c>
      <c r="T1929" t="str">
        <f>_xll.BDP("735626BY Muni","LQA_LIQUIDITY_SCORE")</f>
        <v>#N/A Requesting Data...</v>
      </c>
    </row>
    <row r="1930" spans="1:20" x14ac:dyDescent="0.25">
      <c r="A1930" t="str">
        <f>_xll.BDP("735626BZ Muni","ID_CUSIP")</f>
        <v>#N/A Requesting Data...</v>
      </c>
      <c r="B1930" t="s">
        <v>462</v>
      </c>
      <c r="C1930" t="str">
        <f>_xll.BDP("735626BZ Muni","INSURANCE_STATUS")</f>
        <v>#N/A Requesting Data...</v>
      </c>
      <c r="D1930" t="str">
        <f>_xll.BDP("735626BZ Muni","STATE_CODE")</f>
        <v>#N/A Requesting Data...</v>
      </c>
      <c r="E1930" t="str">
        <f>_xll.BDP("735626BZ Muni","COUNTY_LOCATION_ISSUER")</f>
        <v>#N/A Requesting Data...</v>
      </c>
      <c r="F1930" t="str">
        <f>_xll.BDP("735626BZ Muni","DUR_ADJ_MID")</f>
        <v>#N/A Requesting Data...</v>
      </c>
      <c r="G1930" t="str">
        <f>_xll.BDP("735626BZ Muni","SPREAD_AT_ISSUANCE_TO_WORST")</f>
        <v>#N/A Requesting Data...</v>
      </c>
      <c r="H1930" t="str">
        <f>_xll.BDP("735626BZ Muni","ISSUE_DT")</f>
        <v>#N/A Requesting Data...</v>
      </c>
      <c r="I1930" t="str">
        <f>_xll.BDS("735626BZ Muni","MUNI_PURPOSE_SCHED", "aggregate=y")</f>
        <v>#N/A Requesting Data...</v>
      </c>
      <c r="J1930" t="str">
        <f>_xll.BDP("735626BZ Muni","CPN")</f>
        <v>#N/A Requesting Data...</v>
      </c>
      <c r="K1930" t="str">
        <f>_xll.BDP("735626BZ Muni","MATURITY")</f>
        <v>#N/A Requesting Data...</v>
      </c>
      <c r="L1930">
        <v>215000</v>
      </c>
      <c r="M1930" t="str">
        <f>_xll.BDP("735626BZ Muni","YIELD_ON_ISSUE_DATE")</f>
        <v>#N/A Requesting Data...</v>
      </c>
      <c r="N1930" t="str">
        <f>_xll.BDP("735626BZ Muni","YTW_SPREAD_TO_MATURITY_AT_ISSU")</f>
        <v>#N/A Requesting Data...</v>
      </c>
      <c r="O1930" t="str">
        <f>_xll.BDP("735626BZ Muni","BVAL_MID_YTM")</f>
        <v>#N/A Requesting Data...</v>
      </c>
      <c r="P1930" t="str">
        <f>_xll.BDP("735626BZ Muni","MUNI_TAX_PROV")</f>
        <v>#N/A Requesting Data...</v>
      </c>
      <c r="Q1930" t="str">
        <f>_xll.BDP("735626BZ Muni","MUNI_FED_TAX")</f>
        <v>#N/A Requesting Data...</v>
      </c>
      <c r="R1930" t="str">
        <f>_xll.BDP("735626BZ Muni","MUNI_MSRB_VOLUME")</f>
        <v>#N/A Requesting Data...</v>
      </c>
      <c r="S1930" t="str">
        <f>_xll.BDP("735626BZ Muni","BB_COMPOSITE")</f>
        <v>#N/A Requesting Data...</v>
      </c>
      <c r="T1930" t="str">
        <f>_xll.BDP("735626BZ Muni","LQA_LIQUIDITY_SCORE")</f>
        <v>#N/A Requesting Data...</v>
      </c>
    </row>
    <row r="1931" spans="1:20" x14ac:dyDescent="0.25">
      <c r="A1931" t="str">
        <f>_xll.BDP("735626CA Muni","ID_CUSIP")</f>
        <v>#N/A Requesting Data...</v>
      </c>
      <c r="B1931" t="s">
        <v>462</v>
      </c>
      <c r="C1931" t="str">
        <f>_xll.BDP("735626CA Muni","INSURANCE_STATUS")</f>
        <v>#N/A Requesting Data...</v>
      </c>
      <c r="D1931" t="str">
        <f>_xll.BDP("735626CA Muni","STATE_CODE")</f>
        <v>#N/A Requesting Data...</v>
      </c>
      <c r="E1931" t="str">
        <f>_xll.BDP("735626CA Muni","COUNTY_LOCATION_ISSUER")</f>
        <v>#N/A Requesting Data...</v>
      </c>
      <c r="F1931" t="str">
        <f>_xll.BDP("735626CA Muni","DUR_ADJ_MID")</f>
        <v>#N/A Requesting Data...</v>
      </c>
      <c r="G1931" t="str">
        <f>_xll.BDP("735626CA Muni","SPREAD_AT_ISSUANCE_TO_WORST")</f>
        <v>#N/A Requesting Data...</v>
      </c>
      <c r="H1931" t="str">
        <f>_xll.BDP("735626CA Muni","ISSUE_DT")</f>
        <v>#N/A Requesting Data...</v>
      </c>
      <c r="I1931" t="str">
        <f>_xll.BDS("735626CA Muni","MUNI_PURPOSE_SCHED", "aggregate=y")</f>
        <v>#N/A Requesting Data...</v>
      </c>
      <c r="J1931" t="str">
        <f>_xll.BDP("735626CA Muni","CPN")</f>
        <v>#N/A Requesting Data...</v>
      </c>
      <c r="K1931" t="str">
        <f>_xll.BDP("735626CA Muni","MATURITY")</f>
        <v>#N/A Requesting Data...</v>
      </c>
      <c r="L1931">
        <v>225000</v>
      </c>
      <c r="M1931" t="str">
        <f>_xll.BDP("735626CA Muni","YIELD_ON_ISSUE_DATE")</f>
        <v>#N/A Requesting Data...</v>
      </c>
      <c r="N1931" t="str">
        <f>_xll.BDP("735626CA Muni","YTW_SPREAD_TO_MATURITY_AT_ISSU")</f>
        <v>#N/A Requesting Data...</v>
      </c>
      <c r="O1931" t="str">
        <f>_xll.BDP("735626CA Muni","BVAL_MID_YTM")</f>
        <v>#N/A Requesting Data...</v>
      </c>
      <c r="P1931" t="str">
        <f>_xll.BDP("735626CA Muni","MUNI_TAX_PROV")</f>
        <v>#N/A Requesting Data...</v>
      </c>
      <c r="Q1931" t="str">
        <f>_xll.BDP("735626CA Muni","MUNI_FED_TAX")</f>
        <v>#N/A Requesting Data...</v>
      </c>
      <c r="R1931" t="str">
        <f>_xll.BDP("735626CA Muni","MUNI_MSRB_VOLUME")</f>
        <v>#N/A Requesting Data...</v>
      </c>
      <c r="S1931" t="str">
        <f>_xll.BDP("735626CA Muni","BB_COMPOSITE")</f>
        <v>#N/A Requesting Data...</v>
      </c>
      <c r="T1931" t="str">
        <f>_xll.BDP("735626CA Muni","LQA_LIQUIDITY_SCORE")</f>
        <v>#N/A Requesting Data...</v>
      </c>
    </row>
    <row r="1932" spans="1:20" x14ac:dyDescent="0.25">
      <c r="A1932" t="str">
        <f>_xll.BDP("736606DE Muni","ID_CUSIP")</f>
        <v>#N/A Requesting Data...</v>
      </c>
      <c r="B1932" t="s">
        <v>463</v>
      </c>
      <c r="C1932" t="str">
        <f>_xll.BDP("736606DE Muni","INSURANCE_STATUS")</f>
        <v>#N/A Requesting Data...</v>
      </c>
      <c r="D1932" t="str">
        <f>_xll.BDP("736606DE Muni","STATE_CODE")</f>
        <v>#N/A Requesting Data...</v>
      </c>
      <c r="E1932" t="str">
        <f>_xll.BDP("736606DE Muni","COUNTY_LOCATION_ISSUER")</f>
        <v>#N/A Requesting Data...</v>
      </c>
      <c r="F1932" t="str">
        <f>_xll.BDP("736606DE Muni","DUR_ADJ_MID")</f>
        <v>#N/A Requesting Data...</v>
      </c>
      <c r="G1932" t="str">
        <f>_xll.BDP("736606DE Muni","SPREAD_AT_ISSUANCE_TO_WORST")</f>
        <v>#N/A Requesting Data...</v>
      </c>
      <c r="H1932" t="str">
        <f>_xll.BDP("736606DE Muni","ISSUE_DT")</f>
        <v>#N/A Requesting Data...</v>
      </c>
      <c r="I1932" t="str">
        <f>_xll.BDS("736606DE Muni","MUNI_PURPOSE_SCHED", "aggregate=y")</f>
        <v>#N/A Requesting Data...</v>
      </c>
      <c r="J1932" t="str">
        <f>_xll.BDP("736606DE Muni","CPN")</f>
        <v>#N/A Requesting Data...</v>
      </c>
      <c r="K1932" t="str">
        <f>_xll.BDP("736606DE Muni","MATURITY")</f>
        <v>#N/A Requesting Data...</v>
      </c>
      <c r="L1932">
        <v>345000</v>
      </c>
      <c r="M1932" t="str">
        <f>_xll.BDP("736606DE Muni","YIELD_ON_ISSUE_DATE")</f>
        <v>#N/A Requesting Data...</v>
      </c>
      <c r="N1932" t="str">
        <f>_xll.BDP("736606DE Muni","YTW_SPREAD_TO_MATURITY_AT_ISSU")</f>
        <v>#N/A Requesting Data...</v>
      </c>
      <c r="O1932" t="str">
        <f>_xll.BDP("736606DE Muni","BVAL_MID_YTM")</f>
        <v>#N/A Requesting Data...</v>
      </c>
      <c r="P1932" t="str">
        <f>_xll.BDP("736606DE Muni","MUNI_TAX_PROV")</f>
        <v>#N/A Requesting Data...</v>
      </c>
      <c r="Q1932" t="str">
        <f>_xll.BDP("736606DE Muni","MUNI_FED_TAX")</f>
        <v>#N/A Requesting Data...</v>
      </c>
      <c r="R1932" t="str">
        <f>_xll.BDP("736606DE Muni","MUNI_MSRB_VOLUME")</f>
        <v>#N/A Requesting Data...</v>
      </c>
      <c r="S1932" t="str">
        <f>_xll.BDP("736606DE Muni","BB_COMPOSITE")</f>
        <v>#N/A Requesting Data...</v>
      </c>
      <c r="T1932" t="str">
        <f>_xll.BDP("736606DE Muni","LQA_LIQUIDITY_SCORE")</f>
        <v>#N/A Requesting Data...</v>
      </c>
    </row>
    <row r="1933" spans="1:20" x14ac:dyDescent="0.25">
      <c r="A1933" t="str">
        <f>_xll.BDP("736606DF Muni","ID_CUSIP")</f>
        <v>#N/A Requesting Data...</v>
      </c>
      <c r="B1933" t="s">
        <v>463</v>
      </c>
      <c r="C1933" t="str">
        <f>_xll.BDP("736606DF Muni","INSURANCE_STATUS")</f>
        <v>#N/A Requesting Data...</v>
      </c>
      <c r="D1933" t="str">
        <f>_xll.BDP("736606DF Muni","STATE_CODE")</f>
        <v>#N/A Requesting Data...</v>
      </c>
      <c r="E1933" t="str">
        <f>_xll.BDP("736606DF Muni","COUNTY_LOCATION_ISSUER")</f>
        <v>#N/A Requesting Data...</v>
      </c>
      <c r="F1933" t="str">
        <f>_xll.BDP("736606DF Muni","DUR_ADJ_MID")</f>
        <v>#N/A Requesting Data...</v>
      </c>
      <c r="G1933" t="str">
        <f>_xll.BDP("736606DF Muni","SPREAD_AT_ISSUANCE_TO_WORST")</f>
        <v>#N/A Requesting Data...</v>
      </c>
      <c r="H1933" t="str">
        <f>_xll.BDP("736606DF Muni","ISSUE_DT")</f>
        <v>#N/A Requesting Data...</v>
      </c>
      <c r="I1933" t="str">
        <f>_xll.BDS("736606DF Muni","MUNI_PURPOSE_SCHED", "aggregate=y")</f>
        <v>#N/A Requesting Data...</v>
      </c>
      <c r="J1933" t="str">
        <f>_xll.BDP("736606DF Muni","CPN")</f>
        <v>#N/A Requesting Data...</v>
      </c>
      <c r="K1933" t="str">
        <f>_xll.BDP("736606DF Muni","MATURITY")</f>
        <v>#N/A Requesting Data...</v>
      </c>
      <c r="L1933">
        <v>345000</v>
      </c>
      <c r="M1933" t="str">
        <f>_xll.BDP("736606DF Muni","YIELD_ON_ISSUE_DATE")</f>
        <v>#N/A Requesting Data...</v>
      </c>
      <c r="N1933" t="str">
        <f>_xll.BDP("736606DF Muni","YTW_SPREAD_TO_MATURITY_AT_ISSU")</f>
        <v>#N/A Requesting Data...</v>
      </c>
      <c r="O1933" t="str">
        <f>_xll.BDP("736606DF Muni","BVAL_MID_YTM")</f>
        <v>#N/A Requesting Data...</v>
      </c>
      <c r="P1933" t="str">
        <f>_xll.BDP("736606DF Muni","MUNI_TAX_PROV")</f>
        <v>#N/A Requesting Data...</v>
      </c>
      <c r="Q1933" t="str">
        <f>_xll.BDP("736606DF Muni","MUNI_FED_TAX")</f>
        <v>#N/A Requesting Data...</v>
      </c>
      <c r="R1933" t="str">
        <f>_xll.BDP("736606DF Muni","MUNI_MSRB_VOLUME")</f>
        <v>#N/A Requesting Data...</v>
      </c>
      <c r="S1933" t="str">
        <f>_xll.BDP("736606DF Muni","BB_COMPOSITE")</f>
        <v>#N/A Requesting Data...</v>
      </c>
      <c r="T1933" t="str">
        <f>_xll.BDP("736606DF Muni","LQA_LIQUIDITY_SCORE")</f>
        <v>#N/A Requesting Data...</v>
      </c>
    </row>
    <row r="1934" spans="1:20" x14ac:dyDescent="0.25">
      <c r="A1934" t="str">
        <f>_xll.BDP("736606DG Muni","ID_CUSIP")</f>
        <v>#N/A Requesting Data...</v>
      </c>
      <c r="B1934" t="s">
        <v>463</v>
      </c>
      <c r="C1934" t="str">
        <f>_xll.BDP("736606DG Muni","INSURANCE_STATUS")</f>
        <v>#N/A Requesting Data...</v>
      </c>
      <c r="D1934" t="str">
        <f>_xll.BDP("736606DG Muni","STATE_CODE")</f>
        <v>#N/A Requesting Data...</v>
      </c>
      <c r="E1934" t="str">
        <f>_xll.BDP("736606DG Muni","COUNTY_LOCATION_ISSUER")</f>
        <v>#N/A Requesting Data...</v>
      </c>
      <c r="F1934" t="str">
        <f>_xll.BDP("736606DG Muni","DUR_ADJ_MID")</f>
        <v>#N/A Requesting Data...</v>
      </c>
      <c r="G1934" t="str">
        <f>_xll.BDP("736606DG Muni","SPREAD_AT_ISSUANCE_TO_WORST")</f>
        <v>#N/A Requesting Data...</v>
      </c>
      <c r="H1934" t="str">
        <f>_xll.BDP("736606DG Muni","ISSUE_DT")</f>
        <v>#N/A Requesting Data...</v>
      </c>
      <c r="I1934" t="str">
        <f>_xll.BDS("736606DG Muni","MUNI_PURPOSE_SCHED", "aggregate=y")</f>
        <v>#N/A Requesting Data...</v>
      </c>
      <c r="J1934" t="str">
        <f>_xll.BDP("736606DG Muni","CPN")</f>
        <v>#N/A Requesting Data...</v>
      </c>
      <c r="K1934" t="str">
        <f>_xll.BDP("736606DG Muni","MATURITY")</f>
        <v>#N/A Requesting Data...</v>
      </c>
      <c r="L1934">
        <v>345000</v>
      </c>
      <c r="M1934" t="str">
        <f>_xll.BDP("736606DG Muni","YIELD_ON_ISSUE_DATE")</f>
        <v>#N/A Requesting Data...</v>
      </c>
      <c r="N1934" t="str">
        <f>_xll.BDP("736606DG Muni","YTW_SPREAD_TO_MATURITY_AT_ISSU")</f>
        <v>#N/A Requesting Data...</v>
      </c>
      <c r="O1934" t="str">
        <f>_xll.BDP("736606DG Muni","BVAL_MID_YTM")</f>
        <v>#N/A Requesting Data...</v>
      </c>
      <c r="P1934" t="str">
        <f>_xll.BDP("736606DG Muni","MUNI_TAX_PROV")</f>
        <v>#N/A Requesting Data...</v>
      </c>
      <c r="Q1934" t="str">
        <f>_xll.BDP("736606DG Muni","MUNI_FED_TAX")</f>
        <v>#N/A Requesting Data...</v>
      </c>
      <c r="R1934" t="str">
        <f>_xll.BDP("736606DG Muni","MUNI_MSRB_VOLUME")</f>
        <v>#N/A Requesting Data...</v>
      </c>
      <c r="S1934" t="str">
        <f>_xll.BDP("736606DG Muni","BB_COMPOSITE")</f>
        <v>#N/A Requesting Data...</v>
      </c>
      <c r="T1934" t="str">
        <f>_xll.BDP("736606DG Muni","LQA_LIQUIDITY_SCORE")</f>
        <v>#N/A Requesting Data...</v>
      </c>
    </row>
    <row r="1935" spans="1:20" x14ac:dyDescent="0.25">
      <c r="A1935" t="str">
        <f>_xll.BDP("736606DH Muni","ID_CUSIP")</f>
        <v>#N/A Requesting Data...</v>
      </c>
      <c r="B1935" t="s">
        <v>463</v>
      </c>
      <c r="C1935" t="str">
        <f>_xll.BDP("736606DH Muni","INSURANCE_STATUS")</f>
        <v>#N/A Requesting Data...</v>
      </c>
      <c r="D1935" t="str">
        <f>_xll.BDP("736606DH Muni","STATE_CODE")</f>
        <v>#N/A Requesting Data...</v>
      </c>
      <c r="E1935" t="str">
        <f>_xll.BDP("736606DH Muni","COUNTY_LOCATION_ISSUER")</f>
        <v>#N/A Requesting Data...</v>
      </c>
      <c r="F1935" t="str">
        <f>_xll.BDP("736606DH Muni","DUR_ADJ_MID")</f>
        <v>#N/A Requesting Data...</v>
      </c>
      <c r="G1935" t="str">
        <f>_xll.BDP("736606DH Muni","SPREAD_AT_ISSUANCE_TO_WORST")</f>
        <v>#N/A Requesting Data...</v>
      </c>
      <c r="H1935" t="str">
        <f>_xll.BDP("736606DH Muni","ISSUE_DT")</f>
        <v>#N/A Requesting Data...</v>
      </c>
      <c r="I1935" t="str">
        <f>_xll.BDS("736606DH Muni","MUNI_PURPOSE_SCHED", "aggregate=y")</f>
        <v>#N/A Requesting Data...</v>
      </c>
      <c r="J1935" t="str">
        <f>_xll.BDP("736606DH Muni","CPN")</f>
        <v>#N/A Requesting Data...</v>
      </c>
      <c r="K1935" t="str">
        <f>_xll.BDP("736606DH Muni","MATURITY")</f>
        <v>#N/A Requesting Data...</v>
      </c>
      <c r="L1935">
        <v>345000</v>
      </c>
      <c r="M1935" t="str">
        <f>_xll.BDP("736606DH Muni","YIELD_ON_ISSUE_DATE")</f>
        <v>#N/A Requesting Data...</v>
      </c>
      <c r="N1935" t="str">
        <f>_xll.BDP("736606DH Muni","YTW_SPREAD_TO_MATURITY_AT_ISSU")</f>
        <v>#N/A Requesting Data...</v>
      </c>
      <c r="O1935" t="str">
        <f>_xll.BDP("736606DH Muni","BVAL_MID_YTM")</f>
        <v>#N/A Requesting Data...</v>
      </c>
      <c r="P1935" t="str">
        <f>_xll.BDP("736606DH Muni","MUNI_TAX_PROV")</f>
        <v>#N/A Requesting Data...</v>
      </c>
      <c r="Q1935" t="str">
        <f>_xll.BDP("736606DH Muni","MUNI_FED_TAX")</f>
        <v>#N/A Requesting Data...</v>
      </c>
      <c r="R1935" t="str">
        <f>_xll.BDP("736606DH Muni","MUNI_MSRB_VOLUME")</f>
        <v>#N/A Requesting Data...</v>
      </c>
      <c r="S1935" t="str">
        <f>_xll.BDP("736606DH Muni","BB_COMPOSITE")</f>
        <v>#N/A Requesting Data...</v>
      </c>
      <c r="T1935" t="str">
        <f>_xll.BDP("736606DH Muni","LQA_LIQUIDITY_SCORE")</f>
        <v>#N/A Requesting Data...</v>
      </c>
    </row>
    <row r="1936" spans="1:20" x14ac:dyDescent="0.25">
      <c r="A1936" t="str">
        <f>_xll.BDP("736606DJ Muni","ID_CUSIP")</f>
        <v>#N/A Requesting Data...</v>
      </c>
      <c r="B1936" t="s">
        <v>463</v>
      </c>
      <c r="C1936" t="str">
        <f>_xll.BDP("736606DJ Muni","INSURANCE_STATUS")</f>
        <v>#N/A Requesting Data...</v>
      </c>
      <c r="D1936" t="str">
        <f>_xll.BDP("736606DJ Muni","STATE_CODE")</f>
        <v>#N/A Requesting Data...</v>
      </c>
      <c r="E1936" t="str">
        <f>_xll.BDP("736606DJ Muni","COUNTY_LOCATION_ISSUER")</f>
        <v>#N/A Requesting Data...</v>
      </c>
      <c r="F1936" t="str">
        <f>_xll.BDP("736606DJ Muni","DUR_ADJ_MID")</f>
        <v>#N/A Requesting Data...</v>
      </c>
      <c r="G1936" t="str">
        <f>_xll.BDP("736606DJ Muni","SPREAD_AT_ISSUANCE_TO_WORST")</f>
        <v>#N/A Requesting Data...</v>
      </c>
      <c r="H1936" t="str">
        <f>_xll.BDP("736606DJ Muni","ISSUE_DT")</f>
        <v>#N/A Requesting Data...</v>
      </c>
      <c r="I1936" t="str">
        <f>_xll.BDS("736606DJ Muni","MUNI_PURPOSE_SCHED", "aggregate=y")</f>
        <v>#N/A Requesting Data...</v>
      </c>
      <c r="J1936" t="str">
        <f>_xll.BDP("736606DJ Muni","CPN")</f>
        <v>#N/A Requesting Data...</v>
      </c>
      <c r="K1936" t="str">
        <f>_xll.BDP("736606DJ Muni","MATURITY")</f>
        <v>#N/A Requesting Data...</v>
      </c>
      <c r="L1936">
        <v>345000</v>
      </c>
      <c r="M1936" t="str">
        <f>_xll.BDP("736606DJ Muni","YIELD_ON_ISSUE_DATE")</f>
        <v>#N/A Requesting Data...</v>
      </c>
      <c r="N1936" t="str">
        <f>_xll.BDP("736606DJ Muni","YTW_SPREAD_TO_MATURITY_AT_ISSU")</f>
        <v>#N/A Requesting Data...</v>
      </c>
      <c r="O1936" t="str">
        <f>_xll.BDP("736606DJ Muni","BVAL_MID_YTM")</f>
        <v>#N/A Requesting Data...</v>
      </c>
      <c r="P1936" t="str">
        <f>_xll.BDP("736606DJ Muni","MUNI_TAX_PROV")</f>
        <v>#N/A Requesting Data...</v>
      </c>
      <c r="Q1936" t="str">
        <f>_xll.BDP("736606DJ Muni","MUNI_FED_TAX")</f>
        <v>#N/A Requesting Data...</v>
      </c>
      <c r="R1936" t="str">
        <f>_xll.BDP("736606DJ Muni","MUNI_MSRB_VOLUME")</f>
        <v>#N/A Requesting Data...</v>
      </c>
      <c r="S1936" t="str">
        <f>_xll.BDP("736606DJ Muni","BB_COMPOSITE")</f>
        <v>#N/A Requesting Data...</v>
      </c>
      <c r="T1936" t="str">
        <f>_xll.BDP("736606DJ Muni","LQA_LIQUIDITY_SCORE")</f>
        <v>#N/A Requesting Data...</v>
      </c>
    </row>
    <row r="1937" spans="1:20" x14ac:dyDescent="0.25">
      <c r="A1937" t="str">
        <f>_xll.BDP("736606DK Muni","ID_CUSIP")</f>
        <v>#N/A Requesting Data...</v>
      </c>
      <c r="B1937" t="s">
        <v>463</v>
      </c>
      <c r="C1937" t="str">
        <f>_xll.BDP("736606DK Muni","INSURANCE_STATUS")</f>
        <v>#N/A Requesting Data...</v>
      </c>
      <c r="D1937" t="str">
        <f>_xll.BDP("736606DK Muni","STATE_CODE")</f>
        <v>#N/A Requesting Data...</v>
      </c>
      <c r="E1937" t="str">
        <f>_xll.BDP("736606DK Muni","COUNTY_LOCATION_ISSUER")</f>
        <v>#N/A Requesting Data...</v>
      </c>
      <c r="F1937" t="str">
        <f>_xll.BDP("736606DK Muni","DUR_ADJ_MID")</f>
        <v>#N/A Requesting Data...</v>
      </c>
      <c r="G1937" t="str">
        <f>_xll.BDP("736606DK Muni","SPREAD_AT_ISSUANCE_TO_WORST")</f>
        <v>#N/A Requesting Data...</v>
      </c>
      <c r="H1937" t="str">
        <f>_xll.BDP("736606DK Muni","ISSUE_DT")</f>
        <v>#N/A Requesting Data...</v>
      </c>
      <c r="I1937" t="str">
        <f>_xll.BDS("736606DK Muni","MUNI_PURPOSE_SCHED", "aggregate=y")</f>
        <v>#N/A Requesting Data...</v>
      </c>
      <c r="J1937" t="str">
        <f>_xll.BDP("736606DK Muni","CPN")</f>
        <v>#N/A Requesting Data...</v>
      </c>
      <c r="K1937" t="str">
        <f>_xll.BDP("736606DK Muni","MATURITY")</f>
        <v>#N/A Requesting Data...</v>
      </c>
      <c r="L1937">
        <v>345000</v>
      </c>
      <c r="M1937" t="str">
        <f>_xll.BDP("736606DK Muni","YIELD_ON_ISSUE_DATE")</f>
        <v>#N/A Requesting Data...</v>
      </c>
      <c r="N1937" t="str">
        <f>_xll.BDP("736606DK Muni","YTW_SPREAD_TO_MATURITY_AT_ISSU")</f>
        <v>#N/A Requesting Data...</v>
      </c>
      <c r="O1937" t="str">
        <f>_xll.BDP("736606DK Muni","BVAL_MID_YTM")</f>
        <v>#N/A Requesting Data...</v>
      </c>
      <c r="P1937" t="str">
        <f>_xll.BDP("736606DK Muni","MUNI_TAX_PROV")</f>
        <v>#N/A Requesting Data...</v>
      </c>
      <c r="Q1937" t="str">
        <f>_xll.BDP("736606DK Muni","MUNI_FED_TAX")</f>
        <v>#N/A Requesting Data...</v>
      </c>
      <c r="R1937" t="str">
        <f>_xll.BDP("736606DK Muni","MUNI_MSRB_VOLUME")</f>
        <v>#N/A Requesting Data...</v>
      </c>
      <c r="S1937" t="str">
        <f>_xll.BDP("736606DK Muni","BB_COMPOSITE")</f>
        <v>#N/A Requesting Data...</v>
      </c>
      <c r="T1937" t="str">
        <f>_xll.BDP("736606DK Muni","LQA_LIQUIDITY_SCORE")</f>
        <v>#N/A Requesting Data...</v>
      </c>
    </row>
    <row r="1938" spans="1:20" x14ac:dyDescent="0.25">
      <c r="A1938" t="str">
        <f>_xll.BDP("736606DL Muni","ID_CUSIP")</f>
        <v>#N/A Requesting Data...</v>
      </c>
      <c r="B1938" t="s">
        <v>463</v>
      </c>
      <c r="C1938" t="str">
        <f>_xll.BDP("736606DL Muni","INSURANCE_STATUS")</f>
        <v>#N/A Requesting Data...</v>
      </c>
      <c r="D1938" t="str">
        <f>_xll.BDP("736606DL Muni","STATE_CODE")</f>
        <v>#N/A Requesting Data...</v>
      </c>
      <c r="E1938" t="str">
        <f>_xll.BDP("736606DL Muni","COUNTY_LOCATION_ISSUER")</f>
        <v>#N/A Requesting Data...</v>
      </c>
      <c r="F1938" t="str">
        <f>_xll.BDP("736606DL Muni","DUR_ADJ_MID")</f>
        <v>#N/A Requesting Data...</v>
      </c>
      <c r="G1938" t="str">
        <f>_xll.BDP("736606DL Muni","SPREAD_AT_ISSUANCE_TO_WORST")</f>
        <v>#N/A Requesting Data...</v>
      </c>
      <c r="H1938" t="str">
        <f>_xll.BDP("736606DL Muni","ISSUE_DT")</f>
        <v>#N/A Requesting Data...</v>
      </c>
      <c r="I1938" t="str">
        <f>_xll.BDS("736606DL Muni","MUNI_PURPOSE_SCHED", "aggregate=y")</f>
        <v>#N/A Requesting Data...</v>
      </c>
      <c r="J1938" t="str">
        <f>_xll.BDP("736606DL Muni","CPN")</f>
        <v>#N/A Requesting Data...</v>
      </c>
      <c r="K1938" t="str">
        <f>_xll.BDP("736606DL Muni","MATURITY")</f>
        <v>#N/A Requesting Data...</v>
      </c>
      <c r="L1938">
        <v>345000</v>
      </c>
      <c r="M1938" t="str">
        <f>_xll.BDP("736606DL Muni","YIELD_ON_ISSUE_DATE")</f>
        <v>#N/A Requesting Data...</v>
      </c>
      <c r="N1938" t="str">
        <f>_xll.BDP("736606DL Muni","YTW_SPREAD_TO_MATURITY_AT_ISSU")</f>
        <v>#N/A Requesting Data...</v>
      </c>
      <c r="O1938" t="str">
        <f>_xll.BDP("736606DL Muni","BVAL_MID_YTM")</f>
        <v>#N/A Requesting Data...</v>
      </c>
      <c r="P1938" t="str">
        <f>_xll.BDP("736606DL Muni","MUNI_TAX_PROV")</f>
        <v>#N/A Requesting Data...</v>
      </c>
      <c r="Q1938" t="str">
        <f>_xll.BDP("736606DL Muni","MUNI_FED_TAX")</f>
        <v>#N/A Requesting Data...</v>
      </c>
      <c r="R1938" t="str">
        <f>_xll.BDP("736606DL Muni","MUNI_MSRB_VOLUME")</f>
        <v>#N/A Requesting Data...</v>
      </c>
      <c r="S1938" t="str">
        <f>_xll.BDP("736606DL Muni","BB_COMPOSITE")</f>
        <v>#N/A Requesting Data...</v>
      </c>
      <c r="T1938" t="str">
        <f>_xll.BDP("736606DL Muni","LQA_LIQUIDITY_SCORE")</f>
        <v>#N/A Requesting Data...</v>
      </c>
    </row>
    <row r="1939" spans="1:20" x14ac:dyDescent="0.25">
      <c r="A1939" t="str">
        <f>_xll.BDP("739511BW Muni","ID_CUSIP")</f>
        <v>#N/A Requesting Data...</v>
      </c>
      <c r="B1939" t="s">
        <v>464</v>
      </c>
      <c r="C1939" t="str">
        <f>_xll.BDP("739511BW Muni","INSURANCE_STATUS")</f>
        <v>#N/A Requesting Data...</v>
      </c>
      <c r="D1939" t="str">
        <f>_xll.BDP("739511BW Muni","STATE_CODE")</f>
        <v>#N/A Requesting Data...</v>
      </c>
      <c r="E1939" t="str">
        <f>_xll.BDP("739511BW Muni","COUNTY_LOCATION_ISSUER")</f>
        <v>#N/A Requesting Data...</v>
      </c>
      <c r="F1939" t="str">
        <f>_xll.BDP("739511BW Muni","DUR_ADJ_MID")</f>
        <v>#N/A Requesting Data...</v>
      </c>
      <c r="G1939" t="str">
        <f>_xll.BDP("739511BW Muni","SPREAD_AT_ISSUANCE_TO_WORST")</f>
        <v>#N/A Requesting Data...</v>
      </c>
      <c r="H1939" t="str">
        <f>_xll.BDP("739511BW Muni","ISSUE_DT")</f>
        <v>#N/A Requesting Data...</v>
      </c>
      <c r="I1939" t="str">
        <f>_xll.BDS("739511BW Muni","MUNI_PURPOSE_SCHED", "aggregate=y")</f>
        <v>#N/A Requesting Data...</v>
      </c>
      <c r="J1939" t="str">
        <f>_xll.BDP("739511BW Muni","CPN")</f>
        <v>#N/A Requesting Data...</v>
      </c>
      <c r="K1939" t="str">
        <f>_xll.BDP("739511BW Muni","MATURITY")</f>
        <v>#N/A Requesting Data...</v>
      </c>
      <c r="L1939">
        <v>110000</v>
      </c>
      <c r="M1939" t="str">
        <f>_xll.BDP("739511BW Muni","YIELD_ON_ISSUE_DATE")</f>
        <v>#N/A Requesting Data...</v>
      </c>
      <c r="N1939" t="str">
        <f>_xll.BDP("739511BW Muni","YTW_SPREAD_TO_MATURITY_AT_ISSU")</f>
        <v>#N/A Requesting Data...</v>
      </c>
      <c r="O1939" t="str">
        <f>_xll.BDP("739511BW Muni","BVAL_MID_YTM")</f>
        <v>#N/A Requesting Data...</v>
      </c>
      <c r="P1939" t="str">
        <f>_xll.BDP("739511BW Muni","MUNI_TAX_PROV")</f>
        <v>#N/A Requesting Data...</v>
      </c>
      <c r="Q1939" t="str">
        <f>_xll.BDP("739511BW Muni","MUNI_FED_TAX")</f>
        <v>#N/A Requesting Data...</v>
      </c>
      <c r="R1939" t="str">
        <f>_xll.BDP("739511BW Muni","MUNI_MSRB_VOLUME")</f>
        <v>#N/A Requesting Data...</v>
      </c>
      <c r="S1939" t="str">
        <f>_xll.BDP("739511BW Muni","BB_COMPOSITE")</f>
        <v>#N/A Requesting Data...</v>
      </c>
      <c r="T1939" t="str">
        <f>_xll.BDP("739511BW Muni","LQA_LIQUIDITY_SCORE")</f>
        <v>#N/A Requesting Data...</v>
      </c>
    </row>
    <row r="1940" spans="1:20" x14ac:dyDescent="0.25">
      <c r="A1940" t="str">
        <f>_xll.BDP("739511BX Muni","ID_CUSIP")</f>
        <v>#N/A Requesting Data...</v>
      </c>
      <c r="B1940" t="s">
        <v>464</v>
      </c>
      <c r="C1940" t="str">
        <f>_xll.BDP("739511BX Muni","INSURANCE_STATUS")</f>
        <v>#N/A Requesting Data...</v>
      </c>
      <c r="D1940" t="str">
        <f>_xll.BDP("739511BX Muni","STATE_CODE")</f>
        <v>#N/A Requesting Data...</v>
      </c>
      <c r="E1940" t="str">
        <f>_xll.BDP("739511BX Muni","COUNTY_LOCATION_ISSUER")</f>
        <v>#N/A Requesting Data...</v>
      </c>
      <c r="F1940" t="str">
        <f>_xll.BDP("739511BX Muni","DUR_ADJ_MID")</f>
        <v>#N/A Requesting Data...</v>
      </c>
      <c r="G1940" t="str">
        <f>_xll.BDP("739511BX Muni","SPREAD_AT_ISSUANCE_TO_WORST")</f>
        <v>#N/A Requesting Data...</v>
      </c>
      <c r="H1940" t="str">
        <f>_xll.BDP("739511BX Muni","ISSUE_DT")</f>
        <v>#N/A Requesting Data...</v>
      </c>
      <c r="I1940" t="str">
        <f>_xll.BDS("739511BX Muni","MUNI_PURPOSE_SCHED", "aggregate=y")</f>
        <v>#N/A Requesting Data...</v>
      </c>
      <c r="J1940" t="str">
        <f>_xll.BDP("739511BX Muni","CPN")</f>
        <v>#N/A Requesting Data...</v>
      </c>
      <c r="K1940" t="str">
        <f>_xll.BDP("739511BX Muni","MATURITY")</f>
        <v>#N/A Requesting Data...</v>
      </c>
      <c r="L1940">
        <v>145000</v>
      </c>
      <c r="M1940" t="str">
        <f>_xll.BDP("739511BX Muni","YIELD_ON_ISSUE_DATE")</f>
        <v>#N/A Requesting Data...</v>
      </c>
      <c r="N1940" t="str">
        <f>_xll.BDP("739511BX Muni","YTW_SPREAD_TO_MATURITY_AT_ISSU")</f>
        <v>#N/A Requesting Data...</v>
      </c>
      <c r="O1940" t="str">
        <f>_xll.BDP("739511BX Muni","BVAL_MID_YTM")</f>
        <v>#N/A Requesting Data...</v>
      </c>
      <c r="P1940" t="str">
        <f>_xll.BDP("739511BX Muni","MUNI_TAX_PROV")</f>
        <v>#N/A Requesting Data...</v>
      </c>
      <c r="Q1940" t="str">
        <f>_xll.BDP("739511BX Muni","MUNI_FED_TAX")</f>
        <v>#N/A Requesting Data...</v>
      </c>
      <c r="R1940" t="str">
        <f>_xll.BDP("739511BX Muni","MUNI_MSRB_VOLUME")</f>
        <v>#N/A Requesting Data...</v>
      </c>
      <c r="S1940" t="str">
        <f>_xll.BDP("739511BX Muni","BB_COMPOSITE")</f>
        <v>#N/A Requesting Data...</v>
      </c>
      <c r="T1940" t="str">
        <f>_xll.BDP("739511BX Muni","LQA_LIQUIDITY_SCORE")</f>
        <v>#N/A Requesting Data...</v>
      </c>
    </row>
    <row r="1941" spans="1:20" x14ac:dyDescent="0.25">
      <c r="A1941" t="str">
        <f>_xll.BDP("739511BY Muni","ID_CUSIP")</f>
        <v>#N/A Requesting Data...</v>
      </c>
      <c r="B1941" t="s">
        <v>464</v>
      </c>
      <c r="C1941" t="str">
        <f>_xll.BDP("739511BY Muni","INSURANCE_STATUS")</f>
        <v>#N/A Requesting Data...</v>
      </c>
      <c r="D1941" t="str">
        <f>_xll.BDP("739511BY Muni","STATE_CODE")</f>
        <v>#N/A Requesting Data...</v>
      </c>
      <c r="E1941" t="str">
        <f>_xll.BDP("739511BY Muni","COUNTY_LOCATION_ISSUER")</f>
        <v>#N/A Requesting Data...</v>
      </c>
      <c r="F1941" t="str">
        <f>_xll.BDP("739511BY Muni","DUR_ADJ_MID")</f>
        <v>#N/A Requesting Data...</v>
      </c>
      <c r="G1941" t="str">
        <f>_xll.BDP("739511BY Muni","SPREAD_AT_ISSUANCE_TO_WORST")</f>
        <v>#N/A Requesting Data...</v>
      </c>
      <c r="H1941" t="str">
        <f>_xll.BDP("739511BY Muni","ISSUE_DT")</f>
        <v>#N/A Requesting Data...</v>
      </c>
      <c r="I1941" t="str">
        <f>_xll.BDS("739511BY Muni","MUNI_PURPOSE_SCHED", "aggregate=y")</f>
        <v>#N/A Requesting Data...</v>
      </c>
      <c r="J1941" t="str">
        <f>_xll.BDP("739511BY Muni","CPN")</f>
        <v>#N/A Requesting Data...</v>
      </c>
      <c r="K1941" t="str">
        <f>_xll.BDP("739511BY Muni","MATURITY")</f>
        <v>#N/A Requesting Data...</v>
      </c>
      <c r="L1941">
        <v>150000</v>
      </c>
      <c r="M1941" t="str">
        <f>_xll.BDP("739511BY Muni","YIELD_ON_ISSUE_DATE")</f>
        <v>#N/A Requesting Data...</v>
      </c>
      <c r="N1941" t="str">
        <f>_xll.BDP("739511BY Muni","YTW_SPREAD_TO_MATURITY_AT_ISSU")</f>
        <v>#N/A Requesting Data...</v>
      </c>
      <c r="O1941" t="str">
        <f>_xll.BDP("739511BY Muni","BVAL_MID_YTM")</f>
        <v>#N/A Requesting Data...</v>
      </c>
      <c r="P1941" t="str">
        <f>_xll.BDP("739511BY Muni","MUNI_TAX_PROV")</f>
        <v>#N/A Requesting Data...</v>
      </c>
      <c r="Q1941" t="str">
        <f>_xll.BDP("739511BY Muni","MUNI_FED_TAX")</f>
        <v>#N/A Requesting Data...</v>
      </c>
      <c r="R1941" t="str">
        <f>_xll.BDP("739511BY Muni","MUNI_MSRB_VOLUME")</f>
        <v>#N/A Requesting Data...</v>
      </c>
      <c r="S1941" t="str">
        <f>_xll.BDP("739511BY Muni","BB_COMPOSITE")</f>
        <v>#N/A Requesting Data...</v>
      </c>
      <c r="T1941" t="str">
        <f>_xll.BDP("739511BY Muni","LQA_LIQUIDITY_SCORE")</f>
        <v>#N/A Requesting Data...</v>
      </c>
    </row>
    <row r="1942" spans="1:20" x14ac:dyDescent="0.25">
      <c r="A1942" t="str">
        <f>_xll.BDP("739511BZ Muni","ID_CUSIP")</f>
        <v>#N/A Requesting Data...</v>
      </c>
      <c r="B1942" t="s">
        <v>464</v>
      </c>
      <c r="C1942" t="str">
        <f>_xll.BDP("739511BZ Muni","INSURANCE_STATUS")</f>
        <v>#N/A Requesting Data...</v>
      </c>
      <c r="D1942" t="str">
        <f>_xll.BDP("739511BZ Muni","STATE_CODE")</f>
        <v>#N/A Requesting Data...</v>
      </c>
      <c r="E1942" t="str">
        <f>_xll.BDP("739511BZ Muni","COUNTY_LOCATION_ISSUER")</f>
        <v>#N/A Requesting Data...</v>
      </c>
      <c r="F1942" t="str">
        <f>_xll.BDP("739511BZ Muni","DUR_ADJ_MID")</f>
        <v>#N/A Requesting Data...</v>
      </c>
      <c r="G1942" t="str">
        <f>_xll.BDP("739511BZ Muni","SPREAD_AT_ISSUANCE_TO_WORST")</f>
        <v>#N/A Requesting Data...</v>
      </c>
      <c r="H1942" t="str">
        <f>_xll.BDP("739511BZ Muni","ISSUE_DT")</f>
        <v>#N/A Requesting Data...</v>
      </c>
      <c r="I1942" t="str">
        <f>_xll.BDS("739511BZ Muni","MUNI_PURPOSE_SCHED", "aggregate=y")</f>
        <v>#N/A Requesting Data...</v>
      </c>
      <c r="J1942" t="str">
        <f>_xll.BDP("739511BZ Muni","CPN")</f>
        <v>#N/A Requesting Data...</v>
      </c>
      <c r="K1942" t="str">
        <f>_xll.BDP("739511BZ Muni","MATURITY")</f>
        <v>#N/A Requesting Data...</v>
      </c>
      <c r="L1942">
        <v>155000</v>
      </c>
      <c r="M1942" t="str">
        <f>_xll.BDP("739511BZ Muni","YIELD_ON_ISSUE_DATE")</f>
        <v>#N/A Requesting Data...</v>
      </c>
      <c r="N1942" t="str">
        <f>_xll.BDP("739511BZ Muni","YTW_SPREAD_TO_MATURITY_AT_ISSU")</f>
        <v>#N/A Requesting Data...</v>
      </c>
      <c r="O1942" t="str">
        <f>_xll.BDP("739511BZ Muni","BVAL_MID_YTM")</f>
        <v>#N/A Requesting Data...</v>
      </c>
      <c r="P1942" t="str">
        <f>_xll.BDP("739511BZ Muni","MUNI_TAX_PROV")</f>
        <v>#N/A Requesting Data...</v>
      </c>
      <c r="Q1942" t="str">
        <f>_xll.BDP("739511BZ Muni","MUNI_FED_TAX")</f>
        <v>#N/A Requesting Data...</v>
      </c>
      <c r="R1942" t="str">
        <f>_xll.BDP("739511BZ Muni","MUNI_MSRB_VOLUME")</f>
        <v>#N/A Requesting Data...</v>
      </c>
      <c r="S1942" t="str">
        <f>_xll.BDP("739511BZ Muni","BB_COMPOSITE")</f>
        <v>#N/A Requesting Data...</v>
      </c>
      <c r="T1942" t="str">
        <f>_xll.BDP("739511BZ Muni","LQA_LIQUIDITY_SCORE")</f>
        <v>#N/A Requesting Data...</v>
      </c>
    </row>
    <row r="1943" spans="1:20" x14ac:dyDescent="0.25">
      <c r="A1943" t="str">
        <f>_xll.BDP("739545MY Muni","ID_CUSIP")</f>
        <v>#N/A Requesting Data...</v>
      </c>
      <c r="B1943" t="s">
        <v>465</v>
      </c>
      <c r="C1943" t="str">
        <f>_xll.BDP("739545MY Muni","INSURANCE_STATUS")</f>
        <v>#N/A Requesting Data...</v>
      </c>
      <c r="D1943" t="str">
        <f>_xll.BDP("739545MY Muni","STATE_CODE")</f>
        <v>#N/A Requesting Data...</v>
      </c>
      <c r="E1943" t="str">
        <f>_xll.BDP("739545MY Muni","COUNTY_LOCATION_ISSUER")</f>
        <v>#N/A Requesting Data...</v>
      </c>
      <c r="F1943" t="str">
        <f>_xll.BDP("739545MY Muni","DUR_ADJ_MID")</f>
        <v>#N/A Requesting Data...</v>
      </c>
      <c r="G1943" t="str">
        <f>_xll.BDP("739545MY Muni","SPREAD_AT_ISSUANCE_TO_WORST")</f>
        <v>#N/A Requesting Data...</v>
      </c>
      <c r="H1943" t="str">
        <f>_xll.BDP("739545MY Muni","ISSUE_DT")</f>
        <v>#N/A Requesting Data...</v>
      </c>
      <c r="I1943" t="str">
        <f>_xll.BDS("739545MY Muni","MUNI_PURPOSE_SCHED", "aggregate=y")</f>
        <v>#N/A Requesting Data...</v>
      </c>
      <c r="J1943" t="str">
        <f>_xll.BDP("739545MY Muni","CPN")</f>
        <v>#N/A Requesting Data...</v>
      </c>
      <c r="K1943" t="str">
        <f>_xll.BDP("739545MY Muni","MATURITY")</f>
        <v>#N/A Requesting Data...</v>
      </c>
      <c r="L1943">
        <v>125000</v>
      </c>
      <c r="M1943" t="str">
        <f>_xll.BDP("739545MY Muni","YIELD_ON_ISSUE_DATE")</f>
        <v>#N/A Requesting Data...</v>
      </c>
      <c r="N1943" t="str">
        <f>_xll.BDP("739545MY Muni","YTW_SPREAD_TO_MATURITY_AT_ISSU")</f>
        <v>#N/A Requesting Data...</v>
      </c>
      <c r="O1943" t="str">
        <f>_xll.BDP("739545MY Muni","BVAL_MID_YTM")</f>
        <v>#N/A Requesting Data...</v>
      </c>
      <c r="P1943" t="str">
        <f>_xll.BDP("739545MY Muni","MUNI_TAX_PROV")</f>
        <v>#N/A Requesting Data...</v>
      </c>
      <c r="Q1943" t="str">
        <f>_xll.BDP("739545MY Muni","MUNI_FED_TAX")</f>
        <v>#N/A Requesting Data...</v>
      </c>
      <c r="R1943" t="str">
        <f>_xll.BDP("739545MY Muni","MUNI_MSRB_VOLUME")</f>
        <v>#N/A Requesting Data...</v>
      </c>
      <c r="S1943" t="str">
        <f>_xll.BDP("739545MY Muni","BB_COMPOSITE")</f>
        <v>#N/A Requesting Data...</v>
      </c>
      <c r="T1943" t="str">
        <f>_xll.BDP("739545MY Muni","LQA_LIQUIDITY_SCORE")</f>
        <v>#N/A Requesting Data...</v>
      </c>
    </row>
    <row r="1944" spans="1:20" x14ac:dyDescent="0.25">
      <c r="A1944" t="str">
        <f>_xll.BDP("739545MZ Muni","ID_CUSIP")</f>
        <v>#N/A Requesting Data...</v>
      </c>
      <c r="B1944" t="s">
        <v>465</v>
      </c>
      <c r="C1944" t="str">
        <f>_xll.BDP("739545MZ Muni","INSURANCE_STATUS")</f>
        <v>#N/A Requesting Data...</v>
      </c>
      <c r="D1944" t="str">
        <f>_xll.BDP("739545MZ Muni","STATE_CODE")</f>
        <v>#N/A Requesting Data...</v>
      </c>
      <c r="E1944" t="str">
        <f>_xll.BDP("739545MZ Muni","COUNTY_LOCATION_ISSUER")</f>
        <v>#N/A Requesting Data...</v>
      </c>
      <c r="F1944" t="str">
        <f>_xll.BDP("739545MZ Muni","DUR_ADJ_MID")</f>
        <v>#N/A Requesting Data...</v>
      </c>
      <c r="G1944" t="str">
        <f>_xll.BDP("739545MZ Muni","SPREAD_AT_ISSUANCE_TO_WORST")</f>
        <v>#N/A Requesting Data...</v>
      </c>
      <c r="H1944" t="str">
        <f>_xll.BDP("739545MZ Muni","ISSUE_DT")</f>
        <v>#N/A Requesting Data...</v>
      </c>
      <c r="I1944" t="str">
        <f>_xll.BDS("739545MZ Muni","MUNI_PURPOSE_SCHED", "aggregate=y")</f>
        <v>#N/A Requesting Data...</v>
      </c>
      <c r="J1944" t="str">
        <f>_xll.BDP("739545MZ Muni","CPN")</f>
        <v>#N/A Requesting Data...</v>
      </c>
      <c r="K1944" t="str">
        <f>_xll.BDP("739545MZ Muni","MATURITY")</f>
        <v>#N/A Requesting Data...</v>
      </c>
      <c r="L1944">
        <v>125000</v>
      </c>
      <c r="M1944" t="str">
        <f>_xll.BDP("739545MZ Muni","YIELD_ON_ISSUE_DATE")</f>
        <v>#N/A Requesting Data...</v>
      </c>
      <c r="N1944" t="str">
        <f>_xll.BDP("739545MZ Muni","YTW_SPREAD_TO_MATURITY_AT_ISSU")</f>
        <v>#N/A Requesting Data...</v>
      </c>
      <c r="O1944" t="str">
        <f>_xll.BDP("739545MZ Muni","BVAL_MID_YTM")</f>
        <v>#N/A Requesting Data...</v>
      </c>
      <c r="P1944" t="str">
        <f>_xll.BDP("739545MZ Muni","MUNI_TAX_PROV")</f>
        <v>#N/A Requesting Data...</v>
      </c>
      <c r="Q1944" t="str">
        <f>_xll.BDP("739545MZ Muni","MUNI_FED_TAX")</f>
        <v>#N/A Requesting Data...</v>
      </c>
      <c r="R1944" t="str">
        <f>_xll.BDP("739545MZ Muni","MUNI_MSRB_VOLUME")</f>
        <v>#N/A Requesting Data...</v>
      </c>
      <c r="S1944" t="str">
        <f>_xll.BDP("739545MZ Muni","BB_COMPOSITE")</f>
        <v>#N/A Requesting Data...</v>
      </c>
      <c r="T1944" t="str">
        <f>_xll.BDP("739545MZ Muni","LQA_LIQUIDITY_SCORE")</f>
        <v>#N/A Requesting Data...</v>
      </c>
    </row>
    <row r="1945" spans="1:20" x14ac:dyDescent="0.25">
      <c r="A1945" t="str">
        <f>_xll.BDP("739545NA Muni","ID_CUSIP")</f>
        <v>#N/A Requesting Data...</v>
      </c>
      <c r="B1945" t="s">
        <v>465</v>
      </c>
      <c r="C1945" t="str">
        <f>_xll.BDP("739545NA Muni","INSURANCE_STATUS")</f>
        <v>#N/A Requesting Data...</v>
      </c>
      <c r="D1945" t="str">
        <f>_xll.BDP("739545NA Muni","STATE_CODE")</f>
        <v>#N/A Requesting Data...</v>
      </c>
      <c r="E1945" t="str">
        <f>_xll.BDP("739545NA Muni","COUNTY_LOCATION_ISSUER")</f>
        <v>#N/A Requesting Data...</v>
      </c>
      <c r="F1945" t="str">
        <f>_xll.BDP("739545NA Muni","DUR_ADJ_MID")</f>
        <v>#N/A Requesting Data...</v>
      </c>
      <c r="G1945" t="str">
        <f>_xll.BDP("739545NA Muni","SPREAD_AT_ISSUANCE_TO_WORST")</f>
        <v>#N/A Requesting Data...</v>
      </c>
      <c r="H1945" t="str">
        <f>_xll.BDP("739545NA Muni","ISSUE_DT")</f>
        <v>#N/A Requesting Data...</v>
      </c>
      <c r="I1945" t="str">
        <f>_xll.BDS("739545NA Muni","MUNI_PURPOSE_SCHED", "aggregate=y")</f>
        <v>#N/A Requesting Data...</v>
      </c>
      <c r="J1945" t="str">
        <f>_xll.BDP("739545NA Muni","CPN")</f>
        <v>#N/A Requesting Data...</v>
      </c>
      <c r="K1945" t="str">
        <f>_xll.BDP("739545NA Muni","MATURITY")</f>
        <v>#N/A Requesting Data...</v>
      </c>
      <c r="L1945">
        <v>125000</v>
      </c>
      <c r="M1945" t="str">
        <f>_xll.BDP("739545NA Muni","YIELD_ON_ISSUE_DATE")</f>
        <v>#N/A Requesting Data...</v>
      </c>
      <c r="N1945" t="str">
        <f>_xll.BDP("739545NA Muni","YTW_SPREAD_TO_MATURITY_AT_ISSU")</f>
        <v>#N/A Requesting Data...</v>
      </c>
      <c r="O1945" t="str">
        <f>_xll.BDP("739545NA Muni","BVAL_MID_YTM")</f>
        <v>#N/A Requesting Data...</v>
      </c>
      <c r="P1945" t="str">
        <f>_xll.BDP("739545NA Muni","MUNI_TAX_PROV")</f>
        <v>#N/A Requesting Data...</v>
      </c>
      <c r="Q1945" t="str">
        <f>_xll.BDP("739545NA Muni","MUNI_FED_TAX")</f>
        <v>#N/A Requesting Data...</v>
      </c>
      <c r="R1945" t="str">
        <f>_xll.BDP("739545NA Muni","MUNI_MSRB_VOLUME")</f>
        <v>#N/A Requesting Data...</v>
      </c>
      <c r="S1945" t="str">
        <f>_xll.BDP("739545NA Muni","BB_COMPOSITE")</f>
        <v>#N/A Requesting Data...</v>
      </c>
      <c r="T1945" t="str">
        <f>_xll.BDP("739545NA Muni","LQA_LIQUIDITY_SCORE")</f>
        <v>#N/A Requesting Data...</v>
      </c>
    </row>
    <row r="1946" spans="1:20" x14ac:dyDescent="0.25">
      <c r="A1946" t="str">
        <f>_xll.BDP("739545NB Muni","ID_CUSIP")</f>
        <v>#N/A Requesting Data...</v>
      </c>
      <c r="B1946" t="s">
        <v>465</v>
      </c>
      <c r="C1946" t="str">
        <f>_xll.BDP("739545NB Muni","INSURANCE_STATUS")</f>
        <v>#N/A Requesting Data...</v>
      </c>
      <c r="D1946" t="str">
        <f>_xll.BDP("739545NB Muni","STATE_CODE")</f>
        <v>#N/A Requesting Data...</v>
      </c>
      <c r="E1946" t="str">
        <f>_xll.BDP("739545NB Muni","COUNTY_LOCATION_ISSUER")</f>
        <v>#N/A Requesting Data...</v>
      </c>
      <c r="F1946" t="str">
        <f>_xll.BDP("739545NB Muni","DUR_ADJ_MID")</f>
        <v>#N/A Requesting Data...</v>
      </c>
      <c r="G1946" t="str">
        <f>_xll.BDP("739545NB Muni","SPREAD_AT_ISSUANCE_TO_WORST")</f>
        <v>#N/A Requesting Data...</v>
      </c>
      <c r="H1946" t="str">
        <f>_xll.BDP("739545NB Muni","ISSUE_DT")</f>
        <v>#N/A Requesting Data...</v>
      </c>
      <c r="I1946" t="str">
        <f>_xll.BDS("739545NB Muni","MUNI_PURPOSE_SCHED", "aggregate=y")</f>
        <v>#N/A Requesting Data...</v>
      </c>
      <c r="J1946" t="str">
        <f>_xll.BDP("739545NB Muni","CPN")</f>
        <v>#N/A Requesting Data...</v>
      </c>
      <c r="K1946" t="str">
        <f>_xll.BDP("739545NB Muni","MATURITY")</f>
        <v>#N/A Requesting Data...</v>
      </c>
      <c r="L1946">
        <v>100000</v>
      </c>
      <c r="M1946" t="str">
        <f>_xll.BDP("739545NB Muni","YIELD_ON_ISSUE_DATE")</f>
        <v>#N/A Requesting Data...</v>
      </c>
      <c r="N1946" t="str">
        <f>_xll.BDP("739545NB Muni","YTW_SPREAD_TO_MATURITY_AT_ISSU")</f>
        <v>#N/A Requesting Data...</v>
      </c>
      <c r="O1946" t="str">
        <f>_xll.BDP("739545NB Muni","BVAL_MID_YTM")</f>
        <v>#N/A Requesting Data...</v>
      </c>
      <c r="P1946" t="str">
        <f>_xll.BDP("739545NB Muni","MUNI_TAX_PROV")</f>
        <v>#N/A Requesting Data...</v>
      </c>
      <c r="Q1946" t="str">
        <f>_xll.BDP("739545NB Muni","MUNI_FED_TAX")</f>
        <v>#N/A Requesting Data...</v>
      </c>
      <c r="R1946" t="str">
        <f>_xll.BDP("739545NB Muni","MUNI_MSRB_VOLUME")</f>
        <v>#N/A Requesting Data...</v>
      </c>
      <c r="S1946" t="str">
        <f>_xll.BDP("739545NB Muni","BB_COMPOSITE")</f>
        <v>#N/A Requesting Data...</v>
      </c>
      <c r="T1946" t="str">
        <f>_xll.BDP("739545NB Muni","LQA_LIQUIDITY_SCORE")</f>
        <v>#N/A Requesting Data...</v>
      </c>
    </row>
    <row r="1947" spans="1:20" x14ac:dyDescent="0.25">
      <c r="A1947" t="str">
        <f>_xll.BDP("727227F6 Muni","ID_CUSIP")</f>
        <v>#N/A Requesting Data...</v>
      </c>
      <c r="B1947" t="s">
        <v>466</v>
      </c>
      <c r="C1947" t="str">
        <f>_xll.BDP("727227F6 Muni","INSURANCE_STATUS")</f>
        <v>#N/A Requesting Data...</v>
      </c>
      <c r="D1947" t="str">
        <f>_xll.BDP("727227F6 Muni","STATE_CODE")</f>
        <v>#N/A Requesting Data...</v>
      </c>
      <c r="E1947" t="str">
        <f>_xll.BDP("727227F6 Muni","COUNTY_LOCATION_ISSUER")</f>
        <v>#N/A Requesting Data...</v>
      </c>
      <c r="F1947" t="str">
        <f>_xll.BDP("727227F6 Muni","DUR_ADJ_MID")</f>
        <v>#N/A Requesting Data...</v>
      </c>
      <c r="G1947" t="str">
        <f>_xll.BDP("727227F6 Muni","SPREAD_AT_ISSUANCE_TO_WORST")</f>
        <v>#N/A Requesting Data...</v>
      </c>
      <c r="H1947" t="str">
        <f>_xll.BDP("727227F6 Muni","ISSUE_DT")</f>
        <v>#N/A Requesting Data...</v>
      </c>
      <c r="I1947" t="str">
        <f>_xll.BDS("727227F6 Muni","MUNI_PURPOSE_SCHED", "aggregate=y")</f>
        <v>#N/A Requesting Data...</v>
      </c>
      <c r="J1947" t="str">
        <f>_xll.BDP("727227F6 Muni","CPN")</f>
        <v>#N/A Requesting Data...</v>
      </c>
      <c r="K1947" t="str">
        <f>_xll.BDP("727227F6 Muni","MATURITY")</f>
        <v>#N/A Requesting Data...</v>
      </c>
      <c r="L1947">
        <v>1090000</v>
      </c>
      <c r="M1947" t="str">
        <f>_xll.BDP("727227F6 Muni","YIELD_ON_ISSUE_DATE")</f>
        <v>#N/A Requesting Data...</v>
      </c>
      <c r="N1947" t="str">
        <f>_xll.BDP("727227F6 Muni","YTW_SPREAD_TO_MATURITY_AT_ISSU")</f>
        <v>#N/A Requesting Data...</v>
      </c>
      <c r="O1947" t="str">
        <f>_xll.BDP("727227F6 Muni","BVAL_MID_YTM")</f>
        <v>#N/A Requesting Data...</v>
      </c>
      <c r="P1947" t="str">
        <f>_xll.BDP("727227F6 Muni","MUNI_TAX_PROV")</f>
        <v>#N/A Requesting Data...</v>
      </c>
      <c r="Q1947" t="str">
        <f>_xll.BDP("727227F6 Muni","MUNI_FED_TAX")</f>
        <v>#N/A Requesting Data...</v>
      </c>
      <c r="R1947" t="str">
        <f>_xll.BDP("727227F6 Muni","MUNI_MSRB_VOLUME")</f>
        <v>#N/A Requesting Data...</v>
      </c>
      <c r="S1947" t="str">
        <f>_xll.BDP("727227F6 Muni","BB_COMPOSITE")</f>
        <v>#N/A Requesting Data...</v>
      </c>
      <c r="T1947" t="str">
        <f>_xll.BDP("727227F6 Muni","LQA_LIQUIDITY_SCORE")</f>
        <v>#N/A Requesting Data...</v>
      </c>
    </row>
    <row r="1948" spans="1:20" x14ac:dyDescent="0.25">
      <c r="A1948" t="str">
        <f>_xll.BDP("727227F7 Muni","ID_CUSIP")</f>
        <v>#N/A Requesting Data...</v>
      </c>
      <c r="B1948" t="s">
        <v>466</v>
      </c>
      <c r="C1948" t="str">
        <f>_xll.BDP("727227F7 Muni","INSURANCE_STATUS")</f>
        <v>#N/A Requesting Data...</v>
      </c>
      <c r="D1948" t="str">
        <f>_xll.BDP("727227F7 Muni","STATE_CODE")</f>
        <v>#N/A Requesting Data...</v>
      </c>
      <c r="E1948" t="str">
        <f>_xll.BDP("727227F7 Muni","COUNTY_LOCATION_ISSUER")</f>
        <v>#N/A Requesting Data...</v>
      </c>
      <c r="F1948" t="str">
        <f>_xll.BDP("727227F7 Muni","DUR_ADJ_MID")</f>
        <v>#N/A Requesting Data...</v>
      </c>
      <c r="G1948" t="str">
        <f>_xll.BDP("727227F7 Muni","SPREAD_AT_ISSUANCE_TO_WORST")</f>
        <v>#N/A Requesting Data...</v>
      </c>
      <c r="H1948" t="str">
        <f>_xll.BDP("727227F7 Muni","ISSUE_DT")</f>
        <v>#N/A Requesting Data...</v>
      </c>
      <c r="I1948" t="str">
        <f>_xll.BDS("727227F7 Muni","MUNI_PURPOSE_SCHED", "aggregate=y")</f>
        <v>#N/A Requesting Data...</v>
      </c>
      <c r="J1948" t="str">
        <f>_xll.BDP("727227F7 Muni","CPN")</f>
        <v>#N/A Requesting Data...</v>
      </c>
      <c r="K1948" t="str">
        <f>_xll.BDP("727227F7 Muni","MATURITY")</f>
        <v>#N/A Requesting Data...</v>
      </c>
      <c r="L1948">
        <v>1145000</v>
      </c>
      <c r="M1948" t="str">
        <f>_xll.BDP("727227F7 Muni","YIELD_ON_ISSUE_DATE")</f>
        <v>#N/A Requesting Data...</v>
      </c>
      <c r="N1948" t="str">
        <f>_xll.BDP("727227F7 Muni","YTW_SPREAD_TO_MATURITY_AT_ISSU")</f>
        <v>#N/A Requesting Data...</v>
      </c>
      <c r="O1948" t="str">
        <f>_xll.BDP("727227F7 Muni","BVAL_MID_YTM")</f>
        <v>#N/A Requesting Data...</v>
      </c>
      <c r="P1948" t="str">
        <f>_xll.BDP("727227F7 Muni","MUNI_TAX_PROV")</f>
        <v>#N/A Requesting Data...</v>
      </c>
      <c r="Q1948" t="str">
        <f>_xll.BDP("727227F7 Muni","MUNI_FED_TAX")</f>
        <v>#N/A Requesting Data...</v>
      </c>
      <c r="R1948" t="str">
        <f>_xll.BDP("727227F7 Muni","MUNI_MSRB_VOLUME")</f>
        <v>#N/A Requesting Data...</v>
      </c>
      <c r="S1948" t="str">
        <f>_xll.BDP("727227F7 Muni","BB_COMPOSITE")</f>
        <v>#N/A Requesting Data...</v>
      </c>
      <c r="T1948" t="str">
        <f>_xll.BDP("727227F7 Muni","LQA_LIQUIDITY_SCORE")</f>
        <v>#N/A Requesting Data...</v>
      </c>
    </row>
    <row r="1949" spans="1:20" x14ac:dyDescent="0.25">
      <c r="A1949" t="str">
        <f>_xll.BDP("727227F8 Muni","ID_CUSIP")</f>
        <v>#N/A Requesting Data...</v>
      </c>
      <c r="B1949" t="s">
        <v>466</v>
      </c>
      <c r="C1949" t="str">
        <f>_xll.BDP("727227F8 Muni","INSURANCE_STATUS")</f>
        <v>#N/A Requesting Data...</v>
      </c>
      <c r="D1949" t="str">
        <f>_xll.BDP("727227F8 Muni","STATE_CODE")</f>
        <v>#N/A Requesting Data...</v>
      </c>
      <c r="E1949" t="str">
        <f>_xll.BDP("727227F8 Muni","COUNTY_LOCATION_ISSUER")</f>
        <v>#N/A Requesting Data...</v>
      </c>
      <c r="F1949" t="str">
        <f>_xll.BDP("727227F8 Muni","DUR_ADJ_MID")</f>
        <v>#N/A Requesting Data...</v>
      </c>
      <c r="G1949" t="str">
        <f>_xll.BDP("727227F8 Muni","SPREAD_AT_ISSUANCE_TO_WORST")</f>
        <v>#N/A Requesting Data...</v>
      </c>
      <c r="H1949" t="str">
        <f>_xll.BDP("727227F8 Muni","ISSUE_DT")</f>
        <v>#N/A Requesting Data...</v>
      </c>
      <c r="I1949" t="str">
        <f>_xll.BDS("727227F8 Muni","MUNI_PURPOSE_SCHED", "aggregate=y")</f>
        <v>#N/A Requesting Data...</v>
      </c>
      <c r="J1949" t="str">
        <f>_xll.BDP("727227F8 Muni","CPN")</f>
        <v>#N/A Requesting Data...</v>
      </c>
      <c r="K1949" t="str">
        <f>_xll.BDP("727227F8 Muni","MATURITY")</f>
        <v>#N/A Requesting Data...</v>
      </c>
      <c r="L1949">
        <v>1205000</v>
      </c>
      <c r="M1949" t="str">
        <f>_xll.BDP("727227F8 Muni","YIELD_ON_ISSUE_DATE")</f>
        <v>#N/A Requesting Data...</v>
      </c>
      <c r="N1949" t="str">
        <f>_xll.BDP("727227F8 Muni","YTW_SPREAD_TO_MATURITY_AT_ISSU")</f>
        <v>#N/A Requesting Data...</v>
      </c>
      <c r="O1949" t="str">
        <f>_xll.BDP("727227F8 Muni","BVAL_MID_YTM")</f>
        <v>#N/A Requesting Data...</v>
      </c>
      <c r="P1949" t="str">
        <f>_xll.BDP("727227F8 Muni","MUNI_TAX_PROV")</f>
        <v>#N/A Requesting Data...</v>
      </c>
      <c r="Q1949" t="str">
        <f>_xll.BDP("727227F8 Muni","MUNI_FED_TAX")</f>
        <v>#N/A Requesting Data...</v>
      </c>
      <c r="R1949" t="str">
        <f>_xll.BDP("727227F8 Muni","MUNI_MSRB_VOLUME")</f>
        <v>#N/A Requesting Data...</v>
      </c>
      <c r="S1949" t="str">
        <f>_xll.BDP("727227F8 Muni","BB_COMPOSITE")</f>
        <v>#N/A Requesting Data...</v>
      </c>
      <c r="T1949" t="str">
        <f>_xll.BDP("727227F8 Muni","LQA_LIQUIDITY_SCORE")</f>
        <v>#N/A Requesting Data...</v>
      </c>
    </row>
    <row r="1950" spans="1:20" x14ac:dyDescent="0.25">
      <c r="A1950" t="str">
        <f>_xll.BDP("727227F9 Muni","ID_CUSIP")</f>
        <v>#N/A Requesting Data...</v>
      </c>
      <c r="B1950" t="s">
        <v>466</v>
      </c>
      <c r="C1950" t="str">
        <f>_xll.BDP("727227F9 Muni","INSURANCE_STATUS")</f>
        <v>#N/A Requesting Data...</v>
      </c>
      <c r="D1950" t="str">
        <f>_xll.BDP("727227F9 Muni","STATE_CODE")</f>
        <v>#N/A Requesting Data...</v>
      </c>
      <c r="E1950" t="str">
        <f>_xll.BDP("727227F9 Muni","COUNTY_LOCATION_ISSUER")</f>
        <v>#N/A Requesting Data...</v>
      </c>
      <c r="F1950" t="str">
        <f>_xll.BDP("727227F9 Muni","DUR_ADJ_MID")</f>
        <v>#N/A Requesting Data...</v>
      </c>
      <c r="G1950" t="str">
        <f>_xll.BDP("727227F9 Muni","SPREAD_AT_ISSUANCE_TO_WORST")</f>
        <v>#N/A Requesting Data...</v>
      </c>
      <c r="H1950" t="str">
        <f>_xll.BDP("727227F9 Muni","ISSUE_DT")</f>
        <v>#N/A Requesting Data...</v>
      </c>
      <c r="I1950" t="str">
        <f>_xll.BDS("727227F9 Muni","MUNI_PURPOSE_SCHED", "aggregate=y")</f>
        <v>#N/A Requesting Data...</v>
      </c>
      <c r="J1950" t="str">
        <f>_xll.BDP("727227F9 Muni","CPN")</f>
        <v>#N/A Requesting Data...</v>
      </c>
      <c r="K1950" t="str">
        <f>_xll.BDP("727227F9 Muni","MATURITY")</f>
        <v>#N/A Requesting Data...</v>
      </c>
      <c r="L1950">
        <v>1265000</v>
      </c>
      <c r="M1950" t="str">
        <f>_xll.BDP("727227F9 Muni","YIELD_ON_ISSUE_DATE")</f>
        <v>#N/A Requesting Data...</v>
      </c>
      <c r="N1950" t="str">
        <f>_xll.BDP("727227F9 Muni","YTW_SPREAD_TO_MATURITY_AT_ISSU")</f>
        <v>#N/A Requesting Data...</v>
      </c>
      <c r="O1950" t="str">
        <f>_xll.BDP("727227F9 Muni","BVAL_MID_YTM")</f>
        <v>#N/A Requesting Data...</v>
      </c>
      <c r="P1950" t="str">
        <f>_xll.BDP("727227F9 Muni","MUNI_TAX_PROV")</f>
        <v>#N/A Requesting Data...</v>
      </c>
      <c r="Q1950" t="str">
        <f>_xll.BDP("727227F9 Muni","MUNI_FED_TAX")</f>
        <v>#N/A Requesting Data...</v>
      </c>
      <c r="R1950" t="str">
        <f>_xll.BDP("727227F9 Muni","MUNI_MSRB_VOLUME")</f>
        <v>#N/A Requesting Data...</v>
      </c>
      <c r="S1950" t="str">
        <f>_xll.BDP("727227F9 Muni","BB_COMPOSITE")</f>
        <v>#N/A Requesting Data...</v>
      </c>
      <c r="T1950" t="str">
        <f>_xll.BDP("727227F9 Muni","LQA_LIQUIDITY_SCORE")</f>
        <v>#N/A Requesting Data...</v>
      </c>
    </row>
    <row r="1951" spans="1:20" x14ac:dyDescent="0.25">
      <c r="A1951" t="str">
        <f>_xll.BDP("75211RJV Muni","ID_CUSIP")</f>
        <v>#N/A Requesting Data...</v>
      </c>
      <c r="B1951" t="s">
        <v>467</v>
      </c>
      <c r="C1951" t="str">
        <f>_xll.BDP("75211RJV Muni","INSURANCE_STATUS")</f>
        <v>#N/A Requesting Data...</v>
      </c>
      <c r="D1951" t="str">
        <f>_xll.BDP("75211RJV Muni","STATE_CODE")</f>
        <v>#N/A Requesting Data...</v>
      </c>
      <c r="E1951" t="str">
        <f>_xll.BDP("75211RJV Muni","COUNTY_LOCATION_ISSUER")</f>
        <v>#N/A Requesting Data...</v>
      </c>
      <c r="F1951" t="str">
        <f>_xll.BDP("75211RJV Muni","DUR_ADJ_MID")</f>
        <v>#N/A Requesting Data...</v>
      </c>
      <c r="G1951" t="str">
        <f>_xll.BDP("75211RJV Muni","SPREAD_AT_ISSUANCE_TO_WORST")</f>
        <v>#N/A Requesting Data...</v>
      </c>
      <c r="H1951" t="str">
        <f>_xll.BDP("75211RJV Muni","ISSUE_DT")</f>
        <v>#N/A Requesting Data...</v>
      </c>
      <c r="I1951" t="str">
        <f>_xll.BDS("75211RJV Muni","MUNI_PURPOSE_SCHED", "aggregate=y")</f>
        <v>#N/A Requesting Data...</v>
      </c>
      <c r="J1951" t="str">
        <f>_xll.BDP("75211RJV Muni","CPN")</f>
        <v>#N/A Requesting Data...</v>
      </c>
      <c r="K1951" t="str">
        <f>_xll.BDP("75211RJV Muni","MATURITY")</f>
        <v>#N/A Requesting Data...</v>
      </c>
      <c r="L1951">
        <v>100000</v>
      </c>
      <c r="M1951" t="str">
        <f>_xll.BDP("75211RJV Muni","YIELD_ON_ISSUE_DATE")</f>
        <v>#N/A Requesting Data...</v>
      </c>
      <c r="N1951" t="str">
        <f>_xll.BDP("75211RJV Muni","YTW_SPREAD_TO_MATURITY_AT_ISSU")</f>
        <v>#N/A Requesting Data...</v>
      </c>
      <c r="O1951" t="str">
        <f>_xll.BDP("75211RJV Muni","BVAL_MID_YTM")</f>
        <v>#N/A Requesting Data...</v>
      </c>
      <c r="P1951" t="str">
        <f>_xll.BDP("75211RJV Muni","MUNI_TAX_PROV")</f>
        <v>#N/A Requesting Data...</v>
      </c>
      <c r="Q1951" t="str">
        <f>_xll.BDP("75211RJV Muni","MUNI_FED_TAX")</f>
        <v>#N/A Requesting Data...</v>
      </c>
      <c r="R1951" t="str">
        <f>_xll.BDP("75211RJV Muni","MUNI_MSRB_VOLUME")</f>
        <v>#N/A Requesting Data...</v>
      </c>
      <c r="S1951" t="str">
        <f>_xll.BDP("75211RJV Muni","BB_COMPOSITE")</f>
        <v>#N/A Requesting Data...</v>
      </c>
      <c r="T1951" t="str">
        <f>_xll.BDP("75211RJV Muni","LQA_LIQUIDITY_SCORE")</f>
        <v>#N/A Requesting Data...</v>
      </c>
    </row>
    <row r="1952" spans="1:20" x14ac:dyDescent="0.25">
      <c r="A1952" t="str">
        <f>_xll.BDP("752737JT Muni","ID_CUSIP")</f>
        <v>#N/A Requesting Data...</v>
      </c>
      <c r="B1952" t="s">
        <v>468</v>
      </c>
      <c r="C1952" t="str">
        <f>_xll.BDP("752737JT Muni","INSURANCE_STATUS")</f>
        <v>#N/A Requesting Data...</v>
      </c>
      <c r="D1952" t="str">
        <f>_xll.BDP("752737JT Muni","STATE_CODE")</f>
        <v>#N/A Requesting Data...</v>
      </c>
      <c r="E1952" t="str">
        <f>_xll.BDP("752737JT Muni","COUNTY_LOCATION_ISSUER")</f>
        <v>#N/A Requesting Data...</v>
      </c>
      <c r="F1952" t="str">
        <f>_xll.BDP("752737JT Muni","DUR_ADJ_MID")</f>
        <v>#N/A Requesting Data...</v>
      </c>
      <c r="G1952" t="str">
        <f>_xll.BDP("752737JT Muni","SPREAD_AT_ISSUANCE_TO_WORST")</f>
        <v>#N/A Requesting Data...</v>
      </c>
      <c r="H1952" t="str">
        <f>_xll.BDP("752737JT Muni","ISSUE_DT")</f>
        <v>#N/A Requesting Data...</v>
      </c>
      <c r="I1952" t="str">
        <f>_xll.BDS("752737JT Muni","MUNI_PURPOSE_SCHED", "aggregate=y")</f>
        <v>#N/A Requesting Data...</v>
      </c>
      <c r="J1952" t="str">
        <f>_xll.BDP("752737JT Muni","CPN")</f>
        <v>#N/A Requesting Data...</v>
      </c>
      <c r="K1952" t="str">
        <f>_xll.BDP("752737JT Muni","MATURITY")</f>
        <v>#N/A Requesting Data...</v>
      </c>
      <c r="L1952">
        <v>580000</v>
      </c>
      <c r="M1952" t="str">
        <f>_xll.BDP("752737JT Muni","YIELD_ON_ISSUE_DATE")</f>
        <v>#N/A Requesting Data...</v>
      </c>
      <c r="N1952" t="str">
        <f>_xll.BDP("752737JT Muni","YTW_SPREAD_TO_MATURITY_AT_ISSU")</f>
        <v>#N/A Requesting Data...</v>
      </c>
      <c r="O1952" t="str">
        <f>_xll.BDP("752737JT Muni","BVAL_MID_YTM")</f>
        <v>#N/A Requesting Data...</v>
      </c>
      <c r="P1952" t="str">
        <f>_xll.BDP("752737JT Muni","MUNI_TAX_PROV")</f>
        <v>#N/A Requesting Data...</v>
      </c>
      <c r="Q1952" t="str">
        <f>_xll.BDP("752737JT Muni","MUNI_FED_TAX")</f>
        <v>#N/A Requesting Data...</v>
      </c>
      <c r="R1952" t="str">
        <f>_xll.BDP("752737JT Muni","MUNI_MSRB_VOLUME")</f>
        <v>#N/A Requesting Data...</v>
      </c>
      <c r="S1952" t="str">
        <f>_xll.BDP("752737JT Muni","BB_COMPOSITE")</f>
        <v>#N/A Requesting Data...</v>
      </c>
      <c r="T1952" t="str">
        <f>_xll.BDP("752737JT Muni","LQA_LIQUIDITY_SCORE")</f>
        <v>#N/A Requesting Data...</v>
      </c>
    </row>
    <row r="1953" spans="1:20" x14ac:dyDescent="0.25">
      <c r="A1953" t="str">
        <f>_xll.BDP("752737JV Muni","ID_CUSIP")</f>
        <v>#N/A Requesting Data...</v>
      </c>
      <c r="B1953" t="s">
        <v>468</v>
      </c>
      <c r="C1953" t="str">
        <f>_xll.BDP("752737JV Muni","INSURANCE_STATUS")</f>
        <v>#N/A Requesting Data...</v>
      </c>
      <c r="D1953" t="str">
        <f>_xll.BDP("752737JV Muni","STATE_CODE")</f>
        <v>#N/A Requesting Data...</v>
      </c>
      <c r="E1953" t="str">
        <f>_xll.BDP("752737JV Muni","COUNTY_LOCATION_ISSUER")</f>
        <v>#N/A Requesting Data...</v>
      </c>
      <c r="F1953" t="str">
        <f>_xll.BDP("752737JV Muni","DUR_ADJ_MID")</f>
        <v>#N/A Requesting Data...</v>
      </c>
      <c r="G1953" t="str">
        <f>_xll.BDP("752737JV Muni","SPREAD_AT_ISSUANCE_TO_WORST")</f>
        <v>#N/A Requesting Data...</v>
      </c>
      <c r="H1953" t="str">
        <f>_xll.BDP("752737JV Muni","ISSUE_DT")</f>
        <v>#N/A Requesting Data...</v>
      </c>
      <c r="I1953" t="str">
        <f>_xll.BDS("752737JV Muni","MUNI_PURPOSE_SCHED", "aggregate=y")</f>
        <v>#N/A Requesting Data...</v>
      </c>
      <c r="J1953" t="str">
        <f>_xll.BDP("752737JV Muni","CPN")</f>
        <v>#N/A Requesting Data...</v>
      </c>
      <c r="K1953" t="str">
        <f>_xll.BDP("752737JV Muni","MATURITY")</f>
        <v>#N/A Requesting Data...</v>
      </c>
      <c r="L1953">
        <v>600000</v>
      </c>
      <c r="M1953" t="str">
        <f>_xll.BDP("752737JV Muni","YIELD_ON_ISSUE_DATE")</f>
        <v>#N/A Requesting Data...</v>
      </c>
      <c r="N1953" t="str">
        <f>_xll.BDP("752737JV Muni","YTW_SPREAD_TO_MATURITY_AT_ISSU")</f>
        <v>#N/A Requesting Data...</v>
      </c>
      <c r="O1953" t="str">
        <f>_xll.BDP("752737JV Muni","BVAL_MID_YTM")</f>
        <v>#N/A Requesting Data...</v>
      </c>
      <c r="P1953" t="str">
        <f>_xll.BDP("752737JV Muni","MUNI_TAX_PROV")</f>
        <v>#N/A Requesting Data...</v>
      </c>
      <c r="Q1953" t="str">
        <f>_xll.BDP("752737JV Muni","MUNI_FED_TAX")</f>
        <v>#N/A Requesting Data...</v>
      </c>
      <c r="R1953" t="str">
        <f>_xll.BDP("752737JV Muni","MUNI_MSRB_VOLUME")</f>
        <v>#N/A Requesting Data...</v>
      </c>
      <c r="S1953" t="str">
        <f>_xll.BDP("752737JV Muni","BB_COMPOSITE")</f>
        <v>#N/A Requesting Data...</v>
      </c>
      <c r="T1953" t="str">
        <f>_xll.BDP("752737JV Muni","LQA_LIQUIDITY_SCORE")</f>
        <v>#N/A Requesting Data...</v>
      </c>
    </row>
    <row r="1954" spans="1:20" x14ac:dyDescent="0.25">
      <c r="A1954" t="str">
        <f>_xll.BDP("740053GT Muni","ID_CUSIP")</f>
        <v>#N/A Requesting Data...</v>
      </c>
      <c r="B1954" t="s">
        <v>469</v>
      </c>
      <c r="C1954" t="str">
        <f>_xll.BDP("740053GT Muni","INSURANCE_STATUS")</f>
        <v>#N/A Requesting Data...</v>
      </c>
      <c r="D1954" t="str">
        <f>_xll.BDP("740053GT Muni","STATE_CODE")</f>
        <v>#N/A Requesting Data...</v>
      </c>
      <c r="E1954" t="str">
        <f>_xll.BDP("740053GT Muni","COUNTY_LOCATION_ISSUER")</f>
        <v>#N/A Requesting Data...</v>
      </c>
      <c r="F1954" t="str">
        <f>_xll.BDP("740053GT Muni","DUR_ADJ_MID")</f>
        <v>#N/A Requesting Data...</v>
      </c>
      <c r="G1954" t="str">
        <f>_xll.BDP("740053GT Muni","SPREAD_AT_ISSUANCE_TO_WORST")</f>
        <v>#N/A Requesting Data...</v>
      </c>
      <c r="H1954" t="str">
        <f>_xll.BDP("740053GT Muni","ISSUE_DT")</f>
        <v>#N/A Requesting Data...</v>
      </c>
      <c r="I1954" t="str">
        <f>_xll.BDS("740053GT Muni","MUNI_PURPOSE_SCHED", "aggregate=y")</f>
        <v>#N/A Requesting Data...</v>
      </c>
      <c r="J1954" t="str">
        <f>_xll.BDP("740053GT Muni","CPN")</f>
        <v>#N/A Requesting Data...</v>
      </c>
      <c r="K1954" t="str">
        <f>_xll.BDP("740053GT Muni","MATURITY")</f>
        <v>#N/A Requesting Data...</v>
      </c>
      <c r="L1954">
        <v>120000</v>
      </c>
      <c r="M1954" t="str">
        <f>_xll.BDP("740053GT Muni","YIELD_ON_ISSUE_DATE")</f>
        <v>#N/A Requesting Data...</v>
      </c>
      <c r="N1954" t="str">
        <f>_xll.BDP("740053GT Muni","YTW_SPREAD_TO_MATURITY_AT_ISSU")</f>
        <v>#N/A Requesting Data...</v>
      </c>
      <c r="O1954" t="str">
        <f>_xll.BDP("740053GT Muni","BVAL_MID_YTM")</f>
        <v>#N/A Requesting Data...</v>
      </c>
      <c r="P1954" t="str">
        <f>_xll.BDP("740053GT Muni","MUNI_TAX_PROV")</f>
        <v>#N/A Requesting Data...</v>
      </c>
      <c r="Q1954" t="str">
        <f>_xll.BDP("740053GT Muni","MUNI_FED_TAX")</f>
        <v>#N/A Requesting Data...</v>
      </c>
      <c r="R1954" t="str">
        <f>_xll.BDP("740053GT Muni","MUNI_MSRB_VOLUME")</f>
        <v>#N/A Requesting Data...</v>
      </c>
      <c r="S1954" t="str">
        <f>_xll.BDP("740053GT Muni","BB_COMPOSITE")</f>
        <v>#N/A Requesting Data...</v>
      </c>
      <c r="T1954" t="str">
        <f>_xll.BDP("740053GT Muni","LQA_LIQUIDITY_SCORE")</f>
        <v>#N/A Requesting Data...</v>
      </c>
    </row>
    <row r="1955" spans="1:20" x14ac:dyDescent="0.25">
      <c r="A1955" t="str">
        <f>_xll.BDP("740053GU Muni","ID_CUSIP")</f>
        <v>#N/A Requesting Data...</v>
      </c>
      <c r="B1955" t="s">
        <v>469</v>
      </c>
      <c r="C1955" t="str">
        <f>_xll.BDP("740053GU Muni","INSURANCE_STATUS")</f>
        <v>#N/A Requesting Data...</v>
      </c>
      <c r="D1955" t="str">
        <f>_xll.BDP("740053GU Muni","STATE_CODE")</f>
        <v>#N/A Requesting Data...</v>
      </c>
      <c r="E1955" t="str">
        <f>_xll.BDP("740053GU Muni","COUNTY_LOCATION_ISSUER")</f>
        <v>#N/A Requesting Data...</v>
      </c>
      <c r="F1955" t="str">
        <f>_xll.BDP("740053GU Muni","DUR_ADJ_MID")</f>
        <v>#N/A Requesting Data...</v>
      </c>
      <c r="G1955" t="str">
        <f>_xll.BDP("740053GU Muni","SPREAD_AT_ISSUANCE_TO_WORST")</f>
        <v>#N/A Requesting Data...</v>
      </c>
      <c r="H1955" t="str">
        <f>_xll.BDP("740053GU Muni","ISSUE_DT")</f>
        <v>#N/A Requesting Data...</v>
      </c>
      <c r="I1955" t="str">
        <f>_xll.BDS("740053GU Muni","MUNI_PURPOSE_SCHED", "aggregate=y")</f>
        <v>#N/A Requesting Data...</v>
      </c>
      <c r="J1955" t="str">
        <f>_xll.BDP("740053GU Muni","CPN")</f>
        <v>#N/A Requesting Data...</v>
      </c>
      <c r="K1955" t="str">
        <f>_xll.BDP("740053GU Muni","MATURITY")</f>
        <v>#N/A Requesting Data...</v>
      </c>
      <c r="L1955">
        <v>125000</v>
      </c>
      <c r="M1955" t="str">
        <f>_xll.BDP("740053GU Muni","YIELD_ON_ISSUE_DATE")</f>
        <v>#N/A Requesting Data...</v>
      </c>
      <c r="N1955" t="str">
        <f>_xll.BDP("740053GU Muni","YTW_SPREAD_TO_MATURITY_AT_ISSU")</f>
        <v>#N/A Requesting Data...</v>
      </c>
      <c r="O1955" t="str">
        <f>_xll.BDP("740053GU Muni","BVAL_MID_YTM")</f>
        <v>#N/A Requesting Data...</v>
      </c>
      <c r="P1955" t="str">
        <f>_xll.BDP("740053GU Muni","MUNI_TAX_PROV")</f>
        <v>#N/A Requesting Data...</v>
      </c>
      <c r="Q1955" t="str">
        <f>_xll.BDP("740053GU Muni","MUNI_FED_TAX")</f>
        <v>#N/A Requesting Data...</v>
      </c>
      <c r="R1955" t="str">
        <f>_xll.BDP("740053GU Muni","MUNI_MSRB_VOLUME")</f>
        <v>#N/A Requesting Data...</v>
      </c>
      <c r="S1955" t="str">
        <f>_xll.BDP("740053GU Muni","BB_COMPOSITE")</f>
        <v>#N/A Requesting Data...</v>
      </c>
      <c r="T1955" t="str">
        <f>_xll.BDP("740053GU Muni","LQA_LIQUIDITY_SCORE")</f>
        <v>#N/A Requesting Data...</v>
      </c>
    </row>
    <row r="1956" spans="1:20" x14ac:dyDescent="0.25">
      <c r="A1956" t="str">
        <f>_xll.BDP("740053GV Muni","ID_CUSIP")</f>
        <v>#N/A Requesting Data...</v>
      </c>
      <c r="B1956" t="s">
        <v>469</v>
      </c>
      <c r="C1956" t="str">
        <f>_xll.BDP("740053GV Muni","INSURANCE_STATUS")</f>
        <v>#N/A Requesting Data...</v>
      </c>
      <c r="D1956" t="str">
        <f>_xll.BDP("740053GV Muni","STATE_CODE")</f>
        <v>#N/A Requesting Data...</v>
      </c>
      <c r="E1956" t="str">
        <f>_xll.BDP("740053GV Muni","COUNTY_LOCATION_ISSUER")</f>
        <v>#N/A Requesting Data...</v>
      </c>
      <c r="F1956" t="str">
        <f>_xll.BDP("740053GV Muni","DUR_ADJ_MID")</f>
        <v>#N/A Requesting Data...</v>
      </c>
      <c r="G1956" t="str">
        <f>_xll.BDP("740053GV Muni","SPREAD_AT_ISSUANCE_TO_WORST")</f>
        <v>#N/A Requesting Data...</v>
      </c>
      <c r="H1956" t="str">
        <f>_xll.BDP("740053GV Muni","ISSUE_DT")</f>
        <v>#N/A Requesting Data...</v>
      </c>
      <c r="I1956" t="str">
        <f>_xll.BDS("740053GV Muni","MUNI_PURPOSE_SCHED", "aggregate=y")</f>
        <v>#N/A Requesting Data...</v>
      </c>
      <c r="J1956" t="str">
        <f>_xll.BDP("740053GV Muni","CPN")</f>
        <v>#N/A Requesting Data...</v>
      </c>
      <c r="K1956" t="str">
        <f>_xll.BDP("740053GV Muni","MATURITY")</f>
        <v>#N/A Requesting Data...</v>
      </c>
      <c r="L1956">
        <v>130000</v>
      </c>
      <c r="M1956" t="str">
        <f>_xll.BDP("740053GV Muni","YIELD_ON_ISSUE_DATE")</f>
        <v>#N/A Requesting Data...</v>
      </c>
      <c r="N1956" t="str">
        <f>_xll.BDP("740053GV Muni","YTW_SPREAD_TO_MATURITY_AT_ISSU")</f>
        <v>#N/A Requesting Data...</v>
      </c>
      <c r="O1956" t="str">
        <f>_xll.BDP("740053GV Muni","BVAL_MID_YTM")</f>
        <v>#N/A Requesting Data...</v>
      </c>
      <c r="P1956" t="str">
        <f>_xll.BDP("740053GV Muni","MUNI_TAX_PROV")</f>
        <v>#N/A Requesting Data...</v>
      </c>
      <c r="Q1956" t="str">
        <f>_xll.BDP("740053GV Muni","MUNI_FED_TAX")</f>
        <v>#N/A Requesting Data...</v>
      </c>
      <c r="R1956" t="str">
        <f>_xll.BDP("740053GV Muni","MUNI_MSRB_VOLUME")</f>
        <v>#N/A Requesting Data...</v>
      </c>
      <c r="S1956" t="str">
        <f>_xll.BDP("740053GV Muni","BB_COMPOSITE")</f>
        <v>#N/A Requesting Data...</v>
      </c>
      <c r="T1956" t="str">
        <f>_xll.BDP("740053GV Muni","LQA_LIQUIDITY_SCORE")</f>
        <v>#N/A Requesting Data...</v>
      </c>
    </row>
    <row r="1957" spans="1:20" x14ac:dyDescent="0.25">
      <c r="A1957" t="str">
        <f>_xll.BDP("740053GW Muni","ID_CUSIP")</f>
        <v>#N/A Requesting Data...</v>
      </c>
      <c r="B1957" t="s">
        <v>469</v>
      </c>
      <c r="C1957" t="str">
        <f>_xll.BDP("740053GW Muni","INSURANCE_STATUS")</f>
        <v>#N/A Requesting Data...</v>
      </c>
      <c r="D1957" t="str">
        <f>_xll.BDP("740053GW Muni","STATE_CODE")</f>
        <v>#N/A Requesting Data...</v>
      </c>
      <c r="E1957" t="str">
        <f>_xll.BDP("740053GW Muni","COUNTY_LOCATION_ISSUER")</f>
        <v>#N/A Requesting Data...</v>
      </c>
      <c r="F1957" t="str">
        <f>_xll.BDP("740053GW Muni","DUR_ADJ_MID")</f>
        <v>#N/A Requesting Data...</v>
      </c>
      <c r="G1957" t="str">
        <f>_xll.BDP("740053GW Muni","SPREAD_AT_ISSUANCE_TO_WORST")</f>
        <v>#N/A Requesting Data...</v>
      </c>
      <c r="H1957" t="str">
        <f>_xll.BDP("740053GW Muni","ISSUE_DT")</f>
        <v>#N/A Requesting Data...</v>
      </c>
      <c r="I1957" t="str">
        <f>_xll.BDS("740053GW Muni","MUNI_PURPOSE_SCHED", "aggregate=y")</f>
        <v>#N/A Requesting Data...</v>
      </c>
      <c r="J1957" t="str">
        <f>_xll.BDP("740053GW Muni","CPN")</f>
        <v>#N/A Requesting Data...</v>
      </c>
      <c r="K1957" t="str">
        <f>_xll.BDP("740053GW Muni","MATURITY")</f>
        <v>#N/A Requesting Data...</v>
      </c>
      <c r="L1957">
        <v>135000</v>
      </c>
      <c r="M1957" t="str">
        <f>_xll.BDP("740053GW Muni","YIELD_ON_ISSUE_DATE")</f>
        <v>#N/A Requesting Data...</v>
      </c>
      <c r="N1957" t="str">
        <f>_xll.BDP("740053GW Muni","YTW_SPREAD_TO_MATURITY_AT_ISSU")</f>
        <v>#N/A Requesting Data...</v>
      </c>
      <c r="O1957" t="str">
        <f>_xll.BDP("740053GW Muni","BVAL_MID_YTM")</f>
        <v>#N/A Requesting Data...</v>
      </c>
      <c r="P1957" t="str">
        <f>_xll.BDP("740053GW Muni","MUNI_TAX_PROV")</f>
        <v>#N/A Requesting Data...</v>
      </c>
      <c r="Q1957" t="str">
        <f>_xll.BDP("740053GW Muni","MUNI_FED_TAX")</f>
        <v>#N/A Requesting Data...</v>
      </c>
      <c r="R1957" t="str">
        <f>_xll.BDP("740053GW Muni","MUNI_MSRB_VOLUME")</f>
        <v>#N/A Requesting Data...</v>
      </c>
      <c r="S1957" t="str">
        <f>_xll.BDP("740053GW Muni","BB_COMPOSITE")</f>
        <v>#N/A Requesting Data...</v>
      </c>
      <c r="T1957" t="str">
        <f>_xll.BDP("740053GW Muni","LQA_LIQUIDITY_SCORE")</f>
        <v>#N/A Requesting Data...</v>
      </c>
    </row>
    <row r="1958" spans="1:20" x14ac:dyDescent="0.25">
      <c r="A1958" t="str">
        <f>_xll.BDP("740053GX Muni","ID_CUSIP")</f>
        <v>#N/A Requesting Data...</v>
      </c>
      <c r="B1958" t="s">
        <v>469</v>
      </c>
      <c r="C1958" t="str">
        <f>_xll.BDP("740053GX Muni","INSURANCE_STATUS")</f>
        <v>#N/A Requesting Data...</v>
      </c>
      <c r="D1958" t="str">
        <f>_xll.BDP("740053GX Muni","STATE_CODE")</f>
        <v>#N/A Requesting Data...</v>
      </c>
      <c r="E1958" t="str">
        <f>_xll.BDP("740053GX Muni","COUNTY_LOCATION_ISSUER")</f>
        <v>#N/A Requesting Data...</v>
      </c>
      <c r="F1958" t="str">
        <f>_xll.BDP("740053GX Muni","DUR_ADJ_MID")</f>
        <v>#N/A Requesting Data...</v>
      </c>
      <c r="G1958" t="str">
        <f>_xll.BDP("740053GX Muni","SPREAD_AT_ISSUANCE_TO_WORST")</f>
        <v>#N/A Requesting Data...</v>
      </c>
      <c r="H1958" t="str">
        <f>_xll.BDP("740053GX Muni","ISSUE_DT")</f>
        <v>#N/A Requesting Data...</v>
      </c>
      <c r="I1958" t="str">
        <f>_xll.BDS("740053GX Muni","MUNI_PURPOSE_SCHED", "aggregate=y")</f>
        <v>#N/A Requesting Data...</v>
      </c>
      <c r="J1958" t="str">
        <f>_xll.BDP("740053GX Muni","CPN")</f>
        <v>#N/A Requesting Data...</v>
      </c>
      <c r="K1958" t="str">
        <f>_xll.BDP("740053GX Muni","MATURITY")</f>
        <v>#N/A Requesting Data...</v>
      </c>
      <c r="L1958">
        <v>140000</v>
      </c>
      <c r="M1958" t="str">
        <f>_xll.BDP("740053GX Muni","YIELD_ON_ISSUE_DATE")</f>
        <v>#N/A Requesting Data...</v>
      </c>
      <c r="N1958" t="str">
        <f>_xll.BDP("740053GX Muni","YTW_SPREAD_TO_MATURITY_AT_ISSU")</f>
        <v>#N/A Requesting Data...</v>
      </c>
      <c r="O1958" t="str">
        <f>_xll.BDP("740053GX Muni","BVAL_MID_YTM")</f>
        <v>#N/A Requesting Data...</v>
      </c>
      <c r="P1958" t="str">
        <f>_xll.BDP("740053GX Muni","MUNI_TAX_PROV")</f>
        <v>#N/A Requesting Data...</v>
      </c>
      <c r="Q1958" t="str">
        <f>_xll.BDP("740053GX Muni","MUNI_FED_TAX")</f>
        <v>#N/A Requesting Data...</v>
      </c>
      <c r="R1958" t="str">
        <f>_xll.BDP("740053GX Muni","MUNI_MSRB_VOLUME")</f>
        <v>#N/A Requesting Data...</v>
      </c>
      <c r="S1958" t="str">
        <f>_xll.BDP("740053GX Muni","BB_COMPOSITE")</f>
        <v>#N/A Requesting Data...</v>
      </c>
      <c r="T1958" t="str">
        <f>_xll.BDP("740053GX Muni","LQA_LIQUIDITY_SCORE")</f>
        <v>#N/A Requesting Data...</v>
      </c>
    </row>
    <row r="1959" spans="1:20" x14ac:dyDescent="0.25">
      <c r="A1959" t="str">
        <f>_xll.BDP("740053GY Muni","ID_CUSIP")</f>
        <v>#N/A Requesting Data...</v>
      </c>
      <c r="B1959" t="s">
        <v>469</v>
      </c>
      <c r="C1959" t="str">
        <f>_xll.BDP("740053GY Muni","INSURANCE_STATUS")</f>
        <v>#N/A Requesting Data...</v>
      </c>
      <c r="D1959" t="str">
        <f>_xll.BDP("740053GY Muni","STATE_CODE")</f>
        <v>#N/A Requesting Data...</v>
      </c>
      <c r="E1959" t="str">
        <f>_xll.BDP("740053GY Muni","COUNTY_LOCATION_ISSUER")</f>
        <v>#N/A Requesting Data...</v>
      </c>
      <c r="F1959" t="str">
        <f>_xll.BDP("740053GY Muni","DUR_ADJ_MID")</f>
        <v>#N/A Requesting Data...</v>
      </c>
      <c r="G1959" t="str">
        <f>_xll.BDP("740053GY Muni","SPREAD_AT_ISSUANCE_TO_WORST")</f>
        <v>#N/A Requesting Data...</v>
      </c>
      <c r="H1959" t="str">
        <f>_xll.BDP("740053GY Muni","ISSUE_DT")</f>
        <v>#N/A Requesting Data...</v>
      </c>
      <c r="I1959" t="str">
        <f>_xll.BDS("740053GY Muni","MUNI_PURPOSE_SCHED", "aggregate=y")</f>
        <v>#N/A Requesting Data...</v>
      </c>
      <c r="J1959" t="str">
        <f>_xll.BDP("740053GY Muni","CPN")</f>
        <v>#N/A Requesting Data...</v>
      </c>
      <c r="K1959" t="str">
        <f>_xll.BDP("740053GY Muni","MATURITY")</f>
        <v>#N/A Requesting Data...</v>
      </c>
      <c r="L1959">
        <v>145000</v>
      </c>
      <c r="M1959" t="str">
        <f>_xll.BDP("740053GY Muni","YIELD_ON_ISSUE_DATE")</f>
        <v>#N/A Requesting Data...</v>
      </c>
      <c r="N1959" t="str">
        <f>_xll.BDP("740053GY Muni","YTW_SPREAD_TO_MATURITY_AT_ISSU")</f>
        <v>#N/A Requesting Data...</v>
      </c>
      <c r="O1959" t="str">
        <f>_xll.BDP("740053GY Muni","BVAL_MID_YTM")</f>
        <v>#N/A Requesting Data...</v>
      </c>
      <c r="P1959" t="str">
        <f>_xll.BDP("740053GY Muni","MUNI_TAX_PROV")</f>
        <v>#N/A Requesting Data...</v>
      </c>
      <c r="Q1959" t="str">
        <f>_xll.BDP("740053GY Muni","MUNI_FED_TAX")</f>
        <v>#N/A Requesting Data...</v>
      </c>
      <c r="R1959" t="str">
        <f>_xll.BDP("740053GY Muni","MUNI_MSRB_VOLUME")</f>
        <v>#N/A Requesting Data...</v>
      </c>
      <c r="S1959" t="str">
        <f>_xll.BDP("740053GY Muni","BB_COMPOSITE")</f>
        <v>#N/A Requesting Data...</v>
      </c>
      <c r="T1959" t="str">
        <f>_xll.BDP("740053GY Muni","LQA_LIQUIDITY_SCORE")</f>
        <v>#N/A Requesting Data...</v>
      </c>
    </row>
    <row r="1960" spans="1:20" x14ac:dyDescent="0.25">
      <c r="A1960" t="str">
        <f>_xll.BDP("740053GZ Muni","ID_CUSIP")</f>
        <v>#N/A Requesting Data...</v>
      </c>
      <c r="B1960" t="s">
        <v>469</v>
      </c>
      <c r="C1960" t="str">
        <f>_xll.BDP("740053GZ Muni","INSURANCE_STATUS")</f>
        <v>#N/A Requesting Data...</v>
      </c>
      <c r="D1960" t="str">
        <f>_xll.BDP("740053GZ Muni","STATE_CODE")</f>
        <v>#N/A Requesting Data...</v>
      </c>
      <c r="E1960" t="str">
        <f>_xll.BDP("740053GZ Muni","COUNTY_LOCATION_ISSUER")</f>
        <v>#N/A Requesting Data...</v>
      </c>
      <c r="F1960" t="str">
        <f>_xll.BDP("740053GZ Muni","DUR_ADJ_MID")</f>
        <v>#N/A Requesting Data...</v>
      </c>
      <c r="G1960" t="str">
        <f>_xll.BDP("740053GZ Muni","SPREAD_AT_ISSUANCE_TO_WORST")</f>
        <v>#N/A Requesting Data...</v>
      </c>
      <c r="H1960" t="str">
        <f>_xll.BDP("740053GZ Muni","ISSUE_DT")</f>
        <v>#N/A Requesting Data...</v>
      </c>
      <c r="I1960" t="str">
        <f>_xll.BDS("740053GZ Muni","MUNI_PURPOSE_SCHED", "aggregate=y")</f>
        <v>#N/A Requesting Data...</v>
      </c>
      <c r="J1960" t="str">
        <f>_xll.BDP("740053GZ Muni","CPN")</f>
        <v>#N/A Requesting Data...</v>
      </c>
      <c r="K1960" t="str">
        <f>_xll.BDP("740053GZ Muni","MATURITY")</f>
        <v>#N/A Requesting Data...</v>
      </c>
      <c r="L1960">
        <v>150000</v>
      </c>
      <c r="M1960" t="str">
        <f>_xll.BDP("740053GZ Muni","YIELD_ON_ISSUE_DATE")</f>
        <v>#N/A Requesting Data...</v>
      </c>
      <c r="N1960" t="str">
        <f>_xll.BDP("740053GZ Muni","YTW_SPREAD_TO_MATURITY_AT_ISSU")</f>
        <v>#N/A Requesting Data...</v>
      </c>
      <c r="O1960" t="str">
        <f>_xll.BDP("740053GZ Muni","BVAL_MID_YTM")</f>
        <v>#N/A Requesting Data...</v>
      </c>
      <c r="P1960" t="str">
        <f>_xll.BDP("740053GZ Muni","MUNI_TAX_PROV")</f>
        <v>#N/A Requesting Data...</v>
      </c>
      <c r="Q1960" t="str">
        <f>_xll.BDP("740053GZ Muni","MUNI_FED_TAX")</f>
        <v>#N/A Requesting Data...</v>
      </c>
      <c r="R1960" t="str">
        <f>_xll.BDP("740053GZ Muni","MUNI_MSRB_VOLUME")</f>
        <v>#N/A Requesting Data...</v>
      </c>
      <c r="S1960" t="str">
        <f>_xll.BDP("740053GZ Muni","BB_COMPOSITE")</f>
        <v>#N/A Requesting Data...</v>
      </c>
      <c r="T1960" t="str">
        <f>_xll.BDP("740053GZ Muni","LQA_LIQUIDITY_SCORE")</f>
        <v>#N/A Requesting Data...</v>
      </c>
    </row>
    <row r="1961" spans="1:20" x14ac:dyDescent="0.25">
      <c r="A1961" t="str">
        <f>_xll.BDP("740871BC Muni","ID_CUSIP")</f>
        <v>#N/A Requesting Data...</v>
      </c>
      <c r="B1961" t="s">
        <v>470</v>
      </c>
      <c r="C1961" t="str">
        <f>_xll.BDP("740871BC Muni","INSURANCE_STATUS")</f>
        <v>#N/A Requesting Data...</v>
      </c>
      <c r="D1961" t="str">
        <f>_xll.BDP("740871BC Muni","STATE_CODE")</f>
        <v>#N/A Requesting Data...</v>
      </c>
      <c r="E1961" t="str">
        <f>_xll.BDP("740871BC Muni","COUNTY_LOCATION_ISSUER")</f>
        <v>#N/A Requesting Data...</v>
      </c>
      <c r="F1961" t="str">
        <f>_xll.BDP("740871BC Muni","DUR_ADJ_MID")</f>
        <v>#N/A Requesting Data...</v>
      </c>
      <c r="G1961" t="str">
        <f>_xll.BDP("740871BC Muni","SPREAD_AT_ISSUANCE_TO_WORST")</f>
        <v>#N/A Requesting Data...</v>
      </c>
      <c r="H1961" t="str">
        <f>_xll.BDP("740871BC Muni","ISSUE_DT")</f>
        <v>#N/A Requesting Data...</v>
      </c>
      <c r="I1961" t="str">
        <f>_xll.BDS("740871BC Muni","MUNI_PURPOSE_SCHED", "aggregate=y")</f>
        <v>#N/A Requesting Data...</v>
      </c>
      <c r="J1961" t="str">
        <f>_xll.BDP("740871BC Muni","CPN")</f>
        <v>#N/A Requesting Data...</v>
      </c>
      <c r="K1961" t="str">
        <f>_xll.BDP("740871BC Muni","MATURITY")</f>
        <v>#N/A Requesting Data...</v>
      </c>
      <c r="L1961">
        <v>75000</v>
      </c>
      <c r="M1961" t="str">
        <f>_xll.BDP("740871BC Muni","YIELD_ON_ISSUE_DATE")</f>
        <v>#N/A Requesting Data...</v>
      </c>
      <c r="N1961" t="str">
        <f>_xll.BDP("740871BC Muni","YTW_SPREAD_TO_MATURITY_AT_ISSU")</f>
        <v>#N/A Requesting Data...</v>
      </c>
      <c r="O1961" t="str">
        <f>_xll.BDP("740871BC Muni","BVAL_MID_YTM")</f>
        <v>#N/A Requesting Data...</v>
      </c>
      <c r="P1961" t="str">
        <f>_xll.BDP("740871BC Muni","MUNI_TAX_PROV")</f>
        <v>#N/A Requesting Data...</v>
      </c>
      <c r="Q1961" t="str">
        <f>_xll.BDP("740871BC Muni","MUNI_FED_TAX")</f>
        <v>#N/A Requesting Data...</v>
      </c>
      <c r="R1961" t="str">
        <f>_xll.BDP("740871BC Muni","MUNI_MSRB_VOLUME")</f>
        <v>#N/A Requesting Data...</v>
      </c>
      <c r="S1961" t="str">
        <f>_xll.BDP("740871BC Muni","BB_COMPOSITE")</f>
        <v>#N/A Requesting Data...</v>
      </c>
      <c r="T1961" t="str">
        <f>_xll.BDP("740871BC Muni","LQA_LIQUIDITY_SCORE")</f>
        <v>#N/A Requesting Data...</v>
      </c>
    </row>
    <row r="1962" spans="1:20" x14ac:dyDescent="0.25">
      <c r="A1962" t="str">
        <f>_xll.BDP("740871BD Muni","ID_CUSIP")</f>
        <v>#N/A Requesting Data...</v>
      </c>
      <c r="B1962" t="s">
        <v>470</v>
      </c>
      <c r="C1962" t="str">
        <f>_xll.BDP("740871BD Muni","INSURANCE_STATUS")</f>
        <v>#N/A Requesting Data...</v>
      </c>
      <c r="D1962" t="str">
        <f>_xll.BDP("740871BD Muni","STATE_CODE")</f>
        <v>#N/A Requesting Data...</v>
      </c>
      <c r="E1962" t="str">
        <f>_xll.BDP("740871BD Muni","COUNTY_LOCATION_ISSUER")</f>
        <v>#N/A Requesting Data...</v>
      </c>
      <c r="F1962" t="str">
        <f>_xll.BDP("740871BD Muni","DUR_ADJ_MID")</f>
        <v>#N/A Requesting Data...</v>
      </c>
      <c r="G1962" t="str">
        <f>_xll.BDP("740871BD Muni","SPREAD_AT_ISSUANCE_TO_WORST")</f>
        <v>#N/A Requesting Data...</v>
      </c>
      <c r="H1962" t="str">
        <f>_xll.BDP("740871BD Muni","ISSUE_DT")</f>
        <v>#N/A Requesting Data...</v>
      </c>
      <c r="I1962" t="str">
        <f>_xll.BDS("740871BD Muni","MUNI_PURPOSE_SCHED", "aggregate=y")</f>
        <v>#N/A Requesting Data...</v>
      </c>
      <c r="J1962" t="str">
        <f>_xll.BDP("740871BD Muni","CPN")</f>
        <v>#N/A Requesting Data...</v>
      </c>
      <c r="K1962" t="str">
        <f>_xll.BDP("740871BD Muni","MATURITY")</f>
        <v>#N/A Requesting Data...</v>
      </c>
      <c r="L1962">
        <v>100000</v>
      </c>
      <c r="M1962" t="str">
        <f>_xll.BDP("740871BD Muni","YIELD_ON_ISSUE_DATE")</f>
        <v>#N/A Requesting Data...</v>
      </c>
      <c r="N1962" t="str">
        <f>_xll.BDP("740871BD Muni","YTW_SPREAD_TO_MATURITY_AT_ISSU")</f>
        <v>#N/A Requesting Data...</v>
      </c>
      <c r="O1962" t="str">
        <f>_xll.BDP("740871BD Muni","BVAL_MID_YTM")</f>
        <v>#N/A Requesting Data...</v>
      </c>
      <c r="P1962" t="str">
        <f>_xll.BDP("740871BD Muni","MUNI_TAX_PROV")</f>
        <v>#N/A Requesting Data...</v>
      </c>
      <c r="Q1962" t="str">
        <f>_xll.BDP("740871BD Muni","MUNI_FED_TAX")</f>
        <v>#N/A Requesting Data...</v>
      </c>
      <c r="R1962" t="str">
        <f>_xll.BDP("740871BD Muni","MUNI_MSRB_VOLUME")</f>
        <v>#N/A Requesting Data...</v>
      </c>
      <c r="S1962" t="str">
        <f>_xll.BDP("740871BD Muni","BB_COMPOSITE")</f>
        <v>#N/A Requesting Data...</v>
      </c>
      <c r="T1962" t="str">
        <f>_xll.BDP("740871BD Muni","LQA_LIQUIDITY_SCORE")</f>
        <v>#N/A Requesting Data...</v>
      </c>
    </row>
    <row r="1963" spans="1:20" x14ac:dyDescent="0.25">
      <c r="A1963" t="str">
        <f>_xll.BDP("740871BE Muni","ID_CUSIP")</f>
        <v>#N/A Requesting Data...</v>
      </c>
      <c r="B1963" t="s">
        <v>470</v>
      </c>
      <c r="C1963" t="str">
        <f>_xll.BDP("740871BE Muni","INSURANCE_STATUS")</f>
        <v>#N/A Requesting Data...</v>
      </c>
      <c r="D1963" t="str">
        <f>_xll.BDP("740871BE Muni","STATE_CODE")</f>
        <v>#N/A Requesting Data...</v>
      </c>
      <c r="E1963" t="str">
        <f>_xll.BDP("740871BE Muni","COUNTY_LOCATION_ISSUER")</f>
        <v>#N/A Requesting Data...</v>
      </c>
      <c r="F1963" t="str">
        <f>_xll.BDP("740871BE Muni","DUR_ADJ_MID")</f>
        <v>#N/A Requesting Data...</v>
      </c>
      <c r="G1963" t="str">
        <f>_xll.BDP("740871BE Muni","SPREAD_AT_ISSUANCE_TO_WORST")</f>
        <v>#N/A Requesting Data...</v>
      </c>
      <c r="H1963" t="str">
        <f>_xll.BDP("740871BE Muni","ISSUE_DT")</f>
        <v>#N/A Requesting Data...</v>
      </c>
      <c r="I1963" t="str">
        <f>_xll.BDS("740871BE Muni","MUNI_PURPOSE_SCHED", "aggregate=y")</f>
        <v>#N/A Requesting Data...</v>
      </c>
      <c r="J1963" t="str">
        <f>_xll.BDP("740871BE Muni","CPN")</f>
        <v>#N/A Requesting Data...</v>
      </c>
      <c r="K1963" t="str">
        <f>_xll.BDP("740871BE Muni","MATURITY")</f>
        <v>#N/A Requesting Data...</v>
      </c>
      <c r="L1963">
        <v>100000</v>
      </c>
      <c r="M1963" t="str">
        <f>_xll.BDP("740871BE Muni","YIELD_ON_ISSUE_DATE")</f>
        <v>#N/A Requesting Data...</v>
      </c>
      <c r="N1963" t="str">
        <f>_xll.BDP("740871BE Muni","YTW_SPREAD_TO_MATURITY_AT_ISSU")</f>
        <v>#N/A Requesting Data...</v>
      </c>
      <c r="O1963" t="str">
        <f>_xll.BDP("740871BE Muni","BVAL_MID_YTM")</f>
        <v>#N/A Requesting Data...</v>
      </c>
      <c r="P1963" t="str">
        <f>_xll.BDP("740871BE Muni","MUNI_TAX_PROV")</f>
        <v>#N/A Requesting Data...</v>
      </c>
      <c r="Q1963" t="str">
        <f>_xll.BDP("740871BE Muni","MUNI_FED_TAX")</f>
        <v>#N/A Requesting Data...</v>
      </c>
      <c r="R1963" t="str">
        <f>_xll.BDP("740871BE Muni","MUNI_MSRB_VOLUME")</f>
        <v>#N/A Requesting Data...</v>
      </c>
      <c r="S1963" t="str">
        <f>_xll.BDP("740871BE Muni","BB_COMPOSITE")</f>
        <v>#N/A Requesting Data...</v>
      </c>
      <c r="T1963" t="str">
        <f>_xll.BDP("740871BE Muni","LQA_LIQUIDITY_SCORE")</f>
        <v>#N/A Requesting Data...</v>
      </c>
    </row>
    <row r="1964" spans="1:20" x14ac:dyDescent="0.25">
      <c r="A1964" t="str">
        <f>_xll.BDP("73111HBX Muni","ID_CUSIP")</f>
        <v>#N/A Requesting Data...</v>
      </c>
      <c r="B1964" t="s">
        <v>471</v>
      </c>
      <c r="C1964" t="str">
        <f>_xll.BDP("73111HBX Muni","INSURANCE_STATUS")</f>
        <v>#N/A Requesting Data...</v>
      </c>
      <c r="D1964" t="str">
        <f>_xll.BDP("73111HBX Muni","STATE_CODE")</f>
        <v>#N/A Requesting Data...</v>
      </c>
      <c r="E1964" t="str">
        <f>_xll.BDP("73111HBX Muni","COUNTY_LOCATION_ISSUER")</f>
        <v>#N/A Requesting Data...</v>
      </c>
      <c r="F1964" t="str">
        <f>_xll.BDP("73111HBX Muni","DUR_ADJ_MID")</f>
        <v>#N/A Requesting Data...</v>
      </c>
      <c r="G1964" t="str">
        <f>_xll.BDP("73111HBX Muni","SPREAD_AT_ISSUANCE_TO_WORST")</f>
        <v>#N/A Requesting Data...</v>
      </c>
      <c r="H1964" t="str">
        <f>_xll.BDP("73111HBX Muni","ISSUE_DT")</f>
        <v>#N/A Requesting Data...</v>
      </c>
      <c r="I1964" t="str">
        <f>_xll.BDS("73111HBX Muni","MUNI_PURPOSE_SCHED", "aggregate=y")</f>
        <v>#N/A Requesting Data...</v>
      </c>
      <c r="J1964" t="str">
        <f>_xll.BDP("73111HBX Muni","CPN")</f>
        <v>#N/A Requesting Data...</v>
      </c>
      <c r="K1964" t="str">
        <f>_xll.BDP("73111HBX Muni","MATURITY")</f>
        <v>#N/A Requesting Data...</v>
      </c>
      <c r="L1964">
        <v>120000</v>
      </c>
      <c r="M1964" t="str">
        <f>_xll.BDP("73111HBX Muni","YIELD_ON_ISSUE_DATE")</f>
        <v>#N/A Requesting Data...</v>
      </c>
      <c r="N1964" t="str">
        <f>_xll.BDP("73111HBX Muni","YTW_SPREAD_TO_MATURITY_AT_ISSU")</f>
        <v>#N/A Requesting Data...</v>
      </c>
      <c r="O1964" t="str">
        <f>_xll.BDP("73111HBX Muni","BVAL_MID_YTM")</f>
        <v>#N/A Requesting Data...</v>
      </c>
      <c r="P1964" t="str">
        <f>_xll.BDP("73111HBX Muni","MUNI_TAX_PROV")</f>
        <v>#N/A Requesting Data...</v>
      </c>
      <c r="Q1964" t="str">
        <f>_xll.BDP("73111HBX Muni","MUNI_FED_TAX")</f>
        <v>#N/A Requesting Data...</v>
      </c>
      <c r="R1964" t="str">
        <f>_xll.BDP("73111HBX Muni","MUNI_MSRB_VOLUME")</f>
        <v>#N/A Requesting Data...</v>
      </c>
      <c r="S1964" t="str">
        <f>_xll.BDP("73111HBX Muni","BB_COMPOSITE")</f>
        <v>#N/A Requesting Data...</v>
      </c>
      <c r="T1964" t="str">
        <f>_xll.BDP("73111HBX Muni","LQA_LIQUIDITY_SCORE")</f>
        <v>#N/A Requesting Data...</v>
      </c>
    </row>
    <row r="1965" spans="1:20" x14ac:dyDescent="0.25">
      <c r="A1965" t="str">
        <f>_xll.BDP("73111HBY Muni","ID_CUSIP")</f>
        <v>#N/A Requesting Data...</v>
      </c>
      <c r="B1965" t="s">
        <v>471</v>
      </c>
      <c r="C1965" t="str">
        <f>_xll.BDP("73111HBY Muni","INSURANCE_STATUS")</f>
        <v>#N/A Requesting Data...</v>
      </c>
      <c r="D1965" t="str">
        <f>_xll.BDP("73111HBY Muni","STATE_CODE")</f>
        <v>#N/A Requesting Data...</v>
      </c>
      <c r="E1965" t="str">
        <f>_xll.BDP("73111HBY Muni","COUNTY_LOCATION_ISSUER")</f>
        <v>#N/A Requesting Data...</v>
      </c>
      <c r="F1965" t="str">
        <f>_xll.BDP("73111HBY Muni","DUR_ADJ_MID")</f>
        <v>#N/A Requesting Data...</v>
      </c>
      <c r="G1965" t="str">
        <f>_xll.BDP("73111HBY Muni","SPREAD_AT_ISSUANCE_TO_WORST")</f>
        <v>#N/A Requesting Data...</v>
      </c>
      <c r="H1965" t="str">
        <f>_xll.BDP("73111HBY Muni","ISSUE_DT")</f>
        <v>#N/A Requesting Data...</v>
      </c>
      <c r="I1965" t="str">
        <f>_xll.BDS("73111HBY Muni","MUNI_PURPOSE_SCHED", "aggregate=y")</f>
        <v>#N/A Requesting Data...</v>
      </c>
      <c r="J1965" t="str">
        <f>_xll.BDP("73111HBY Muni","CPN")</f>
        <v>#N/A Requesting Data...</v>
      </c>
      <c r="K1965" t="str">
        <f>_xll.BDP("73111HBY Muni","MATURITY")</f>
        <v>#N/A Requesting Data...</v>
      </c>
      <c r="L1965">
        <v>125000</v>
      </c>
      <c r="M1965" t="str">
        <f>_xll.BDP("73111HBY Muni","YIELD_ON_ISSUE_DATE")</f>
        <v>#N/A Requesting Data...</v>
      </c>
      <c r="N1965" t="str">
        <f>_xll.BDP("73111HBY Muni","YTW_SPREAD_TO_MATURITY_AT_ISSU")</f>
        <v>#N/A Requesting Data...</v>
      </c>
      <c r="O1965" t="str">
        <f>_xll.BDP("73111HBY Muni","BVAL_MID_YTM")</f>
        <v>#N/A Requesting Data...</v>
      </c>
      <c r="P1965" t="str">
        <f>_xll.BDP("73111HBY Muni","MUNI_TAX_PROV")</f>
        <v>#N/A Requesting Data...</v>
      </c>
      <c r="Q1965" t="str">
        <f>_xll.BDP("73111HBY Muni","MUNI_FED_TAX")</f>
        <v>#N/A Requesting Data...</v>
      </c>
      <c r="R1965" t="str">
        <f>_xll.BDP("73111HBY Muni","MUNI_MSRB_VOLUME")</f>
        <v>#N/A Requesting Data...</v>
      </c>
      <c r="S1965" t="str">
        <f>_xll.BDP("73111HBY Muni","BB_COMPOSITE")</f>
        <v>#N/A Requesting Data...</v>
      </c>
      <c r="T1965" t="str">
        <f>_xll.BDP("73111HBY Muni","LQA_LIQUIDITY_SCORE")</f>
        <v>#N/A Requesting Data...</v>
      </c>
    </row>
    <row r="1966" spans="1:20" x14ac:dyDescent="0.25">
      <c r="A1966" t="str">
        <f>_xll.BDP("73111HBZ Muni","ID_CUSIP")</f>
        <v>#N/A Requesting Data...</v>
      </c>
      <c r="B1966" t="s">
        <v>471</v>
      </c>
      <c r="C1966" t="str">
        <f>_xll.BDP("73111HBZ Muni","INSURANCE_STATUS")</f>
        <v>#N/A Requesting Data...</v>
      </c>
      <c r="D1966" t="str">
        <f>_xll.BDP("73111HBZ Muni","STATE_CODE")</f>
        <v>#N/A Requesting Data...</v>
      </c>
      <c r="E1966" t="str">
        <f>_xll.BDP("73111HBZ Muni","COUNTY_LOCATION_ISSUER")</f>
        <v>#N/A Requesting Data...</v>
      </c>
      <c r="F1966" t="str">
        <f>_xll.BDP("73111HBZ Muni","DUR_ADJ_MID")</f>
        <v>#N/A Requesting Data...</v>
      </c>
      <c r="G1966" t="str">
        <f>_xll.BDP("73111HBZ Muni","SPREAD_AT_ISSUANCE_TO_WORST")</f>
        <v>#N/A Requesting Data...</v>
      </c>
      <c r="H1966" t="str">
        <f>_xll.BDP("73111HBZ Muni","ISSUE_DT")</f>
        <v>#N/A Requesting Data...</v>
      </c>
      <c r="I1966" t="str">
        <f>_xll.BDS("73111HBZ Muni","MUNI_PURPOSE_SCHED", "aggregate=y")</f>
        <v>#N/A Requesting Data...</v>
      </c>
      <c r="J1966" t="str">
        <f>_xll.BDP("73111HBZ Muni","CPN")</f>
        <v>#N/A Requesting Data...</v>
      </c>
      <c r="K1966" t="str">
        <f>_xll.BDP("73111HBZ Muni","MATURITY")</f>
        <v>#N/A Requesting Data...</v>
      </c>
      <c r="L1966">
        <v>130000</v>
      </c>
      <c r="M1966" t="str">
        <f>_xll.BDP("73111HBZ Muni","YIELD_ON_ISSUE_DATE")</f>
        <v>#N/A Requesting Data...</v>
      </c>
      <c r="N1966" t="str">
        <f>_xll.BDP("73111HBZ Muni","YTW_SPREAD_TO_MATURITY_AT_ISSU")</f>
        <v>#N/A Requesting Data...</v>
      </c>
      <c r="O1966" t="str">
        <f>_xll.BDP("73111HBZ Muni","BVAL_MID_YTM")</f>
        <v>#N/A Requesting Data...</v>
      </c>
      <c r="P1966" t="str">
        <f>_xll.BDP("73111HBZ Muni","MUNI_TAX_PROV")</f>
        <v>#N/A Requesting Data...</v>
      </c>
      <c r="Q1966" t="str">
        <f>_xll.BDP("73111HBZ Muni","MUNI_FED_TAX")</f>
        <v>#N/A Requesting Data...</v>
      </c>
      <c r="R1966" t="str">
        <f>_xll.BDP("73111HBZ Muni","MUNI_MSRB_VOLUME")</f>
        <v>#N/A Requesting Data...</v>
      </c>
      <c r="S1966" t="str">
        <f>_xll.BDP("73111HBZ Muni","BB_COMPOSITE")</f>
        <v>#N/A Requesting Data...</v>
      </c>
      <c r="T1966" t="str">
        <f>_xll.BDP("73111HBZ Muni","LQA_LIQUIDITY_SCORE")</f>
        <v>#N/A Requesting Data...</v>
      </c>
    </row>
    <row r="1967" spans="1:20" x14ac:dyDescent="0.25">
      <c r="A1967" t="str">
        <f>_xll.BDP("825485WC Muni","ID_CUSIP")</f>
        <v>#N/A Requesting Data...</v>
      </c>
      <c r="B1967" t="s">
        <v>472</v>
      </c>
      <c r="C1967" t="str">
        <f>_xll.BDP("825485WC Muni","INSURANCE_STATUS")</f>
        <v>#N/A Requesting Data...</v>
      </c>
      <c r="D1967" t="str">
        <f>_xll.BDP("825485WC Muni","STATE_CODE")</f>
        <v>#N/A Requesting Data...</v>
      </c>
      <c r="E1967" t="str">
        <f>_xll.BDP("825485WC Muni","COUNTY_LOCATION_ISSUER")</f>
        <v>#N/A Requesting Data...</v>
      </c>
      <c r="F1967" t="str">
        <f>_xll.BDP("825485WC Muni","DUR_ADJ_MID")</f>
        <v>#N/A Requesting Data...</v>
      </c>
      <c r="G1967" t="str">
        <f>_xll.BDP("825485WC Muni","SPREAD_AT_ISSUANCE_TO_WORST")</f>
        <v>#N/A Requesting Data...</v>
      </c>
      <c r="H1967" t="str">
        <f>_xll.BDP("825485WC Muni","ISSUE_DT")</f>
        <v>#N/A Requesting Data...</v>
      </c>
      <c r="I1967" t="str">
        <f>_xll.BDS("825485WC Muni","MUNI_PURPOSE_SCHED", "aggregate=y")</f>
        <v>#N/A Requesting Data...</v>
      </c>
      <c r="J1967" t="str">
        <f>_xll.BDP("825485WC Muni","CPN")</f>
        <v>#N/A Requesting Data...</v>
      </c>
      <c r="K1967" t="str">
        <f>_xll.BDP("825485WC Muni","MATURITY")</f>
        <v>#N/A Requesting Data...</v>
      </c>
      <c r="L1967">
        <v>2635000</v>
      </c>
      <c r="M1967" t="str">
        <f>_xll.BDP("825485WC Muni","YIELD_ON_ISSUE_DATE")</f>
        <v>#N/A Requesting Data...</v>
      </c>
      <c r="N1967" t="str">
        <f>_xll.BDP("825485WC Muni","YTW_SPREAD_TO_MATURITY_AT_ISSU")</f>
        <v>#N/A Requesting Data...</v>
      </c>
      <c r="O1967" t="str">
        <f>_xll.BDP("825485WC Muni","BVAL_MID_YTM")</f>
        <v>#N/A Requesting Data...</v>
      </c>
      <c r="P1967" t="str">
        <f>_xll.BDP("825485WC Muni","MUNI_TAX_PROV")</f>
        <v>#N/A Requesting Data...</v>
      </c>
      <c r="Q1967" t="str">
        <f>_xll.BDP("825485WC Muni","MUNI_FED_TAX")</f>
        <v>#N/A Requesting Data...</v>
      </c>
      <c r="R1967" t="str">
        <f>_xll.BDP("825485WC Muni","MUNI_MSRB_VOLUME")</f>
        <v>#N/A Requesting Data...</v>
      </c>
      <c r="S1967" t="str">
        <f>_xll.BDP("825485WC Muni","BB_COMPOSITE")</f>
        <v>#N/A Requesting Data...</v>
      </c>
      <c r="T1967" t="str">
        <f>_xll.BDP("825485WC Muni","LQA_LIQUIDITY_SCORE")</f>
        <v>#N/A Requesting Data...</v>
      </c>
    </row>
    <row r="1968" spans="1:20" x14ac:dyDescent="0.25">
      <c r="A1968" t="str">
        <f>_xll.BDP("825485WD Muni","ID_CUSIP")</f>
        <v>#N/A Requesting Data...</v>
      </c>
      <c r="B1968" t="s">
        <v>472</v>
      </c>
      <c r="C1968" t="str">
        <f>_xll.BDP("825485WD Muni","INSURANCE_STATUS")</f>
        <v>#N/A Requesting Data...</v>
      </c>
      <c r="D1968" t="str">
        <f>_xll.BDP("825485WD Muni","STATE_CODE")</f>
        <v>#N/A Requesting Data...</v>
      </c>
      <c r="E1968" t="str">
        <f>_xll.BDP("825485WD Muni","COUNTY_LOCATION_ISSUER")</f>
        <v>#N/A Requesting Data...</v>
      </c>
      <c r="F1968" t="str">
        <f>_xll.BDP("825485WD Muni","DUR_ADJ_MID")</f>
        <v>#N/A Requesting Data...</v>
      </c>
      <c r="G1968" t="str">
        <f>_xll.BDP("825485WD Muni","SPREAD_AT_ISSUANCE_TO_WORST")</f>
        <v>#N/A Requesting Data...</v>
      </c>
      <c r="H1968" t="str">
        <f>_xll.BDP("825485WD Muni","ISSUE_DT")</f>
        <v>#N/A Requesting Data...</v>
      </c>
      <c r="I1968" t="str">
        <f>_xll.BDS("825485WD Muni","MUNI_PURPOSE_SCHED", "aggregate=y")</f>
        <v>#N/A Requesting Data...</v>
      </c>
      <c r="J1968" t="str">
        <f>_xll.BDP("825485WD Muni","CPN")</f>
        <v>#N/A Requesting Data...</v>
      </c>
      <c r="K1968" t="str">
        <f>_xll.BDP("825485WD Muni","MATURITY")</f>
        <v>#N/A Requesting Data...</v>
      </c>
      <c r="L1968">
        <v>7645000</v>
      </c>
      <c r="M1968" t="str">
        <f>_xll.BDP("825485WD Muni","YIELD_ON_ISSUE_DATE")</f>
        <v>#N/A Requesting Data...</v>
      </c>
      <c r="N1968" t="str">
        <f>_xll.BDP("825485WD Muni","YTW_SPREAD_TO_MATURITY_AT_ISSU")</f>
        <v>#N/A Requesting Data...</v>
      </c>
      <c r="O1968" t="str">
        <f>_xll.BDP("825485WD Muni","BVAL_MID_YTM")</f>
        <v>#N/A Requesting Data...</v>
      </c>
      <c r="P1968" t="str">
        <f>_xll.BDP("825485WD Muni","MUNI_TAX_PROV")</f>
        <v>#N/A Requesting Data...</v>
      </c>
      <c r="Q1968" t="str">
        <f>_xll.BDP("825485WD Muni","MUNI_FED_TAX")</f>
        <v>#N/A Requesting Data...</v>
      </c>
      <c r="R1968" t="str">
        <f>_xll.BDP("825485WD Muni","MUNI_MSRB_VOLUME")</f>
        <v>#N/A Requesting Data...</v>
      </c>
      <c r="S1968" t="str">
        <f>_xll.BDP("825485WD Muni","BB_COMPOSITE")</f>
        <v>#N/A Requesting Data...</v>
      </c>
      <c r="T1968" t="str">
        <f>_xll.BDP("825485WD Muni","LQA_LIQUIDITY_SCORE")</f>
        <v>#N/A Requesting Data...</v>
      </c>
    </row>
    <row r="1969" spans="1:20" x14ac:dyDescent="0.25">
      <c r="A1969" t="str">
        <f>_xll.BDP("825485WE Muni","ID_CUSIP")</f>
        <v>#N/A Requesting Data...</v>
      </c>
      <c r="B1969" t="s">
        <v>472</v>
      </c>
      <c r="C1969" t="str">
        <f>_xll.BDP("825485WE Muni","INSURANCE_STATUS")</f>
        <v>#N/A Requesting Data...</v>
      </c>
      <c r="D1969" t="str">
        <f>_xll.BDP("825485WE Muni","STATE_CODE")</f>
        <v>#N/A Requesting Data...</v>
      </c>
      <c r="E1969" t="str">
        <f>_xll.BDP("825485WE Muni","COUNTY_LOCATION_ISSUER")</f>
        <v>#N/A Requesting Data...</v>
      </c>
      <c r="F1969" t="str">
        <f>_xll.BDP("825485WE Muni","DUR_ADJ_MID")</f>
        <v>#N/A Requesting Data...</v>
      </c>
      <c r="G1969" t="str">
        <f>_xll.BDP("825485WE Muni","SPREAD_AT_ISSUANCE_TO_WORST")</f>
        <v>#N/A Requesting Data...</v>
      </c>
      <c r="H1969" t="str">
        <f>_xll.BDP("825485WE Muni","ISSUE_DT")</f>
        <v>#N/A Requesting Data...</v>
      </c>
      <c r="I1969" t="str">
        <f>_xll.BDS("825485WE Muni","MUNI_PURPOSE_SCHED", "aggregate=y")</f>
        <v>#N/A Requesting Data...</v>
      </c>
      <c r="J1969" t="str">
        <f>_xll.BDP("825485WE Muni","CPN")</f>
        <v>#N/A Requesting Data...</v>
      </c>
      <c r="K1969" t="str">
        <f>_xll.BDP("825485WE Muni","MATURITY")</f>
        <v>#N/A Requesting Data...</v>
      </c>
      <c r="L1969">
        <v>8915000</v>
      </c>
      <c r="M1969" t="str">
        <f>_xll.BDP("825485WE Muni","YIELD_ON_ISSUE_DATE")</f>
        <v>#N/A Requesting Data...</v>
      </c>
      <c r="N1969" t="str">
        <f>_xll.BDP("825485WE Muni","YTW_SPREAD_TO_MATURITY_AT_ISSU")</f>
        <v>#N/A Requesting Data...</v>
      </c>
      <c r="O1969" t="str">
        <f>_xll.BDP("825485WE Muni","BVAL_MID_YTM")</f>
        <v>#N/A Requesting Data...</v>
      </c>
      <c r="P1969" t="str">
        <f>_xll.BDP("825485WE Muni","MUNI_TAX_PROV")</f>
        <v>#N/A Requesting Data...</v>
      </c>
      <c r="Q1969" t="str">
        <f>_xll.BDP("825485WE Muni","MUNI_FED_TAX")</f>
        <v>#N/A Requesting Data...</v>
      </c>
      <c r="R1969" t="str">
        <f>_xll.BDP("825485WE Muni","MUNI_MSRB_VOLUME")</f>
        <v>#N/A Requesting Data...</v>
      </c>
      <c r="S1969" t="str">
        <f>_xll.BDP("825485WE Muni","BB_COMPOSITE")</f>
        <v>#N/A Requesting Data...</v>
      </c>
      <c r="T1969" t="str">
        <f>_xll.BDP("825485WE Muni","LQA_LIQUIDITY_SCORE")</f>
        <v>#N/A Requesting Data...</v>
      </c>
    </row>
    <row r="1970" spans="1:20" x14ac:dyDescent="0.25">
      <c r="A1970" t="str">
        <f>_xll.BDP("825485WF Muni","ID_CUSIP")</f>
        <v>#N/A Requesting Data...</v>
      </c>
      <c r="B1970" t="s">
        <v>472</v>
      </c>
      <c r="C1970" t="str">
        <f>_xll.BDP("825485WF Muni","INSURANCE_STATUS")</f>
        <v>#N/A Requesting Data...</v>
      </c>
      <c r="D1970" t="str">
        <f>_xll.BDP("825485WF Muni","STATE_CODE")</f>
        <v>#N/A Requesting Data...</v>
      </c>
      <c r="E1970" t="str">
        <f>_xll.BDP("825485WF Muni","COUNTY_LOCATION_ISSUER")</f>
        <v>#N/A Requesting Data...</v>
      </c>
      <c r="F1970" t="str">
        <f>_xll.BDP("825485WF Muni","DUR_ADJ_MID")</f>
        <v>#N/A Requesting Data...</v>
      </c>
      <c r="G1970" t="str">
        <f>_xll.BDP("825485WF Muni","SPREAD_AT_ISSUANCE_TO_WORST")</f>
        <v>#N/A Requesting Data...</v>
      </c>
      <c r="H1970" t="str">
        <f>_xll.BDP("825485WF Muni","ISSUE_DT")</f>
        <v>#N/A Requesting Data...</v>
      </c>
      <c r="I1970" t="str">
        <f>_xll.BDS("825485WF Muni","MUNI_PURPOSE_SCHED", "aggregate=y")</f>
        <v>#N/A Requesting Data...</v>
      </c>
      <c r="J1970" t="str">
        <f>_xll.BDP("825485WF Muni","CPN")</f>
        <v>#N/A Requesting Data...</v>
      </c>
      <c r="K1970" t="str">
        <f>_xll.BDP("825485WF Muni","MATURITY")</f>
        <v>#N/A Requesting Data...</v>
      </c>
      <c r="L1970">
        <v>9585000</v>
      </c>
      <c r="M1970" t="str">
        <f>_xll.BDP("825485WF Muni","YIELD_ON_ISSUE_DATE")</f>
        <v>#N/A Requesting Data...</v>
      </c>
      <c r="N1970" t="str">
        <f>_xll.BDP("825485WF Muni","YTW_SPREAD_TO_MATURITY_AT_ISSU")</f>
        <v>#N/A Requesting Data...</v>
      </c>
      <c r="O1970" t="str">
        <f>_xll.BDP("825485WF Muni","BVAL_MID_YTM")</f>
        <v>#N/A Requesting Data...</v>
      </c>
      <c r="P1970" t="str">
        <f>_xll.BDP("825485WF Muni","MUNI_TAX_PROV")</f>
        <v>#N/A Requesting Data...</v>
      </c>
      <c r="Q1970" t="str">
        <f>_xll.BDP("825485WF Muni","MUNI_FED_TAX")</f>
        <v>#N/A Requesting Data...</v>
      </c>
      <c r="R1970" t="str">
        <f>_xll.BDP("825485WF Muni","MUNI_MSRB_VOLUME")</f>
        <v>#N/A Requesting Data...</v>
      </c>
      <c r="S1970" t="str">
        <f>_xll.BDP("825485WF Muni","BB_COMPOSITE")</f>
        <v>#N/A Requesting Data...</v>
      </c>
      <c r="T1970" t="str">
        <f>_xll.BDP("825485WF Muni","LQA_LIQUIDITY_SCORE")</f>
        <v>#N/A Requesting Data...</v>
      </c>
    </row>
    <row r="1971" spans="1:20" x14ac:dyDescent="0.25">
      <c r="A1971" t="str">
        <f>_xll.BDP("825485WG Muni","ID_CUSIP")</f>
        <v>#N/A Requesting Data...</v>
      </c>
      <c r="B1971" t="s">
        <v>472</v>
      </c>
      <c r="C1971" t="str">
        <f>_xll.BDP("825485WG Muni","INSURANCE_STATUS")</f>
        <v>#N/A Requesting Data...</v>
      </c>
      <c r="D1971" t="str">
        <f>_xll.BDP("825485WG Muni","STATE_CODE")</f>
        <v>#N/A Requesting Data...</v>
      </c>
      <c r="E1971" t="str">
        <f>_xll.BDP("825485WG Muni","COUNTY_LOCATION_ISSUER")</f>
        <v>#N/A Requesting Data...</v>
      </c>
      <c r="F1971" t="str">
        <f>_xll.BDP("825485WG Muni","DUR_ADJ_MID")</f>
        <v>#N/A Requesting Data...</v>
      </c>
      <c r="G1971" t="str">
        <f>_xll.BDP("825485WG Muni","SPREAD_AT_ISSUANCE_TO_WORST")</f>
        <v>#N/A Requesting Data...</v>
      </c>
      <c r="H1971" t="str">
        <f>_xll.BDP("825485WG Muni","ISSUE_DT")</f>
        <v>#N/A Requesting Data...</v>
      </c>
      <c r="I1971" t="str">
        <f>_xll.BDS("825485WG Muni","MUNI_PURPOSE_SCHED", "aggregate=y")</f>
        <v>#N/A Requesting Data...</v>
      </c>
      <c r="J1971" t="str">
        <f>_xll.BDP("825485WG Muni","CPN")</f>
        <v>#N/A Requesting Data...</v>
      </c>
      <c r="K1971" t="str">
        <f>_xll.BDP("825485WG Muni","MATURITY")</f>
        <v>#N/A Requesting Data...</v>
      </c>
      <c r="L1971">
        <v>9555000</v>
      </c>
      <c r="M1971" t="str">
        <f>_xll.BDP("825485WG Muni","YIELD_ON_ISSUE_DATE")</f>
        <v>#N/A Requesting Data...</v>
      </c>
      <c r="N1971" t="str">
        <f>_xll.BDP("825485WG Muni","YTW_SPREAD_TO_MATURITY_AT_ISSU")</f>
        <v>#N/A Requesting Data...</v>
      </c>
      <c r="O1971" t="str">
        <f>_xll.BDP("825485WG Muni","BVAL_MID_YTM")</f>
        <v>#N/A Requesting Data...</v>
      </c>
      <c r="P1971" t="str">
        <f>_xll.BDP("825485WG Muni","MUNI_TAX_PROV")</f>
        <v>#N/A Requesting Data...</v>
      </c>
      <c r="Q1971" t="str">
        <f>_xll.BDP("825485WG Muni","MUNI_FED_TAX")</f>
        <v>#N/A Requesting Data...</v>
      </c>
      <c r="R1971" t="str">
        <f>_xll.BDP("825485WG Muni","MUNI_MSRB_VOLUME")</f>
        <v>#N/A Requesting Data...</v>
      </c>
      <c r="S1971" t="str">
        <f>_xll.BDP("825485WG Muni","BB_COMPOSITE")</f>
        <v>#N/A Requesting Data...</v>
      </c>
      <c r="T1971" t="str">
        <f>_xll.BDP("825485WG Muni","LQA_LIQUIDITY_SCORE")</f>
        <v>#N/A Requesting Data...</v>
      </c>
    </row>
    <row r="1972" spans="1:20" x14ac:dyDescent="0.25">
      <c r="A1972" t="str">
        <f>_xll.BDP("825485WH Muni","ID_CUSIP")</f>
        <v>#N/A Requesting Data...</v>
      </c>
      <c r="B1972" t="s">
        <v>472</v>
      </c>
      <c r="C1972" t="str">
        <f>_xll.BDP("825485WH Muni","INSURANCE_STATUS")</f>
        <v>#N/A Requesting Data...</v>
      </c>
      <c r="D1972" t="str">
        <f>_xll.BDP("825485WH Muni","STATE_CODE")</f>
        <v>#N/A Requesting Data...</v>
      </c>
      <c r="E1972" t="str">
        <f>_xll.BDP("825485WH Muni","COUNTY_LOCATION_ISSUER")</f>
        <v>#N/A Requesting Data...</v>
      </c>
      <c r="F1972" t="str">
        <f>_xll.BDP("825485WH Muni","DUR_ADJ_MID")</f>
        <v>#N/A Requesting Data...</v>
      </c>
      <c r="G1972" t="str">
        <f>_xll.BDP("825485WH Muni","SPREAD_AT_ISSUANCE_TO_WORST")</f>
        <v>#N/A Requesting Data...</v>
      </c>
      <c r="H1972" t="str">
        <f>_xll.BDP("825485WH Muni","ISSUE_DT")</f>
        <v>#N/A Requesting Data...</v>
      </c>
      <c r="I1972" t="str">
        <f>_xll.BDS("825485WH Muni","MUNI_PURPOSE_SCHED", "aggregate=y")</f>
        <v>#N/A Requesting Data...</v>
      </c>
      <c r="J1972" t="str">
        <f>_xll.BDP("825485WH Muni","CPN")</f>
        <v>#N/A Requesting Data...</v>
      </c>
      <c r="K1972" t="str">
        <f>_xll.BDP("825485WH Muni","MATURITY")</f>
        <v>#N/A Requesting Data...</v>
      </c>
      <c r="L1972">
        <v>5275000</v>
      </c>
      <c r="M1972" t="str">
        <f>_xll.BDP("825485WH Muni","YIELD_ON_ISSUE_DATE")</f>
        <v>#N/A Requesting Data...</v>
      </c>
      <c r="N1972" t="str">
        <f>_xll.BDP("825485WH Muni","YTW_SPREAD_TO_MATURITY_AT_ISSU")</f>
        <v>#N/A Requesting Data...</v>
      </c>
      <c r="O1972" t="str">
        <f>_xll.BDP("825485WH Muni","BVAL_MID_YTM")</f>
        <v>#N/A Requesting Data...</v>
      </c>
      <c r="P1972" t="str">
        <f>_xll.BDP("825485WH Muni","MUNI_TAX_PROV")</f>
        <v>#N/A Requesting Data...</v>
      </c>
      <c r="Q1972" t="str">
        <f>_xll.BDP("825485WH Muni","MUNI_FED_TAX")</f>
        <v>#N/A Requesting Data...</v>
      </c>
      <c r="R1972" t="str">
        <f>_xll.BDP("825485WH Muni","MUNI_MSRB_VOLUME")</f>
        <v>#N/A Requesting Data...</v>
      </c>
      <c r="S1972" t="str">
        <f>_xll.BDP("825485WH Muni","BB_COMPOSITE")</f>
        <v>#N/A Requesting Data...</v>
      </c>
      <c r="T1972" t="str">
        <f>_xll.BDP("825485WH Muni","LQA_LIQUIDITY_SCORE")</f>
        <v>#N/A Requesting Data...</v>
      </c>
    </row>
    <row r="1973" spans="1:20" x14ac:dyDescent="0.25">
      <c r="A1973" t="str">
        <f>_xll.BDP("825485WJ Muni","ID_CUSIP")</f>
        <v>#N/A Requesting Data...</v>
      </c>
      <c r="B1973" t="s">
        <v>472</v>
      </c>
      <c r="C1973" t="str">
        <f>_xll.BDP("825485WJ Muni","INSURANCE_STATUS")</f>
        <v>#N/A Requesting Data...</v>
      </c>
      <c r="D1973" t="str">
        <f>_xll.BDP("825485WJ Muni","STATE_CODE")</f>
        <v>#N/A Requesting Data...</v>
      </c>
      <c r="E1973" t="str">
        <f>_xll.BDP("825485WJ Muni","COUNTY_LOCATION_ISSUER")</f>
        <v>#N/A Requesting Data...</v>
      </c>
      <c r="F1973" t="str">
        <f>_xll.BDP("825485WJ Muni","DUR_ADJ_MID")</f>
        <v>#N/A Requesting Data...</v>
      </c>
      <c r="G1973" t="str">
        <f>_xll.BDP("825485WJ Muni","SPREAD_AT_ISSUANCE_TO_WORST")</f>
        <v>#N/A Requesting Data...</v>
      </c>
      <c r="H1973" t="str">
        <f>_xll.BDP("825485WJ Muni","ISSUE_DT")</f>
        <v>#N/A Requesting Data...</v>
      </c>
      <c r="I1973" t="str">
        <f>_xll.BDS("825485WJ Muni","MUNI_PURPOSE_SCHED", "aggregate=y")</f>
        <v>#N/A Requesting Data...</v>
      </c>
      <c r="J1973" t="str">
        <f>_xll.BDP("825485WJ Muni","CPN")</f>
        <v>#N/A Requesting Data...</v>
      </c>
      <c r="K1973" t="str">
        <f>_xll.BDP("825485WJ Muni","MATURITY")</f>
        <v>#N/A Requesting Data...</v>
      </c>
      <c r="L1973">
        <v>1935000</v>
      </c>
      <c r="M1973" t="str">
        <f>_xll.BDP("825485WJ Muni","YIELD_ON_ISSUE_DATE")</f>
        <v>#N/A Requesting Data...</v>
      </c>
      <c r="N1973" t="str">
        <f>_xll.BDP("825485WJ Muni","YTW_SPREAD_TO_MATURITY_AT_ISSU")</f>
        <v>#N/A Requesting Data...</v>
      </c>
      <c r="O1973" t="str">
        <f>_xll.BDP("825485WJ Muni","BVAL_MID_YTM")</f>
        <v>#N/A Requesting Data...</v>
      </c>
      <c r="P1973" t="str">
        <f>_xll.BDP("825485WJ Muni","MUNI_TAX_PROV")</f>
        <v>#N/A Requesting Data...</v>
      </c>
      <c r="Q1973" t="str">
        <f>_xll.BDP("825485WJ Muni","MUNI_FED_TAX")</f>
        <v>#N/A Requesting Data...</v>
      </c>
      <c r="R1973" t="str">
        <f>_xll.BDP("825485WJ Muni","MUNI_MSRB_VOLUME")</f>
        <v>#N/A Requesting Data...</v>
      </c>
      <c r="S1973" t="str">
        <f>_xll.BDP("825485WJ Muni","BB_COMPOSITE")</f>
        <v>#N/A Requesting Data...</v>
      </c>
      <c r="T1973" t="str">
        <f>_xll.BDP("825485WJ Muni","LQA_LIQUIDITY_SCORE")</f>
        <v>#N/A Requesting Data...</v>
      </c>
    </row>
    <row r="1974" spans="1:20" x14ac:dyDescent="0.25">
      <c r="A1974" t="str">
        <f>_xll.BDP("825485WW Muni","ID_CUSIP")</f>
        <v>#N/A Requesting Data...</v>
      </c>
      <c r="B1974" t="s">
        <v>472</v>
      </c>
      <c r="C1974" t="str">
        <f>_xll.BDP("825485WW Muni","INSURANCE_STATUS")</f>
        <v>#N/A Requesting Data...</v>
      </c>
      <c r="D1974" t="str">
        <f>_xll.BDP("825485WW Muni","STATE_CODE")</f>
        <v>#N/A Requesting Data...</v>
      </c>
      <c r="E1974" t="str">
        <f>_xll.BDP("825485WW Muni","COUNTY_LOCATION_ISSUER")</f>
        <v>#N/A Requesting Data...</v>
      </c>
      <c r="F1974" t="str">
        <f>_xll.BDP("825485WW Muni","DUR_ADJ_MID")</f>
        <v>#N/A Requesting Data...</v>
      </c>
      <c r="G1974" t="str">
        <f>_xll.BDP("825485WW Muni","SPREAD_AT_ISSUANCE_TO_WORST")</f>
        <v>#N/A Requesting Data...</v>
      </c>
      <c r="H1974" t="str">
        <f>_xll.BDP("825485WW Muni","ISSUE_DT")</f>
        <v>#N/A Requesting Data...</v>
      </c>
      <c r="I1974" t="str">
        <f>_xll.BDS("825485WW Muni","MUNI_PURPOSE_SCHED", "aggregate=y")</f>
        <v>#N/A Requesting Data...</v>
      </c>
      <c r="J1974" t="str">
        <f>_xll.BDP("825485WW Muni","CPN")</f>
        <v>#N/A Requesting Data...</v>
      </c>
      <c r="K1974" t="str">
        <f>_xll.BDP("825485WW Muni","MATURITY")</f>
        <v>#N/A Requesting Data...</v>
      </c>
      <c r="L1974">
        <v>3645000</v>
      </c>
      <c r="M1974" t="str">
        <f>_xll.BDP("825485WW Muni","YIELD_ON_ISSUE_DATE")</f>
        <v>#N/A Requesting Data...</v>
      </c>
      <c r="N1974" t="str">
        <f>_xll.BDP("825485WW Muni","YTW_SPREAD_TO_MATURITY_AT_ISSU")</f>
        <v>#N/A Requesting Data...</v>
      </c>
      <c r="O1974" t="str">
        <f>_xll.BDP("825485WW Muni","BVAL_MID_YTM")</f>
        <v>#N/A Requesting Data...</v>
      </c>
      <c r="P1974" t="str">
        <f>_xll.BDP("825485WW Muni","MUNI_TAX_PROV")</f>
        <v>#N/A Requesting Data...</v>
      </c>
      <c r="Q1974" t="str">
        <f>_xll.BDP("825485WW Muni","MUNI_FED_TAX")</f>
        <v>#N/A Requesting Data...</v>
      </c>
      <c r="R1974" t="str">
        <f>_xll.BDP("825485WW Muni","MUNI_MSRB_VOLUME")</f>
        <v>#N/A Requesting Data...</v>
      </c>
      <c r="S1974" t="str">
        <f>_xll.BDP("825485WW Muni","BB_COMPOSITE")</f>
        <v>#N/A Requesting Data...</v>
      </c>
      <c r="T1974" t="str">
        <f>_xll.BDP("825485WW Muni","LQA_LIQUIDITY_SCORE")</f>
        <v>#N/A Requesting Data...</v>
      </c>
    </row>
    <row r="1975" spans="1:20" x14ac:dyDescent="0.25">
      <c r="A1975" t="str">
        <f>_xll.BDP("91529NHJ Muni","ID_CUSIP")</f>
        <v>#N/A Requesting Data...</v>
      </c>
      <c r="B1975" t="s">
        <v>473</v>
      </c>
      <c r="C1975" t="str">
        <f>_xll.BDP("91529NHJ Muni","INSURANCE_STATUS")</f>
        <v>#N/A Requesting Data...</v>
      </c>
      <c r="D1975" t="str">
        <f>_xll.BDP("91529NHJ Muni","STATE_CODE")</f>
        <v>#N/A Requesting Data...</v>
      </c>
      <c r="E1975" t="str">
        <f>_xll.BDP("91529NHJ Muni","COUNTY_LOCATION_ISSUER")</f>
        <v>#N/A Requesting Data...</v>
      </c>
      <c r="F1975" t="str">
        <f>_xll.BDP("91529NHJ Muni","DUR_ADJ_MID")</f>
        <v>#N/A Requesting Data...</v>
      </c>
      <c r="G1975" t="str">
        <f>_xll.BDP("91529NHJ Muni","SPREAD_AT_ISSUANCE_TO_WORST")</f>
        <v>#N/A Requesting Data...</v>
      </c>
      <c r="H1975" t="str">
        <f>_xll.BDP("91529NHJ Muni","ISSUE_DT")</f>
        <v>#N/A Requesting Data...</v>
      </c>
      <c r="I1975" t="str">
        <f>_xll.BDS("91529NHJ Muni","MUNI_PURPOSE_SCHED", "aggregate=y")</f>
        <v>#N/A Requesting Data...</v>
      </c>
      <c r="J1975" t="str">
        <f>_xll.BDP("91529NHJ Muni","CPN")</f>
        <v>#N/A Requesting Data...</v>
      </c>
      <c r="K1975" t="str">
        <f>_xll.BDP("91529NHJ Muni","MATURITY")</f>
        <v>#N/A Requesting Data...</v>
      </c>
      <c r="L1975">
        <v>50000</v>
      </c>
      <c r="M1975" t="str">
        <f>_xll.BDP("91529NHJ Muni","YIELD_ON_ISSUE_DATE")</f>
        <v>#N/A Requesting Data...</v>
      </c>
      <c r="N1975" t="str">
        <f>_xll.BDP("91529NHJ Muni","YTW_SPREAD_TO_MATURITY_AT_ISSU")</f>
        <v>#N/A Requesting Data...</v>
      </c>
      <c r="O1975" t="str">
        <f>_xll.BDP("91529NHJ Muni","BVAL_MID_YTM")</f>
        <v>#N/A Requesting Data...</v>
      </c>
      <c r="P1975" t="str">
        <f>_xll.BDP("91529NHJ Muni","MUNI_TAX_PROV")</f>
        <v>#N/A Requesting Data...</v>
      </c>
      <c r="Q1975" t="str">
        <f>_xll.BDP("91529NHJ Muni","MUNI_FED_TAX")</f>
        <v>#N/A Requesting Data...</v>
      </c>
      <c r="R1975" t="str">
        <f>_xll.BDP("91529NHJ Muni","MUNI_MSRB_VOLUME")</f>
        <v>#N/A Requesting Data...</v>
      </c>
      <c r="S1975" t="str">
        <f>_xll.BDP("91529NHJ Muni","BB_COMPOSITE")</f>
        <v>#N/A Requesting Data...</v>
      </c>
      <c r="T1975" t="str">
        <f>_xll.BDP("91529NHJ Muni","LQA_LIQUIDITY_SCORE")</f>
        <v>#N/A Requesting Data...</v>
      </c>
    </row>
    <row r="1976" spans="1:20" x14ac:dyDescent="0.25">
      <c r="A1976" t="str">
        <f>_xll.BDP("91529NHK Muni","ID_CUSIP")</f>
        <v>#N/A Requesting Data...</v>
      </c>
      <c r="B1976" t="s">
        <v>473</v>
      </c>
      <c r="C1976" t="str">
        <f>_xll.BDP("91529NHK Muni","INSURANCE_STATUS")</f>
        <v>#N/A Requesting Data...</v>
      </c>
      <c r="D1976" t="str">
        <f>_xll.BDP("91529NHK Muni","STATE_CODE")</f>
        <v>#N/A Requesting Data...</v>
      </c>
      <c r="E1976" t="str">
        <f>_xll.BDP("91529NHK Muni","COUNTY_LOCATION_ISSUER")</f>
        <v>#N/A Requesting Data...</v>
      </c>
      <c r="F1976" t="str">
        <f>_xll.BDP("91529NHK Muni","DUR_ADJ_MID")</f>
        <v>#N/A Requesting Data...</v>
      </c>
      <c r="G1976" t="str">
        <f>_xll.BDP("91529NHK Muni","SPREAD_AT_ISSUANCE_TO_WORST")</f>
        <v>#N/A Requesting Data...</v>
      </c>
      <c r="H1976" t="str">
        <f>_xll.BDP("91529NHK Muni","ISSUE_DT")</f>
        <v>#N/A Requesting Data...</v>
      </c>
      <c r="I1976" t="str">
        <f>_xll.BDS("91529NHK Muni","MUNI_PURPOSE_SCHED", "aggregate=y")</f>
        <v>#N/A Requesting Data...</v>
      </c>
      <c r="J1976" t="str">
        <f>_xll.BDP("91529NHK Muni","CPN")</f>
        <v>#N/A Requesting Data...</v>
      </c>
      <c r="K1976" t="str">
        <f>_xll.BDP("91529NHK Muni","MATURITY")</f>
        <v>#N/A Requesting Data...</v>
      </c>
      <c r="L1976">
        <v>50000</v>
      </c>
      <c r="M1976" t="str">
        <f>_xll.BDP("91529NHK Muni","YIELD_ON_ISSUE_DATE")</f>
        <v>#N/A Requesting Data...</v>
      </c>
      <c r="N1976" t="str">
        <f>_xll.BDP("91529NHK Muni","YTW_SPREAD_TO_MATURITY_AT_ISSU")</f>
        <v>#N/A Requesting Data...</v>
      </c>
      <c r="O1976" t="str">
        <f>_xll.BDP("91529NHK Muni","BVAL_MID_YTM")</f>
        <v>#N/A Requesting Data...</v>
      </c>
      <c r="P1976" t="str">
        <f>_xll.BDP("91529NHK Muni","MUNI_TAX_PROV")</f>
        <v>#N/A Requesting Data...</v>
      </c>
      <c r="Q1976" t="str">
        <f>_xll.BDP("91529NHK Muni","MUNI_FED_TAX")</f>
        <v>#N/A Requesting Data...</v>
      </c>
      <c r="R1976" t="str">
        <f>_xll.BDP("91529NHK Muni","MUNI_MSRB_VOLUME")</f>
        <v>#N/A Requesting Data...</v>
      </c>
      <c r="S1976" t="str">
        <f>_xll.BDP("91529NHK Muni","BB_COMPOSITE")</f>
        <v>#N/A Requesting Data...</v>
      </c>
      <c r="T1976" t="str">
        <f>_xll.BDP("91529NHK Muni","LQA_LIQUIDITY_SCORE")</f>
        <v>#N/A Requesting Data...</v>
      </c>
    </row>
    <row r="1977" spans="1:20" x14ac:dyDescent="0.25">
      <c r="A1977" t="str">
        <f>_xll.BDP("861879DF Muni","ID_CUSIP")</f>
        <v>#N/A Requesting Data...</v>
      </c>
      <c r="B1977" t="s">
        <v>474</v>
      </c>
      <c r="C1977" t="str">
        <f>_xll.BDP("861879DF Muni","INSURANCE_STATUS")</f>
        <v>#N/A Requesting Data...</v>
      </c>
      <c r="D1977" t="str">
        <f>_xll.BDP("861879DF Muni","STATE_CODE")</f>
        <v>#N/A Requesting Data...</v>
      </c>
      <c r="E1977" t="str">
        <f>_xll.BDP("861879DF Muni","COUNTY_LOCATION_ISSUER")</f>
        <v>#N/A Requesting Data...</v>
      </c>
      <c r="F1977" t="str">
        <f>_xll.BDP("861879DF Muni","DUR_ADJ_MID")</f>
        <v>#N/A Requesting Data...</v>
      </c>
      <c r="G1977" t="str">
        <f>_xll.BDP("861879DF Muni","SPREAD_AT_ISSUANCE_TO_WORST")</f>
        <v>#N/A Requesting Data...</v>
      </c>
      <c r="H1977" t="str">
        <f>_xll.BDP("861879DF Muni","ISSUE_DT")</f>
        <v>#N/A Requesting Data...</v>
      </c>
      <c r="I1977" t="str">
        <f>_xll.BDS("861879DF Muni","MUNI_PURPOSE_SCHED", "aggregate=y")</f>
        <v>#N/A Requesting Data...</v>
      </c>
      <c r="J1977" t="str">
        <f>_xll.BDP("861879DF Muni","CPN")</f>
        <v>#N/A Requesting Data...</v>
      </c>
      <c r="K1977" t="str">
        <f>_xll.BDP("861879DF Muni","MATURITY")</f>
        <v>#N/A Requesting Data...</v>
      </c>
      <c r="L1977">
        <v>50000</v>
      </c>
      <c r="M1977" t="str">
        <f>_xll.BDP("861879DF Muni","YIELD_ON_ISSUE_DATE")</f>
        <v>#N/A Requesting Data...</v>
      </c>
      <c r="N1977" t="str">
        <f>_xll.BDP("861879DF Muni","YTW_SPREAD_TO_MATURITY_AT_ISSU")</f>
        <v>#N/A Requesting Data...</v>
      </c>
      <c r="O1977" t="str">
        <f>_xll.BDP("861879DF Muni","BVAL_MID_YTM")</f>
        <v>#N/A Requesting Data...</v>
      </c>
      <c r="P1977" t="str">
        <f>_xll.BDP("861879DF Muni","MUNI_TAX_PROV")</f>
        <v>#N/A Requesting Data...</v>
      </c>
      <c r="Q1977" t="str">
        <f>_xll.BDP("861879DF Muni","MUNI_FED_TAX")</f>
        <v>#N/A Requesting Data...</v>
      </c>
      <c r="R1977" t="str">
        <f>_xll.BDP("861879DF Muni","MUNI_MSRB_VOLUME")</f>
        <v>#N/A Requesting Data...</v>
      </c>
      <c r="S1977" t="str">
        <f>_xll.BDP("861879DF Muni","BB_COMPOSITE")</f>
        <v>#N/A Requesting Data...</v>
      </c>
      <c r="T1977" t="str">
        <f>_xll.BDP("861879DF Muni","LQA_LIQUIDITY_SCORE")</f>
        <v>#N/A Requesting Data...</v>
      </c>
    </row>
    <row r="1978" spans="1:20" x14ac:dyDescent="0.25">
      <c r="A1978" t="str">
        <f>_xll.BDP("861879DG Muni","ID_CUSIP")</f>
        <v>#N/A Requesting Data...</v>
      </c>
      <c r="B1978" t="s">
        <v>474</v>
      </c>
      <c r="C1978" t="str">
        <f>_xll.BDP("861879DG Muni","INSURANCE_STATUS")</f>
        <v>#N/A Requesting Data...</v>
      </c>
      <c r="D1978" t="str">
        <f>_xll.BDP("861879DG Muni","STATE_CODE")</f>
        <v>#N/A Requesting Data...</v>
      </c>
      <c r="E1978" t="str">
        <f>_xll.BDP("861879DG Muni","COUNTY_LOCATION_ISSUER")</f>
        <v>#N/A Requesting Data...</v>
      </c>
      <c r="F1978" t="str">
        <f>_xll.BDP("861879DG Muni","DUR_ADJ_MID")</f>
        <v>#N/A Requesting Data...</v>
      </c>
      <c r="G1978" t="str">
        <f>_xll.BDP("861879DG Muni","SPREAD_AT_ISSUANCE_TO_WORST")</f>
        <v>#N/A Requesting Data...</v>
      </c>
      <c r="H1978" t="str">
        <f>_xll.BDP("861879DG Muni","ISSUE_DT")</f>
        <v>#N/A Requesting Data...</v>
      </c>
      <c r="I1978" t="str">
        <f>_xll.BDS("861879DG Muni","MUNI_PURPOSE_SCHED", "aggregate=y")</f>
        <v>#N/A Requesting Data...</v>
      </c>
      <c r="J1978" t="str">
        <f>_xll.BDP("861879DG Muni","CPN")</f>
        <v>#N/A Requesting Data...</v>
      </c>
      <c r="K1978" t="str">
        <f>_xll.BDP("861879DG Muni","MATURITY")</f>
        <v>#N/A Requesting Data...</v>
      </c>
      <c r="L1978">
        <v>55000</v>
      </c>
      <c r="M1978" t="str">
        <f>_xll.BDP("861879DG Muni","YIELD_ON_ISSUE_DATE")</f>
        <v>#N/A Requesting Data...</v>
      </c>
      <c r="N1978" t="str">
        <f>_xll.BDP("861879DG Muni","YTW_SPREAD_TO_MATURITY_AT_ISSU")</f>
        <v>#N/A Requesting Data...</v>
      </c>
      <c r="O1978" t="str">
        <f>_xll.BDP("861879DG Muni","BVAL_MID_YTM")</f>
        <v>#N/A Requesting Data...</v>
      </c>
      <c r="P1978" t="str">
        <f>_xll.BDP("861879DG Muni","MUNI_TAX_PROV")</f>
        <v>#N/A Requesting Data...</v>
      </c>
      <c r="Q1978" t="str">
        <f>_xll.BDP("861879DG Muni","MUNI_FED_TAX")</f>
        <v>#N/A Requesting Data...</v>
      </c>
      <c r="R1978" t="str">
        <f>_xll.BDP("861879DG Muni","MUNI_MSRB_VOLUME")</f>
        <v>#N/A Requesting Data...</v>
      </c>
      <c r="S1978" t="str">
        <f>_xll.BDP("861879DG Muni","BB_COMPOSITE")</f>
        <v>#N/A Requesting Data...</v>
      </c>
      <c r="T1978" t="str">
        <f>_xll.BDP("861879DG Muni","LQA_LIQUIDITY_SCORE")</f>
        <v>#N/A Requesting Data...</v>
      </c>
    </row>
    <row r="1979" spans="1:20" x14ac:dyDescent="0.25">
      <c r="A1979" t="str">
        <f>_xll.BDP("861879DH Muni","ID_CUSIP")</f>
        <v>#N/A Requesting Data...</v>
      </c>
      <c r="B1979" t="s">
        <v>474</v>
      </c>
      <c r="C1979" t="str">
        <f>_xll.BDP("861879DH Muni","INSURANCE_STATUS")</f>
        <v>#N/A Requesting Data...</v>
      </c>
      <c r="D1979" t="str">
        <f>_xll.BDP("861879DH Muni","STATE_CODE")</f>
        <v>#N/A Requesting Data...</v>
      </c>
      <c r="E1979" t="str">
        <f>_xll.BDP("861879DH Muni","COUNTY_LOCATION_ISSUER")</f>
        <v>#N/A Requesting Data...</v>
      </c>
      <c r="F1979" t="str">
        <f>_xll.BDP("861879DH Muni","DUR_ADJ_MID")</f>
        <v>#N/A Requesting Data...</v>
      </c>
      <c r="G1979" t="str">
        <f>_xll.BDP("861879DH Muni","SPREAD_AT_ISSUANCE_TO_WORST")</f>
        <v>#N/A Requesting Data...</v>
      </c>
      <c r="H1979" t="str">
        <f>_xll.BDP("861879DH Muni","ISSUE_DT")</f>
        <v>#N/A Requesting Data...</v>
      </c>
      <c r="I1979" t="str">
        <f>_xll.BDS("861879DH Muni","MUNI_PURPOSE_SCHED", "aggregate=y")</f>
        <v>#N/A Requesting Data...</v>
      </c>
      <c r="J1979" t="str">
        <f>_xll.BDP("861879DH Muni","CPN")</f>
        <v>#N/A Requesting Data...</v>
      </c>
      <c r="K1979" t="str">
        <f>_xll.BDP("861879DH Muni","MATURITY")</f>
        <v>#N/A Requesting Data...</v>
      </c>
      <c r="L1979">
        <v>60000</v>
      </c>
      <c r="M1979" t="str">
        <f>_xll.BDP("861879DH Muni","YIELD_ON_ISSUE_DATE")</f>
        <v>#N/A Requesting Data...</v>
      </c>
      <c r="N1979" t="str">
        <f>_xll.BDP("861879DH Muni","YTW_SPREAD_TO_MATURITY_AT_ISSU")</f>
        <v>#N/A Requesting Data...</v>
      </c>
      <c r="O1979" t="str">
        <f>_xll.BDP("861879DH Muni","BVAL_MID_YTM")</f>
        <v>#N/A Requesting Data...</v>
      </c>
      <c r="P1979" t="str">
        <f>_xll.BDP("861879DH Muni","MUNI_TAX_PROV")</f>
        <v>#N/A Requesting Data...</v>
      </c>
      <c r="Q1979" t="str">
        <f>_xll.BDP("861879DH Muni","MUNI_FED_TAX")</f>
        <v>#N/A Requesting Data...</v>
      </c>
      <c r="R1979" t="str">
        <f>_xll.BDP("861879DH Muni","MUNI_MSRB_VOLUME")</f>
        <v>#N/A Requesting Data...</v>
      </c>
      <c r="S1979" t="str">
        <f>_xll.BDP("861879DH Muni","BB_COMPOSITE")</f>
        <v>#N/A Requesting Data...</v>
      </c>
      <c r="T1979" t="str">
        <f>_xll.BDP("861879DH Muni","LQA_LIQUIDITY_SCORE")</f>
        <v>#N/A Requesting Data...</v>
      </c>
    </row>
    <row r="1980" spans="1:20" x14ac:dyDescent="0.25">
      <c r="A1980" t="str">
        <f>_xll.BDP("861879DJ Muni","ID_CUSIP")</f>
        <v>#N/A Requesting Data...</v>
      </c>
      <c r="B1980" t="s">
        <v>474</v>
      </c>
      <c r="C1980" t="str">
        <f>_xll.BDP("861879DJ Muni","INSURANCE_STATUS")</f>
        <v>#N/A Requesting Data...</v>
      </c>
      <c r="D1980" t="str">
        <f>_xll.BDP("861879DJ Muni","STATE_CODE")</f>
        <v>#N/A Requesting Data...</v>
      </c>
      <c r="E1980" t="str">
        <f>_xll.BDP("861879DJ Muni","COUNTY_LOCATION_ISSUER")</f>
        <v>#N/A Requesting Data...</v>
      </c>
      <c r="F1980" t="str">
        <f>_xll.BDP("861879DJ Muni","DUR_ADJ_MID")</f>
        <v>#N/A Requesting Data...</v>
      </c>
      <c r="G1980" t="str">
        <f>_xll.BDP("861879DJ Muni","SPREAD_AT_ISSUANCE_TO_WORST")</f>
        <v>#N/A Requesting Data...</v>
      </c>
      <c r="H1980" t="str">
        <f>_xll.BDP("861879DJ Muni","ISSUE_DT")</f>
        <v>#N/A Requesting Data...</v>
      </c>
      <c r="I1980" t="str">
        <f>_xll.BDS("861879DJ Muni","MUNI_PURPOSE_SCHED", "aggregate=y")</f>
        <v>#N/A Requesting Data...</v>
      </c>
      <c r="J1980" t="str">
        <f>_xll.BDP("861879DJ Muni","CPN")</f>
        <v>#N/A Requesting Data...</v>
      </c>
      <c r="K1980" t="str">
        <f>_xll.BDP("861879DJ Muni","MATURITY")</f>
        <v>#N/A Requesting Data...</v>
      </c>
      <c r="L1980">
        <v>60000</v>
      </c>
      <c r="M1980" t="str">
        <f>_xll.BDP("861879DJ Muni","YIELD_ON_ISSUE_DATE")</f>
        <v>#N/A Requesting Data...</v>
      </c>
      <c r="N1980" t="str">
        <f>_xll.BDP("861879DJ Muni","YTW_SPREAD_TO_MATURITY_AT_ISSU")</f>
        <v>#N/A Requesting Data...</v>
      </c>
      <c r="O1980" t="str">
        <f>_xll.BDP("861879DJ Muni","BVAL_MID_YTM")</f>
        <v>#N/A Requesting Data...</v>
      </c>
      <c r="P1980" t="str">
        <f>_xll.BDP("861879DJ Muni","MUNI_TAX_PROV")</f>
        <v>#N/A Requesting Data...</v>
      </c>
      <c r="Q1980" t="str">
        <f>_xll.BDP("861879DJ Muni","MUNI_FED_TAX")</f>
        <v>#N/A Requesting Data...</v>
      </c>
      <c r="R1980" t="str">
        <f>_xll.BDP("861879DJ Muni","MUNI_MSRB_VOLUME")</f>
        <v>#N/A Requesting Data...</v>
      </c>
      <c r="S1980" t="str">
        <f>_xll.BDP("861879DJ Muni","BB_COMPOSITE")</f>
        <v>#N/A Requesting Data...</v>
      </c>
      <c r="T1980" t="str">
        <f>_xll.BDP("861879DJ Muni","LQA_LIQUIDITY_SCORE")</f>
        <v>#N/A Requesting Data...</v>
      </c>
    </row>
    <row r="1981" spans="1:20" x14ac:dyDescent="0.25">
      <c r="A1981" t="str">
        <f>_xll.BDP("862318J6 Muni","ID_CUSIP")</f>
        <v>#N/A Requesting Data...</v>
      </c>
      <c r="B1981" t="s">
        <v>475</v>
      </c>
      <c r="C1981" t="str">
        <f>_xll.BDP("862318J6 Muni","INSURANCE_STATUS")</f>
        <v>#N/A Requesting Data...</v>
      </c>
      <c r="D1981" t="str">
        <f>_xll.BDP("862318J6 Muni","STATE_CODE")</f>
        <v>#N/A Requesting Data...</v>
      </c>
      <c r="E1981" t="str">
        <f>_xll.BDP("862318J6 Muni","COUNTY_LOCATION_ISSUER")</f>
        <v>#N/A Requesting Data...</v>
      </c>
      <c r="F1981" t="str">
        <f>_xll.BDP("862318J6 Muni","DUR_ADJ_MID")</f>
        <v>#N/A Requesting Data...</v>
      </c>
      <c r="G1981" t="str">
        <f>_xll.BDP("862318J6 Muni","SPREAD_AT_ISSUANCE_TO_WORST")</f>
        <v>#N/A Requesting Data...</v>
      </c>
      <c r="H1981" t="str">
        <f>_xll.BDP("862318J6 Muni","ISSUE_DT")</f>
        <v>#N/A Requesting Data...</v>
      </c>
      <c r="I1981" t="str">
        <f>_xll.BDS("862318J6 Muni","MUNI_PURPOSE_SCHED", "aggregate=y")</f>
        <v>#N/A Requesting Data...</v>
      </c>
      <c r="J1981" t="str">
        <f>_xll.BDP("862318J6 Muni","CPN")</f>
        <v>#N/A Requesting Data...</v>
      </c>
      <c r="K1981" t="str">
        <f>_xll.BDP("862318J6 Muni","MATURITY")</f>
        <v>#N/A Requesting Data...</v>
      </c>
      <c r="L1981">
        <v>810000</v>
      </c>
      <c r="M1981" t="str">
        <f>_xll.BDP("862318J6 Muni","YIELD_ON_ISSUE_DATE")</f>
        <v>#N/A Requesting Data...</v>
      </c>
      <c r="N1981" t="str">
        <f>_xll.BDP("862318J6 Muni","YTW_SPREAD_TO_MATURITY_AT_ISSU")</f>
        <v>#N/A Requesting Data...</v>
      </c>
      <c r="O1981" t="str">
        <f>_xll.BDP("862318J6 Muni","BVAL_MID_YTM")</f>
        <v>#N/A Requesting Data...</v>
      </c>
      <c r="P1981" t="str">
        <f>_xll.BDP("862318J6 Muni","MUNI_TAX_PROV")</f>
        <v>#N/A Requesting Data...</v>
      </c>
      <c r="Q1981" t="str">
        <f>_xll.BDP("862318J6 Muni","MUNI_FED_TAX")</f>
        <v>#N/A Requesting Data...</v>
      </c>
      <c r="R1981" t="str">
        <f>_xll.BDP("862318J6 Muni","MUNI_MSRB_VOLUME")</f>
        <v>#N/A Requesting Data...</v>
      </c>
      <c r="S1981" t="str">
        <f>_xll.BDP("862318J6 Muni","BB_COMPOSITE")</f>
        <v>#N/A Requesting Data...</v>
      </c>
      <c r="T1981" t="str">
        <f>_xll.BDP("862318J6 Muni","LQA_LIQUIDITY_SCORE")</f>
        <v>#N/A Requesting Data...</v>
      </c>
    </row>
    <row r="1982" spans="1:20" x14ac:dyDescent="0.25">
      <c r="A1982" t="str">
        <f>_xll.BDP("862318J7 Muni","ID_CUSIP")</f>
        <v>#N/A Requesting Data...</v>
      </c>
      <c r="B1982" t="s">
        <v>475</v>
      </c>
      <c r="C1982" t="str">
        <f>_xll.BDP("862318J7 Muni","INSURANCE_STATUS")</f>
        <v>#N/A Requesting Data...</v>
      </c>
      <c r="D1982" t="str">
        <f>_xll.BDP("862318J7 Muni","STATE_CODE")</f>
        <v>#N/A Requesting Data...</v>
      </c>
      <c r="E1982" t="str">
        <f>_xll.BDP("862318J7 Muni","COUNTY_LOCATION_ISSUER")</f>
        <v>#N/A Requesting Data...</v>
      </c>
      <c r="F1982" t="str">
        <f>_xll.BDP("862318J7 Muni","DUR_ADJ_MID")</f>
        <v>#N/A Requesting Data...</v>
      </c>
      <c r="G1982" t="str">
        <f>_xll.BDP("862318J7 Muni","SPREAD_AT_ISSUANCE_TO_WORST")</f>
        <v>#N/A Requesting Data...</v>
      </c>
      <c r="H1982" t="str">
        <f>_xll.BDP("862318J7 Muni","ISSUE_DT")</f>
        <v>#N/A Requesting Data...</v>
      </c>
      <c r="I1982" t="str">
        <f>_xll.BDS("862318J7 Muni","MUNI_PURPOSE_SCHED", "aggregate=y")</f>
        <v>#N/A Requesting Data...</v>
      </c>
      <c r="J1982" t="str">
        <f>_xll.BDP("862318J7 Muni","CPN")</f>
        <v>#N/A Requesting Data...</v>
      </c>
      <c r="K1982" t="str">
        <f>_xll.BDP("862318J7 Muni","MATURITY")</f>
        <v>#N/A Requesting Data...</v>
      </c>
      <c r="L1982">
        <v>735000</v>
      </c>
      <c r="M1982" t="str">
        <f>_xll.BDP("862318J7 Muni","YIELD_ON_ISSUE_DATE")</f>
        <v>#N/A Requesting Data...</v>
      </c>
      <c r="N1982" t="str">
        <f>_xll.BDP("862318J7 Muni","YTW_SPREAD_TO_MATURITY_AT_ISSU")</f>
        <v>#N/A Requesting Data...</v>
      </c>
      <c r="O1982" t="str">
        <f>_xll.BDP("862318J7 Muni","BVAL_MID_YTM")</f>
        <v>#N/A Requesting Data...</v>
      </c>
      <c r="P1982" t="str">
        <f>_xll.BDP("862318J7 Muni","MUNI_TAX_PROV")</f>
        <v>#N/A Requesting Data...</v>
      </c>
      <c r="Q1982" t="str">
        <f>_xll.BDP("862318J7 Muni","MUNI_FED_TAX")</f>
        <v>#N/A Requesting Data...</v>
      </c>
      <c r="R1982" t="str">
        <f>_xll.BDP("862318J7 Muni","MUNI_MSRB_VOLUME")</f>
        <v>#N/A Requesting Data...</v>
      </c>
      <c r="S1982" t="str">
        <f>_xll.BDP("862318J7 Muni","BB_COMPOSITE")</f>
        <v>#N/A Requesting Data...</v>
      </c>
      <c r="T1982" t="str">
        <f>_xll.BDP("862318J7 Muni","LQA_LIQUIDITY_SCORE")</f>
        <v>#N/A Requesting Data...</v>
      </c>
    </row>
    <row r="1983" spans="1:20" x14ac:dyDescent="0.25">
      <c r="A1983" t="str">
        <f>_xll.BDP("862318J8 Muni","ID_CUSIP")</f>
        <v>#N/A Requesting Data...</v>
      </c>
      <c r="B1983" t="s">
        <v>475</v>
      </c>
      <c r="C1983" t="str">
        <f>_xll.BDP("862318J8 Muni","INSURANCE_STATUS")</f>
        <v>#N/A Requesting Data...</v>
      </c>
      <c r="D1983" t="str">
        <f>_xll.BDP("862318J8 Muni","STATE_CODE")</f>
        <v>#N/A Requesting Data...</v>
      </c>
      <c r="E1983" t="str">
        <f>_xll.BDP("862318J8 Muni","COUNTY_LOCATION_ISSUER")</f>
        <v>#N/A Requesting Data...</v>
      </c>
      <c r="F1983" t="str">
        <f>_xll.BDP("862318J8 Muni","DUR_ADJ_MID")</f>
        <v>#N/A Requesting Data...</v>
      </c>
      <c r="G1983" t="str">
        <f>_xll.BDP("862318J8 Muni","SPREAD_AT_ISSUANCE_TO_WORST")</f>
        <v>#N/A Requesting Data...</v>
      </c>
      <c r="H1983" t="str">
        <f>_xll.BDP("862318J8 Muni","ISSUE_DT")</f>
        <v>#N/A Requesting Data...</v>
      </c>
      <c r="I1983" t="str">
        <f>_xll.BDS("862318J8 Muni","MUNI_PURPOSE_SCHED", "aggregate=y")</f>
        <v>#N/A Requesting Data...</v>
      </c>
      <c r="J1983" t="str">
        <f>_xll.BDP("862318J8 Muni","CPN")</f>
        <v>#N/A Requesting Data...</v>
      </c>
      <c r="K1983" t="str">
        <f>_xll.BDP("862318J8 Muni","MATURITY")</f>
        <v>#N/A Requesting Data...</v>
      </c>
      <c r="L1983">
        <v>730000</v>
      </c>
      <c r="M1983" t="str">
        <f>_xll.BDP("862318J8 Muni","YIELD_ON_ISSUE_DATE")</f>
        <v>#N/A Requesting Data...</v>
      </c>
      <c r="N1983" t="str">
        <f>_xll.BDP("862318J8 Muni","YTW_SPREAD_TO_MATURITY_AT_ISSU")</f>
        <v>#N/A Requesting Data...</v>
      </c>
      <c r="O1983" t="str">
        <f>_xll.BDP("862318J8 Muni","BVAL_MID_YTM")</f>
        <v>#N/A Requesting Data...</v>
      </c>
      <c r="P1983" t="str">
        <f>_xll.BDP("862318J8 Muni","MUNI_TAX_PROV")</f>
        <v>#N/A Requesting Data...</v>
      </c>
      <c r="Q1983" t="str">
        <f>_xll.BDP("862318J8 Muni","MUNI_FED_TAX")</f>
        <v>#N/A Requesting Data...</v>
      </c>
      <c r="R1983" t="str">
        <f>_xll.BDP("862318J8 Muni","MUNI_MSRB_VOLUME")</f>
        <v>#N/A Requesting Data...</v>
      </c>
      <c r="S1983" t="str">
        <f>_xll.BDP("862318J8 Muni","BB_COMPOSITE")</f>
        <v>#N/A Requesting Data...</v>
      </c>
      <c r="T1983" t="str">
        <f>_xll.BDP("862318J8 Muni","LQA_LIQUIDITY_SCORE")</f>
        <v>#N/A Requesting Data...</v>
      </c>
    </row>
    <row r="1984" spans="1:20" x14ac:dyDescent="0.25">
      <c r="A1984" t="str">
        <f>_xll.BDP("862318J9 Muni","ID_CUSIP")</f>
        <v>#N/A Requesting Data...</v>
      </c>
      <c r="B1984" t="s">
        <v>475</v>
      </c>
      <c r="C1984" t="str">
        <f>_xll.BDP("862318J9 Muni","INSURANCE_STATUS")</f>
        <v>#N/A Requesting Data...</v>
      </c>
      <c r="D1984" t="str">
        <f>_xll.BDP("862318J9 Muni","STATE_CODE")</f>
        <v>#N/A Requesting Data...</v>
      </c>
      <c r="E1984" t="str">
        <f>_xll.BDP("862318J9 Muni","COUNTY_LOCATION_ISSUER")</f>
        <v>#N/A Requesting Data...</v>
      </c>
      <c r="F1984" t="str">
        <f>_xll.BDP("862318J9 Muni","DUR_ADJ_MID")</f>
        <v>#N/A Requesting Data...</v>
      </c>
      <c r="G1984" t="str">
        <f>_xll.BDP("862318J9 Muni","SPREAD_AT_ISSUANCE_TO_WORST")</f>
        <v>#N/A Requesting Data...</v>
      </c>
      <c r="H1984" t="str">
        <f>_xll.BDP("862318J9 Muni","ISSUE_DT")</f>
        <v>#N/A Requesting Data...</v>
      </c>
      <c r="I1984" t="str">
        <f>_xll.BDS("862318J9 Muni","MUNI_PURPOSE_SCHED", "aggregate=y")</f>
        <v>#N/A Requesting Data...</v>
      </c>
      <c r="J1984" t="str">
        <f>_xll.BDP("862318J9 Muni","CPN")</f>
        <v>#N/A Requesting Data...</v>
      </c>
      <c r="K1984" t="str">
        <f>_xll.BDP("862318J9 Muni","MATURITY")</f>
        <v>#N/A Requesting Data...</v>
      </c>
      <c r="L1984">
        <v>725000</v>
      </c>
      <c r="M1984" t="str">
        <f>_xll.BDP("862318J9 Muni","YIELD_ON_ISSUE_DATE")</f>
        <v>#N/A Requesting Data...</v>
      </c>
      <c r="N1984" t="str">
        <f>_xll.BDP("862318J9 Muni","YTW_SPREAD_TO_MATURITY_AT_ISSU")</f>
        <v>#N/A Requesting Data...</v>
      </c>
      <c r="O1984" t="str">
        <f>_xll.BDP("862318J9 Muni","BVAL_MID_YTM")</f>
        <v>#N/A Requesting Data...</v>
      </c>
      <c r="P1984" t="str">
        <f>_xll.BDP("862318J9 Muni","MUNI_TAX_PROV")</f>
        <v>#N/A Requesting Data...</v>
      </c>
      <c r="Q1984" t="str">
        <f>_xll.BDP("862318J9 Muni","MUNI_FED_TAX")</f>
        <v>#N/A Requesting Data...</v>
      </c>
      <c r="R1984" t="str">
        <f>_xll.BDP("862318J9 Muni","MUNI_MSRB_VOLUME")</f>
        <v>#N/A Requesting Data...</v>
      </c>
      <c r="S1984" t="str">
        <f>_xll.BDP("862318J9 Muni","BB_COMPOSITE")</f>
        <v>#N/A Requesting Data...</v>
      </c>
      <c r="T1984" t="str">
        <f>_xll.BDP("862318J9 Muni","LQA_LIQUIDITY_SCORE")</f>
        <v>#N/A Requesting Data...</v>
      </c>
    </row>
    <row r="1985" spans="1:20" x14ac:dyDescent="0.25">
      <c r="A1985" t="str">
        <f>_xll.BDP("862318K2 Muni","ID_CUSIP")</f>
        <v>#N/A Requesting Data...</v>
      </c>
      <c r="B1985" t="s">
        <v>475</v>
      </c>
      <c r="C1985" t="str">
        <f>_xll.BDP("862318K2 Muni","INSURANCE_STATUS")</f>
        <v>#N/A Requesting Data...</v>
      </c>
      <c r="D1985" t="str">
        <f>_xll.BDP("862318K2 Muni","STATE_CODE")</f>
        <v>#N/A Requesting Data...</v>
      </c>
      <c r="E1985" t="str">
        <f>_xll.BDP("862318K2 Muni","COUNTY_LOCATION_ISSUER")</f>
        <v>#N/A Requesting Data...</v>
      </c>
      <c r="F1985" t="str">
        <f>_xll.BDP("862318K2 Muni","DUR_ADJ_MID")</f>
        <v>#N/A Requesting Data...</v>
      </c>
      <c r="G1985" t="str">
        <f>_xll.BDP("862318K2 Muni","SPREAD_AT_ISSUANCE_TO_WORST")</f>
        <v>#N/A Requesting Data...</v>
      </c>
      <c r="H1985" t="str">
        <f>_xll.BDP("862318K2 Muni","ISSUE_DT")</f>
        <v>#N/A Requesting Data...</v>
      </c>
      <c r="I1985" t="str">
        <f>_xll.BDS("862318K2 Muni","MUNI_PURPOSE_SCHED", "aggregate=y")</f>
        <v>#N/A Requesting Data...</v>
      </c>
      <c r="J1985" t="str">
        <f>_xll.BDP("862318K2 Muni","CPN")</f>
        <v>#N/A Requesting Data...</v>
      </c>
      <c r="K1985" t="str">
        <f>_xll.BDP("862318K2 Muni","MATURITY")</f>
        <v>#N/A Requesting Data...</v>
      </c>
      <c r="L1985">
        <v>720000</v>
      </c>
      <c r="M1985" t="str">
        <f>_xll.BDP("862318K2 Muni","YIELD_ON_ISSUE_DATE")</f>
        <v>#N/A Requesting Data...</v>
      </c>
      <c r="N1985" t="str">
        <f>_xll.BDP("862318K2 Muni","YTW_SPREAD_TO_MATURITY_AT_ISSU")</f>
        <v>#N/A Requesting Data...</v>
      </c>
      <c r="O1985" t="str">
        <f>_xll.BDP("862318K2 Muni","BVAL_MID_YTM")</f>
        <v>#N/A Requesting Data...</v>
      </c>
      <c r="P1985" t="str">
        <f>_xll.BDP("862318K2 Muni","MUNI_TAX_PROV")</f>
        <v>#N/A Requesting Data...</v>
      </c>
      <c r="Q1985" t="str">
        <f>_xll.BDP("862318K2 Muni","MUNI_FED_TAX")</f>
        <v>#N/A Requesting Data...</v>
      </c>
      <c r="R1985" t="str">
        <f>_xll.BDP("862318K2 Muni","MUNI_MSRB_VOLUME")</f>
        <v>#N/A Requesting Data...</v>
      </c>
      <c r="S1985" t="str">
        <f>_xll.BDP("862318K2 Muni","BB_COMPOSITE")</f>
        <v>#N/A Requesting Data...</v>
      </c>
      <c r="T1985" t="str">
        <f>_xll.BDP("862318K2 Muni","LQA_LIQUIDITY_SCORE")</f>
        <v>#N/A Requesting Data...</v>
      </c>
    </row>
    <row r="1986" spans="1:20" x14ac:dyDescent="0.25">
      <c r="A1986" t="str">
        <f>_xll.BDP("862318K3 Muni","ID_CUSIP")</f>
        <v>#N/A Requesting Data...</v>
      </c>
      <c r="B1986" t="s">
        <v>475</v>
      </c>
      <c r="C1986" t="str">
        <f>_xll.BDP("862318K3 Muni","INSURANCE_STATUS")</f>
        <v>#N/A Requesting Data...</v>
      </c>
      <c r="D1986" t="str">
        <f>_xll.BDP("862318K3 Muni","STATE_CODE")</f>
        <v>#N/A Requesting Data...</v>
      </c>
      <c r="E1986" t="str">
        <f>_xll.BDP("862318K3 Muni","COUNTY_LOCATION_ISSUER")</f>
        <v>#N/A Requesting Data...</v>
      </c>
      <c r="F1986" t="str">
        <f>_xll.BDP("862318K3 Muni","DUR_ADJ_MID")</f>
        <v>#N/A Requesting Data...</v>
      </c>
      <c r="G1986" t="str">
        <f>_xll.BDP("862318K3 Muni","SPREAD_AT_ISSUANCE_TO_WORST")</f>
        <v>#N/A Requesting Data...</v>
      </c>
      <c r="H1986" t="str">
        <f>_xll.BDP("862318K3 Muni","ISSUE_DT")</f>
        <v>#N/A Requesting Data...</v>
      </c>
      <c r="I1986" t="str">
        <f>_xll.BDS("862318K3 Muni","MUNI_PURPOSE_SCHED", "aggregate=y")</f>
        <v>#N/A Requesting Data...</v>
      </c>
      <c r="J1986" t="str">
        <f>_xll.BDP("862318K3 Muni","CPN")</f>
        <v>#N/A Requesting Data...</v>
      </c>
      <c r="K1986" t="str">
        <f>_xll.BDP("862318K3 Muni","MATURITY")</f>
        <v>#N/A Requesting Data...</v>
      </c>
      <c r="L1986">
        <v>720000</v>
      </c>
      <c r="M1986" t="str">
        <f>_xll.BDP("862318K3 Muni","YIELD_ON_ISSUE_DATE")</f>
        <v>#N/A Requesting Data...</v>
      </c>
      <c r="N1986" t="str">
        <f>_xll.BDP("862318K3 Muni","YTW_SPREAD_TO_MATURITY_AT_ISSU")</f>
        <v>#N/A Requesting Data...</v>
      </c>
      <c r="O1986" t="str">
        <f>_xll.BDP("862318K3 Muni","BVAL_MID_YTM")</f>
        <v>#N/A Requesting Data...</v>
      </c>
      <c r="P1986" t="str">
        <f>_xll.BDP("862318K3 Muni","MUNI_TAX_PROV")</f>
        <v>#N/A Requesting Data...</v>
      </c>
      <c r="Q1986" t="str">
        <f>_xll.BDP("862318K3 Muni","MUNI_FED_TAX")</f>
        <v>#N/A Requesting Data...</v>
      </c>
      <c r="R1986" t="str">
        <f>_xll.BDP("862318K3 Muni","MUNI_MSRB_VOLUME")</f>
        <v>#N/A Requesting Data...</v>
      </c>
      <c r="S1986" t="str">
        <f>_xll.BDP("862318K3 Muni","BB_COMPOSITE")</f>
        <v>#N/A Requesting Data...</v>
      </c>
      <c r="T1986" t="str">
        <f>_xll.BDP("862318K3 Muni","LQA_LIQUIDITY_SCORE")</f>
        <v>#N/A Requesting Data...</v>
      </c>
    </row>
    <row r="1987" spans="1:20" x14ac:dyDescent="0.25">
      <c r="A1987" t="str">
        <f>_xll.BDP("890680PM Muni","ID_CUSIP")</f>
        <v>#N/A Requesting Data...</v>
      </c>
      <c r="B1987" t="s">
        <v>476</v>
      </c>
      <c r="C1987" t="str">
        <f>_xll.BDP("890680PM Muni","INSURANCE_STATUS")</f>
        <v>#N/A Requesting Data...</v>
      </c>
      <c r="D1987" t="str">
        <f>_xll.BDP("890680PM Muni","STATE_CODE")</f>
        <v>#N/A Requesting Data...</v>
      </c>
      <c r="E1987" t="str">
        <f>_xll.BDP("890680PM Muni","COUNTY_LOCATION_ISSUER")</f>
        <v>#N/A Requesting Data...</v>
      </c>
      <c r="F1987" t="str">
        <f>_xll.BDP("890680PM Muni","DUR_ADJ_MID")</f>
        <v>#N/A Requesting Data...</v>
      </c>
      <c r="G1987" t="str">
        <f>_xll.BDP("890680PM Muni","SPREAD_AT_ISSUANCE_TO_WORST")</f>
        <v>#N/A Requesting Data...</v>
      </c>
      <c r="H1987" t="str">
        <f>_xll.BDP("890680PM Muni","ISSUE_DT")</f>
        <v>#N/A Requesting Data...</v>
      </c>
      <c r="I1987" t="str">
        <f>_xll.BDS("890680PM Muni","MUNI_PURPOSE_SCHED", "aggregate=y")</f>
        <v>#N/A Requesting Data...</v>
      </c>
      <c r="J1987" t="str">
        <f>_xll.BDP("890680PM Muni","CPN")</f>
        <v>#N/A Requesting Data...</v>
      </c>
      <c r="K1987" t="str">
        <f>_xll.BDP("890680PM Muni","MATURITY")</f>
        <v>#N/A Requesting Data...</v>
      </c>
      <c r="L1987">
        <v>965000</v>
      </c>
      <c r="M1987" t="str">
        <f>_xll.BDP("890680PM Muni","YIELD_ON_ISSUE_DATE")</f>
        <v>#N/A Requesting Data...</v>
      </c>
      <c r="N1987" t="str">
        <f>_xll.BDP("890680PM Muni","YTW_SPREAD_TO_MATURITY_AT_ISSU")</f>
        <v>#N/A Requesting Data...</v>
      </c>
      <c r="O1987" t="str">
        <f>_xll.BDP("890680PM Muni","BVAL_MID_YTM")</f>
        <v>#N/A Requesting Data...</v>
      </c>
      <c r="P1987" t="str">
        <f>_xll.BDP("890680PM Muni","MUNI_TAX_PROV")</f>
        <v>#N/A Requesting Data...</v>
      </c>
      <c r="Q1987" t="str">
        <f>_xll.BDP("890680PM Muni","MUNI_FED_TAX")</f>
        <v>#N/A Requesting Data...</v>
      </c>
      <c r="R1987" t="str">
        <f>_xll.BDP("890680PM Muni","MUNI_MSRB_VOLUME")</f>
        <v>#N/A Requesting Data...</v>
      </c>
      <c r="S1987" t="str">
        <f>_xll.BDP("890680PM Muni","BB_COMPOSITE")</f>
        <v>#N/A Requesting Data...</v>
      </c>
      <c r="T1987" t="str">
        <f>_xll.BDP("890680PM Muni","LQA_LIQUIDITY_SCORE")</f>
        <v>#N/A Requesting Data...</v>
      </c>
    </row>
    <row r="1988" spans="1:20" x14ac:dyDescent="0.25">
      <c r="A1988" t="str">
        <f>_xll.BDP("890680PN Muni","ID_CUSIP")</f>
        <v>#N/A Requesting Data...</v>
      </c>
      <c r="B1988" t="s">
        <v>476</v>
      </c>
      <c r="C1988" t="str">
        <f>_xll.BDP("890680PN Muni","INSURANCE_STATUS")</f>
        <v>#N/A Requesting Data...</v>
      </c>
      <c r="D1988" t="str">
        <f>_xll.BDP("890680PN Muni","STATE_CODE")</f>
        <v>#N/A Requesting Data...</v>
      </c>
      <c r="E1988" t="str">
        <f>_xll.BDP("890680PN Muni","COUNTY_LOCATION_ISSUER")</f>
        <v>#N/A Requesting Data...</v>
      </c>
      <c r="F1988" t="str">
        <f>_xll.BDP("890680PN Muni","DUR_ADJ_MID")</f>
        <v>#N/A Requesting Data...</v>
      </c>
      <c r="G1988" t="str">
        <f>_xll.BDP("890680PN Muni","SPREAD_AT_ISSUANCE_TO_WORST")</f>
        <v>#N/A Requesting Data...</v>
      </c>
      <c r="H1988" t="str">
        <f>_xll.BDP("890680PN Muni","ISSUE_DT")</f>
        <v>#N/A Requesting Data...</v>
      </c>
      <c r="I1988" t="str">
        <f>_xll.BDS("890680PN Muni","MUNI_PURPOSE_SCHED", "aggregate=y")</f>
        <v>#N/A Requesting Data...</v>
      </c>
      <c r="J1988" t="str">
        <f>_xll.BDP("890680PN Muni","CPN")</f>
        <v>#N/A Requesting Data...</v>
      </c>
      <c r="K1988" t="str">
        <f>_xll.BDP("890680PN Muni","MATURITY")</f>
        <v>#N/A Requesting Data...</v>
      </c>
      <c r="L1988">
        <v>1010000</v>
      </c>
      <c r="M1988" t="str">
        <f>_xll.BDP("890680PN Muni","YIELD_ON_ISSUE_DATE")</f>
        <v>#N/A Requesting Data...</v>
      </c>
      <c r="N1988" t="str">
        <f>_xll.BDP("890680PN Muni","YTW_SPREAD_TO_MATURITY_AT_ISSU")</f>
        <v>#N/A Requesting Data...</v>
      </c>
      <c r="O1988" t="str">
        <f>_xll.BDP("890680PN Muni","BVAL_MID_YTM")</f>
        <v>#N/A Requesting Data...</v>
      </c>
      <c r="P1988" t="str">
        <f>_xll.BDP("890680PN Muni","MUNI_TAX_PROV")</f>
        <v>#N/A Requesting Data...</v>
      </c>
      <c r="Q1988" t="str">
        <f>_xll.BDP("890680PN Muni","MUNI_FED_TAX")</f>
        <v>#N/A Requesting Data...</v>
      </c>
      <c r="R1988" t="str">
        <f>_xll.BDP("890680PN Muni","MUNI_MSRB_VOLUME")</f>
        <v>#N/A Requesting Data...</v>
      </c>
      <c r="S1988" t="str">
        <f>_xll.BDP("890680PN Muni","BB_COMPOSITE")</f>
        <v>#N/A Requesting Data...</v>
      </c>
      <c r="T1988" t="str">
        <f>_xll.BDP("890680PN Muni","LQA_LIQUIDITY_SCORE")</f>
        <v>#N/A Requesting Data...</v>
      </c>
    </row>
    <row r="1989" spans="1:20" x14ac:dyDescent="0.25">
      <c r="A1989" t="str">
        <f>_xll.BDP("890680PP Muni","ID_CUSIP")</f>
        <v>#N/A Requesting Data...</v>
      </c>
      <c r="B1989" t="s">
        <v>476</v>
      </c>
      <c r="C1989" t="str">
        <f>_xll.BDP("890680PP Muni","INSURANCE_STATUS")</f>
        <v>#N/A Requesting Data...</v>
      </c>
      <c r="D1989" t="str">
        <f>_xll.BDP("890680PP Muni","STATE_CODE")</f>
        <v>#N/A Requesting Data...</v>
      </c>
      <c r="E1989" t="str">
        <f>_xll.BDP("890680PP Muni","COUNTY_LOCATION_ISSUER")</f>
        <v>#N/A Requesting Data...</v>
      </c>
      <c r="F1989" t="str">
        <f>_xll.BDP("890680PP Muni","DUR_ADJ_MID")</f>
        <v>#N/A Requesting Data...</v>
      </c>
      <c r="G1989" t="str">
        <f>_xll.BDP("890680PP Muni","SPREAD_AT_ISSUANCE_TO_WORST")</f>
        <v>#N/A Requesting Data...</v>
      </c>
      <c r="H1989" t="str">
        <f>_xll.BDP("890680PP Muni","ISSUE_DT")</f>
        <v>#N/A Requesting Data...</v>
      </c>
      <c r="I1989" t="str">
        <f>_xll.BDS("890680PP Muni","MUNI_PURPOSE_SCHED", "aggregate=y")</f>
        <v>#N/A Requesting Data...</v>
      </c>
      <c r="J1989" t="str">
        <f>_xll.BDP("890680PP Muni","CPN")</f>
        <v>#N/A Requesting Data...</v>
      </c>
      <c r="K1989" t="str">
        <f>_xll.BDP("890680PP Muni","MATURITY")</f>
        <v>#N/A Requesting Data...</v>
      </c>
      <c r="L1989">
        <v>1060000</v>
      </c>
      <c r="M1989" t="str">
        <f>_xll.BDP("890680PP Muni","YIELD_ON_ISSUE_DATE")</f>
        <v>#N/A Requesting Data...</v>
      </c>
      <c r="N1989" t="str">
        <f>_xll.BDP("890680PP Muni","YTW_SPREAD_TO_MATURITY_AT_ISSU")</f>
        <v>#N/A Requesting Data...</v>
      </c>
      <c r="O1989" t="str">
        <f>_xll.BDP("890680PP Muni","BVAL_MID_YTM")</f>
        <v>#N/A Requesting Data...</v>
      </c>
      <c r="P1989" t="str">
        <f>_xll.BDP("890680PP Muni","MUNI_TAX_PROV")</f>
        <v>#N/A Requesting Data...</v>
      </c>
      <c r="Q1989" t="str">
        <f>_xll.BDP("890680PP Muni","MUNI_FED_TAX")</f>
        <v>#N/A Requesting Data...</v>
      </c>
      <c r="R1989" t="str">
        <f>_xll.BDP("890680PP Muni","MUNI_MSRB_VOLUME")</f>
        <v>#N/A Requesting Data...</v>
      </c>
      <c r="S1989" t="str">
        <f>_xll.BDP("890680PP Muni","BB_COMPOSITE")</f>
        <v>#N/A Requesting Data...</v>
      </c>
      <c r="T1989" t="str">
        <f>_xll.BDP("890680PP Muni","LQA_LIQUIDITY_SCORE")</f>
        <v>#N/A Requesting Data...</v>
      </c>
    </row>
    <row r="1990" spans="1:20" x14ac:dyDescent="0.25">
      <c r="A1990" t="str">
        <f>_xll.BDP("890788GR Muni","ID_CUSIP")</f>
        <v>#N/A Requesting Data...</v>
      </c>
      <c r="B1990" t="s">
        <v>477</v>
      </c>
      <c r="C1990" t="str">
        <f>_xll.BDP("890788GR Muni","INSURANCE_STATUS")</f>
        <v>#N/A Requesting Data...</v>
      </c>
      <c r="D1990" t="str">
        <f>_xll.BDP("890788GR Muni","STATE_CODE")</f>
        <v>#N/A Requesting Data...</v>
      </c>
      <c r="E1990" t="str">
        <f>_xll.BDP("890788GR Muni","COUNTY_LOCATION_ISSUER")</f>
        <v>#N/A Requesting Data...</v>
      </c>
      <c r="F1990" t="str">
        <f>_xll.BDP("890788GR Muni","DUR_ADJ_MID")</f>
        <v>#N/A Requesting Data...</v>
      </c>
      <c r="G1990" t="str">
        <f>_xll.BDP("890788GR Muni","SPREAD_AT_ISSUANCE_TO_WORST")</f>
        <v>#N/A Requesting Data...</v>
      </c>
      <c r="H1990" t="str">
        <f>_xll.BDP("890788GR Muni","ISSUE_DT")</f>
        <v>#N/A Requesting Data...</v>
      </c>
      <c r="I1990" t="str">
        <f>_xll.BDS("890788GR Muni","MUNI_PURPOSE_SCHED", "aggregate=y")</f>
        <v>#N/A Requesting Data...</v>
      </c>
      <c r="J1990" t="str">
        <f>_xll.BDP("890788GR Muni","CPN")</f>
        <v>#N/A Requesting Data...</v>
      </c>
      <c r="K1990" t="str">
        <f>_xll.BDP("890788GR Muni","MATURITY")</f>
        <v>#N/A Requesting Data...</v>
      </c>
      <c r="L1990">
        <v>175000</v>
      </c>
      <c r="M1990" t="str">
        <f>_xll.BDP("890788GR Muni","YIELD_ON_ISSUE_DATE")</f>
        <v>#N/A Requesting Data...</v>
      </c>
      <c r="N1990" t="str">
        <f>_xll.BDP("890788GR Muni","YTW_SPREAD_TO_MATURITY_AT_ISSU")</f>
        <v>#N/A Requesting Data...</v>
      </c>
      <c r="O1990" t="str">
        <f>_xll.BDP("890788GR Muni","BVAL_MID_YTM")</f>
        <v>#N/A Requesting Data...</v>
      </c>
      <c r="P1990" t="str">
        <f>_xll.BDP("890788GR Muni","MUNI_TAX_PROV")</f>
        <v>#N/A Requesting Data...</v>
      </c>
      <c r="Q1990" t="str">
        <f>_xll.BDP("890788GR Muni","MUNI_FED_TAX")</f>
        <v>#N/A Requesting Data...</v>
      </c>
      <c r="R1990" t="str">
        <f>_xll.BDP("890788GR Muni","MUNI_MSRB_VOLUME")</f>
        <v>#N/A Requesting Data...</v>
      </c>
      <c r="S1990" t="str">
        <f>_xll.BDP("890788GR Muni","BB_COMPOSITE")</f>
        <v>#N/A Requesting Data...</v>
      </c>
      <c r="T1990" t="str">
        <f>_xll.BDP("890788GR Muni","LQA_LIQUIDITY_SCORE")</f>
        <v>#N/A Requesting Data...</v>
      </c>
    </row>
    <row r="1991" spans="1:20" x14ac:dyDescent="0.25">
      <c r="A1991" t="str">
        <f>_xll.BDP("890788GS Muni","ID_CUSIP")</f>
        <v>#N/A Requesting Data...</v>
      </c>
      <c r="B1991" t="s">
        <v>477</v>
      </c>
      <c r="C1991" t="str">
        <f>_xll.BDP("890788GS Muni","INSURANCE_STATUS")</f>
        <v>#N/A Requesting Data...</v>
      </c>
      <c r="D1991" t="str">
        <f>_xll.BDP("890788GS Muni","STATE_CODE")</f>
        <v>#N/A Requesting Data...</v>
      </c>
      <c r="E1991" t="str">
        <f>_xll.BDP("890788GS Muni","COUNTY_LOCATION_ISSUER")</f>
        <v>#N/A Requesting Data...</v>
      </c>
      <c r="F1991" t="str">
        <f>_xll.BDP("890788GS Muni","DUR_ADJ_MID")</f>
        <v>#N/A Requesting Data...</v>
      </c>
      <c r="G1991" t="str">
        <f>_xll.BDP("890788GS Muni","SPREAD_AT_ISSUANCE_TO_WORST")</f>
        <v>#N/A Requesting Data...</v>
      </c>
      <c r="H1991" t="str">
        <f>_xll.BDP("890788GS Muni","ISSUE_DT")</f>
        <v>#N/A Requesting Data...</v>
      </c>
      <c r="I1991" t="str">
        <f>_xll.BDS("890788GS Muni","MUNI_PURPOSE_SCHED", "aggregate=y")</f>
        <v>#N/A Requesting Data...</v>
      </c>
      <c r="J1991" t="str">
        <f>_xll.BDP("890788GS Muni","CPN")</f>
        <v>#N/A Requesting Data...</v>
      </c>
      <c r="K1991" t="str">
        <f>_xll.BDP("890788GS Muni","MATURITY")</f>
        <v>#N/A Requesting Data...</v>
      </c>
      <c r="L1991">
        <v>175000</v>
      </c>
      <c r="M1991" t="str">
        <f>_xll.BDP("890788GS Muni","YIELD_ON_ISSUE_DATE")</f>
        <v>#N/A Requesting Data...</v>
      </c>
      <c r="N1991" t="str">
        <f>_xll.BDP("890788GS Muni","YTW_SPREAD_TO_MATURITY_AT_ISSU")</f>
        <v>#N/A Requesting Data...</v>
      </c>
      <c r="O1991" t="str">
        <f>_xll.BDP("890788GS Muni","BVAL_MID_YTM")</f>
        <v>#N/A Requesting Data...</v>
      </c>
      <c r="P1991" t="str">
        <f>_xll.BDP("890788GS Muni","MUNI_TAX_PROV")</f>
        <v>#N/A Requesting Data...</v>
      </c>
      <c r="Q1991" t="str">
        <f>_xll.BDP("890788GS Muni","MUNI_FED_TAX")</f>
        <v>#N/A Requesting Data...</v>
      </c>
      <c r="R1991" t="str">
        <f>_xll.BDP("890788GS Muni","MUNI_MSRB_VOLUME")</f>
        <v>#N/A Requesting Data...</v>
      </c>
      <c r="S1991" t="str">
        <f>_xll.BDP("890788GS Muni","BB_COMPOSITE")</f>
        <v>#N/A Requesting Data...</v>
      </c>
      <c r="T1991" t="str">
        <f>_xll.BDP("890788GS Muni","LQA_LIQUIDITY_SCORE")</f>
        <v>#N/A Requesting Data...</v>
      </c>
    </row>
    <row r="1992" spans="1:20" x14ac:dyDescent="0.25">
      <c r="A1992" t="str">
        <f>_xll.BDP("890788GT Muni","ID_CUSIP")</f>
        <v>#N/A Requesting Data...</v>
      </c>
      <c r="B1992" t="s">
        <v>477</v>
      </c>
      <c r="C1992" t="str">
        <f>_xll.BDP("890788GT Muni","INSURANCE_STATUS")</f>
        <v>#N/A Requesting Data...</v>
      </c>
      <c r="D1992" t="str">
        <f>_xll.BDP("890788GT Muni","STATE_CODE")</f>
        <v>#N/A Requesting Data...</v>
      </c>
      <c r="E1992" t="str">
        <f>_xll.BDP("890788GT Muni","COUNTY_LOCATION_ISSUER")</f>
        <v>#N/A Requesting Data...</v>
      </c>
      <c r="F1992" t="str">
        <f>_xll.BDP("890788GT Muni","DUR_ADJ_MID")</f>
        <v>#N/A Requesting Data...</v>
      </c>
      <c r="G1992" t="str">
        <f>_xll.BDP("890788GT Muni","SPREAD_AT_ISSUANCE_TO_WORST")</f>
        <v>#N/A Requesting Data...</v>
      </c>
      <c r="H1992" t="str">
        <f>_xll.BDP("890788GT Muni","ISSUE_DT")</f>
        <v>#N/A Requesting Data...</v>
      </c>
      <c r="I1992" t="str">
        <f>_xll.BDS("890788GT Muni","MUNI_PURPOSE_SCHED", "aggregate=y")</f>
        <v>#N/A Requesting Data...</v>
      </c>
      <c r="J1992" t="str">
        <f>_xll.BDP("890788GT Muni","CPN")</f>
        <v>#N/A Requesting Data...</v>
      </c>
      <c r="K1992" t="str">
        <f>_xll.BDP("890788GT Muni","MATURITY")</f>
        <v>#N/A Requesting Data...</v>
      </c>
      <c r="L1992">
        <v>175000</v>
      </c>
      <c r="M1992" t="str">
        <f>_xll.BDP("890788GT Muni","YIELD_ON_ISSUE_DATE")</f>
        <v>#N/A Requesting Data...</v>
      </c>
      <c r="N1992" t="str">
        <f>_xll.BDP("890788GT Muni","YTW_SPREAD_TO_MATURITY_AT_ISSU")</f>
        <v>#N/A Requesting Data...</v>
      </c>
      <c r="O1992" t="str">
        <f>_xll.BDP("890788GT Muni","BVAL_MID_YTM")</f>
        <v>#N/A Requesting Data...</v>
      </c>
      <c r="P1992" t="str">
        <f>_xll.BDP("890788GT Muni","MUNI_TAX_PROV")</f>
        <v>#N/A Requesting Data...</v>
      </c>
      <c r="Q1992" t="str">
        <f>_xll.BDP("890788GT Muni","MUNI_FED_TAX")</f>
        <v>#N/A Requesting Data...</v>
      </c>
      <c r="R1992" t="str">
        <f>_xll.BDP("890788GT Muni","MUNI_MSRB_VOLUME")</f>
        <v>#N/A Requesting Data...</v>
      </c>
      <c r="S1992" t="str">
        <f>_xll.BDP("890788GT Muni","BB_COMPOSITE")</f>
        <v>#N/A Requesting Data...</v>
      </c>
      <c r="T1992" t="str">
        <f>_xll.BDP("890788GT Muni","LQA_LIQUIDITY_SCORE")</f>
        <v>#N/A Requesting Data...</v>
      </c>
    </row>
    <row r="1993" spans="1:20" x14ac:dyDescent="0.25">
      <c r="A1993" t="str">
        <f>_xll.BDP("890788GV Muni","ID_CUSIP")</f>
        <v>#N/A Requesting Data...</v>
      </c>
      <c r="B1993" t="s">
        <v>477</v>
      </c>
      <c r="C1993" t="str">
        <f>_xll.BDP("890788GV Muni","INSURANCE_STATUS")</f>
        <v>#N/A Requesting Data...</v>
      </c>
      <c r="D1993" t="str">
        <f>_xll.BDP("890788GV Muni","STATE_CODE")</f>
        <v>#N/A Requesting Data...</v>
      </c>
      <c r="E1993" t="str">
        <f>_xll.BDP("890788GV Muni","COUNTY_LOCATION_ISSUER")</f>
        <v>#N/A Requesting Data...</v>
      </c>
      <c r="F1993" t="str">
        <f>_xll.BDP("890788GV Muni","DUR_ADJ_MID")</f>
        <v>#N/A Requesting Data...</v>
      </c>
      <c r="G1993" t="str">
        <f>_xll.BDP("890788GV Muni","SPREAD_AT_ISSUANCE_TO_WORST")</f>
        <v>#N/A Requesting Data...</v>
      </c>
      <c r="H1993" t="str">
        <f>_xll.BDP("890788GV Muni","ISSUE_DT")</f>
        <v>#N/A Requesting Data...</v>
      </c>
      <c r="I1993" t="str">
        <f>_xll.BDS("890788GV Muni","MUNI_PURPOSE_SCHED", "aggregate=y")</f>
        <v>#N/A Requesting Data...</v>
      </c>
      <c r="J1993" t="str">
        <f>_xll.BDP("890788GV Muni","CPN")</f>
        <v>#N/A Requesting Data...</v>
      </c>
      <c r="K1993" t="str">
        <f>_xll.BDP("890788GV Muni","MATURITY")</f>
        <v>#N/A Requesting Data...</v>
      </c>
      <c r="L1993">
        <v>175000</v>
      </c>
      <c r="M1993" t="str">
        <f>_xll.BDP("890788GV Muni","YIELD_ON_ISSUE_DATE")</f>
        <v>#N/A Requesting Data...</v>
      </c>
      <c r="N1993" t="str">
        <f>_xll.BDP("890788GV Muni","YTW_SPREAD_TO_MATURITY_AT_ISSU")</f>
        <v>#N/A Requesting Data...</v>
      </c>
      <c r="O1993" t="str">
        <f>_xll.BDP("890788GV Muni","BVAL_MID_YTM")</f>
        <v>#N/A Requesting Data...</v>
      </c>
      <c r="P1993" t="str">
        <f>_xll.BDP("890788GV Muni","MUNI_TAX_PROV")</f>
        <v>#N/A Requesting Data...</v>
      </c>
      <c r="Q1993" t="str">
        <f>_xll.BDP("890788GV Muni","MUNI_FED_TAX")</f>
        <v>#N/A Requesting Data...</v>
      </c>
      <c r="R1993" t="str">
        <f>_xll.BDP("890788GV Muni","MUNI_MSRB_VOLUME")</f>
        <v>#N/A Requesting Data...</v>
      </c>
      <c r="S1993" t="str">
        <f>_xll.BDP("890788GV Muni","BB_COMPOSITE")</f>
        <v>#N/A Requesting Data...</v>
      </c>
      <c r="T1993" t="str">
        <f>_xll.BDP("890788GV Muni","LQA_LIQUIDITY_SCORE")</f>
        <v>#N/A Requesting Data...</v>
      </c>
    </row>
    <row r="1994" spans="1:20" x14ac:dyDescent="0.25">
      <c r="A1994" t="str">
        <f>_xll.BDP("864660BT Muni","ID_CUSIP")</f>
        <v>#N/A Requesting Data...</v>
      </c>
      <c r="B1994" t="s">
        <v>478</v>
      </c>
      <c r="C1994" t="str">
        <f>_xll.BDP("864660BT Muni","INSURANCE_STATUS")</f>
        <v>#N/A Requesting Data...</v>
      </c>
      <c r="D1994" t="str">
        <f>_xll.BDP("864660BT Muni","STATE_CODE")</f>
        <v>#N/A Requesting Data...</v>
      </c>
      <c r="E1994" t="str">
        <f>_xll.BDP("864660BT Muni","COUNTY_LOCATION_ISSUER")</f>
        <v>#N/A Requesting Data...</v>
      </c>
      <c r="F1994" t="str">
        <f>_xll.BDP("864660BT Muni","DUR_ADJ_MID")</f>
        <v>#N/A Requesting Data...</v>
      </c>
      <c r="G1994" t="str">
        <f>_xll.BDP("864660BT Muni","SPREAD_AT_ISSUANCE_TO_WORST")</f>
        <v>#N/A Requesting Data...</v>
      </c>
      <c r="H1994" t="str">
        <f>_xll.BDP("864660BT Muni","ISSUE_DT")</f>
        <v>#N/A Requesting Data...</v>
      </c>
      <c r="I1994" t="str">
        <f>_xll.BDS("864660BT Muni","MUNI_PURPOSE_SCHED", "aggregate=y")</f>
        <v>#N/A Requesting Data...</v>
      </c>
      <c r="J1994" t="str">
        <f>_xll.BDP("864660BT Muni","CPN")</f>
        <v>#N/A Requesting Data...</v>
      </c>
      <c r="K1994" t="str">
        <f>_xll.BDP("864660BT Muni","MATURITY")</f>
        <v>#N/A Requesting Data...</v>
      </c>
      <c r="L1994">
        <v>280000</v>
      </c>
      <c r="M1994" t="str">
        <f>_xll.BDP("864660BT Muni","YIELD_ON_ISSUE_DATE")</f>
        <v>#N/A Requesting Data...</v>
      </c>
      <c r="N1994" t="str">
        <f>_xll.BDP("864660BT Muni","YTW_SPREAD_TO_MATURITY_AT_ISSU")</f>
        <v>#N/A Requesting Data...</v>
      </c>
      <c r="O1994" t="str">
        <f>_xll.BDP("864660BT Muni","BVAL_MID_YTM")</f>
        <v>#N/A Requesting Data...</v>
      </c>
      <c r="P1994" t="str">
        <f>_xll.BDP("864660BT Muni","MUNI_TAX_PROV")</f>
        <v>#N/A Requesting Data...</v>
      </c>
      <c r="Q1994" t="str">
        <f>_xll.BDP("864660BT Muni","MUNI_FED_TAX")</f>
        <v>#N/A Requesting Data...</v>
      </c>
      <c r="R1994" t="str">
        <f>_xll.BDP("864660BT Muni","MUNI_MSRB_VOLUME")</f>
        <v>#N/A Requesting Data...</v>
      </c>
      <c r="S1994" t="str">
        <f>_xll.BDP("864660BT Muni","BB_COMPOSITE")</f>
        <v>#N/A Requesting Data...</v>
      </c>
      <c r="T1994" t="str">
        <f>_xll.BDP("864660BT Muni","LQA_LIQUIDITY_SCORE")</f>
        <v>#N/A Requesting Data...</v>
      </c>
    </row>
    <row r="1995" spans="1:20" x14ac:dyDescent="0.25">
      <c r="A1995" t="str">
        <f>_xll.BDP("864660BU Muni","ID_CUSIP")</f>
        <v>#N/A Requesting Data...</v>
      </c>
      <c r="B1995" t="s">
        <v>478</v>
      </c>
      <c r="C1995" t="str">
        <f>_xll.BDP("864660BU Muni","INSURANCE_STATUS")</f>
        <v>#N/A Requesting Data...</v>
      </c>
      <c r="D1995" t="str">
        <f>_xll.BDP("864660BU Muni","STATE_CODE")</f>
        <v>#N/A Requesting Data...</v>
      </c>
      <c r="E1995" t="str">
        <f>_xll.BDP("864660BU Muni","COUNTY_LOCATION_ISSUER")</f>
        <v>#N/A Requesting Data...</v>
      </c>
      <c r="F1995" t="str">
        <f>_xll.BDP("864660BU Muni","DUR_ADJ_MID")</f>
        <v>#N/A Requesting Data...</v>
      </c>
      <c r="G1995" t="str">
        <f>_xll.BDP("864660BU Muni","SPREAD_AT_ISSUANCE_TO_WORST")</f>
        <v>#N/A Requesting Data...</v>
      </c>
      <c r="H1995" t="str">
        <f>_xll.BDP("864660BU Muni","ISSUE_DT")</f>
        <v>#N/A Requesting Data...</v>
      </c>
      <c r="I1995" t="str">
        <f>_xll.BDS("864660BU Muni","MUNI_PURPOSE_SCHED", "aggregate=y")</f>
        <v>#N/A Requesting Data...</v>
      </c>
      <c r="J1995" t="str">
        <f>_xll.BDP("864660BU Muni","CPN")</f>
        <v>#N/A Requesting Data...</v>
      </c>
      <c r="K1995" t="str">
        <f>_xll.BDP("864660BU Muni","MATURITY")</f>
        <v>#N/A Requesting Data...</v>
      </c>
      <c r="L1995">
        <v>280000</v>
      </c>
      <c r="M1995" t="str">
        <f>_xll.BDP("864660BU Muni","YIELD_ON_ISSUE_DATE")</f>
        <v>#N/A Requesting Data...</v>
      </c>
      <c r="N1995" t="str">
        <f>_xll.BDP("864660BU Muni","YTW_SPREAD_TO_MATURITY_AT_ISSU")</f>
        <v>#N/A Requesting Data...</v>
      </c>
      <c r="O1995" t="str">
        <f>_xll.BDP("864660BU Muni","BVAL_MID_YTM")</f>
        <v>#N/A Requesting Data...</v>
      </c>
      <c r="P1995" t="str">
        <f>_xll.BDP("864660BU Muni","MUNI_TAX_PROV")</f>
        <v>#N/A Requesting Data...</v>
      </c>
      <c r="Q1995" t="str">
        <f>_xll.BDP("864660BU Muni","MUNI_FED_TAX")</f>
        <v>#N/A Requesting Data...</v>
      </c>
      <c r="R1995" t="str">
        <f>_xll.BDP("864660BU Muni","MUNI_MSRB_VOLUME")</f>
        <v>#N/A Requesting Data...</v>
      </c>
      <c r="S1995" t="str">
        <f>_xll.BDP("864660BU Muni","BB_COMPOSITE")</f>
        <v>#N/A Requesting Data...</v>
      </c>
      <c r="T1995" t="str">
        <f>_xll.BDP("864660BU Muni","LQA_LIQUIDITY_SCORE")</f>
        <v>#N/A Requesting Data...</v>
      </c>
    </row>
    <row r="1996" spans="1:20" x14ac:dyDescent="0.25">
      <c r="A1996" t="str">
        <f>_xll.BDP("864660BV Muni","ID_CUSIP")</f>
        <v>#N/A Requesting Data...</v>
      </c>
      <c r="B1996" t="s">
        <v>478</v>
      </c>
      <c r="C1996" t="str">
        <f>_xll.BDP("864660BV Muni","INSURANCE_STATUS")</f>
        <v>#N/A Requesting Data...</v>
      </c>
      <c r="D1996" t="str">
        <f>_xll.BDP("864660BV Muni","STATE_CODE")</f>
        <v>#N/A Requesting Data...</v>
      </c>
      <c r="E1996" t="str">
        <f>_xll.BDP("864660BV Muni","COUNTY_LOCATION_ISSUER")</f>
        <v>#N/A Requesting Data...</v>
      </c>
      <c r="F1996" t="str">
        <f>_xll.BDP("864660BV Muni","DUR_ADJ_MID")</f>
        <v>#N/A Requesting Data...</v>
      </c>
      <c r="G1996" t="str">
        <f>_xll.BDP("864660BV Muni","SPREAD_AT_ISSUANCE_TO_WORST")</f>
        <v>#N/A Requesting Data...</v>
      </c>
      <c r="H1996" t="str">
        <f>_xll.BDP("864660BV Muni","ISSUE_DT")</f>
        <v>#N/A Requesting Data...</v>
      </c>
      <c r="I1996" t="str">
        <f>_xll.BDS("864660BV Muni","MUNI_PURPOSE_SCHED", "aggregate=y")</f>
        <v>#N/A Requesting Data...</v>
      </c>
      <c r="J1996" t="str">
        <f>_xll.BDP("864660BV Muni","CPN")</f>
        <v>#N/A Requesting Data...</v>
      </c>
      <c r="K1996" t="str">
        <f>_xll.BDP("864660BV Muni","MATURITY")</f>
        <v>#N/A Requesting Data...</v>
      </c>
      <c r="L1996">
        <v>280000</v>
      </c>
      <c r="M1996" t="str">
        <f>_xll.BDP("864660BV Muni","YIELD_ON_ISSUE_DATE")</f>
        <v>#N/A Requesting Data...</v>
      </c>
      <c r="N1996" t="str">
        <f>_xll.BDP("864660BV Muni","YTW_SPREAD_TO_MATURITY_AT_ISSU")</f>
        <v>#N/A Requesting Data...</v>
      </c>
      <c r="O1996" t="str">
        <f>_xll.BDP("864660BV Muni","BVAL_MID_YTM")</f>
        <v>#N/A Requesting Data...</v>
      </c>
      <c r="P1996" t="str">
        <f>_xll.BDP("864660BV Muni","MUNI_TAX_PROV")</f>
        <v>#N/A Requesting Data...</v>
      </c>
      <c r="Q1996" t="str">
        <f>_xll.BDP("864660BV Muni","MUNI_FED_TAX")</f>
        <v>#N/A Requesting Data...</v>
      </c>
      <c r="R1996" t="str">
        <f>_xll.BDP("864660BV Muni","MUNI_MSRB_VOLUME")</f>
        <v>#N/A Requesting Data...</v>
      </c>
      <c r="S1996" t="str">
        <f>_xll.BDP("864660BV Muni","BB_COMPOSITE")</f>
        <v>#N/A Requesting Data...</v>
      </c>
      <c r="T1996" t="str">
        <f>_xll.BDP("864660BV Muni","LQA_LIQUIDITY_SCORE")</f>
        <v>#N/A Requesting Data...</v>
      </c>
    </row>
    <row r="1997" spans="1:20" x14ac:dyDescent="0.25">
      <c r="A1997" t="str">
        <f>_xll.BDP("864660BW Muni","ID_CUSIP")</f>
        <v>#N/A Requesting Data...</v>
      </c>
      <c r="B1997" t="s">
        <v>478</v>
      </c>
      <c r="C1997" t="str">
        <f>_xll.BDP("864660BW Muni","INSURANCE_STATUS")</f>
        <v>#N/A Requesting Data...</v>
      </c>
      <c r="D1997" t="str">
        <f>_xll.BDP("864660BW Muni","STATE_CODE")</f>
        <v>#N/A Requesting Data...</v>
      </c>
      <c r="E1997" t="str">
        <f>_xll.BDP("864660BW Muni","COUNTY_LOCATION_ISSUER")</f>
        <v>#N/A Requesting Data...</v>
      </c>
      <c r="F1997" t="str">
        <f>_xll.BDP("864660BW Muni","DUR_ADJ_MID")</f>
        <v>#N/A Requesting Data...</v>
      </c>
      <c r="G1997" t="str">
        <f>_xll.BDP("864660BW Muni","SPREAD_AT_ISSUANCE_TO_WORST")</f>
        <v>#N/A Requesting Data...</v>
      </c>
      <c r="H1997" t="str">
        <f>_xll.BDP("864660BW Muni","ISSUE_DT")</f>
        <v>#N/A Requesting Data...</v>
      </c>
      <c r="I1997" t="str">
        <f>_xll.BDS("864660BW Muni","MUNI_PURPOSE_SCHED", "aggregate=y")</f>
        <v>#N/A Requesting Data...</v>
      </c>
      <c r="J1997" t="str">
        <f>_xll.BDP("864660BW Muni","CPN")</f>
        <v>#N/A Requesting Data...</v>
      </c>
      <c r="K1997" t="str">
        <f>_xll.BDP("864660BW Muni","MATURITY")</f>
        <v>#N/A Requesting Data...</v>
      </c>
      <c r="L1997">
        <v>280000</v>
      </c>
      <c r="M1997" t="str">
        <f>_xll.BDP("864660BW Muni","YIELD_ON_ISSUE_DATE")</f>
        <v>#N/A Requesting Data...</v>
      </c>
      <c r="N1997" t="str">
        <f>_xll.BDP("864660BW Muni","YTW_SPREAD_TO_MATURITY_AT_ISSU")</f>
        <v>#N/A Requesting Data...</v>
      </c>
      <c r="O1997" t="str">
        <f>_xll.BDP("864660BW Muni","BVAL_MID_YTM")</f>
        <v>#N/A Requesting Data...</v>
      </c>
      <c r="P1997" t="str">
        <f>_xll.BDP("864660BW Muni","MUNI_TAX_PROV")</f>
        <v>#N/A Requesting Data...</v>
      </c>
      <c r="Q1997" t="str">
        <f>_xll.BDP("864660BW Muni","MUNI_FED_TAX")</f>
        <v>#N/A Requesting Data...</v>
      </c>
      <c r="R1997" t="str">
        <f>_xll.BDP("864660BW Muni","MUNI_MSRB_VOLUME")</f>
        <v>#N/A Requesting Data...</v>
      </c>
      <c r="S1997" t="str">
        <f>_xll.BDP("864660BW Muni","BB_COMPOSITE")</f>
        <v>#N/A Requesting Data...</v>
      </c>
      <c r="T1997" t="str">
        <f>_xll.BDP("864660BW Muni","LQA_LIQUIDITY_SCORE")</f>
        <v>#N/A Requesting Data...</v>
      </c>
    </row>
    <row r="1998" spans="1:20" x14ac:dyDescent="0.25">
      <c r="A1998" t="str">
        <f>_xll.BDP("864660BX Muni","ID_CUSIP")</f>
        <v>#N/A Requesting Data...</v>
      </c>
      <c r="B1998" t="s">
        <v>478</v>
      </c>
      <c r="C1998" t="str">
        <f>_xll.BDP("864660BX Muni","INSURANCE_STATUS")</f>
        <v>#N/A Requesting Data...</v>
      </c>
      <c r="D1998" t="str">
        <f>_xll.BDP("864660BX Muni","STATE_CODE")</f>
        <v>#N/A Requesting Data...</v>
      </c>
      <c r="E1998" t="str">
        <f>_xll.BDP("864660BX Muni","COUNTY_LOCATION_ISSUER")</f>
        <v>#N/A Requesting Data...</v>
      </c>
      <c r="F1998" t="str">
        <f>_xll.BDP("864660BX Muni","DUR_ADJ_MID")</f>
        <v>#N/A Requesting Data...</v>
      </c>
      <c r="G1998" t="str">
        <f>_xll.BDP("864660BX Muni","SPREAD_AT_ISSUANCE_TO_WORST")</f>
        <v>#N/A Requesting Data...</v>
      </c>
      <c r="H1998" t="str">
        <f>_xll.BDP("864660BX Muni","ISSUE_DT")</f>
        <v>#N/A Requesting Data...</v>
      </c>
      <c r="I1998" t="str">
        <f>_xll.BDS("864660BX Muni","MUNI_PURPOSE_SCHED", "aggregate=y")</f>
        <v>#N/A Requesting Data...</v>
      </c>
      <c r="J1998" t="str">
        <f>_xll.BDP("864660BX Muni","CPN")</f>
        <v>#N/A Requesting Data...</v>
      </c>
      <c r="K1998" t="str">
        <f>_xll.BDP("864660BX Muni","MATURITY")</f>
        <v>#N/A Requesting Data...</v>
      </c>
      <c r="L1998">
        <v>280000</v>
      </c>
      <c r="M1998" t="str">
        <f>_xll.BDP("864660BX Muni","YIELD_ON_ISSUE_DATE")</f>
        <v>#N/A Requesting Data...</v>
      </c>
      <c r="N1998" t="str">
        <f>_xll.BDP("864660BX Muni","YTW_SPREAD_TO_MATURITY_AT_ISSU")</f>
        <v>#N/A Requesting Data...</v>
      </c>
      <c r="O1998" t="str">
        <f>_xll.BDP("864660BX Muni","BVAL_MID_YTM")</f>
        <v>#N/A Requesting Data...</v>
      </c>
      <c r="P1998" t="str">
        <f>_xll.BDP("864660BX Muni","MUNI_TAX_PROV")</f>
        <v>#N/A Requesting Data...</v>
      </c>
      <c r="Q1998" t="str">
        <f>_xll.BDP("864660BX Muni","MUNI_FED_TAX")</f>
        <v>#N/A Requesting Data...</v>
      </c>
      <c r="R1998" t="str">
        <f>_xll.BDP("864660BX Muni","MUNI_MSRB_VOLUME")</f>
        <v>#N/A Requesting Data...</v>
      </c>
      <c r="S1998" t="str">
        <f>_xll.BDP("864660BX Muni","BB_COMPOSITE")</f>
        <v>#N/A Requesting Data...</v>
      </c>
      <c r="T1998" t="str">
        <f>_xll.BDP("864660BX Muni","LQA_LIQUIDITY_SCORE")</f>
        <v>#N/A Requesting Data...</v>
      </c>
    </row>
    <row r="1999" spans="1:20" x14ac:dyDescent="0.25">
      <c r="A1999" t="str">
        <f>_xll.BDP("864660BY Muni","ID_CUSIP")</f>
        <v>#N/A Requesting Data...</v>
      </c>
      <c r="B1999" t="s">
        <v>478</v>
      </c>
      <c r="C1999" t="str">
        <f>_xll.BDP("864660BY Muni","INSURANCE_STATUS")</f>
        <v>#N/A Requesting Data...</v>
      </c>
      <c r="D1999" t="str">
        <f>_xll.BDP("864660BY Muni","STATE_CODE")</f>
        <v>#N/A Requesting Data...</v>
      </c>
      <c r="E1999" t="str">
        <f>_xll.BDP("864660BY Muni","COUNTY_LOCATION_ISSUER")</f>
        <v>#N/A Requesting Data...</v>
      </c>
      <c r="F1999" t="str">
        <f>_xll.BDP("864660BY Muni","DUR_ADJ_MID")</f>
        <v>#N/A Requesting Data...</v>
      </c>
      <c r="G1999" t="str">
        <f>_xll.BDP("864660BY Muni","SPREAD_AT_ISSUANCE_TO_WORST")</f>
        <v>#N/A Requesting Data...</v>
      </c>
      <c r="H1999" t="str">
        <f>_xll.BDP("864660BY Muni","ISSUE_DT")</f>
        <v>#N/A Requesting Data...</v>
      </c>
      <c r="I1999" t="str">
        <f>_xll.BDS("864660BY Muni","MUNI_PURPOSE_SCHED", "aggregate=y")</f>
        <v>#N/A Requesting Data...</v>
      </c>
      <c r="J1999" t="str">
        <f>_xll.BDP("864660BY Muni","CPN")</f>
        <v>#N/A Requesting Data...</v>
      </c>
      <c r="K1999" t="str">
        <f>_xll.BDP("864660BY Muni","MATURITY")</f>
        <v>#N/A Requesting Data...</v>
      </c>
      <c r="L1999">
        <v>280000</v>
      </c>
      <c r="M1999" t="str">
        <f>_xll.BDP("864660BY Muni","YIELD_ON_ISSUE_DATE")</f>
        <v>#N/A Requesting Data...</v>
      </c>
      <c r="N1999" t="str">
        <f>_xll.BDP("864660BY Muni","YTW_SPREAD_TO_MATURITY_AT_ISSU")</f>
        <v>#N/A Requesting Data...</v>
      </c>
      <c r="O1999" t="str">
        <f>_xll.BDP("864660BY Muni","BVAL_MID_YTM")</f>
        <v>#N/A Requesting Data...</v>
      </c>
      <c r="P1999" t="str">
        <f>_xll.BDP("864660BY Muni","MUNI_TAX_PROV")</f>
        <v>#N/A Requesting Data...</v>
      </c>
      <c r="Q1999" t="str">
        <f>_xll.BDP("864660BY Muni","MUNI_FED_TAX")</f>
        <v>#N/A Requesting Data...</v>
      </c>
      <c r="R1999" t="str">
        <f>_xll.BDP("864660BY Muni","MUNI_MSRB_VOLUME")</f>
        <v>#N/A Requesting Data...</v>
      </c>
      <c r="S1999" t="str">
        <f>_xll.BDP("864660BY Muni","BB_COMPOSITE")</f>
        <v>#N/A Requesting Data...</v>
      </c>
      <c r="T1999" t="str">
        <f>_xll.BDP("864660BY Muni","LQA_LIQUIDITY_SCORE")</f>
        <v>#N/A Requesting Data...</v>
      </c>
    </row>
    <row r="2000" spans="1:20" x14ac:dyDescent="0.25">
      <c r="A2000" t="str">
        <f>_xll.BDP("864881RS Muni","ID_CUSIP")</f>
        <v>#N/A Requesting Data...</v>
      </c>
      <c r="B2000" t="s">
        <v>479</v>
      </c>
      <c r="C2000" t="str">
        <f>_xll.BDP("864881RS Muni","INSURANCE_STATUS")</f>
        <v>#N/A Requesting Data...</v>
      </c>
      <c r="D2000" t="str">
        <f>_xll.BDP("864881RS Muni","STATE_CODE")</f>
        <v>#N/A Requesting Data...</v>
      </c>
      <c r="E2000" t="str">
        <f>_xll.BDP("864881RS Muni","COUNTY_LOCATION_ISSUER")</f>
        <v>#N/A Requesting Data...</v>
      </c>
      <c r="F2000" t="str">
        <f>_xll.BDP("864881RS Muni","DUR_ADJ_MID")</f>
        <v>#N/A Requesting Data...</v>
      </c>
      <c r="G2000" t="str">
        <f>_xll.BDP("864881RS Muni","SPREAD_AT_ISSUANCE_TO_WORST")</f>
        <v>#N/A Requesting Data...</v>
      </c>
      <c r="H2000" t="str">
        <f>_xll.BDP("864881RS Muni","ISSUE_DT")</f>
        <v>#N/A Requesting Data...</v>
      </c>
      <c r="I2000" t="str">
        <f>_xll.BDS("864881RS Muni","MUNI_PURPOSE_SCHED", "aggregate=y")</f>
        <v>#N/A Requesting Data...</v>
      </c>
      <c r="J2000" t="str">
        <f>_xll.BDP("864881RS Muni","CPN")</f>
        <v>#N/A Requesting Data...</v>
      </c>
      <c r="K2000" t="str">
        <f>_xll.BDP("864881RS Muni","MATURITY")</f>
        <v>#N/A Requesting Data...</v>
      </c>
      <c r="L2000">
        <v>510000</v>
      </c>
      <c r="M2000" t="str">
        <f>_xll.BDP("864881RS Muni","YIELD_ON_ISSUE_DATE")</f>
        <v>#N/A Requesting Data...</v>
      </c>
      <c r="N2000" t="str">
        <f>_xll.BDP("864881RS Muni","YTW_SPREAD_TO_MATURITY_AT_ISSU")</f>
        <v>#N/A Requesting Data...</v>
      </c>
      <c r="O2000" t="str">
        <f>_xll.BDP("864881RS Muni","BVAL_MID_YTM")</f>
        <v>#N/A Requesting Data...</v>
      </c>
      <c r="P2000" t="str">
        <f>_xll.BDP("864881RS Muni","MUNI_TAX_PROV")</f>
        <v>#N/A Requesting Data...</v>
      </c>
      <c r="Q2000" t="str">
        <f>_xll.BDP("864881RS Muni","MUNI_FED_TAX")</f>
        <v>#N/A Requesting Data...</v>
      </c>
      <c r="R2000" t="str">
        <f>_xll.BDP("864881RS Muni","MUNI_MSRB_VOLUME")</f>
        <v>#N/A Requesting Data...</v>
      </c>
      <c r="S2000" t="str">
        <f>_xll.BDP("864881RS Muni","BB_COMPOSITE")</f>
        <v>#N/A Requesting Data...</v>
      </c>
      <c r="T2000" t="str">
        <f>_xll.BDP("864881RS Muni","LQA_LIQUIDITY_SCORE")</f>
        <v>#N/A Requesting Data...</v>
      </c>
    </row>
    <row r="2001" spans="1:20" x14ac:dyDescent="0.25">
      <c r="A2001" t="str">
        <f>_xll.BDP("864881RT Muni","ID_CUSIP")</f>
        <v>#N/A Requesting Data...</v>
      </c>
      <c r="B2001" t="s">
        <v>479</v>
      </c>
      <c r="C2001" t="str">
        <f>_xll.BDP("864881RT Muni","INSURANCE_STATUS")</f>
        <v>#N/A Requesting Data...</v>
      </c>
      <c r="D2001" t="str">
        <f>_xll.BDP("864881RT Muni","STATE_CODE")</f>
        <v>#N/A Requesting Data...</v>
      </c>
      <c r="E2001" t="str">
        <f>_xll.BDP("864881RT Muni","COUNTY_LOCATION_ISSUER")</f>
        <v>#N/A Requesting Data...</v>
      </c>
      <c r="F2001" t="str">
        <f>_xll.BDP("864881RT Muni","DUR_ADJ_MID")</f>
        <v>#N/A Requesting Data...</v>
      </c>
      <c r="G2001" t="str">
        <f>_xll.BDP("864881RT Muni","SPREAD_AT_ISSUANCE_TO_WORST")</f>
        <v>#N/A Requesting Data...</v>
      </c>
      <c r="H2001" t="str">
        <f>_xll.BDP("864881RT Muni","ISSUE_DT")</f>
        <v>#N/A Requesting Data...</v>
      </c>
      <c r="I2001" t="str">
        <f>_xll.BDS("864881RT Muni","MUNI_PURPOSE_SCHED", "aggregate=y")</f>
        <v>#N/A Requesting Data...</v>
      </c>
      <c r="J2001" t="str">
        <f>_xll.BDP("864881RT Muni","CPN")</f>
        <v>#N/A Requesting Data...</v>
      </c>
      <c r="K2001" t="str">
        <f>_xll.BDP("864881RT Muni","MATURITY")</f>
        <v>#N/A Requesting Data...</v>
      </c>
      <c r="L2001">
        <v>530000</v>
      </c>
      <c r="M2001" t="str">
        <f>_xll.BDP("864881RT Muni","YIELD_ON_ISSUE_DATE")</f>
        <v>#N/A Requesting Data...</v>
      </c>
      <c r="N2001" t="str">
        <f>_xll.BDP("864881RT Muni","YTW_SPREAD_TO_MATURITY_AT_ISSU")</f>
        <v>#N/A Requesting Data...</v>
      </c>
      <c r="O2001" t="str">
        <f>_xll.BDP("864881RT Muni","BVAL_MID_YTM")</f>
        <v>#N/A Requesting Data...</v>
      </c>
      <c r="P2001" t="str">
        <f>_xll.BDP("864881RT Muni","MUNI_TAX_PROV")</f>
        <v>#N/A Requesting Data...</v>
      </c>
      <c r="Q2001" t="str">
        <f>_xll.BDP("864881RT Muni","MUNI_FED_TAX")</f>
        <v>#N/A Requesting Data...</v>
      </c>
      <c r="R2001" t="str">
        <f>_xll.BDP("864881RT Muni","MUNI_MSRB_VOLUME")</f>
        <v>#N/A Requesting Data...</v>
      </c>
      <c r="S2001" t="str">
        <f>_xll.BDP("864881RT Muni","BB_COMPOSITE")</f>
        <v>#N/A Requesting Data...</v>
      </c>
      <c r="T2001" t="str">
        <f>_xll.BDP("864881RT Muni","LQA_LIQUIDITY_SCORE")</f>
        <v>#N/A Requesting Data...</v>
      </c>
    </row>
    <row r="2002" spans="1:20" x14ac:dyDescent="0.25">
      <c r="A2002" t="str">
        <f>_xll.BDP("864881RU Muni","ID_CUSIP")</f>
        <v>#N/A Requesting Data...</v>
      </c>
      <c r="B2002" t="s">
        <v>479</v>
      </c>
      <c r="C2002" t="str">
        <f>_xll.BDP("864881RU Muni","INSURANCE_STATUS")</f>
        <v>#N/A Requesting Data...</v>
      </c>
      <c r="D2002" t="str">
        <f>_xll.BDP("864881RU Muni","STATE_CODE")</f>
        <v>#N/A Requesting Data...</v>
      </c>
      <c r="E2002" t="str">
        <f>_xll.BDP("864881RU Muni","COUNTY_LOCATION_ISSUER")</f>
        <v>#N/A Requesting Data...</v>
      </c>
      <c r="F2002" t="str">
        <f>_xll.BDP("864881RU Muni","DUR_ADJ_MID")</f>
        <v>#N/A Requesting Data...</v>
      </c>
      <c r="G2002" t="str">
        <f>_xll.BDP("864881RU Muni","SPREAD_AT_ISSUANCE_TO_WORST")</f>
        <v>#N/A Requesting Data...</v>
      </c>
      <c r="H2002" t="str">
        <f>_xll.BDP("864881RU Muni","ISSUE_DT")</f>
        <v>#N/A Requesting Data...</v>
      </c>
      <c r="I2002" t="str">
        <f>_xll.BDS("864881RU Muni","MUNI_PURPOSE_SCHED", "aggregate=y")</f>
        <v>#N/A Requesting Data...</v>
      </c>
      <c r="J2002" t="str">
        <f>_xll.BDP("864881RU Muni","CPN")</f>
        <v>#N/A Requesting Data...</v>
      </c>
      <c r="K2002" t="str">
        <f>_xll.BDP("864881RU Muni","MATURITY")</f>
        <v>#N/A Requesting Data...</v>
      </c>
      <c r="L2002">
        <v>535000</v>
      </c>
      <c r="M2002" t="str">
        <f>_xll.BDP("864881RU Muni","YIELD_ON_ISSUE_DATE")</f>
        <v>#N/A Requesting Data...</v>
      </c>
      <c r="N2002" t="str">
        <f>_xll.BDP("864881RU Muni","YTW_SPREAD_TO_MATURITY_AT_ISSU")</f>
        <v>#N/A Requesting Data...</v>
      </c>
      <c r="O2002" t="str">
        <f>_xll.BDP("864881RU Muni","BVAL_MID_YTM")</f>
        <v>#N/A Requesting Data...</v>
      </c>
      <c r="P2002" t="str">
        <f>_xll.BDP("864881RU Muni","MUNI_TAX_PROV")</f>
        <v>#N/A Requesting Data...</v>
      </c>
      <c r="Q2002" t="str">
        <f>_xll.BDP("864881RU Muni","MUNI_FED_TAX")</f>
        <v>#N/A Requesting Data...</v>
      </c>
      <c r="R2002" t="str">
        <f>_xll.BDP("864881RU Muni","MUNI_MSRB_VOLUME")</f>
        <v>#N/A Requesting Data...</v>
      </c>
      <c r="S2002" t="str">
        <f>_xll.BDP("864881RU Muni","BB_COMPOSITE")</f>
        <v>#N/A Requesting Data...</v>
      </c>
      <c r="T2002" t="str">
        <f>_xll.BDP("864881RU Muni","LQA_LIQUIDITY_SCORE")</f>
        <v>#N/A Requesting Data...</v>
      </c>
    </row>
    <row r="2003" spans="1:20" x14ac:dyDescent="0.25">
      <c r="A2003" t="str">
        <f>_xll.BDP("864881RV Muni","ID_CUSIP")</f>
        <v>#N/A Requesting Data...</v>
      </c>
      <c r="B2003" t="s">
        <v>479</v>
      </c>
      <c r="C2003" t="str">
        <f>_xll.BDP("864881RV Muni","INSURANCE_STATUS")</f>
        <v>#N/A Requesting Data...</v>
      </c>
      <c r="D2003" t="str">
        <f>_xll.BDP("864881RV Muni","STATE_CODE")</f>
        <v>#N/A Requesting Data...</v>
      </c>
      <c r="E2003" t="str">
        <f>_xll.BDP("864881RV Muni","COUNTY_LOCATION_ISSUER")</f>
        <v>#N/A Requesting Data...</v>
      </c>
      <c r="F2003" t="str">
        <f>_xll.BDP("864881RV Muni","DUR_ADJ_MID")</f>
        <v>#N/A Requesting Data...</v>
      </c>
      <c r="G2003" t="str">
        <f>_xll.BDP("864881RV Muni","SPREAD_AT_ISSUANCE_TO_WORST")</f>
        <v>#N/A Requesting Data...</v>
      </c>
      <c r="H2003" t="str">
        <f>_xll.BDP("864881RV Muni","ISSUE_DT")</f>
        <v>#N/A Requesting Data...</v>
      </c>
      <c r="I2003" t="str">
        <f>_xll.BDS("864881RV Muni","MUNI_PURPOSE_SCHED", "aggregate=y")</f>
        <v>#N/A Requesting Data...</v>
      </c>
      <c r="J2003" t="str">
        <f>_xll.BDP("864881RV Muni","CPN")</f>
        <v>#N/A Requesting Data...</v>
      </c>
      <c r="K2003" t="str">
        <f>_xll.BDP("864881RV Muni","MATURITY")</f>
        <v>#N/A Requesting Data...</v>
      </c>
      <c r="L2003">
        <v>555000</v>
      </c>
      <c r="M2003" t="str">
        <f>_xll.BDP("864881RV Muni","YIELD_ON_ISSUE_DATE")</f>
        <v>#N/A Requesting Data...</v>
      </c>
      <c r="N2003" t="str">
        <f>_xll.BDP("864881RV Muni","YTW_SPREAD_TO_MATURITY_AT_ISSU")</f>
        <v>#N/A Requesting Data...</v>
      </c>
      <c r="O2003" t="str">
        <f>_xll.BDP("864881RV Muni","BVAL_MID_YTM")</f>
        <v>#N/A Requesting Data...</v>
      </c>
      <c r="P2003" t="str">
        <f>_xll.BDP("864881RV Muni","MUNI_TAX_PROV")</f>
        <v>#N/A Requesting Data...</v>
      </c>
      <c r="Q2003" t="str">
        <f>_xll.BDP("864881RV Muni","MUNI_FED_TAX")</f>
        <v>#N/A Requesting Data...</v>
      </c>
      <c r="R2003" t="str">
        <f>_xll.BDP("864881RV Muni","MUNI_MSRB_VOLUME")</f>
        <v>#N/A Requesting Data...</v>
      </c>
      <c r="S2003" t="str">
        <f>_xll.BDP("864881RV Muni","BB_COMPOSITE")</f>
        <v>#N/A Requesting Data...</v>
      </c>
      <c r="T2003" t="str">
        <f>_xll.BDP("864881RV Muni","LQA_LIQUIDITY_SCORE")</f>
        <v>#N/A Requesting Data...</v>
      </c>
    </row>
    <row r="2004" spans="1:20" x14ac:dyDescent="0.25">
      <c r="A2004" t="str">
        <f>_xll.BDP("864881RW Muni","ID_CUSIP")</f>
        <v>#N/A Requesting Data...</v>
      </c>
      <c r="B2004" t="s">
        <v>479</v>
      </c>
      <c r="C2004" t="str">
        <f>_xll.BDP("864881RW Muni","INSURANCE_STATUS")</f>
        <v>#N/A Requesting Data...</v>
      </c>
      <c r="D2004" t="str">
        <f>_xll.BDP("864881RW Muni","STATE_CODE")</f>
        <v>#N/A Requesting Data...</v>
      </c>
      <c r="E2004" t="str">
        <f>_xll.BDP("864881RW Muni","COUNTY_LOCATION_ISSUER")</f>
        <v>#N/A Requesting Data...</v>
      </c>
      <c r="F2004" t="str">
        <f>_xll.BDP("864881RW Muni","DUR_ADJ_MID")</f>
        <v>#N/A Requesting Data...</v>
      </c>
      <c r="G2004" t="str">
        <f>_xll.BDP("864881RW Muni","SPREAD_AT_ISSUANCE_TO_WORST")</f>
        <v>#N/A Requesting Data...</v>
      </c>
      <c r="H2004" t="str">
        <f>_xll.BDP("864881RW Muni","ISSUE_DT")</f>
        <v>#N/A Requesting Data...</v>
      </c>
      <c r="I2004" t="str">
        <f>_xll.BDS("864881RW Muni","MUNI_PURPOSE_SCHED", "aggregate=y")</f>
        <v>#N/A Requesting Data...</v>
      </c>
      <c r="J2004" t="str">
        <f>_xll.BDP("864881RW Muni","CPN")</f>
        <v>#N/A Requesting Data...</v>
      </c>
      <c r="K2004" t="str">
        <f>_xll.BDP("864881RW Muni","MATURITY")</f>
        <v>#N/A Requesting Data...</v>
      </c>
      <c r="L2004">
        <v>575000</v>
      </c>
      <c r="M2004" t="str">
        <f>_xll.BDP("864881RW Muni","YIELD_ON_ISSUE_DATE")</f>
        <v>#N/A Requesting Data...</v>
      </c>
      <c r="N2004" t="str">
        <f>_xll.BDP("864881RW Muni","YTW_SPREAD_TO_MATURITY_AT_ISSU")</f>
        <v>#N/A Requesting Data...</v>
      </c>
      <c r="O2004" t="str">
        <f>_xll.BDP("864881RW Muni","BVAL_MID_YTM")</f>
        <v>#N/A Requesting Data...</v>
      </c>
      <c r="P2004" t="str">
        <f>_xll.BDP("864881RW Muni","MUNI_TAX_PROV")</f>
        <v>#N/A Requesting Data...</v>
      </c>
      <c r="Q2004" t="str">
        <f>_xll.BDP("864881RW Muni","MUNI_FED_TAX")</f>
        <v>#N/A Requesting Data...</v>
      </c>
      <c r="R2004" t="str">
        <f>_xll.BDP("864881RW Muni","MUNI_MSRB_VOLUME")</f>
        <v>#N/A Requesting Data...</v>
      </c>
      <c r="S2004" t="str">
        <f>_xll.BDP("864881RW Muni","BB_COMPOSITE")</f>
        <v>#N/A Requesting Data...</v>
      </c>
      <c r="T2004" t="str">
        <f>_xll.BDP("864881RW Muni","LQA_LIQUIDITY_SCORE")</f>
        <v>#N/A Requesting Data...</v>
      </c>
    </row>
    <row r="2005" spans="1:20" x14ac:dyDescent="0.25">
      <c r="A2005" t="str">
        <f>_xll.BDP("864881RX Muni","ID_CUSIP")</f>
        <v>#N/A Requesting Data...</v>
      </c>
      <c r="B2005" t="s">
        <v>479</v>
      </c>
      <c r="C2005" t="str">
        <f>_xll.BDP("864881RX Muni","INSURANCE_STATUS")</f>
        <v>#N/A Requesting Data...</v>
      </c>
      <c r="D2005" t="str">
        <f>_xll.BDP("864881RX Muni","STATE_CODE")</f>
        <v>#N/A Requesting Data...</v>
      </c>
      <c r="E2005" t="str">
        <f>_xll.BDP("864881RX Muni","COUNTY_LOCATION_ISSUER")</f>
        <v>#N/A Requesting Data...</v>
      </c>
      <c r="F2005" t="str">
        <f>_xll.BDP("864881RX Muni","DUR_ADJ_MID")</f>
        <v>#N/A Requesting Data...</v>
      </c>
      <c r="G2005" t="str">
        <f>_xll.BDP("864881RX Muni","SPREAD_AT_ISSUANCE_TO_WORST")</f>
        <v>#N/A Requesting Data...</v>
      </c>
      <c r="H2005" t="str">
        <f>_xll.BDP("864881RX Muni","ISSUE_DT")</f>
        <v>#N/A Requesting Data...</v>
      </c>
      <c r="I2005" t="str">
        <f>_xll.BDS("864881RX Muni","MUNI_PURPOSE_SCHED", "aggregate=y")</f>
        <v>#N/A Requesting Data...</v>
      </c>
      <c r="J2005" t="str">
        <f>_xll.BDP("864881RX Muni","CPN")</f>
        <v>#N/A Requesting Data...</v>
      </c>
      <c r="K2005" t="str">
        <f>_xll.BDP("864881RX Muni","MATURITY")</f>
        <v>#N/A Requesting Data...</v>
      </c>
      <c r="L2005">
        <v>600000</v>
      </c>
      <c r="M2005" t="str">
        <f>_xll.BDP("864881RX Muni","YIELD_ON_ISSUE_DATE")</f>
        <v>#N/A Requesting Data...</v>
      </c>
      <c r="N2005" t="str">
        <f>_xll.BDP("864881RX Muni","YTW_SPREAD_TO_MATURITY_AT_ISSU")</f>
        <v>#N/A Requesting Data...</v>
      </c>
      <c r="O2005" t="str">
        <f>_xll.BDP("864881RX Muni","BVAL_MID_YTM")</f>
        <v>#N/A Requesting Data...</v>
      </c>
      <c r="P2005" t="str">
        <f>_xll.BDP("864881RX Muni","MUNI_TAX_PROV")</f>
        <v>#N/A Requesting Data...</v>
      </c>
      <c r="Q2005" t="str">
        <f>_xll.BDP("864881RX Muni","MUNI_FED_TAX")</f>
        <v>#N/A Requesting Data...</v>
      </c>
      <c r="R2005" t="str">
        <f>_xll.BDP("864881RX Muni","MUNI_MSRB_VOLUME")</f>
        <v>#N/A Requesting Data...</v>
      </c>
      <c r="S2005" t="str">
        <f>_xll.BDP("864881RX Muni","BB_COMPOSITE")</f>
        <v>#N/A Requesting Data...</v>
      </c>
      <c r="T2005" t="str">
        <f>_xll.BDP("864881RX Muni","LQA_LIQUIDITY_SCORE")</f>
        <v>#N/A Requesting Data...</v>
      </c>
    </row>
    <row r="2006" spans="1:20" x14ac:dyDescent="0.25">
      <c r="A2006" t="str">
        <f>_xll.BDP("864881RY Muni","ID_CUSIP")</f>
        <v>#N/A Requesting Data...</v>
      </c>
      <c r="B2006" t="s">
        <v>479</v>
      </c>
      <c r="C2006" t="str">
        <f>_xll.BDP("864881RY Muni","INSURANCE_STATUS")</f>
        <v>#N/A Requesting Data...</v>
      </c>
      <c r="D2006" t="str">
        <f>_xll.BDP("864881RY Muni","STATE_CODE")</f>
        <v>#N/A Requesting Data...</v>
      </c>
      <c r="E2006" t="str">
        <f>_xll.BDP("864881RY Muni","COUNTY_LOCATION_ISSUER")</f>
        <v>#N/A Requesting Data...</v>
      </c>
      <c r="F2006" t="str">
        <f>_xll.BDP("864881RY Muni","DUR_ADJ_MID")</f>
        <v>#N/A Requesting Data...</v>
      </c>
      <c r="G2006" t="str">
        <f>_xll.BDP("864881RY Muni","SPREAD_AT_ISSUANCE_TO_WORST")</f>
        <v>#N/A Requesting Data...</v>
      </c>
      <c r="H2006" t="str">
        <f>_xll.BDP("864881RY Muni","ISSUE_DT")</f>
        <v>#N/A Requesting Data...</v>
      </c>
      <c r="I2006" t="str">
        <f>_xll.BDS("864881RY Muni","MUNI_PURPOSE_SCHED", "aggregate=y")</f>
        <v>#N/A Requesting Data...</v>
      </c>
      <c r="J2006" t="str">
        <f>_xll.BDP("864881RY Muni","CPN")</f>
        <v>#N/A Requesting Data...</v>
      </c>
      <c r="K2006" t="str">
        <f>_xll.BDP("864881RY Muni","MATURITY")</f>
        <v>#N/A Requesting Data...</v>
      </c>
      <c r="L2006">
        <v>630000</v>
      </c>
      <c r="M2006" t="str">
        <f>_xll.BDP("864881RY Muni","YIELD_ON_ISSUE_DATE")</f>
        <v>#N/A Requesting Data...</v>
      </c>
      <c r="N2006" t="str">
        <f>_xll.BDP("864881RY Muni","YTW_SPREAD_TO_MATURITY_AT_ISSU")</f>
        <v>#N/A Requesting Data...</v>
      </c>
      <c r="O2006" t="str">
        <f>_xll.BDP("864881RY Muni","BVAL_MID_YTM")</f>
        <v>#N/A Requesting Data...</v>
      </c>
      <c r="P2006" t="str">
        <f>_xll.BDP("864881RY Muni","MUNI_TAX_PROV")</f>
        <v>#N/A Requesting Data...</v>
      </c>
      <c r="Q2006" t="str">
        <f>_xll.BDP("864881RY Muni","MUNI_FED_TAX")</f>
        <v>#N/A Requesting Data...</v>
      </c>
      <c r="R2006" t="str">
        <f>_xll.BDP("864881RY Muni","MUNI_MSRB_VOLUME")</f>
        <v>#N/A Requesting Data...</v>
      </c>
      <c r="S2006" t="str">
        <f>_xll.BDP("864881RY Muni","BB_COMPOSITE")</f>
        <v>#N/A Requesting Data...</v>
      </c>
      <c r="T2006" t="str">
        <f>_xll.BDP("864881RY Muni","LQA_LIQUIDITY_SCORE")</f>
        <v>#N/A Requesting Data...</v>
      </c>
    </row>
    <row r="2007" spans="1:20" x14ac:dyDescent="0.25">
      <c r="A2007" t="str">
        <f>_xll.BDP("708836GQ Muni","ID_CUSIP")</f>
        <v>#N/A Requesting Data...</v>
      </c>
      <c r="B2007" t="s">
        <v>432</v>
      </c>
      <c r="C2007" t="str">
        <f>_xll.BDP("708836GQ Muni","INSURANCE_STATUS")</f>
        <v>#N/A Requesting Data...</v>
      </c>
      <c r="D2007" t="str">
        <f>_xll.BDP("708836GQ Muni","STATE_CODE")</f>
        <v>#N/A Requesting Data...</v>
      </c>
      <c r="E2007" t="str">
        <f>_xll.BDP("708836GQ Muni","COUNTY_LOCATION_ISSUER")</f>
        <v>#N/A Requesting Data...</v>
      </c>
      <c r="F2007" t="str">
        <f>_xll.BDP("708836GQ Muni","DUR_ADJ_MID")</f>
        <v>#N/A Requesting Data...</v>
      </c>
      <c r="G2007" t="str">
        <f>_xll.BDP("708836GQ Muni","SPREAD_AT_ISSUANCE_TO_WORST")</f>
        <v>#N/A Requesting Data...</v>
      </c>
      <c r="H2007" t="str">
        <f>_xll.BDP("708836GQ Muni","ISSUE_DT")</f>
        <v>#N/A Requesting Data...</v>
      </c>
      <c r="I2007" t="str">
        <f>_xll.BDS("708836GQ Muni","MUNI_PURPOSE_SCHED", "aggregate=y")</f>
        <v>#N/A Requesting Data...</v>
      </c>
      <c r="J2007" t="str">
        <f>_xll.BDP("708836GQ Muni","CPN")</f>
        <v>#N/A Requesting Data...</v>
      </c>
      <c r="K2007" t="str">
        <f>_xll.BDP("708836GQ Muni","MATURITY")</f>
        <v>#N/A Requesting Data...</v>
      </c>
      <c r="L2007">
        <v>5080000</v>
      </c>
      <c r="M2007" t="str">
        <f>_xll.BDP("708836GQ Muni","YIELD_ON_ISSUE_DATE")</f>
        <v>#N/A Requesting Data...</v>
      </c>
      <c r="N2007" t="str">
        <f>_xll.BDP("708836GQ Muni","YTW_SPREAD_TO_MATURITY_AT_ISSU")</f>
        <v>#N/A Requesting Data...</v>
      </c>
      <c r="O2007" t="str">
        <f>_xll.BDP("708836GQ Muni","BVAL_MID_YTM")</f>
        <v>#N/A Requesting Data...</v>
      </c>
      <c r="P2007" t="str">
        <f>_xll.BDP("708836GQ Muni","MUNI_TAX_PROV")</f>
        <v>#N/A Requesting Data...</v>
      </c>
      <c r="Q2007" t="str">
        <f>_xll.BDP("708836GQ Muni","MUNI_FED_TAX")</f>
        <v>#N/A Requesting Data...</v>
      </c>
      <c r="R2007" t="str">
        <f>_xll.BDP("708836GQ Muni","MUNI_MSRB_VOLUME")</f>
        <v>#N/A Requesting Data...</v>
      </c>
      <c r="S2007" t="str">
        <f>_xll.BDP("708836GQ Muni","BB_COMPOSITE")</f>
        <v>#N/A Requesting Data...</v>
      </c>
      <c r="T2007" t="str">
        <f>_xll.BDP("708836GQ Muni","LQA_LIQUIDITY_SCORE")</f>
        <v>#N/A Requesting Data...</v>
      </c>
    </row>
    <row r="2008" spans="1:20" x14ac:dyDescent="0.25">
      <c r="A2008" t="str">
        <f>_xll.BDP("708836GS Muni","ID_CUSIP")</f>
        <v>#N/A Requesting Data...</v>
      </c>
      <c r="B2008" t="s">
        <v>432</v>
      </c>
      <c r="C2008" t="str">
        <f>_xll.BDP("708836GS Muni","INSURANCE_STATUS")</f>
        <v>#N/A Requesting Data...</v>
      </c>
      <c r="D2008" t="str">
        <f>_xll.BDP("708836GS Muni","STATE_CODE")</f>
        <v>#N/A Requesting Data...</v>
      </c>
      <c r="E2008" t="str">
        <f>_xll.BDP("708836GS Muni","COUNTY_LOCATION_ISSUER")</f>
        <v>#N/A Requesting Data...</v>
      </c>
      <c r="F2008" t="str">
        <f>_xll.BDP("708836GS Muni","DUR_ADJ_MID")</f>
        <v>#N/A Requesting Data...</v>
      </c>
      <c r="G2008" t="str">
        <f>_xll.BDP("708836GS Muni","SPREAD_AT_ISSUANCE_TO_WORST")</f>
        <v>#N/A Requesting Data...</v>
      </c>
      <c r="H2008" t="str">
        <f>_xll.BDP("708836GS Muni","ISSUE_DT")</f>
        <v>#N/A Requesting Data...</v>
      </c>
      <c r="I2008" t="str">
        <f>_xll.BDS("708836GS Muni","MUNI_PURPOSE_SCHED", "aggregate=y")</f>
        <v>#N/A Requesting Data...</v>
      </c>
      <c r="J2008" t="str">
        <f>_xll.BDP("708836GS Muni","CPN")</f>
        <v>#N/A Requesting Data...</v>
      </c>
      <c r="K2008" t="str">
        <f>_xll.BDP("708836GS Muni","MATURITY")</f>
        <v>#N/A Requesting Data...</v>
      </c>
      <c r="L2008">
        <v>5600000</v>
      </c>
      <c r="M2008" t="str">
        <f>_xll.BDP("708836GS Muni","YIELD_ON_ISSUE_DATE")</f>
        <v>#N/A Requesting Data...</v>
      </c>
      <c r="N2008" t="str">
        <f>_xll.BDP("708836GS Muni","YTW_SPREAD_TO_MATURITY_AT_ISSU")</f>
        <v>#N/A Requesting Data...</v>
      </c>
      <c r="O2008" t="str">
        <f>_xll.BDP("708836GS Muni","BVAL_MID_YTM")</f>
        <v>#N/A Requesting Data...</v>
      </c>
      <c r="P2008" t="str">
        <f>_xll.BDP("708836GS Muni","MUNI_TAX_PROV")</f>
        <v>#N/A Requesting Data...</v>
      </c>
      <c r="Q2008" t="str">
        <f>_xll.BDP("708836GS Muni","MUNI_FED_TAX")</f>
        <v>#N/A Requesting Data...</v>
      </c>
      <c r="R2008" t="str">
        <f>_xll.BDP("708836GS Muni","MUNI_MSRB_VOLUME")</f>
        <v>#N/A Requesting Data...</v>
      </c>
      <c r="S2008" t="str">
        <f>_xll.BDP("708836GS Muni","BB_COMPOSITE")</f>
        <v>#N/A Requesting Data...</v>
      </c>
      <c r="T2008" t="str">
        <f>_xll.BDP("708836GS Muni","LQA_LIQUIDITY_SCORE")</f>
        <v>#N/A Requesting Data...</v>
      </c>
    </row>
    <row r="2009" spans="1:20" x14ac:dyDescent="0.25">
      <c r="A2009" t="str">
        <f>_xll.BDP("708836GU Muni","ID_CUSIP")</f>
        <v>#N/A Requesting Data...</v>
      </c>
      <c r="B2009" t="s">
        <v>432</v>
      </c>
      <c r="C2009" t="str">
        <f>_xll.BDP("708836GU Muni","INSURANCE_STATUS")</f>
        <v>#N/A Requesting Data...</v>
      </c>
      <c r="D2009" t="str">
        <f>_xll.BDP("708836GU Muni","STATE_CODE")</f>
        <v>#N/A Requesting Data...</v>
      </c>
      <c r="E2009" t="str">
        <f>_xll.BDP("708836GU Muni","COUNTY_LOCATION_ISSUER")</f>
        <v>#N/A Requesting Data...</v>
      </c>
      <c r="F2009" t="str">
        <f>_xll.BDP("708836GU Muni","DUR_ADJ_MID")</f>
        <v>#N/A Requesting Data...</v>
      </c>
      <c r="G2009" t="str">
        <f>_xll.BDP("708836GU Muni","SPREAD_AT_ISSUANCE_TO_WORST")</f>
        <v>#N/A Requesting Data...</v>
      </c>
      <c r="H2009" t="str">
        <f>_xll.BDP("708836GU Muni","ISSUE_DT")</f>
        <v>#N/A Requesting Data...</v>
      </c>
      <c r="I2009" t="str">
        <f>_xll.BDS("708836GU Muni","MUNI_PURPOSE_SCHED", "aggregate=y")</f>
        <v>#N/A Requesting Data...</v>
      </c>
      <c r="J2009" t="str">
        <f>_xll.BDP("708836GU Muni","CPN")</f>
        <v>#N/A Requesting Data...</v>
      </c>
      <c r="K2009" t="str">
        <f>_xll.BDP("708836GU Muni","MATURITY")</f>
        <v>#N/A Requesting Data...</v>
      </c>
      <c r="L2009">
        <v>6175000</v>
      </c>
      <c r="M2009" t="str">
        <f>_xll.BDP("708836GU Muni","YIELD_ON_ISSUE_DATE")</f>
        <v>#N/A Requesting Data...</v>
      </c>
      <c r="N2009" t="str">
        <f>_xll.BDP("708836GU Muni","YTW_SPREAD_TO_MATURITY_AT_ISSU")</f>
        <v>#N/A Requesting Data...</v>
      </c>
      <c r="O2009" t="str">
        <f>_xll.BDP("708836GU Muni","BVAL_MID_YTM")</f>
        <v>#N/A Requesting Data...</v>
      </c>
      <c r="P2009" t="str">
        <f>_xll.BDP("708836GU Muni","MUNI_TAX_PROV")</f>
        <v>#N/A Requesting Data...</v>
      </c>
      <c r="Q2009" t="str">
        <f>_xll.BDP("708836GU Muni","MUNI_FED_TAX")</f>
        <v>#N/A Requesting Data...</v>
      </c>
      <c r="R2009" t="str">
        <f>_xll.BDP("708836GU Muni","MUNI_MSRB_VOLUME")</f>
        <v>#N/A Requesting Data...</v>
      </c>
      <c r="S2009" t="str">
        <f>_xll.BDP("708836GU Muni","BB_COMPOSITE")</f>
        <v>#N/A Requesting Data...</v>
      </c>
      <c r="T2009" t="str">
        <f>_xll.BDP("708836GU Muni","LQA_LIQUIDITY_SCORE")</f>
        <v>#N/A Requesting Data...</v>
      </c>
    </row>
    <row r="2010" spans="1:20" x14ac:dyDescent="0.25">
      <c r="A2010" t="str">
        <f>_xll.BDP("69750TJG Muni","ID_CUSIP")</f>
        <v>#N/A Requesting Data...</v>
      </c>
      <c r="B2010" t="s">
        <v>446</v>
      </c>
      <c r="C2010" t="str">
        <f>_xll.BDP("69750TJG Muni","INSURANCE_STATUS")</f>
        <v>#N/A Requesting Data...</v>
      </c>
      <c r="D2010" t="str">
        <f>_xll.BDP("69750TJG Muni","STATE_CODE")</f>
        <v>#N/A Requesting Data...</v>
      </c>
      <c r="E2010" t="str">
        <f>_xll.BDP("69750TJG Muni","COUNTY_LOCATION_ISSUER")</f>
        <v>#N/A Requesting Data...</v>
      </c>
      <c r="F2010" t="str">
        <f>_xll.BDP("69750TJG Muni","DUR_ADJ_MID")</f>
        <v>#N/A Requesting Data...</v>
      </c>
      <c r="G2010" t="str">
        <f>_xll.BDP("69750TJG Muni","SPREAD_AT_ISSUANCE_TO_WORST")</f>
        <v>#N/A Requesting Data...</v>
      </c>
      <c r="H2010" t="str">
        <f>_xll.BDP("69750TJG Muni","ISSUE_DT")</f>
        <v>#N/A Requesting Data...</v>
      </c>
      <c r="I2010" t="str">
        <f>_xll.BDS("69750TJG Muni","MUNI_PURPOSE_SCHED", "aggregate=y")</f>
        <v>#N/A Requesting Data...</v>
      </c>
      <c r="J2010" t="str">
        <f>_xll.BDP("69750TJG Muni","CPN")</f>
        <v>#N/A Requesting Data...</v>
      </c>
      <c r="K2010" t="str">
        <f>_xll.BDP("69750TJG Muni","MATURITY")</f>
        <v>#N/A Requesting Data...</v>
      </c>
      <c r="L2010">
        <v>105000</v>
      </c>
      <c r="M2010" t="str">
        <f>_xll.BDP("69750TJG Muni","YIELD_ON_ISSUE_DATE")</f>
        <v>#N/A Requesting Data...</v>
      </c>
      <c r="N2010" t="str">
        <f>_xll.BDP("69750TJG Muni","YTW_SPREAD_TO_MATURITY_AT_ISSU")</f>
        <v>#N/A Requesting Data...</v>
      </c>
      <c r="O2010" t="str">
        <f>_xll.BDP("69750TJG Muni","BVAL_MID_YTM")</f>
        <v>#N/A Requesting Data...</v>
      </c>
      <c r="P2010" t="str">
        <f>_xll.BDP("69750TJG Muni","MUNI_TAX_PROV")</f>
        <v>#N/A Requesting Data...</v>
      </c>
      <c r="Q2010" t="str">
        <f>_xll.BDP("69750TJG Muni","MUNI_FED_TAX")</f>
        <v>#N/A Requesting Data...</v>
      </c>
      <c r="R2010" t="str">
        <f>_xll.BDP("69750TJG Muni","MUNI_MSRB_VOLUME")</f>
        <v>#N/A Requesting Data...</v>
      </c>
      <c r="S2010" t="str">
        <f>_xll.BDP("69750TJG Muni","BB_COMPOSITE")</f>
        <v>#N/A Requesting Data...</v>
      </c>
      <c r="T2010" t="str">
        <f>_xll.BDP("69750TJG Muni","LQA_LIQUIDITY_SCORE")</f>
        <v>#N/A Requesting Data...</v>
      </c>
    </row>
    <row r="2011" spans="1:20" x14ac:dyDescent="0.25">
      <c r="A2011" t="str">
        <f>_xll.BDP("70105RAZ Muni","ID_CUSIP")</f>
        <v>#N/A Requesting Data...</v>
      </c>
      <c r="B2011" t="s">
        <v>480</v>
      </c>
      <c r="C2011" t="str">
        <f>_xll.BDP("70105RAZ Muni","INSURANCE_STATUS")</f>
        <v>#N/A Requesting Data...</v>
      </c>
      <c r="D2011" t="str">
        <f>_xll.BDP("70105RAZ Muni","STATE_CODE")</f>
        <v>#N/A Requesting Data...</v>
      </c>
      <c r="E2011" t="str">
        <f>_xll.BDP("70105RAZ Muni","COUNTY_LOCATION_ISSUER")</f>
        <v>#N/A Requesting Data...</v>
      </c>
      <c r="F2011" t="str">
        <f>_xll.BDP("70105RAZ Muni","DUR_ADJ_MID")</f>
        <v>#N/A Requesting Data...</v>
      </c>
      <c r="G2011" t="str">
        <f>_xll.BDP("70105RAZ Muni","SPREAD_AT_ISSUANCE_TO_WORST")</f>
        <v>#N/A Requesting Data...</v>
      </c>
      <c r="H2011" t="str">
        <f>_xll.BDP("70105RAZ Muni","ISSUE_DT")</f>
        <v>#N/A Requesting Data...</v>
      </c>
      <c r="I2011" t="str">
        <f>_xll.BDS("70105RAZ Muni","MUNI_PURPOSE_SCHED", "aggregate=y")</f>
        <v>#N/A Requesting Data...</v>
      </c>
      <c r="J2011" t="str">
        <f>_xll.BDP("70105RAZ Muni","CPN")</f>
        <v>#N/A Requesting Data...</v>
      </c>
      <c r="K2011" t="str">
        <f>_xll.BDP("70105RAZ Muni","MATURITY")</f>
        <v>#N/A Requesting Data...</v>
      </c>
      <c r="L2011">
        <v>1095000</v>
      </c>
      <c r="M2011" t="str">
        <f>_xll.BDP("70105RAZ Muni","YIELD_ON_ISSUE_DATE")</f>
        <v>#N/A Requesting Data...</v>
      </c>
      <c r="N2011" t="str">
        <f>_xll.BDP("70105RAZ Muni","YTW_SPREAD_TO_MATURITY_AT_ISSU")</f>
        <v>#N/A Requesting Data...</v>
      </c>
      <c r="O2011" t="str">
        <f>_xll.BDP("70105RAZ Muni","BVAL_MID_YTM")</f>
        <v>#N/A Requesting Data...</v>
      </c>
      <c r="P2011" t="str">
        <f>_xll.BDP("70105RAZ Muni","MUNI_TAX_PROV")</f>
        <v>#N/A Requesting Data...</v>
      </c>
      <c r="Q2011" t="str">
        <f>_xll.BDP("70105RAZ Muni","MUNI_FED_TAX")</f>
        <v>#N/A Requesting Data...</v>
      </c>
      <c r="R2011" t="str">
        <f>_xll.BDP("70105RAZ Muni","MUNI_MSRB_VOLUME")</f>
        <v>#N/A Requesting Data...</v>
      </c>
      <c r="S2011" t="str">
        <f>_xll.BDP("70105RAZ Muni","BB_COMPOSITE")</f>
        <v>#N/A Requesting Data...</v>
      </c>
      <c r="T2011" t="str">
        <f>_xll.BDP("70105RAZ Muni","LQA_LIQUIDITY_SCORE")</f>
        <v>#N/A Requesting Data...</v>
      </c>
    </row>
    <row r="2012" spans="1:20" x14ac:dyDescent="0.25">
      <c r="A2012" t="str">
        <f>_xll.BDP("70105RBB Muni","ID_CUSIP")</f>
        <v>#N/A Requesting Data...</v>
      </c>
      <c r="B2012" t="s">
        <v>480</v>
      </c>
      <c r="C2012" t="str">
        <f>_xll.BDP("70105RBB Muni","INSURANCE_STATUS")</f>
        <v>#N/A Requesting Data...</v>
      </c>
      <c r="D2012" t="str">
        <f>_xll.BDP("70105RBB Muni","STATE_CODE")</f>
        <v>#N/A Requesting Data...</v>
      </c>
      <c r="E2012" t="str">
        <f>_xll.BDP("70105RBB Muni","COUNTY_LOCATION_ISSUER")</f>
        <v>#N/A Requesting Data...</v>
      </c>
      <c r="F2012" t="str">
        <f>_xll.BDP("70105RBB Muni","DUR_ADJ_MID")</f>
        <v>#N/A Requesting Data...</v>
      </c>
      <c r="G2012" t="str">
        <f>_xll.BDP("70105RBB Muni","SPREAD_AT_ISSUANCE_TO_WORST")</f>
        <v>#N/A Requesting Data...</v>
      </c>
      <c r="H2012" t="str">
        <f>_xll.BDP("70105RBB Muni","ISSUE_DT")</f>
        <v>#N/A Requesting Data...</v>
      </c>
      <c r="I2012" t="str">
        <f>_xll.BDS("70105RBB Muni","MUNI_PURPOSE_SCHED", "aggregate=y")</f>
        <v>#N/A Requesting Data...</v>
      </c>
      <c r="J2012" t="str">
        <f>_xll.BDP("70105RBB Muni","CPN")</f>
        <v>#N/A Requesting Data...</v>
      </c>
      <c r="K2012" t="str">
        <f>_xll.BDP("70105RBB Muni","MATURITY")</f>
        <v>#N/A Requesting Data...</v>
      </c>
      <c r="L2012">
        <v>1145000</v>
      </c>
      <c r="M2012" t="str">
        <f>_xll.BDP("70105RBB Muni","YIELD_ON_ISSUE_DATE")</f>
        <v>#N/A Requesting Data...</v>
      </c>
      <c r="N2012" t="str">
        <f>_xll.BDP("70105RBB Muni","YTW_SPREAD_TO_MATURITY_AT_ISSU")</f>
        <v>#N/A Requesting Data...</v>
      </c>
      <c r="O2012" t="str">
        <f>_xll.BDP("70105RBB Muni","BVAL_MID_YTM")</f>
        <v>#N/A Requesting Data...</v>
      </c>
      <c r="P2012" t="str">
        <f>_xll.BDP("70105RBB Muni","MUNI_TAX_PROV")</f>
        <v>#N/A Requesting Data...</v>
      </c>
      <c r="Q2012" t="str">
        <f>_xll.BDP("70105RBB Muni","MUNI_FED_TAX")</f>
        <v>#N/A Requesting Data...</v>
      </c>
      <c r="R2012" t="str">
        <f>_xll.BDP("70105RBB Muni","MUNI_MSRB_VOLUME")</f>
        <v>#N/A Requesting Data...</v>
      </c>
      <c r="S2012" t="str">
        <f>_xll.BDP("70105RBB Muni","BB_COMPOSITE")</f>
        <v>#N/A Requesting Data...</v>
      </c>
      <c r="T2012" t="str">
        <f>_xll.BDP("70105RBB Muni","LQA_LIQUIDITY_SCORE")</f>
        <v>#N/A Requesting Data...</v>
      </c>
    </row>
    <row r="2013" spans="1:20" x14ac:dyDescent="0.25">
      <c r="A2013" t="str">
        <f>_xll.BDP("70105RBD Muni","ID_CUSIP")</f>
        <v>#N/A Requesting Data...</v>
      </c>
      <c r="B2013" t="s">
        <v>480</v>
      </c>
      <c r="C2013" t="str">
        <f>_xll.BDP("70105RBD Muni","INSURANCE_STATUS")</f>
        <v>#N/A Requesting Data...</v>
      </c>
      <c r="D2013" t="str">
        <f>_xll.BDP("70105RBD Muni","STATE_CODE")</f>
        <v>#N/A Requesting Data...</v>
      </c>
      <c r="E2013" t="str">
        <f>_xll.BDP("70105RBD Muni","COUNTY_LOCATION_ISSUER")</f>
        <v>#N/A Requesting Data...</v>
      </c>
      <c r="F2013" t="str">
        <f>_xll.BDP("70105RBD Muni","DUR_ADJ_MID")</f>
        <v>#N/A Requesting Data...</v>
      </c>
      <c r="G2013" t="str">
        <f>_xll.BDP("70105RBD Muni","SPREAD_AT_ISSUANCE_TO_WORST")</f>
        <v>#N/A Requesting Data...</v>
      </c>
      <c r="H2013" t="str">
        <f>_xll.BDP("70105RBD Muni","ISSUE_DT")</f>
        <v>#N/A Requesting Data...</v>
      </c>
      <c r="I2013" t="str">
        <f>_xll.BDS("70105RBD Muni","MUNI_PURPOSE_SCHED", "aggregate=y")</f>
        <v>#N/A Requesting Data...</v>
      </c>
      <c r="J2013" t="str">
        <f>_xll.BDP("70105RBD Muni","CPN")</f>
        <v>#N/A Requesting Data...</v>
      </c>
      <c r="K2013" t="str">
        <f>_xll.BDP("70105RBD Muni","MATURITY")</f>
        <v>#N/A Requesting Data...</v>
      </c>
      <c r="L2013">
        <v>1255000</v>
      </c>
      <c r="M2013" t="str">
        <f>_xll.BDP("70105RBD Muni","YIELD_ON_ISSUE_DATE")</f>
        <v>#N/A Requesting Data...</v>
      </c>
      <c r="N2013" t="str">
        <f>_xll.BDP("70105RBD Muni","YTW_SPREAD_TO_MATURITY_AT_ISSU")</f>
        <v>#N/A Requesting Data...</v>
      </c>
      <c r="O2013" t="str">
        <f>_xll.BDP("70105RBD Muni","BVAL_MID_YTM")</f>
        <v>#N/A Requesting Data...</v>
      </c>
      <c r="P2013" t="str">
        <f>_xll.BDP("70105RBD Muni","MUNI_TAX_PROV")</f>
        <v>#N/A Requesting Data...</v>
      </c>
      <c r="Q2013" t="str">
        <f>_xll.BDP("70105RBD Muni","MUNI_FED_TAX")</f>
        <v>#N/A Requesting Data...</v>
      </c>
      <c r="R2013" t="str">
        <f>_xll.BDP("70105RBD Muni","MUNI_MSRB_VOLUME")</f>
        <v>#N/A Requesting Data...</v>
      </c>
      <c r="S2013" t="str">
        <f>_xll.BDP("70105RBD Muni","BB_COMPOSITE")</f>
        <v>#N/A Requesting Data...</v>
      </c>
      <c r="T2013" t="str">
        <f>_xll.BDP("70105RBD Muni","LQA_LIQUIDITY_SCORE")</f>
        <v>#N/A Requesting Data...</v>
      </c>
    </row>
    <row r="2014" spans="1:20" x14ac:dyDescent="0.25">
      <c r="A2014" t="str">
        <f>_xll.BDP("64580CAD Muni","ID_CUSIP")</f>
        <v>#N/A Requesting Data...</v>
      </c>
      <c r="B2014" t="s">
        <v>481</v>
      </c>
      <c r="C2014" t="str">
        <f>_xll.BDP("64580CAD Muni","INSURANCE_STATUS")</f>
        <v>#N/A Requesting Data...</v>
      </c>
      <c r="D2014" t="str">
        <f>_xll.BDP("64580CAD Muni","STATE_CODE")</f>
        <v>#N/A Requesting Data...</v>
      </c>
      <c r="E2014" t="str">
        <f>_xll.BDP("64580CAD Muni","COUNTY_LOCATION_ISSUER")</f>
        <v>#N/A Requesting Data...</v>
      </c>
      <c r="F2014" t="str">
        <f>_xll.BDP("64580CAD Muni","DUR_ADJ_MID")</f>
        <v>#N/A Requesting Data...</v>
      </c>
      <c r="G2014" t="str">
        <f>_xll.BDP("64580CAD Muni","SPREAD_AT_ISSUANCE_TO_WORST")</f>
        <v>#N/A Requesting Data...</v>
      </c>
      <c r="H2014" t="str">
        <f>_xll.BDP("64580CAD Muni","ISSUE_DT")</f>
        <v>#N/A Requesting Data...</v>
      </c>
      <c r="I2014" t="str">
        <f>_xll.BDS("64580CAD Muni","MUNI_PURPOSE_SCHED", "aggregate=y")</f>
        <v>#N/A Requesting Data...</v>
      </c>
      <c r="J2014" t="str">
        <f>_xll.BDP("64580CAD Muni","CPN")</f>
        <v>#N/A Requesting Data...</v>
      </c>
      <c r="K2014" t="str">
        <f>_xll.BDP("64580CAD Muni","MATURITY")</f>
        <v>#N/A Requesting Data...</v>
      </c>
      <c r="L2014">
        <v>815000</v>
      </c>
      <c r="M2014" t="str">
        <f>_xll.BDP("64580CAD Muni","YIELD_ON_ISSUE_DATE")</f>
        <v>#N/A Requesting Data...</v>
      </c>
      <c r="N2014" t="str">
        <f>_xll.BDP("64580CAD Muni","YTW_SPREAD_TO_MATURITY_AT_ISSU")</f>
        <v>#N/A Requesting Data...</v>
      </c>
      <c r="O2014" t="str">
        <f>_xll.BDP("64580CAD Muni","BVAL_MID_YTM")</f>
        <v>#N/A Requesting Data...</v>
      </c>
      <c r="P2014" t="str">
        <f>_xll.BDP("64580CAD Muni","MUNI_TAX_PROV")</f>
        <v>#N/A Requesting Data...</v>
      </c>
      <c r="Q2014" t="str">
        <f>_xll.BDP("64580CAD Muni","MUNI_FED_TAX")</f>
        <v>#N/A Requesting Data...</v>
      </c>
      <c r="R2014" t="str">
        <f>_xll.BDP("64580CAD Muni","MUNI_MSRB_VOLUME")</f>
        <v>#N/A Requesting Data...</v>
      </c>
      <c r="S2014" t="str">
        <f>_xll.BDP("64580CAD Muni","BB_COMPOSITE")</f>
        <v>#N/A Requesting Data...</v>
      </c>
      <c r="T2014" t="str">
        <f>_xll.BDP("64580CAD Muni","LQA_LIQUIDITY_SCORE")</f>
        <v>#N/A Requesting Data...</v>
      </c>
    </row>
    <row r="2015" spans="1:20" x14ac:dyDescent="0.25">
      <c r="A2015" t="str">
        <f>_xll.BDP("64580CAF Muni","ID_CUSIP")</f>
        <v>#N/A Requesting Data...</v>
      </c>
      <c r="B2015" t="s">
        <v>481</v>
      </c>
      <c r="C2015" t="str">
        <f>_xll.BDP("64580CAF Muni","INSURANCE_STATUS")</f>
        <v>#N/A Requesting Data...</v>
      </c>
      <c r="D2015" t="str">
        <f>_xll.BDP("64580CAF Muni","STATE_CODE")</f>
        <v>#N/A Requesting Data...</v>
      </c>
      <c r="E2015" t="str">
        <f>_xll.BDP("64580CAF Muni","COUNTY_LOCATION_ISSUER")</f>
        <v>#N/A Requesting Data...</v>
      </c>
      <c r="F2015" t="str">
        <f>_xll.BDP("64580CAF Muni","DUR_ADJ_MID")</f>
        <v>#N/A Requesting Data...</v>
      </c>
      <c r="G2015" t="str">
        <f>_xll.BDP("64580CAF Muni","SPREAD_AT_ISSUANCE_TO_WORST")</f>
        <v>#N/A Requesting Data...</v>
      </c>
      <c r="H2015" t="str">
        <f>_xll.BDP("64580CAF Muni","ISSUE_DT")</f>
        <v>#N/A Requesting Data...</v>
      </c>
      <c r="I2015" t="str">
        <f>_xll.BDS("64580CAF Muni","MUNI_PURPOSE_SCHED", "aggregate=y")</f>
        <v>#N/A Requesting Data...</v>
      </c>
      <c r="J2015" t="str">
        <f>_xll.BDP("64580CAF Muni","CPN")</f>
        <v>#N/A Requesting Data...</v>
      </c>
      <c r="K2015" t="str">
        <f>_xll.BDP("64580CAF Muni","MATURITY")</f>
        <v>#N/A Requesting Data...</v>
      </c>
      <c r="L2015">
        <v>905000</v>
      </c>
      <c r="M2015" t="str">
        <f>_xll.BDP("64580CAF Muni","YIELD_ON_ISSUE_DATE")</f>
        <v>#N/A Requesting Data...</v>
      </c>
      <c r="N2015" t="str">
        <f>_xll.BDP("64580CAF Muni","YTW_SPREAD_TO_MATURITY_AT_ISSU")</f>
        <v>#N/A Requesting Data...</v>
      </c>
      <c r="O2015" t="str">
        <f>_xll.BDP("64580CAF Muni","BVAL_MID_YTM")</f>
        <v>#N/A Requesting Data...</v>
      </c>
      <c r="P2015" t="str">
        <f>_xll.BDP("64580CAF Muni","MUNI_TAX_PROV")</f>
        <v>#N/A Requesting Data...</v>
      </c>
      <c r="Q2015" t="str">
        <f>_xll.BDP("64580CAF Muni","MUNI_FED_TAX")</f>
        <v>#N/A Requesting Data...</v>
      </c>
      <c r="R2015" t="str">
        <f>_xll.BDP("64580CAF Muni","MUNI_MSRB_VOLUME")</f>
        <v>#N/A Requesting Data...</v>
      </c>
      <c r="S2015" t="str">
        <f>_xll.BDP("64580CAF Muni","BB_COMPOSITE")</f>
        <v>#N/A Requesting Data...</v>
      </c>
      <c r="T2015" t="str">
        <f>_xll.BDP("64580CAF Muni","LQA_LIQUIDITY_SCORE")</f>
        <v>#N/A Requesting Data...</v>
      </c>
    </row>
    <row r="2016" spans="1:20" x14ac:dyDescent="0.25">
      <c r="A2016" t="str">
        <f>_xll.BDP("64580CBL Muni","ID_CUSIP")</f>
        <v>#N/A Requesting Data...</v>
      </c>
      <c r="B2016" t="s">
        <v>481</v>
      </c>
      <c r="C2016" t="str">
        <f>_xll.BDP("64580CBL Muni","INSURANCE_STATUS")</f>
        <v>#N/A Requesting Data...</v>
      </c>
      <c r="D2016" t="str">
        <f>_xll.BDP("64580CBL Muni","STATE_CODE")</f>
        <v>#N/A Requesting Data...</v>
      </c>
      <c r="E2016" t="str">
        <f>_xll.BDP("64580CBL Muni","COUNTY_LOCATION_ISSUER")</f>
        <v>#N/A Requesting Data...</v>
      </c>
      <c r="F2016" t="str">
        <f>_xll.BDP("64580CBL Muni","DUR_ADJ_MID")</f>
        <v>#N/A Requesting Data...</v>
      </c>
      <c r="G2016" t="str">
        <f>_xll.BDP("64580CBL Muni","SPREAD_AT_ISSUANCE_TO_WORST")</f>
        <v>#N/A Requesting Data...</v>
      </c>
      <c r="H2016" t="str">
        <f>_xll.BDP("64580CBL Muni","ISSUE_DT")</f>
        <v>#N/A Requesting Data...</v>
      </c>
      <c r="I2016" t="str">
        <f>_xll.BDS("64580CBL Muni","MUNI_PURPOSE_SCHED", "aggregate=y")</f>
        <v>#N/A Requesting Data...</v>
      </c>
      <c r="J2016" t="str">
        <f>_xll.BDP("64580CBL Muni","CPN")</f>
        <v>#N/A Requesting Data...</v>
      </c>
      <c r="K2016" t="str">
        <f>_xll.BDP("64580CBL Muni","MATURITY")</f>
        <v>#N/A Requesting Data...</v>
      </c>
      <c r="L2016">
        <v>350000</v>
      </c>
      <c r="M2016" t="str">
        <f>_xll.BDP("64580CBL Muni","YIELD_ON_ISSUE_DATE")</f>
        <v>#N/A Requesting Data...</v>
      </c>
      <c r="N2016" t="str">
        <f>_xll.BDP("64580CBL Muni","YTW_SPREAD_TO_MATURITY_AT_ISSU")</f>
        <v>#N/A Requesting Data...</v>
      </c>
      <c r="O2016" t="str">
        <f>_xll.BDP("64580CBL Muni","BVAL_MID_YTM")</f>
        <v>#N/A Requesting Data...</v>
      </c>
      <c r="P2016" t="str">
        <f>_xll.BDP("64580CBL Muni","MUNI_TAX_PROV")</f>
        <v>#N/A Requesting Data...</v>
      </c>
      <c r="Q2016" t="str">
        <f>_xll.BDP("64580CBL Muni","MUNI_FED_TAX")</f>
        <v>#N/A Requesting Data...</v>
      </c>
      <c r="R2016" t="str">
        <f>_xll.BDP("64580CBL Muni","MUNI_MSRB_VOLUME")</f>
        <v>#N/A Requesting Data...</v>
      </c>
      <c r="S2016" t="str">
        <f>_xll.BDP("64580CBL Muni","BB_COMPOSITE")</f>
        <v>#N/A Requesting Data...</v>
      </c>
      <c r="T2016" t="str">
        <f>_xll.BDP("64580CBL Muni","LQA_LIQUIDITY_SCORE")</f>
        <v>#N/A Requesting Data...</v>
      </c>
    </row>
    <row r="2017" spans="1:20" x14ac:dyDescent="0.25">
      <c r="A2017" t="str">
        <f>_xll.BDP("64580CBP Muni","ID_CUSIP")</f>
        <v>#N/A Requesting Data...</v>
      </c>
      <c r="B2017" t="s">
        <v>481</v>
      </c>
      <c r="C2017" t="str">
        <f>_xll.BDP("64580CBP Muni","INSURANCE_STATUS")</f>
        <v>#N/A Requesting Data...</v>
      </c>
      <c r="D2017" t="str">
        <f>_xll.BDP("64580CBP Muni","STATE_CODE")</f>
        <v>#N/A Requesting Data...</v>
      </c>
      <c r="E2017" t="str">
        <f>_xll.BDP("64580CBP Muni","COUNTY_LOCATION_ISSUER")</f>
        <v>#N/A Requesting Data...</v>
      </c>
      <c r="F2017" t="str">
        <f>_xll.BDP("64580CBP Muni","DUR_ADJ_MID")</f>
        <v>#N/A Requesting Data...</v>
      </c>
      <c r="G2017" t="str">
        <f>_xll.BDP("64580CBP Muni","SPREAD_AT_ISSUANCE_TO_WORST")</f>
        <v>#N/A Requesting Data...</v>
      </c>
      <c r="H2017" t="str">
        <f>_xll.BDP("64580CBP Muni","ISSUE_DT")</f>
        <v>#N/A Requesting Data...</v>
      </c>
      <c r="I2017" t="str">
        <f>_xll.BDS("64580CBP Muni","MUNI_PURPOSE_SCHED", "aggregate=y")</f>
        <v>#N/A Requesting Data...</v>
      </c>
      <c r="J2017" t="str">
        <f>_xll.BDP("64580CBP Muni","CPN")</f>
        <v>#N/A Requesting Data...</v>
      </c>
      <c r="K2017" t="str">
        <f>_xll.BDP("64580CBP Muni","MATURITY")</f>
        <v>#N/A Requesting Data...</v>
      </c>
      <c r="L2017">
        <v>405000</v>
      </c>
      <c r="M2017" t="str">
        <f>_xll.BDP("64580CBP Muni","YIELD_ON_ISSUE_DATE")</f>
        <v>#N/A Requesting Data...</v>
      </c>
      <c r="N2017" t="str">
        <f>_xll.BDP("64580CBP Muni","YTW_SPREAD_TO_MATURITY_AT_ISSU")</f>
        <v>#N/A Requesting Data...</v>
      </c>
      <c r="O2017" t="str">
        <f>_xll.BDP("64580CBP Muni","BVAL_MID_YTM")</f>
        <v>#N/A Requesting Data...</v>
      </c>
      <c r="P2017" t="str">
        <f>_xll.BDP("64580CBP Muni","MUNI_TAX_PROV")</f>
        <v>#N/A Requesting Data...</v>
      </c>
      <c r="Q2017" t="str">
        <f>_xll.BDP("64580CBP Muni","MUNI_FED_TAX")</f>
        <v>#N/A Requesting Data...</v>
      </c>
      <c r="R2017" t="str">
        <f>_xll.BDP("64580CBP Muni","MUNI_MSRB_VOLUME")</f>
        <v>#N/A Requesting Data...</v>
      </c>
      <c r="S2017" t="str">
        <f>_xll.BDP("64580CBP Muni","BB_COMPOSITE")</f>
        <v>#N/A Requesting Data...</v>
      </c>
      <c r="T2017" t="str">
        <f>_xll.BDP("64580CBP Muni","LQA_LIQUIDITY_SCORE")</f>
        <v>#N/A Requesting Data...</v>
      </c>
    </row>
    <row r="2018" spans="1:20" x14ac:dyDescent="0.25">
      <c r="A2018" t="str">
        <f>_xll.BDP("64580CCN Muni","ID_CUSIP")</f>
        <v>#N/A Requesting Data...</v>
      </c>
      <c r="B2018" t="s">
        <v>481</v>
      </c>
      <c r="C2018" t="str">
        <f>_xll.BDP("64580CCN Muni","INSURANCE_STATUS")</f>
        <v>#N/A Requesting Data...</v>
      </c>
      <c r="D2018" t="str">
        <f>_xll.BDP("64580CCN Muni","STATE_CODE")</f>
        <v>#N/A Requesting Data...</v>
      </c>
      <c r="E2018" t="str">
        <f>_xll.BDP("64580CCN Muni","COUNTY_LOCATION_ISSUER")</f>
        <v>#N/A Requesting Data...</v>
      </c>
      <c r="F2018" t="str">
        <f>_xll.BDP("64580CCN Muni","DUR_ADJ_MID")</f>
        <v>#N/A Requesting Data...</v>
      </c>
      <c r="G2018" t="str">
        <f>_xll.BDP("64580CCN Muni","SPREAD_AT_ISSUANCE_TO_WORST")</f>
        <v>#N/A Requesting Data...</v>
      </c>
      <c r="H2018" t="str">
        <f>_xll.BDP("64580CCN Muni","ISSUE_DT")</f>
        <v>#N/A Requesting Data...</v>
      </c>
      <c r="I2018" t="str">
        <f>_xll.BDS("64580CCN Muni","MUNI_PURPOSE_SCHED", "aggregate=y")</f>
        <v>#N/A Requesting Data...</v>
      </c>
      <c r="J2018" t="str">
        <f>_xll.BDP("64580CCN Muni","CPN")</f>
        <v>#N/A Requesting Data...</v>
      </c>
      <c r="K2018" t="str">
        <f>_xll.BDP("64580CCN Muni","MATURITY")</f>
        <v>#N/A Requesting Data...</v>
      </c>
      <c r="L2018">
        <v>390000</v>
      </c>
      <c r="M2018" t="str">
        <f>_xll.BDP("64580CCN Muni","YIELD_ON_ISSUE_DATE")</f>
        <v>#N/A Requesting Data...</v>
      </c>
      <c r="N2018" t="str">
        <f>_xll.BDP("64580CCN Muni","YTW_SPREAD_TO_MATURITY_AT_ISSU")</f>
        <v>#N/A Requesting Data...</v>
      </c>
      <c r="O2018" t="str">
        <f>_xll.BDP("64580CCN Muni","BVAL_MID_YTM")</f>
        <v>#N/A Requesting Data...</v>
      </c>
      <c r="P2018" t="str">
        <f>_xll.BDP("64580CCN Muni","MUNI_TAX_PROV")</f>
        <v>#N/A Requesting Data...</v>
      </c>
      <c r="Q2018" t="str">
        <f>_xll.BDP("64580CCN Muni","MUNI_FED_TAX")</f>
        <v>#N/A Requesting Data...</v>
      </c>
      <c r="R2018" t="str">
        <f>_xll.BDP("64580CCN Muni","MUNI_MSRB_VOLUME")</f>
        <v>#N/A Requesting Data...</v>
      </c>
      <c r="S2018" t="str">
        <f>_xll.BDP("64580CCN Muni","BB_COMPOSITE")</f>
        <v>#N/A Requesting Data...</v>
      </c>
      <c r="T2018" t="str">
        <f>_xll.BDP("64580CCN Muni","LQA_LIQUIDITY_SCORE")</f>
        <v>#N/A Requesting Data...</v>
      </c>
    </row>
    <row r="2019" spans="1:20" x14ac:dyDescent="0.25">
      <c r="A2019" t="str">
        <f>_xll.BDP("64580CCQ Muni","ID_CUSIP")</f>
        <v>#N/A Requesting Data...</v>
      </c>
      <c r="B2019" t="s">
        <v>481</v>
      </c>
      <c r="C2019" t="str">
        <f>_xll.BDP("64580CCQ Muni","INSURANCE_STATUS")</f>
        <v>#N/A Requesting Data...</v>
      </c>
      <c r="D2019" t="str">
        <f>_xll.BDP("64580CCQ Muni","STATE_CODE")</f>
        <v>#N/A Requesting Data...</v>
      </c>
      <c r="E2019" t="str">
        <f>_xll.BDP("64580CCQ Muni","COUNTY_LOCATION_ISSUER")</f>
        <v>#N/A Requesting Data...</v>
      </c>
      <c r="F2019" t="str">
        <f>_xll.BDP("64580CCQ Muni","DUR_ADJ_MID")</f>
        <v>#N/A Requesting Data...</v>
      </c>
      <c r="G2019" t="str">
        <f>_xll.BDP("64580CCQ Muni","SPREAD_AT_ISSUANCE_TO_WORST")</f>
        <v>#N/A Requesting Data...</v>
      </c>
      <c r="H2019" t="str">
        <f>_xll.BDP("64580CCQ Muni","ISSUE_DT")</f>
        <v>#N/A Requesting Data...</v>
      </c>
      <c r="I2019" t="str">
        <f>_xll.BDS("64580CCQ Muni","MUNI_PURPOSE_SCHED", "aggregate=y")</f>
        <v>#N/A Requesting Data...</v>
      </c>
      <c r="J2019" t="str">
        <f>_xll.BDP("64580CCQ Muni","CPN")</f>
        <v>#N/A Requesting Data...</v>
      </c>
      <c r="K2019" t="str">
        <f>_xll.BDP("64580CCQ Muni","MATURITY")</f>
        <v>#N/A Requesting Data...</v>
      </c>
      <c r="L2019">
        <v>435000</v>
      </c>
      <c r="M2019" t="str">
        <f>_xll.BDP("64580CCQ Muni","YIELD_ON_ISSUE_DATE")</f>
        <v>#N/A Requesting Data...</v>
      </c>
      <c r="N2019" t="str">
        <f>_xll.BDP("64580CCQ Muni","YTW_SPREAD_TO_MATURITY_AT_ISSU")</f>
        <v>#N/A Requesting Data...</v>
      </c>
      <c r="O2019" t="str">
        <f>_xll.BDP("64580CCQ Muni","BVAL_MID_YTM")</f>
        <v>#N/A Requesting Data...</v>
      </c>
      <c r="P2019" t="str">
        <f>_xll.BDP("64580CCQ Muni","MUNI_TAX_PROV")</f>
        <v>#N/A Requesting Data...</v>
      </c>
      <c r="Q2019" t="str">
        <f>_xll.BDP("64580CCQ Muni","MUNI_FED_TAX")</f>
        <v>#N/A Requesting Data...</v>
      </c>
      <c r="R2019" t="str">
        <f>_xll.BDP("64580CCQ Muni","MUNI_MSRB_VOLUME")</f>
        <v>#N/A Requesting Data...</v>
      </c>
      <c r="S2019" t="str">
        <f>_xll.BDP("64580CCQ Muni","BB_COMPOSITE")</f>
        <v>#N/A Requesting Data...</v>
      </c>
      <c r="T2019" t="str">
        <f>_xll.BDP("64580CCQ Muni","LQA_LIQUIDITY_SCORE")</f>
        <v>#N/A Requesting Data...</v>
      </c>
    </row>
    <row r="2020" spans="1:20" x14ac:dyDescent="0.25">
      <c r="A2020" t="str">
        <f>_xll.BDP("64580CCS Muni","ID_CUSIP")</f>
        <v>#N/A Requesting Data...</v>
      </c>
      <c r="B2020" t="s">
        <v>481</v>
      </c>
      <c r="C2020" t="str">
        <f>_xll.BDP("64580CCS Muni","INSURANCE_STATUS")</f>
        <v>#N/A Requesting Data...</v>
      </c>
      <c r="D2020" t="str">
        <f>_xll.BDP("64580CCS Muni","STATE_CODE")</f>
        <v>#N/A Requesting Data...</v>
      </c>
      <c r="E2020" t="str">
        <f>_xll.BDP("64580CCS Muni","COUNTY_LOCATION_ISSUER")</f>
        <v>#N/A Requesting Data...</v>
      </c>
      <c r="F2020" t="str">
        <f>_xll.BDP("64580CCS Muni","DUR_ADJ_MID")</f>
        <v>#N/A Requesting Data...</v>
      </c>
      <c r="G2020" t="str">
        <f>_xll.BDP("64580CCS Muni","SPREAD_AT_ISSUANCE_TO_WORST")</f>
        <v>#N/A Requesting Data...</v>
      </c>
      <c r="H2020" t="str">
        <f>_xll.BDP("64580CCS Muni","ISSUE_DT")</f>
        <v>#N/A Requesting Data...</v>
      </c>
      <c r="I2020" t="str">
        <f>_xll.BDS("64580CCS Muni","MUNI_PURPOSE_SCHED", "aggregate=y")</f>
        <v>#N/A Requesting Data...</v>
      </c>
      <c r="J2020" t="str">
        <f>_xll.BDP("64580CCS Muni","CPN")</f>
        <v>#N/A Requesting Data...</v>
      </c>
      <c r="K2020" t="str">
        <f>_xll.BDP("64580CCS Muni","MATURITY")</f>
        <v>#N/A Requesting Data...</v>
      </c>
      <c r="L2020">
        <v>475000</v>
      </c>
      <c r="M2020" t="str">
        <f>_xll.BDP("64580CCS Muni","YIELD_ON_ISSUE_DATE")</f>
        <v>#N/A Requesting Data...</v>
      </c>
      <c r="N2020" t="str">
        <f>_xll.BDP("64580CCS Muni","YTW_SPREAD_TO_MATURITY_AT_ISSU")</f>
        <v>#N/A Requesting Data...</v>
      </c>
      <c r="O2020" t="str">
        <f>_xll.BDP("64580CCS Muni","BVAL_MID_YTM")</f>
        <v>#N/A Requesting Data...</v>
      </c>
      <c r="P2020" t="str">
        <f>_xll.BDP("64580CCS Muni","MUNI_TAX_PROV")</f>
        <v>#N/A Requesting Data...</v>
      </c>
      <c r="Q2020" t="str">
        <f>_xll.BDP("64580CCS Muni","MUNI_FED_TAX")</f>
        <v>#N/A Requesting Data...</v>
      </c>
      <c r="R2020" t="str">
        <f>_xll.BDP("64580CCS Muni","MUNI_MSRB_VOLUME")</f>
        <v>#N/A Requesting Data...</v>
      </c>
      <c r="S2020" t="str">
        <f>_xll.BDP("64580CCS Muni","BB_COMPOSITE")</f>
        <v>#N/A Requesting Data...</v>
      </c>
      <c r="T2020" t="str">
        <f>_xll.BDP("64580CCS Muni","LQA_LIQUIDITY_SCORE")</f>
        <v>#N/A Requesting Data...</v>
      </c>
    </row>
    <row r="2021" spans="1:20" x14ac:dyDescent="0.25">
      <c r="A2021" t="str">
        <f>_xll.BDP("64580CCU Muni","ID_CUSIP")</f>
        <v>#N/A Requesting Data...</v>
      </c>
      <c r="B2021" t="s">
        <v>481</v>
      </c>
      <c r="C2021" t="str">
        <f>_xll.BDP("64580CCU Muni","INSURANCE_STATUS")</f>
        <v>#N/A Requesting Data...</v>
      </c>
      <c r="D2021" t="str">
        <f>_xll.BDP("64580CCU Muni","STATE_CODE")</f>
        <v>#N/A Requesting Data...</v>
      </c>
      <c r="E2021" t="str">
        <f>_xll.BDP("64580CCU Muni","COUNTY_LOCATION_ISSUER")</f>
        <v>#N/A Requesting Data...</v>
      </c>
      <c r="F2021" t="str">
        <f>_xll.BDP("64580CCU Muni","DUR_ADJ_MID")</f>
        <v>#N/A Requesting Data...</v>
      </c>
      <c r="G2021" t="str">
        <f>_xll.BDP("64580CCU Muni","SPREAD_AT_ISSUANCE_TO_WORST")</f>
        <v>#N/A Requesting Data...</v>
      </c>
      <c r="H2021" t="str">
        <f>_xll.BDP("64580CCU Muni","ISSUE_DT")</f>
        <v>#N/A Requesting Data...</v>
      </c>
      <c r="I2021" t="str">
        <f>_xll.BDS("64580CCU Muni","MUNI_PURPOSE_SCHED", "aggregate=y")</f>
        <v>#N/A Requesting Data...</v>
      </c>
      <c r="J2021" t="str">
        <f>_xll.BDP("64580CCU Muni","CPN")</f>
        <v>#N/A Requesting Data...</v>
      </c>
      <c r="K2021" t="str">
        <f>_xll.BDP("64580CCU Muni","MATURITY")</f>
        <v>#N/A Requesting Data...</v>
      </c>
      <c r="L2021">
        <v>530000</v>
      </c>
      <c r="M2021" t="str">
        <f>_xll.BDP("64580CCU Muni","YIELD_ON_ISSUE_DATE")</f>
        <v>#N/A Requesting Data...</v>
      </c>
      <c r="N2021" t="str">
        <f>_xll.BDP("64580CCU Muni","YTW_SPREAD_TO_MATURITY_AT_ISSU")</f>
        <v>#N/A Requesting Data...</v>
      </c>
      <c r="O2021" t="str">
        <f>_xll.BDP("64580CCU Muni","BVAL_MID_YTM")</f>
        <v>#N/A Requesting Data...</v>
      </c>
      <c r="P2021" t="str">
        <f>_xll.BDP("64580CCU Muni","MUNI_TAX_PROV")</f>
        <v>#N/A Requesting Data...</v>
      </c>
      <c r="Q2021" t="str">
        <f>_xll.BDP("64580CCU Muni","MUNI_FED_TAX")</f>
        <v>#N/A Requesting Data...</v>
      </c>
      <c r="R2021" t="str">
        <f>_xll.BDP("64580CCU Muni","MUNI_MSRB_VOLUME")</f>
        <v>#N/A Requesting Data...</v>
      </c>
      <c r="S2021" t="str">
        <f>_xll.BDP("64580CCU Muni","BB_COMPOSITE")</f>
        <v>#N/A Requesting Data...</v>
      </c>
      <c r="T2021" t="str">
        <f>_xll.BDP("64580CCU Muni","LQA_LIQUIDITY_SCORE")</f>
        <v>#N/A Requesting Data...</v>
      </c>
    </row>
    <row r="2022" spans="1:20" x14ac:dyDescent="0.25">
      <c r="A2022" t="str">
        <f>_xll.BDP("89439LKM Muni","ID_CUSIP")</f>
        <v>#N/A Requesting Data...</v>
      </c>
      <c r="B2022" t="s">
        <v>482</v>
      </c>
      <c r="C2022" t="str">
        <f>_xll.BDP("89439LKM Muni","INSURANCE_STATUS")</f>
        <v>#N/A Requesting Data...</v>
      </c>
      <c r="D2022" t="str">
        <f>_xll.BDP("89439LKM Muni","STATE_CODE")</f>
        <v>#N/A Requesting Data...</v>
      </c>
      <c r="E2022" t="str">
        <f>_xll.BDP("89439LKM Muni","COUNTY_LOCATION_ISSUER")</f>
        <v>#N/A Requesting Data...</v>
      </c>
      <c r="F2022" t="str">
        <f>_xll.BDP("89439LKM Muni","DUR_ADJ_MID")</f>
        <v>#N/A Requesting Data...</v>
      </c>
      <c r="G2022" t="str">
        <f>_xll.BDP("89439LKM Muni","SPREAD_AT_ISSUANCE_TO_WORST")</f>
        <v>#N/A Requesting Data...</v>
      </c>
      <c r="H2022" t="str">
        <f>_xll.BDP("89439LKM Muni","ISSUE_DT")</f>
        <v>#N/A Requesting Data...</v>
      </c>
      <c r="I2022" t="str">
        <f>_xll.BDS("89439LKM Muni","MUNI_PURPOSE_SCHED", "aggregate=y")</f>
        <v>#N/A Requesting Data...</v>
      </c>
      <c r="J2022" t="str">
        <f>_xll.BDP("89439LKM Muni","CPN")</f>
        <v>#N/A Requesting Data...</v>
      </c>
      <c r="K2022" t="str">
        <f>_xll.BDP("89439LKM Muni","MATURITY")</f>
        <v>#N/A Requesting Data...</v>
      </c>
      <c r="L2022">
        <v>200000</v>
      </c>
      <c r="M2022" t="str">
        <f>_xll.BDP("89439LKM Muni","YIELD_ON_ISSUE_DATE")</f>
        <v>#N/A Requesting Data...</v>
      </c>
      <c r="N2022" t="str">
        <f>_xll.BDP("89439LKM Muni","YTW_SPREAD_TO_MATURITY_AT_ISSU")</f>
        <v>#N/A Requesting Data...</v>
      </c>
      <c r="O2022" t="str">
        <f>_xll.BDP("89439LKM Muni","BVAL_MID_YTM")</f>
        <v>#N/A Requesting Data...</v>
      </c>
      <c r="P2022" t="str">
        <f>_xll.BDP("89439LKM Muni","MUNI_TAX_PROV")</f>
        <v>#N/A Requesting Data...</v>
      </c>
      <c r="Q2022" t="str">
        <f>_xll.BDP("89439LKM Muni","MUNI_FED_TAX")</f>
        <v>#N/A Requesting Data...</v>
      </c>
      <c r="R2022" t="str">
        <f>_xll.BDP("89439LKM Muni","MUNI_MSRB_VOLUME")</f>
        <v>#N/A Requesting Data...</v>
      </c>
      <c r="S2022" t="str">
        <f>_xll.BDP("89439LKM Muni","BB_COMPOSITE")</f>
        <v>#N/A Requesting Data...</v>
      </c>
      <c r="T2022" t="str">
        <f>_xll.BDP("89439LKM Muni","LQA_LIQUIDITY_SCORE")</f>
        <v>#N/A Requesting Data...</v>
      </c>
    </row>
    <row r="2023" spans="1:20" x14ac:dyDescent="0.25">
      <c r="A2023" t="str">
        <f>_xll.BDP("89439LKN Muni","ID_CUSIP")</f>
        <v>#N/A Requesting Data...</v>
      </c>
      <c r="B2023" t="s">
        <v>482</v>
      </c>
      <c r="C2023" t="str">
        <f>_xll.BDP("89439LKN Muni","INSURANCE_STATUS")</f>
        <v>#N/A Requesting Data...</v>
      </c>
      <c r="D2023" t="str">
        <f>_xll.BDP("89439LKN Muni","STATE_CODE")</f>
        <v>#N/A Requesting Data...</v>
      </c>
      <c r="E2023" t="str">
        <f>_xll.BDP("89439LKN Muni","COUNTY_LOCATION_ISSUER")</f>
        <v>#N/A Requesting Data...</v>
      </c>
      <c r="F2023" t="str">
        <f>_xll.BDP("89439LKN Muni","DUR_ADJ_MID")</f>
        <v>#N/A Requesting Data...</v>
      </c>
      <c r="G2023" t="str">
        <f>_xll.BDP("89439LKN Muni","SPREAD_AT_ISSUANCE_TO_WORST")</f>
        <v>#N/A Requesting Data...</v>
      </c>
      <c r="H2023" t="str">
        <f>_xll.BDP("89439LKN Muni","ISSUE_DT")</f>
        <v>#N/A Requesting Data...</v>
      </c>
      <c r="I2023" t="str">
        <f>_xll.BDS("89439LKN Muni","MUNI_PURPOSE_SCHED", "aggregate=y")</f>
        <v>#N/A Requesting Data...</v>
      </c>
      <c r="J2023" t="str">
        <f>_xll.BDP("89439LKN Muni","CPN")</f>
        <v>#N/A Requesting Data...</v>
      </c>
      <c r="K2023" t="str">
        <f>_xll.BDP("89439LKN Muni","MATURITY")</f>
        <v>#N/A Requesting Data...</v>
      </c>
      <c r="L2023">
        <v>200000</v>
      </c>
      <c r="M2023" t="str">
        <f>_xll.BDP("89439LKN Muni","YIELD_ON_ISSUE_DATE")</f>
        <v>#N/A Requesting Data...</v>
      </c>
      <c r="N2023" t="str">
        <f>_xll.BDP("89439LKN Muni","YTW_SPREAD_TO_MATURITY_AT_ISSU")</f>
        <v>#N/A Requesting Data...</v>
      </c>
      <c r="O2023" t="str">
        <f>_xll.BDP("89439LKN Muni","BVAL_MID_YTM")</f>
        <v>#N/A Requesting Data...</v>
      </c>
      <c r="P2023" t="str">
        <f>_xll.BDP("89439LKN Muni","MUNI_TAX_PROV")</f>
        <v>#N/A Requesting Data...</v>
      </c>
      <c r="Q2023" t="str">
        <f>_xll.BDP("89439LKN Muni","MUNI_FED_TAX")</f>
        <v>#N/A Requesting Data...</v>
      </c>
      <c r="R2023" t="str">
        <f>_xll.BDP("89439LKN Muni","MUNI_MSRB_VOLUME")</f>
        <v>#N/A Requesting Data...</v>
      </c>
      <c r="S2023" t="str">
        <f>_xll.BDP("89439LKN Muni","BB_COMPOSITE")</f>
        <v>#N/A Requesting Data...</v>
      </c>
      <c r="T2023" t="str">
        <f>_xll.BDP("89439LKN Muni","LQA_LIQUIDITY_SCORE")</f>
        <v>#N/A Requesting Data...</v>
      </c>
    </row>
    <row r="2024" spans="1:20" x14ac:dyDescent="0.25">
      <c r="A2024" t="str">
        <f>_xll.BDP("89440CDF Muni","ID_CUSIP")</f>
        <v>#N/A Requesting Data...</v>
      </c>
      <c r="B2024" t="s">
        <v>483</v>
      </c>
      <c r="C2024" t="str">
        <f>_xll.BDP("89440CDF Muni","INSURANCE_STATUS")</f>
        <v>#N/A Requesting Data...</v>
      </c>
      <c r="D2024" t="str">
        <f>_xll.BDP("89440CDF Muni","STATE_CODE")</f>
        <v>#N/A Requesting Data...</v>
      </c>
      <c r="E2024" t="str">
        <f>_xll.BDP("89440CDF Muni","COUNTY_LOCATION_ISSUER")</f>
        <v>#N/A Requesting Data...</v>
      </c>
      <c r="F2024" t="str">
        <f>_xll.BDP("89440CDF Muni","DUR_ADJ_MID")</f>
        <v>#N/A Requesting Data...</v>
      </c>
      <c r="G2024" t="str">
        <f>_xll.BDP("89440CDF Muni","SPREAD_AT_ISSUANCE_TO_WORST")</f>
        <v>#N/A Requesting Data...</v>
      </c>
      <c r="H2024" t="str">
        <f>_xll.BDP("89440CDF Muni","ISSUE_DT")</f>
        <v>#N/A Requesting Data...</v>
      </c>
      <c r="I2024" t="str">
        <f>_xll.BDS("89440CDF Muni","MUNI_PURPOSE_SCHED", "aggregate=y")</f>
        <v>#N/A Requesting Data...</v>
      </c>
      <c r="J2024" t="str">
        <f>_xll.BDP("89440CDF Muni","CPN")</f>
        <v>#N/A Requesting Data...</v>
      </c>
      <c r="K2024" t="str">
        <f>_xll.BDP("89440CDF Muni","MATURITY")</f>
        <v>#N/A Requesting Data...</v>
      </c>
      <c r="L2024">
        <v>155000</v>
      </c>
      <c r="M2024" t="str">
        <f>_xll.BDP("89440CDF Muni","YIELD_ON_ISSUE_DATE")</f>
        <v>#N/A Requesting Data...</v>
      </c>
      <c r="N2024" t="str">
        <f>_xll.BDP("89440CDF Muni","YTW_SPREAD_TO_MATURITY_AT_ISSU")</f>
        <v>#N/A Requesting Data...</v>
      </c>
      <c r="O2024" t="str">
        <f>_xll.BDP("89440CDF Muni","BVAL_MID_YTM")</f>
        <v>#N/A Requesting Data...</v>
      </c>
      <c r="P2024" t="str">
        <f>_xll.BDP("89440CDF Muni","MUNI_TAX_PROV")</f>
        <v>#N/A Requesting Data...</v>
      </c>
      <c r="Q2024" t="str">
        <f>_xll.BDP("89440CDF Muni","MUNI_FED_TAX")</f>
        <v>#N/A Requesting Data...</v>
      </c>
      <c r="R2024" t="str">
        <f>_xll.BDP("89440CDF Muni","MUNI_MSRB_VOLUME")</f>
        <v>#N/A Requesting Data...</v>
      </c>
      <c r="S2024" t="str">
        <f>_xll.BDP("89440CDF Muni","BB_COMPOSITE")</f>
        <v>#N/A Requesting Data...</v>
      </c>
      <c r="T2024" t="str">
        <f>_xll.BDP("89440CDF Muni","LQA_LIQUIDITY_SCORE")</f>
        <v>#N/A Requesting Data...</v>
      </c>
    </row>
    <row r="2025" spans="1:20" x14ac:dyDescent="0.25">
      <c r="A2025" t="str">
        <f>_xll.BDP("89440CDG Muni","ID_CUSIP")</f>
        <v>#N/A Requesting Data...</v>
      </c>
      <c r="B2025" t="s">
        <v>483</v>
      </c>
      <c r="C2025" t="str">
        <f>_xll.BDP("89440CDG Muni","INSURANCE_STATUS")</f>
        <v>#N/A Requesting Data...</v>
      </c>
      <c r="D2025" t="str">
        <f>_xll.BDP("89440CDG Muni","STATE_CODE")</f>
        <v>#N/A Requesting Data...</v>
      </c>
      <c r="E2025" t="str">
        <f>_xll.BDP("89440CDG Muni","COUNTY_LOCATION_ISSUER")</f>
        <v>#N/A Requesting Data...</v>
      </c>
      <c r="F2025" t="str">
        <f>_xll.BDP("89440CDG Muni","DUR_ADJ_MID")</f>
        <v>#N/A Requesting Data...</v>
      </c>
      <c r="G2025" t="str">
        <f>_xll.BDP("89440CDG Muni","SPREAD_AT_ISSUANCE_TO_WORST")</f>
        <v>#N/A Requesting Data...</v>
      </c>
      <c r="H2025" t="str">
        <f>_xll.BDP("89440CDG Muni","ISSUE_DT")</f>
        <v>#N/A Requesting Data...</v>
      </c>
      <c r="I2025" t="str">
        <f>_xll.BDS("89440CDG Muni","MUNI_PURPOSE_SCHED", "aggregate=y")</f>
        <v>#N/A Requesting Data...</v>
      </c>
      <c r="J2025" t="str">
        <f>_xll.BDP("89440CDG Muni","CPN")</f>
        <v>#N/A Requesting Data...</v>
      </c>
      <c r="K2025" t="str">
        <f>_xll.BDP("89440CDG Muni","MATURITY")</f>
        <v>#N/A Requesting Data...</v>
      </c>
      <c r="L2025">
        <v>155000</v>
      </c>
      <c r="M2025" t="str">
        <f>_xll.BDP("89440CDG Muni","YIELD_ON_ISSUE_DATE")</f>
        <v>#N/A Requesting Data...</v>
      </c>
      <c r="N2025" t="str">
        <f>_xll.BDP("89440CDG Muni","YTW_SPREAD_TO_MATURITY_AT_ISSU")</f>
        <v>#N/A Requesting Data...</v>
      </c>
      <c r="O2025" t="str">
        <f>_xll.BDP("89440CDG Muni","BVAL_MID_YTM")</f>
        <v>#N/A Requesting Data...</v>
      </c>
      <c r="P2025" t="str">
        <f>_xll.BDP("89440CDG Muni","MUNI_TAX_PROV")</f>
        <v>#N/A Requesting Data...</v>
      </c>
      <c r="Q2025" t="str">
        <f>_xll.BDP("89440CDG Muni","MUNI_FED_TAX")</f>
        <v>#N/A Requesting Data...</v>
      </c>
      <c r="R2025" t="str">
        <f>_xll.BDP("89440CDG Muni","MUNI_MSRB_VOLUME")</f>
        <v>#N/A Requesting Data...</v>
      </c>
      <c r="S2025" t="str">
        <f>_xll.BDP("89440CDG Muni","BB_COMPOSITE")</f>
        <v>#N/A Requesting Data...</v>
      </c>
      <c r="T2025" t="str">
        <f>_xll.BDP("89440CDG Muni","LQA_LIQUIDITY_SCORE")</f>
        <v>#N/A Requesting Data...</v>
      </c>
    </row>
    <row r="2026" spans="1:20" x14ac:dyDescent="0.25">
      <c r="A2026" t="str">
        <f>_xll.BDP("89440FDC Muni","ID_CUSIP")</f>
        <v>#N/A Requesting Data...</v>
      </c>
      <c r="B2026" t="s">
        <v>484</v>
      </c>
      <c r="C2026" t="str">
        <f>_xll.BDP("89440FDC Muni","INSURANCE_STATUS")</f>
        <v>#N/A Requesting Data...</v>
      </c>
      <c r="D2026" t="str">
        <f>_xll.BDP("89440FDC Muni","STATE_CODE")</f>
        <v>#N/A Requesting Data...</v>
      </c>
      <c r="E2026" t="str">
        <f>_xll.BDP("89440FDC Muni","COUNTY_LOCATION_ISSUER")</f>
        <v>#N/A Requesting Data...</v>
      </c>
      <c r="F2026" t="str">
        <f>_xll.BDP("89440FDC Muni","DUR_ADJ_MID")</f>
        <v>#N/A Requesting Data...</v>
      </c>
      <c r="G2026" t="str">
        <f>_xll.BDP("89440FDC Muni","SPREAD_AT_ISSUANCE_TO_WORST")</f>
        <v>#N/A Requesting Data...</v>
      </c>
      <c r="H2026" t="str">
        <f>_xll.BDP("89440FDC Muni","ISSUE_DT")</f>
        <v>#N/A Requesting Data...</v>
      </c>
      <c r="I2026" t="str">
        <f>_xll.BDS("89440FDC Muni","MUNI_PURPOSE_SCHED", "aggregate=y")</f>
        <v>#N/A Requesting Data...</v>
      </c>
      <c r="J2026" t="str">
        <f>_xll.BDP("89440FDC Muni","CPN")</f>
        <v>#N/A Requesting Data...</v>
      </c>
      <c r="K2026" t="str">
        <f>_xll.BDP("89440FDC Muni","MATURITY")</f>
        <v>#N/A Requesting Data...</v>
      </c>
      <c r="L2026">
        <v>175000</v>
      </c>
      <c r="M2026" t="str">
        <f>_xll.BDP("89440FDC Muni","YIELD_ON_ISSUE_DATE")</f>
        <v>#N/A Requesting Data...</v>
      </c>
      <c r="N2026" t="str">
        <f>_xll.BDP("89440FDC Muni","YTW_SPREAD_TO_MATURITY_AT_ISSU")</f>
        <v>#N/A Requesting Data...</v>
      </c>
      <c r="O2026" t="str">
        <f>_xll.BDP("89440FDC Muni","BVAL_MID_YTM")</f>
        <v>#N/A Requesting Data...</v>
      </c>
      <c r="P2026" t="str">
        <f>_xll.BDP("89440FDC Muni","MUNI_TAX_PROV")</f>
        <v>#N/A Requesting Data...</v>
      </c>
      <c r="Q2026" t="str">
        <f>_xll.BDP("89440FDC Muni","MUNI_FED_TAX")</f>
        <v>#N/A Requesting Data...</v>
      </c>
      <c r="R2026" t="str">
        <f>_xll.BDP("89440FDC Muni","MUNI_MSRB_VOLUME")</f>
        <v>#N/A Requesting Data...</v>
      </c>
      <c r="S2026" t="str">
        <f>_xll.BDP("89440FDC Muni","BB_COMPOSITE")</f>
        <v>#N/A Requesting Data...</v>
      </c>
      <c r="T2026" t="str">
        <f>_xll.BDP("89440FDC Muni","LQA_LIQUIDITY_SCORE")</f>
        <v>#N/A Requesting Data...</v>
      </c>
    </row>
    <row r="2027" spans="1:20" x14ac:dyDescent="0.25">
      <c r="A2027" t="str">
        <f>_xll.BDP("89440FDD Muni","ID_CUSIP")</f>
        <v>#N/A Requesting Data...</v>
      </c>
      <c r="B2027" t="s">
        <v>484</v>
      </c>
      <c r="C2027" t="str">
        <f>_xll.BDP("89440FDD Muni","INSURANCE_STATUS")</f>
        <v>#N/A Requesting Data...</v>
      </c>
      <c r="D2027" t="str">
        <f>_xll.BDP("89440FDD Muni","STATE_CODE")</f>
        <v>#N/A Requesting Data...</v>
      </c>
      <c r="E2027" t="str">
        <f>_xll.BDP("89440FDD Muni","COUNTY_LOCATION_ISSUER")</f>
        <v>#N/A Requesting Data...</v>
      </c>
      <c r="F2027" t="str">
        <f>_xll.BDP("89440FDD Muni","DUR_ADJ_MID")</f>
        <v>#N/A Requesting Data...</v>
      </c>
      <c r="G2027" t="str">
        <f>_xll.BDP("89440FDD Muni","SPREAD_AT_ISSUANCE_TO_WORST")</f>
        <v>#N/A Requesting Data...</v>
      </c>
      <c r="H2027" t="str">
        <f>_xll.BDP("89440FDD Muni","ISSUE_DT")</f>
        <v>#N/A Requesting Data...</v>
      </c>
      <c r="I2027" t="str">
        <f>_xll.BDS("89440FDD Muni","MUNI_PURPOSE_SCHED", "aggregate=y")</f>
        <v>#N/A Requesting Data...</v>
      </c>
      <c r="J2027" t="str">
        <f>_xll.BDP("89440FDD Muni","CPN")</f>
        <v>#N/A Requesting Data...</v>
      </c>
      <c r="K2027" t="str">
        <f>_xll.BDP("89440FDD Muni","MATURITY")</f>
        <v>#N/A Requesting Data...</v>
      </c>
      <c r="L2027">
        <v>180000</v>
      </c>
      <c r="M2027" t="str">
        <f>_xll.BDP("89440FDD Muni","YIELD_ON_ISSUE_DATE")</f>
        <v>#N/A Requesting Data...</v>
      </c>
      <c r="N2027" t="str">
        <f>_xll.BDP("89440FDD Muni","YTW_SPREAD_TO_MATURITY_AT_ISSU")</f>
        <v>#N/A Requesting Data...</v>
      </c>
      <c r="O2027" t="str">
        <f>_xll.BDP("89440FDD Muni","BVAL_MID_YTM")</f>
        <v>#N/A Requesting Data...</v>
      </c>
      <c r="P2027" t="str">
        <f>_xll.BDP("89440FDD Muni","MUNI_TAX_PROV")</f>
        <v>#N/A Requesting Data...</v>
      </c>
      <c r="Q2027" t="str">
        <f>_xll.BDP("89440FDD Muni","MUNI_FED_TAX")</f>
        <v>#N/A Requesting Data...</v>
      </c>
      <c r="R2027" t="str">
        <f>_xll.BDP("89440FDD Muni","MUNI_MSRB_VOLUME")</f>
        <v>#N/A Requesting Data...</v>
      </c>
      <c r="S2027" t="str">
        <f>_xll.BDP("89440FDD Muni","BB_COMPOSITE")</f>
        <v>#N/A Requesting Data...</v>
      </c>
      <c r="T2027" t="str">
        <f>_xll.BDP("89440FDD Muni","LQA_LIQUIDITY_SCORE")</f>
        <v>#N/A Requesting Data...</v>
      </c>
    </row>
    <row r="2028" spans="1:20" x14ac:dyDescent="0.25">
      <c r="A2028" t="str">
        <f>_xll.BDP("89440KCD Muni","ID_CUSIP")</f>
        <v>#N/A Requesting Data...</v>
      </c>
      <c r="B2028" t="s">
        <v>485</v>
      </c>
      <c r="C2028" t="str">
        <f>_xll.BDP("89440KCD Muni","INSURANCE_STATUS")</f>
        <v>#N/A Requesting Data...</v>
      </c>
      <c r="D2028" t="str">
        <f>_xll.BDP("89440KCD Muni","STATE_CODE")</f>
        <v>#N/A Requesting Data...</v>
      </c>
      <c r="E2028" t="str">
        <f>_xll.BDP("89440KCD Muni","COUNTY_LOCATION_ISSUER")</f>
        <v>#N/A Requesting Data...</v>
      </c>
      <c r="F2028" t="str">
        <f>_xll.BDP("89440KCD Muni","DUR_ADJ_MID")</f>
        <v>#N/A Requesting Data...</v>
      </c>
      <c r="G2028" t="str">
        <f>_xll.BDP("89440KCD Muni","SPREAD_AT_ISSUANCE_TO_WORST")</f>
        <v>#N/A Requesting Data...</v>
      </c>
      <c r="H2028" t="str">
        <f>_xll.BDP("89440KCD Muni","ISSUE_DT")</f>
        <v>#N/A Requesting Data...</v>
      </c>
      <c r="I2028" t="str">
        <f>_xll.BDS("89440KCD Muni","MUNI_PURPOSE_SCHED", "aggregate=y")</f>
        <v>#N/A Requesting Data...</v>
      </c>
      <c r="J2028" t="str">
        <f>_xll.BDP("89440KCD Muni","CPN")</f>
        <v>#N/A Requesting Data...</v>
      </c>
      <c r="K2028" t="str">
        <f>_xll.BDP("89440KCD Muni","MATURITY")</f>
        <v>#N/A Requesting Data...</v>
      </c>
      <c r="L2028">
        <v>100000</v>
      </c>
      <c r="M2028" t="str">
        <f>_xll.BDP("89440KCD Muni","YIELD_ON_ISSUE_DATE")</f>
        <v>#N/A Requesting Data...</v>
      </c>
      <c r="N2028" t="str">
        <f>_xll.BDP("89440KCD Muni","YTW_SPREAD_TO_MATURITY_AT_ISSU")</f>
        <v>#N/A Requesting Data...</v>
      </c>
      <c r="O2028" t="str">
        <f>_xll.BDP("89440KCD Muni","BVAL_MID_YTM")</f>
        <v>#N/A Requesting Data...</v>
      </c>
      <c r="P2028" t="str">
        <f>_xll.BDP("89440KCD Muni","MUNI_TAX_PROV")</f>
        <v>#N/A Requesting Data...</v>
      </c>
      <c r="Q2028" t="str">
        <f>_xll.BDP("89440KCD Muni","MUNI_FED_TAX")</f>
        <v>#N/A Requesting Data...</v>
      </c>
      <c r="R2028" t="str">
        <f>_xll.BDP("89440KCD Muni","MUNI_MSRB_VOLUME")</f>
        <v>#N/A Requesting Data...</v>
      </c>
      <c r="S2028" t="str">
        <f>_xll.BDP("89440KCD Muni","BB_COMPOSITE")</f>
        <v>#N/A Requesting Data...</v>
      </c>
      <c r="T2028" t="str">
        <f>_xll.BDP("89440KCD Muni","LQA_LIQUIDITY_SCORE")</f>
        <v>#N/A Requesting Data...</v>
      </c>
    </row>
    <row r="2029" spans="1:20" x14ac:dyDescent="0.25">
      <c r="A2029" t="str">
        <f>_xll.BDP("89440KCE Muni","ID_CUSIP")</f>
        <v>#N/A Requesting Data...</v>
      </c>
      <c r="B2029" t="s">
        <v>485</v>
      </c>
      <c r="C2029" t="str">
        <f>_xll.BDP("89440KCE Muni","INSURANCE_STATUS")</f>
        <v>#N/A Requesting Data...</v>
      </c>
      <c r="D2029" t="str">
        <f>_xll.BDP("89440KCE Muni","STATE_CODE")</f>
        <v>#N/A Requesting Data...</v>
      </c>
      <c r="E2029" t="str">
        <f>_xll.BDP("89440KCE Muni","COUNTY_LOCATION_ISSUER")</f>
        <v>#N/A Requesting Data...</v>
      </c>
      <c r="F2029" t="str">
        <f>_xll.BDP("89440KCE Muni","DUR_ADJ_MID")</f>
        <v>#N/A Requesting Data...</v>
      </c>
      <c r="G2029" t="str">
        <f>_xll.BDP("89440KCE Muni","SPREAD_AT_ISSUANCE_TO_WORST")</f>
        <v>#N/A Requesting Data...</v>
      </c>
      <c r="H2029" t="str">
        <f>_xll.BDP("89440KCE Muni","ISSUE_DT")</f>
        <v>#N/A Requesting Data...</v>
      </c>
      <c r="I2029" t="str">
        <f>_xll.BDS("89440KCE Muni","MUNI_PURPOSE_SCHED", "aggregate=y")</f>
        <v>#N/A Requesting Data...</v>
      </c>
      <c r="J2029" t="str">
        <f>_xll.BDP("89440KCE Muni","CPN")</f>
        <v>#N/A Requesting Data...</v>
      </c>
      <c r="K2029" t="str">
        <f>_xll.BDP("89440KCE Muni","MATURITY")</f>
        <v>#N/A Requesting Data...</v>
      </c>
      <c r="L2029">
        <v>105000</v>
      </c>
      <c r="M2029" t="str">
        <f>_xll.BDP("89440KCE Muni","YIELD_ON_ISSUE_DATE")</f>
        <v>#N/A Requesting Data...</v>
      </c>
      <c r="N2029" t="str">
        <f>_xll.BDP("89440KCE Muni","YTW_SPREAD_TO_MATURITY_AT_ISSU")</f>
        <v>#N/A Requesting Data...</v>
      </c>
      <c r="O2029" t="str">
        <f>_xll.BDP("89440KCE Muni","BVAL_MID_YTM")</f>
        <v>#N/A Requesting Data...</v>
      </c>
      <c r="P2029" t="str">
        <f>_xll.BDP("89440KCE Muni","MUNI_TAX_PROV")</f>
        <v>#N/A Requesting Data...</v>
      </c>
      <c r="Q2029" t="str">
        <f>_xll.BDP("89440KCE Muni","MUNI_FED_TAX")</f>
        <v>#N/A Requesting Data...</v>
      </c>
      <c r="R2029" t="str">
        <f>_xll.BDP("89440KCE Muni","MUNI_MSRB_VOLUME")</f>
        <v>#N/A Requesting Data...</v>
      </c>
      <c r="S2029" t="str">
        <f>_xll.BDP("89440KCE Muni","BB_COMPOSITE")</f>
        <v>#N/A Requesting Data...</v>
      </c>
      <c r="T2029" t="str">
        <f>_xll.BDP("89440KCE Muni","LQA_LIQUIDITY_SCORE")</f>
        <v>#N/A Requesting Data...</v>
      </c>
    </row>
    <row r="2030" spans="1:20" x14ac:dyDescent="0.25">
      <c r="A2030" t="str">
        <f>_xll.BDP("89440KCF Muni","ID_CUSIP")</f>
        <v>#N/A Requesting Data...</v>
      </c>
      <c r="B2030" t="s">
        <v>485</v>
      </c>
      <c r="C2030" t="str">
        <f>_xll.BDP("89440KCF Muni","INSURANCE_STATUS")</f>
        <v>#N/A Requesting Data...</v>
      </c>
      <c r="D2030" t="str">
        <f>_xll.BDP("89440KCF Muni","STATE_CODE")</f>
        <v>#N/A Requesting Data...</v>
      </c>
      <c r="E2030" t="str">
        <f>_xll.BDP("89440KCF Muni","COUNTY_LOCATION_ISSUER")</f>
        <v>#N/A Requesting Data...</v>
      </c>
      <c r="F2030" t="str">
        <f>_xll.BDP("89440KCF Muni","DUR_ADJ_MID")</f>
        <v>#N/A Requesting Data...</v>
      </c>
      <c r="G2030" t="str">
        <f>_xll.BDP("89440KCF Muni","SPREAD_AT_ISSUANCE_TO_WORST")</f>
        <v>#N/A Requesting Data...</v>
      </c>
      <c r="H2030" t="str">
        <f>_xll.BDP("89440KCF Muni","ISSUE_DT")</f>
        <v>#N/A Requesting Data...</v>
      </c>
      <c r="I2030" t="str">
        <f>_xll.BDS("89440KCF Muni","MUNI_PURPOSE_SCHED", "aggregate=y")</f>
        <v>#N/A Requesting Data...</v>
      </c>
      <c r="J2030" t="str">
        <f>_xll.BDP("89440KCF Muni","CPN")</f>
        <v>#N/A Requesting Data...</v>
      </c>
      <c r="K2030" t="str">
        <f>_xll.BDP("89440KCF Muni","MATURITY")</f>
        <v>#N/A Requesting Data...</v>
      </c>
      <c r="L2030">
        <v>105000</v>
      </c>
      <c r="M2030" t="str">
        <f>_xll.BDP("89440KCF Muni","YIELD_ON_ISSUE_DATE")</f>
        <v>#N/A Requesting Data...</v>
      </c>
      <c r="N2030" t="str">
        <f>_xll.BDP("89440KCF Muni","YTW_SPREAD_TO_MATURITY_AT_ISSU")</f>
        <v>#N/A Requesting Data...</v>
      </c>
      <c r="O2030" t="str">
        <f>_xll.BDP("89440KCF Muni","BVAL_MID_YTM")</f>
        <v>#N/A Requesting Data...</v>
      </c>
      <c r="P2030" t="str">
        <f>_xll.BDP("89440KCF Muni","MUNI_TAX_PROV")</f>
        <v>#N/A Requesting Data...</v>
      </c>
      <c r="Q2030" t="str">
        <f>_xll.BDP("89440KCF Muni","MUNI_FED_TAX")</f>
        <v>#N/A Requesting Data...</v>
      </c>
      <c r="R2030" t="str">
        <f>_xll.BDP("89440KCF Muni","MUNI_MSRB_VOLUME")</f>
        <v>#N/A Requesting Data...</v>
      </c>
      <c r="S2030" t="str">
        <f>_xll.BDP("89440KCF Muni","BB_COMPOSITE")</f>
        <v>#N/A Requesting Data...</v>
      </c>
      <c r="T2030" t="str">
        <f>_xll.BDP("89440KCF Muni","LQA_LIQUIDITY_SCORE")</f>
        <v>#N/A Requesting Data...</v>
      </c>
    </row>
    <row r="2031" spans="1:20" x14ac:dyDescent="0.25">
      <c r="A2031" t="str">
        <f>_xll.BDP("89440LEA Muni","ID_CUSIP")</f>
        <v>#N/A Requesting Data...</v>
      </c>
      <c r="B2031" t="s">
        <v>486</v>
      </c>
      <c r="C2031" t="str">
        <f>_xll.BDP("89440LEA Muni","INSURANCE_STATUS")</f>
        <v>#N/A Requesting Data...</v>
      </c>
      <c r="D2031" t="str">
        <f>_xll.BDP("89440LEA Muni","STATE_CODE")</f>
        <v>#N/A Requesting Data...</v>
      </c>
      <c r="E2031" t="str">
        <f>_xll.BDP("89440LEA Muni","COUNTY_LOCATION_ISSUER")</f>
        <v>#N/A Requesting Data...</v>
      </c>
      <c r="F2031" t="str">
        <f>_xll.BDP("89440LEA Muni","DUR_ADJ_MID")</f>
        <v>#N/A Requesting Data...</v>
      </c>
      <c r="G2031" t="str">
        <f>_xll.BDP("89440LEA Muni","SPREAD_AT_ISSUANCE_TO_WORST")</f>
        <v>#N/A Requesting Data...</v>
      </c>
      <c r="H2031" t="str">
        <f>_xll.BDP("89440LEA Muni","ISSUE_DT")</f>
        <v>#N/A Requesting Data...</v>
      </c>
      <c r="I2031" t="str">
        <f>_xll.BDS("89440LEA Muni","MUNI_PURPOSE_SCHED", "aggregate=y")</f>
        <v>#N/A Requesting Data...</v>
      </c>
      <c r="J2031" t="str">
        <f>_xll.BDP("89440LEA Muni","CPN")</f>
        <v>#N/A Requesting Data...</v>
      </c>
      <c r="K2031" t="str">
        <f>_xll.BDP("89440LEA Muni","MATURITY")</f>
        <v>#N/A Requesting Data...</v>
      </c>
      <c r="L2031">
        <v>195000</v>
      </c>
      <c r="M2031" t="str">
        <f>_xll.BDP("89440LEA Muni","YIELD_ON_ISSUE_DATE")</f>
        <v>#N/A Requesting Data...</v>
      </c>
      <c r="N2031" t="str">
        <f>_xll.BDP("89440LEA Muni","YTW_SPREAD_TO_MATURITY_AT_ISSU")</f>
        <v>#N/A Requesting Data...</v>
      </c>
      <c r="O2031" t="str">
        <f>_xll.BDP("89440LEA Muni","BVAL_MID_YTM")</f>
        <v>#N/A Requesting Data...</v>
      </c>
      <c r="P2031" t="str">
        <f>_xll.BDP("89440LEA Muni","MUNI_TAX_PROV")</f>
        <v>#N/A Requesting Data...</v>
      </c>
      <c r="Q2031" t="str">
        <f>_xll.BDP("89440LEA Muni","MUNI_FED_TAX")</f>
        <v>#N/A Requesting Data...</v>
      </c>
      <c r="R2031" t="str">
        <f>_xll.BDP("89440LEA Muni","MUNI_MSRB_VOLUME")</f>
        <v>#N/A Requesting Data...</v>
      </c>
      <c r="S2031" t="str">
        <f>_xll.BDP("89440LEA Muni","BB_COMPOSITE")</f>
        <v>#N/A Requesting Data...</v>
      </c>
      <c r="T2031" t="str">
        <f>_xll.BDP("89440LEA Muni","LQA_LIQUIDITY_SCORE")</f>
        <v>#N/A Requesting Data...</v>
      </c>
    </row>
    <row r="2032" spans="1:20" x14ac:dyDescent="0.25">
      <c r="A2032" t="str">
        <f>_xll.BDP("89440LEB Muni","ID_CUSIP")</f>
        <v>#N/A Requesting Data...</v>
      </c>
      <c r="B2032" t="s">
        <v>486</v>
      </c>
      <c r="C2032" t="str">
        <f>_xll.BDP("89440LEB Muni","INSURANCE_STATUS")</f>
        <v>#N/A Requesting Data...</v>
      </c>
      <c r="D2032" t="str">
        <f>_xll.BDP("89440LEB Muni","STATE_CODE")</f>
        <v>#N/A Requesting Data...</v>
      </c>
      <c r="E2032" t="str">
        <f>_xll.BDP("89440LEB Muni","COUNTY_LOCATION_ISSUER")</f>
        <v>#N/A Requesting Data...</v>
      </c>
      <c r="F2032" t="str">
        <f>_xll.BDP("89440LEB Muni","DUR_ADJ_MID")</f>
        <v>#N/A Requesting Data...</v>
      </c>
      <c r="G2032" t="str">
        <f>_xll.BDP("89440LEB Muni","SPREAD_AT_ISSUANCE_TO_WORST")</f>
        <v>#N/A Requesting Data...</v>
      </c>
      <c r="H2032" t="str">
        <f>_xll.BDP("89440LEB Muni","ISSUE_DT")</f>
        <v>#N/A Requesting Data...</v>
      </c>
      <c r="I2032" t="str">
        <f>_xll.BDS("89440LEB Muni","MUNI_PURPOSE_SCHED", "aggregate=y")</f>
        <v>#N/A Requesting Data...</v>
      </c>
      <c r="J2032" t="str">
        <f>_xll.BDP("89440LEB Muni","CPN")</f>
        <v>#N/A Requesting Data...</v>
      </c>
      <c r="K2032" t="str">
        <f>_xll.BDP("89440LEB Muni","MATURITY")</f>
        <v>#N/A Requesting Data...</v>
      </c>
      <c r="L2032">
        <v>200000</v>
      </c>
      <c r="M2032" t="str">
        <f>_xll.BDP("89440LEB Muni","YIELD_ON_ISSUE_DATE")</f>
        <v>#N/A Requesting Data...</v>
      </c>
      <c r="N2032" t="str">
        <f>_xll.BDP("89440LEB Muni","YTW_SPREAD_TO_MATURITY_AT_ISSU")</f>
        <v>#N/A Requesting Data...</v>
      </c>
      <c r="O2032" t="str">
        <f>_xll.BDP("89440LEB Muni","BVAL_MID_YTM")</f>
        <v>#N/A Requesting Data...</v>
      </c>
      <c r="P2032" t="str">
        <f>_xll.BDP("89440LEB Muni","MUNI_TAX_PROV")</f>
        <v>#N/A Requesting Data...</v>
      </c>
      <c r="Q2032" t="str">
        <f>_xll.BDP("89440LEB Muni","MUNI_FED_TAX")</f>
        <v>#N/A Requesting Data...</v>
      </c>
      <c r="R2032" t="str">
        <f>_xll.BDP("89440LEB Muni","MUNI_MSRB_VOLUME")</f>
        <v>#N/A Requesting Data...</v>
      </c>
      <c r="S2032" t="str">
        <f>_xll.BDP("89440LEB Muni","BB_COMPOSITE")</f>
        <v>#N/A Requesting Data...</v>
      </c>
      <c r="T2032" t="str">
        <f>_xll.BDP("89440LEB Muni","LQA_LIQUIDITY_SCORE")</f>
        <v>#N/A Requesting Data...</v>
      </c>
    </row>
    <row r="2033" spans="1:20" x14ac:dyDescent="0.25">
      <c r="A2033" t="str">
        <f>_xll.BDP("89440LEC Muni","ID_CUSIP")</f>
        <v>#N/A Requesting Data...</v>
      </c>
      <c r="B2033" t="s">
        <v>486</v>
      </c>
      <c r="C2033" t="str">
        <f>_xll.BDP("89440LEC Muni","INSURANCE_STATUS")</f>
        <v>#N/A Requesting Data...</v>
      </c>
      <c r="D2033" t="str">
        <f>_xll.BDP("89440LEC Muni","STATE_CODE")</f>
        <v>#N/A Requesting Data...</v>
      </c>
      <c r="E2033" t="str">
        <f>_xll.BDP("89440LEC Muni","COUNTY_LOCATION_ISSUER")</f>
        <v>#N/A Requesting Data...</v>
      </c>
      <c r="F2033" t="str">
        <f>_xll.BDP("89440LEC Muni","DUR_ADJ_MID")</f>
        <v>#N/A Requesting Data...</v>
      </c>
      <c r="G2033" t="str">
        <f>_xll.BDP("89440LEC Muni","SPREAD_AT_ISSUANCE_TO_WORST")</f>
        <v>#N/A Requesting Data...</v>
      </c>
      <c r="H2033" t="str">
        <f>_xll.BDP("89440LEC Muni","ISSUE_DT")</f>
        <v>#N/A Requesting Data...</v>
      </c>
      <c r="I2033" t="str">
        <f>_xll.BDS("89440LEC Muni","MUNI_PURPOSE_SCHED", "aggregate=y")</f>
        <v>#N/A Requesting Data...</v>
      </c>
      <c r="J2033" t="str">
        <f>_xll.BDP("89440LEC Muni","CPN")</f>
        <v>#N/A Requesting Data...</v>
      </c>
      <c r="K2033" t="str">
        <f>_xll.BDP("89440LEC Muni","MATURITY")</f>
        <v>#N/A Requesting Data...</v>
      </c>
      <c r="L2033">
        <v>210000</v>
      </c>
      <c r="M2033" t="str">
        <f>_xll.BDP("89440LEC Muni","YIELD_ON_ISSUE_DATE")</f>
        <v>#N/A Requesting Data...</v>
      </c>
      <c r="N2033" t="str">
        <f>_xll.BDP("89440LEC Muni","YTW_SPREAD_TO_MATURITY_AT_ISSU")</f>
        <v>#N/A Requesting Data...</v>
      </c>
      <c r="O2033" t="str">
        <f>_xll.BDP("89440LEC Muni","BVAL_MID_YTM")</f>
        <v>#N/A Requesting Data...</v>
      </c>
      <c r="P2033" t="str">
        <f>_xll.BDP("89440LEC Muni","MUNI_TAX_PROV")</f>
        <v>#N/A Requesting Data...</v>
      </c>
      <c r="Q2033" t="str">
        <f>_xll.BDP("89440LEC Muni","MUNI_FED_TAX")</f>
        <v>#N/A Requesting Data...</v>
      </c>
      <c r="R2033" t="str">
        <f>_xll.BDP("89440LEC Muni","MUNI_MSRB_VOLUME")</f>
        <v>#N/A Requesting Data...</v>
      </c>
      <c r="S2033" t="str">
        <f>_xll.BDP("89440LEC Muni","BB_COMPOSITE")</f>
        <v>#N/A Requesting Data...</v>
      </c>
      <c r="T2033" t="str">
        <f>_xll.BDP("89440LEC Muni","LQA_LIQUIDITY_SCORE")</f>
        <v>#N/A Requesting Data...</v>
      </c>
    </row>
    <row r="2034" spans="1:20" x14ac:dyDescent="0.25">
      <c r="A2034" t="str">
        <f>_xll.BDP("89440LED Muni","ID_CUSIP")</f>
        <v>#N/A Requesting Data...</v>
      </c>
      <c r="B2034" t="s">
        <v>486</v>
      </c>
      <c r="C2034" t="str">
        <f>_xll.BDP("89440LED Muni","INSURANCE_STATUS")</f>
        <v>#N/A Requesting Data...</v>
      </c>
      <c r="D2034" t="str">
        <f>_xll.BDP("89440LED Muni","STATE_CODE")</f>
        <v>#N/A Requesting Data...</v>
      </c>
      <c r="E2034" t="str">
        <f>_xll.BDP("89440LED Muni","COUNTY_LOCATION_ISSUER")</f>
        <v>#N/A Requesting Data...</v>
      </c>
      <c r="F2034" t="str">
        <f>_xll.BDP("89440LED Muni","DUR_ADJ_MID")</f>
        <v>#N/A Requesting Data...</v>
      </c>
      <c r="G2034" t="str">
        <f>_xll.BDP("89440LED Muni","SPREAD_AT_ISSUANCE_TO_WORST")</f>
        <v>#N/A Requesting Data...</v>
      </c>
      <c r="H2034" t="str">
        <f>_xll.BDP("89440LED Muni","ISSUE_DT")</f>
        <v>#N/A Requesting Data...</v>
      </c>
      <c r="I2034" t="str">
        <f>_xll.BDS("89440LED Muni","MUNI_PURPOSE_SCHED", "aggregate=y")</f>
        <v>#N/A Requesting Data...</v>
      </c>
      <c r="J2034" t="str">
        <f>_xll.BDP("89440LED Muni","CPN")</f>
        <v>#N/A Requesting Data...</v>
      </c>
      <c r="K2034" t="str">
        <f>_xll.BDP("89440LED Muni","MATURITY")</f>
        <v>#N/A Requesting Data...</v>
      </c>
      <c r="L2034">
        <v>220000</v>
      </c>
      <c r="M2034" t="str">
        <f>_xll.BDP("89440LED Muni","YIELD_ON_ISSUE_DATE")</f>
        <v>#N/A Requesting Data...</v>
      </c>
      <c r="N2034" t="str">
        <f>_xll.BDP("89440LED Muni","YTW_SPREAD_TO_MATURITY_AT_ISSU")</f>
        <v>#N/A Requesting Data...</v>
      </c>
      <c r="O2034" t="str">
        <f>_xll.BDP("89440LED Muni","BVAL_MID_YTM")</f>
        <v>#N/A Requesting Data...</v>
      </c>
      <c r="P2034" t="str">
        <f>_xll.BDP("89440LED Muni","MUNI_TAX_PROV")</f>
        <v>#N/A Requesting Data...</v>
      </c>
      <c r="Q2034" t="str">
        <f>_xll.BDP("89440LED Muni","MUNI_FED_TAX")</f>
        <v>#N/A Requesting Data...</v>
      </c>
      <c r="R2034" t="str">
        <f>_xll.BDP("89440LED Muni","MUNI_MSRB_VOLUME")</f>
        <v>#N/A Requesting Data...</v>
      </c>
      <c r="S2034" t="str">
        <f>_xll.BDP("89440LED Muni","BB_COMPOSITE")</f>
        <v>#N/A Requesting Data...</v>
      </c>
      <c r="T2034" t="str">
        <f>_xll.BDP("89440LED Muni","LQA_LIQUIDITY_SCORE")</f>
        <v>#N/A Requesting Data...</v>
      </c>
    </row>
    <row r="2035" spans="1:20" x14ac:dyDescent="0.25">
      <c r="A2035" t="str">
        <f>_xll.BDP("89440LEE Muni","ID_CUSIP")</f>
        <v>#N/A Requesting Data...</v>
      </c>
      <c r="B2035" t="s">
        <v>486</v>
      </c>
      <c r="C2035" t="str">
        <f>_xll.BDP("89440LEE Muni","INSURANCE_STATUS")</f>
        <v>#N/A Requesting Data...</v>
      </c>
      <c r="D2035" t="str">
        <f>_xll.BDP("89440LEE Muni","STATE_CODE")</f>
        <v>#N/A Requesting Data...</v>
      </c>
      <c r="E2035" t="str">
        <f>_xll.BDP("89440LEE Muni","COUNTY_LOCATION_ISSUER")</f>
        <v>#N/A Requesting Data...</v>
      </c>
      <c r="F2035" t="str">
        <f>_xll.BDP("89440LEE Muni","DUR_ADJ_MID")</f>
        <v>#N/A Requesting Data...</v>
      </c>
      <c r="G2035" t="str">
        <f>_xll.BDP("89440LEE Muni","SPREAD_AT_ISSUANCE_TO_WORST")</f>
        <v>#N/A Requesting Data...</v>
      </c>
      <c r="H2035" t="str">
        <f>_xll.BDP("89440LEE Muni","ISSUE_DT")</f>
        <v>#N/A Requesting Data...</v>
      </c>
      <c r="I2035" t="str">
        <f>_xll.BDS("89440LEE Muni","MUNI_PURPOSE_SCHED", "aggregate=y")</f>
        <v>#N/A Requesting Data...</v>
      </c>
      <c r="J2035" t="str">
        <f>_xll.BDP("89440LEE Muni","CPN")</f>
        <v>#N/A Requesting Data...</v>
      </c>
      <c r="K2035" t="str">
        <f>_xll.BDP("89440LEE Muni","MATURITY")</f>
        <v>#N/A Requesting Data...</v>
      </c>
      <c r="L2035">
        <v>230000</v>
      </c>
      <c r="M2035" t="str">
        <f>_xll.BDP("89440LEE Muni","YIELD_ON_ISSUE_DATE")</f>
        <v>#N/A Requesting Data...</v>
      </c>
      <c r="N2035" t="str">
        <f>_xll.BDP("89440LEE Muni","YTW_SPREAD_TO_MATURITY_AT_ISSU")</f>
        <v>#N/A Requesting Data...</v>
      </c>
      <c r="O2035" t="str">
        <f>_xll.BDP("89440LEE Muni","BVAL_MID_YTM")</f>
        <v>#N/A Requesting Data...</v>
      </c>
      <c r="P2035" t="str">
        <f>_xll.BDP("89440LEE Muni","MUNI_TAX_PROV")</f>
        <v>#N/A Requesting Data...</v>
      </c>
      <c r="Q2035" t="str">
        <f>_xll.BDP("89440LEE Muni","MUNI_FED_TAX")</f>
        <v>#N/A Requesting Data...</v>
      </c>
      <c r="R2035" t="str">
        <f>_xll.BDP("89440LEE Muni","MUNI_MSRB_VOLUME")</f>
        <v>#N/A Requesting Data...</v>
      </c>
      <c r="S2035" t="str">
        <f>_xll.BDP("89440LEE Muni","BB_COMPOSITE")</f>
        <v>#N/A Requesting Data...</v>
      </c>
      <c r="T2035" t="str">
        <f>_xll.BDP("89440LEE Muni","LQA_LIQUIDITY_SCORE")</f>
        <v>#N/A Requesting Data...</v>
      </c>
    </row>
    <row r="2036" spans="1:20" x14ac:dyDescent="0.25">
      <c r="A2036" t="str">
        <f>_xll.BDP("89440LEF Muni","ID_CUSIP")</f>
        <v>#N/A Requesting Data...</v>
      </c>
      <c r="B2036" t="s">
        <v>486</v>
      </c>
      <c r="C2036" t="str">
        <f>_xll.BDP("89440LEF Muni","INSURANCE_STATUS")</f>
        <v>#N/A Requesting Data...</v>
      </c>
      <c r="D2036" t="str">
        <f>_xll.BDP("89440LEF Muni","STATE_CODE")</f>
        <v>#N/A Requesting Data...</v>
      </c>
      <c r="E2036" t="str">
        <f>_xll.BDP("89440LEF Muni","COUNTY_LOCATION_ISSUER")</f>
        <v>#N/A Requesting Data...</v>
      </c>
      <c r="F2036" t="str">
        <f>_xll.BDP("89440LEF Muni","DUR_ADJ_MID")</f>
        <v>#N/A Requesting Data...</v>
      </c>
      <c r="G2036" t="str">
        <f>_xll.BDP("89440LEF Muni","SPREAD_AT_ISSUANCE_TO_WORST")</f>
        <v>#N/A Requesting Data...</v>
      </c>
      <c r="H2036" t="str">
        <f>_xll.BDP("89440LEF Muni","ISSUE_DT")</f>
        <v>#N/A Requesting Data...</v>
      </c>
      <c r="I2036" t="str">
        <f>_xll.BDS("89440LEF Muni","MUNI_PURPOSE_SCHED", "aggregate=y")</f>
        <v>#N/A Requesting Data...</v>
      </c>
      <c r="J2036" t="str">
        <f>_xll.BDP("89440LEF Muni","CPN")</f>
        <v>#N/A Requesting Data...</v>
      </c>
      <c r="K2036" t="str">
        <f>_xll.BDP("89440LEF Muni","MATURITY")</f>
        <v>#N/A Requesting Data...</v>
      </c>
      <c r="L2036">
        <v>240000</v>
      </c>
      <c r="M2036" t="str">
        <f>_xll.BDP("89440LEF Muni","YIELD_ON_ISSUE_DATE")</f>
        <v>#N/A Requesting Data...</v>
      </c>
      <c r="N2036" t="str">
        <f>_xll.BDP("89440LEF Muni","YTW_SPREAD_TO_MATURITY_AT_ISSU")</f>
        <v>#N/A Requesting Data...</v>
      </c>
      <c r="O2036" t="str">
        <f>_xll.BDP("89440LEF Muni","BVAL_MID_YTM")</f>
        <v>#N/A Requesting Data...</v>
      </c>
      <c r="P2036" t="str">
        <f>_xll.BDP("89440LEF Muni","MUNI_TAX_PROV")</f>
        <v>#N/A Requesting Data...</v>
      </c>
      <c r="Q2036" t="str">
        <f>_xll.BDP("89440LEF Muni","MUNI_FED_TAX")</f>
        <v>#N/A Requesting Data...</v>
      </c>
      <c r="R2036" t="str">
        <f>_xll.BDP("89440LEF Muni","MUNI_MSRB_VOLUME")</f>
        <v>#N/A Requesting Data...</v>
      </c>
      <c r="S2036" t="str">
        <f>_xll.BDP("89440LEF Muni","BB_COMPOSITE")</f>
        <v>#N/A Requesting Data...</v>
      </c>
      <c r="T2036" t="str">
        <f>_xll.BDP("89440LEF Muni","LQA_LIQUIDITY_SCORE")</f>
        <v>#N/A Requesting Data...</v>
      </c>
    </row>
    <row r="2037" spans="1:20" x14ac:dyDescent="0.25">
      <c r="A2037" t="str">
        <f>_xll.BDP("89440LEG Muni","ID_CUSIP")</f>
        <v>#N/A Requesting Data...</v>
      </c>
      <c r="B2037" t="s">
        <v>486</v>
      </c>
      <c r="C2037" t="str">
        <f>_xll.BDP("89440LEG Muni","INSURANCE_STATUS")</f>
        <v>#N/A Requesting Data...</v>
      </c>
      <c r="D2037" t="str">
        <f>_xll.BDP("89440LEG Muni","STATE_CODE")</f>
        <v>#N/A Requesting Data...</v>
      </c>
      <c r="E2037" t="str">
        <f>_xll.BDP("89440LEG Muni","COUNTY_LOCATION_ISSUER")</f>
        <v>#N/A Requesting Data...</v>
      </c>
      <c r="F2037" t="str">
        <f>_xll.BDP("89440LEG Muni","DUR_ADJ_MID")</f>
        <v>#N/A Requesting Data...</v>
      </c>
      <c r="G2037" t="str">
        <f>_xll.BDP("89440LEG Muni","SPREAD_AT_ISSUANCE_TO_WORST")</f>
        <v>#N/A Requesting Data...</v>
      </c>
      <c r="H2037" t="str">
        <f>_xll.BDP("89440LEG Muni","ISSUE_DT")</f>
        <v>#N/A Requesting Data...</v>
      </c>
      <c r="I2037" t="str">
        <f>_xll.BDS("89440LEG Muni","MUNI_PURPOSE_SCHED", "aggregate=y")</f>
        <v>#N/A Requesting Data...</v>
      </c>
      <c r="J2037" t="str">
        <f>_xll.BDP("89440LEG Muni","CPN")</f>
        <v>#N/A Requesting Data...</v>
      </c>
      <c r="K2037" t="str">
        <f>_xll.BDP("89440LEG Muni","MATURITY")</f>
        <v>#N/A Requesting Data...</v>
      </c>
      <c r="L2037">
        <v>250000</v>
      </c>
      <c r="M2037" t="str">
        <f>_xll.BDP("89440LEG Muni","YIELD_ON_ISSUE_DATE")</f>
        <v>#N/A Requesting Data...</v>
      </c>
      <c r="N2037" t="str">
        <f>_xll.BDP("89440LEG Muni","YTW_SPREAD_TO_MATURITY_AT_ISSU")</f>
        <v>#N/A Requesting Data...</v>
      </c>
      <c r="O2037" t="str">
        <f>_xll.BDP("89440LEG Muni","BVAL_MID_YTM")</f>
        <v>#N/A Requesting Data...</v>
      </c>
      <c r="P2037" t="str">
        <f>_xll.BDP("89440LEG Muni","MUNI_TAX_PROV")</f>
        <v>#N/A Requesting Data...</v>
      </c>
      <c r="Q2037" t="str">
        <f>_xll.BDP("89440LEG Muni","MUNI_FED_TAX")</f>
        <v>#N/A Requesting Data...</v>
      </c>
      <c r="R2037" t="str">
        <f>_xll.BDP("89440LEG Muni","MUNI_MSRB_VOLUME")</f>
        <v>#N/A Requesting Data...</v>
      </c>
      <c r="S2037" t="str">
        <f>_xll.BDP("89440LEG Muni","BB_COMPOSITE")</f>
        <v>#N/A Requesting Data...</v>
      </c>
      <c r="T2037" t="str">
        <f>_xll.BDP("89440LEG Muni","LQA_LIQUIDITY_SCORE")</f>
        <v>#N/A Requesting Data...</v>
      </c>
    </row>
    <row r="2038" spans="1:20" x14ac:dyDescent="0.25">
      <c r="A2038" t="str">
        <f>_xll.BDP("8945206A Muni","ID_CUSIP")</f>
        <v>#N/A Requesting Data...</v>
      </c>
      <c r="B2038" t="s">
        <v>487</v>
      </c>
      <c r="C2038" t="str">
        <f>_xll.BDP("8945206A Muni","INSURANCE_STATUS")</f>
        <v>#N/A Requesting Data...</v>
      </c>
      <c r="D2038" t="str">
        <f>_xll.BDP("8945206A Muni","STATE_CODE")</f>
        <v>#N/A Requesting Data...</v>
      </c>
      <c r="E2038" t="str">
        <f>_xll.BDP("8945206A Muni","COUNTY_LOCATION_ISSUER")</f>
        <v>#N/A Requesting Data...</v>
      </c>
      <c r="F2038" t="str">
        <f>_xll.BDP("8945206A Muni","DUR_ADJ_MID")</f>
        <v>#N/A Requesting Data...</v>
      </c>
      <c r="G2038" t="str">
        <f>_xll.BDP("8945206A Muni","SPREAD_AT_ISSUANCE_TO_WORST")</f>
        <v>#N/A Requesting Data...</v>
      </c>
      <c r="H2038" t="str">
        <f>_xll.BDP("8945206A Muni","ISSUE_DT")</f>
        <v>#N/A Requesting Data...</v>
      </c>
      <c r="I2038" t="str">
        <f>_xll.BDS("8945206A Muni","MUNI_PURPOSE_SCHED", "aggregate=y")</f>
        <v>#N/A Requesting Data...</v>
      </c>
      <c r="J2038" t="str">
        <f>_xll.BDP("8945206A Muni","CPN")</f>
        <v>#N/A Requesting Data...</v>
      </c>
      <c r="K2038" t="str">
        <f>_xll.BDP("8945206A Muni","MATURITY")</f>
        <v>#N/A Requesting Data...</v>
      </c>
      <c r="L2038">
        <v>180000</v>
      </c>
      <c r="M2038" t="str">
        <f>_xll.BDP("8945206A Muni","YIELD_ON_ISSUE_DATE")</f>
        <v>#N/A Requesting Data...</v>
      </c>
      <c r="N2038" t="str">
        <f>_xll.BDP("8945206A Muni","YTW_SPREAD_TO_MATURITY_AT_ISSU")</f>
        <v>#N/A Requesting Data...</v>
      </c>
      <c r="O2038" t="str">
        <f>_xll.BDP("8945206A Muni","BVAL_MID_YTM")</f>
        <v>#N/A Requesting Data...</v>
      </c>
      <c r="P2038" t="str">
        <f>_xll.BDP("8945206A Muni","MUNI_TAX_PROV")</f>
        <v>#N/A Requesting Data...</v>
      </c>
      <c r="Q2038" t="str">
        <f>_xll.BDP("8945206A Muni","MUNI_FED_TAX")</f>
        <v>#N/A Requesting Data...</v>
      </c>
      <c r="R2038" t="str">
        <f>_xll.BDP("8945206A Muni","MUNI_MSRB_VOLUME")</f>
        <v>#N/A Requesting Data...</v>
      </c>
      <c r="S2038" t="str">
        <f>_xll.BDP("8945206A Muni","BB_COMPOSITE")</f>
        <v>#N/A Requesting Data...</v>
      </c>
      <c r="T2038" t="str">
        <f>_xll.BDP("8945206A Muni","LQA_LIQUIDITY_SCORE")</f>
        <v>#N/A Requesting Data...</v>
      </c>
    </row>
    <row r="2039" spans="1:20" x14ac:dyDescent="0.25">
      <c r="A2039" t="str">
        <f>_xll.BDP("8945206B Muni","ID_CUSIP")</f>
        <v>#N/A Requesting Data...</v>
      </c>
      <c r="B2039" t="s">
        <v>487</v>
      </c>
      <c r="C2039" t="str">
        <f>_xll.BDP("8945206B Muni","INSURANCE_STATUS")</f>
        <v>#N/A Requesting Data...</v>
      </c>
      <c r="D2039" t="str">
        <f>_xll.BDP("8945206B Muni","STATE_CODE")</f>
        <v>#N/A Requesting Data...</v>
      </c>
      <c r="E2039" t="str">
        <f>_xll.BDP("8945206B Muni","COUNTY_LOCATION_ISSUER")</f>
        <v>#N/A Requesting Data...</v>
      </c>
      <c r="F2039" t="str">
        <f>_xll.BDP("8945206B Muni","DUR_ADJ_MID")</f>
        <v>#N/A Requesting Data...</v>
      </c>
      <c r="G2039" t="str">
        <f>_xll.BDP("8945206B Muni","SPREAD_AT_ISSUANCE_TO_WORST")</f>
        <v>#N/A Requesting Data...</v>
      </c>
      <c r="H2039" t="str">
        <f>_xll.BDP("8945206B Muni","ISSUE_DT")</f>
        <v>#N/A Requesting Data...</v>
      </c>
      <c r="I2039" t="str">
        <f>_xll.BDS("8945206B Muni","MUNI_PURPOSE_SCHED", "aggregate=y")</f>
        <v>#N/A Requesting Data...</v>
      </c>
      <c r="J2039" t="str">
        <f>_xll.BDP("8945206B Muni","CPN")</f>
        <v>#N/A Requesting Data...</v>
      </c>
      <c r="K2039" t="str">
        <f>_xll.BDP("8945206B Muni","MATURITY")</f>
        <v>#N/A Requesting Data...</v>
      </c>
      <c r="L2039">
        <v>180000</v>
      </c>
      <c r="M2039" t="str">
        <f>_xll.BDP("8945206B Muni","YIELD_ON_ISSUE_DATE")</f>
        <v>#N/A Requesting Data...</v>
      </c>
      <c r="N2039" t="str">
        <f>_xll.BDP("8945206B Muni","YTW_SPREAD_TO_MATURITY_AT_ISSU")</f>
        <v>#N/A Requesting Data...</v>
      </c>
      <c r="O2039" t="str">
        <f>_xll.BDP("8945206B Muni","BVAL_MID_YTM")</f>
        <v>#N/A Requesting Data...</v>
      </c>
      <c r="P2039" t="str">
        <f>_xll.BDP("8945206B Muni","MUNI_TAX_PROV")</f>
        <v>#N/A Requesting Data...</v>
      </c>
      <c r="Q2039" t="str">
        <f>_xll.BDP("8945206B Muni","MUNI_FED_TAX")</f>
        <v>#N/A Requesting Data...</v>
      </c>
      <c r="R2039" t="str">
        <f>_xll.BDP("8945206B Muni","MUNI_MSRB_VOLUME")</f>
        <v>#N/A Requesting Data...</v>
      </c>
      <c r="S2039" t="str">
        <f>_xll.BDP("8945206B Muni","BB_COMPOSITE")</f>
        <v>#N/A Requesting Data...</v>
      </c>
      <c r="T2039" t="str">
        <f>_xll.BDP("8945206B Muni","LQA_LIQUIDITY_SCORE")</f>
        <v>#N/A Requesting Data...</v>
      </c>
    </row>
    <row r="2040" spans="1:20" x14ac:dyDescent="0.25">
      <c r="A2040" t="str">
        <f>_xll.BDP("89453PB4 Muni","ID_CUSIP")</f>
        <v>#N/A Requesting Data...</v>
      </c>
      <c r="B2040" t="s">
        <v>488</v>
      </c>
      <c r="C2040" t="str">
        <f>_xll.BDP("89453PB4 Muni","INSURANCE_STATUS")</f>
        <v>#N/A Requesting Data...</v>
      </c>
      <c r="D2040" t="str">
        <f>_xll.BDP("89453PB4 Muni","STATE_CODE")</f>
        <v>#N/A Requesting Data...</v>
      </c>
      <c r="E2040" t="str">
        <f>_xll.BDP("89453PB4 Muni","COUNTY_LOCATION_ISSUER")</f>
        <v>#N/A Requesting Data...</v>
      </c>
      <c r="F2040" t="str">
        <f>_xll.BDP("89453PB4 Muni","DUR_ADJ_MID")</f>
        <v>#N/A Requesting Data...</v>
      </c>
      <c r="G2040" t="str">
        <f>_xll.BDP("89453PB4 Muni","SPREAD_AT_ISSUANCE_TO_WORST")</f>
        <v>#N/A Requesting Data...</v>
      </c>
      <c r="H2040" t="str">
        <f>_xll.BDP("89453PB4 Muni","ISSUE_DT")</f>
        <v>#N/A Requesting Data...</v>
      </c>
      <c r="I2040" t="str">
        <f>_xll.BDS("89453PB4 Muni","MUNI_PURPOSE_SCHED", "aggregate=y")</f>
        <v>#N/A Requesting Data...</v>
      </c>
      <c r="J2040" t="str">
        <f>_xll.BDP("89453PB4 Muni","CPN")</f>
        <v>#N/A Requesting Data...</v>
      </c>
      <c r="K2040" t="str">
        <f>_xll.BDP("89453PB4 Muni","MATURITY")</f>
        <v>#N/A Requesting Data...</v>
      </c>
      <c r="L2040">
        <v>1610000</v>
      </c>
      <c r="M2040" t="str">
        <f>_xll.BDP("89453PB4 Muni","YIELD_ON_ISSUE_DATE")</f>
        <v>#N/A Requesting Data...</v>
      </c>
      <c r="N2040" t="str">
        <f>_xll.BDP("89453PB4 Muni","YTW_SPREAD_TO_MATURITY_AT_ISSU")</f>
        <v>#N/A Requesting Data...</v>
      </c>
      <c r="O2040" t="str">
        <f>_xll.BDP("89453PB4 Muni","BVAL_MID_YTM")</f>
        <v>#N/A Requesting Data...</v>
      </c>
      <c r="P2040" t="str">
        <f>_xll.BDP("89453PB4 Muni","MUNI_TAX_PROV")</f>
        <v>#N/A Requesting Data...</v>
      </c>
      <c r="Q2040" t="str">
        <f>_xll.BDP("89453PB4 Muni","MUNI_FED_TAX")</f>
        <v>#N/A Requesting Data...</v>
      </c>
      <c r="R2040" t="str">
        <f>_xll.BDP("89453PB4 Muni","MUNI_MSRB_VOLUME")</f>
        <v>#N/A Requesting Data...</v>
      </c>
      <c r="S2040" t="str">
        <f>_xll.BDP("89453PB4 Muni","BB_COMPOSITE")</f>
        <v>#N/A Requesting Data...</v>
      </c>
      <c r="T2040" t="str">
        <f>_xll.BDP("89453PB4 Muni","LQA_LIQUIDITY_SCORE")</f>
        <v>#N/A Requesting Data...</v>
      </c>
    </row>
    <row r="2041" spans="1:20" x14ac:dyDescent="0.25">
      <c r="A2041" t="str">
        <f>_xll.BDP("89453PB5 Muni","ID_CUSIP")</f>
        <v>#N/A Requesting Data...</v>
      </c>
      <c r="B2041" t="s">
        <v>488</v>
      </c>
      <c r="C2041" t="str">
        <f>_xll.BDP("89453PB5 Muni","INSURANCE_STATUS")</f>
        <v>#N/A Requesting Data...</v>
      </c>
      <c r="D2041" t="str">
        <f>_xll.BDP("89453PB5 Muni","STATE_CODE")</f>
        <v>#N/A Requesting Data...</v>
      </c>
      <c r="E2041" t="str">
        <f>_xll.BDP("89453PB5 Muni","COUNTY_LOCATION_ISSUER")</f>
        <v>#N/A Requesting Data...</v>
      </c>
      <c r="F2041" t="str">
        <f>_xll.BDP("89453PB5 Muni","DUR_ADJ_MID")</f>
        <v>#N/A Requesting Data...</v>
      </c>
      <c r="G2041" t="str">
        <f>_xll.BDP("89453PB5 Muni","SPREAD_AT_ISSUANCE_TO_WORST")</f>
        <v>#N/A Requesting Data...</v>
      </c>
      <c r="H2041" t="str">
        <f>_xll.BDP("89453PB5 Muni","ISSUE_DT")</f>
        <v>#N/A Requesting Data...</v>
      </c>
      <c r="I2041" t="str">
        <f>_xll.BDS("89453PB5 Muni","MUNI_PURPOSE_SCHED", "aggregate=y")</f>
        <v>#N/A Requesting Data...</v>
      </c>
      <c r="J2041" t="str">
        <f>_xll.BDP("89453PB5 Muni","CPN")</f>
        <v>#N/A Requesting Data...</v>
      </c>
      <c r="K2041" t="str">
        <f>_xll.BDP("89453PB5 Muni","MATURITY")</f>
        <v>#N/A Requesting Data...</v>
      </c>
      <c r="L2041">
        <v>1660000</v>
      </c>
      <c r="M2041" t="str">
        <f>_xll.BDP("89453PB5 Muni","YIELD_ON_ISSUE_DATE")</f>
        <v>#N/A Requesting Data...</v>
      </c>
      <c r="N2041" t="str">
        <f>_xll.BDP("89453PB5 Muni","YTW_SPREAD_TO_MATURITY_AT_ISSU")</f>
        <v>#N/A Requesting Data...</v>
      </c>
      <c r="O2041" t="str">
        <f>_xll.BDP("89453PB5 Muni","BVAL_MID_YTM")</f>
        <v>#N/A Requesting Data...</v>
      </c>
      <c r="P2041" t="str">
        <f>_xll.BDP("89453PB5 Muni","MUNI_TAX_PROV")</f>
        <v>#N/A Requesting Data...</v>
      </c>
      <c r="Q2041" t="str">
        <f>_xll.BDP("89453PB5 Muni","MUNI_FED_TAX")</f>
        <v>#N/A Requesting Data...</v>
      </c>
      <c r="R2041" t="str">
        <f>_xll.BDP("89453PB5 Muni","MUNI_MSRB_VOLUME")</f>
        <v>#N/A Requesting Data...</v>
      </c>
      <c r="S2041" t="str">
        <f>_xll.BDP("89453PB5 Muni","BB_COMPOSITE")</f>
        <v>#N/A Requesting Data...</v>
      </c>
      <c r="T2041" t="str">
        <f>_xll.BDP("89453PB5 Muni","LQA_LIQUIDITY_SCORE")</f>
        <v>#N/A Requesting Data...</v>
      </c>
    </row>
    <row r="2042" spans="1:20" x14ac:dyDescent="0.25">
      <c r="A2042" t="str">
        <f>_xll.BDP("89453PB6 Muni","ID_CUSIP")</f>
        <v>#N/A Requesting Data...</v>
      </c>
      <c r="B2042" t="s">
        <v>488</v>
      </c>
      <c r="C2042" t="str">
        <f>_xll.BDP("89453PB6 Muni","INSURANCE_STATUS")</f>
        <v>#N/A Requesting Data...</v>
      </c>
      <c r="D2042" t="str">
        <f>_xll.BDP("89453PB6 Muni","STATE_CODE")</f>
        <v>#N/A Requesting Data...</v>
      </c>
      <c r="E2042" t="str">
        <f>_xll.BDP("89453PB6 Muni","COUNTY_LOCATION_ISSUER")</f>
        <v>#N/A Requesting Data...</v>
      </c>
      <c r="F2042" t="str">
        <f>_xll.BDP("89453PB6 Muni","DUR_ADJ_MID")</f>
        <v>#N/A Requesting Data...</v>
      </c>
      <c r="G2042" t="str">
        <f>_xll.BDP("89453PB6 Muni","SPREAD_AT_ISSUANCE_TO_WORST")</f>
        <v>#N/A Requesting Data...</v>
      </c>
      <c r="H2042" t="str">
        <f>_xll.BDP("89453PB6 Muni","ISSUE_DT")</f>
        <v>#N/A Requesting Data...</v>
      </c>
      <c r="I2042" t="str">
        <f>_xll.BDS("89453PB6 Muni","MUNI_PURPOSE_SCHED", "aggregate=y")</f>
        <v>#N/A Requesting Data...</v>
      </c>
      <c r="J2042" t="str">
        <f>_xll.BDP("89453PB6 Muni","CPN")</f>
        <v>#N/A Requesting Data...</v>
      </c>
      <c r="K2042" t="str">
        <f>_xll.BDP("89453PB6 Muni","MATURITY")</f>
        <v>#N/A Requesting Data...</v>
      </c>
      <c r="L2042">
        <v>1710000</v>
      </c>
      <c r="M2042" t="str">
        <f>_xll.BDP("89453PB6 Muni","YIELD_ON_ISSUE_DATE")</f>
        <v>#N/A Requesting Data...</v>
      </c>
      <c r="N2042" t="str">
        <f>_xll.BDP("89453PB6 Muni","YTW_SPREAD_TO_MATURITY_AT_ISSU")</f>
        <v>#N/A Requesting Data...</v>
      </c>
      <c r="O2042" t="str">
        <f>_xll.BDP("89453PB6 Muni","BVAL_MID_YTM")</f>
        <v>#N/A Requesting Data...</v>
      </c>
      <c r="P2042" t="str">
        <f>_xll.BDP("89453PB6 Muni","MUNI_TAX_PROV")</f>
        <v>#N/A Requesting Data...</v>
      </c>
      <c r="Q2042" t="str">
        <f>_xll.BDP("89453PB6 Muni","MUNI_FED_TAX")</f>
        <v>#N/A Requesting Data...</v>
      </c>
      <c r="R2042" t="str">
        <f>_xll.BDP("89453PB6 Muni","MUNI_MSRB_VOLUME")</f>
        <v>#N/A Requesting Data...</v>
      </c>
      <c r="S2042" t="str">
        <f>_xll.BDP("89453PB6 Muni","BB_COMPOSITE")</f>
        <v>#N/A Requesting Data...</v>
      </c>
      <c r="T2042" t="str">
        <f>_xll.BDP("89453PB6 Muni","LQA_LIQUIDITY_SCORE")</f>
        <v>#N/A Requesting Data...</v>
      </c>
    </row>
    <row r="2043" spans="1:20" x14ac:dyDescent="0.25">
      <c r="A2043" t="str">
        <f>_xll.BDP("89453PB7 Muni","ID_CUSIP")</f>
        <v>#N/A Requesting Data...</v>
      </c>
      <c r="B2043" t="s">
        <v>488</v>
      </c>
      <c r="C2043" t="str">
        <f>_xll.BDP("89453PB7 Muni","INSURANCE_STATUS")</f>
        <v>#N/A Requesting Data...</v>
      </c>
      <c r="D2043" t="str">
        <f>_xll.BDP("89453PB7 Muni","STATE_CODE")</f>
        <v>#N/A Requesting Data...</v>
      </c>
      <c r="E2043" t="str">
        <f>_xll.BDP("89453PB7 Muni","COUNTY_LOCATION_ISSUER")</f>
        <v>#N/A Requesting Data...</v>
      </c>
      <c r="F2043" t="str">
        <f>_xll.BDP("89453PB7 Muni","DUR_ADJ_MID")</f>
        <v>#N/A Requesting Data...</v>
      </c>
      <c r="G2043" t="str">
        <f>_xll.BDP("89453PB7 Muni","SPREAD_AT_ISSUANCE_TO_WORST")</f>
        <v>#N/A Requesting Data...</v>
      </c>
      <c r="H2043" t="str">
        <f>_xll.BDP("89453PB7 Muni","ISSUE_DT")</f>
        <v>#N/A Requesting Data...</v>
      </c>
      <c r="I2043" t="str">
        <f>_xll.BDS("89453PB7 Muni","MUNI_PURPOSE_SCHED", "aggregate=y")</f>
        <v>#N/A Requesting Data...</v>
      </c>
      <c r="J2043" t="str">
        <f>_xll.BDP("89453PB7 Muni","CPN")</f>
        <v>#N/A Requesting Data...</v>
      </c>
      <c r="K2043" t="str">
        <f>_xll.BDP("89453PB7 Muni","MATURITY")</f>
        <v>#N/A Requesting Data...</v>
      </c>
      <c r="L2043">
        <v>1760000</v>
      </c>
      <c r="M2043" t="str">
        <f>_xll.BDP("89453PB7 Muni","YIELD_ON_ISSUE_DATE")</f>
        <v>#N/A Requesting Data...</v>
      </c>
      <c r="N2043" t="str">
        <f>_xll.BDP("89453PB7 Muni","YTW_SPREAD_TO_MATURITY_AT_ISSU")</f>
        <v>#N/A Requesting Data...</v>
      </c>
      <c r="O2043" t="str">
        <f>_xll.BDP("89453PB7 Muni","BVAL_MID_YTM")</f>
        <v>#N/A Requesting Data...</v>
      </c>
      <c r="P2043" t="str">
        <f>_xll.BDP("89453PB7 Muni","MUNI_TAX_PROV")</f>
        <v>#N/A Requesting Data...</v>
      </c>
      <c r="Q2043" t="str">
        <f>_xll.BDP("89453PB7 Muni","MUNI_FED_TAX")</f>
        <v>#N/A Requesting Data...</v>
      </c>
      <c r="R2043" t="str">
        <f>_xll.BDP("89453PB7 Muni","MUNI_MSRB_VOLUME")</f>
        <v>#N/A Requesting Data...</v>
      </c>
      <c r="S2043" t="str">
        <f>_xll.BDP("89453PB7 Muni","BB_COMPOSITE")</f>
        <v>#N/A Requesting Data...</v>
      </c>
      <c r="T2043" t="str">
        <f>_xll.BDP("89453PB7 Muni","LQA_LIQUIDITY_SCORE")</f>
        <v>#N/A Requesting Data...</v>
      </c>
    </row>
    <row r="2044" spans="1:20" x14ac:dyDescent="0.25">
      <c r="A2044" t="str">
        <f>_xll.BDP("89453PB8 Muni","ID_CUSIP")</f>
        <v>#N/A Requesting Data...</v>
      </c>
      <c r="B2044" t="s">
        <v>488</v>
      </c>
      <c r="C2044" t="str">
        <f>_xll.BDP("89453PB8 Muni","INSURANCE_STATUS")</f>
        <v>#N/A Requesting Data...</v>
      </c>
      <c r="D2044" t="str">
        <f>_xll.BDP("89453PB8 Muni","STATE_CODE")</f>
        <v>#N/A Requesting Data...</v>
      </c>
      <c r="E2044" t="str">
        <f>_xll.BDP("89453PB8 Muni","COUNTY_LOCATION_ISSUER")</f>
        <v>#N/A Requesting Data...</v>
      </c>
      <c r="F2044" t="str">
        <f>_xll.BDP("89453PB8 Muni","DUR_ADJ_MID")</f>
        <v>#N/A Requesting Data...</v>
      </c>
      <c r="G2044" t="str">
        <f>_xll.BDP("89453PB8 Muni","SPREAD_AT_ISSUANCE_TO_WORST")</f>
        <v>#N/A Requesting Data...</v>
      </c>
      <c r="H2044" t="str">
        <f>_xll.BDP("89453PB8 Muni","ISSUE_DT")</f>
        <v>#N/A Requesting Data...</v>
      </c>
      <c r="I2044" t="str">
        <f>_xll.BDS("89453PB8 Muni","MUNI_PURPOSE_SCHED", "aggregate=y")</f>
        <v>#N/A Requesting Data...</v>
      </c>
      <c r="J2044" t="str">
        <f>_xll.BDP("89453PB8 Muni","CPN")</f>
        <v>#N/A Requesting Data...</v>
      </c>
      <c r="K2044" t="str">
        <f>_xll.BDP("89453PB8 Muni","MATURITY")</f>
        <v>#N/A Requesting Data...</v>
      </c>
      <c r="L2044">
        <v>1815000</v>
      </c>
      <c r="M2044" t="str">
        <f>_xll.BDP("89453PB8 Muni","YIELD_ON_ISSUE_DATE")</f>
        <v>#N/A Requesting Data...</v>
      </c>
      <c r="N2044" t="str">
        <f>_xll.BDP("89453PB8 Muni","YTW_SPREAD_TO_MATURITY_AT_ISSU")</f>
        <v>#N/A Requesting Data...</v>
      </c>
      <c r="O2044" t="str">
        <f>_xll.BDP("89453PB8 Muni","BVAL_MID_YTM")</f>
        <v>#N/A Requesting Data...</v>
      </c>
      <c r="P2044" t="str">
        <f>_xll.BDP("89453PB8 Muni","MUNI_TAX_PROV")</f>
        <v>#N/A Requesting Data...</v>
      </c>
      <c r="Q2044" t="str">
        <f>_xll.BDP("89453PB8 Muni","MUNI_FED_TAX")</f>
        <v>#N/A Requesting Data...</v>
      </c>
      <c r="R2044" t="str">
        <f>_xll.BDP("89453PB8 Muni","MUNI_MSRB_VOLUME")</f>
        <v>#N/A Requesting Data...</v>
      </c>
      <c r="S2044" t="str">
        <f>_xll.BDP("89453PB8 Muni","BB_COMPOSITE")</f>
        <v>#N/A Requesting Data...</v>
      </c>
      <c r="T2044" t="str">
        <f>_xll.BDP("89453PB8 Muni","LQA_LIQUIDITY_SCORE")</f>
        <v>#N/A Requesting Data...</v>
      </c>
    </row>
    <row r="2045" spans="1:20" x14ac:dyDescent="0.25">
      <c r="A2045" t="str">
        <f>_xll.BDP("89453PB9 Muni","ID_CUSIP")</f>
        <v>#N/A Requesting Data...</v>
      </c>
      <c r="B2045" t="s">
        <v>488</v>
      </c>
      <c r="C2045" t="str">
        <f>_xll.BDP("89453PB9 Muni","INSURANCE_STATUS")</f>
        <v>#N/A Requesting Data...</v>
      </c>
      <c r="D2045" t="str">
        <f>_xll.BDP("89453PB9 Muni","STATE_CODE")</f>
        <v>#N/A Requesting Data...</v>
      </c>
      <c r="E2045" t="str">
        <f>_xll.BDP("89453PB9 Muni","COUNTY_LOCATION_ISSUER")</f>
        <v>#N/A Requesting Data...</v>
      </c>
      <c r="F2045" t="str">
        <f>_xll.BDP("89453PB9 Muni","DUR_ADJ_MID")</f>
        <v>#N/A Requesting Data...</v>
      </c>
      <c r="G2045" t="str">
        <f>_xll.BDP("89453PB9 Muni","SPREAD_AT_ISSUANCE_TO_WORST")</f>
        <v>#N/A Requesting Data...</v>
      </c>
      <c r="H2045" t="str">
        <f>_xll.BDP("89453PB9 Muni","ISSUE_DT")</f>
        <v>#N/A Requesting Data...</v>
      </c>
      <c r="I2045" t="str">
        <f>_xll.BDS("89453PB9 Muni","MUNI_PURPOSE_SCHED", "aggregate=y")</f>
        <v>#N/A Requesting Data...</v>
      </c>
      <c r="J2045" t="str">
        <f>_xll.BDP("89453PB9 Muni","CPN")</f>
        <v>#N/A Requesting Data...</v>
      </c>
      <c r="K2045" t="str">
        <f>_xll.BDP("89453PB9 Muni","MATURITY")</f>
        <v>#N/A Requesting Data...</v>
      </c>
      <c r="L2045">
        <v>1870000</v>
      </c>
      <c r="M2045" t="str">
        <f>_xll.BDP("89453PB9 Muni","YIELD_ON_ISSUE_DATE")</f>
        <v>#N/A Requesting Data...</v>
      </c>
      <c r="N2045" t="str">
        <f>_xll.BDP("89453PB9 Muni","YTW_SPREAD_TO_MATURITY_AT_ISSU")</f>
        <v>#N/A Requesting Data...</v>
      </c>
      <c r="O2045" t="str">
        <f>_xll.BDP("89453PB9 Muni","BVAL_MID_YTM")</f>
        <v>#N/A Requesting Data...</v>
      </c>
      <c r="P2045" t="str">
        <f>_xll.BDP("89453PB9 Muni","MUNI_TAX_PROV")</f>
        <v>#N/A Requesting Data...</v>
      </c>
      <c r="Q2045" t="str">
        <f>_xll.BDP("89453PB9 Muni","MUNI_FED_TAX")</f>
        <v>#N/A Requesting Data...</v>
      </c>
      <c r="R2045" t="str">
        <f>_xll.BDP("89453PB9 Muni","MUNI_MSRB_VOLUME")</f>
        <v>#N/A Requesting Data...</v>
      </c>
      <c r="S2045" t="str">
        <f>_xll.BDP("89453PB9 Muni","BB_COMPOSITE")</f>
        <v>#N/A Requesting Data...</v>
      </c>
      <c r="T2045" t="str">
        <f>_xll.BDP("89453PB9 Muni","LQA_LIQUIDITY_SCORE")</f>
        <v>#N/A Requesting Data...</v>
      </c>
    </row>
    <row r="2046" spans="1:20" x14ac:dyDescent="0.25">
      <c r="A2046" t="str">
        <f>_xll.BDP("882724FB Muni","ID_CUSIP")</f>
        <v>#N/A Requesting Data...</v>
      </c>
      <c r="B2046" t="s">
        <v>489</v>
      </c>
      <c r="C2046" t="str">
        <f>_xll.BDP("882724FB Muni","INSURANCE_STATUS")</f>
        <v>#N/A Requesting Data...</v>
      </c>
      <c r="D2046" t="str">
        <f>_xll.BDP("882724FB Muni","STATE_CODE")</f>
        <v>#N/A Requesting Data...</v>
      </c>
      <c r="E2046" t="str">
        <f>_xll.BDP("882724FB Muni","COUNTY_LOCATION_ISSUER")</f>
        <v>#N/A Requesting Data...</v>
      </c>
      <c r="F2046" t="str">
        <f>_xll.BDP("882724FB Muni","DUR_ADJ_MID")</f>
        <v>#N/A Requesting Data...</v>
      </c>
      <c r="G2046" t="str">
        <f>_xll.BDP("882724FB Muni","SPREAD_AT_ISSUANCE_TO_WORST")</f>
        <v>#N/A Requesting Data...</v>
      </c>
      <c r="H2046" t="str">
        <f>_xll.BDP("882724FB Muni","ISSUE_DT")</f>
        <v>#N/A Requesting Data...</v>
      </c>
      <c r="I2046" t="str">
        <f>_xll.BDS("882724FB Muni","MUNI_PURPOSE_SCHED", "aggregate=y")</f>
        <v>#N/A Requesting Data...</v>
      </c>
      <c r="J2046" t="str">
        <f>_xll.BDP("882724FB Muni","CPN")</f>
        <v>#N/A Requesting Data...</v>
      </c>
      <c r="K2046" t="str">
        <f>_xll.BDP("882724FB Muni","MATURITY")</f>
        <v>#N/A Requesting Data...</v>
      </c>
      <c r="L2046">
        <v>7905000</v>
      </c>
      <c r="M2046" t="str">
        <f>_xll.BDP("882724FB Muni","YIELD_ON_ISSUE_DATE")</f>
        <v>#N/A Requesting Data...</v>
      </c>
      <c r="N2046" t="str">
        <f>_xll.BDP("882724FB Muni","YTW_SPREAD_TO_MATURITY_AT_ISSU")</f>
        <v>#N/A Requesting Data...</v>
      </c>
      <c r="O2046" t="str">
        <f>_xll.BDP("882724FB Muni","BVAL_MID_YTM")</f>
        <v>#N/A Requesting Data...</v>
      </c>
      <c r="P2046" t="str">
        <f>_xll.BDP("882724FB Muni","MUNI_TAX_PROV")</f>
        <v>#N/A Requesting Data...</v>
      </c>
      <c r="Q2046" t="str">
        <f>_xll.BDP("882724FB Muni","MUNI_FED_TAX")</f>
        <v>#N/A Requesting Data...</v>
      </c>
      <c r="R2046" t="str">
        <f>_xll.BDP("882724FB Muni","MUNI_MSRB_VOLUME")</f>
        <v>#N/A Requesting Data...</v>
      </c>
      <c r="S2046" t="str">
        <f>_xll.BDP("882724FB Muni","BB_COMPOSITE")</f>
        <v>#N/A Requesting Data...</v>
      </c>
      <c r="T2046" t="str">
        <f>_xll.BDP("882724FB Muni","LQA_LIQUIDITY_SCORE")</f>
        <v>#N/A Requesting Data...</v>
      </c>
    </row>
    <row r="2047" spans="1:20" x14ac:dyDescent="0.25">
      <c r="A2047" t="str">
        <f>_xll.BDP("882724FC Muni","ID_CUSIP")</f>
        <v>#N/A Requesting Data...</v>
      </c>
      <c r="B2047" t="s">
        <v>489</v>
      </c>
      <c r="C2047" t="str">
        <f>_xll.BDP("882724FC Muni","INSURANCE_STATUS")</f>
        <v>#N/A Requesting Data...</v>
      </c>
      <c r="D2047" t="str">
        <f>_xll.BDP("882724FC Muni","STATE_CODE")</f>
        <v>#N/A Requesting Data...</v>
      </c>
      <c r="E2047" t="str">
        <f>_xll.BDP("882724FC Muni","COUNTY_LOCATION_ISSUER")</f>
        <v>#N/A Requesting Data...</v>
      </c>
      <c r="F2047" t="str">
        <f>_xll.BDP("882724FC Muni","DUR_ADJ_MID")</f>
        <v>#N/A Requesting Data...</v>
      </c>
      <c r="G2047" t="str">
        <f>_xll.BDP("882724FC Muni","SPREAD_AT_ISSUANCE_TO_WORST")</f>
        <v>#N/A Requesting Data...</v>
      </c>
      <c r="H2047" t="str">
        <f>_xll.BDP("882724FC Muni","ISSUE_DT")</f>
        <v>#N/A Requesting Data...</v>
      </c>
      <c r="I2047" t="str">
        <f>_xll.BDS("882724FC Muni","MUNI_PURPOSE_SCHED", "aggregate=y")</f>
        <v>#N/A Requesting Data...</v>
      </c>
      <c r="J2047" t="str">
        <f>_xll.BDP("882724FC Muni","CPN")</f>
        <v>#N/A Requesting Data...</v>
      </c>
      <c r="K2047" t="str">
        <f>_xll.BDP("882724FC Muni","MATURITY")</f>
        <v>#N/A Requesting Data...</v>
      </c>
      <c r="L2047">
        <v>5760000</v>
      </c>
      <c r="M2047" t="str">
        <f>_xll.BDP("882724FC Muni","YIELD_ON_ISSUE_DATE")</f>
        <v>#N/A Requesting Data...</v>
      </c>
      <c r="N2047" t="str">
        <f>_xll.BDP("882724FC Muni","YTW_SPREAD_TO_MATURITY_AT_ISSU")</f>
        <v>#N/A Requesting Data...</v>
      </c>
      <c r="O2047" t="str">
        <f>_xll.BDP("882724FC Muni","BVAL_MID_YTM")</f>
        <v>#N/A Requesting Data...</v>
      </c>
      <c r="P2047" t="str">
        <f>_xll.BDP("882724FC Muni","MUNI_TAX_PROV")</f>
        <v>#N/A Requesting Data...</v>
      </c>
      <c r="Q2047" t="str">
        <f>_xll.BDP("882724FC Muni","MUNI_FED_TAX")</f>
        <v>#N/A Requesting Data...</v>
      </c>
      <c r="R2047" t="str">
        <f>_xll.BDP("882724FC Muni","MUNI_MSRB_VOLUME")</f>
        <v>#N/A Requesting Data...</v>
      </c>
      <c r="S2047" t="str">
        <f>_xll.BDP("882724FC Muni","BB_COMPOSITE")</f>
        <v>#N/A Requesting Data...</v>
      </c>
      <c r="T2047" t="str">
        <f>_xll.BDP("882724FC Muni","LQA_LIQUIDITY_SCORE")</f>
        <v>#N/A Requesting Data...</v>
      </c>
    </row>
    <row r="2048" spans="1:20" x14ac:dyDescent="0.25">
      <c r="A2048" t="str">
        <f>_xll.BDP("882724FD Muni","ID_CUSIP")</f>
        <v>#N/A Requesting Data...</v>
      </c>
      <c r="B2048" t="s">
        <v>489</v>
      </c>
      <c r="C2048" t="str">
        <f>_xll.BDP("882724FD Muni","INSURANCE_STATUS")</f>
        <v>#N/A Requesting Data...</v>
      </c>
      <c r="D2048" t="str">
        <f>_xll.BDP("882724FD Muni","STATE_CODE")</f>
        <v>#N/A Requesting Data...</v>
      </c>
      <c r="E2048" t="str">
        <f>_xll.BDP("882724FD Muni","COUNTY_LOCATION_ISSUER")</f>
        <v>#N/A Requesting Data...</v>
      </c>
      <c r="F2048" t="str">
        <f>_xll.BDP("882724FD Muni","DUR_ADJ_MID")</f>
        <v>#N/A Requesting Data...</v>
      </c>
      <c r="G2048" t="str">
        <f>_xll.BDP("882724FD Muni","SPREAD_AT_ISSUANCE_TO_WORST")</f>
        <v>#N/A Requesting Data...</v>
      </c>
      <c r="H2048" t="str">
        <f>_xll.BDP("882724FD Muni","ISSUE_DT")</f>
        <v>#N/A Requesting Data...</v>
      </c>
      <c r="I2048" t="str">
        <f>_xll.BDS("882724FD Muni","MUNI_PURPOSE_SCHED", "aggregate=y")</f>
        <v>#N/A Requesting Data...</v>
      </c>
      <c r="J2048" t="str">
        <f>_xll.BDP("882724FD Muni","CPN")</f>
        <v>#N/A Requesting Data...</v>
      </c>
      <c r="K2048" t="str">
        <f>_xll.BDP("882724FD Muni","MATURITY")</f>
        <v>#N/A Requesting Data...</v>
      </c>
      <c r="L2048">
        <v>6040000</v>
      </c>
      <c r="M2048" t="str">
        <f>_xll.BDP("882724FD Muni","YIELD_ON_ISSUE_DATE")</f>
        <v>#N/A Requesting Data...</v>
      </c>
      <c r="N2048" t="str">
        <f>_xll.BDP("882724FD Muni","YTW_SPREAD_TO_MATURITY_AT_ISSU")</f>
        <v>#N/A Requesting Data...</v>
      </c>
      <c r="O2048" t="str">
        <f>_xll.BDP("882724FD Muni","BVAL_MID_YTM")</f>
        <v>#N/A Requesting Data...</v>
      </c>
      <c r="P2048" t="str">
        <f>_xll.BDP("882724FD Muni","MUNI_TAX_PROV")</f>
        <v>#N/A Requesting Data...</v>
      </c>
      <c r="Q2048" t="str">
        <f>_xll.BDP("882724FD Muni","MUNI_FED_TAX")</f>
        <v>#N/A Requesting Data...</v>
      </c>
      <c r="R2048" t="str">
        <f>_xll.BDP("882724FD Muni","MUNI_MSRB_VOLUME")</f>
        <v>#N/A Requesting Data...</v>
      </c>
      <c r="S2048" t="str">
        <f>_xll.BDP("882724FD Muni","BB_COMPOSITE")</f>
        <v>#N/A Requesting Data...</v>
      </c>
      <c r="T2048" t="str">
        <f>_xll.BDP("882724FD Muni","LQA_LIQUIDITY_SCORE")</f>
        <v>#N/A Requesting Data...</v>
      </c>
    </row>
    <row r="2049" spans="1:20" x14ac:dyDescent="0.25">
      <c r="A2049" t="str">
        <f>_xll.BDP("882724FE Muni","ID_CUSIP")</f>
        <v>#N/A Requesting Data...</v>
      </c>
      <c r="B2049" t="s">
        <v>489</v>
      </c>
      <c r="C2049" t="str">
        <f>_xll.BDP("882724FE Muni","INSURANCE_STATUS")</f>
        <v>#N/A Requesting Data...</v>
      </c>
      <c r="D2049" t="str">
        <f>_xll.BDP("882724FE Muni","STATE_CODE")</f>
        <v>#N/A Requesting Data...</v>
      </c>
      <c r="E2049" t="str">
        <f>_xll.BDP("882724FE Muni","COUNTY_LOCATION_ISSUER")</f>
        <v>#N/A Requesting Data...</v>
      </c>
      <c r="F2049" t="str">
        <f>_xll.BDP("882724FE Muni","DUR_ADJ_MID")</f>
        <v>#N/A Requesting Data...</v>
      </c>
      <c r="G2049" t="str">
        <f>_xll.BDP("882724FE Muni","SPREAD_AT_ISSUANCE_TO_WORST")</f>
        <v>#N/A Requesting Data...</v>
      </c>
      <c r="H2049" t="str">
        <f>_xll.BDP("882724FE Muni","ISSUE_DT")</f>
        <v>#N/A Requesting Data...</v>
      </c>
      <c r="I2049" t="str">
        <f>_xll.BDS("882724FE Muni","MUNI_PURPOSE_SCHED", "aggregate=y")</f>
        <v>#N/A Requesting Data...</v>
      </c>
      <c r="J2049" t="str">
        <f>_xll.BDP("882724FE Muni","CPN")</f>
        <v>#N/A Requesting Data...</v>
      </c>
      <c r="K2049" t="str">
        <f>_xll.BDP("882724FE Muni","MATURITY")</f>
        <v>#N/A Requesting Data...</v>
      </c>
      <c r="L2049">
        <v>6345000</v>
      </c>
      <c r="M2049" t="str">
        <f>_xll.BDP("882724FE Muni","YIELD_ON_ISSUE_DATE")</f>
        <v>#N/A Requesting Data...</v>
      </c>
      <c r="N2049" t="str">
        <f>_xll.BDP("882724FE Muni","YTW_SPREAD_TO_MATURITY_AT_ISSU")</f>
        <v>#N/A Requesting Data...</v>
      </c>
      <c r="O2049" t="str">
        <f>_xll.BDP("882724FE Muni","BVAL_MID_YTM")</f>
        <v>#N/A Requesting Data...</v>
      </c>
      <c r="P2049" t="str">
        <f>_xll.BDP("882724FE Muni","MUNI_TAX_PROV")</f>
        <v>#N/A Requesting Data...</v>
      </c>
      <c r="Q2049" t="str">
        <f>_xll.BDP("882724FE Muni","MUNI_FED_TAX")</f>
        <v>#N/A Requesting Data...</v>
      </c>
      <c r="R2049" t="str">
        <f>_xll.BDP("882724FE Muni","MUNI_MSRB_VOLUME")</f>
        <v>#N/A Requesting Data...</v>
      </c>
      <c r="S2049" t="str">
        <f>_xll.BDP("882724FE Muni","BB_COMPOSITE")</f>
        <v>#N/A Requesting Data...</v>
      </c>
      <c r="T2049" t="str">
        <f>_xll.BDP("882724FE Muni","LQA_LIQUIDITY_SCORE")</f>
        <v>#N/A Requesting Data...</v>
      </c>
    </row>
    <row r="2050" spans="1:20" x14ac:dyDescent="0.25">
      <c r="A2050" t="str">
        <f>_xll.BDP("882854C5 Muni","ID_CUSIP")</f>
        <v>#N/A Requesting Data...</v>
      </c>
      <c r="B2050" t="s">
        <v>490</v>
      </c>
      <c r="C2050" t="str">
        <f>_xll.BDP("882854C5 Muni","INSURANCE_STATUS")</f>
        <v>#N/A Requesting Data...</v>
      </c>
      <c r="D2050" t="str">
        <f>_xll.BDP("882854C5 Muni","STATE_CODE")</f>
        <v>#N/A Requesting Data...</v>
      </c>
      <c r="E2050" t="str">
        <f>_xll.BDP("882854C5 Muni","COUNTY_LOCATION_ISSUER")</f>
        <v>#N/A Requesting Data...</v>
      </c>
      <c r="F2050" t="str">
        <f>_xll.BDP("882854C5 Muni","DUR_ADJ_MID")</f>
        <v>#N/A Requesting Data...</v>
      </c>
      <c r="G2050" t="str">
        <f>_xll.BDP("882854C5 Muni","SPREAD_AT_ISSUANCE_TO_WORST")</f>
        <v>#N/A Requesting Data...</v>
      </c>
      <c r="H2050" t="str">
        <f>_xll.BDP("882854C5 Muni","ISSUE_DT")</f>
        <v>#N/A Requesting Data...</v>
      </c>
      <c r="I2050" t="str">
        <f>_xll.BDS("882854C5 Muni","MUNI_PURPOSE_SCHED", "aggregate=y")</f>
        <v>#N/A Requesting Data...</v>
      </c>
      <c r="J2050" t="str">
        <f>_xll.BDP("882854C5 Muni","CPN")</f>
        <v>#N/A Requesting Data...</v>
      </c>
      <c r="K2050" t="str">
        <f>_xll.BDP("882854C5 Muni","MATURITY")</f>
        <v>#N/A Requesting Data...</v>
      </c>
      <c r="L2050">
        <v>12310000</v>
      </c>
      <c r="M2050" t="str">
        <f>_xll.BDP("882854C5 Muni","YIELD_ON_ISSUE_DATE")</f>
        <v>#N/A Requesting Data...</v>
      </c>
      <c r="N2050" t="str">
        <f>_xll.BDP("882854C5 Muni","YTW_SPREAD_TO_MATURITY_AT_ISSU")</f>
        <v>#N/A Requesting Data...</v>
      </c>
      <c r="O2050" t="str">
        <f>_xll.BDP("882854C5 Muni","BVAL_MID_YTM")</f>
        <v>#N/A Requesting Data...</v>
      </c>
      <c r="P2050" t="str">
        <f>_xll.BDP("882854C5 Muni","MUNI_TAX_PROV")</f>
        <v>#N/A Requesting Data...</v>
      </c>
      <c r="Q2050" t="str">
        <f>_xll.BDP("882854C5 Muni","MUNI_FED_TAX")</f>
        <v>#N/A Requesting Data...</v>
      </c>
      <c r="R2050" t="str">
        <f>_xll.BDP("882854C5 Muni","MUNI_MSRB_VOLUME")</f>
        <v>#N/A Requesting Data...</v>
      </c>
      <c r="S2050" t="str">
        <f>_xll.BDP("882854C5 Muni","BB_COMPOSITE")</f>
        <v>#N/A Requesting Data...</v>
      </c>
      <c r="T2050" t="str">
        <f>_xll.BDP("882854C5 Muni","LQA_LIQUIDITY_SCORE")</f>
        <v>#N/A Requesting Data...</v>
      </c>
    </row>
    <row r="2051" spans="1:20" x14ac:dyDescent="0.25">
      <c r="A2051" t="str">
        <f>_xll.BDP("882854C6 Muni","ID_CUSIP")</f>
        <v>#N/A Requesting Data...</v>
      </c>
      <c r="B2051" t="s">
        <v>490</v>
      </c>
      <c r="C2051" t="str">
        <f>_xll.BDP("882854C6 Muni","INSURANCE_STATUS")</f>
        <v>#N/A Requesting Data...</v>
      </c>
      <c r="D2051" t="str">
        <f>_xll.BDP("882854C6 Muni","STATE_CODE")</f>
        <v>#N/A Requesting Data...</v>
      </c>
      <c r="E2051" t="str">
        <f>_xll.BDP("882854C6 Muni","COUNTY_LOCATION_ISSUER")</f>
        <v>#N/A Requesting Data...</v>
      </c>
      <c r="F2051" t="str">
        <f>_xll.BDP("882854C6 Muni","DUR_ADJ_MID")</f>
        <v>#N/A Requesting Data...</v>
      </c>
      <c r="G2051" t="str">
        <f>_xll.BDP("882854C6 Muni","SPREAD_AT_ISSUANCE_TO_WORST")</f>
        <v>#N/A Requesting Data...</v>
      </c>
      <c r="H2051" t="str">
        <f>_xll.BDP("882854C6 Muni","ISSUE_DT")</f>
        <v>#N/A Requesting Data...</v>
      </c>
      <c r="I2051" t="str">
        <f>_xll.BDS("882854C6 Muni","MUNI_PURPOSE_SCHED", "aggregate=y")</f>
        <v>#N/A Requesting Data...</v>
      </c>
      <c r="J2051" t="str">
        <f>_xll.BDP("882854C6 Muni","CPN")</f>
        <v>#N/A Requesting Data...</v>
      </c>
      <c r="K2051" t="str">
        <f>_xll.BDP("882854C6 Muni","MATURITY")</f>
        <v>#N/A Requesting Data...</v>
      </c>
      <c r="L2051">
        <v>12920000</v>
      </c>
      <c r="M2051" t="str">
        <f>_xll.BDP("882854C6 Muni","YIELD_ON_ISSUE_DATE")</f>
        <v>#N/A Requesting Data...</v>
      </c>
      <c r="N2051" t="str">
        <f>_xll.BDP("882854C6 Muni","YTW_SPREAD_TO_MATURITY_AT_ISSU")</f>
        <v>#N/A Requesting Data...</v>
      </c>
      <c r="O2051" t="str">
        <f>_xll.BDP("882854C6 Muni","BVAL_MID_YTM")</f>
        <v>#N/A Requesting Data...</v>
      </c>
      <c r="P2051" t="str">
        <f>_xll.BDP("882854C6 Muni","MUNI_TAX_PROV")</f>
        <v>#N/A Requesting Data...</v>
      </c>
      <c r="Q2051" t="str">
        <f>_xll.BDP("882854C6 Muni","MUNI_FED_TAX")</f>
        <v>#N/A Requesting Data...</v>
      </c>
      <c r="R2051" t="str">
        <f>_xll.BDP("882854C6 Muni","MUNI_MSRB_VOLUME")</f>
        <v>#N/A Requesting Data...</v>
      </c>
      <c r="S2051" t="str">
        <f>_xll.BDP("882854C6 Muni","BB_COMPOSITE")</f>
        <v>#N/A Requesting Data...</v>
      </c>
      <c r="T2051" t="str">
        <f>_xll.BDP("882854C6 Muni","LQA_LIQUIDITY_SCORE")</f>
        <v>#N/A Requesting Data...</v>
      </c>
    </row>
    <row r="2052" spans="1:20" x14ac:dyDescent="0.25">
      <c r="A2052" t="str">
        <f>_xll.BDP("882854C9 Muni","ID_CUSIP")</f>
        <v>#N/A Requesting Data...</v>
      </c>
      <c r="B2052" t="s">
        <v>490</v>
      </c>
      <c r="C2052" t="str">
        <f>_xll.BDP("882854C9 Muni","INSURANCE_STATUS")</f>
        <v>#N/A Requesting Data...</v>
      </c>
      <c r="D2052" t="str">
        <f>_xll.BDP("882854C9 Muni","STATE_CODE")</f>
        <v>#N/A Requesting Data...</v>
      </c>
      <c r="E2052" t="str">
        <f>_xll.BDP("882854C9 Muni","COUNTY_LOCATION_ISSUER")</f>
        <v>#N/A Requesting Data...</v>
      </c>
      <c r="F2052" t="str">
        <f>_xll.BDP("882854C9 Muni","DUR_ADJ_MID")</f>
        <v>#N/A Requesting Data...</v>
      </c>
      <c r="G2052" t="str">
        <f>_xll.BDP("882854C9 Muni","SPREAD_AT_ISSUANCE_TO_WORST")</f>
        <v>#N/A Requesting Data...</v>
      </c>
      <c r="H2052" t="str">
        <f>_xll.BDP("882854C9 Muni","ISSUE_DT")</f>
        <v>#N/A Requesting Data...</v>
      </c>
      <c r="I2052" t="str">
        <f>_xll.BDS("882854C9 Muni","MUNI_PURPOSE_SCHED", "aggregate=y")</f>
        <v>#N/A Requesting Data...</v>
      </c>
      <c r="J2052" t="str">
        <f>_xll.BDP("882854C9 Muni","CPN")</f>
        <v>#N/A Requesting Data...</v>
      </c>
      <c r="K2052" t="str">
        <f>_xll.BDP("882854C9 Muni","MATURITY")</f>
        <v>#N/A Requesting Data...</v>
      </c>
      <c r="L2052">
        <v>14965000</v>
      </c>
      <c r="M2052" t="str">
        <f>_xll.BDP("882854C9 Muni","YIELD_ON_ISSUE_DATE")</f>
        <v>#N/A Requesting Data...</v>
      </c>
      <c r="N2052" t="str">
        <f>_xll.BDP("882854C9 Muni","YTW_SPREAD_TO_MATURITY_AT_ISSU")</f>
        <v>#N/A Requesting Data...</v>
      </c>
      <c r="O2052" t="str">
        <f>_xll.BDP("882854C9 Muni","BVAL_MID_YTM")</f>
        <v>#N/A Requesting Data...</v>
      </c>
      <c r="P2052" t="str">
        <f>_xll.BDP("882854C9 Muni","MUNI_TAX_PROV")</f>
        <v>#N/A Requesting Data...</v>
      </c>
      <c r="Q2052" t="str">
        <f>_xll.BDP("882854C9 Muni","MUNI_FED_TAX")</f>
        <v>#N/A Requesting Data...</v>
      </c>
      <c r="R2052" t="str">
        <f>_xll.BDP("882854C9 Muni","MUNI_MSRB_VOLUME")</f>
        <v>#N/A Requesting Data...</v>
      </c>
      <c r="S2052" t="str">
        <f>_xll.BDP("882854C9 Muni","BB_COMPOSITE")</f>
        <v>#N/A Requesting Data...</v>
      </c>
      <c r="T2052" t="str">
        <f>_xll.BDP("882854C9 Muni","LQA_LIQUIDITY_SCORE")</f>
        <v>#N/A Requesting Data...</v>
      </c>
    </row>
    <row r="2053" spans="1:20" x14ac:dyDescent="0.25">
      <c r="A2053" t="str">
        <f>_xll.BDP("882854F7 Muni","ID_CUSIP")</f>
        <v>#N/A Requesting Data...</v>
      </c>
      <c r="B2053" t="s">
        <v>490</v>
      </c>
      <c r="C2053" t="str">
        <f>_xll.BDP("882854F7 Muni","INSURANCE_STATUS")</f>
        <v>#N/A Requesting Data...</v>
      </c>
      <c r="D2053" t="str">
        <f>_xll.BDP("882854F7 Muni","STATE_CODE")</f>
        <v>#N/A Requesting Data...</v>
      </c>
      <c r="E2053" t="str">
        <f>_xll.BDP("882854F7 Muni","COUNTY_LOCATION_ISSUER")</f>
        <v>#N/A Requesting Data...</v>
      </c>
      <c r="F2053" t="str">
        <f>_xll.BDP("882854F7 Muni","DUR_ADJ_MID")</f>
        <v>#N/A Requesting Data...</v>
      </c>
      <c r="G2053" t="str">
        <f>_xll.BDP("882854F7 Muni","SPREAD_AT_ISSUANCE_TO_WORST")</f>
        <v>#N/A Requesting Data...</v>
      </c>
      <c r="H2053" t="str">
        <f>_xll.BDP("882854F7 Muni","ISSUE_DT")</f>
        <v>#N/A Requesting Data...</v>
      </c>
      <c r="I2053" t="str">
        <f>_xll.BDS("882854F7 Muni","MUNI_PURPOSE_SCHED", "aggregate=y")</f>
        <v>#N/A Requesting Data...</v>
      </c>
      <c r="J2053" t="str">
        <f>_xll.BDP("882854F7 Muni","CPN")</f>
        <v>#N/A Requesting Data...</v>
      </c>
      <c r="K2053" t="str">
        <f>_xll.BDP("882854F7 Muni","MATURITY")</f>
        <v>#N/A Requesting Data...</v>
      </c>
      <c r="L2053">
        <v>5000000</v>
      </c>
      <c r="M2053" t="str">
        <f>_xll.BDP("882854F7 Muni","YIELD_ON_ISSUE_DATE")</f>
        <v>#N/A Requesting Data...</v>
      </c>
      <c r="N2053" t="str">
        <f>_xll.BDP("882854F7 Muni","YTW_SPREAD_TO_MATURITY_AT_ISSU")</f>
        <v>#N/A Requesting Data...</v>
      </c>
      <c r="O2053" t="str">
        <f>_xll.BDP("882854F7 Muni","BVAL_MID_YTM")</f>
        <v>#N/A Requesting Data...</v>
      </c>
      <c r="P2053" t="str">
        <f>_xll.BDP("882854F7 Muni","MUNI_TAX_PROV")</f>
        <v>#N/A Requesting Data...</v>
      </c>
      <c r="Q2053" t="str">
        <f>_xll.BDP("882854F7 Muni","MUNI_FED_TAX")</f>
        <v>#N/A Requesting Data...</v>
      </c>
      <c r="R2053" t="str">
        <f>_xll.BDP("882854F7 Muni","MUNI_MSRB_VOLUME")</f>
        <v>#N/A Requesting Data...</v>
      </c>
      <c r="S2053" t="str">
        <f>_xll.BDP("882854F7 Muni","BB_COMPOSITE")</f>
        <v>#N/A Requesting Data...</v>
      </c>
      <c r="T2053" t="str">
        <f>_xll.BDP("882854F7 Muni","LQA_LIQUIDITY_SCORE")</f>
        <v>#N/A Requesting Data...</v>
      </c>
    </row>
    <row r="2054" spans="1:20" x14ac:dyDescent="0.25">
      <c r="A2054" t="str">
        <f>_xll.BDP("882854F8 Muni","ID_CUSIP")</f>
        <v>#N/A Requesting Data...</v>
      </c>
      <c r="B2054" t="s">
        <v>490</v>
      </c>
      <c r="C2054" t="str">
        <f>_xll.BDP("882854F8 Muni","INSURANCE_STATUS")</f>
        <v>#N/A Requesting Data...</v>
      </c>
      <c r="D2054" t="str">
        <f>_xll.BDP("882854F8 Muni","STATE_CODE")</f>
        <v>#N/A Requesting Data...</v>
      </c>
      <c r="E2054" t="str">
        <f>_xll.BDP("882854F8 Muni","COUNTY_LOCATION_ISSUER")</f>
        <v>#N/A Requesting Data...</v>
      </c>
      <c r="F2054" t="str">
        <f>_xll.BDP("882854F8 Muni","DUR_ADJ_MID")</f>
        <v>#N/A Requesting Data...</v>
      </c>
      <c r="G2054" t="str">
        <f>_xll.BDP("882854F8 Muni","SPREAD_AT_ISSUANCE_TO_WORST")</f>
        <v>#N/A Requesting Data...</v>
      </c>
      <c r="H2054" t="str">
        <f>_xll.BDP("882854F8 Muni","ISSUE_DT")</f>
        <v>#N/A Requesting Data...</v>
      </c>
      <c r="I2054" t="str">
        <f>_xll.BDS("882854F8 Muni","MUNI_PURPOSE_SCHED", "aggregate=y")</f>
        <v>#N/A Requesting Data...</v>
      </c>
      <c r="J2054" t="str">
        <f>_xll.BDP("882854F8 Muni","CPN")</f>
        <v>#N/A Requesting Data...</v>
      </c>
      <c r="K2054" t="str">
        <f>_xll.BDP("882854F8 Muni","MATURITY")</f>
        <v>#N/A Requesting Data...</v>
      </c>
      <c r="L2054">
        <v>18255000</v>
      </c>
      <c r="M2054" t="str">
        <f>_xll.BDP("882854F8 Muni","YIELD_ON_ISSUE_DATE")</f>
        <v>#N/A Requesting Data...</v>
      </c>
      <c r="N2054" t="str">
        <f>_xll.BDP("882854F8 Muni","YTW_SPREAD_TO_MATURITY_AT_ISSU")</f>
        <v>#N/A Requesting Data...</v>
      </c>
      <c r="O2054" t="str">
        <f>_xll.BDP("882854F8 Muni","BVAL_MID_YTM")</f>
        <v>#N/A Requesting Data...</v>
      </c>
      <c r="P2054" t="str">
        <f>_xll.BDP("882854F8 Muni","MUNI_TAX_PROV")</f>
        <v>#N/A Requesting Data...</v>
      </c>
      <c r="Q2054" t="str">
        <f>_xll.BDP("882854F8 Muni","MUNI_FED_TAX")</f>
        <v>#N/A Requesting Data...</v>
      </c>
      <c r="R2054" t="str">
        <f>_xll.BDP("882854F8 Muni","MUNI_MSRB_VOLUME")</f>
        <v>#N/A Requesting Data...</v>
      </c>
      <c r="S2054" t="str">
        <f>_xll.BDP("882854F8 Muni","BB_COMPOSITE")</f>
        <v>#N/A Requesting Data...</v>
      </c>
      <c r="T2054" t="str">
        <f>_xll.BDP("882854F8 Muni","LQA_LIQUIDITY_SCORE")</f>
        <v>#N/A Requesting Data...</v>
      </c>
    </row>
    <row r="2055" spans="1:20" x14ac:dyDescent="0.25">
      <c r="A2055" t="str">
        <f>_xll.BDP("882854F9 Muni","ID_CUSIP")</f>
        <v>#N/A Requesting Data...</v>
      </c>
      <c r="B2055" t="s">
        <v>490</v>
      </c>
      <c r="C2055" t="str">
        <f>_xll.BDP("882854F9 Muni","INSURANCE_STATUS")</f>
        <v>#N/A Requesting Data...</v>
      </c>
      <c r="D2055" t="str">
        <f>_xll.BDP("882854F9 Muni","STATE_CODE")</f>
        <v>#N/A Requesting Data...</v>
      </c>
      <c r="E2055" t="str">
        <f>_xll.BDP("882854F9 Muni","COUNTY_LOCATION_ISSUER")</f>
        <v>#N/A Requesting Data...</v>
      </c>
      <c r="F2055" t="str">
        <f>_xll.BDP("882854F9 Muni","DUR_ADJ_MID")</f>
        <v>#N/A Requesting Data...</v>
      </c>
      <c r="G2055" t="str">
        <f>_xll.BDP("882854F9 Muni","SPREAD_AT_ISSUANCE_TO_WORST")</f>
        <v>#N/A Requesting Data...</v>
      </c>
      <c r="H2055" t="str">
        <f>_xll.BDP("882854F9 Muni","ISSUE_DT")</f>
        <v>#N/A Requesting Data...</v>
      </c>
      <c r="I2055" t="str">
        <f>_xll.BDS("882854F9 Muni","MUNI_PURPOSE_SCHED", "aggregate=y")</f>
        <v>#N/A Requesting Data...</v>
      </c>
      <c r="J2055" t="str">
        <f>_xll.BDP("882854F9 Muni","CPN")</f>
        <v>#N/A Requesting Data...</v>
      </c>
      <c r="K2055" t="str">
        <f>_xll.BDP("882854F9 Muni","MATURITY")</f>
        <v>#N/A Requesting Data...</v>
      </c>
      <c r="L2055">
        <v>5000000</v>
      </c>
      <c r="M2055" t="str">
        <f>_xll.BDP("882854F9 Muni","YIELD_ON_ISSUE_DATE")</f>
        <v>#N/A Requesting Data...</v>
      </c>
      <c r="N2055" t="str">
        <f>_xll.BDP("882854F9 Muni","YTW_SPREAD_TO_MATURITY_AT_ISSU")</f>
        <v>#N/A Requesting Data...</v>
      </c>
      <c r="O2055" t="str">
        <f>_xll.BDP("882854F9 Muni","BVAL_MID_YTM")</f>
        <v>#N/A Requesting Data...</v>
      </c>
      <c r="P2055" t="str">
        <f>_xll.BDP("882854F9 Muni","MUNI_TAX_PROV")</f>
        <v>#N/A Requesting Data...</v>
      </c>
      <c r="Q2055" t="str">
        <f>_xll.BDP("882854F9 Muni","MUNI_FED_TAX")</f>
        <v>#N/A Requesting Data...</v>
      </c>
      <c r="R2055" t="str">
        <f>_xll.BDP("882854F9 Muni","MUNI_MSRB_VOLUME")</f>
        <v>#N/A Requesting Data...</v>
      </c>
      <c r="S2055" t="str">
        <f>_xll.BDP("882854F9 Muni","BB_COMPOSITE")</f>
        <v>#N/A Requesting Data...</v>
      </c>
      <c r="T2055" t="str">
        <f>_xll.BDP("882854F9 Muni","LQA_LIQUIDITY_SCORE")</f>
        <v>#N/A Requesting Data...</v>
      </c>
    </row>
    <row r="2056" spans="1:20" x14ac:dyDescent="0.25">
      <c r="A2056" t="str">
        <f>_xll.BDP("882854G3 Muni","ID_CUSIP")</f>
        <v>#N/A Requesting Data...</v>
      </c>
      <c r="B2056" t="s">
        <v>490</v>
      </c>
      <c r="C2056" t="str">
        <f>_xll.BDP("882854G3 Muni","INSURANCE_STATUS")</f>
        <v>#N/A Requesting Data...</v>
      </c>
      <c r="D2056" t="str">
        <f>_xll.BDP("882854G3 Muni","STATE_CODE")</f>
        <v>#N/A Requesting Data...</v>
      </c>
      <c r="E2056" t="str">
        <f>_xll.BDP("882854G3 Muni","COUNTY_LOCATION_ISSUER")</f>
        <v>#N/A Requesting Data...</v>
      </c>
      <c r="F2056" t="str">
        <f>_xll.BDP("882854G3 Muni","DUR_ADJ_MID")</f>
        <v>#N/A Requesting Data...</v>
      </c>
      <c r="G2056" t="str">
        <f>_xll.BDP("882854G3 Muni","SPREAD_AT_ISSUANCE_TO_WORST")</f>
        <v>#N/A Requesting Data...</v>
      </c>
      <c r="H2056" t="str">
        <f>_xll.BDP("882854G3 Muni","ISSUE_DT")</f>
        <v>#N/A Requesting Data...</v>
      </c>
      <c r="I2056" t="str">
        <f>_xll.BDS("882854G3 Muni","MUNI_PURPOSE_SCHED", "aggregate=y")</f>
        <v>#N/A Requesting Data...</v>
      </c>
      <c r="J2056" t="str">
        <f>_xll.BDP("882854G3 Muni","CPN")</f>
        <v>#N/A Requesting Data...</v>
      </c>
      <c r="K2056" t="str">
        <f>_xll.BDP("882854G3 Muni","MATURITY")</f>
        <v>#N/A Requesting Data...</v>
      </c>
      <c r="L2056">
        <v>5000000</v>
      </c>
      <c r="M2056" t="str">
        <f>_xll.BDP("882854G3 Muni","YIELD_ON_ISSUE_DATE")</f>
        <v>#N/A Requesting Data...</v>
      </c>
      <c r="N2056" t="str">
        <f>_xll.BDP("882854G3 Muni","YTW_SPREAD_TO_MATURITY_AT_ISSU")</f>
        <v>#N/A Requesting Data...</v>
      </c>
      <c r="O2056" t="str">
        <f>_xll.BDP("882854G3 Muni","BVAL_MID_YTM")</f>
        <v>#N/A Requesting Data...</v>
      </c>
      <c r="P2056" t="str">
        <f>_xll.BDP("882854G3 Muni","MUNI_TAX_PROV")</f>
        <v>#N/A Requesting Data...</v>
      </c>
      <c r="Q2056" t="str">
        <f>_xll.BDP("882854G3 Muni","MUNI_FED_TAX")</f>
        <v>#N/A Requesting Data...</v>
      </c>
      <c r="R2056" t="str">
        <f>_xll.BDP("882854G3 Muni","MUNI_MSRB_VOLUME")</f>
        <v>#N/A Requesting Data...</v>
      </c>
      <c r="S2056" t="str">
        <f>_xll.BDP("882854G3 Muni","BB_COMPOSITE")</f>
        <v>#N/A Requesting Data...</v>
      </c>
      <c r="T2056" t="str">
        <f>_xll.BDP("882854G3 Muni","LQA_LIQUIDITY_SCORE")</f>
        <v>#N/A Requesting Data...</v>
      </c>
    </row>
    <row r="2057" spans="1:20" x14ac:dyDescent="0.25">
      <c r="A2057" t="str">
        <f>_xll.BDP("882854G4 Muni","ID_CUSIP")</f>
        <v>#N/A Requesting Data...</v>
      </c>
      <c r="B2057" t="s">
        <v>490</v>
      </c>
      <c r="C2057" t="str">
        <f>_xll.BDP("882854G4 Muni","INSURANCE_STATUS")</f>
        <v>#N/A Requesting Data...</v>
      </c>
      <c r="D2057" t="str">
        <f>_xll.BDP("882854G4 Muni","STATE_CODE")</f>
        <v>#N/A Requesting Data...</v>
      </c>
      <c r="E2057" t="str">
        <f>_xll.BDP("882854G4 Muni","COUNTY_LOCATION_ISSUER")</f>
        <v>#N/A Requesting Data...</v>
      </c>
      <c r="F2057" t="str">
        <f>_xll.BDP("882854G4 Muni","DUR_ADJ_MID")</f>
        <v>#N/A Requesting Data...</v>
      </c>
      <c r="G2057" t="str">
        <f>_xll.BDP("882854G4 Muni","SPREAD_AT_ISSUANCE_TO_WORST")</f>
        <v>#N/A Requesting Data...</v>
      </c>
      <c r="H2057" t="str">
        <f>_xll.BDP("882854G4 Muni","ISSUE_DT")</f>
        <v>#N/A Requesting Data...</v>
      </c>
      <c r="I2057" t="str">
        <f>_xll.BDS("882854G4 Muni","MUNI_PURPOSE_SCHED", "aggregate=y")</f>
        <v>#N/A Requesting Data...</v>
      </c>
      <c r="J2057" t="str">
        <f>_xll.BDP("882854G4 Muni","CPN")</f>
        <v>#N/A Requesting Data...</v>
      </c>
      <c r="K2057" t="str">
        <f>_xll.BDP("882854G4 Muni","MATURITY")</f>
        <v>#N/A Requesting Data...</v>
      </c>
      <c r="L2057">
        <v>19775000</v>
      </c>
      <c r="M2057" t="str">
        <f>_xll.BDP("882854G4 Muni","YIELD_ON_ISSUE_DATE")</f>
        <v>#N/A Requesting Data...</v>
      </c>
      <c r="N2057" t="str">
        <f>_xll.BDP("882854G4 Muni","YTW_SPREAD_TO_MATURITY_AT_ISSU")</f>
        <v>#N/A Requesting Data...</v>
      </c>
      <c r="O2057" t="str">
        <f>_xll.BDP("882854G4 Muni","BVAL_MID_YTM")</f>
        <v>#N/A Requesting Data...</v>
      </c>
      <c r="P2057" t="str">
        <f>_xll.BDP("882854G4 Muni","MUNI_TAX_PROV")</f>
        <v>#N/A Requesting Data...</v>
      </c>
      <c r="Q2057" t="str">
        <f>_xll.BDP("882854G4 Muni","MUNI_FED_TAX")</f>
        <v>#N/A Requesting Data...</v>
      </c>
      <c r="R2057" t="str">
        <f>_xll.BDP("882854G4 Muni","MUNI_MSRB_VOLUME")</f>
        <v>#N/A Requesting Data...</v>
      </c>
      <c r="S2057" t="str">
        <f>_xll.BDP("882854G4 Muni","BB_COMPOSITE")</f>
        <v>#N/A Requesting Data...</v>
      </c>
      <c r="T2057" t="str">
        <f>_xll.BDP("882854G4 Muni","LQA_LIQUIDITY_SCORE")</f>
        <v>#N/A Requesting Data...</v>
      </c>
    </row>
    <row r="2058" spans="1:20" x14ac:dyDescent="0.25">
      <c r="A2058" t="str">
        <f>_xll.BDP("882854G6 Muni","ID_CUSIP")</f>
        <v>#N/A Requesting Data...</v>
      </c>
      <c r="B2058" t="s">
        <v>490</v>
      </c>
      <c r="C2058" t="str">
        <f>_xll.BDP("882854G6 Muni","INSURANCE_STATUS")</f>
        <v>#N/A Requesting Data...</v>
      </c>
      <c r="D2058" t="str">
        <f>_xll.BDP("882854G6 Muni","STATE_CODE")</f>
        <v>#N/A Requesting Data...</v>
      </c>
      <c r="E2058" t="str">
        <f>_xll.BDP("882854G6 Muni","COUNTY_LOCATION_ISSUER")</f>
        <v>#N/A Requesting Data...</v>
      </c>
      <c r="F2058" t="str">
        <f>_xll.BDP("882854G6 Muni","DUR_ADJ_MID")</f>
        <v>#N/A Requesting Data...</v>
      </c>
      <c r="G2058" t="str">
        <f>_xll.BDP("882854G6 Muni","SPREAD_AT_ISSUANCE_TO_WORST")</f>
        <v>#N/A Requesting Data...</v>
      </c>
      <c r="H2058" t="str">
        <f>_xll.BDP("882854G6 Muni","ISSUE_DT")</f>
        <v>#N/A Requesting Data...</v>
      </c>
      <c r="I2058" t="str">
        <f>_xll.BDS("882854G6 Muni","MUNI_PURPOSE_SCHED", "aggregate=y")</f>
        <v>#N/A Requesting Data...</v>
      </c>
      <c r="J2058" t="str">
        <f>_xll.BDP("882854G6 Muni","CPN")</f>
        <v>#N/A Requesting Data...</v>
      </c>
      <c r="K2058" t="str">
        <f>_xll.BDP("882854G6 Muni","MATURITY")</f>
        <v>#N/A Requesting Data...</v>
      </c>
      <c r="L2058">
        <v>18320000</v>
      </c>
      <c r="M2058" t="str">
        <f>_xll.BDP("882854G6 Muni","YIELD_ON_ISSUE_DATE")</f>
        <v>#N/A Requesting Data...</v>
      </c>
      <c r="N2058" t="str">
        <f>_xll.BDP("882854G6 Muni","YTW_SPREAD_TO_MATURITY_AT_ISSU")</f>
        <v>#N/A Requesting Data...</v>
      </c>
      <c r="O2058" t="str">
        <f>_xll.BDP("882854G6 Muni","BVAL_MID_YTM")</f>
        <v>#N/A Requesting Data...</v>
      </c>
      <c r="P2058" t="str">
        <f>_xll.BDP("882854G6 Muni","MUNI_TAX_PROV")</f>
        <v>#N/A Requesting Data...</v>
      </c>
      <c r="Q2058" t="str">
        <f>_xll.BDP("882854G6 Muni","MUNI_FED_TAX")</f>
        <v>#N/A Requesting Data...</v>
      </c>
      <c r="R2058" t="str">
        <f>_xll.BDP("882854G6 Muni","MUNI_MSRB_VOLUME")</f>
        <v>#N/A Requesting Data...</v>
      </c>
      <c r="S2058" t="str">
        <f>_xll.BDP("882854G6 Muni","BB_COMPOSITE")</f>
        <v>#N/A Requesting Data...</v>
      </c>
      <c r="T2058" t="str">
        <f>_xll.BDP("882854G6 Muni","LQA_LIQUIDITY_SCORE")</f>
        <v>#N/A Requesting Data...</v>
      </c>
    </row>
    <row r="2059" spans="1:20" x14ac:dyDescent="0.25">
      <c r="A2059" t="str">
        <f>_xll.BDP("882854G7 Muni","ID_CUSIP")</f>
        <v>#N/A Requesting Data...</v>
      </c>
      <c r="B2059" t="s">
        <v>490</v>
      </c>
      <c r="C2059" t="str">
        <f>_xll.BDP("882854G7 Muni","INSURANCE_STATUS")</f>
        <v>#N/A Requesting Data...</v>
      </c>
      <c r="D2059" t="str">
        <f>_xll.BDP("882854G7 Muni","STATE_CODE")</f>
        <v>#N/A Requesting Data...</v>
      </c>
      <c r="E2059" t="str">
        <f>_xll.BDP("882854G7 Muni","COUNTY_LOCATION_ISSUER")</f>
        <v>#N/A Requesting Data...</v>
      </c>
      <c r="F2059" t="str">
        <f>_xll.BDP("882854G7 Muni","DUR_ADJ_MID")</f>
        <v>#N/A Requesting Data...</v>
      </c>
      <c r="G2059" t="str">
        <f>_xll.BDP("882854G7 Muni","SPREAD_AT_ISSUANCE_TO_WORST")</f>
        <v>#N/A Requesting Data...</v>
      </c>
      <c r="H2059" t="str">
        <f>_xll.BDP("882854G7 Muni","ISSUE_DT")</f>
        <v>#N/A Requesting Data...</v>
      </c>
      <c r="I2059" t="str">
        <f>_xll.BDS("882854G7 Muni","MUNI_PURPOSE_SCHED", "aggregate=y")</f>
        <v>#N/A Requesting Data...</v>
      </c>
      <c r="J2059" t="str">
        <f>_xll.BDP("882854G7 Muni","CPN")</f>
        <v>#N/A Requesting Data...</v>
      </c>
      <c r="K2059" t="str">
        <f>_xll.BDP("882854G7 Muni","MATURITY")</f>
        <v>#N/A Requesting Data...</v>
      </c>
      <c r="L2059">
        <v>18980000</v>
      </c>
      <c r="M2059" t="str">
        <f>_xll.BDP("882854G7 Muni","YIELD_ON_ISSUE_DATE")</f>
        <v>#N/A Requesting Data...</v>
      </c>
      <c r="N2059" t="str">
        <f>_xll.BDP("882854G7 Muni","YTW_SPREAD_TO_MATURITY_AT_ISSU")</f>
        <v>#N/A Requesting Data...</v>
      </c>
      <c r="O2059" t="str">
        <f>_xll.BDP("882854G7 Muni","BVAL_MID_YTM")</f>
        <v>#N/A Requesting Data...</v>
      </c>
      <c r="P2059" t="str">
        <f>_xll.BDP("882854G7 Muni","MUNI_TAX_PROV")</f>
        <v>#N/A Requesting Data...</v>
      </c>
      <c r="Q2059" t="str">
        <f>_xll.BDP("882854G7 Muni","MUNI_FED_TAX")</f>
        <v>#N/A Requesting Data...</v>
      </c>
      <c r="R2059" t="str">
        <f>_xll.BDP("882854G7 Muni","MUNI_MSRB_VOLUME")</f>
        <v>#N/A Requesting Data...</v>
      </c>
      <c r="S2059" t="str">
        <f>_xll.BDP("882854G7 Muni","BB_COMPOSITE")</f>
        <v>#N/A Requesting Data...</v>
      </c>
      <c r="T2059" t="str">
        <f>_xll.BDP("882854G7 Muni","LQA_LIQUIDITY_SCORE")</f>
        <v>#N/A Requesting Data...</v>
      </c>
    </row>
    <row r="2060" spans="1:20" x14ac:dyDescent="0.25">
      <c r="A2060" t="str">
        <f>_xll.BDP("882854L2 Muni","ID_CUSIP")</f>
        <v>#N/A Requesting Data...</v>
      </c>
      <c r="B2060" t="s">
        <v>490</v>
      </c>
      <c r="C2060" t="str">
        <f>_xll.BDP("882854L2 Muni","INSURANCE_STATUS")</f>
        <v>#N/A Requesting Data...</v>
      </c>
      <c r="D2060" t="str">
        <f>_xll.BDP("882854L2 Muni","STATE_CODE")</f>
        <v>#N/A Requesting Data...</v>
      </c>
      <c r="E2060" t="str">
        <f>_xll.BDP("882854L2 Muni","COUNTY_LOCATION_ISSUER")</f>
        <v>#N/A Requesting Data...</v>
      </c>
      <c r="F2060" t="str">
        <f>_xll.BDP("882854L2 Muni","DUR_ADJ_MID")</f>
        <v>#N/A Requesting Data...</v>
      </c>
      <c r="G2060" t="str">
        <f>_xll.BDP("882854L2 Muni","SPREAD_AT_ISSUANCE_TO_WORST")</f>
        <v>#N/A Requesting Data...</v>
      </c>
      <c r="H2060" t="str">
        <f>_xll.BDP("882854L2 Muni","ISSUE_DT")</f>
        <v>#N/A Requesting Data...</v>
      </c>
      <c r="I2060" t="str">
        <f>_xll.BDS("882854L2 Muni","MUNI_PURPOSE_SCHED", "aggregate=y")</f>
        <v>#N/A Requesting Data...</v>
      </c>
      <c r="J2060" t="str">
        <f>_xll.BDP("882854L2 Muni","CPN")</f>
        <v>#N/A Requesting Data...</v>
      </c>
      <c r="K2060" t="str">
        <f>_xll.BDP("882854L2 Muni","MATURITY")</f>
        <v>#N/A Requesting Data...</v>
      </c>
      <c r="L2060">
        <v>1915000</v>
      </c>
      <c r="M2060" t="str">
        <f>_xll.BDP("882854L2 Muni","YIELD_ON_ISSUE_DATE")</f>
        <v>#N/A Requesting Data...</v>
      </c>
      <c r="N2060" t="str">
        <f>_xll.BDP("882854L2 Muni","YTW_SPREAD_TO_MATURITY_AT_ISSU")</f>
        <v>#N/A Requesting Data...</v>
      </c>
      <c r="O2060" t="str">
        <f>_xll.BDP("882854L2 Muni","BVAL_MID_YTM")</f>
        <v>#N/A Requesting Data...</v>
      </c>
      <c r="P2060" t="str">
        <f>_xll.BDP("882854L2 Muni","MUNI_TAX_PROV")</f>
        <v>#N/A Requesting Data...</v>
      </c>
      <c r="Q2060" t="str">
        <f>_xll.BDP("882854L2 Muni","MUNI_FED_TAX")</f>
        <v>#N/A Requesting Data...</v>
      </c>
      <c r="R2060" t="str">
        <f>_xll.BDP("882854L2 Muni","MUNI_MSRB_VOLUME")</f>
        <v>#N/A Requesting Data...</v>
      </c>
      <c r="S2060" t="str">
        <f>_xll.BDP("882854L2 Muni","BB_COMPOSITE")</f>
        <v>#N/A Requesting Data...</v>
      </c>
      <c r="T2060" t="str">
        <f>_xll.BDP("882854L2 Muni","LQA_LIQUIDITY_SCORE")</f>
        <v>#N/A Requesting Data...</v>
      </c>
    </row>
    <row r="2061" spans="1:20" x14ac:dyDescent="0.25">
      <c r="A2061" t="str">
        <f>_xll.BDP("882854L3 Muni","ID_CUSIP")</f>
        <v>#N/A Requesting Data...</v>
      </c>
      <c r="B2061" t="s">
        <v>490</v>
      </c>
      <c r="C2061" t="str">
        <f>_xll.BDP("882854L3 Muni","INSURANCE_STATUS")</f>
        <v>#N/A Requesting Data...</v>
      </c>
      <c r="D2061" t="str">
        <f>_xll.BDP("882854L3 Muni","STATE_CODE")</f>
        <v>#N/A Requesting Data...</v>
      </c>
      <c r="E2061" t="str">
        <f>_xll.BDP("882854L3 Muni","COUNTY_LOCATION_ISSUER")</f>
        <v>#N/A Requesting Data...</v>
      </c>
      <c r="F2061" t="str">
        <f>_xll.BDP("882854L3 Muni","DUR_ADJ_MID")</f>
        <v>#N/A Requesting Data...</v>
      </c>
      <c r="G2061" t="str">
        <f>_xll.BDP("882854L3 Muni","SPREAD_AT_ISSUANCE_TO_WORST")</f>
        <v>#N/A Requesting Data...</v>
      </c>
      <c r="H2061" t="str">
        <f>_xll.BDP("882854L3 Muni","ISSUE_DT")</f>
        <v>#N/A Requesting Data...</v>
      </c>
      <c r="I2061" t="str">
        <f>_xll.BDS("882854L3 Muni","MUNI_PURPOSE_SCHED", "aggregate=y")</f>
        <v>#N/A Requesting Data...</v>
      </c>
      <c r="J2061" t="str">
        <f>_xll.BDP("882854L3 Muni","CPN")</f>
        <v>#N/A Requesting Data...</v>
      </c>
      <c r="K2061" t="str">
        <f>_xll.BDP("882854L3 Muni","MATURITY")</f>
        <v>#N/A Requesting Data...</v>
      </c>
      <c r="L2061">
        <v>13985000</v>
      </c>
      <c r="M2061" t="str">
        <f>_xll.BDP("882854L3 Muni","YIELD_ON_ISSUE_DATE")</f>
        <v>#N/A Requesting Data...</v>
      </c>
      <c r="N2061" t="str">
        <f>_xll.BDP("882854L3 Muni","YTW_SPREAD_TO_MATURITY_AT_ISSU")</f>
        <v>#N/A Requesting Data...</v>
      </c>
      <c r="O2061" t="str">
        <f>_xll.BDP("882854L3 Muni","BVAL_MID_YTM")</f>
        <v>#N/A Requesting Data...</v>
      </c>
      <c r="P2061" t="str">
        <f>_xll.BDP("882854L3 Muni","MUNI_TAX_PROV")</f>
        <v>#N/A Requesting Data...</v>
      </c>
      <c r="Q2061" t="str">
        <f>_xll.BDP("882854L3 Muni","MUNI_FED_TAX")</f>
        <v>#N/A Requesting Data...</v>
      </c>
      <c r="R2061" t="str">
        <f>_xll.BDP("882854L3 Muni","MUNI_MSRB_VOLUME")</f>
        <v>#N/A Requesting Data...</v>
      </c>
      <c r="S2061" t="str">
        <f>_xll.BDP("882854L3 Muni","BB_COMPOSITE")</f>
        <v>#N/A Requesting Data...</v>
      </c>
      <c r="T2061" t="str">
        <f>_xll.BDP("882854L3 Muni","LQA_LIQUIDITY_SCORE")</f>
        <v>#N/A Requesting Data...</v>
      </c>
    </row>
    <row r="2062" spans="1:20" x14ac:dyDescent="0.25">
      <c r="A2062" t="str">
        <f>_xll.BDP("882854L4 Muni","ID_CUSIP")</f>
        <v>#N/A Requesting Data...</v>
      </c>
      <c r="B2062" t="s">
        <v>490</v>
      </c>
      <c r="C2062" t="str">
        <f>_xll.BDP("882854L4 Muni","INSURANCE_STATUS")</f>
        <v>#N/A Requesting Data...</v>
      </c>
      <c r="D2062" t="str">
        <f>_xll.BDP("882854L4 Muni","STATE_CODE")</f>
        <v>#N/A Requesting Data...</v>
      </c>
      <c r="E2062" t="str">
        <f>_xll.BDP("882854L4 Muni","COUNTY_LOCATION_ISSUER")</f>
        <v>#N/A Requesting Data...</v>
      </c>
      <c r="F2062" t="str">
        <f>_xll.BDP("882854L4 Muni","DUR_ADJ_MID")</f>
        <v>#N/A Requesting Data...</v>
      </c>
      <c r="G2062" t="str">
        <f>_xll.BDP("882854L4 Muni","SPREAD_AT_ISSUANCE_TO_WORST")</f>
        <v>#N/A Requesting Data...</v>
      </c>
      <c r="H2062" t="str">
        <f>_xll.BDP("882854L4 Muni","ISSUE_DT")</f>
        <v>#N/A Requesting Data...</v>
      </c>
      <c r="I2062" t="str">
        <f>_xll.BDS("882854L4 Muni","MUNI_PURPOSE_SCHED", "aggregate=y")</f>
        <v>#N/A Requesting Data...</v>
      </c>
      <c r="J2062" t="str">
        <f>_xll.BDP("882854L4 Muni","CPN")</f>
        <v>#N/A Requesting Data...</v>
      </c>
      <c r="K2062" t="str">
        <f>_xll.BDP("882854L4 Muni","MATURITY")</f>
        <v>#N/A Requesting Data...</v>
      </c>
      <c r="L2062">
        <v>3550000</v>
      </c>
      <c r="M2062" t="str">
        <f>_xll.BDP("882854L4 Muni","YIELD_ON_ISSUE_DATE")</f>
        <v>#N/A Requesting Data...</v>
      </c>
      <c r="N2062" t="str">
        <f>_xll.BDP("882854L4 Muni","YTW_SPREAD_TO_MATURITY_AT_ISSU")</f>
        <v>#N/A Requesting Data...</v>
      </c>
      <c r="O2062" t="str">
        <f>_xll.BDP("882854L4 Muni","BVAL_MID_YTM")</f>
        <v>#N/A Requesting Data...</v>
      </c>
      <c r="P2062" t="str">
        <f>_xll.BDP("882854L4 Muni","MUNI_TAX_PROV")</f>
        <v>#N/A Requesting Data...</v>
      </c>
      <c r="Q2062" t="str">
        <f>_xll.BDP("882854L4 Muni","MUNI_FED_TAX")</f>
        <v>#N/A Requesting Data...</v>
      </c>
      <c r="R2062" t="str">
        <f>_xll.BDP("882854L4 Muni","MUNI_MSRB_VOLUME")</f>
        <v>#N/A Requesting Data...</v>
      </c>
      <c r="S2062" t="str">
        <f>_xll.BDP("882854L4 Muni","BB_COMPOSITE")</f>
        <v>#N/A Requesting Data...</v>
      </c>
      <c r="T2062" t="str">
        <f>_xll.BDP("882854L4 Muni","LQA_LIQUIDITY_SCORE")</f>
        <v>#N/A Requesting Data...</v>
      </c>
    </row>
    <row r="2063" spans="1:20" x14ac:dyDescent="0.25">
      <c r="A2063" t="str">
        <f>_xll.BDP("882854L5 Muni","ID_CUSIP")</f>
        <v>#N/A Requesting Data...</v>
      </c>
      <c r="B2063" t="s">
        <v>490</v>
      </c>
      <c r="C2063" t="str">
        <f>_xll.BDP("882854L5 Muni","INSURANCE_STATUS")</f>
        <v>#N/A Requesting Data...</v>
      </c>
      <c r="D2063" t="str">
        <f>_xll.BDP("882854L5 Muni","STATE_CODE")</f>
        <v>#N/A Requesting Data...</v>
      </c>
      <c r="E2063" t="str">
        <f>_xll.BDP("882854L5 Muni","COUNTY_LOCATION_ISSUER")</f>
        <v>#N/A Requesting Data...</v>
      </c>
      <c r="F2063" t="str">
        <f>_xll.BDP("882854L5 Muni","DUR_ADJ_MID")</f>
        <v>#N/A Requesting Data...</v>
      </c>
      <c r="G2063" t="str">
        <f>_xll.BDP("882854L5 Muni","SPREAD_AT_ISSUANCE_TO_WORST")</f>
        <v>#N/A Requesting Data...</v>
      </c>
      <c r="H2063" t="str">
        <f>_xll.BDP("882854L5 Muni","ISSUE_DT")</f>
        <v>#N/A Requesting Data...</v>
      </c>
      <c r="I2063" t="str">
        <f>_xll.BDS("882854L5 Muni","MUNI_PURPOSE_SCHED", "aggregate=y")</f>
        <v>#N/A Requesting Data...</v>
      </c>
      <c r="J2063" t="str">
        <f>_xll.BDP("882854L5 Muni","CPN")</f>
        <v>#N/A Requesting Data...</v>
      </c>
      <c r="K2063" t="str">
        <f>_xll.BDP("882854L5 Muni","MATURITY")</f>
        <v>#N/A Requesting Data...</v>
      </c>
      <c r="L2063">
        <v>11885000</v>
      </c>
      <c r="M2063" t="str">
        <f>_xll.BDP("882854L5 Muni","YIELD_ON_ISSUE_DATE")</f>
        <v>#N/A Requesting Data...</v>
      </c>
      <c r="N2063" t="str">
        <f>_xll.BDP("882854L5 Muni","YTW_SPREAD_TO_MATURITY_AT_ISSU")</f>
        <v>#N/A Requesting Data...</v>
      </c>
      <c r="O2063" t="str">
        <f>_xll.BDP("882854L5 Muni","BVAL_MID_YTM")</f>
        <v>#N/A Requesting Data...</v>
      </c>
      <c r="P2063" t="str">
        <f>_xll.BDP("882854L5 Muni","MUNI_TAX_PROV")</f>
        <v>#N/A Requesting Data...</v>
      </c>
      <c r="Q2063" t="str">
        <f>_xll.BDP("882854L5 Muni","MUNI_FED_TAX")</f>
        <v>#N/A Requesting Data...</v>
      </c>
      <c r="R2063" t="str">
        <f>_xll.BDP("882854L5 Muni","MUNI_MSRB_VOLUME")</f>
        <v>#N/A Requesting Data...</v>
      </c>
      <c r="S2063" t="str">
        <f>_xll.BDP("882854L5 Muni","BB_COMPOSITE")</f>
        <v>#N/A Requesting Data...</v>
      </c>
      <c r="T2063" t="str">
        <f>_xll.BDP("882854L5 Muni","LQA_LIQUIDITY_SCORE")</f>
        <v>#N/A Requesting Data...</v>
      </c>
    </row>
    <row r="2064" spans="1:20" x14ac:dyDescent="0.25">
      <c r="A2064" t="str">
        <f>_xll.BDP("882854L6 Muni","ID_CUSIP")</f>
        <v>#N/A Requesting Data...</v>
      </c>
      <c r="B2064" t="s">
        <v>490</v>
      </c>
      <c r="C2064" t="str">
        <f>_xll.BDP("882854L6 Muni","INSURANCE_STATUS")</f>
        <v>#N/A Requesting Data...</v>
      </c>
      <c r="D2064" t="str">
        <f>_xll.BDP("882854L6 Muni","STATE_CODE")</f>
        <v>#N/A Requesting Data...</v>
      </c>
      <c r="E2064" t="str">
        <f>_xll.BDP("882854L6 Muni","COUNTY_LOCATION_ISSUER")</f>
        <v>#N/A Requesting Data...</v>
      </c>
      <c r="F2064" t="str">
        <f>_xll.BDP("882854L6 Muni","DUR_ADJ_MID")</f>
        <v>#N/A Requesting Data...</v>
      </c>
      <c r="G2064" t="str">
        <f>_xll.BDP("882854L6 Muni","SPREAD_AT_ISSUANCE_TO_WORST")</f>
        <v>#N/A Requesting Data...</v>
      </c>
      <c r="H2064" t="str">
        <f>_xll.BDP("882854L6 Muni","ISSUE_DT")</f>
        <v>#N/A Requesting Data...</v>
      </c>
      <c r="I2064" t="str">
        <f>_xll.BDS("882854L6 Muni","MUNI_PURPOSE_SCHED", "aggregate=y")</f>
        <v>#N/A Requesting Data...</v>
      </c>
      <c r="J2064" t="str">
        <f>_xll.BDP("882854L6 Muni","CPN")</f>
        <v>#N/A Requesting Data...</v>
      </c>
      <c r="K2064" t="str">
        <f>_xll.BDP("882854L6 Muni","MATURITY")</f>
        <v>#N/A Requesting Data...</v>
      </c>
      <c r="L2064">
        <v>17015000</v>
      </c>
      <c r="M2064" t="str">
        <f>_xll.BDP("882854L6 Muni","YIELD_ON_ISSUE_DATE")</f>
        <v>#N/A Requesting Data...</v>
      </c>
      <c r="N2064" t="str">
        <f>_xll.BDP("882854L6 Muni","YTW_SPREAD_TO_MATURITY_AT_ISSU")</f>
        <v>#N/A Requesting Data...</v>
      </c>
      <c r="O2064" t="str">
        <f>_xll.BDP("882854L6 Muni","BVAL_MID_YTM")</f>
        <v>#N/A Requesting Data...</v>
      </c>
      <c r="P2064" t="str">
        <f>_xll.BDP("882854L6 Muni","MUNI_TAX_PROV")</f>
        <v>#N/A Requesting Data...</v>
      </c>
      <c r="Q2064" t="str">
        <f>_xll.BDP("882854L6 Muni","MUNI_FED_TAX")</f>
        <v>#N/A Requesting Data...</v>
      </c>
      <c r="R2064" t="str">
        <f>_xll.BDP("882854L6 Muni","MUNI_MSRB_VOLUME")</f>
        <v>#N/A Requesting Data...</v>
      </c>
      <c r="S2064" t="str">
        <f>_xll.BDP("882854L6 Muni","BB_COMPOSITE")</f>
        <v>#N/A Requesting Data...</v>
      </c>
      <c r="T2064" t="str">
        <f>_xll.BDP("882854L6 Muni","LQA_LIQUIDITY_SCORE")</f>
        <v>#N/A Requesting Data...</v>
      </c>
    </row>
    <row r="2065" spans="1:20" x14ac:dyDescent="0.25">
      <c r="A2065" t="str">
        <f>_xll.BDP("882854L7 Muni","ID_CUSIP")</f>
        <v>#N/A Requesting Data...</v>
      </c>
      <c r="B2065" t="s">
        <v>490</v>
      </c>
      <c r="C2065" t="str">
        <f>_xll.BDP("882854L7 Muni","INSURANCE_STATUS")</f>
        <v>#N/A Requesting Data...</v>
      </c>
      <c r="D2065" t="str">
        <f>_xll.BDP("882854L7 Muni","STATE_CODE")</f>
        <v>#N/A Requesting Data...</v>
      </c>
      <c r="E2065" t="str">
        <f>_xll.BDP("882854L7 Muni","COUNTY_LOCATION_ISSUER")</f>
        <v>#N/A Requesting Data...</v>
      </c>
      <c r="F2065" t="str">
        <f>_xll.BDP("882854L7 Muni","DUR_ADJ_MID")</f>
        <v>#N/A Requesting Data...</v>
      </c>
      <c r="G2065" t="str">
        <f>_xll.BDP("882854L7 Muni","SPREAD_AT_ISSUANCE_TO_WORST")</f>
        <v>#N/A Requesting Data...</v>
      </c>
      <c r="H2065" t="str">
        <f>_xll.BDP("882854L7 Muni","ISSUE_DT")</f>
        <v>#N/A Requesting Data...</v>
      </c>
      <c r="I2065" t="str">
        <f>_xll.BDS("882854L7 Muni","MUNI_PURPOSE_SCHED", "aggregate=y")</f>
        <v>#N/A Requesting Data...</v>
      </c>
      <c r="J2065" t="str">
        <f>_xll.BDP("882854L7 Muni","CPN")</f>
        <v>#N/A Requesting Data...</v>
      </c>
      <c r="K2065" t="str">
        <f>_xll.BDP("882854L7 Muni","MATURITY")</f>
        <v>#N/A Requesting Data...</v>
      </c>
      <c r="L2065">
        <v>16340000</v>
      </c>
      <c r="M2065" t="str">
        <f>_xll.BDP("882854L7 Muni","YIELD_ON_ISSUE_DATE")</f>
        <v>#N/A Requesting Data...</v>
      </c>
      <c r="N2065" t="str">
        <f>_xll.BDP("882854L7 Muni","YTW_SPREAD_TO_MATURITY_AT_ISSU")</f>
        <v>#N/A Requesting Data...</v>
      </c>
      <c r="O2065" t="str">
        <f>_xll.BDP("882854L7 Muni","BVAL_MID_YTM")</f>
        <v>#N/A Requesting Data...</v>
      </c>
      <c r="P2065" t="str">
        <f>_xll.BDP("882854L7 Muni","MUNI_TAX_PROV")</f>
        <v>#N/A Requesting Data...</v>
      </c>
      <c r="Q2065" t="str">
        <f>_xll.BDP("882854L7 Muni","MUNI_FED_TAX")</f>
        <v>#N/A Requesting Data...</v>
      </c>
      <c r="R2065" t="str">
        <f>_xll.BDP("882854L7 Muni","MUNI_MSRB_VOLUME")</f>
        <v>#N/A Requesting Data...</v>
      </c>
      <c r="S2065" t="str">
        <f>_xll.BDP("882854L7 Muni","BB_COMPOSITE")</f>
        <v>#N/A Requesting Data...</v>
      </c>
      <c r="T2065" t="str">
        <f>_xll.BDP("882854L7 Muni","LQA_LIQUIDITY_SCORE")</f>
        <v>#N/A Requesting Data...</v>
      </c>
    </row>
    <row r="2066" spans="1:20" x14ac:dyDescent="0.25">
      <c r="A2066" t="str">
        <f>_xll.BDP("882854L8 Muni","ID_CUSIP")</f>
        <v>#N/A Requesting Data...</v>
      </c>
      <c r="B2066" t="s">
        <v>490</v>
      </c>
      <c r="C2066" t="str">
        <f>_xll.BDP("882854L8 Muni","INSURANCE_STATUS")</f>
        <v>#N/A Requesting Data...</v>
      </c>
      <c r="D2066" t="str">
        <f>_xll.BDP("882854L8 Muni","STATE_CODE")</f>
        <v>#N/A Requesting Data...</v>
      </c>
      <c r="E2066" t="str">
        <f>_xll.BDP("882854L8 Muni","COUNTY_LOCATION_ISSUER")</f>
        <v>#N/A Requesting Data...</v>
      </c>
      <c r="F2066" t="str">
        <f>_xll.BDP("882854L8 Muni","DUR_ADJ_MID")</f>
        <v>#N/A Requesting Data...</v>
      </c>
      <c r="G2066" t="str">
        <f>_xll.BDP("882854L8 Muni","SPREAD_AT_ISSUANCE_TO_WORST")</f>
        <v>#N/A Requesting Data...</v>
      </c>
      <c r="H2066" t="str">
        <f>_xll.BDP("882854L8 Muni","ISSUE_DT")</f>
        <v>#N/A Requesting Data...</v>
      </c>
      <c r="I2066" t="str">
        <f>_xll.BDS("882854L8 Muni","MUNI_PURPOSE_SCHED", "aggregate=y")</f>
        <v>#N/A Requesting Data...</v>
      </c>
      <c r="J2066" t="str">
        <f>_xll.BDP("882854L8 Muni","CPN")</f>
        <v>#N/A Requesting Data...</v>
      </c>
      <c r="K2066" t="str">
        <f>_xll.BDP("882854L8 Muni","MATURITY")</f>
        <v>#N/A Requesting Data...</v>
      </c>
      <c r="L2066">
        <v>210000</v>
      </c>
      <c r="M2066" t="str">
        <f>_xll.BDP("882854L8 Muni","YIELD_ON_ISSUE_DATE")</f>
        <v>#N/A Requesting Data...</v>
      </c>
      <c r="N2066" t="str">
        <f>_xll.BDP("882854L8 Muni","YTW_SPREAD_TO_MATURITY_AT_ISSU")</f>
        <v>#N/A Requesting Data...</v>
      </c>
      <c r="O2066" t="str">
        <f>_xll.BDP("882854L8 Muni","BVAL_MID_YTM")</f>
        <v>#N/A Requesting Data...</v>
      </c>
      <c r="P2066" t="str">
        <f>_xll.BDP("882854L8 Muni","MUNI_TAX_PROV")</f>
        <v>#N/A Requesting Data...</v>
      </c>
      <c r="Q2066" t="str">
        <f>_xll.BDP("882854L8 Muni","MUNI_FED_TAX")</f>
        <v>#N/A Requesting Data...</v>
      </c>
      <c r="R2066" t="str">
        <f>_xll.BDP("882854L8 Muni","MUNI_MSRB_VOLUME")</f>
        <v>#N/A Requesting Data...</v>
      </c>
      <c r="S2066" t="str">
        <f>_xll.BDP("882854L8 Muni","BB_COMPOSITE")</f>
        <v>#N/A Requesting Data...</v>
      </c>
      <c r="T2066" t="str">
        <f>_xll.BDP("882854L8 Muni","LQA_LIQUIDITY_SCORE")</f>
        <v>#N/A Requesting Data...</v>
      </c>
    </row>
    <row r="2067" spans="1:20" x14ac:dyDescent="0.25">
      <c r="A2067" t="str">
        <f>_xll.BDP("882854L9 Muni","ID_CUSIP")</f>
        <v>#N/A Requesting Data...</v>
      </c>
      <c r="B2067" t="s">
        <v>490</v>
      </c>
      <c r="C2067" t="str">
        <f>_xll.BDP("882854L9 Muni","INSURANCE_STATUS")</f>
        <v>#N/A Requesting Data...</v>
      </c>
      <c r="D2067" t="str">
        <f>_xll.BDP("882854L9 Muni","STATE_CODE")</f>
        <v>#N/A Requesting Data...</v>
      </c>
      <c r="E2067" t="str">
        <f>_xll.BDP("882854L9 Muni","COUNTY_LOCATION_ISSUER")</f>
        <v>#N/A Requesting Data...</v>
      </c>
      <c r="F2067" t="str">
        <f>_xll.BDP("882854L9 Muni","DUR_ADJ_MID")</f>
        <v>#N/A Requesting Data...</v>
      </c>
      <c r="G2067" t="str">
        <f>_xll.BDP("882854L9 Muni","SPREAD_AT_ISSUANCE_TO_WORST")</f>
        <v>#N/A Requesting Data...</v>
      </c>
      <c r="H2067" t="str">
        <f>_xll.BDP("882854L9 Muni","ISSUE_DT")</f>
        <v>#N/A Requesting Data...</v>
      </c>
      <c r="I2067" t="str">
        <f>_xll.BDS("882854L9 Muni","MUNI_PURPOSE_SCHED", "aggregate=y")</f>
        <v>#N/A Requesting Data...</v>
      </c>
      <c r="J2067" t="str">
        <f>_xll.BDP("882854L9 Muni","CPN")</f>
        <v>#N/A Requesting Data...</v>
      </c>
      <c r="K2067" t="str">
        <f>_xll.BDP("882854L9 Muni","MATURITY")</f>
        <v>#N/A Requesting Data...</v>
      </c>
      <c r="L2067">
        <v>18415000</v>
      </c>
      <c r="M2067" t="str">
        <f>_xll.BDP("882854L9 Muni","YIELD_ON_ISSUE_DATE")</f>
        <v>#N/A Requesting Data...</v>
      </c>
      <c r="N2067" t="str">
        <f>_xll.BDP("882854L9 Muni","YTW_SPREAD_TO_MATURITY_AT_ISSU")</f>
        <v>#N/A Requesting Data...</v>
      </c>
      <c r="O2067" t="str">
        <f>_xll.BDP("882854L9 Muni","BVAL_MID_YTM")</f>
        <v>#N/A Requesting Data...</v>
      </c>
      <c r="P2067" t="str">
        <f>_xll.BDP("882854L9 Muni","MUNI_TAX_PROV")</f>
        <v>#N/A Requesting Data...</v>
      </c>
      <c r="Q2067" t="str">
        <f>_xll.BDP("882854L9 Muni","MUNI_FED_TAX")</f>
        <v>#N/A Requesting Data...</v>
      </c>
      <c r="R2067" t="str">
        <f>_xll.BDP("882854L9 Muni","MUNI_MSRB_VOLUME")</f>
        <v>#N/A Requesting Data...</v>
      </c>
      <c r="S2067" t="str">
        <f>_xll.BDP("882854L9 Muni","BB_COMPOSITE")</f>
        <v>#N/A Requesting Data...</v>
      </c>
      <c r="T2067" t="str">
        <f>_xll.BDP("882854L9 Muni","LQA_LIQUIDITY_SCORE")</f>
        <v>#N/A Requesting Data...</v>
      </c>
    </row>
    <row r="2068" spans="1:20" x14ac:dyDescent="0.25">
      <c r="A2068" t="str">
        <f>_xll.BDP("882854M2 Muni","ID_CUSIP")</f>
        <v>#N/A Requesting Data...</v>
      </c>
      <c r="B2068" t="s">
        <v>490</v>
      </c>
      <c r="C2068" t="str">
        <f>_xll.BDP("882854M2 Muni","INSURANCE_STATUS")</f>
        <v>#N/A Requesting Data...</v>
      </c>
      <c r="D2068" t="str">
        <f>_xll.BDP("882854M2 Muni","STATE_CODE")</f>
        <v>#N/A Requesting Data...</v>
      </c>
      <c r="E2068" t="str">
        <f>_xll.BDP("882854M2 Muni","COUNTY_LOCATION_ISSUER")</f>
        <v>#N/A Requesting Data...</v>
      </c>
      <c r="F2068" t="str">
        <f>_xll.BDP("882854M2 Muni","DUR_ADJ_MID")</f>
        <v>#N/A Requesting Data...</v>
      </c>
      <c r="G2068" t="str">
        <f>_xll.BDP("882854M2 Muni","SPREAD_AT_ISSUANCE_TO_WORST")</f>
        <v>#N/A Requesting Data...</v>
      </c>
      <c r="H2068" t="str">
        <f>_xll.BDP("882854M2 Muni","ISSUE_DT")</f>
        <v>#N/A Requesting Data...</v>
      </c>
      <c r="I2068" t="str">
        <f>_xll.BDS("882854M2 Muni","MUNI_PURPOSE_SCHED", "aggregate=y")</f>
        <v>#N/A Requesting Data...</v>
      </c>
      <c r="J2068" t="str">
        <f>_xll.BDP("882854M2 Muni","CPN")</f>
        <v>#N/A Requesting Data...</v>
      </c>
      <c r="K2068" t="str">
        <f>_xll.BDP("882854M2 Muni","MATURITY")</f>
        <v>#N/A Requesting Data...</v>
      </c>
      <c r="L2068">
        <v>1250000</v>
      </c>
      <c r="M2068" t="str">
        <f>_xll.BDP("882854M2 Muni","YIELD_ON_ISSUE_DATE")</f>
        <v>#N/A Requesting Data...</v>
      </c>
      <c r="N2068" t="str">
        <f>_xll.BDP("882854M2 Muni","YTW_SPREAD_TO_MATURITY_AT_ISSU")</f>
        <v>#N/A Requesting Data...</v>
      </c>
      <c r="O2068" t="str">
        <f>_xll.BDP("882854M2 Muni","BVAL_MID_YTM")</f>
        <v>#N/A Requesting Data...</v>
      </c>
      <c r="P2068" t="str">
        <f>_xll.BDP("882854M2 Muni","MUNI_TAX_PROV")</f>
        <v>#N/A Requesting Data...</v>
      </c>
      <c r="Q2068" t="str">
        <f>_xll.BDP("882854M2 Muni","MUNI_FED_TAX")</f>
        <v>#N/A Requesting Data...</v>
      </c>
      <c r="R2068" t="str">
        <f>_xll.BDP("882854M2 Muni","MUNI_MSRB_VOLUME")</f>
        <v>#N/A Requesting Data...</v>
      </c>
      <c r="S2068" t="str">
        <f>_xll.BDP("882854M2 Muni","BB_COMPOSITE")</f>
        <v>#N/A Requesting Data...</v>
      </c>
      <c r="T2068" t="str">
        <f>_xll.BDP("882854M2 Muni","LQA_LIQUIDITY_SCORE")</f>
        <v>#N/A Requesting Data...</v>
      </c>
    </row>
    <row r="2069" spans="1:20" x14ac:dyDescent="0.25">
      <c r="A2069" t="str">
        <f>_xll.BDP("882854M3 Muni","ID_CUSIP")</f>
        <v>#N/A Requesting Data...</v>
      </c>
      <c r="B2069" t="s">
        <v>490</v>
      </c>
      <c r="C2069" t="str">
        <f>_xll.BDP("882854M3 Muni","INSURANCE_STATUS")</f>
        <v>#N/A Requesting Data...</v>
      </c>
      <c r="D2069" t="str">
        <f>_xll.BDP("882854M3 Muni","STATE_CODE")</f>
        <v>#N/A Requesting Data...</v>
      </c>
      <c r="E2069" t="str">
        <f>_xll.BDP("882854M3 Muni","COUNTY_LOCATION_ISSUER")</f>
        <v>#N/A Requesting Data...</v>
      </c>
      <c r="F2069" t="str">
        <f>_xll.BDP("882854M3 Muni","DUR_ADJ_MID")</f>
        <v>#N/A Requesting Data...</v>
      </c>
      <c r="G2069" t="str">
        <f>_xll.BDP("882854M3 Muni","SPREAD_AT_ISSUANCE_TO_WORST")</f>
        <v>#N/A Requesting Data...</v>
      </c>
      <c r="H2069" t="str">
        <f>_xll.BDP("882854M3 Muni","ISSUE_DT")</f>
        <v>#N/A Requesting Data...</v>
      </c>
      <c r="I2069" t="str">
        <f>_xll.BDS("882854M3 Muni","MUNI_PURPOSE_SCHED", "aggregate=y")</f>
        <v>#N/A Requesting Data...</v>
      </c>
      <c r="J2069" t="str">
        <f>_xll.BDP("882854M3 Muni","CPN")</f>
        <v>#N/A Requesting Data...</v>
      </c>
      <c r="K2069" t="str">
        <f>_xll.BDP("882854M3 Muni","MATURITY")</f>
        <v>#N/A Requesting Data...</v>
      </c>
      <c r="L2069">
        <v>16115000</v>
      </c>
      <c r="M2069" t="str">
        <f>_xll.BDP("882854M3 Muni","YIELD_ON_ISSUE_DATE")</f>
        <v>#N/A Requesting Data...</v>
      </c>
      <c r="N2069" t="str">
        <f>_xll.BDP("882854M3 Muni","YTW_SPREAD_TO_MATURITY_AT_ISSU")</f>
        <v>#N/A Requesting Data...</v>
      </c>
      <c r="O2069" t="str">
        <f>_xll.BDP("882854M3 Muni","BVAL_MID_YTM")</f>
        <v>#N/A Requesting Data...</v>
      </c>
      <c r="P2069" t="str">
        <f>_xll.BDP("882854M3 Muni","MUNI_TAX_PROV")</f>
        <v>#N/A Requesting Data...</v>
      </c>
      <c r="Q2069" t="str">
        <f>_xll.BDP("882854M3 Muni","MUNI_FED_TAX")</f>
        <v>#N/A Requesting Data...</v>
      </c>
      <c r="R2069" t="str">
        <f>_xll.BDP("882854M3 Muni","MUNI_MSRB_VOLUME")</f>
        <v>#N/A Requesting Data...</v>
      </c>
      <c r="S2069" t="str">
        <f>_xll.BDP("882854M3 Muni","BB_COMPOSITE")</f>
        <v>#N/A Requesting Data...</v>
      </c>
      <c r="T2069" t="str">
        <f>_xll.BDP("882854M3 Muni","LQA_LIQUIDITY_SCORE")</f>
        <v>#N/A Requesting Data...</v>
      </c>
    </row>
    <row r="2070" spans="1:20" x14ac:dyDescent="0.25">
      <c r="A2070" t="str">
        <f>_xll.BDP("882854M4 Muni","ID_CUSIP")</f>
        <v>#N/A Requesting Data...</v>
      </c>
      <c r="B2070" t="s">
        <v>490</v>
      </c>
      <c r="C2070" t="str">
        <f>_xll.BDP("882854M4 Muni","INSURANCE_STATUS")</f>
        <v>#N/A Requesting Data...</v>
      </c>
      <c r="D2070" t="str">
        <f>_xll.BDP("882854M4 Muni","STATE_CODE")</f>
        <v>#N/A Requesting Data...</v>
      </c>
      <c r="E2070" t="str">
        <f>_xll.BDP("882854M4 Muni","COUNTY_LOCATION_ISSUER")</f>
        <v>#N/A Requesting Data...</v>
      </c>
      <c r="F2070" t="str">
        <f>_xll.BDP("882854M4 Muni","DUR_ADJ_MID")</f>
        <v>#N/A Requesting Data...</v>
      </c>
      <c r="G2070" t="str">
        <f>_xll.BDP("882854M4 Muni","SPREAD_AT_ISSUANCE_TO_WORST")</f>
        <v>#N/A Requesting Data...</v>
      </c>
      <c r="H2070" t="str">
        <f>_xll.BDP("882854M4 Muni","ISSUE_DT")</f>
        <v>#N/A Requesting Data...</v>
      </c>
      <c r="I2070" t="str">
        <f>_xll.BDS("882854M4 Muni","MUNI_PURPOSE_SCHED", "aggregate=y")</f>
        <v>#N/A Requesting Data...</v>
      </c>
      <c r="J2070" t="str">
        <f>_xll.BDP("882854M4 Muni","CPN")</f>
        <v>#N/A Requesting Data...</v>
      </c>
      <c r="K2070" t="str">
        <f>_xll.BDP("882854M4 Muni","MATURITY")</f>
        <v>#N/A Requesting Data...</v>
      </c>
      <c r="L2070">
        <v>19465000</v>
      </c>
      <c r="M2070" t="str">
        <f>_xll.BDP("882854M4 Muni","YIELD_ON_ISSUE_DATE")</f>
        <v>#N/A Requesting Data...</v>
      </c>
      <c r="N2070" t="str">
        <f>_xll.BDP("882854M4 Muni","YTW_SPREAD_TO_MATURITY_AT_ISSU")</f>
        <v>#N/A Requesting Data...</v>
      </c>
      <c r="O2070" t="str">
        <f>_xll.BDP("882854M4 Muni","BVAL_MID_YTM")</f>
        <v>#N/A Requesting Data...</v>
      </c>
      <c r="P2070" t="str">
        <f>_xll.BDP("882854M4 Muni","MUNI_TAX_PROV")</f>
        <v>#N/A Requesting Data...</v>
      </c>
      <c r="Q2070" t="str">
        <f>_xll.BDP("882854M4 Muni","MUNI_FED_TAX")</f>
        <v>#N/A Requesting Data...</v>
      </c>
      <c r="R2070" t="str">
        <f>_xll.BDP("882854M4 Muni","MUNI_MSRB_VOLUME")</f>
        <v>#N/A Requesting Data...</v>
      </c>
      <c r="S2070" t="str">
        <f>_xll.BDP("882854M4 Muni","BB_COMPOSITE")</f>
        <v>#N/A Requesting Data...</v>
      </c>
      <c r="T2070" t="str">
        <f>_xll.BDP("882854M4 Muni","LQA_LIQUIDITY_SCORE")</f>
        <v>#N/A Requesting Data...</v>
      </c>
    </row>
    <row r="2071" spans="1:20" x14ac:dyDescent="0.25">
      <c r="A2071" t="str">
        <f>_xll.BDP("882854M6 Muni","ID_CUSIP")</f>
        <v>#N/A Requesting Data...</v>
      </c>
      <c r="B2071" t="s">
        <v>490</v>
      </c>
      <c r="C2071" t="str">
        <f>_xll.BDP("882854M6 Muni","INSURANCE_STATUS")</f>
        <v>#N/A Requesting Data...</v>
      </c>
      <c r="D2071" t="str">
        <f>_xll.BDP("882854M6 Muni","STATE_CODE")</f>
        <v>#N/A Requesting Data...</v>
      </c>
      <c r="E2071" t="str">
        <f>_xll.BDP("882854M6 Muni","COUNTY_LOCATION_ISSUER")</f>
        <v>#N/A Requesting Data...</v>
      </c>
      <c r="F2071" t="str">
        <f>_xll.BDP("882854M6 Muni","DUR_ADJ_MID")</f>
        <v>#N/A Requesting Data...</v>
      </c>
      <c r="G2071" t="str">
        <f>_xll.BDP("882854M6 Muni","SPREAD_AT_ISSUANCE_TO_WORST")</f>
        <v>#N/A Requesting Data...</v>
      </c>
      <c r="H2071" t="str">
        <f>_xll.BDP("882854M6 Muni","ISSUE_DT")</f>
        <v>#N/A Requesting Data...</v>
      </c>
      <c r="I2071" t="str">
        <f>_xll.BDS("882854M6 Muni","MUNI_PURPOSE_SCHED", "aggregate=y")</f>
        <v>#N/A Requesting Data...</v>
      </c>
      <c r="J2071" t="str">
        <f>_xll.BDP("882854M6 Muni","CPN")</f>
        <v>#N/A Requesting Data...</v>
      </c>
      <c r="K2071" t="str">
        <f>_xll.BDP("882854M6 Muni","MATURITY")</f>
        <v>#N/A Requesting Data...</v>
      </c>
      <c r="L2071">
        <v>200000</v>
      </c>
      <c r="M2071" t="str">
        <f>_xll.BDP("882854M6 Muni","YIELD_ON_ISSUE_DATE")</f>
        <v>#N/A Requesting Data...</v>
      </c>
      <c r="N2071" t="str">
        <f>_xll.BDP("882854M6 Muni","YTW_SPREAD_TO_MATURITY_AT_ISSU")</f>
        <v>#N/A Requesting Data...</v>
      </c>
      <c r="O2071" t="str">
        <f>_xll.BDP("882854M6 Muni","BVAL_MID_YTM")</f>
        <v>#N/A Requesting Data...</v>
      </c>
      <c r="P2071" t="str">
        <f>_xll.BDP("882854M6 Muni","MUNI_TAX_PROV")</f>
        <v>#N/A Requesting Data...</v>
      </c>
      <c r="Q2071" t="str">
        <f>_xll.BDP("882854M6 Muni","MUNI_FED_TAX")</f>
        <v>#N/A Requesting Data...</v>
      </c>
      <c r="R2071" t="str">
        <f>_xll.BDP("882854M6 Muni","MUNI_MSRB_VOLUME")</f>
        <v>#N/A Requesting Data...</v>
      </c>
      <c r="S2071" t="str">
        <f>_xll.BDP("882854M6 Muni","BB_COMPOSITE")</f>
        <v>#N/A Requesting Data...</v>
      </c>
      <c r="T2071" t="str">
        <f>_xll.BDP("882854M6 Muni","LQA_LIQUIDITY_SCORE")</f>
        <v>#N/A Requesting Data...</v>
      </c>
    </row>
    <row r="2072" spans="1:20" x14ac:dyDescent="0.25">
      <c r="A2072" t="str">
        <f>_xll.BDP("882854M9 Muni","ID_CUSIP")</f>
        <v>#N/A Requesting Data...</v>
      </c>
      <c r="B2072" t="s">
        <v>490</v>
      </c>
      <c r="C2072" t="str">
        <f>_xll.BDP("882854M9 Muni","INSURANCE_STATUS")</f>
        <v>#N/A Requesting Data...</v>
      </c>
      <c r="D2072" t="str">
        <f>_xll.BDP("882854M9 Muni","STATE_CODE")</f>
        <v>#N/A Requesting Data...</v>
      </c>
      <c r="E2072" t="str">
        <f>_xll.BDP("882854M9 Muni","COUNTY_LOCATION_ISSUER")</f>
        <v>#N/A Requesting Data...</v>
      </c>
      <c r="F2072" t="str">
        <f>_xll.BDP("882854M9 Muni","DUR_ADJ_MID")</f>
        <v>#N/A Requesting Data...</v>
      </c>
      <c r="G2072" t="str">
        <f>_xll.BDP("882854M9 Muni","SPREAD_AT_ISSUANCE_TO_WORST")</f>
        <v>#N/A Requesting Data...</v>
      </c>
      <c r="H2072" t="str">
        <f>_xll.BDP("882854M9 Muni","ISSUE_DT")</f>
        <v>#N/A Requesting Data...</v>
      </c>
      <c r="I2072" t="str">
        <f>_xll.BDS("882854M9 Muni","MUNI_PURPOSE_SCHED", "aggregate=y")</f>
        <v>#N/A Requesting Data...</v>
      </c>
      <c r="J2072" t="str">
        <f>_xll.BDP("882854M9 Muni","CPN")</f>
        <v>#N/A Requesting Data...</v>
      </c>
      <c r="K2072" t="str">
        <f>_xll.BDP("882854M9 Muni","MATURITY")</f>
        <v>#N/A Requesting Data...</v>
      </c>
      <c r="L2072">
        <v>5935000</v>
      </c>
      <c r="M2072" t="str">
        <f>_xll.BDP("882854M9 Muni","YIELD_ON_ISSUE_DATE")</f>
        <v>#N/A Requesting Data...</v>
      </c>
      <c r="N2072" t="str">
        <f>_xll.BDP("882854M9 Muni","YTW_SPREAD_TO_MATURITY_AT_ISSU")</f>
        <v>#N/A Requesting Data...</v>
      </c>
      <c r="O2072" t="str">
        <f>_xll.BDP("882854M9 Muni","BVAL_MID_YTM")</f>
        <v>#N/A Requesting Data...</v>
      </c>
      <c r="P2072" t="str">
        <f>_xll.BDP("882854M9 Muni","MUNI_TAX_PROV")</f>
        <v>#N/A Requesting Data...</v>
      </c>
      <c r="Q2072" t="str">
        <f>_xll.BDP("882854M9 Muni","MUNI_FED_TAX")</f>
        <v>#N/A Requesting Data...</v>
      </c>
      <c r="R2072" t="str">
        <f>_xll.BDP("882854M9 Muni","MUNI_MSRB_VOLUME")</f>
        <v>#N/A Requesting Data...</v>
      </c>
      <c r="S2072" t="str">
        <f>_xll.BDP("882854M9 Muni","BB_COMPOSITE")</f>
        <v>#N/A Requesting Data...</v>
      </c>
      <c r="T2072" t="str">
        <f>_xll.BDP("882854M9 Muni","LQA_LIQUIDITY_SCORE")</f>
        <v>#N/A Requesting Data...</v>
      </c>
    </row>
    <row r="2073" spans="1:20" x14ac:dyDescent="0.25">
      <c r="A2073" t="str">
        <f>_xll.BDP("882854N3 Muni","ID_CUSIP")</f>
        <v>#N/A Requesting Data...</v>
      </c>
      <c r="B2073" t="s">
        <v>490</v>
      </c>
      <c r="C2073" t="str">
        <f>_xll.BDP("882854N3 Muni","INSURANCE_STATUS")</f>
        <v>#N/A Requesting Data...</v>
      </c>
      <c r="D2073" t="str">
        <f>_xll.BDP("882854N3 Muni","STATE_CODE")</f>
        <v>#N/A Requesting Data...</v>
      </c>
      <c r="E2073" t="str">
        <f>_xll.BDP("882854N3 Muni","COUNTY_LOCATION_ISSUER")</f>
        <v>#N/A Requesting Data...</v>
      </c>
      <c r="F2073" t="str">
        <f>_xll.BDP("882854N3 Muni","DUR_ADJ_MID")</f>
        <v>#N/A Requesting Data...</v>
      </c>
      <c r="G2073" t="str">
        <f>_xll.BDP("882854N3 Muni","SPREAD_AT_ISSUANCE_TO_WORST")</f>
        <v>#N/A Requesting Data...</v>
      </c>
      <c r="H2073" t="str">
        <f>_xll.BDP("882854N3 Muni","ISSUE_DT")</f>
        <v>#N/A Requesting Data...</v>
      </c>
      <c r="I2073" t="str">
        <f>_xll.BDS("882854N3 Muni","MUNI_PURPOSE_SCHED", "aggregate=y")</f>
        <v>#N/A Requesting Data...</v>
      </c>
      <c r="J2073" t="str">
        <f>_xll.BDP("882854N3 Muni","CPN")</f>
        <v>#N/A Requesting Data...</v>
      </c>
      <c r="K2073" t="str">
        <f>_xll.BDP("882854N3 Muni","MATURITY")</f>
        <v>#N/A Requesting Data...</v>
      </c>
      <c r="L2073">
        <v>7160000</v>
      </c>
      <c r="M2073" t="str">
        <f>_xll.BDP("882854N3 Muni","YIELD_ON_ISSUE_DATE")</f>
        <v>#N/A Requesting Data...</v>
      </c>
      <c r="N2073" t="str">
        <f>_xll.BDP("882854N3 Muni","YTW_SPREAD_TO_MATURITY_AT_ISSU")</f>
        <v>#N/A Requesting Data...</v>
      </c>
      <c r="O2073" t="str">
        <f>_xll.BDP("882854N3 Muni","BVAL_MID_YTM")</f>
        <v>#N/A Requesting Data...</v>
      </c>
      <c r="P2073" t="str">
        <f>_xll.BDP("882854N3 Muni","MUNI_TAX_PROV")</f>
        <v>#N/A Requesting Data...</v>
      </c>
      <c r="Q2073" t="str">
        <f>_xll.BDP("882854N3 Muni","MUNI_FED_TAX")</f>
        <v>#N/A Requesting Data...</v>
      </c>
      <c r="R2073" t="str">
        <f>_xll.BDP("882854N3 Muni","MUNI_MSRB_VOLUME")</f>
        <v>#N/A Requesting Data...</v>
      </c>
      <c r="S2073" t="str">
        <f>_xll.BDP("882854N3 Muni","BB_COMPOSITE")</f>
        <v>#N/A Requesting Data...</v>
      </c>
      <c r="T2073" t="str">
        <f>_xll.BDP("882854N3 Muni","LQA_LIQUIDITY_SCORE")</f>
        <v>#N/A Requesting Data...</v>
      </c>
    </row>
    <row r="2074" spans="1:20" x14ac:dyDescent="0.25">
      <c r="A2074" t="str">
        <f>_xll.BDP("882854N4 Muni","ID_CUSIP")</f>
        <v>#N/A Requesting Data...</v>
      </c>
      <c r="B2074" t="s">
        <v>490</v>
      </c>
      <c r="C2074" t="str">
        <f>_xll.BDP("882854N4 Muni","INSURANCE_STATUS")</f>
        <v>#N/A Requesting Data...</v>
      </c>
      <c r="D2074" t="str">
        <f>_xll.BDP("882854N4 Muni","STATE_CODE")</f>
        <v>#N/A Requesting Data...</v>
      </c>
      <c r="E2074" t="str">
        <f>_xll.BDP("882854N4 Muni","COUNTY_LOCATION_ISSUER")</f>
        <v>#N/A Requesting Data...</v>
      </c>
      <c r="F2074" t="str">
        <f>_xll.BDP("882854N4 Muni","DUR_ADJ_MID")</f>
        <v>#N/A Requesting Data...</v>
      </c>
      <c r="G2074" t="str">
        <f>_xll.BDP("882854N4 Muni","SPREAD_AT_ISSUANCE_TO_WORST")</f>
        <v>#N/A Requesting Data...</v>
      </c>
      <c r="H2074" t="str">
        <f>_xll.BDP("882854N4 Muni","ISSUE_DT")</f>
        <v>#N/A Requesting Data...</v>
      </c>
      <c r="I2074" t="str">
        <f>_xll.BDS("882854N4 Muni","MUNI_PURPOSE_SCHED", "aggregate=y")</f>
        <v>#N/A Requesting Data...</v>
      </c>
      <c r="J2074" t="str">
        <f>_xll.BDP("882854N4 Muni","CPN")</f>
        <v>#N/A Requesting Data...</v>
      </c>
      <c r="K2074" t="str">
        <f>_xll.BDP("882854N4 Muni","MATURITY")</f>
        <v>#N/A Requesting Data...</v>
      </c>
      <c r="L2074">
        <v>10070000</v>
      </c>
      <c r="M2074" t="str">
        <f>_xll.BDP("882854N4 Muni","YIELD_ON_ISSUE_DATE")</f>
        <v>#N/A Requesting Data...</v>
      </c>
      <c r="N2074" t="str">
        <f>_xll.BDP("882854N4 Muni","YTW_SPREAD_TO_MATURITY_AT_ISSU")</f>
        <v>#N/A Requesting Data...</v>
      </c>
      <c r="O2074" t="str">
        <f>_xll.BDP("882854N4 Muni","BVAL_MID_YTM")</f>
        <v>#N/A Requesting Data...</v>
      </c>
      <c r="P2074" t="str">
        <f>_xll.BDP("882854N4 Muni","MUNI_TAX_PROV")</f>
        <v>#N/A Requesting Data...</v>
      </c>
      <c r="Q2074" t="str">
        <f>_xll.BDP("882854N4 Muni","MUNI_FED_TAX")</f>
        <v>#N/A Requesting Data...</v>
      </c>
      <c r="R2074" t="str">
        <f>_xll.BDP("882854N4 Muni","MUNI_MSRB_VOLUME")</f>
        <v>#N/A Requesting Data...</v>
      </c>
      <c r="S2074" t="str">
        <f>_xll.BDP("882854N4 Muni","BB_COMPOSITE")</f>
        <v>#N/A Requesting Data...</v>
      </c>
      <c r="T2074" t="str">
        <f>_xll.BDP("882854N4 Muni","LQA_LIQUIDITY_SCORE")</f>
        <v>#N/A Requesting Data...</v>
      </c>
    </row>
    <row r="2075" spans="1:20" x14ac:dyDescent="0.25">
      <c r="A2075" t="str">
        <f>_xll.BDP("882854R4 Muni","ID_CUSIP")</f>
        <v>#N/A Requesting Data...</v>
      </c>
      <c r="B2075" t="s">
        <v>490</v>
      </c>
      <c r="C2075" t="str">
        <f>_xll.BDP("882854R4 Muni","INSURANCE_STATUS")</f>
        <v>#N/A Requesting Data...</v>
      </c>
      <c r="D2075" t="str">
        <f>_xll.BDP("882854R4 Muni","STATE_CODE")</f>
        <v>#N/A Requesting Data...</v>
      </c>
      <c r="E2075" t="str">
        <f>_xll.BDP("882854R4 Muni","COUNTY_LOCATION_ISSUER")</f>
        <v>#N/A Requesting Data...</v>
      </c>
      <c r="F2075" t="str">
        <f>_xll.BDP("882854R4 Muni","DUR_ADJ_MID")</f>
        <v>#N/A Requesting Data...</v>
      </c>
      <c r="G2075" t="str">
        <f>_xll.BDP("882854R4 Muni","SPREAD_AT_ISSUANCE_TO_WORST")</f>
        <v>#N/A Requesting Data...</v>
      </c>
      <c r="H2075" t="str">
        <f>_xll.BDP("882854R4 Muni","ISSUE_DT")</f>
        <v>#N/A Requesting Data...</v>
      </c>
      <c r="I2075" t="str">
        <f>_xll.BDS("882854R4 Muni","MUNI_PURPOSE_SCHED", "aggregate=y")</f>
        <v>#N/A Requesting Data...</v>
      </c>
      <c r="J2075" t="str">
        <f>_xll.BDP("882854R4 Muni","CPN")</f>
        <v>#N/A Requesting Data...</v>
      </c>
      <c r="K2075" t="str">
        <f>_xll.BDP("882854R4 Muni","MATURITY")</f>
        <v>#N/A Requesting Data...</v>
      </c>
      <c r="L2075">
        <v>1195000</v>
      </c>
      <c r="M2075" t="str">
        <f>_xll.BDP("882854R4 Muni","YIELD_ON_ISSUE_DATE")</f>
        <v>#N/A Requesting Data...</v>
      </c>
      <c r="N2075" t="str">
        <f>_xll.BDP("882854R4 Muni","YTW_SPREAD_TO_MATURITY_AT_ISSU")</f>
        <v>#N/A Requesting Data...</v>
      </c>
      <c r="O2075" t="str">
        <f>_xll.BDP("882854R4 Muni","BVAL_MID_YTM")</f>
        <v>#N/A Requesting Data...</v>
      </c>
      <c r="P2075" t="str">
        <f>_xll.BDP("882854R4 Muni","MUNI_TAX_PROV")</f>
        <v>#N/A Requesting Data...</v>
      </c>
      <c r="Q2075" t="str">
        <f>_xll.BDP("882854R4 Muni","MUNI_FED_TAX")</f>
        <v>#N/A Requesting Data...</v>
      </c>
      <c r="R2075" t="str">
        <f>_xll.BDP("882854R4 Muni","MUNI_MSRB_VOLUME")</f>
        <v>#N/A Requesting Data...</v>
      </c>
      <c r="S2075" t="str">
        <f>_xll.BDP("882854R4 Muni","BB_COMPOSITE")</f>
        <v>#N/A Requesting Data...</v>
      </c>
      <c r="T2075" t="str">
        <f>_xll.BDP("882854R4 Muni","LQA_LIQUIDITY_SCORE")</f>
        <v>#N/A Requesting Data...</v>
      </c>
    </row>
    <row r="2076" spans="1:20" x14ac:dyDescent="0.25">
      <c r="A2076" t="str">
        <f>_xll.BDP("882854R7 Muni","ID_CUSIP")</f>
        <v>#N/A Requesting Data...</v>
      </c>
      <c r="B2076" t="s">
        <v>490</v>
      </c>
      <c r="C2076" t="str">
        <f>_xll.BDP("882854R7 Muni","INSURANCE_STATUS")</f>
        <v>#N/A Requesting Data...</v>
      </c>
      <c r="D2076" t="str">
        <f>_xll.BDP("882854R7 Muni","STATE_CODE")</f>
        <v>#N/A Requesting Data...</v>
      </c>
      <c r="E2076" t="str">
        <f>_xll.BDP("882854R7 Muni","COUNTY_LOCATION_ISSUER")</f>
        <v>#N/A Requesting Data...</v>
      </c>
      <c r="F2076" t="str">
        <f>_xll.BDP("882854R7 Muni","DUR_ADJ_MID")</f>
        <v>#N/A Requesting Data...</v>
      </c>
      <c r="G2076" t="str">
        <f>_xll.BDP("882854R7 Muni","SPREAD_AT_ISSUANCE_TO_WORST")</f>
        <v>#N/A Requesting Data...</v>
      </c>
      <c r="H2076" t="str">
        <f>_xll.BDP("882854R7 Muni","ISSUE_DT")</f>
        <v>#N/A Requesting Data...</v>
      </c>
      <c r="I2076" t="str">
        <f>_xll.BDS("882854R7 Muni","MUNI_PURPOSE_SCHED", "aggregate=y")</f>
        <v>#N/A Requesting Data...</v>
      </c>
      <c r="J2076" t="str">
        <f>_xll.BDP("882854R7 Muni","CPN")</f>
        <v>#N/A Requesting Data...</v>
      </c>
      <c r="K2076" t="str">
        <f>_xll.BDP("882854R7 Muni","MATURITY")</f>
        <v>#N/A Requesting Data...</v>
      </c>
      <c r="L2076">
        <v>1315000</v>
      </c>
      <c r="M2076" t="str">
        <f>_xll.BDP("882854R7 Muni","YIELD_ON_ISSUE_DATE")</f>
        <v>#N/A Requesting Data...</v>
      </c>
      <c r="N2076" t="str">
        <f>_xll.BDP("882854R7 Muni","YTW_SPREAD_TO_MATURITY_AT_ISSU")</f>
        <v>#N/A Requesting Data...</v>
      </c>
      <c r="O2076" t="str">
        <f>_xll.BDP("882854R7 Muni","BVAL_MID_YTM")</f>
        <v>#N/A Requesting Data...</v>
      </c>
      <c r="P2076" t="str">
        <f>_xll.BDP("882854R7 Muni","MUNI_TAX_PROV")</f>
        <v>#N/A Requesting Data...</v>
      </c>
      <c r="Q2076" t="str">
        <f>_xll.BDP("882854R7 Muni","MUNI_FED_TAX")</f>
        <v>#N/A Requesting Data...</v>
      </c>
      <c r="R2076" t="str">
        <f>_xll.BDP("882854R7 Muni","MUNI_MSRB_VOLUME")</f>
        <v>#N/A Requesting Data...</v>
      </c>
      <c r="S2076" t="str">
        <f>_xll.BDP("882854R7 Muni","BB_COMPOSITE")</f>
        <v>#N/A Requesting Data...</v>
      </c>
      <c r="T2076" t="str">
        <f>_xll.BDP("882854R7 Muni","LQA_LIQUIDITY_SCORE")</f>
        <v>#N/A Requesting Data...</v>
      </c>
    </row>
    <row r="2077" spans="1:20" x14ac:dyDescent="0.25">
      <c r="A2077" t="str">
        <f>_xll.BDP("882854R8 Muni","ID_CUSIP")</f>
        <v>#N/A Requesting Data...</v>
      </c>
      <c r="B2077" t="s">
        <v>490</v>
      </c>
      <c r="C2077" t="str">
        <f>_xll.BDP("882854R8 Muni","INSURANCE_STATUS")</f>
        <v>#N/A Requesting Data...</v>
      </c>
      <c r="D2077" t="str">
        <f>_xll.BDP("882854R8 Muni","STATE_CODE")</f>
        <v>#N/A Requesting Data...</v>
      </c>
      <c r="E2077" t="str">
        <f>_xll.BDP("882854R8 Muni","COUNTY_LOCATION_ISSUER")</f>
        <v>#N/A Requesting Data...</v>
      </c>
      <c r="F2077" t="str">
        <f>_xll.BDP("882854R8 Muni","DUR_ADJ_MID")</f>
        <v>#N/A Requesting Data...</v>
      </c>
      <c r="G2077" t="str">
        <f>_xll.BDP("882854R8 Muni","SPREAD_AT_ISSUANCE_TO_WORST")</f>
        <v>#N/A Requesting Data...</v>
      </c>
      <c r="H2077" t="str">
        <f>_xll.BDP("882854R8 Muni","ISSUE_DT")</f>
        <v>#N/A Requesting Data...</v>
      </c>
      <c r="I2077" t="str">
        <f>_xll.BDS("882854R8 Muni","MUNI_PURPOSE_SCHED", "aggregate=y")</f>
        <v>#N/A Requesting Data...</v>
      </c>
      <c r="J2077" t="str">
        <f>_xll.BDP("882854R8 Muni","CPN")</f>
        <v>#N/A Requesting Data...</v>
      </c>
      <c r="K2077" t="str">
        <f>_xll.BDP("882854R8 Muni","MATURITY")</f>
        <v>#N/A Requesting Data...</v>
      </c>
      <c r="L2077">
        <v>1360000</v>
      </c>
      <c r="M2077" t="str">
        <f>_xll.BDP("882854R8 Muni","YIELD_ON_ISSUE_DATE")</f>
        <v>#N/A Requesting Data...</v>
      </c>
      <c r="N2077" t="str">
        <f>_xll.BDP("882854R8 Muni","YTW_SPREAD_TO_MATURITY_AT_ISSU")</f>
        <v>#N/A Requesting Data...</v>
      </c>
      <c r="O2077" t="str">
        <f>_xll.BDP("882854R8 Muni","BVAL_MID_YTM")</f>
        <v>#N/A Requesting Data...</v>
      </c>
      <c r="P2077" t="str">
        <f>_xll.BDP("882854R8 Muni","MUNI_TAX_PROV")</f>
        <v>#N/A Requesting Data...</v>
      </c>
      <c r="Q2077" t="str">
        <f>_xll.BDP("882854R8 Muni","MUNI_FED_TAX")</f>
        <v>#N/A Requesting Data...</v>
      </c>
      <c r="R2077" t="str">
        <f>_xll.BDP("882854R8 Muni","MUNI_MSRB_VOLUME")</f>
        <v>#N/A Requesting Data...</v>
      </c>
      <c r="S2077" t="str">
        <f>_xll.BDP("882854R8 Muni","BB_COMPOSITE")</f>
        <v>#N/A Requesting Data...</v>
      </c>
      <c r="T2077" t="str">
        <f>_xll.BDP("882854R8 Muni","LQA_LIQUIDITY_SCORE")</f>
        <v>#N/A Requesting Data...</v>
      </c>
    </row>
    <row r="2078" spans="1:20" x14ac:dyDescent="0.25">
      <c r="A2078" t="str">
        <f>_xll.BDP("882854S2 Muni","ID_CUSIP")</f>
        <v>#N/A Requesting Data...</v>
      </c>
      <c r="B2078" t="s">
        <v>490</v>
      </c>
      <c r="C2078" t="str">
        <f>_xll.BDP("882854S2 Muni","INSURANCE_STATUS")</f>
        <v>#N/A Requesting Data...</v>
      </c>
      <c r="D2078" t="str">
        <f>_xll.BDP("882854S2 Muni","STATE_CODE")</f>
        <v>#N/A Requesting Data...</v>
      </c>
      <c r="E2078" t="str">
        <f>_xll.BDP("882854S2 Muni","COUNTY_LOCATION_ISSUER")</f>
        <v>#N/A Requesting Data...</v>
      </c>
      <c r="F2078" t="str">
        <f>_xll.BDP("882854S2 Muni","DUR_ADJ_MID")</f>
        <v>#N/A Requesting Data...</v>
      </c>
      <c r="G2078" t="str">
        <f>_xll.BDP("882854S2 Muni","SPREAD_AT_ISSUANCE_TO_WORST")</f>
        <v>#N/A Requesting Data...</v>
      </c>
      <c r="H2078" t="str">
        <f>_xll.BDP("882854S2 Muni","ISSUE_DT")</f>
        <v>#N/A Requesting Data...</v>
      </c>
      <c r="I2078" t="str">
        <f>_xll.BDS("882854S2 Muni","MUNI_PURPOSE_SCHED", "aggregate=y")</f>
        <v>#N/A Requesting Data...</v>
      </c>
      <c r="J2078" t="str">
        <f>_xll.BDP("882854S2 Muni","CPN")</f>
        <v>#N/A Requesting Data...</v>
      </c>
      <c r="K2078" t="str">
        <f>_xll.BDP("882854S2 Muni","MATURITY")</f>
        <v>#N/A Requesting Data...</v>
      </c>
      <c r="L2078">
        <v>870000</v>
      </c>
      <c r="M2078" t="str">
        <f>_xll.BDP("882854S2 Muni","YIELD_ON_ISSUE_DATE")</f>
        <v>#N/A Requesting Data...</v>
      </c>
      <c r="N2078" t="str">
        <f>_xll.BDP("882854S2 Muni","YTW_SPREAD_TO_MATURITY_AT_ISSU")</f>
        <v>#N/A Requesting Data...</v>
      </c>
      <c r="O2078" t="str">
        <f>_xll.BDP("882854S2 Muni","BVAL_MID_YTM")</f>
        <v>#N/A Requesting Data...</v>
      </c>
      <c r="P2078" t="str">
        <f>_xll.BDP("882854S2 Muni","MUNI_TAX_PROV")</f>
        <v>#N/A Requesting Data...</v>
      </c>
      <c r="Q2078" t="str">
        <f>_xll.BDP("882854S2 Muni","MUNI_FED_TAX")</f>
        <v>#N/A Requesting Data...</v>
      </c>
      <c r="R2078" t="str">
        <f>_xll.BDP("882854S2 Muni","MUNI_MSRB_VOLUME")</f>
        <v>#N/A Requesting Data...</v>
      </c>
      <c r="S2078" t="str">
        <f>_xll.BDP("882854S2 Muni","BB_COMPOSITE")</f>
        <v>#N/A Requesting Data...</v>
      </c>
      <c r="T2078" t="str">
        <f>_xll.BDP("882854S2 Muni","LQA_LIQUIDITY_SCORE")</f>
        <v>#N/A Requesting Data...</v>
      </c>
    </row>
    <row r="2079" spans="1:20" x14ac:dyDescent="0.25">
      <c r="A2079" t="str">
        <f>_xll.BDP("882854C7 Muni","ID_CUSIP")</f>
        <v>#N/A Requesting Data...</v>
      </c>
      <c r="B2079" t="s">
        <v>490</v>
      </c>
      <c r="C2079" t="str">
        <f>_xll.BDP("882854C7 Muni","INSURANCE_STATUS")</f>
        <v>#N/A Requesting Data...</v>
      </c>
      <c r="D2079" t="str">
        <f>_xll.BDP("882854C7 Muni","STATE_CODE")</f>
        <v>#N/A Requesting Data...</v>
      </c>
      <c r="E2079" t="str">
        <f>_xll.BDP("882854C7 Muni","COUNTY_LOCATION_ISSUER")</f>
        <v>#N/A Requesting Data...</v>
      </c>
      <c r="F2079" t="str">
        <f>_xll.BDP("882854C7 Muni","DUR_ADJ_MID")</f>
        <v>#N/A Requesting Data...</v>
      </c>
      <c r="G2079" t="str">
        <f>_xll.BDP("882854C7 Muni","SPREAD_AT_ISSUANCE_TO_WORST")</f>
        <v>#N/A Requesting Data...</v>
      </c>
      <c r="H2079" t="str">
        <f>_xll.BDP("882854C7 Muni","ISSUE_DT")</f>
        <v>#N/A Requesting Data...</v>
      </c>
      <c r="I2079" t="str">
        <f>_xll.BDS("882854C7 Muni","MUNI_PURPOSE_SCHED", "aggregate=y")</f>
        <v>#N/A Requesting Data...</v>
      </c>
      <c r="J2079" t="str">
        <f>_xll.BDP("882854C7 Muni","CPN")</f>
        <v>#N/A Requesting Data...</v>
      </c>
      <c r="K2079" t="str">
        <f>_xll.BDP("882854C7 Muni","MATURITY")</f>
        <v>#N/A Requesting Data...</v>
      </c>
      <c r="L2079">
        <v>13565000</v>
      </c>
      <c r="M2079" t="str">
        <f>_xll.BDP("882854C7 Muni","YIELD_ON_ISSUE_DATE")</f>
        <v>#N/A Requesting Data...</v>
      </c>
      <c r="N2079" t="str">
        <f>_xll.BDP("882854C7 Muni","YTW_SPREAD_TO_MATURITY_AT_ISSU")</f>
        <v>#N/A Requesting Data...</v>
      </c>
      <c r="O2079" t="str">
        <f>_xll.BDP("882854C7 Muni","BVAL_MID_YTM")</f>
        <v>#N/A Requesting Data...</v>
      </c>
      <c r="P2079" t="str">
        <f>_xll.BDP("882854C7 Muni","MUNI_TAX_PROV")</f>
        <v>#N/A Requesting Data...</v>
      </c>
      <c r="Q2079" t="str">
        <f>_xll.BDP("882854C7 Muni","MUNI_FED_TAX")</f>
        <v>#N/A Requesting Data...</v>
      </c>
      <c r="R2079" t="str">
        <f>_xll.BDP("882854C7 Muni","MUNI_MSRB_VOLUME")</f>
        <v>#N/A Requesting Data...</v>
      </c>
      <c r="S2079" t="str">
        <f>_xll.BDP("882854C7 Muni","BB_COMPOSITE")</f>
        <v>#N/A Requesting Data...</v>
      </c>
      <c r="T2079" t="str">
        <f>_xll.BDP("882854C7 Muni","LQA_LIQUIDITY_SCORE")</f>
        <v>#N/A Requesting Data...</v>
      </c>
    </row>
    <row r="2080" spans="1:20" x14ac:dyDescent="0.25">
      <c r="A2080" t="str">
        <f>_xll.BDP("882854C8 Muni","ID_CUSIP")</f>
        <v>#N/A Requesting Data...</v>
      </c>
      <c r="B2080" t="s">
        <v>490</v>
      </c>
      <c r="C2080" t="str">
        <f>_xll.BDP("882854C8 Muni","INSURANCE_STATUS")</f>
        <v>#N/A Requesting Data...</v>
      </c>
      <c r="D2080" t="str">
        <f>_xll.BDP("882854C8 Muni","STATE_CODE")</f>
        <v>#N/A Requesting Data...</v>
      </c>
      <c r="E2080" t="str">
        <f>_xll.BDP("882854C8 Muni","COUNTY_LOCATION_ISSUER")</f>
        <v>#N/A Requesting Data...</v>
      </c>
      <c r="F2080" t="str">
        <f>_xll.BDP("882854C8 Muni","DUR_ADJ_MID")</f>
        <v>#N/A Requesting Data...</v>
      </c>
      <c r="G2080" t="str">
        <f>_xll.BDP("882854C8 Muni","SPREAD_AT_ISSUANCE_TO_WORST")</f>
        <v>#N/A Requesting Data...</v>
      </c>
      <c r="H2080" t="str">
        <f>_xll.BDP("882854C8 Muni","ISSUE_DT")</f>
        <v>#N/A Requesting Data...</v>
      </c>
      <c r="I2080" t="str">
        <f>_xll.BDS("882854C8 Muni","MUNI_PURPOSE_SCHED", "aggregate=y")</f>
        <v>#N/A Requesting Data...</v>
      </c>
      <c r="J2080" t="str">
        <f>_xll.BDP("882854C8 Muni","CPN")</f>
        <v>#N/A Requesting Data...</v>
      </c>
      <c r="K2080" t="str">
        <f>_xll.BDP("882854C8 Muni","MATURITY")</f>
        <v>#N/A Requesting Data...</v>
      </c>
      <c r="L2080">
        <v>14250000</v>
      </c>
      <c r="M2080" t="str">
        <f>_xll.BDP("882854C8 Muni","YIELD_ON_ISSUE_DATE")</f>
        <v>#N/A Requesting Data...</v>
      </c>
      <c r="N2080" t="str">
        <f>_xll.BDP("882854C8 Muni","YTW_SPREAD_TO_MATURITY_AT_ISSU")</f>
        <v>#N/A Requesting Data...</v>
      </c>
      <c r="O2080" t="str">
        <f>_xll.BDP("882854C8 Muni","BVAL_MID_YTM")</f>
        <v>#N/A Requesting Data...</v>
      </c>
      <c r="P2080" t="str">
        <f>_xll.BDP("882854C8 Muni","MUNI_TAX_PROV")</f>
        <v>#N/A Requesting Data...</v>
      </c>
      <c r="Q2080" t="str">
        <f>_xll.BDP("882854C8 Muni","MUNI_FED_TAX")</f>
        <v>#N/A Requesting Data...</v>
      </c>
      <c r="R2080" t="str">
        <f>_xll.BDP("882854C8 Muni","MUNI_MSRB_VOLUME")</f>
        <v>#N/A Requesting Data...</v>
      </c>
      <c r="S2080" t="str">
        <f>_xll.BDP("882854C8 Muni","BB_COMPOSITE")</f>
        <v>#N/A Requesting Data...</v>
      </c>
      <c r="T2080" t="str">
        <f>_xll.BDP("882854C8 Muni","LQA_LIQUIDITY_SCORE")</f>
        <v>#N/A Requesting Data...</v>
      </c>
    </row>
    <row r="2081" spans="1:20" x14ac:dyDescent="0.25">
      <c r="A2081" t="str">
        <f>_xll.BDP("882854D2 Muni","ID_CUSIP")</f>
        <v>#N/A Requesting Data...</v>
      </c>
      <c r="B2081" t="s">
        <v>490</v>
      </c>
      <c r="C2081" t="str">
        <f>_xll.BDP("882854D2 Muni","INSURANCE_STATUS")</f>
        <v>#N/A Requesting Data...</v>
      </c>
      <c r="D2081" t="str">
        <f>_xll.BDP("882854D2 Muni","STATE_CODE")</f>
        <v>#N/A Requesting Data...</v>
      </c>
      <c r="E2081" t="str">
        <f>_xll.BDP("882854D2 Muni","COUNTY_LOCATION_ISSUER")</f>
        <v>#N/A Requesting Data...</v>
      </c>
      <c r="F2081" t="str">
        <f>_xll.BDP("882854D2 Muni","DUR_ADJ_MID")</f>
        <v>#N/A Requesting Data...</v>
      </c>
      <c r="G2081" t="str">
        <f>_xll.BDP("882854D2 Muni","SPREAD_AT_ISSUANCE_TO_WORST")</f>
        <v>#N/A Requesting Data...</v>
      </c>
      <c r="H2081" t="str">
        <f>_xll.BDP("882854D2 Muni","ISSUE_DT")</f>
        <v>#N/A Requesting Data...</v>
      </c>
      <c r="I2081" t="str">
        <f>_xll.BDS("882854D2 Muni","MUNI_PURPOSE_SCHED", "aggregate=y")</f>
        <v>#N/A Requesting Data...</v>
      </c>
      <c r="J2081" t="str">
        <f>_xll.BDP("882854D2 Muni","CPN")</f>
        <v>#N/A Requesting Data...</v>
      </c>
      <c r="K2081" t="str">
        <f>_xll.BDP("882854D2 Muni","MATURITY")</f>
        <v>#N/A Requesting Data...</v>
      </c>
      <c r="L2081">
        <v>15710000</v>
      </c>
      <c r="M2081" t="str">
        <f>_xll.BDP("882854D2 Muni","YIELD_ON_ISSUE_DATE")</f>
        <v>#N/A Requesting Data...</v>
      </c>
      <c r="N2081" t="str">
        <f>_xll.BDP("882854D2 Muni","YTW_SPREAD_TO_MATURITY_AT_ISSU")</f>
        <v>#N/A Requesting Data...</v>
      </c>
      <c r="O2081" t="str">
        <f>_xll.BDP("882854D2 Muni","BVAL_MID_YTM")</f>
        <v>#N/A Requesting Data...</v>
      </c>
      <c r="P2081" t="str">
        <f>_xll.BDP("882854D2 Muni","MUNI_TAX_PROV")</f>
        <v>#N/A Requesting Data...</v>
      </c>
      <c r="Q2081" t="str">
        <f>_xll.BDP("882854D2 Muni","MUNI_FED_TAX")</f>
        <v>#N/A Requesting Data...</v>
      </c>
      <c r="R2081" t="str">
        <f>_xll.BDP("882854D2 Muni","MUNI_MSRB_VOLUME")</f>
        <v>#N/A Requesting Data...</v>
      </c>
      <c r="S2081" t="str">
        <f>_xll.BDP("882854D2 Muni","BB_COMPOSITE")</f>
        <v>#N/A Requesting Data...</v>
      </c>
      <c r="T2081" t="str">
        <f>_xll.BDP("882854D2 Muni","LQA_LIQUIDITY_SCORE")</f>
        <v>#N/A Requesting Data...</v>
      </c>
    </row>
    <row r="2082" spans="1:20" x14ac:dyDescent="0.25">
      <c r="A2082" t="str">
        <f>_xll.BDP("882854F6 Muni","ID_CUSIP")</f>
        <v>#N/A Requesting Data...</v>
      </c>
      <c r="B2082" t="s">
        <v>490</v>
      </c>
      <c r="C2082" t="str">
        <f>_xll.BDP("882854F6 Muni","INSURANCE_STATUS")</f>
        <v>#N/A Requesting Data...</v>
      </c>
      <c r="D2082" t="str">
        <f>_xll.BDP("882854F6 Muni","STATE_CODE")</f>
        <v>#N/A Requesting Data...</v>
      </c>
      <c r="E2082" t="str">
        <f>_xll.BDP("882854F6 Muni","COUNTY_LOCATION_ISSUER")</f>
        <v>#N/A Requesting Data...</v>
      </c>
      <c r="F2082" t="str">
        <f>_xll.BDP("882854F6 Muni","DUR_ADJ_MID")</f>
        <v>#N/A Requesting Data...</v>
      </c>
      <c r="G2082" t="str">
        <f>_xll.BDP("882854F6 Muni","SPREAD_AT_ISSUANCE_TO_WORST")</f>
        <v>#N/A Requesting Data...</v>
      </c>
      <c r="H2082" t="str">
        <f>_xll.BDP("882854F6 Muni","ISSUE_DT")</f>
        <v>#N/A Requesting Data...</v>
      </c>
      <c r="I2082" t="str">
        <f>_xll.BDS("882854F6 Muni","MUNI_PURPOSE_SCHED", "aggregate=y")</f>
        <v>#N/A Requesting Data...</v>
      </c>
      <c r="J2082" t="str">
        <f>_xll.BDP("882854F6 Muni","CPN")</f>
        <v>#N/A Requesting Data...</v>
      </c>
      <c r="K2082" t="str">
        <f>_xll.BDP("882854F6 Muni","MATURITY")</f>
        <v>#N/A Requesting Data...</v>
      </c>
      <c r="L2082">
        <v>17545000</v>
      </c>
      <c r="M2082" t="str">
        <f>_xll.BDP("882854F6 Muni","YIELD_ON_ISSUE_DATE")</f>
        <v>#N/A Requesting Data...</v>
      </c>
      <c r="N2082" t="str">
        <f>_xll.BDP("882854F6 Muni","YTW_SPREAD_TO_MATURITY_AT_ISSU")</f>
        <v>#N/A Requesting Data...</v>
      </c>
      <c r="O2082" t="str">
        <f>_xll.BDP("882854F6 Muni","BVAL_MID_YTM")</f>
        <v>#N/A Requesting Data...</v>
      </c>
      <c r="P2082" t="str">
        <f>_xll.BDP("882854F6 Muni","MUNI_TAX_PROV")</f>
        <v>#N/A Requesting Data...</v>
      </c>
      <c r="Q2082" t="str">
        <f>_xll.BDP("882854F6 Muni","MUNI_FED_TAX")</f>
        <v>#N/A Requesting Data...</v>
      </c>
      <c r="R2082" t="str">
        <f>_xll.BDP("882854F6 Muni","MUNI_MSRB_VOLUME")</f>
        <v>#N/A Requesting Data...</v>
      </c>
      <c r="S2082" t="str">
        <f>_xll.BDP("882854F6 Muni","BB_COMPOSITE")</f>
        <v>#N/A Requesting Data...</v>
      </c>
      <c r="T2082" t="str">
        <f>_xll.BDP("882854F6 Muni","LQA_LIQUIDITY_SCORE")</f>
        <v>#N/A Requesting Data...</v>
      </c>
    </row>
    <row r="2083" spans="1:20" x14ac:dyDescent="0.25">
      <c r="A2083" t="str">
        <f>_xll.BDP("882854G2 Muni","ID_CUSIP")</f>
        <v>#N/A Requesting Data...</v>
      </c>
      <c r="B2083" t="s">
        <v>490</v>
      </c>
      <c r="C2083" t="str">
        <f>_xll.BDP("882854G2 Muni","INSURANCE_STATUS")</f>
        <v>#N/A Requesting Data...</v>
      </c>
      <c r="D2083" t="str">
        <f>_xll.BDP("882854G2 Muni","STATE_CODE")</f>
        <v>#N/A Requesting Data...</v>
      </c>
      <c r="E2083" t="str">
        <f>_xll.BDP("882854G2 Muni","COUNTY_LOCATION_ISSUER")</f>
        <v>#N/A Requesting Data...</v>
      </c>
      <c r="F2083" t="str">
        <f>_xll.BDP("882854G2 Muni","DUR_ADJ_MID")</f>
        <v>#N/A Requesting Data...</v>
      </c>
      <c r="G2083" t="str">
        <f>_xll.BDP("882854G2 Muni","SPREAD_AT_ISSUANCE_TO_WORST")</f>
        <v>#N/A Requesting Data...</v>
      </c>
      <c r="H2083" t="str">
        <f>_xll.BDP("882854G2 Muni","ISSUE_DT")</f>
        <v>#N/A Requesting Data...</v>
      </c>
      <c r="I2083" t="str">
        <f>_xll.BDS("882854G2 Muni","MUNI_PURPOSE_SCHED", "aggregate=y")</f>
        <v>#N/A Requesting Data...</v>
      </c>
      <c r="J2083" t="str">
        <f>_xll.BDP("882854G2 Muni","CPN")</f>
        <v>#N/A Requesting Data...</v>
      </c>
      <c r="K2083" t="str">
        <f>_xll.BDP("882854G2 Muni","MATURITY")</f>
        <v>#N/A Requesting Data...</v>
      </c>
      <c r="L2083">
        <v>19000000</v>
      </c>
      <c r="M2083" t="str">
        <f>_xll.BDP("882854G2 Muni","YIELD_ON_ISSUE_DATE")</f>
        <v>#N/A Requesting Data...</v>
      </c>
      <c r="N2083" t="str">
        <f>_xll.BDP("882854G2 Muni","YTW_SPREAD_TO_MATURITY_AT_ISSU")</f>
        <v>#N/A Requesting Data...</v>
      </c>
      <c r="O2083" t="str">
        <f>_xll.BDP("882854G2 Muni","BVAL_MID_YTM")</f>
        <v>#N/A Requesting Data...</v>
      </c>
      <c r="P2083" t="str">
        <f>_xll.BDP("882854G2 Muni","MUNI_TAX_PROV")</f>
        <v>#N/A Requesting Data...</v>
      </c>
      <c r="Q2083" t="str">
        <f>_xll.BDP("882854G2 Muni","MUNI_FED_TAX")</f>
        <v>#N/A Requesting Data...</v>
      </c>
      <c r="R2083" t="str">
        <f>_xll.BDP("882854G2 Muni","MUNI_MSRB_VOLUME")</f>
        <v>#N/A Requesting Data...</v>
      </c>
      <c r="S2083" t="str">
        <f>_xll.BDP("882854G2 Muni","BB_COMPOSITE")</f>
        <v>#N/A Requesting Data...</v>
      </c>
      <c r="T2083" t="str">
        <f>_xll.BDP("882854G2 Muni","LQA_LIQUIDITY_SCORE")</f>
        <v>#N/A Requesting Data...</v>
      </c>
    </row>
    <row r="2084" spans="1:20" x14ac:dyDescent="0.25">
      <c r="A2084" t="str">
        <f>_xll.BDP("882854G5 Muni","ID_CUSIP")</f>
        <v>#N/A Requesting Data...</v>
      </c>
      <c r="B2084" t="s">
        <v>490</v>
      </c>
      <c r="C2084" t="str">
        <f>_xll.BDP("882854G5 Muni","INSURANCE_STATUS")</f>
        <v>#N/A Requesting Data...</v>
      </c>
      <c r="D2084" t="str">
        <f>_xll.BDP("882854G5 Muni","STATE_CODE")</f>
        <v>#N/A Requesting Data...</v>
      </c>
      <c r="E2084" t="str">
        <f>_xll.BDP("882854G5 Muni","COUNTY_LOCATION_ISSUER")</f>
        <v>#N/A Requesting Data...</v>
      </c>
      <c r="F2084" t="str">
        <f>_xll.BDP("882854G5 Muni","DUR_ADJ_MID")</f>
        <v>#N/A Requesting Data...</v>
      </c>
      <c r="G2084" t="str">
        <f>_xll.BDP("882854G5 Muni","SPREAD_AT_ISSUANCE_TO_WORST")</f>
        <v>#N/A Requesting Data...</v>
      </c>
      <c r="H2084" t="str">
        <f>_xll.BDP("882854G5 Muni","ISSUE_DT")</f>
        <v>#N/A Requesting Data...</v>
      </c>
      <c r="I2084" t="str">
        <f>_xll.BDS("882854G5 Muni","MUNI_PURPOSE_SCHED", "aggregate=y")</f>
        <v>#N/A Requesting Data...</v>
      </c>
      <c r="J2084" t="str">
        <f>_xll.BDP("882854G5 Muni","CPN")</f>
        <v>#N/A Requesting Data...</v>
      </c>
      <c r="K2084" t="str">
        <f>_xll.BDP("882854G5 Muni","MATURITY")</f>
        <v>#N/A Requesting Data...</v>
      </c>
      <c r="L2084">
        <v>5000000</v>
      </c>
      <c r="M2084" t="str">
        <f>_xll.BDP("882854G5 Muni","YIELD_ON_ISSUE_DATE")</f>
        <v>#N/A Requesting Data...</v>
      </c>
      <c r="N2084" t="str">
        <f>_xll.BDP("882854G5 Muni","YTW_SPREAD_TO_MATURITY_AT_ISSU")</f>
        <v>#N/A Requesting Data...</v>
      </c>
      <c r="O2084" t="str">
        <f>_xll.BDP("882854G5 Muni","BVAL_MID_YTM")</f>
        <v>#N/A Requesting Data...</v>
      </c>
      <c r="P2084" t="str">
        <f>_xll.BDP("882854G5 Muni","MUNI_TAX_PROV")</f>
        <v>#N/A Requesting Data...</v>
      </c>
      <c r="Q2084" t="str">
        <f>_xll.BDP("882854G5 Muni","MUNI_FED_TAX")</f>
        <v>#N/A Requesting Data...</v>
      </c>
      <c r="R2084" t="str">
        <f>_xll.BDP("882854G5 Muni","MUNI_MSRB_VOLUME")</f>
        <v>#N/A Requesting Data...</v>
      </c>
      <c r="S2084" t="str">
        <f>_xll.BDP("882854G5 Muni","BB_COMPOSITE")</f>
        <v>#N/A Requesting Data...</v>
      </c>
      <c r="T2084" t="str">
        <f>_xll.BDP("882854G5 Muni","LQA_LIQUIDITY_SCORE")</f>
        <v>#N/A Requesting Data...</v>
      </c>
    </row>
    <row r="2085" spans="1:20" x14ac:dyDescent="0.25">
      <c r="A2085" t="str">
        <f>_xll.BDP("882854M5 Muni","ID_CUSIP")</f>
        <v>#N/A Requesting Data...</v>
      </c>
      <c r="B2085" t="s">
        <v>490</v>
      </c>
      <c r="C2085" t="str">
        <f>_xll.BDP("882854M5 Muni","INSURANCE_STATUS")</f>
        <v>#N/A Requesting Data...</v>
      </c>
      <c r="D2085" t="str">
        <f>_xll.BDP("882854M5 Muni","STATE_CODE")</f>
        <v>#N/A Requesting Data...</v>
      </c>
      <c r="E2085" t="str">
        <f>_xll.BDP("882854M5 Muni","COUNTY_LOCATION_ISSUER")</f>
        <v>#N/A Requesting Data...</v>
      </c>
      <c r="F2085" t="str">
        <f>_xll.BDP("882854M5 Muni","DUR_ADJ_MID")</f>
        <v>#N/A Requesting Data...</v>
      </c>
      <c r="G2085" t="str">
        <f>_xll.BDP("882854M5 Muni","SPREAD_AT_ISSUANCE_TO_WORST")</f>
        <v>#N/A Requesting Data...</v>
      </c>
      <c r="H2085" t="str">
        <f>_xll.BDP("882854M5 Muni","ISSUE_DT")</f>
        <v>#N/A Requesting Data...</v>
      </c>
      <c r="I2085" t="str">
        <f>_xll.BDS("882854M5 Muni","MUNI_PURPOSE_SCHED", "aggregate=y")</f>
        <v>#N/A Requesting Data...</v>
      </c>
      <c r="J2085" t="str">
        <f>_xll.BDP("882854M5 Muni","CPN")</f>
        <v>#N/A Requesting Data...</v>
      </c>
      <c r="K2085" t="str">
        <f>_xll.BDP("882854M5 Muni","MATURITY")</f>
        <v>#N/A Requesting Data...</v>
      </c>
      <c r="L2085">
        <v>18110000</v>
      </c>
      <c r="M2085" t="str">
        <f>_xll.BDP("882854M5 Muni","YIELD_ON_ISSUE_DATE")</f>
        <v>#N/A Requesting Data...</v>
      </c>
      <c r="N2085" t="str">
        <f>_xll.BDP("882854M5 Muni","YTW_SPREAD_TO_MATURITY_AT_ISSU")</f>
        <v>#N/A Requesting Data...</v>
      </c>
      <c r="O2085" t="str">
        <f>_xll.BDP("882854M5 Muni","BVAL_MID_YTM")</f>
        <v>#N/A Requesting Data...</v>
      </c>
      <c r="P2085" t="str">
        <f>_xll.BDP("882854M5 Muni","MUNI_TAX_PROV")</f>
        <v>#N/A Requesting Data...</v>
      </c>
      <c r="Q2085" t="str">
        <f>_xll.BDP("882854M5 Muni","MUNI_FED_TAX")</f>
        <v>#N/A Requesting Data...</v>
      </c>
      <c r="R2085" t="str">
        <f>_xll.BDP("882854M5 Muni","MUNI_MSRB_VOLUME")</f>
        <v>#N/A Requesting Data...</v>
      </c>
      <c r="S2085" t="str">
        <f>_xll.BDP("882854M5 Muni","BB_COMPOSITE")</f>
        <v>#N/A Requesting Data...</v>
      </c>
      <c r="T2085" t="str">
        <f>_xll.BDP("882854M5 Muni","LQA_LIQUIDITY_SCORE")</f>
        <v>#N/A Requesting Data...</v>
      </c>
    </row>
    <row r="2086" spans="1:20" x14ac:dyDescent="0.25">
      <c r="A2086" t="str">
        <f>_xll.BDP("882854M7 Muni","ID_CUSIP")</f>
        <v>#N/A Requesting Data...</v>
      </c>
      <c r="B2086" t="s">
        <v>490</v>
      </c>
      <c r="C2086" t="str">
        <f>_xll.BDP("882854M7 Muni","INSURANCE_STATUS")</f>
        <v>#N/A Requesting Data...</v>
      </c>
      <c r="D2086" t="str">
        <f>_xll.BDP("882854M7 Muni","STATE_CODE")</f>
        <v>#N/A Requesting Data...</v>
      </c>
      <c r="E2086" t="str">
        <f>_xll.BDP("882854M7 Muni","COUNTY_LOCATION_ISSUER")</f>
        <v>#N/A Requesting Data...</v>
      </c>
      <c r="F2086" t="str">
        <f>_xll.BDP("882854M7 Muni","DUR_ADJ_MID")</f>
        <v>#N/A Requesting Data...</v>
      </c>
      <c r="G2086" t="str">
        <f>_xll.BDP("882854M7 Muni","SPREAD_AT_ISSUANCE_TO_WORST")</f>
        <v>#N/A Requesting Data...</v>
      </c>
      <c r="H2086" t="str">
        <f>_xll.BDP("882854M7 Muni","ISSUE_DT")</f>
        <v>#N/A Requesting Data...</v>
      </c>
      <c r="I2086" t="str">
        <f>_xll.BDS("882854M7 Muni","MUNI_PURPOSE_SCHED", "aggregate=y")</f>
        <v>#N/A Requesting Data...</v>
      </c>
      <c r="J2086" t="str">
        <f>_xll.BDP("882854M7 Muni","CPN")</f>
        <v>#N/A Requesting Data...</v>
      </c>
      <c r="K2086" t="str">
        <f>_xll.BDP("882854M7 Muni","MATURITY")</f>
        <v>#N/A Requesting Data...</v>
      </c>
      <c r="L2086">
        <v>21210000</v>
      </c>
      <c r="M2086" t="str">
        <f>_xll.BDP("882854M7 Muni","YIELD_ON_ISSUE_DATE")</f>
        <v>#N/A Requesting Data...</v>
      </c>
      <c r="N2086" t="str">
        <f>_xll.BDP("882854M7 Muni","YTW_SPREAD_TO_MATURITY_AT_ISSU")</f>
        <v>#N/A Requesting Data...</v>
      </c>
      <c r="O2086" t="str">
        <f>_xll.BDP("882854M7 Muni","BVAL_MID_YTM")</f>
        <v>#N/A Requesting Data...</v>
      </c>
      <c r="P2086" t="str">
        <f>_xll.BDP("882854M7 Muni","MUNI_TAX_PROV")</f>
        <v>#N/A Requesting Data...</v>
      </c>
      <c r="Q2086" t="str">
        <f>_xll.BDP("882854M7 Muni","MUNI_FED_TAX")</f>
        <v>#N/A Requesting Data...</v>
      </c>
      <c r="R2086" t="str">
        <f>_xll.BDP("882854M7 Muni","MUNI_MSRB_VOLUME")</f>
        <v>#N/A Requesting Data...</v>
      </c>
      <c r="S2086" t="str">
        <f>_xll.BDP("882854M7 Muni","BB_COMPOSITE")</f>
        <v>#N/A Requesting Data...</v>
      </c>
      <c r="T2086" t="str">
        <f>_xll.BDP("882854M7 Muni","LQA_LIQUIDITY_SCORE")</f>
        <v>#N/A Requesting Data...</v>
      </c>
    </row>
    <row r="2087" spans="1:20" x14ac:dyDescent="0.25">
      <c r="A2087" t="str">
        <f>_xll.BDP("882854M8 Muni","ID_CUSIP")</f>
        <v>#N/A Requesting Data...</v>
      </c>
      <c r="B2087" t="s">
        <v>490</v>
      </c>
      <c r="C2087" t="str">
        <f>_xll.BDP("882854M8 Muni","INSURANCE_STATUS")</f>
        <v>#N/A Requesting Data...</v>
      </c>
      <c r="D2087" t="str">
        <f>_xll.BDP("882854M8 Muni","STATE_CODE")</f>
        <v>#N/A Requesting Data...</v>
      </c>
      <c r="E2087" t="str">
        <f>_xll.BDP("882854M8 Muni","COUNTY_LOCATION_ISSUER")</f>
        <v>#N/A Requesting Data...</v>
      </c>
      <c r="F2087" t="str">
        <f>_xll.BDP("882854M8 Muni","DUR_ADJ_MID")</f>
        <v>#N/A Requesting Data...</v>
      </c>
      <c r="G2087" t="str">
        <f>_xll.BDP("882854M8 Muni","SPREAD_AT_ISSUANCE_TO_WORST")</f>
        <v>#N/A Requesting Data...</v>
      </c>
      <c r="H2087" t="str">
        <f>_xll.BDP("882854M8 Muni","ISSUE_DT")</f>
        <v>#N/A Requesting Data...</v>
      </c>
      <c r="I2087" t="str">
        <f>_xll.BDS("882854M8 Muni","MUNI_PURPOSE_SCHED", "aggregate=y")</f>
        <v>#N/A Requesting Data...</v>
      </c>
      <c r="J2087" t="str">
        <f>_xll.BDP("882854M8 Muni","CPN")</f>
        <v>#N/A Requesting Data...</v>
      </c>
      <c r="K2087" t="str">
        <f>_xll.BDP("882854M8 Muni","MATURITY")</f>
        <v>#N/A Requesting Data...</v>
      </c>
      <c r="L2087">
        <v>805000</v>
      </c>
      <c r="M2087" t="str">
        <f>_xll.BDP("882854M8 Muni","YIELD_ON_ISSUE_DATE")</f>
        <v>#N/A Requesting Data...</v>
      </c>
      <c r="N2087" t="str">
        <f>_xll.BDP("882854M8 Muni","YTW_SPREAD_TO_MATURITY_AT_ISSU")</f>
        <v>#N/A Requesting Data...</v>
      </c>
      <c r="O2087" t="str">
        <f>_xll.BDP("882854M8 Muni","BVAL_MID_YTM")</f>
        <v>#N/A Requesting Data...</v>
      </c>
      <c r="P2087" t="str">
        <f>_xll.BDP("882854M8 Muni","MUNI_TAX_PROV")</f>
        <v>#N/A Requesting Data...</v>
      </c>
      <c r="Q2087" t="str">
        <f>_xll.BDP("882854M8 Muni","MUNI_FED_TAX")</f>
        <v>#N/A Requesting Data...</v>
      </c>
      <c r="R2087" t="str">
        <f>_xll.BDP("882854M8 Muni","MUNI_MSRB_VOLUME")</f>
        <v>#N/A Requesting Data...</v>
      </c>
      <c r="S2087" t="str">
        <f>_xll.BDP("882854M8 Muni","BB_COMPOSITE")</f>
        <v>#N/A Requesting Data...</v>
      </c>
      <c r="T2087" t="str">
        <f>_xll.BDP("882854M8 Muni","LQA_LIQUIDITY_SCORE")</f>
        <v>#N/A Requesting Data...</v>
      </c>
    </row>
    <row r="2088" spans="1:20" x14ac:dyDescent="0.25">
      <c r="A2088" t="str">
        <f>_xll.BDP("882854N2 Muni","ID_CUSIP")</f>
        <v>#N/A Requesting Data...</v>
      </c>
      <c r="B2088" t="s">
        <v>490</v>
      </c>
      <c r="C2088" t="str">
        <f>_xll.BDP("882854N2 Muni","INSURANCE_STATUS")</f>
        <v>#N/A Requesting Data...</v>
      </c>
      <c r="D2088" t="str">
        <f>_xll.BDP("882854N2 Muni","STATE_CODE")</f>
        <v>#N/A Requesting Data...</v>
      </c>
      <c r="E2088" t="str">
        <f>_xll.BDP("882854N2 Muni","COUNTY_LOCATION_ISSUER")</f>
        <v>#N/A Requesting Data...</v>
      </c>
      <c r="F2088" t="str">
        <f>_xll.BDP("882854N2 Muni","DUR_ADJ_MID")</f>
        <v>#N/A Requesting Data...</v>
      </c>
      <c r="G2088" t="str">
        <f>_xll.BDP("882854N2 Muni","SPREAD_AT_ISSUANCE_TO_WORST")</f>
        <v>#N/A Requesting Data...</v>
      </c>
      <c r="H2088" t="str">
        <f>_xll.BDP("882854N2 Muni","ISSUE_DT")</f>
        <v>#N/A Requesting Data...</v>
      </c>
      <c r="I2088" t="str">
        <f>_xll.BDS("882854N2 Muni","MUNI_PURPOSE_SCHED", "aggregate=y")</f>
        <v>#N/A Requesting Data...</v>
      </c>
      <c r="J2088" t="str">
        <f>_xll.BDP("882854N2 Muni","CPN")</f>
        <v>#N/A Requesting Data...</v>
      </c>
      <c r="K2088" t="str">
        <f>_xll.BDP("882854N2 Muni","MATURITY")</f>
        <v>#N/A Requesting Data...</v>
      </c>
      <c r="L2088">
        <v>9295000</v>
      </c>
      <c r="M2088" t="str">
        <f>_xll.BDP("882854N2 Muni","YIELD_ON_ISSUE_DATE")</f>
        <v>#N/A Requesting Data...</v>
      </c>
      <c r="N2088" t="str">
        <f>_xll.BDP("882854N2 Muni","YTW_SPREAD_TO_MATURITY_AT_ISSU")</f>
        <v>#N/A Requesting Data...</v>
      </c>
      <c r="O2088" t="str">
        <f>_xll.BDP("882854N2 Muni","BVAL_MID_YTM")</f>
        <v>#N/A Requesting Data...</v>
      </c>
      <c r="P2088" t="str">
        <f>_xll.BDP("882854N2 Muni","MUNI_TAX_PROV")</f>
        <v>#N/A Requesting Data...</v>
      </c>
      <c r="Q2088" t="str">
        <f>_xll.BDP("882854N2 Muni","MUNI_FED_TAX")</f>
        <v>#N/A Requesting Data...</v>
      </c>
      <c r="R2088" t="str">
        <f>_xll.BDP("882854N2 Muni","MUNI_MSRB_VOLUME")</f>
        <v>#N/A Requesting Data...</v>
      </c>
      <c r="S2088" t="str">
        <f>_xll.BDP("882854N2 Muni","BB_COMPOSITE")</f>
        <v>#N/A Requesting Data...</v>
      </c>
      <c r="T2088" t="str">
        <f>_xll.BDP("882854N2 Muni","LQA_LIQUIDITY_SCORE")</f>
        <v>#N/A Requesting Data...</v>
      </c>
    </row>
    <row r="2089" spans="1:20" x14ac:dyDescent="0.25">
      <c r="A2089" t="str">
        <f>_xll.BDP("882854R5 Muni","ID_CUSIP")</f>
        <v>#N/A Requesting Data...</v>
      </c>
      <c r="B2089" t="s">
        <v>490</v>
      </c>
      <c r="C2089" t="str">
        <f>_xll.BDP("882854R5 Muni","INSURANCE_STATUS")</f>
        <v>#N/A Requesting Data...</v>
      </c>
      <c r="D2089" t="str">
        <f>_xll.BDP("882854R5 Muni","STATE_CODE")</f>
        <v>#N/A Requesting Data...</v>
      </c>
      <c r="E2089" t="str">
        <f>_xll.BDP("882854R5 Muni","COUNTY_LOCATION_ISSUER")</f>
        <v>#N/A Requesting Data...</v>
      </c>
      <c r="F2089" t="str">
        <f>_xll.BDP("882854R5 Muni","DUR_ADJ_MID")</f>
        <v>#N/A Requesting Data...</v>
      </c>
      <c r="G2089" t="str">
        <f>_xll.BDP("882854R5 Muni","SPREAD_AT_ISSUANCE_TO_WORST")</f>
        <v>#N/A Requesting Data...</v>
      </c>
      <c r="H2089" t="str">
        <f>_xll.BDP("882854R5 Muni","ISSUE_DT")</f>
        <v>#N/A Requesting Data...</v>
      </c>
      <c r="I2089" t="str">
        <f>_xll.BDS("882854R5 Muni","MUNI_PURPOSE_SCHED", "aggregate=y")</f>
        <v>#N/A Requesting Data...</v>
      </c>
      <c r="J2089" t="str">
        <f>_xll.BDP("882854R5 Muni","CPN")</f>
        <v>#N/A Requesting Data...</v>
      </c>
      <c r="K2089" t="str">
        <f>_xll.BDP("882854R5 Muni","MATURITY")</f>
        <v>#N/A Requesting Data...</v>
      </c>
      <c r="L2089">
        <v>1230000</v>
      </c>
      <c r="M2089" t="str">
        <f>_xll.BDP("882854R5 Muni","YIELD_ON_ISSUE_DATE")</f>
        <v>#N/A Requesting Data...</v>
      </c>
      <c r="N2089" t="str">
        <f>_xll.BDP("882854R5 Muni","YTW_SPREAD_TO_MATURITY_AT_ISSU")</f>
        <v>#N/A Requesting Data...</v>
      </c>
      <c r="O2089" t="str">
        <f>_xll.BDP("882854R5 Muni","BVAL_MID_YTM")</f>
        <v>#N/A Requesting Data...</v>
      </c>
      <c r="P2089" t="str">
        <f>_xll.BDP("882854R5 Muni","MUNI_TAX_PROV")</f>
        <v>#N/A Requesting Data...</v>
      </c>
      <c r="Q2089" t="str">
        <f>_xll.BDP("882854R5 Muni","MUNI_FED_TAX")</f>
        <v>#N/A Requesting Data...</v>
      </c>
      <c r="R2089" t="str">
        <f>_xll.BDP("882854R5 Muni","MUNI_MSRB_VOLUME")</f>
        <v>#N/A Requesting Data...</v>
      </c>
      <c r="S2089" t="str">
        <f>_xll.BDP("882854R5 Muni","BB_COMPOSITE")</f>
        <v>#N/A Requesting Data...</v>
      </c>
      <c r="T2089" t="str">
        <f>_xll.BDP("882854R5 Muni","LQA_LIQUIDITY_SCORE")</f>
        <v>#N/A Requesting Data...</v>
      </c>
    </row>
    <row r="2090" spans="1:20" x14ac:dyDescent="0.25">
      <c r="A2090" t="str">
        <f>_xll.BDP("882854R6 Muni","ID_CUSIP")</f>
        <v>#N/A Requesting Data...</v>
      </c>
      <c r="B2090" t="s">
        <v>490</v>
      </c>
      <c r="C2090" t="str">
        <f>_xll.BDP("882854R6 Muni","INSURANCE_STATUS")</f>
        <v>#N/A Requesting Data...</v>
      </c>
      <c r="D2090" t="str">
        <f>_xll.BDP("882854R6 Muni","STATE_CODE")</f>
        <v>#N/A Requesting Data...</v>
      </c>
      <c r="E2090" t="str">
        <f>_xll.BDP("882854R6 Muni","COUNTY_LOCATION_ISSUER")</f>
        <v>#N/A Requesting Data...</v>
      </c>
      <c r="F2090" t="str">
        <f>_xll.BDP("882854R6 Muni","DUR_ADJ_MID")</f>
        <v>#N/A Requesting Data...</v>
      </c>
      <c r="G2090" t="str">
        <f>_xll.BDP("882854R6 Muni","SPREAD_AT_ISSUANCE_TO_WORST")</f>
        <v>#N/A Requesting Data...</v>
      </c>
      <c r="H2090" t="str">
        <f>_xll.BDP("882854R6 Muni","ISSUE_DT")</f>
        <v>#N/A Requesting Data...</v>
      </c>
      <c r="I2090" t="str">
        <f>_xll.BDS("882854R6 Muni","MUNI_PURPOSE_SCHED", "aggregate=y")</f>
        <v>#N/A Requesting Data...</v>
      </c>
      <c r="J2090" t="str">
        <f>_xll.BDP("882854R6 Muni","CPN")</f>
        <v>#N/A Requesting Data...</v>
      </c>
      <c r="K2090" t="str">
        <f>_xll.BDP("882854R6 Muni","MATURITY")</f>
        <v>#N/A Requesting Data...</v>
      </c>
      <c r="L2090">
        <v>1275000</v>
      </c>
      <c r="M2090" t="str">
        <f>_xll.BDP("882854R6 Muni","YIELD_ON_ISSUE_DATE")</f>
        <v>#N/A Requesting Data...</v>
      </c>
      <c r="N2090" t="str">
        <f>_xll.BDP("882854R6 Muni","YTW_SPREAD_TO_MATURITY_AT_ISSU")</f>
        <v>#N/A Requesting Data...</v>
      </c>
      <c r="O2090" t="str">
        <f>_xll.BDP("882854R6 Muni","BVAL_MID_YTM")</f>
        <v>#N/A Requesting Data...</v>
      </c>
      <c r="P2090" t="str">
        <f>_xll.BDP("882854R6 Muni","MUNI_TAX_PROV")</f>
        <v>#N/A Requesting Data...</v>
      </c>
      <c r="Q2090" t="str">
        <f>_xll.BDP("882854R6 Muni","MUNI_FED_TAX")</f>
        <v>#N/A Requesting Data...</v>
      </c>
      <c r="R2090" t="str">
        <f>_xll.BDP("882854R6 Muni","MUNI_MSRB_VOLUME")</f>
        <v>#N/A Requesting Data...</v>
      </c>
      <c r="S2090" t="str">
        <f>_xll.BDP("882854R6 Muni","BB_COMPOSITE")</f>
        <v>#N/A Requesting Data...</v>
      </c>
      <c r="T2090" t="str">
        <f>_xll.BDP("882854R6 Muni","LQA_LIQUIDITY_SCORE")</f>
        <v>#N/A Requesting Data...</v>
      </c>
    </row>
    <row r="2091" spans="1:20" x14ac:dyDescent="0.25">
      <c r="A2091" t="str">
        <f>_xll.BDP("882854R9 Muni","ID_CUSIP")</f>
        <v>#N/A Requesting Data...</v>
      </c>
      <c r="B2091" t="s">
        <v>490</v>
      </c>
      <c r="C2091" t="str">
        <f>_xll.BDP("882854R9 Muni","INSURANCE_STATUS")</f>
        <v>#N/A Requesting Data...</v>
      </c>
      <c r="D2091" t="str">
        <f>_xll.BDP("882854R9 Muni","STATE_CODE")</f>
        <v>#N/A Requesting Data...</v>
      </c>
      <c r="E2091" t="str">
        <f>_xll.BDP("882854R9 Muni","COUNTY_LOCATION_ISSUER")</f>
        <v>#N/A Requesting Data...</v>
      </c>
      <c r="F2091" t="str">
        <f>_xll.BDP("882854R9 Muni","DUR_ADJ_MID")</f>
        <v>#N/A Requesting Data...</v>
      </c>
      <c r="G2091" t="str">
        <f>_xll.BDP("882854R9 Muni","SPREAD_AT_ISSUANCE_TO_WORST")</f>
        <v>#N/A Requesting Data...</v>
      </c>
      <c r="H2091" t="str">
        <f>_xll.BDP("882854R9 Muni","ISSUE_DT")</f>
        <v>#N/A Requesting Data...</v>
      </c>
      <c r="I2091" t="str">
        <f>_xll.BDS("882854R9 Muni","MUNI_PURPOSE_SCHED", "aggregate=y")</f>
        <v>#N/A Requesting Data...</v>
      </c>
      <c r="J2091" t="str">
        <f>_xll.BDP("882854R9 Muni","CPN")</f>
        <v>#N/A Requesting Data...</v>
      </c>
      <c r="K2091" t="str">
        <f>_xll.BDP("882854R9 Muni","MATURITY")</f>
        <v>#N/A Requesting Data...</v>
      </c>
      <c r="L2091">
        <v>845000</v>
      </c>
      <c r="M2091" t="str">
        <f>_xll.BDP("882854R9 Muni","YIELD_ON_ISSUE_DATE")</f>
        <v>#N/A Requesting Data...</v>
      </c>
      <c r="N2091" t="str">
        <f>_xll.BDP("882854R9 Muni","YTW_SPREAD_TO_MATURITY_AT_ISSU")</f>
        <v>#N/A Requesting Data...</v>
      </c>
      <c r="O2091" t="str">
        <f>_xll.BDP("882854R9 Muni","BVAL_MID_YTM")</f>
        <v>#N/A Requesting Data...</v>
      </c>
      <c r="P2091" t="str">
        <f>_xll.BDP("882854R9 Muni","MUNI_TAX_PROV")</f>
        <v>#N/A Requesting Data...</v>
      </c>
      <c r="Q2091" t="str">
        <f>_xll.BDP("882854R9 Muni","MUNI_FED_TAX")</f>
        <v>#N/A Requesting Data...</v>
      </c>
      <c r="R2091" t="str">
        <f>_xll.BDP("882854R9 Muni","MUNI_MSRB_VOLUME")</f>
        <v>#N/A Requesting Data...</v>
      </c>
      <c r="S2091" t="str">
        <f>_xll.BDP("882854R9 Muni","BB_COMPOSITE")</f>
        <v>#N/A Requesting Data...</v>
      </c>
      <c r="T2091" t="str">
        <f>_xll.BDP("882854R9 Muni","LQA_LIQUIDITY_SCORE")</f>
        <v>#N/A Requesting Data...</v>
      </c>
    </row>
    <row r="2092" spans="1:20" x14ac:dyDescent="0.25">
      <c r="A2092" t="str">
        <f>_xll.BDP("887127XJ Muni","ID_CUSIP")</f>
        <v>#N/A Requesting Data...</v>
      </c>
      <c r="B2092" t="s">
        <v>491</v>
      </c>
      <c r="C2092" t="str">
        <f>_xll.BDP("887127XJ Muni","INSURANCE_STATUS")</f>
        <v>#N/A Requesting Data...</v>
      </c>
      <c r="D2092" t="str">
        <f>_xll.BDP("887127XJ Muni","STATE_CODE")</f>
        <v>#N/A Requesting Data...</v>
      </c>
      <c r="E2092" t="str">
        <f>_xll.BDP("887127XJ Muni","COUNTY_LOCATION_ISSUER")</f>
        <v>#N/A Requesting Data...</v>
      </c>
      <c r="F2092" t="str">
        <f>_xll.BDP("887127XJ Muni","DUR_ADJ_MID")</f>
        <v>#N/A Requesting Data...</v>
      </c>
      <c r="G2092" t="str">
        <f>_xll.BDP("887127XJ Muni","SPREAD_AT_ISSUANCE_TO_WORST")</f>
        <v>#N/A Requesting Data...</v>
      </c>
      <c r="H2092" t="str">
        <f>_xll.BDP("887127XJ Muni","ISSUE_DT")</f>
        <v>#N/A Requesting Data...</v>
      </c>
      <c r="I2092" t="str">
        <f>_xll.BDS("887127XJ Muni","MUNI_PURPOSE_SCHED", "aggregate=y")</f>
        <v>#N/A Requesting Data...</v>
      </c>
      <c r="J2092" t="str">
        <f>_xll.BDP("887127XJ Muni","CPN")</f>
        <v>#N/A Requesting Data...</v>
      </c>
      <c r="K2092" t="str">
        <f>_xll.BDP("887127XJ Muni","MATURITY")</f>
        <v>#N/A Requesting Data...</v>
      </c>
      <c r="L2092">
        <v>225000</v>
      </c>
      <c r="M2092" t="str">
        <f>_xll.BDP("887127XJ Muni","YIELD_ON_ISSUE_DATE")</f>
        <v>#N/A Requesting Data...</v>
      </c>
      <c r="N2092" t="str">
        <f>_xll.BDP("887127XJ Muni","YTW_SPREAD_TO_MATURITY_AT_ISSU")</f>
        <v>#N/A Requesting Data...</v>
      </c>
      <c r="O2092" t="str">
        <f>_xll.BDP("887127XJ Muni","BVAL_MID_YTM")</f>
        <v>#N/A Requesting Data...</v>
      </c>
      <c r="P2092" t="str">
        <f>_xll.BDP("887127XJ Muni","MUNI_TAX_PROV")</f>
        <v>#N/A Requesting Data...</v>
      </c>
      <c r="Q2092" t="str">
        <f>_xll.BDP("887127XJ Muni","MUNI_FED_TAX")</f>
        <v>#N/A Requesting Data...</v>
      </c>
      <c r="R2092" t="str">
        <f>_xll.BDP("887127XJ Muni","MUNI_MSRB_VOLUME")</f>
        <v>#N/A Requesting Data...</v>
      </c>
      <c r="S2092" t="str">
        <f>_xll.BDP("887127XJ Muni","BB_COMPOSITE")</f>
        <v>#N/A Requesting Data...</v>
      </c>
      <c r="T2092" t="str">
        <f>_xll.BDP("887127XJ Muni","LQA_LIQUIDITY_SCORE")</f>
        <v>#N/A Requesting Data...</v>
      </c>
    </row>
    <row r="2093" spans="1:20" x14ac:dyDescent="0.25">
      <c r="A2093" t="str">
        <f>_xll.BDP("888140GL Muni","ID_CUSIP")</f>
        <v>#N/A Requesting Data...</v>
      </c>
      <c r="B2093" t="s">
        <v>492</v>
      </c>
      <c r="C2093" t="str">
        <f>_xll.BDP("888140GL Muni","INSURANCE_STATUS")</f>
        <v>#N/A Requesting Data...</v>
      </c>
      <c r="D2093" t="str">
        <f>_xll.BDP("888140GL Muni","STATE_CODE")</f>
        <v>#N/A Requesting Data...</v>
      </c>
      <c r="E2093" t="str">
        <f>_xll.BDP("888140GL Muni","COUNTY_LOCATION_ISSUER")</f>
        <v>#N/A Requesting Data...</v>
      </c>
      <c r="F2093" t="str">
        <f>_xll.BDP("888140GL Muni","DUR_ADJ_MID")</f>
        <v>#N/A Requesting Data...</v>
      </c>
      <c r="G2093" t="str">
        <f>_xll.BDP("888140GL Muni","SPREAD_AT_ISSUANCE_TO_WORST")</f>
        <v>#N/A Requesting Data...</v>
      </c>
      <c r="H2093" t="str">
        <f>_xll.BDP("888140GL Muni","ISSUE_DT")</f>
        <v>#N/A Requesting Data...</v>
      </c>
      <c r="I2093" t="str">
        <f>_xll.BDS("888140GL Muni","MUNI_PURPOSE_SCHED", "aggregate=y")</f>
        <v>#N/A Requesting Data...</v>
      </c>
      <c r="J2093" t="str">
        <f>_xll.BDP("888140GL Muni","CPN")</f>
        <v>#N/A Requesting Data...</v>
      </c>
      <c r="K2093" t="str">
        <f>_xll.BDP("888140GL Muni","MATURITY")</f>
        <v>#N/A Requesting Data...</v>
      </c>
      <c r="L2093">
        <v>145000</v>
      </c>
      <c r="M2093" t="str">
        <f>_xll.BDP("888140GL Muni","YIELD_ON_ISSUE_DATE")</f>
        <v>#N/A Requesting Data...</v>
      </c>
      <c r="N2093" t="str">
        <f>_xll.BDP("888140GL Muni","YTW_SPREAD_TO_MATURITY_AT_ISSU")</f>
        <v>#N/A Requesting Data...</v>
      </c>
      <c r="O2093" t="str">
        <f>_xll.BDP("888140GL Muni","BVAL_MID_YTM")</f>
        <v>#N/A Requesting Data...</v>
      </c>
      <c r="P2093" t="str">
        <f>_xll.BDP("888140GL Muni","MUNI_TAX_PROV")</f>
        <v>#N/A Requesting Data...</v>
      </c>
      <c r="Q2093" t="str">
        <f>_xll.BDP("888140GL Muni","MUNI_FED_TAX")</f>
        <v>#N/A Requesting Data...</v>
      </c>
      <c r="R2093" t="str">
        <f>_xll.BDP("888140GL Muni","MUNI_MSRB_VOLUME")</f>
        <v>#N/A Requesting Data...</v>
      </c>
      <c r="S2093" t="str">
        <f>_xll.BDP("888140GL Muni","BB_COMPOSITE")</f>
        <v>#N/A Requesting Data...</v>
      </c>
      <c r="T2093" t="str">
        <f>_xll.BDP("888140GL Muni","LQA_LIQUIDITY_SCORE")</f>
        <v>#N/A Requesting Data...</v>
      </c>
    </row>
    <row r="2094" spans="1:20" x14ac:dyDescent="0.25">
      <c r="A2094" t="str">
        <f>_xll.BDP("888140GN Muni","ID_CUSIP")</f>
        <v>#N/A Requesting Data...</v>
      </c>
      <c r="B2094" t="s">
        <v>492</v>
      </c>
      <c r="C2094" t="str">
        <f>_xll.BDP("888140GN Muni","INSURANCE_STATUS")</f>
        <v>#N/A Requesting Data...</v>
      </c>
      <c r="D2094" t="str">
        <f>_xll.BDP("888140GN Muni","STATE_CODE")</f>
        <v>#N/A Requesting Data...</v>
      </c>
      <c r="E2094" t="str">
        <f>_xll.BDP("888140GN Muni","COUNTY_LOCATION_ISSUER")</f>
        <v>#N/A Requesting Data...</v>
      </c>
      <c r="F2094" t="str">
        <f>_xll.BDP("888140GN Muni","DUR_ADJ_MID")</f>
        <v>#N/A Requesting Data...</v>
      </c>
      <c r="G2094" t="str">
        <f>_xll.BDP("888140GN Muni","SPREAD_AT_ISSUANCE_TO_WORST")</f>
        <v>#N/A Requesting Data...</v>
      </c>
      <c r="H2094" t="str">
        <f>_xll.BDP("888140GN Muni","ISSUE_DT")</f>
        <v>#N/A Requesting Data...</v>
      </c>
      <c r="I2094" t="str">
        <f>_xll.BDS("888140GN Muni","MUNI_PURPOSE_SCHED", "aggregate=y")</f>
        <v>#N/A Requesting Data...</v>
      </c>
      <c r="J2094" t="str">
        <f>_xll.BDP("888140GN Muni","CPN")</f>
        <v>#N/A Requesting Data...</v>
      </c>
      <c r="K2094" t="str">
        <f>_xll.BDP("888140GN Muni","MATURITY")</f>
        <v>#N/A Requesting Data...</v>
      </c>
      <c r="L2094">
        <v>150000</v>
      </c>
      <c r="M2094" t="str">
        <f>_xll.BDP("888140GN Muni","YIELD_ON_ISSUE_DATE")</f>
        <v>#N/A Requesting Data...</v>
      </c>
      <c r="N2094" t="str">
        <f>_xll.BDP("888140GN Muni","YTW_SPREAD_TO_MATURITY_AT_ISSU")</f>
        <v>#N/A Requesting Data...</v>
      </c>
      <c r="O2094" t="str">
        <f>_xll.BDP("888140GN Muni","BVAL_MID_YTM")</f>
        <v>#N/A Requesting Data...</v>
      </c>
      <c r="P2094" t="str">
        <f>_xll.BDP("888140GN Muni","MUNI_TAX_PROV")</f>
        <v>#N/A Requesting Data...</v>
      </c>
      <c r="Q2094" t="str">
        <f>_xll.BDP("888140GN Muni","MUNI_FED_TAX")</f>
        <v>#N/A Requesting Data...</v>
      </c>
      <c r="R2094" t="str">
        <f>_xll.BDP("888140GN Muni","MUNI_MSRB_VOLUME")</f>
        <v>#N/A Requesting Data...</v>
      </c>
      <c r="S2094" t="str">
        <f>_xll.BDP("888140GN Muni","BB_COMPOSITE")</f>
        <v>#N/A Requesting Data...</v>
      </c>
      <c r="T2094" t="str">
        <f>_xll.BDP("888140GN Muni","LQA_LIQUIDITY_SCORE")</f>
        <v>#N/A Requesting Data...</v>
      </c>
    </row>
    <row r="2095" spans="1:20" x14ac:dyDescent="0.25">
      <c r="A2095" t="str">
        <f>_xll.BDP("734887AU Muni","ID_CUSIP")</f>
        <v>#N/A Requesting Data...</v>
      </c>
      <c r="B2095" t="s">
        <v>493</v>
      </c>
      <c r="C2095" t="str">
        <f>_xll.BDP("734887AU Muni","INSURANCE_STATUS")</f>
        <v>#N/A Requesting Data...</v>
      </c>
      <c r="D2095" t="str">
        <f>_xll.BDP("734887AU Muni","STATE_CODE")</f>
        <v>#N/A Requesting Data...</v>
      </c>
      <c r="E2095" t="str">
        <f>_xll.BDP("734887AU Muni","COUNTY_LOCATION_ISSUER")</f>
        <v>#N/A Requesting Data...</v>
      </c>
      <c r="F2095" t="str">
        <f>_xll.BDP("734887AU Muni","DUR_ADJ_MID")</f>
        <v>#N/A Requesting Data...</v>
      </c>
      <c r="G2095" t="str">
        <f>_xll.BDP("734887AU Muni","SPREAD_AT_ISSUANCE_TO_WORST")</f>
        <v>#N/A Requesting Data...</v>
      </c>
      <c r="H2095" t="str">
        <f>_xll.BDP("734887AU Muni","ISSUE_DT")</f>
        <v>#N/A Requesting Data...</v>
      </c>
      <c r="I2095" t="str">
        <f>_xll.BDS("734887AU Muni","MUNI_PURPOSE_SCHED", "aggregate=y")</f>
        <v>#N/A Requesting Data...</v>
      </c>
      <c r="J2095" t="str">
        <f>_xll.BDP("734887AU Muni","CPN")</f>
        <v>#N/A Requesting Data...</v>
      </c>
      <c r="K2095" t="str">
        <f>_xll.BDP("734887AU Muni","MATURITY")</f>
        <v>#N/A Requesting Data...</v>
      </c>
      <c r="L2095">
        <v>225000</v>
      </c>
      <c r="M2095" t="str">
        <f>_xll.BDP("734887AU Muni","YIELD_ON_ISSUE_DATE")</f>
        <v>#N/A Requesting Data...</v>
      </c>
      <c r="N2095" t="str">
        <f>_xll.BDP("734887AU Muni","YTW_SPREAD_TO_MATURITY_AT_ISSU")</f>
        <v>#N/A Requesting Data...</v>
      </c>
      <c r="O2095" t="str">
        <f>_xll.BDP("734887AU Muni","BVAL_MID_YTM")</f>
        <v>#N/A Requesting Data...</v>
      </c>
      <c r="P2095" t="str">
        <f>_xll.BDP("734887AU Muni","MUNI_TAX_PROV")</f>
        <v>#N/A Requesting Data...</v>
      </c>
      <c r="Q2095" t="str">
        <f>_xll.BDP("734887AU Muni","MUNI_FED_TAX")</f>
        <v>#N/A Requesting Data...</v>
      </c>
      <c r="R2095" t="str">
        <f>_xll.BDP("734887AU Muni","MUNI_MSRB_VOLUME")</f>
        <v>#N/A Requesting Data...</v>
      </c>
      <c r="S2095" t="str">
        <f>_xll.BDP("734887AU Muni","BB_COMPOSITE")</f>
        <v>#N/A Requesting Data...</v>
      </c>
      <c r="T2095" t="str">
        <f>_xll.BDP("734887AU Muni","LQA_LIQUIDITY_SCORE")</f>
        <v>#N/A Requesting Data...</v>
      </c>
    </row>
    <row r="2096" spans="1:20" x14ac:dyDescent="0.25">
      <c r="A2096" t="str">
        <f>_xll.BDP("734887AV Muni","ID_CUSIP")</f>
        <v>#N/A Requesting Data...</v>
      </c>
      <c r="B2096" t="s">
        <v>493</v>
      </c>
      <c r="C2096" t="str">
        <f>_xll.BDP("734887AV Muni","INSURANCE_STATUS")</f>
        <v>#N/A Requesting Data...</v>
      </c>
      <c r="D2096" t="str">
        <f>_xll.BDP("734887AV Muni","STATE_CODE")</f>
        <v>#N/A Requesting Data...</v>
      </c>
      <c r="E2096" t="str">
        <f>_xll.BDP("734887AV Muni","COUNTY_LOCATION_ISSUER")</f>
        <v>#N/A Requesting Data...</v>
      </c>
      <c r="F2096" t="str">
        <f>_xll.BDP("734887AV Muni","DUR_ADJ_MID")</f>
        <v>#N/A Requesting Data...</v>
      </c>
      <c r="G2096" t="str">
        <f>_xll.BDP("734887AV Muni","SPREAD_AT_ISSUANCE_TO_WORST")</f>
        <v>#N/A Requesting Data...</v>
      </c>
      <c r="H2096" t="str">
        <f>_xll.BDP("734887AV Muni","ISSUE_DT")</f>
        <v>#N/A Requesting Data...</v>
      </c>
      <c r="I2096" t="str">
        <f>_xll.BDS("734887AV Muni","MUNI_PURPOSE_SCHED", "aggregate=y")</f>
        <v>#N/A Requesting Data...</v>
      </c>
      <c r="J2096" t="str">
        <f>_xll.BDP("734887AV Muni","CPN")</f>
        <v>#N/A Requesting Data...</v>
      </c>
      <c r="K2096" t="str">
        <f>_xll.BDP("734887AV Muni","MATURITY")</f>
        <v>#N/A Requesting Data...</v>
      </c>
      <c r="L2096">
        <v>230000</v>
      </c>
      <c r="M2096" t="str">
        <f>_xll.BDP("734887AV Muni","YIELD_ON_ISSUE_DATE")</f>
        <v>#N/A Requesting Data...</v>
      </c>
      <c r="N2096" t="str">
        <f>_xll.BDP("734887AV Muni","YTW_SPREAD_TO_MATURITY_AT_ISSU")</f>
        <v>#N/A Requesting Data...</v>
      </c>
      <c r="O2096" t="str">
        <f>_xll.BDP("734887AV Muni","BVAL_MID_YTM")</f>
        <v>#N/A Requesting Data...</v>
      </c>
      <c r="P2096" t="str">
        <f>_xll.BDP("734887AV Muni","MUNI_TAX_PROV")</f>
        <v>#N/A Requesting Data...</v>
      </c>
      <c r="Q2096" t="str">
        <f>_xll.BDP("734887AV Muni","MUNI_FED_TAX")</f>
        <v>#N/A Requesting Data...</v>
      </c>
      <c r="R2096" t="str">
        <f>_xll.BDP("734887AV Muni","MUNI_MSRB_VOLUME")</f>
        <v>#N/A Requesting Data...</v>
      </c>
      <c r="S2096" t="str">
        <f>_xll.BDP("734887AV Muni","BB_COMPOSITE")</f>
        <v>#N/A Requesting Data...</v>
      </c>
      <c r="T2096" t="str">
        <f>_xll.BDP("734887AV Muni","LQA_LIQUIDITY_SCORE")</f>
        <v>#N/A Requesting Data...</v>
      </c>
    </row>
    <row r="2097" spans="1:20" x14ac:dyDescent="0.25">
      <c r="A2097" t="str">
        <f>_xll.BDP("734887AW Muni","ID_CUSIP")</f>
        <v>#N/A Requesting Data...</v>
      </c>
      <c r="B2097" t="s">
        <v>493</v>
      </c>
      <c r="C2097" t="str">
        <f>_xll.BDP("734887AW Muni","INSURANCE_STATUS")</f>
        <v>#N/A Requesting Data...</v>
      </c>
      <c r="D2097" t="str">
        <f>_xll.BDP("734887AW Muni","STATE_CODE")</f>
        <v>#N/A Requesting Data...</v>
      </c>
      <c r="E2097" t="str">
        <f>_xll.BDP("734887AW Muni","COUNTY_LOCATION_ISSUER")</f>
        <v>#N/A Requesting Data...</v>
      </c>
      <c r="F2097" t="str">
        <f>_xll.BDP("734887AW Muni","DUR_ADJ_MID")</f>
        <v>#N/A Requesting Data...</v>
      </c>
      <c r="G2097" t="str">
        <f>_xll.BDP("734887AW Muni","SPREAD_AT_ISSUANCE_TO_WORST")</f>
        <v>#N/A Requesting Data...</v>
      </c>
      <c r="H2097" t="str">
        <f>_xll.BDP("734887AW Muni","ISSUE_DT")</f>
        <v>#N/A Requesting Data...</v>
      </c>
      <c r="I2097" t="str">
        <f>_xll.BDS("734887AW Muni","MUNI_PURPOSE_SCHED", "aggregate=y")</f>
        <v>#N/A Requesting Data...</v>
      </c>
      <c r="J2097" t="str">
        <f>_xll.BDP("734887AW Muni","CPN")</f>
        <v>#N/A Requesting Data...</v>
      </c>
      <c r="K2097" t="str">
        <f>_xll.BDP("734887AW Muni","MATURITY")</f>
        <v>#N/A Requesting Data...</v>
      </c>
      <c r="L2097">
        <v>240000</v>
      </c>
      <c r="M2097" t="str">
        <f>_xll.BDP("734887AW Muni","YIELD_ON_ISSUE_DATE")</f>
        <v>#N/A Requesting Data...</v>
      </c>
      <c r="N2097" t="str">
        <f>_xll.BDP("734887AW Muni","YTW_SPREAD_TO_MATURITY_AT_ISSU")</f>
        <v>#N/A Requesting Data...</v>
      </c>
      <c r="O2097" t="str">
        <f>_xll.BDP("734887AW Muni","BVAL_MID_YTM")</f>
        <v>#N/A Requesting Data...</v>
      </c>
      <c r="P2097" t="str">
        <f>_xll.BDP("734887AW Muni","MUNI_TAX_PROV")</f>
        <v>#N/A Requesting Data...</v>
      </c>
      <c r="Q2097" t="str">
        <f>_xll.BDP("734887AW Muni","MUNI_FED_TAX")</f>
        <v>#N/A Requesting Data...</v>
      </c>
      <c r="R2097" t="str">
        <f>_xll.BDP("734887AW Muni","MUNI_MSRB_VOLUME")</f>
        <v>#N/A Requesting Data...</v>
      </c>
      <c r="S2097" t="str">
        <f>_xll.BDP("734887AW Muni","BB_COMPOSITE")</f>
        <v>#N/A Requesting Data...</v>
      </c>
      <c r="T2097" t="str">
        <f>_xll.BDP("734887AW Muni","LQA_LIQUIDITY_SCORE")</f>
        <v>#N/A Requesting Data...</v>
      </c>
    </row>
    <row r="2098" spans="1:20" x14ac:dyDescent="0.25">
      <c r="A2098" t="str">
        <f>_xll.BDP("734887AX Muni","ID_CUSIP")</f>
        <v>#N/A Requesting Data...</v>
      </c>
      <c r="B2098" t="s">
        <v>493</v>
      </c>
      <c r="C2098" t="str">
        <f>_xll.BDP("734887AX Muni","INSURANCE_STATUS")</f>
        <v>#N/A Requesting Data...</v>
      </c>
      <c r="D2098" t="str">
        <f>_xll.BDP("734887AX Muni","STATE_CODE")</f>
        <v>#N/A Requesting Data...</v>
      </c>
      <c r="E2098" t="str">
        <f>_xll.BDP("734887AX Muni","COUNTY_LOCATION_ISSUER")</f>
        <v>#N/A Requesting Data...</v>
      </c>
      <c r="F2098" t="str">
        <f>_xll.BDP("734887AX Muni","DUR_ADJ_MID")</f>
        <v>#N/A Requesting Data...</v>
      </c>
      <c r="G2098" t="str">
        <f>_xll.BDP("734887AX Muni","SPREAD_AT_ISSUANCE_TO_WORST")</f>
        <v>#N/A Requesting Data...</v>
      </c>
      <c r="H2098" t="str">
        <f>_xll.BDP("734887AX Muni","ISSUE_DT")</f>
        <v>#N/A Requesting Data...</v>
      </c>
      <c r="I2098" t="str">
        <f>_xll.BDS("734887AX Muni","MUNI_PURPOSE_SCHED", "aggregate=y")</f>
        <v>#N/A Requesting Data...</v>
      </c>
      <c r="J2098" t="str">
        <f>_xll.BDP("734887AX Muni","CPN")</f>
        <v>#N/A Requesting Data...</v>
      </c>
      <c r="K2098" t="str">
        <f>_xll.BDP("734887AX Muni","MATURITY")</f>
        <v>#N/A Requesting Data...</v>
      </c>
      <c r="L2098">
        <v>250000</v>
      </c>
      <c r="M2098" t="str">
        <f>_xll.BDP("734887AX Muni","YIELD_ON_ISSUE_DATE")</f>
        <v>#N/A Requesting Data...</v>
      </c>
      <c r="N2098" t="str">
        <f>_xll.BDP("734887AX Muni","YTW_SPREAD_TO_MATURITY_AT_ISSU")</f>
        <v>#N/A Requesting Data...</v>
      </c>
      <c r="O2098" t="str">
        <f>_xll.BDP("734887AX Muni","BVAL_MID_YTM")</f>
        <v>#N/A Requesting Data...</v>
      </c>
      <c r="P2098" t="str">
        <f>_xll.BDP("734887AX Muni","MUNI_TAX_PROV")</f>
        <v>#N/A Requesting Data...</v>
      </c>
      <c r="Q2098" t="str">
        <f>_xll.BDP("734887AX Muni","MUNI_FED_TAX")</f>
        <v>#N/A Requesting Data...</v>
      </c>
      <c r="R2098" t="str">
        <f>_xll.BDP("734887AX Muni","MUNI_MSRB_VOLUME")</f>
        <v>#N/A Requesting Data...</v>
      </c>
      <c r="S2098" t="str">
        <f>_xll.BDP("734887AX Muni","BB_COMPOSITE")</f>
        <v>#N/A Requesting Data...</v>
      </c>
      <c r="T2098" t="str">
        <f>_xll.BDP("734887AX Muni","LQA_LIQUIDITY_SCORE")</f>
        <v>#N/A Requesting Data...</v>
      </c>
    </row>
    <row r="2099" spans="1:20" x14ac:dyDescent="0.25">
      <c r="A2099" t="str">
        <f>_xll.BDP("734887AY Muni","ID_CUSIP")</f>
        <v>#N/A Requesting Data...</v>
      </c>
      <c r="B2099" t="s">
        <v>493</v>
      </c>
      <c r="C2099" t="str">
        <f>_xll.BDP("734887AY Muni","INSURANCE_STATUS")</f>
        <v>#N/A Requesting Data...</v>
      </c>
      <c r="D2099" t="str">
        <f>_xll.BDP("734887AY Muni","STATE_CODE")</f>
        <v>#N/A Requesting Data...</v>
      </c>
      <c r="E2099" t="str">
        <f>_xll.BDP("734887AY Muni","COUNTY_LOCATION_ISSUER")</f>
        <v>#N/A Requesting Data...</v>
      </c>
      <c r="F2099" t="str">
        <f>_xll.BDP("734887AY Muni","DUR_ADJ_MID")</f>
        <v>#N/A Requesting Data...</v>
      </c>
      <c r="G2099" t="str">
        <f>_xll.BDP("734887AY Muni","SPREAD_AT_ISSUANCE_TO_WORST")</f>
        <v>#N/A Requesting Data...</v>
      </c>
      <c r="H2099" t="str">
        <f>_xll.BDP("734887AY Muni","ISSUE_DT")</f>
        <v>#N/A Requesting Data...</v>
      </c>
      <c r="I2099" t="str">
        <f>_xll.BDS("734887AY Muni","MUNI_PURPOSE_SCHED", "aggregate=y")</f>
        <v>#N/A Requesting Data...</v>
      </c>
      <c r="J2099" t="str">
        <f>_xll.BDP("734887AY Muni","CPN")</f>
        <v>#N/A Requesting Data...</v>
      </c>
      <c r="K2099" t="str">
        <f>_xll.BDP("734887AY Muni","MATURITY")</f>
        <v>#N/A Requesting Data...</v>
      </c>
      <c r="L2099">
        <v>260000</v>
      </c>
      <c r="M2099" t="str">
        <f>_xll.BDP("734887AY Muni","YIELD_ON_ISSUE_DATE")</f>
        <v>#N/A Requesting Data...</v>
      </c>
      <c r="N2099" t="str">
        <f>_xll.BDP("734887AY Muni","YTW_SPREAD_TO_MATURITY_AT_ISSU")</f>
        <v>#N/A Requesting Data...</v>
      </c>
      <c r="O2099" t="str">
        <f>_xll.BDP("734887AY Muni","BVAL_MID_YTM")</f>
        <v>#N/A Requesting Data...</v>
      </c>
      <c r="P2099" t="str">
        <f>_xll.BDP("734887AY Muni","MUNI_TAX_PROV")</f>
        <v>#N/A Requesting Data...</v>
      </c>
      <c r="Q2099" t="str">
        <f>_xll.BDP("734887AY Muni","MUNI_FED_TAX")</f>
        <v>#N/A Requesting Data...</v>
      </c>
      <c r="R2099" t="str">
        <f>_xll.BDP("734887AY Muni","MUNI_MSRB_VOLUME")</f>
        <v>#N/A Requesting Data...</v>
      </c>
      <c r="S2099" t="str">
        <f>_xll.BDP("734887AY Muni","BB_COMPOSITE")</f>
        <v>#N/A Requesting Data...</v>
      </c>
      <c r="T2099" t="str">
        <f>_xll.BDP("734887AY Muni","LQA_LIQUIDITY_SCORE")</f>
        <v>#N/A Requesting Data...</v>
      </c>
    </row>
    <row r="2100" spans="1:20" x14ac:dyDescent="0.25">
      <c r="A2100" t="str">
        <f>_xll.BDP("74934RLR Muni","ID_CUSIP")</f>
        <v>#N/A Requesting Data...</v>
      </c>
      <c r="B2100" t="s">
        <v>494</v>
      </c>
      <c r="C2100" t="str">
        <f>_xll.BDP("74934RLR Muni","INSURANCE_STATUS")</f>
        <v>#N/A Requesting Data...</v>
      </c>
      <c r="D2100" t="str">
        <f>_xll.BDP("74934RLR Muni","STATE_CODE")</f>
        <v>#N/A Requesting Data...</v>
      </c>
      <c r="E2100" t="str">
        <f>_xll.BDP("74934RLR Muni","COUNTY_LOCATION_ISSUER")</f>
        <v>#N/A Requesting Data...</v>
      </c>
      <c r="F2100" t="str">
        <f>_xll.BDP("74934RLR Muni","DUR_ADJ_MID")</f>
        <v>#N/A Requesting Data...</v>
      </c>
      <c r="G2100" t="str">
        <f>_xll.BDP("74934RLR Muni","SPREAD_AT_ISSUANCE_TO_WORST")</f>
        <v>#N/A Requesting Data...</v>
      </c>
      <c r="H2100" t="str">
        <f>_xll.BDP("74934RLR Muni","ISSUE_DT")</f>
        <v>#N/A Requesting Data...</v>
      </c>
      <c r="I2100" t="str">
        <f>_xll.BDS("74934RLR Muni","MUNI_PURPOSE_SCHED", "aggregate=y")</f>
        <v>#N/A Requesting Data...</v>
      </c>
      <c r="J2100" t="str">
        <f>_xll.BDP("74934RLR Muni","CPN")</f>
        <v>#N/A Requesting Data...</v>
      </c>
      <c r="K2100" t="str">
        <f>_xll.BDP("74934RLR Muni","MATURITY")</f>
        <v>#N/A Requesting Data...</v>
      </c>
      <c r="L2100">
        <v>5000000</v>
      </c>
      <c r="M2100" t="str">
        <f>_xll.BDP("74934RLR Muni","YIELD_ON_ISSUE_DATE")</f>
        <v>#N/A Requesting Data...</v>
      </c>
      <c r="N2100" t="str">
        <f>_xll.BDP("74934RLR Muni","YTW_SPREAD_TO_MATURITY_AT_ISSU")</f>
        <v>#N/A Requesting Data...</v>
      </c>
      <c r="O2100" t="str">
        <f>_xll.BDP("74934RLR Muni","BVAL_MID_YTM")</f>
        <v>#N/A Requesting Data...</v>
      </c>
      <c r="P2100" t="str">
        <f>_xll.BDP("74934RLR Muni","MUNI_TAX_PROV")</f>
        <v>#N/A Requesting Data...</v>
      </c>
      <c r="Q2100" t="str">
        <f>_xll.BDP("74934RLR Muni","MUNI_FED_TAX")</f>
        <v>#N/A Requesting Data...</v>
      </c>
      <c r="R2100" t="str">
        <f>_xll.BDP("74934RLR Muni","MUNI_MSRB_VOLUME")</f>
        <v>#N/A Requesting Data...</v>
      </c>
      <c r="S2100" t="str">
        <f>_xll.BDP("74934RLR Muni","BB_COMPOSITE")</f>
        <v>#N/A Requesting Data...</v>
      </c>
      <c r="T2100" t="str">
        <f>_xll.BDP("74934RLR Muni","LQA_LIQUIDITY_SCORE")</f>
        <v>#N/A Requesting Data...</v>
      </c>
    </row>
    <row r="2101" spans="1:20" x14ac:dyDescent="0.25">
      <c r="A2101" t="str">
        <f>_xll.BDP("74934RLS Muni","ID_CUSIP")</f>
        <v>#N/A Requesting Data...</v>
      </c>
      <c r="B2101" t="s">
        <v>494</v>
      </c>
      <c r="C2101" t="str">
        <f>_xll.BDP("74934RLS Muni","INSURANCE_STATUS")</f>
        <v>#N/A Requesting Data...</v>
      </c>
      <c r="D2101" t="str">
        <f>_xll.BDP("74934RLS Muni","STATE_CODE")</f>
        <v>#N/A Requesting Data...</v>
      </c>
      <c r="E2101" t="str">
        <f>_xll.BDP("74934RLS Muni","COUNTY_LOCATION_ISSUER")</f>
        <v>#N/A Requesting Data...</v>
      </c>
      <c r="F2101" t="str">
        <f>_xll.BDP("74934RLS Muni","DUR_ADJ_MID")</f>
        <v>#N/A Requesting Data...</v>
      </c>
      <c r="G2101" t="str">
        <f>_xll.BDP("74934RLS Muni","SPREAD_AT_ISSUANCE_TO_WORST")</f>
        <v>#N/A Requesting Data...</v>
      </c>
      <c r="H2101" t="str">
        <f>_xll.BDP("74934RLS Muni","ISSUE_DT")</f>
        <v>#N/A Requesting Data...</v>
      </c>
      <c r="I2101" t="str">
        <f>_xll.BDS("74934RLS Muni","MUNI_PURPOSE_SCHED", "aggregate=y")</f>
        <v>#N/A Requesting Data...</v>
      </c>
      <c r="J2101" t="str">
        <f>_xll.BDP("74934RLS Muni","CPN")</f>
        <v>#N/A Requesting Data...</v>
      </c>
      <c r="K2101" t="str">
        <f>_xll.BDP("74934RLS Muni","MATURITY")</f>
        <v>#N/A Requesting Data...</v>
      </c>
      <c r="L2101">
        <v>2500000</v>
      </c>
      <c r="M2101" t="str">
        <f>_xll.BDP("74934RLS Muni","YIELD_ON_ISSUE_DATE")</f>
        <v>#N/A Requesting Data...</v>
      </c>
      <c r="N2101" t="str">
        <f>_xll.BDP("74934RLS Muni","YTW_SPREAD_TO_MATURITY_AT_ISSU")</f>
        <v>#N/A Requesting Data...</v>
      </c>
      <c r="O2101" t="str">
        <f>_xll.BDP("74934RLS Muni","BVAL_MID_YTM")</f>
        <v>#N/A Requesting Data...</v>
      </c>
      <c r="P2101" t="str">
        <f>_xll.BDP("74934RLS Muni","MUNI_TAX_PROV")</f>
        <v>#N/A Requesting Data...</v>
      </c>
      <c r="Q2101" t="str">
        <f>_xll.BDP("74934RLS Muni","MUNI_FED_TAX")</f>
        <v>#N/A Requesting Data...</v>
      </c>
      <c r="R2101" t="str">
        <f>_xll.BDP("74934RLS Muni","MUNI_MSRB_VOLUME")</f>
        <v>#N/A Requesting Data...</v>
      </c>
      <c r="S2101" t="str">
        <f>_xll.BDP("74934RLS Muni","BB_COMPOSITE")</f>
        <v>#N/A Requesting Data...</v>
      </c>
      <c r="T2101" t="str">
        <f>_xll.BDP("74934RLS Muni","LQA_LIQUIDITY_SCORE")</f>
        <v>#N/A Requesting Data...</v>
      </c>
    </row>
    <row r="2102" spans="1:20" x14ac:dyDescent="0.25">
      <c r="A2102" t="str">
        <f>_xll.BDP("74934RQS Muni","ID_CUSIP")</f>
        <v>#N/A Requesting Data...</v>
      </c>
      <c r="B2102" t="s">
        <v>494</v>
      </c>
      <c r="C2102" t="str">
        <f>_xll.BDP("74934RQS Muni","INSURANCE_STATUS")</f>
        <v>#N/A Requesting Data...</v>
      </c>
      <c r="D2102" t="str">
        <f>_xll.BDP("74934RQS Muni","STATE_CODE")</f>
        <v>#N/A Requesting Data...</v>
      </c>
      <c r="E2102" t="str">
        <f>_xll.BDP("74934RQS Muni","COUNTY_LOCATION_ISSUER")</f>
        <v>#N/A Requesting Data...</v>
      </c>
      <c r="F2102" t="str">
        <f>_xll.BDP("74934RQS Muni","DUR_ADJ_MID")</f>
        <v>#N/A Requesting Data...</v>
      </c>
      <c r="G2102" t="str">
        <f>_xll.BDP("74934RQS Muni","SPREAD_AT_ISSUANCE_TO_WORST")</f>
        <v>#N/A Requesting Data...</v>
      </c>
      <c r="H2102" t="str">
        <f>_xll.BDP("74934RQS Muni","ISSUE_DT")</f>
        <v>#N/A Requesting Data...</v>
      </c>
      <c r="I2102" t="str">
        <f>_xll.BDS("74934RQS Muni","MUNI_PURPOSE_SCHED", "aggregate=y")</f>
        <v>#N/A Requesting Data...</v>
      </c>
      <c r="J2102" t="str">
        <f>_xll.BDP("74934RQS Muni","CPN")</f>
        <v>#N/A Requesting Data...</v>
      </c>
      <c r="K2102" t="str">
        <f>_xll.BDP("74934RQS Muni","MATURITY")</f>
        <v>#N/A Requesting Data...</v>
      </c>
      <c r="L2102">
        <v>250000</v>
      </c>
      <c r="M2102" t="str">
        <f>_xll.BDP("74934RQS Muni","YIELD_ON_ISSUE_DATE")</f>
        <v>#N/A Requesting Data...</v>
      </c>
      <c r="N2102" t="str">
        <f>_xll.BDP("74934RQS Muni","YTW_SPREAD_TO_MATURITY_AT_ISSU")</f>
        <v>#N/A Requesting Data...</v>
      </c>
      <c r="O2102" t="str">
        <f>_xll.BDP("74934RQS Muni","BVAL_MID_YTM")</f>
        <v>#N/A Requesting Data...</v>
      </c>
      <c r="P2102" t="str">
        <f>_xll.BDP("74934RQS Muni","MUNI_TAX_PROV")</f>
        <v>#N/A Requesting Data...</v>
      </c>
      <c r="Q2102" t="str">
        <f>_xll.BDP("74934RQS Muni","MUNI_FED_TAX")</f>
        <v>#N/A Requesting Data...</v>
      </c>
      <c r="R2102" t="str">
        <f>_xll.BDP("74934RQS Muni","MUNI_MSRB_VOLUME")</f>
        <v>#N/A Requesting Data...</v>
      </c>
      <c r="S2102" t="str">
        <f>_xll.BDP("74934RQS Muni","BB_COMPOSITE")</f>
        <v>#N/A Requesting Data...</v>
      </c>
      <c r="T2102" t="str">
        <f>_xll.BDP("74934RQS Muni","LQA_LIQUIDITY_SCORE")</f>
        <v>#N/A Requesting Data...</v>
      </c>
    </row>
    <row r="2103" spans="1:20" x14ac:dyDescent="0.25">
      <c r="A2103" t="str">
        <f>_xll.BDP("750667XU Muni","ID_CUSIP")</f>
        <v>#N/A Requesting Data...</v>
      </c>
      <c r="B2103" t="s">
        <v>495</v>
      </c>
      <c r="C2103" t="str">
        <f>_xll.BDP("750667XU Muni","INSURANCE_STATUS")</f>
        <v>#N/A Requesting Data...</v>
      </c>
      <c r="D2103" t="str">
        <f>_xll.BDP("750667XU Muni","STATE_CODE")</f>
        <v>#N/A Requesting Data...</v>
      </c>
      <c r="E2103" t="str">
        <f>_xll.BDP("750667XU Muni","COUNTY_LOCATION_ISSUER")</f>
        <v>#N/A Requesting Data...</v>
      </c>
      <c r="F2103" t="str">
        <f>_xll.BDP("750667XU Muni","DUR_ADJ_MID")</f>
        <v>#N/A Requesting Data...</v>
      </c>
      <c r="G2103" t="str">
        <f>_xll.BDP("750667XU Muni","SPREAD_AT_ISSUANCE_TO_WORST")</f>
        <v>#N/A Requesting Data...</v>
      </c>
      <c r="H2103" t="str">
        <f>_xll.BDP("750667XU Muni","ISSUE_DT")</f>
        <v>#N/A Requesting Data...</v>
      </c>
      <c r="I2103" t="str">
        <f>_xll.BDS("750667XU Muni","MUNI_PURPOSE_SCHED", "aggregate=y")</f>
        <v>#N/A Requesting Data...</v>
      </c>
      <c r="J2103" t="str">
        <f>_xll.BDP("750667XU Muni","CPN")</f>
        <v>#N/A Requesting Data...</v>
      </c>
      <c r="K2103" t="str">
        <f>_xll.BDP("750667XU Muni","MATURITY")</f>
        <v>#N/A Requesting Data...</v>
      </c>
      <c r="L2103">
        <v>170000</v>
      </c>
      <c r="M2103" t="str">
        <f>_xll.BDP("750667XU Muni","YIELD_ON_ISSUE_DATE")</f>
        <v>#N/A Requesting Data...</v>
      </c>
      <c r="N2103" t="str">
        <f>_xll.BDP("750667XU Muni","YTW_SPREAD_TO_MATURITY_AT_ISSU")</f>
        <v>#N/A Requesting Data...</v>
      </c>
      <c r="O2103" t="str">
        <f>_xll.BDP("750667XU Muni","BVAL_MID_YTM")</f>
        <v>#N/A Requesting Data...</v>
      </c>
      <c r="P2103" t="str">
        <f>_xll.BDP("750667XU Muni","MUNI_TAX_PROV")</f>
        <v>#N/A Requesting Data...</v>
      </c>
      <c r="Q2103" t="str">
        <f>_xll.BDP("750667XU Muni","MUNI_FED_TAX")</f>
        <v>#N/A Requesting Data...</v>
      </c>
      <c r="R2103" t="str">
        <f>_xll.BDP("750667XU Muni","MUNI_MSRB_VOLUME")</f>
        <v>#N/A Requesting Data...</v>
      </c>
      <c r="S2103" t="str">
        <f>_xll.BDP("750667XU Muni","BB_COMPOSITE")</f>
        <v>#N/A Requesting Data...</v>
      </c>
      <c r="T2103" t="str">
        <f>_xll.BDP("750667XU Muni","LQA_LIQUIDITY_SCORE")</f>
        <v>#N/A Requesting Data...</v>
      </c>
    </row>
    <row r="2104" spans="1:20" x14ac:dyDescent="0.25">
      <c r="A2104" t="str">
        <f>_xll.BDP("750667XV Muni","ID_CUSIP")</f>
        <v>#N/A Requesting Data...</v>
      </c>
      <c r="B2104" t="s">
        <v>495</v>
      </c>
      <c r="C2104" t="str">
        <f>_xll.BDP("750667XV Muni","INSURANCE_STATUS")</f>
        <v>#N/A Requesting Data...</v>
      </c>
      <c r="D2104" t="str">
        <f>_xll.BDP("750667XV Muni","STATE_CODE")</f>
        <v>#N/A Requesting Data...</v>
      </c>
      <c r="E2104" t="str">
        <f>_xll.BDP("750667XV Muni","COUNTY_LOCATION_ISSUER")</f>
        <v>#N/A Requesting Data...</v>
      </c>
      <c r="F2104" t="str">
        <f>_xll.BDP("750667XV Muni","DUR_ADJ_MID")</f>
        <v>#N/A Requesting Data...</v>
      </c>
      <c r="G2104" t="str">
        <f>_xll.BDP("750667XV Muni","SPREAD_AT_ISSUANCE_TO_WORST")</f>
        <v>#N/A Requesting Data...</v>
      </c>
      <c r="H2104" t="str">
        <f>_xll.BDP("750667XV Muni","ISSUE_DT")</f>
        <v>#N/A Requesting Data...</v>
      </c>
      <c r="I2104" t="str">
        <f>_xll.BDS("750667XV Muni","MUNI_PURPOSE_SCHED", "aggregate=y")</f>
        <v>#N/A Requesting Data...</v>
      </c>
      <c r="J2104" t="str">
        <f>_xll.BDP("750667XV Muni","CPN")</f>
        <v>#N/A Requesting Data...</v>
      </c>
      <c r="K2104" t="str">
        <f>_xll.BDP("750667XV Muni","MATURITY")</f>
        <v>#N/A Requesting Data...</v>
      </c>
      <c r="L2104">
        <v>185000</v>
      </c>
      <c r="M2104" t="str">
        <f>_xll.BDP("750667XV Muni","YIELD_ON_ISSUE_DATE")</f>
        <v>#N/A Requesting Data...</v>
      </c>
      <c r="N2104" t="str">
        <f>_xll.BDP("750667XV Muni","YTW_SPREAD_TO_MATURITY_AT_ISSU")</f>
        <v>#N/A Requesting Data...</v>
      </c>
      <c r="O2104" t="str">
        <f>_xll.BDP("750667XV Muni","BVAL_MID_YTM")</f>
        <v>#N/A Requesting Data...</v>
      </c>
      <c r="P2104" t="str">
        <f>_xll.BDP("750667XV Muni","MUNI_TAX_PROV")</f>
        <v>#N/A Requesting Data...</v>
      </c>
      <c r="Q2104" t="str">
        <f>_xll.BDP("750667XV Muni","MUNI_FED_TAX")</f>
        <v>#N/A Requesting Data...</v>
      </c>
      <c r="R2104" t="str">
        <f>_xll.BDP("750667XV Muni","MUNI_MSRB_VOLUME")</f>
        <v>#N/A Requesting Data...</v>
      </c>
      <c r="S2104" t="str">
        <f>_xll.BDP("750667XV Muni","BB_COMPOSITE")</f>
        <v>#N/A Requesting Data...</v>
      </c>
      <c r="T2104" t="str">
        <f>_xll.BDP("750667XV Muni","LQA_LIQUIDITY_SCORE")</f>
        <v>#N/A Requesting Data...</v>
      </c>
    </row>
    <row r="2105" spans="1:20" x14ac:dyDescent="0.25">
      <c r="A2105" t="str">
        <f>_xll.BDP("75211RJU Muni","ID_CUSIP")</f>
        <v>#N/A Requesting Data...</v>
      </c>
      <c r="B2105" t="s">
        <v>467</v>
      </c>
      <c r="C2105" t="str">
        <f>_xll.BDP("75211RJU Muni","INSURANCE_STATUS")</f>
        <v>#N/A Requesting Data...</v>
      </c>
      <c r="D2105" t="str">
        <f>_xll.BDP("75211RJU Muni","STATE_CODE")</f>
        <v>#N/A Requesting Data...</v>
      </c>
      <c r="E2105" t="str">
        <f>_xll.BDP("75211RJU Muni","COUNTY_LOCATION_ISSUER")</f>
        <v>#N/A Requesting Data...</v>
      </c>
      <c r="F2105" t="str">
        <f>_xll.BDP("75211RJU Muni","DUR_ADJ_MID")</f>
        <v>#N/A Requesting Data...</v>
      </c>
      <c r="G2105" t="str">
        <f>_xll.BDP("75211RJU Muni","SPREAD_AT_ISSUANCE_TO_WORST")</f>
        <v>#N/A Requesting Data...</v>
      </c>
      <c r="H2105" t="str">
        <f>_xll.BDP("75211RJU Muni","ISSUE_DT")</f>
        <v>#N/A Requesting Data...</v>
      </c>
      <c r="I2105" t="str">
        <f>_xll.BDS("75211RJU Muni","MUNI_PURPOSE_SCHED", "aggregate=y")</f>
        <v>#N/A Requesting Data...</v>
      </c>
      <c r="J2105" t="str">
        <f>_xll.BDP("75211RJU Muni","CPN")</f>
        <v>#N/A Requesting Data...</v>
      </c>
      <c r="K2105" t="str">
        <f>_xll.BDP("75211RJU Muni","MATURITY")</f>
        <v>#N/A Requesting Data...</v>
      </c>
      <c r="L2105">
        <v>95000</v>
      </c>
      <c r="M2105" t="str">
        <f>_xll.BDP("75211RJU Muni","YIELD_ON_ISSUE_DATE")</f>
        <v>#N/A Requesting Data...</v>
      </c>
      <c r="N2105" t="str">
        <f>_xll.BDP("75211RJU Muni","YTW_SPREAD_TO_MATURITY_AT_ISSU")</f>
        <v>#N/A Requesting Data...</v>
      </c>
      <c r="O2105" t="str">
        <f>_xll.BDP("75211RJU Muni","BVAL_MID_YTM")</f>
        <v>#N/A Requesting Data...</v>
      </c>
      <c r="P2105" t="str">
        <f>_xll.BDP("75211RJU Muni","MUNI_TAX_PROV")</f>
        <v>#N/A Requesting Data...</v>
      </c>
      <c r="Q2105" t="str">
        <f>_xll.BDP("75211RJU Muni","MUNI_FED_TAX")</f>
        <v>#N/A Requesting Data...</v>
      </c>
      <c r="R2105" t="str">
        <f>_xll.BDP("75211RJU Muni","MUNI_MSRB_VOLUME")</f>
        <v>#N/A Requesting Data...</v>
      </c>
      <c r="S2105" t="str">
        <f>_xll.BDP("75211RJU Muni","BB_COMPOSITE")</f>
        <v>#N/A Requesting Data...</v>
      </c>
      <c r="T2105" t="str">
        <f>_xll.BDP("75211RJU Muni","LQA_LIQUIDITY_SCORE")</f>
        <v>#N/A Requesting Data...</v>
      </c>
    </row>
    <row r="2106" spans="1:20" x14ac:dyDescent="0.25">
      <c r="A2106" t="str">
        <f>_xll.BDP("82621NDE Muni","ID_CUSIP")</f>
        <v>#N/A Requesting Data...</v>
      </c>
      <c r="B2106" t="s">
        <v>496</v>
      </c>
      <c r="C2106" t="str">
        <f>_xll.BDP("82621NDE Muni","INSURANCE_STATUS")</f>
        <v>#N/A Requesting Data...</v>
      </c>
      <c r="D2106" t="str">
        <f>_xll.BDP("82621NDE Muni","STATE_CODE")</f>
        <v>#N/A Requesting Data...</v>
      </c>
      <c r="E2106" t="str">
        <f>_xll.BDP("82621NDE Muni","COUNTY_LOCATION_ISSUER")</f>
        <v>#N/A Requesting Data...</v>
      </c>
      <c r="F2106" t="str">
        <f>_xll.BDP("82621NDE Muni","DUR_ADJ_MID")</f>
        <v>#N/A Requesting Data...</v>
      </c>
      <c r="G2106" t="str">
        <f>_xll.BDP("82621NDE Muni","SPREAD_AT_ISSUANCE_TO_WORST")</f>
        <v>#N/A Requesting Data...</v>
      </c>
      <c r="H2106" t="str">
        <f>_xll.BDP("82621NDE Muni","ISSUE_DT")</f>
        <v>#N/A Requesting Data...</v>
      </c>
      <c r="I2106" t="str">
        <f>_xll.BDS("82621NDE Muni","MUNI_PURPOSE_SCHED", "aggregate=y")</f>
        <v>#N/A Requesting Data...</v>
      </c>
      <c r="J2106" t="str">
        <f>_xll.BDP("82621NDE Muni","CPN")</f>
        <v>#N/A Requesting Data...</v>
      </c>
      <c r="K2106" t="str">
        <f>_xll.BDP("82621NDE Muni","MATURITY")</f>
        <v>#N/A Requesting Data...</v>
      </c>
      <c r="L2106">
        <v>245000</v>
      </c>
      <c r="M2106" t="str">
        <f>_xll.BDP("82621NDE Muni","YIELD_ON_ISSUE_DATE")</f>
        <v>#N/A Requesting Data...</v>
      </c>
      <c r="N2106" t="str">
        <f>_xll.BDP("82621NDE Muni","YTW_SPREAD_TO_MATURITY_AT_ISSU")</f>
        <v>#N/A Requesting Data...</v>
      </c>
      <c r="O2106" t="str">
        <f>_xll.BDP("82621NDE Muni","BVAL_MID_YTM")</f>
        <v>#N/A Requesting Data...</v>
      </c>
      <c r="P2106" t="str">
        <f>_xll.BDP("82621NDE Muni","MUNI_TAX_PROV")</f>
        <v>#N/A Requesting Data...</v>
      </c>
      <c r="Q2106" t="str">
        <f>_xll.BDP("82621NDE Muni","MUNI_FED_TAX")</f>
        <v>#N/A Requesting Data...</v>
      </c>
      <c r="R2106" t="str">
        <f>_xll.BDP("82621NDE Muni","MUNI_MSRB_VOLUME")</f>
        <v>#N/A Requesting Data...</v>
      </c>
      <c r="S2106" t="str">
        <f>_xll.BDP("82621NDE Muni","BB_COMPOSITE")</f>
        <v>#N/A Requesting Data...</v>
      </c>
      <c r="T2106" t="str">
        <f>_xll.BDP("82621NDE Muni","LQA_LIQUIDITY_SCORE")</f>
        <v>#N/A Requesting Data...</v>
      </c>
    </row>
    <row r="2107" spans="1:20" x14ac:dyDescent="0.25">
      <c r="A2107" t="str">
        <f>_xll.BDP("82621NDF Muni","ID_CUSIP")</f>
        <v>#N/A Requesting Data...</v>
      </c>
      <c r="B2107" t="s">
        <v>496</v>
      </c>
      <c r="C2107" t="str">
        <f>_xll.BDP("82621NDF Muni","INSURANCE_STATUS")</f>
        <v>#N/A Requesting Data...</v>
      </c>
      <c r="D2107" t="str">
        <f>_xll.BDP("82621NDF Muni","STATE_CODE")</f>
        <v>#N/A Requesting Data...</v>
      </c>
      <c r="E2107" t="str">
        <f>_xll.BDP("82621NDF Muni","COUNTY_LOCATION_ISSUER")</f>
        <v>#N/A Requesting Data...</v>
      </c>
      <c r="F2107" t="str">
        <f>_xll.BDP("82621NDF Muni","DUR_ADJ_MID")</f>
        <v>#N/A Requesting Data...</v>
      </c>
      <c r="G2107" t="str">
        <f>_xll.BDP("82621NDF Muni","SPREAD_AT_ISSUANCE_TO_WORST")</f>
        <v>#N/A Requesting Data...</v>
      </c>
      <c r="H2107" t="str">
        <f>_xll.BDP("82621NDF Muni","ISSUE_DT")</f>
        <v>#N/A Requesting Data...</v>
      </c>
      <c r="I2107" t="str">
        <f>_xll.BDS("82621NDF Muni","MUNI_PURPOSE_SCHED", "aggregate=y")</f>
        <v>#N/A Requesting Data...</v>
      </c>
      <c r="J2107" t="str">
        <f>_xll.BDP("82621NDF Muni","CPN")</f>
        <v>#N/A Requesting Data...</v>
      </c>
      <c r="K2107" t="str">
        <f>_xll.BDP("82621NDF Muni","MATURITY")</f>
        <v>#N/A Requesting Data...</v>
      </c>
      <c r="L2107">
        <v>250000</v>
      </c>
      <c r="M2107" t="str">
        <f>_xll.BDP("82621NDF Muni","YIELD_ON_ISSUE_DATE")</f>
        <v>#N/A Requesting Data...</v>
      </c>
      <c r="N2107" t="str">
        <f>_xll.BDP("82621NDF Muni","YTW_SPREAD_TO_MATURITY_AT_ISSU")</f>
        <v>#N/A Requesting Data...</v>
      </c>
      <c r="O2107" t="str">
        <f>_xll.BDP("82621NDF Muni","BVAL_MID_YTM")</f>
        <v>#N/A Requesting Data...</v>
      </c>
      <c r="P2107" t="str">
        <f>_xll.BDP("82621NDF Muni","MUNI_TAX_PROV")</f>
        <v>#N/A Requesting Data...</v>
      </c>
      <c r="Q2107" t="str">
        <f>_xll.BDP("82621NDF Muni","MUNI_FED_TAX")</f>
        <v>#N/A Requesting Data...</v>
      </c>
      <c r="R2107" t="str">
        <f>_xll.BDP("82621NDF Muni","MUNI_MSRB_VOLUME")</f>
        <v>#N/A Requesting Data...</v>
      </c>
      <c r="S2107" t="str">
        <f>_xll.BDP("82621NDF Muni","BB_COMPOSITE")</f>
        <v>#N/A Requesting Data...</v>
      </c>
      <c r="T2107" t="str">
        <f>_xll.BDP("82621NDF Muni","LQA_LIQUIDITY_SCORE")</f>
        <v>#N/A Requesting Data...</v>
      </c>
    </row>
    <row r="2108" spans="1:20" x14ac:dyDescent="0.25">
      <c r="A2108" t="str">
        <f>_xll.BDP("82621NDG Muni","ID_CUSIP")</f>
        <v>#N/A Requesting Data...</v>
      </c>
      <c r="B2108" t="s">
        <v>496</v>
      </c>
      <c r="C2108" t="str">
        <f>_xll.BDP("82621NDG Muni","INSURANCE_STATUS")</f>
        <v>#N/A Requesting Data...</v>
      </c>
      <c r="D2108" t="str">
        <f>_xll.BDP("82621NDG Muni","STATE_CODE")</f>
        <v>#N/A Requesting Data...</v>
      </c>
      <c r="E2108" t="str">
        <f>_xll.BDP("82621NDG Muni","COUNTY_LOCATION_ISSUER")</f>
        <v>#N/A Requesting Data...</v>
      </c>
      <c r="F2108" t="str">
        <f>_xll.BDP("82621NDG Muni","DUR_ADJ_MID")</f>
        <v>#N/A Requesting Data...</v>
      </c>
      <c r="G2108" t="str">
        <f>_xll.BDP("82621NDG Muni","SPREAD_AT_ISSUANCE_TO_WORST")</f>
        <v>#N/A Requesting Data...</v>
      </c>
      <c r="H2108" t="str">
        <f>_xll.BDP("82621NDG Muni","ISSUE_DT")</f>
        <v>#N/A Requesting Data...</v>
      </c>
      <c r="I2108" t="str">
        <f>_xll.BDS("82621NDG Muni","MUNI_PURPOSE_SCHED", "aggregate=y")</f>
        <v>#N/A Requesting Data...</v>
      </c>
      <c r="J2108" t="str">
        <f>_xll.BDP("82621NDG Muni","CPN")</f>
        <v>#N/A Requesting Data...</v>
      </c>
      <c r="K2108" t="str">
        <f>_xll.BDP("82621NDG Muni","MATURITY")</f>
        <v>#N/A Requesting Data...</v>
      </c>
      <c r="L2108">
        <v>260000</v>
      </c>
      <c r="M2108" t="str">
        <f>_xll.BDP("82621NDG Muni","YIELD_ON_ISSUE_DATE")</f>
        <v>#N/A Requesting Data...</v>
      </c>
      <c r="N2108" t="str">
        <f>_xll.BDP("82621NDG Muni","YTW_SPREAD_TO_MATURITY_AT_ISSU")</f>
        <v>#N/A Requesting Data...</v>
      </c>
      <c r="O2108" t="str">
        <f>_xll.BDP("82621NDG Muni","BVAL_MID_YTM")</f>
        <v>#N/A Requesting Data...</v>
      </c>
      <c r="P2108" t="str">
        <f>_xll.BDP("82621NDG Muni","MUNI_TAX_PROV")</f>
        <v>#N/A Requesting Data...</v>
      </c>
      <c r="Q2108" t="str">
        <f>_xll.BDP("82621NDG Muni","MUNI_FED_TAX")</f>
        <v>#N/A Requesting Data...</v>
      </c>
      <c r="R2108" t="str">
        <f>_xll.BDP("82621NDG Muni","MUNI_MSRB_VOLUME")</f>
        <v>#N/A Requesting Data...</v>
      </c>
      <c r="S2108" t="str">
        <f>_xll.BDP("82621NDG Muni","BB_COMPOSITE")</f>
        <v>#N/A Requesting Data...</v>
      </c>
      <c r="T2108" t="str">
        <f>_xll.BDP("82621NDG Muni","LQA_LIQUIDITY_SCORE")</f>
        <v>#N/A Requesting Data...</v>
      </c>
    </row>
    <row r="2109" spans="1:20" x14ac:dyDescent="0.25">
      <c r="A2109" t="str">
        <f>_xll.BDP("82621RCC Muni","ID_CUSIP")</f>
        <v>#N/A Requesting Data...</v>
      </c>
      <c r="B2109" t="s">
        <v>497</v>
      </c>
      <c r="C2109" t="str">
        <f>_xll.BDP("82621RCC Muni","INSURANCE_STATUS")</f>
        <v>#N/A Requesting Data...</v>
      </c>
      <c r="D2109" t="str">
        <f>_xll.BDP("82621RCC Muni","STATE_CODE")</f>
        <v>#N/A Requesting Data...</v>
      </c>
      <c r="E2109" t="str">
        <f>_xll.BDP("82621RCC Muni","COUNTY_LOCATION_ISSUER")</f>
        <v>#N/A Requesting Data...</v>
      </c>
      <c r="F2109" t="str">
        <f>_xll.BDP("82621RCC Muni","DUR_ADJ_MID")</f>
        <v>#N/A Requesting Data...</v>
      </c>
      <c r="G2109" t="str">
        <f>_xll.BDP("82621RCC Muni","SPREAD_AT_ISSUANCE_TO_WORST")</f>
        <v>#N/A Requesting Data...</v>
      </c>
      <c r="H2109" t="str">
        <f>_xll.BDP("82621RCC Muni","ISSUE_DT")</f>
        <v>#N/A Requesting Data...</v>
      </c>
      <c r="I2109" t="str">
        <f>_xll.BDS("82621RCC Muni","MUNI_PURPOSE_SCHED", "aggregate=y")</f>
        <v>#N/A Requesting Data...</v>
      </c>
      <c r="J2109" t="str">
        <f>_xll.BDP("82621RCC Muni","CPN")</f>
        <v>#N/A Requesting Data...</v>
      </c>
      <c r="K2109" t="str">
        <f>_xll.BDP("82621RCC Muni","MATURITY")</f>
        <v>#N/A Requesting Data...</v>
      </c>
      <c r="L2109">
        <v>100000</v>
      </c>
      <c r="M2109" t="str">
        <f>_xll.BDP("82621RCC Muni","YIELD_ON_ISSUE_DATE")</f>
        <v>#N/A Requesting Data...</v>
      </c>
      <c r="N2109" t="str">
        <f>_xll.BDP("82621RCC Muni","YTW_SPREAD_TO_MATURITY_AT_ISSU")</f>
        <v>#N/A Requesting Data...</v>
      </c>
      <c r="O2109" t="str">
        <f>_xll.BDP("82621RCC Muni","BVAL_MID_YTM")</f>
        <v>#N/A Requesting Data...</v>
      </c>
      <c r="P2109" t="str">
        <f>_xll.BDP("82621RCC Muni","MUNI_TAX_PROV")</f>
        <v>#N/A Requesting Data...</v>
      </c>
      <c r="Q2109" t="str">
        <f>_xll.BDP("82621RCC Muni","MUNI_FED_TAX")</f>
        <v>#N/A Requesting Data...</v>
      </c>
      <c r="R2109" t="str">
        <f>_xll.BDP("82621RCC Muni","MUNI_MSRB_VOLUME")</f>
        <v>#N/A Requesting Data...</v>
      </c>
      <c r="S2109" t="str">
        <f>_xll.BDP("82621RCC Muni","BB_COMPOSITE")</f>
        <v>#N/A Requesting Data...</v>
      </c>
      <c r="T2109" t="str">
        <f>_xll.BDP("82621RCC Muni","LQA_LIQUIDITY_SCORE")</f>
        <v>#N/A Requesting Data...</v>
      </c>
    </row>
    <row r="2110" spans="1:20" x14ac:dyDescent="0.25">
      <c r="A2110" t="str">
        <f>_xll.BDP("82621RCD Muni","ID_CUSIP")</f>
        <v>#N/A Requesting Data...</v>
      </c>
      <c r="B2110" t="s">
        <v>497</v>
      </c>
      <c r="C2110" t="str">
        <f>_xll.BDP("82621RCD Muni","INSURANCE_STATUS")</f>
        <v>#N/A Requesting Data...</v>
      </c>
      <c r="D2110" t="str">
        <f>_xll.BDP("82621RCD Muni","STATE_CODE")</f>
        <v>#N/A Requesting Data...</v>
      </c>
      <c r="E2110" t="str">
        <f>_xll.BDP("82621RCD Muni","COUNTY_LOCATION_ISSUER")</f>
        <v>#N/A Requesting Data...</v>
      </c>
      <c r="F2110" t="str">
        <f>_xll.BDP("82621RCD Muni","DUR_ADJ_MID")</f>
        <v>#N/A Requesting Data...</v>
      </c>
      <c r="G2110" t="str">
        <f>_xll.BDP("82621RCD Muni","SPREAD_AT_ISSUANCE_TO_WORST")</f>
        <v>#N/A Requesting Data...</v>
      </c>
      <c r="H2110" t="str">
        <f>_xll.BDP("82621RCD Muni","ISSUE_DT")</f>
        <v>#N/A Requesting Data...</v>
      </c>
      <c r="I2110" t="str">
        <f>_xll.BDS("82621RCD Muni","MUNI_PURPOSE_SCHED", "aggregate=y")</f>
        <v>#N/A Requesting Data...</v>
      </c>
      <c r="J2110" t="str">
        <f>_xll.BDP("82621RCD Muni","CPN")</f>
        <v>#N/A Requesting Data...</v>
      </c>
      <c r="K2110" t="str">
        <f>_xll.BDP("82621RCD Muni","MATURITY")</f>
        <v>#N/A Requesting Data...</v>
      </c>
      <c r="L2110">
        <v>105000</v>
      </c>
      <c r="M2110" t="str">
        <f>_xll.BDP("82621RCD Muni","YIELD_ON_ISSUE_DATE")</f>
        <v>#N/A Requesting Data...</v>
      </c>
      <c r="N2110" t="str">
        <f>_xll.BDP("82621RCD Muni","YTW_SPREAD_TO_MATURITY_AT_ISSU")</f>
        <v>#N/A Requesting Data...</v>
      </c>
      <c r="O2110" t="str">
        <f>_xll.BDP("82621RCD Muni","BVAL_MID_YTM")</f>
        <v>#N/A Requesting Data...</v>
      </c>
      <c r="P2110" t="str">
        <f>_xll.BDP("82621RCD Muni","MUNI_TAX_PROV")</f>
        <v>#N/A Requesting Data...</v>
      </c>
      <c r="Q2110" t="str">
        <f>_xll.BDP("82621RCD Muni","MUNI_FED_TAX")</f>
        <v>#N/A Requesting Data...</v>
      </c>
      <c r="R2110" t="str">
        <f>_xll.BDP("82621RCD Muni","MUNI_MSRB_VOLUME")</f>
        <v>#N/A Requesting Data...</v>
      </c>
      <c r="S2110" t="str">
        <f>_xll.BDP("82621RCD Muni","BB_COMPOSITE")</f>
        <v>#N/A Requesting Data...</v>
      </c>
      <c r="T2110" t="str">
        <f>_xll.BDP("82621RCD Muni","LQA_LIQUIDITY_SCORE")</f>
        <v>#N/A Requesting Data...</v>
      </c>
    </row>
    <row r="2111" spans="1:20" x14ac:dyDescent="0.25">
      <c r="A2111" t="str">
        <f>_xll.BDP("82621RCE Muni","ID_CUSIP")</f>
        <v>#N/A Requesting Data...</v>
      </c>
      <c r="B2111" t="s">
        <v>497</v>
      </c>
      <c r="C2111" t="str">
        <f>_xll.BDP("82621RCE Muni","INSURANCE_STATUS")</f>
        <v>#N/A Requesting Data...</v>
      </c>
      <c r="D2111" t="str">
        <f>_xll.BDP("82621RCE Muni","STATE_CODE")</f>
        <v>#N/A Requesting Data...</v>
      </c>
      <c r="E2111" t="str">
        <f>_xll.BDP("82621RCE Muni","COUNTY_LOCATION_ISSUER")</f>
        <v>#N/A Requesting Data...</v>
      </c>
      <c r="F2111" t="str">
        <f>_xll.BDP("82621RCE Muni","DUR_ADJ_MID")</f>
        <v>#N/A Requesting Data...</v>
      </c>
      <c r="G2111" t="str">
        <f>_xll.BDP("82621RCE Muni","SPREAD_AT_ISSUANCE_TO_WORST")</f>
        <v>#N/A Requesting Data...</v>
      </c>
      <c r="H2111" t="str">
        <f>_xll.BDP("82621RCE Muni","ISSUE_DT")</f>
        <v>#N/A Requesting Data...</v>
      </c>
      <c r="I2111" t="str">
        <f>_xll.BDS("82621RCE Muni","MUNI_PURPOSE_SCHED", "aggregate=y")</f>
        <v>#N/A Requesting Data...</v>
      </c>
      <c r="J2111" t="str">
        <f>_xll.BDP("82621RCE Muni","CPN")</f>
        <v>#N/A Requesting Data...</v>
      </c>
      <c r="K2111" t="str">
        <f>_xll.BDP("82621RCE Muni","MATURITY")</f>
        <v>#N/A Requesting Data...</v>
      </c>
      <c r="L2111">
        <v>105000</v>
      </c>
      <c r="M2111" t="str">
        <f>_xll.BDP("82621RCE Muni","YIELD_ON_ISSUE_DATE")</f>
        <v>#N/A Requesting Data...</v>
      </c>
      <c r="N2111" t="str">
        <f>_xll.BDP("82621RCE Muni","YTW_SPREAD_TO_MATURITY_AT_ISSU")</f>
        <v>#N/A Requesting Data...</v>
      </c>
      <c r="O2111" t="str">
        <f>_xll.BDP("82621RCE Muni","BVAL_MID_YTM")</f>
        <v>#N/A Requesting Data...</v>
      </c>
      <c r="P2111" t="str">
        <f>_xll.BDP("82621RCE Muni","MUNI_TAX_PROV")</f>
        <v>#N/A Requesting Data...</v>
      </c>
      <c r="Q2111" t="str">
        <f>_xll.BDP("82621RCE Muni","MUNI_FED_TAX")</f>
        <v>#N/A Requesting Data...</v>
      </c>
      <c r="R2111" t="str">
        <f>_xll.BDP("82621RCE Muni","MUNI_MSRB_VOLUME")</f>
        <v>#N/A Requesting Data...</v>
      </c>
      <c r="S2111" t="str">
        <f>_xll.BDP("82621RCE Muni","BB_COMPOSITE")</f>
        <v>#N/A Requesting Data...</v>
      </c>
      <c r="T2111" t="str">
        <f>_xll.BDP("82621RCE Muni","LQA_LIQUIDITY_SCORE")</f>
        <v>#N/A Requesting Data...</v>
      </c>
    </row>
    <row r="2112" spans="1:20" x14ac:dyDescent="0.25">
      <c r="A2112" t="str">
        <f>_xll.BDP("82621RCF Muni","ID_CUSIP")</f>
        <v>#N/A Requesting Data...</v>
      </c>
      <c r="B2112" t="s">
        <v>497</v>
      </c>
      <c r="C2112" t="str">
        <f>_xll.BDP("82621RCF Muni","INSURANCE_STATUS")</f>
        <v>#N/A Requesting Data...</v>
      </c>
      <c r="D2112" t="str">
        <f>_xll.BDP("82621RCF Muni","STATE_CODE")</f>
        <v>#N/A Requesting Data...</v>
      </c>
      <c r="E2112" t="str">
        <f>_xll.BDP("82621RCF Muni","COUNTY_LOCATION_ISSUER")</f>
        <v>#N/A Requesting Data...</v>
      </c>
      <c r="F2112" t="str">
        <f>_xll.BDP("82621RCF Muni","DUR_ADJ_MID")</f>
        <v>#N/A Requesting Data...</v>
      </c>
      <c r="G2112" t="str">
        <f>_xll.BDP("82621RCF Muni","SPREAD_AT_ISSUANCE_TO_WORST")</f>
        <v>#N/A Requesting Data...</v>
      </c>
      <c r="H2112" t="str">
        <f>_xll.BDP("82621RCF Muni","ISSUE_DT")</f>
        <v>#N/A Requesting Data...</v>
      </c>
      <c r="I2112" t="str">
        <f>_xll.BDS("82621RCF Muni","MUNI_PURPOSE_SCHED", "aggregate=y")</f>
        <v>#N/A Requesting Data...</v>
      </c>
      <c r="J2112" t="str">
        <f>_xll.BDP("82621RCF Muni","CPN")</f>
        <v>#N/A Requesting Data...</v>
      </c>
      <c r="K2112" t="str">
        <f>_xll.BDP("82621RCF Muni","MATURITY")</f>
        <v>#N/A Requesting Data...</v>
      </c>
      <c r="L2112">
        <v>110000</v>
      </c>
      <c r="M2112" t="str">
        <f>_xll.BDP("82621RCF Muni","YIELD_ON_ISSUE_DATE")</f>
        <v>#N/A Requesting Data...</v>
      </c>
      <c r="N2112" t="str">
        <f>_xll.BDP("82621RCF Muni","YTW_SPREAD_TO_MATURITY_AT_ISSU")</f>
        <v>#N/A Requesting Data...</v>
      </c>
      <c r="O2112" t="str">
        <f>_xll.BDP("82621RCF Muni","BVAL_MID_YTM")</f>
        <v>#N/A Requesting Data...</v>
      </c>
      <c r="P2112" t="str">
        <f>_xll.BDP("82621RCF Muni","MUNI_TAX_PROV")</f>
        <v>#N/A Requesting Data...</v>
      </c>
      <c r="Q2112" t="str">
        <f>_xll.BDP("82621RCF Muni","MUNI_FED_TAX")</f>
        <v>#N/A Requesting Data...</v>
      </c>
      <c r="R2112" t="str">
        <f>_xll.BDP("82621RCF Muni","MUNI_MSRB_VOLUME")</f>
        <v>#N/A Requesting Data...</v>
      </c>
      <c r="S2112" t="str">
        <f>_xll.BDP("82621RCF Muni","BB_COMPOSITE")</f>
        <v>#N/A Requesting Data...</v>
      </c>
      <c r="T2112" t="str">
        <f>_xll.BDP("82621RCF Muni","LQA_LIQUIDITY_SCORE")</f>
        <v>#N/A Requesting Data...</v>
      </c>
    </row>
    <row r="2113" spans="1:20" x14ac:dyDescent="0.25">
      <c r="A2113" t="str">
        <f>_xll.BDP("82621XDE Muni","ID_CUSIP")</f>
        <v>#N/A Requesting Data...</v>
      </c>
      <c r="B2113" t="s">
        <v>460</v>
      </c>
      <c r="C2113" t="str">
        <f>_xll.BDP("82621XDE Muni","INSURANCE_STATUS")</f>
        <v>#N/A Requesting Data...</v>
      </c>
      <c r="D2113" t="str">
        <f>_xll.BDP("82621XDE Muni","STATE_CODE")</f>
        <v>#N/A Requesting Data...</v>
      </c>
      <c r="E2113" t="str">
        <f>_xll.BDP("82621XDE Muni","COUNTY_LOCATION_ISSUER")</f>
        <v>#N/A Requesting Data...</v>
      </c>
      <c r="F2113" t="str">
        <f>_xll.BDP("82621XDE Muni","DUR_ADJ_MID")</f>
        <v>#N/A Requesting Data...</v>
      </c>
      <c r="G2113" t="str">
        <f>_xll.BDP("82621XDE Muni","SPREAD_AT_ISSUANCE_TO_WORST")</f>
        <v>#N/A Requesting Data...</v>
      </c>
      <c r="H2113" t="str">
        <f>_xll.BDP("82621XDE Muni","ISSUE_DT")</f>
        <v>#N/A Requesting Data...</v>
      </c>
      <c r="I2113" t="str">
        <f>_xll.BDS("82621XDE Muni","MUNI_PURPOSE_SCHED", "aggregate=y")</f>
        <v>#N/A Requesting Data...</v>
      </c>
      <c r="J2113" t="str">
        <f>_xll.BDP("82621XDE Muni","CPN")</f>
        <v>#N/A Requesting Data...</v>
      </c>
      <c r="K2113" t="str">
        <f>_xll.BDP("82621XDE Muni","MATURITY")</f>
        <v>#N/A Requesting Data...</v>
      </c>
      <c r="L2113">
        <v>235000</v>
      </c>
      <c r="M2113" t="str">
        <f>_xll.BDP("82621XDE Muni","YIELD_ON_ISSUE_DATE")</f>
        <v>#N/A Requesting Data...</v>
      </c>
      <c r="N2113" t="str">
        <f>_xll.BDP("82621XDE Muni","YTW_SPREAD_TO_MATURITY_AT_ISSU")</f>
        <v>#N/A Requesting Data...</v>
      </c>
      <c r="O2113" t="str">
        <f>_xll.BDP("82621XDE Muni","BVAL_MID_YTM")</f>
        <v>#N/A Requesting Data...</v>
      </c>
      <c r="P2113" t="str">
        <f>_xll.BDP("82621XDE Muni","MUNI_TAX_PROV")</f>
        <v>#N/A Requesting Data...</v>
      </c>
      <c r="Q2113" t="str">
        <f>_xll.BDP("82621XDE Muni","MUNI_FED_TAX")</f>
        <v>#N/A Requesting Data...</v>
      </c>
      <c r="R2113" t="str">
        <f>_xll.BDP("82621XDE Muni","MUNI_MSRB_VOLUME")</f>
        <v>#N/A Requesting Data...</v>
      </c>
      <c r="S2113" t="str">
        <f>_xll.BDP("82621XDE Muni","BB_COMPOSITE")</f>
        <v>#N/A Requesting Data...</v>
      </c>
      <c r="T2113" t="str">
        <f>_xll.BDP("82621XDE Muni","LQA_LIQUIDITY_SCORE")</f>
        <v>#N/A Requesting Data...</v>
      </c>
    </row>
    <row r="2114" spans="1:20" x14ac:dyDescent="0.25">
      <c r="A2114" t="str">
        <f>_xll.BDP("831049DX Muni","ID_CUSIP")</f>
        <v>#N/A Requesting Data...</v>
      </c>
      <c r="B2114" t="s">
        <v>461</v>
      </c>
      <c r="C2114" t="str">
        <f>_xll.BDP("831049DX Muni","INSURANCE_STATUS")</f>
        <v>#N/A Requesting Data...</v>
      </c>
      <c r="D2114" t="str">
        <f>_xll.BDP("831049DX Muni","STATE_CODE")</f>
        <v>#N/A Requesting Data...</v>
      </c>
      <c r="E2114" t="str">
        <f>_xll.BDP("831049DX Muni","COUNTY_LOCATION_ISSUER")</f>
        <v>#N/A Requesting Data...</v>
      </c>
      <c r="F2114" t="str">
        <f>_xll.BDP("831049DX Muni","DUR_ADJ_MID")</f>
        <v>#N/A Requesting Data...</v>
      </c>
      <c r="G2114" t="str">
        <f>_xll.BDP("831049DX Muni","SPREAD_AT_ISSUANCE_TO_WORST")</f>
        <v>#N/A Requesting Data...</v>
      </c>
      <c r="H2114" t="str">
        <f>_xll.BDP("831049DX Muni","ISSUE_DT")</f>
        <v>#N/A Requesting Data...</v>
      </c>
      <c r="I2114" t="str">
        <f>_xll.BDS("831049DX Muni","MUNI_PURPOSE_SCHED", "aggregate=y")</f>
        <v>#N/A Requesting Data...</v>
      </c>
      <c r="J2114" t="str">
        <f>_xll.BDP("831049DX Muni","CPN")</f>
        <v>#N/A Requesting Data...</v>
      </c>
      <c r="K2114" t="str">
        <f>_xll.BDP("831049DX Muni","MATURITY")</f>
        <v>#N/A Requesting Data...</v>
      </c>
      <c r="L2114">
        <v>235000</v>
      </c>
      <c r="M2114" t="str">
        <f>_xll.BDP("831049DX Muni","YIELD_ON_ISSUE_DATE")</f>
        <v>#N/A Requesting Data...</v>
      </c>
      <c r="N2114" t="str">
        <f>_xll.BDP("831049DX Muni","YTW_SPREAD_TO_MATURITY_AT_ISSU")</f>
        <v>#N/A Requesting Data...</v>
      </c>
      <c r="O2114" t="str">
        <f>_xll.BDP("831049DX Muni","BVAL_MID_YTM")</f>
        <v>#N/A Requesting Data...</v>
      </c>
      <c r="P2114" t="str">
        <f>_xll.BDP("831049DX Muni","MUNI_TAX_PROV")</f>
        <v>#N/A Requesting Data...</v>
      </c>
      <c r="Q2114" t="str">
        <f>_xll.BDP("831049DX Muni","MUNI_FED_TAX")</f>
        <v>#N/A Requesting Data...</v>
      </c>
      <c r="R2114" t="str">
        <f>_xll.BDP("831049DX Muni","MUNI_MSRB_VOLUME")</f>
        <v>#N/A Requesting Data...</v>
      </c>
      <c r="S2114" t="str">
        <f>_xll.BDP("831049DX Muni","BB_COMPOSITE")</f>
        <v>#N/A Requesting Data...</v>
      </c>
      <c r="T2114" t="str">
        <f>_xll.BDP("831049DX Muni","LQA_LIQUIDITY_SCORE")</f>
        <v>#N/A Requesting Data...</v>
      </c>
    </row>
    <row r="2115" spans="1:20" x14ac:dyDescent="0.25">
      <c r="A2115" t="str">
        <f>_xll.BDP("752737JU Muni","ID_CUSIP")</f>
        <v>#N/A Requesting Data...</v>
      </c>
      <c r="B2115" t="s">
        <v>468</v>
      </c>
      <c r="C2115" t="str">
        <f>_xll.BDP("752737JU Muni","INSURANCE_STATUS")</f>
        <v>#N/A Requesting Data...</v>
      </c>
      <c r="D2115" t="str">
        <f>_xll.BDP("752737JU Muni","STATE_CODE")</f>
        <v>#N/A Requesting Data...</v>
      </c>
      <c r="E2115" t="str">
        <f>_xll.BDP("752737JU Muni","COUNTY_LOCATION_ISSUER")</f>
        <v>#N/A Requesting Data...</v>
      </c>
      <c r="F2115" t="str">
        <f>_xll.BDP("752737JU Muni","DUR_ADJ_MID")</f>
        <v>#N/A Requesting Data...</v>
      </c>
      <c r="G2115" t="str">
        <f>_xll.BDP("752737JU Muni","SPREAD_AT_ISSUANCE_TO_WORST")</f>
        <v>#N/A Requesting Data...</v>
      </c>
      <c r="H2115" t="str">
        <f>_xll.BDP("752737JU Muni","ISSUE_DT")</f>
        <v>#N/A Requesting Data...</v>
      </c>
      <c r="I2115" t="str">
        <f>_xll.BDS("752737JU Muni","MUNI_PURPOSE_SCHED", "aggregate=y")</f>
        <v>#N/A Requesting Data...</v>
      </c>
      <c r="J2115" t="str">
        <f>_xll.BDP("752737JU Muni","CPN")</f>
        <v>#N/A Requesting Data...</v>
      </c>
      <c r="K2115" t="str">
        <f>_xll.BDP("752737JU Muni","MATURITY")</f>
        <v>#N/A Requesting Data...</v>
      </c>
      <c r="L2115">
        <v>590000</v>
      </c>
      <c r="M2115" t="str">
        <f>_xll.BDP("752737JU Muni","YIELD_ON_ISSUE_DATE")</f>
        <v>#N/A Requesting Data...</v>
      </c>
      <c r="N2115" t="str">
        <f>_xll.BDP("752737JU Muni","YTW_SPREAD_TO_MATURITY_AT_ISSU")</f>
        <v>#N/A Requesting Data...</v>
      </c>
      <c r="O2115" t="str">
        <f>_xll.BDP("752737JU Muni","BVAL_MID_YTM")</f>
        <v>#N/A Requesting Data...</v>
      </c>
      <c r="P2115" t="str">
        <f>_xll.BDP("752737JU Muni","MUNI_TAX_PROV")</f>
        <v>#N/A Requesting Data...</v>
      </c>
      <c r="Q2115" t="str">
        <f>_xll.BDP("752737JU Muni","MUNI_FED_TAX")</f>
        <v>#N/A Requesting Data...</v>
      </c>
      <c r="R2115" t="str">
        <f>_xll.BDP("752737JU Muni","MUNI_MSRB_VOLUME")</f>
        <v>#N/A Requesting Data...</v>
      </c>
      <c r="S2115" t="str">
        <f>_xll.BDP("752737JU Muni","BB_COMPOSITE")</f>
        <v>#N/A Requesting Data...</v>
      </c>
      <c r="T2115" t="str">
        <f>_xll.BDP("752737JU Muni","LQA_LIQUIDITY_SCORE")</f>
        <v>#N/A Requesting Data...</v>
      </c>
    </row>
    <row r="2116" spans="1:20" x14ac:dyDescent="0.25">
      <c r="A2116" t="str">
        <f>_xll.BDP("752737JW Muni","ID_CUSIP")</f>
        <v>#N/A Requesting Data...</v>
      </c>
      <c r="B2116" t="s">
        <v>468</v>
      </c>
      <c r="C2116" t="str">
        <f>_xll.BDP("752737JW Muni","INSURANCE_STATUS")</f>
        <v>#N/A Requesting Data...</v>
      </c>
      <c r="D2116" t="str">
        <f>_xll.BDP("752737JW Muni","STATE_CODE")</f>
        <v>#N/A Requesting Data...</v>
      </c>
      <c r="E2116" t="str">
        <f>_xll.BDP("752737JW Muni","COUNTY_LOCATION_ISSUER")</f>
        <v>#N/A Requesting Data...</v>
      </c>
      <c r="F2116" t="str">
        <f>_xll.BDP("752737JW Muni","DUR_ADJ_MID")</f>
        <v>#N/A Requesting Data...</v>
      </c>
      <c r="G2116" t="str">
        <f>_xll.BDP("752737JW Muni","SPREAD_AT_ISSUANCE_TO_WORST")</f>
        <v>#N/A Requesting Data...</v>
      </c>
      <c r="H2116" t="str">
        <f>_xll.BDP("752737JW Muni","ISSUE_DT")</f>
        <v>#N/A Requesting Data...</v>
      </c>
      <c r="I2116" t="str">
        <f>_xll.BDS("752737JW Muni","MUNI_PURPOSE_SCHED", "aggregate=y")</f>
        <v>#N/A Requesting Data...</v>
      </c>
      <c r="J2116" t="str">
        <f>_xll.BDP("752737JW Muni","CPN")</f>
        <v>#N/A Requesting Data...</v>
      </c>
      <c r="K2116" t="str">
        <f>_xll.BDP("752737JW Muni","MATURITY")</f>
        <v>#N/A Requesting Data...</v>
      </c>
      <c r="L2116">
        <v>610000</v>
      </c>
      <c r="M2116" t="str">
        <f>_xll.BDP("752737JW Muni","YIELD_ON_ISSUE_DATE")</f>
        <v>#N/A Requesting Data...</v>
      </c>
      <c r="N2116" t="str">
        <f>_xll.BDP("752737JW Muni","YTW_SPREAD_TO_MATURITY_AT_ISSU")</f>
        <v>#N/A Requesting Data...</v>
      </c>
      <c r="O2116" t="str">
        <f>_xll.BDP("752737JW Muni","BVAL_MID_YTM")</f>
        <v>#N/A Requesting Data...</v>
      </c>
      <c r="P2116" t="str">
        <f>_xll.BDP("752737JW Muni","MUNI_TAX_PROV")</f>
        <v>#N/A Requesting Data...</v>
      </c>
      <c r="Q2116" t="str">
        <f>_xll.BDP("752737JW Muni","MUNI_FED_TAX")</f>
        <v>#N/A Requesting Data...</v>
      </c>
      <c r="R2116" t="str">
        <f>_xll.BDP("752737JW Muni","MUNI_MSRB_VOLUME")</f>
        <v>#N/A Requesting Data...</v>
      </c>
      <c r="S2116" t="str">
        <f>_xll.BDP("752737JW Muni","BB_COMPOSITE")</f>
        <v>#N/A Requesting Data...</v>
      </c>
      <c r="T2116" t="str">
        <f>_xll.BDP("752737JW Muni","LQA_LIQUIDITY_SCORE")</f>
        <v>#N/A Requesting Data...</v>
      </c>
    </row>
    <row r="2117" spans="1:20" x14ac:dyDescent="0.25">
      <c r="A2117" t="str">
        <f>_xll.BDP("74934RKB Muni","ID_CUSIP")</f>
        <v>#N/A Requesting Data...</v>
      </c>
      <c r="B2117" t="s">
        <v>494</v>
      </c>
      <c r="C2117" t="str">
        <f>_xll.BDP("74934RKB Muni","INSURANCE_STATUS")</f>
        <v>#N/A Requesting Data...</v>
      </c>
      <c r="D2117" t="str">
        <f>_xll.BDP("74934RKB Muni","STATE_CODE")</f>
        <v>#N/A Requesting Data...</v>
      </c>
      <c r="E2117" t="str">
        <f>_xll.BDP("74934RKB Muni","COUNTY_LOCATION_ISSUER")</f>
        <v>#N/A Requesting Data...</v>
      </c>
      <c r="F2117" t="str">
        <f>_xll.BDP("74934RKB Muni","DUR_ADJ_MID")</f>
        <v>#N/A Requesting Data...</v>
      </c>
      <c r="G2117" t="str">
        <f>_xll.BDP("74934RKB Muni","SPREAD_AT_ISSUANCE_TO_WORST")</f>
        <v>#N/A Requesting Data...</v>
      </c>
      <c r="H2117" t="str">
        <f>_xll.BDP("74934RKB Muni","ISSUE_DT")</f>
        <v>#N/A Requesting Data...</v>
      </c>
      <c r="I2117" t="str">
        <f>_xll.BDS("74934RKB Muni","MUNI_PURPOSE_SCHED", "aggregate=y")</f>
        <v>#N/A Requesting Data...</v>
      </c>
      <c r="J2117" t="str">
        <f>_xll.BDP("74934RKB Muni","CPN")</f>
        <v>#N/A Requesting Data...</v>
      </c>
      <c r="K2117" t="str">
        <f>_xll.BDP("74934RKB Muni","MATURITY")</f>
        <v>#N/A Requesting Data...</v>
      </c>
      <c r="L2117">
        <v>250000</v>
      </c>
      <c r="M2117" t="str">
        <f>_xll.BDP("74934RKB Muni","YIELD_ON_ISSUE_DATE")</f>
        <v>#N/A Requesting Data...</v>
      </c>
      <c r="N2117" t="str">
        <f>_xll.BDP("74934RKB Muni","YTW_SPREAD_TO_MATURITY_AT_ISSU")</f>
        <v>#N/A Requesting Data...</v>
      </c>
      <c r="O2117" t="str">
        <f>_xll.BDP("74934RKB Muni","BVAL_MID_YTM")</f>
        <v>#N/A Requesting Data...</v>
      </c>
      <c r="P2117" t="str">
        <f>_xll.BDP("74934RKB Muni","MUNI_TAX_PROV")</f>
        <v>#N/A Requesting Data...</v>
      </c>
      <c r="Q2117" t="str">
        <f>_xll.BDP("74934RKB Muni","MUNI_FED_TAX")</f>
        <v>#N/A Requesting Data...</v>
      </c>
      <c r="R2117" t="str">
        <f>_xll.BDP("74934RKB Muni","MUNI_MSRB_VOLUME")</f>
        <v>#N/A Requesting Data...</v>
      </c>
      <c r="S2117" t="str">
        <f>_xll.BDP("74934RKB Muni","BB_COMPOSITE")</f>
        <v>#N/A Requesting Data...</v>
      </c>
      <c r="T2117" t="str">
        <f>_xll.BDP("74934RKB Muni","LQA_LIQUIDITY_SCORE")</f>
        <v>#N/A Requesting Data...</v>
      </c>
    </row>
    <row r="2118" spans="1:20" x14ac:dyDescent="0.25">
      <c r="A2118" t="str">
        <f>_xll.BDP("75211RJW Muni","ID_CUSIP")</f>
        <v>#N/A Requesting Data...</v>
      </c>
      <c r="B2118" t="s">
        <v>467</v>
      </c>
      <c r="C2118" t="str">
        <f>_xll.BDP("75211RJW Muni","INSURANCE_STATUS")</f>
        <v>#N/A Requesting Data...</v>
      </c>
      <c r="D2118" t="str">
        <f>_xll.BDP("75211RJW Muni","STATE_CODE")</f>
        <v>#N/A Requesting Data...</v>
      </c>
      <c r="E2118" t="str">
        <f>_xll.BDP("75211RJW Muni","COUNTY_LOCATION_ISSUER")</f>
        <v>#N/A Requesting Data...</v>
      </c>
      <c r="F2118" t="str">
        <f>_xll.BDP("75211RJW Muni","DUR_ADJ_MID")</f>
        <v>#N/A Requesting Data...</v>
      </c>
      <c r="G2118" t="str">
        <f>_xll.BDP("75211RJW Muni","SPREAD_AT_ISSUANCE_TO_WORST")</f>
        <v>#N/A Requesting Data...</v>
      </c>
      <c r="H2118" t="str">
        <f>_xll.BDP("75211RJW Muni","ISSUE_DT")</f>
        <v>#N/A Requesting Data...</v>
      </c>
      <c r="I2118" t="str">
        <f>_xll.BDS("75211RJW Muni","MUNI_PURPOSE_SCHED", "aggregate=y")</f>
        <v>#N/A Requesting Data...</v>
      </c>
      <c r="J2118" t="str">
        <f>_xll.BDP("75211RJW Muni","CPN")</f>
        <v>#N/A Requesting Data...</v>
      </c>
      <c r="K2118" t="str">
        <f>_xll.BDP("75211RJW Muni","MATURITY")</f>
        <v>#N/A Requesting Data...</v>
      </c>
      <c r="L2118">
        <v>110000</v>
      </c>
      <c r="M2118" t="str">
        <f>_xll.BDP("75211RJW Muni","YIELD_ON_ISSUE_DATE")</f>
        <v>#N/A Requesting Data...</v>
      </c>
      <c r="N2118" t="str">
        <f>_xll.BDP("75211RJW Muni","YTW_SPREAD_TO_MATURITY_AT_ISSU")</f>
        <v>#N/A Requesting Data...</v>
      </c>
      <c r="O2118" t="str">
        <f>_xll.BDP("75211RJW Muni","BVAL_MID_YTM")</f>
        <v>#N/A Requesting Data...</v>
      </c>
      <c r="P2118" t="str">
        <f>_xll.BDP("75211RJW Muni","MUNI_TAX_PROV")</f>
        <v>#N/A Requesting Data...</v>
      </c>
      <c r="Q2118" t="str">
        <f>_xll.BDP("75211RJW Muni","MUNI_FED_TAX")</f>
        <v>#N/A Requesting Data...</v>
      </c>
      <c r="R2118" t="str">
        <f>_xll.BDP("75211RJW Muni","MUNI_MSRB_VOLUME")</f>
        <v>#N/A Requesting Data...</v>
      </c>
      <c r="S2118" t="str">
        <f>_xll.BDP("75211RJW Muni","BB_COMPOSITE")</f>
        <v>#N/A Requesting Data...</v>
      </c>
      <c r="T2118" t="str">
        <f>_xll.BDP("75211RJW Muni","LQA_LIQUIDITY_SCORE")</f>
        <v>#N/A Requesting Data...</v>
      </c>
    </row>
    <row r="2119" spans="1:20" x14ac:dyDescent="0.25">
      <c r="A2119" t="str">
        <f>_xll.BDP("89657PJR Muni","ID_CUSIP")</f>
        <v>#N/A Requesting Data...</v>
      </c>
      <c r="B2119" t="s">
        <v>498</v>
      </c>
      <c r="C2119" t="str">
        <f>_xll.BDP("89657PJR Muni","INSURANCE_STATUS")</f>
        <v>#N/A Requesting Data...</v>
      </c>
      <c r="D2119" t="str">
        <f>_xll.BDP("89657PJR Muni","STATE_CODE")</f>
        <v>#N/A Requesting Data...</v>
      </c>
      <c r="E2119" t="str">
        <f>_xll.BDP("89657PJR Muni","COUNTY_LOCATION_ISSUER")</f>
        <v>#N/A Requesting Data...</v>
      </c>
      <c r="F2119" t="str">
        <f>_xll.BDP("89657PJR Muni","DUR_ADJ_MID")</f>
        <v>#N/A Requesting Data...</v>
      </c>
      <c r="G2119" t="str">
        <f>_xll.BDP("89657PJR Muni","SPREAD_AT_ISSUANCE_TO_WORST")</f>
        <v>#N/A Requesting Data...</v>
      </c>
      <c r="H2119" t="str">
        <f>_xll.BDP("89657PJR Muni","ISSUE_DT")</f>
        <v>#N/A Requesting Data...</v>
      </c>
      <c r="I2119" t="str">
        <f>_xll.BDS("89657PJR Muni","MUNI_PURPOSE_SCHED", "aggregate=y")</f>
        <v>#N/A Requesting Data...</v>
      </c>
      <c r="J2119" t="str">
        <f>_xll.BDP("89657PJR Muni","CPN")</f>
        <v>#N/A Requesting Data...</v>
      </c>
      <c r="K2119" t="str">
        <f>_xll.BDP("89657PJR Muni","MATURITY")</f>
        <v>#N/A Requesting Data...</v>
      </c>
      <c r="L2119">
        <v>190000</v>
      </c>
      <c r="M2119" t="str">
        <f>_xll.BDP("89657PJR Muni","YIELD_ON_ISSUE_DATE")</f>
        <v>#N/A Requesting Data...</v>
      </c>
      <c r="N2119" t="str">
        <f>_xll.BDP("89657PJR Muni","YTW_SPREAD_TO_MATURITY_AT_ISSU")</f>
        <v>#N/A Requesting Data...</v>
      </c>
      <c r="O2119" t="str">
        <f>_xll.BDP("89657PJR Muni","BVAL_MID_YTM")</f>
        <v>#N/A Requesting Data...</v>
      </c>
      <c r="P2119" t="str">
        <f>_xll.BDP("89657PJR Muni","MUNI_TAX_PROV")</f>
        <v>#N/A Requesting Data...</v>
      </c>
      <c r="Q2119" t="str">
        <f>_xll.BDP("89657PJR Muni","MUNI_FED_TAX")</f>
        <v>#N/A Requesting Data...</v>
      </c>
      <c r="R2119" t="str">
        <f>_xll.BDP("89657PJR Muni","MUNI_MSRB_VOLUME")</f>
        <v>#N/A Requesting Data...</v>
      </c>
      <c r="S2119" t="str">
        <f>_xll.BDP("89657PJR Muni","BB_COMPOSITE")</f>
        <v>#N/A Requesting Data...</v>
      </c>
      <c r="T2119" t="str">
        <f>_xll.BDP("89657PJR Muni","LQA_LIQUIDITY_SCORE")</f>
        <v>#N/A Requesting Data...</v>
      </c>
    </row>
    <row r="2120" spans="1:20" x14ac:dyDescent="0.25">
      <c r="A2120" t="str">
        <f>_xll.BDP("89657PJT Muni","ID_CUSIP")</f>
        <v>#N/A Requesting Data...</v>
      </c>
      <c r="B2120" t="s">
        <v>498</v>
      </c>
      <c r="C2120" t="str">
        <f>_xll.BDP("89657PJT Muni","INSURANCE_STATUS")</f>
        <v>#N/A Requesting Data...</v>
      </c>
      <c r="D2120" t="str">
        <f>_xll.BDP("89657PJT Muni","STATE_CODE")</f>
        <v>#N/A Requesting Data...</v>
      </c>
      <c r="E2120" t="str">
        <f>_xll.BDP("89657PJT Muni","COUNTY_LOCATION_ISSUER")</f>
        <v>#N/A Requesting Data...</v>
      </c>
      <c r="F2120" t="str">
        <f>_xll.BDP("89657PJT Muni","DUR_ADJ_MID")</f>
        <v>#N/A Requesting Data...</v>
      </c>
      <c r="G2120" t="str">
        <f>_xll.BDP("89657PJT Muni","SPREAD_AT_ISSUANCE_TO_WORST")</f>
        <v>#N/A Requesting Data...</v>
      </c>
      <c r="H2120" t="str">
        <f>_xll.BDP("89657PJT Muni","ISSUE_DT")</f>
        <v>#N/A Requesting Data...</v>
      </c>
      <c r="I2120" t="str">
        <f>_xll.BDS("89657PJT Muni","MUNI_PURPOSE_SCHED", "aggregate=y")</f>
        <v>#N/A Requesting Data...</v>
      </c>
      <c r="J2120" t="str">
        <f>_xll.BDP("89657PJT Muni","CPN")</f>
        <v>#N/A Requesting Data...</v>
      </c>
      <c r="K2120" t="str">
        <f>_xll.BDP("89657PJT Muni","MATURITY")</f>
        <v>#N/A Requesting Data...</v>
      </c>
      <c r="L2120">
        <v>220000</v>
      </c>
      <c r="M2120" t="str">
        <f>_xll.BDP("89657PJT Muni","YIELD_ON_ISSUE_DATE")</f>
        <v>#N/A Requesting Data...</v>
      </c>
      <c r="N2120" t="str">
        <f>_xll.BDP("89657PJT Muni","YTW_SPREAD_TO_MATURITY_AT_ISSU")</f>
        <v>#N/A Requesting Data...</v>
      </c>
      <c r="O2120" t="str">
        <f>_xll.BDP("89657PJT Muni","BVAL_MID_YTM")</f>
        <v>#N/A Requesting Data...</v>
      </c>
      <c r="P2120" t="str">
        <f>_xll.BDP("89657PJT Muni","MUNI_TAX_PROV")</f>
        <v>#N/A Requesting Data...</v>
      </c>
      <c r="Q2120" t="str">
        <f>_xll.BDP("89657PJT Muni","MUNI_FED_TAX")</f>
        <v>#N/A Requesting Data...</v>
      </c>
      <c r="R2120" t="str">
        <f>_xll.BDP("89657PJT Muni","MUNI_MSRB_VOLUME")</f>
        <v>#N/A Requesting Data...</v>
      </c>
      <c r="S2120" t="str">
        <f>_xll.BDP("89657PJT Muni","BB_COMPOSITE")</f>
        <v>#N/A Requesting Data...</v>
      </c>
      <c r="T2120" t="str">
        <f>_xll.BDP("89657PJT Muni","LQA_LIQUIDITY_SCORE")</f>
        <v>#N/A Requesting Data...</v>
      </c>
    </row>
    <row r="2121" spans="1:20" x14ac:dyDescent="0.25">
      <c r="A2121" t="str">
        <f>_xll.BDP("89657PJU Muni","ID_CUSIP")</f>
        <v>#N/A Requesting Data...</v>
      </c>
      <c r="B2121" t="s">
        <v>498</v>
      </c>
      <c r="C2121" t="str">
        <f>_xll.BDP("89657PJU Muni","INSURANCE_STATUS")</f>
        <v>#N/A Requesting Data...</v>
      </c>
      <c r="D2121" t="str">
        <f>_xll.BDP("89657PJU Muni","STATE_CODE")</f>
        <v>#N/A Requesting Data...</v>
      </c>
      <c r="E2121" t="str">
        <f>_xll.BDP("89657PJU Muni","COUNTY_LOCATION_ISSUER")</f>
        <v>#N/A Requesting Data...</v>
      </c>
      <c r="F2121" t="str">
        <f>_xll.BDP("89657PJU Muni","DUR_ADJ_MID")</f>
        <v>#N/A Requesting Data...</v>
      </c>
      <c r="G2121" t="str">
        <f>_xll.BDP("89657PJU Muni","SPREAD_AT_ISSUANCE_TO_WORST")</f>
        <v>#N/A Requesting Data...</v>
      </c>
      <c r="H2121" t="str">
        <f>_xll.BDP("89657PJU Muni","ISSUE_DT")</f>
        <v>#N/A Requesting Data...</v>
      </c>
      <c r="I2121" t="str">
        <f>_xll.BDS("89657PJU Muni","MUNI_PURPOSE_SCHED", "aggregate=y")</f>
        <v>#N/A Requesting Data...</v>
      </c>
      <c r="J2121" t="str">
        <f>_xll.BDP("89657PJU Muni","CPN")</f>
        <v>#N/A Requesting Data...</v>
      </c>
      <c r="K2121" t="str">
        <f>_xll.BDP("89657PJU Muni","MATURITY")</f>
        <v>#N/A Requesting Data...</v>
      </c>
      <c r="L2121">
        <v>225000</v>
      </c>
      <c r="M2121" t="str">
        <f>_xll.BDP("89657PJU Muni","YIELD_ON_ISSUE_DATE")</f>
        <v>#N/A Requesting Data...</v>
      </c>
      <c r="N2121" t="str">
        <f>_xll.BDP("89657PJU Muni","YTW_SPREAD_TO_MATURITY_AT_ISSU")</f>
        <v>#N/A Requesting Data...</v>
      </c>
      <c r="O2121" t="str">
        <f>_xll.BDP("89657PJU Muni","BVAL_MID_YTM")</f>
        <v>#N/A Requesting Data...</v>
      </c>
      <c r="P2121" t="str">
        <f>_xll.BDP("89657PJU Muni","MUNI_TAX_PROV")</f>
        <v>#N/A Requesting Data...</v>
      </c>
      <c r="Q2121" t="str">
        <f>_xll.BDP("89657PJU Muni","MUNI_FED_TAX")</f>
        <v>#N/A Requesting Data...</v>
      </c>
      <c r="R2121" t="str">
        <f>_xll.BDP("89657PJU Muni","MUNI_MSRB_VOLUME")</f>
        <v>#N/A Requesting Data...</v>
      </c>
      <c r="S2121" t="str">
        <f>_xll.BDP("89657PJU Muni","BB_COMPOSITE")</f>
        <v>#N/A Requesting Data...</v>
      </c>
      <c r="T2121" t="str">
        <f>_xll.BDP("89657PJU Muni","LQA_LIQUIDITY_SCORE")</f>
        <v>#N/A Requesting Data...</v>
      </c>
    </row>
    <row r="2122" spans="1:20" x14ac:dyDescent="0.25">
      <c r="A2122" t="str">
        <f>_xll.BDP("89657PJV Muni","ID_CUSIP")</f>
        <v>#N/A Requesting Data...</v>
      </c>
      <c r="B2122" t="s">
        <v>498</v>
      </c>
      <c r="C2122" t="str">
        <f>_xll.BDP("89657PJV Muni","INSURANCE_STATUS")</f>
        <v>#N/A Requesting Data...</v>
      </c>
      <c r="D2122" t="str">
        <f>_xll.BDP("89657PJV Muni","STATE_CODE")</f>
        <v>#N/A Requesting Data...</v>
      </c>
      <c r="E2122" t="str">
        <f>_xll.BDP("89657PJV Muni","COUNTY_LOCATION_ISSUER")</f>
        <v>#N/A Requesting Data...</v>
      </c>
      <c r="F2122" t="str">
        <f>_xll.BDP("89657PJV Muni","DUR_ADJ_MID")</f>
        <v>#N/A Requesting Data...</v>
      </c>
      <c r="G2122" t="str">
        <f>_xll.BDP("89657PJV Muni","SPREAD_AT_ISSUANCE_TO_WORST")</f>
        <v>#N/A Requesting Data...</v>
      </c>
      <c r="H2122" t="str">
        <f>_xll.BDP("89657PJV Muni","ISSUE_DT")</f>
        <v>#N/A Requesting Data...</v>
      </c>
      <c r="I2122" t="str">
        <f>_xll.BDS("89657PJV Muni","MUNI_PURPOSE_SCHED", "aggregate=y")</f>
        <v>#N/A Requesting Data...</v>
      </c>
      <c r="J2122" t="str">
        <f>_xll.BDP("89657PJV Muni","CPN")</f>
        <v>#N/A Requesting Data...</v>
      </c>
      <c r="K2122" t="str">
        <f>_xll.BDP("89657PJV Muni","MATURITY")</f>
        <v>#N/A Requesting Data...</v>
      </c>
      <c r="L2122">
        <v>235000</v>
      </c>
      <c r="M2122" t="str">
        <f>_xll.BDP("89657PJV Muni","YIELD_ON_ISSUE_DATE")</f>
        <v>#N/A Requesting Data...</v>
      </c>
      <c r="N2122" t="str">
        <f>_xll.BDP("89657PJV Muni","YTW_SPREAD_TO_MATURITY_AT_ISSU")</f>
        <v>#N/A Requesting Data...</v>
      </c>
      <c r="O2122" t="str">
        <f>_xll.BDP("89657PJV Muni","BVAL_MID_YTM")</f>
        <v>#N/A Requesting Data...</v>
      </c>
      <c r="P2122" t="str">
        <f>_xll.BDP("89657PJV Muni","MUNI_TAX_PROV")</f>
        <v>#N/A Requesting Data...</v>
      </c>
      <c r="Q2122" t="str">
        <f>_xll.BDP("89657PJV Muni","MUNI_FED_TAX")</f>
        <v>#N/A Requesting Data...</v>
      </c>
      <c r="R2122" t="str">
        <f>_xll.BDP("89657PJV Muni","MUNI_MSRB_VOLUME")</f>
        <v>#N/A Requesting Data...</v>
      </c>
      <c r="S2122" t="str">
        <f>_xll.BDP("89657PJV Muni","BB_COMPOSITE")</f>
        <v>#N/A Requesting Data...</v>
      </c>
      <c r="T2122" t="str">
        <f>_xll.BDP("89657PJV Muni","LQA_LIQUIDITY_SCORE")</f>
        <v>#N/A Requesting Data...</v>
      </c>
    </row>
    <row r="2123" spans="1:20" x14ac:dyDescent="0.25">
      <c r="A2123" t="str">
        <f>_xll.BDP("89686AAF Muni","ID_CUSIP")</f>
        <v>#N/A Requesting Data...</v>
      </c>
      <c r="B2123" t="s">
        <v>499</v>
      </c>
      <c r="C2123" t="str">
        <f>_xll.BDP("89686AAF Muni","INSURANCE_STATUS")</f>
        <v>#N/A Requesting Data...</v>
      </c>
      <c r="D2123" t="str">
        <f>_xll.BDP("89686AAF Muni","STATE_CODE")</f>
        <v>#N/A Requesting Data...</v>
      </c>
      <c r="E2123" t="str">
        <f>_xll.BDP("89686AAF Muni","COUNTY_LOCATION_ISSUER")</f>
        <v>#N/A Requesting Data...</v>
      </c>
      <c r="F2123" t="str">
        <f>_xll.BDP("89686AAF Muni","DUR_ADJ_MID")</f>
        <v>#N/A Requesting Data...</v>
      </c>
      <c r="G2123" t="str">
        <f>_xll.BDP("89686AAF Muni","SPREAD_AT_ISSUANCE_TO_WORST")</f>
        <v>#N/A Requesting Data...</v>
      </c>
      <c r="H2123" t="str">
        <f>_xll.BDP("89686AAF Muni","ISSUE_DT")</f>
        <v>#N/A Requesting Data...</v>
      </c>
      <c r="I2123" t="str">
        <f>_xll.BDS("89686AAF Muni","MUNI_PURPOSE_SCHED", "aggregate=y")</f>
        <v>#N/A Requesting Data...</v>
      </c>
      <c r="J2123" t="str">
        <f>_xll.BDP("89686AAF Muni","CPN")</f>
        <v>#N/A Requesting Data...</v>
      </c>
      <c r="K2123" t="str">
        <f>_xll.BDP("89686AAF Muni","MATURITY")</f>
        <v>#N/A Requesting Data...</v>
      </c>
      <c r="L2123">
        <v>225000</v>
      </c>
      <c r="M2123" t="str">
        <f>_xll.BDP("89686AAF Muni","YIELD_ON_ISSUE_DATE")</f>
        <v>#N/A Requesting Data...</v>
      </c>
      <c r="N2123" t="str">
        <f>_xll.BDP("89686AAF Muni","YTW_SPREAD_TO_MATURITY_AT_ISSU")</f>
        <v>#N/A Requesting Data...</v>
      </c>
      <c r="O2123" t="str">
        <f>_xll.BDP("89686AAF Muni","BVAL_MID_YTM")</f>
        <v>#N/A Requesting Data...</v>
      </c>
      <c r="P2123" t="str">
        <f>_xll.BDP("89686AAF Muni","MUNI_TAX_PROV")</f>
        <v>#N/A Requesting Data...</v>
      </c>
      <c r="Q2123" t="str">
        <f>_xll.BDP("89686AAF Muni","MUNI_FED_TAX")</f>
        <v>#N/A Requesting Data...</v>
      </c>
      <c r="R2123" t="str">
        <f>_xll.BDP("89686AAF Muni","MUNI_MSRB_VOLUME")</f>
        <v>#N/A Requesting Data...</v>
      </c>
      <c r="S2123" t="str">
        <f>_xll.BDP("89686AAF Muni","BB_COMPOSITE")</f>
        <v>#N/A Requesting Data...</v>
      </c>
      <c r="T2123" t="str">
        <f>_xll.BDP("89686AAF Muni","LQA_LIQUIDITY_SCORE")</f>
        <v>#N/A Requesting Data...</v>
      </c>
    </row>
    <row r="2124" spans="1:20" x14ac:dyDescent="0.25">
      <c r="A2124" t="str">
        <f>_xll.BDP("89686AAJ Muni","ID_CUSIP")</f>
        <v>#N/A Requesting Data...</v>
      </c>
      <c r="B2124" t="s">
        <v>499</v>
      </c>
      <c r="C2124" t="str">
        <f>_xll.BDP("89686AAJ Muni","INSURANCE_STATUS")</f>
        <v>#N/A Requesting Data...</v>
      </c>
      <c r="D2124" t="str">
        <f>_xll.BDP("89686AAJ Muni","STATE_CODE")</f>
        <v>#N/A Requesting Data...</v>
      </c>
      <c r="E2124" t="str">
        <f>_xll.BDP("89686AAJ Muni","COUNTY_LOCATION_ISSUER")</f>
        <v>#N/A Requesting Data...</v>
      </c>
      <c r="F2124" t="str">
        <f>_xll.BDP("89686AAJ Muni","DUR_ADJ_MID")</f>
        <v>#N/A Requesting Data...</v>
      </c>
      <c r="G2124" t="str">
        <f>_xll.BDP("89686AAJ Muni","SPREAD_AT_ISSUANCE_TO_WORST")</f>
        <v>#N/A Requesting Data...</v>
      </c>
      <c r="H2124" t="str">
        <f>_xll.BDP("89686AAJ Muni","ISSUE_DT")</f>
        <v>#N/A Requesting Data...</v>
      </c>
      <c r="I2124" t="str">
        <f>_xll.BDS("89686AAJ Muni","MUNI_PURPOSE_SCHED", "aggregate=y")</f>
        <v>#N/A Requesting Data...</v>
      </c>
      <c r="J2124" t="str">
        <f>_xll.BDP("89686AAJ Muni","CPN")</f>
        <v>#N/A Requesting Data...</v>
      </c>
      <c r="K2124" t="str">
        <f>_xll.BDP("89686AAJ Muni","MATURITY")</f>
        <v>#N/A Requesting Data...</v>
      </c>
      <c r="L2124">
        <v>260000</v>
      </c>
      <c r="M2124" t="str">
        <f>_xll.BDP("89686AAJ Muni","YIELD_ON_ISSUE_DATE")</f>
        <v>#N/A Requesting Data...</v>
      </c>
      <c r="N2124" t="str">
        <f>_xll.BDP("89686AAJ Muni","YTW_SPREAD_TO_MATURITY_AT_ISSU")</f>
        <v>#N/A Requesting Data...</v>
      </c>
      <c r="O2124" t="str">
        <f>_xll.BDP("89686AAJ Muni","BVAL_MID_YTM")</f>
        <v>#N/A Requesting Data...</v>
      </c>
      <c r="P2124" t="str">
        <f>_xll.BDP("89686AAJ Muni","MUNI_TAX_PROV")</f>
        <v>#N/A Requesting Data...</v>
      </c>
      <c r="Q2124" t="str">
        <f>_xll.BDP("89686AAJ Muni","MUNI_FED_TAX")</f>
        <v>#N/A Requesting Data...</v>
      </c>
      <c r="R2124" t="str">
        <f>_xll.BDP("89686AAJ Muni","MUNI_MSRB_VOLUME")</f>
        <v>#N/A Requesting Data...</v>
      </c>
      <c r="S2124" t="str">
        <f>_xll.BDP("89686AAJ Muni","BB_COMPOSITE")</f>
        <v>#N/A Requesting Data...</v>
      </c>
      <c r="T2124" t="str">
        <f>_xll.BDP("89686AAJ Muni","LQA_LIQUIDITY_SCORE")</f>
        <v>#N/A Requesting Data...</v>
      </c>
    </row>
    <row r="2125" spans="1:20" x14ac:dyDescent="0.25">
      <c r="A2125" t="str">
        <f>_xll.BDP("89686AAK Muni","ID_CUSIP")</f>
        <v>#N/A Requesting Data...</v>
      </c>
      <c r="B2125" t="s">
        <v>499</v>
      </c>
      <c r="C2125" t="str">
        <f>_xll.BDP("89686AAK Muni","INSURANCE_STATUS")</f>
        <v>#N/A Requesting Data...</v>
      </c>
      <c r="D2125" t="str">
        <f>_xll.BDP("89686AAK Muni","STATE_CODE")</f>
        <v>#N/A Requesting Data...</v>
      </c>
      <c r="E2125" t="str">
        <f>_xll.BDP("89686AAK Muni","COUNTY_LOCATION_ISSUER")</f>
        <v>#N/A Requesting Data...</v>
      </c>
      <c r="F2125" t="str">
        <f>_xll.BDP("89686AAK Muni","DUR_ADJ_MID")</f>
        <v>#N/A Requesting Data...</v>
      </c>
      <c r="G2125" t="str">
        <f>_xll.BDP("89686AAK Muni","SPREAD_AT_ISSUANCE_TO_WORST")</f>
        <v>#N/A Requesting Data...</v>
      </c>
      <c r="H2125" t="str">
        <f>_xll.BDP("89686AAK Muni","ISSUE_DT")</f>
        <v>#N/A Requesting Data...</v>
      </c>
      <c r="I2125" t="str">
        <f>_xll.BDS("89686AAK Muni","MUNI_PURPOSE_SCHED", "aggregate=y")</f>
        <v>#N/A Requesting Data...</v>
      </c>
      <c r="J2125" t="str">
        <f>_xll.BDP("89686AAK Muni","CPN")</f>
        <v>#N/A Requesting Data...</v>
      </c>
      <c r="K2125" t="str">
        <f>_xll.BDP("89686AAK Muni","MATURITY")</f>
        <v>#N/A Requesting Data...</v>
      </c>
      <c r="L2125">
        <v>270000</v>
      </c>
      <c r="M2125" t="str">
        <f>_xll.BDP("89686AAK Muni","YIELD_ON_ISSUE_DATE")</f>
        <v>#N/A Requesting Data...</v>
      </c>
      <c r="N2125" t="str">
        <f>_xll.BDP("89686AAK Muni","YTW_SPREAD_TO_MATURITY_AT_ISSU")</f>
        <v>#N/A Requesting Data...</v>
      </c>
      <c r="O2125" t="str">
        <f>_xll.BDP("89686AAK Muni","BVAL_MID_YTM")</f>
        <v>#N/A Requesting Data...</v>
      </c>
      <c r="P2125" t="str">
        <f>_xll.BDP("89686AAK Muni","MUNI_TAX_PROV")</f>
        <v>#N/A Requesting Data...</v>
      </c>
      <c r="Q2125" t="str">
        <f>_xll.BDP("89686AAK Muni","MUNI_FED_TAX")</f>
        <v>#N/A Requesting Data...</v>
      </c>
      <c r="R2125" t="str">
        <f>_xll.BDP("89686AAK Muni","MUNI_MSRB_VOLUME")</f>
        <v>#N/A Requesting Data...</v>
      </c>
      <c r="S2125" t="str">
        <f>_xll.BDP("89686AAK Muni","BB_COMPOSITE")</f>
        <v>#N/A Requesting Data...</v>
      </c>
      <c r="T2125" t="str">
        <f>_xll.BDP("89686AAK Muni","LQA_LIQUIDITY_SCORE")</f>
        <v>#N/A Requesting Data...</v>
      </c>
    </row>
    <row r="2126" spans="1:20" x14ac:dyDescent="0.25">
      <c r="A2126" t="str">
        <f>_xll.BDP("898797FN Muni","ID_CUSIP")</f>
        <v>#N/A Requesting Data...</v>
      </c>
      <c r="B2126" t="s">
        <v>500</v>
      </c>
      <c r="C2126" t="str">
        <f>_xll.BDP("898797FN Muni","INSURANCE_STATUS")</f>
        <v>#N/A Requesting Data...</v>
      </c>
      <c r="D2126" t="str">
        <f>_xll.BDP("898797FN Muni","STATE_CODE")</f>
        <v>#N/A Requesting Data...</v>
      </c>
      <c r="E2126" t="str">
        <f>_xll.BDP("898797FN Muni","COUNTY_LOCATION_ISSUER")</f>
        <v>#N/A Requesting Data...</v>
      </c>
      <c r="F2126" t="str">
        <f>_xll.BDP("898797FN Muni","DUR_ADJ_MID")</f>
        <v>#N/A Requesting Data...</v>
      </c>
      <c r="G2126" t="str">
        <f>_xll.BDP("898797FN Muni","SPREAD_AT_ISSUANCE_TO_WORST")</f>
        <v>#N/A Requesting Data...</v>
      </c>
      <c r="H2126" t="str">
        <f>_xll.BDP("898797FN Muni","ISSUE_DT")</f>
        <v>#N/A Requesting Data...</v>
      </c>
      <c r="I2126" t="str">
        <f>_xll.BDS("898797FN Muni","MUNI_PURPOSE_SCHED", "aggregate=y")</f>
        <v>#N/A Requesting Data...</v>
      </c>
      <c r="J2126" t="str">
        <f>_xll.BDP("898797FN Muni","CPN")</f>
        <v>#N/A Requesting Data...</v>
      </c>
      <c r="K2126" t="str">
        <f>_xll.BDP("898797FN Muni","MATURITY")</f>
        <v>#N/A Requesting Data...</v>
      </c>
      <c r="L2126">
        <v>150000</v>
      </c>
      <c r="M2126" t="str">
        <f>_xll.BDP("898797FN Muni","YIELD_ON_ISSUE_DATE")</f>
        <v>#N/A Requesting Data...</v>
      </c>
      <c r="N2126" t="str">
        <f>_xll.BDP("898797FN Muni","YTW_SPREAD_TO_MATURITY_AT_ISSU")</f>
        <v>#N/A Requesting Data...</v>
      </c>
      <c r="O2126" t="str">
        <f>_xll.BDP("898797FN Muni","BVAL_MID_YTM")</f>
        <v>#N/A Requesting Data...</v>
      </c>
      <c r="P2126" t="str">
        <f>_xll.BDP("898797FN Muni","MUNI_TAX_PROV")</f>
        <v>#N/A Requesting Data...</v>
      </c>
      <c r="Q2126" t="str">
        <f>_xll.BDP("898797FN Muni","MUNI_FED_TAX")</f>
        <v>#N/A Requesting Data...</v>
      </c>
      <c r="R2126" t="str">
        <f>_xll.BDP("898797FN Muni","MUNI_MSRB_VOLUME")</f>
        <v>#N/A Requesting Data...</v>
      </c>
      <c r="S2126" t="str">
        <f>_xll.BDP("898797FN Muni","BB_COMPOSITE")</f>
        <v>#N/A Requesting Data...</v>
      </c>
      <c r="T2126" t="str">
        <f>_xll.BDP("898797FN Muni","LQA_LIQUIDITY_SCORE")</f>
        <v>#N/A Requesting Data...</v>
      </c>
    </row>
    <row r="2127" spans="1:20" x14ac:dyDescent="0.25">
      <c r="A2127" t="str">
        <f>_xll.BDP("898797FT Muni","ID_CUSIP")</f>
        <v>#N/A Requesting Data...</v>
      </c>
      <c r="B2127" t="s">
        <v>500</v>
      </c>
      <c r="C2127" t="str">
        <f>_xll.BDP("898797FT Muni","INSURANCE_STATUS")</f>
        <v>#N/A Requesting Data...</v>
      </c>
      <c r="D2127" t="str">
        <f>_xll.BDP("898797FT Muni","STATE_CODE")</f>
        <v>#N/A Requesting Data...</v>
      </c>
      <c r="E2127" t="str">
        <f>_xll.BDP("898797FT Muni","COUNTY_LOCATION_ISSUER")</f>
        <v>#N/A Requesting Data...</v>
      </c>
      <c r="F2127" t="str">
        <f>_xll.BDP("898797FT Muni","DUR_ADJ_MID")</f>
        <v>#N/A Requesting Data...</v>
      </c>
      <c r="G2127" t="str">
        <f>_xll.BDP("898797FT Muni","SPREAD_AT_ISSUANCE_TO_WORST")</f>
        <v>#N/A Requesting Data...</v>
      </c>
      <c r="H2127" t="str">
        <f>_xll.BDP("898797FT Muni","ISSUE_DT")</f>
        <v>#N/A Requesting Data...</v>
      </c>
      <c r="I2127" t="str">
        <f>_xll.BDS("898797FT Muni","MUNI_PURPOSE_SCHED", "aggregate=y")</f>
        <v>#N/A Requesting Data...</v>
      </c>
      <c r="J2127" t="str">
        <f>_xll.BDP("898797FT Muni","CPN")</f>
        <v>#N/A Requesting Data...</v>
      </c>
      <c r="K2127" t="str">
        <f>_xll.BDP("898797FT Muni","MATURITY")</f>
        <v>#N/A Requesting Data...</v>
      </c>
      <c r="L2127">
        <v>1380000</v>
      </c>
      <c r="M2127" t="str">
        <f>_xll.BDP("898797FT Muni","YIELD_ON_ISSUE_DATE")</f>
        <v>#N/A Requesting Data...</v>
      </c>
      <c r="N2127" t="str">
        <f>_xll.BDP("898797FT Muni","YTW_SPREAD_TO_MATURITY_AT_ISSU")</f>
        <v>#N/A Requesting Data...</v>
      </c>
      <c r="O2127" t="str">
        <f>_xll.BDP("898797FT Muni","BVAL_MID_YTM")</f>
        <v>#N/A Requesting Data...</v>
      </c>
      <c r="P2127" t="str">
        <f>_xll.BDP("898797FT Muni","MUNI_TAX_PROV")</f>
        <v>#N/A Requesting Data...</v>
      </c>
      <c r="Q2127" t="str">
        <f>_xll.BDP("898797FT Muni","MUNI_FED_TAX")</f>
        <v>#N/A Requesting Data...</v>
      </c>
      <c r="R2127" t="str">
        <f>_xll.BDP("898797FT Muni","MUNI_MSRB_VOLUME")</f>
        <v>#N/A Requesting Data...</v>
      </c>
      <c r="S2127" t="str">
        <f>_xll.BDP("898797FT Muni","BB_COMPOSITE")</f>
        <v>#N/A Requesting Data...</v>
      </c>
      <c r="T2127" t="str">
        <f>_xll.BDP("898797FT Muni","LQA_LIQUIDITY_SCORE")</f>
        <v>#N/A Requesting Data...</v>
      </c>
    </row>
    <row r="2128" spans="1:20" x14ac:dyDescent="0.25">
      <c r="A2128" t="str">
        <f>_xll.BDP("70105RAY Muni","ID_CUSIP")</f>
        <v>#N/A Requesting Data...</v>
      </c>
      <c r="B2128" t="s">
        <v>480</v>
      </c>
      <c r="C2128" t="str">
        <f>_xll.BDP("70105RAY Muni","INSURANCE_STATUS")</f>
        <v>#N/A Requesting Data...</v>
      </c>
      <c r="D2128" t="str">
        <f>_xll.BDP("70105RAY Muni","STATE_CODE")</f>
        <v>#N/A Requesting Data...</v>
      </c>
      <c r="E2128" t="str">
        <f>_xll.BDP("70105RAY Muni","COUNTY_LOCATION_ISSUER")</f>
        <v>#N/A Requesting Data...</v>
      </c>
      <c r="F2128" t="str">
        <f>_xll.BDP("70105RAY Muni","DUR_ADJ_MID")</f>
        <v>#N/A Requesting Data...</v>
      </c>
      <c r="G2128" t="str">
        <f>_xll.BDP("70105RAY Muni","SPREAD_AT_ISSUANCE_TO_WORST")</f>
        <v>#N/A Requesting Data...</v>
      </c>
      <c r="H2128" t="str">
        <f>_xll.BDP("70105RAY Muni","ISSUE_DT")</f>
        <v>#N/A Requesting Data...</v>
      </c>
      <c r="I2128" t="str">
        <f>_xll.BDS("70105RAY Muni","MUNI_PURPOSE_SCHED", "aggregate=y")</f>
        <v>#N/A Requesting Data...</v>
      </c>
      <c r="J2128" t="str">
        <f>_xll.BDP("70105RAY Muni","CPN")</f>
        <v>#N/A Requesting Data...</v>
      </c>
      <c r="K2128" t="str">
        <f>_xll.BDP("70105RAY Muni","MATURITY")</f>
        <v>#N/A Requesting Data...</v>
      </c>
      <c r="L2128">
        <v>1045000</v>
      </c>
      <c r="M2128" t="str">
        <f>_xll.BDP("70105RAY Muni","YIELD_ON_ISSUE_DATE")</f>
        <v>#N/A Requesting Data...</v>
      </c>
      <c r="N2128" t="str">
        <f>_xll.BDP("70105RAY Muni","YTW_SPREAD_TO_MATURITY_AT_ISSU")</f>
        <v>#N/A Requesting Data...</v>
      </c>
      <c r="O2128" t="str">
        <f>_xll.BDP("70105RAY Muni","BVAL_MID_YTM")</f>
        <v>#N/A Requesting Data...</v>
      </c>
      <c r="P2128" t="str">
        <f>_xll.BDP("70105RAY Muni","MUNI_TAX_PROV")</f>
        <v>#N/A Requesting Data...</v>
      </c>
      <c r="Q2128" t="str">
        <f>_xll.BDP("70105RAY Muni","MUNI_FED_TAX")</f>
        <v>#N/A Requesting Data...</v>
      </c>
      <c r="R2128" t="str">
        <f>_xll.BDP("70105RAY Muni","MUNI_MSRB_VOLUME")</f>
        <v>#N/A Requesting Data...</v>
      </c>
      <c r="S2128" t="str">
        <f>_xll.BDP("70105RAY Muni","BB_COMPOSITE")</f>
        <v>#N/A Requesting Data...</v>
      </c>
      <c r="T2128" t="str">
        <f>_xll.BDP("70105RAY Muni","LQA_LIQUIDITY_SCORE")</f>
        <v>#N/A Requesting Data...</v>
      </c>
    </row>
    <row r="2129" spans="1:20" x14ac:dyDescent="0.25">
      <c r="A2129" t="str">
        <f>_xll.BDP("70105RBA Muni","ID_CUSIP")</f>
        <v>#N/A Requesting Data...</v>
      </c>
      <c r="B2129" t="s">
        <v>480</v>
      </c>
      <c r="C2129" t="str">
        <f>_xll.BDP("70105RBA Muni","INSURANCE_STATUS")</f>
        <v>#N/A Requesting Data...</v>
      </c>
      <c r="D2129" t="str">
        <f>_xll.BDP("70105RBA Muni","STATE_CODE")</f>
        <v>#N/A Requesting Data...</v>
      </c>
      <c r="E2129" t="str">
        <f>_xll.BDP("70105RBA Muni","COUNTY_LOCATION_ISSUER")</f>
        <v>#N/A Requesting Data...</v>
      </c>
      <c r="F2129" t="str">
        <f>_xll.BDP("70105RBA Muni","DUR_ADJ_MID")</f>
        <v>#N/A Requesting Data...</v>
      </c>
      <c r="G2129" t="str">
        <f>_xll.BDP("70105RBA Muni","SPREAD_AT_ISSUANCE_TO_WORST")</f>
        <v>#N/A Requesting Data...</v>
      </c>
      <c r="H2129" t="str">
        <f>_xll.BDP("70105RBA Muni","ISSUE_DT")</f>
        <v>#N/A Requesting Data...</v>
      </c>
      <c r="I2129" t="str">
        <f>_xll.BDS("70105RBA Muni","MUNI_PURPOSE_SCHED", "aggregate=y")</f>
        <v>#N/A Requesting Data...</v>
      </c>
      <c r="J2129" t="str">
        <f>_xll.BDP("70105RBA Muni","CPN")</f>
        <v>#N/A Requesting Data...</v>
      </c>
      <c r="K2129" t="str">
        <f>_xll.BDP("70105RBA Muni","MATURITY")</f>
        <v>#N/A Requesting Data...</v>
      </c>
      <c r="L2129">
        <v>1120000</v>
      </c>
      <c r="M2129" t="str">
        <f>_xll.BDP("70105RBA Muni","YIELD_ON_ISSUE_DATE")</f>
        <v>#N/A Requesting Data...</v>
      </c>
      <c r="N2129" t="str">
        <f>_xll.BDP("70105RBA Muni","YTW_SPREAD_TO_MATURITY_AT_ISSU")</f>
        <v>#N/A Requesting Data...</v>
      </c>
      <c r="O2129" t="str">
        <f>_xll.BDP("70105RBA Muni","BVAL_MID_YTM")</f>
        <v>#N/A Requesting Data...</v>
      </c>
      <c r="P2129" t="str">
        <f>_xll.BDP("70105RBA Muni","MUNI_TAX_PROV")</f>
        <v>#N/A Requesting Data...</v>
      </c>
      <c r="Q2129" t="str">
        <f>_xll.BDP("70105RBA Muni","MUNI_FED_TAX")</f>
        <v>#N/A Requesting Data...</v>
      </c>
      <c r="R2129" t="str">
        <f>_xll.BDP("70105RBA Muni","MUNI_MSRB_VOLUME")</f>
        <v>#N/A Requesting Data...</v>
      </c>
      <c r="S2129" t="str">
        <f>_xll.BDP("70105RBA Muni","BB_COMPOSITE")</f>
        <v>#N/A Requesting Data...</v>
      </c>
      <c r="T2129" t="str">
        <f>_xll.BDP("70105RBA Muni","LQA_LIQUIDITY_SCORE")</f>
        <v>#N/A Requesting Data...</v>
      </c>
    </row>
    <row r="2130" spans="1:20" x14ac:dyDescent="0.25">
      <c r="A2130" t="str">
        <f>_xll.BDP("70105RBC Muni","ID_CUSIP")</f>
        <v>#N/A Requesting Data...</v>
      </c>
      <c r="B2130" t="s">
        <v>480</v>
      </c>
      <c r="C2130" t="str">
        <f>_xll.BDP("70105RBC Muni","INSURANCE_STATUS")</f>
        <v>#N/A Requesting Data...</v>
      </c>
      <c r="D2130" t="str">
        <f>_xll.BDP("70105RBC Muni","STATE_CODE")</f>
        <v>#N/A Requesting Data...</v>
      </c>
      <c r="E2130" t="str">
        <f>_xll.BDP("70105RBC Muni","COUNTY_LOCATION_ISSUER")</f>
        <v>#N/A Requesting Data...</v>
      </c>
      <c r="F2130" t="str">
        <f>_xll.BDP("70105RBC Muni","DUR_ADJ_MID")</f>
        <v>#N/A Requesting Data...</v>
      </c>
      <c r="G2130" t="str">
        <f>_xll.BDP("70105RBC Muni","SPREAD_AT_ISSUANCE_TO_WORST")</f>
        <v>#N/A Requesting Data...</v>
      </c>
      <c r="H2130" t="str">
        <f>_xll.BDP("70105RBC Muni","ISSUE_DT")</f>
        <v>#N/A Requesting Data...</v>
      </c>
      <c r="I2130" t="str">
        <f>_xll.BDS("70105RBC Muni","MUNI_PURPOSE_SCHED", "aggregate=y")</f>
        <v>#N/A Requesting Data...</v>
      </c>
      <c r="J2130" t="str">
        <f>_xll.BDP("70105RBC Muni","CPN")</f>
        <v>#N/A Requesting Data...</v>
      </c>
      <c r="K2130" t="str">
        <f>_xll.BDP("70105RBC Muni","MATURITY")</f>
        <v>#N/A Requesting Data...</v>
      </c>
      <c r="L2130">
        <v>1195000</v>
      </c>
      <c r="M2130" t="str">
        <f>_xll.BDP("70105RBC Muni","YIELD_ON_ISSUE_DATE")</f>
        <v>#N/A Requesting Data...</v>
      </c>
      <c r="N2130" t="str">
        <f>_xll.BDP("70105RBC Muni","YTW_SPREAD_TO_MATURITY_AT_ISSU")</f>
        <v>#N/A Requesting Data...</v>
      </c>
      <c r="O2130" t="str">
        <f>_xll.BDP("70105RBC Muni","BVAL_MID_YTM")</f>
        <v>#N/A Requesting Data...</v>
      </c>
      <c r="P2130" t="str">
        <f>_xll.BDP("70105RBC Muni","MUNI_TAX_PROV")</f>
        <v>#N/A Requesting Data...</v>
      </c>
      <c r="Q2130" t="str">
        <f>_xll.BDP("70105RBC Muni","MUNI_FED_TAX")</f>
        <v>#N/A Requesting Data...</v>
      </c>
      <c r="R2130" t="str">
        <f>_xll.BDP("70105RBC Muni","MUNI_MSRB_VOLUME")</f>
        <v>#N/A Requesting Data...</v>
      </c>
      <c r="S2130" t="str">
        <f>_xll.BDP("70105RBC Muni","BB_COMPOSITE")</f>
        <v>#N/A Requesting Data...</v>
      </c>
      <c r="T2130" t="str">
        <f>_xll.BDP("70105RBC Muni","LQA_LIQUIDITY_SCORE")</f>
        <v>#N/A Requesting Data...</v>
      </c>
    </row>
    <row r="2131" spans="1:20" x14ac:dyDescent="0.25">
      <c r="A2131" t="str">
        <f>_xll.BDP("64580CAE Muni","ID_CUSIP")</f>
        <v>#N/A Requesting Data...</v>
      </c>
      <c r="B2131" t="s">
        <v>481</v>
      </c>
      <c r="C2131" t="str">
        <f>_xll.BDP("64580CAE Muni","INSURANCE_STATUS")</f>
        <v>#N/A Requesting Data...</v>
      </c>
      <c r="D2131" t="str">
        <f>_xll.BDP("64580CAE Muni","STATE_CODE")</f>
        <v>#N/A Requesting Data...</v>
      </c>
      <c r="E2131" t="str">
        <f>_xll.BDP("64580CAE Muni","COUNTY_LOCATION_ISSUER")</f>
        <v>#N/A Requesting Data...</v>
      </c>
      <c r="F2131" t="str">
        <f>_xll.BDP("64580CAE Muni","DUR_ADJ_MID")</f>
        <v>#N/A Requesting Data...</v>
      </c>
      <c r="G2131" t="str">
        <f>_xll.BDP("64580CAE Muni","SPREAD_AT_ISSUANCE_TO_WORST")</f>
        <v>#N/A Requesting Data...</v>
      </c>
      <c r="H2131" t="str">
        <f>_xll.BDP("64580CAE Muni","ISSUE_DT")</f>
        <v>#N/A Requesting Data...</v>
      </c>
      <c r="I2131" t="str">
        <f>_xll.BDS("64580CAE Muni","MUNI_PURPOSE_SCHED", "aggregate=y")</f>
        <v>#N/A Requesting Data...</v>
      </c>
      <c r="J2131" t="str">
        <f>_xll.BDP("64580CAE Muni","CPN")</f>
        <v>#N/A Requesting Data...</v>
      </c>
      <c r="K2131" t="str">
        <f>_xll.BDP("64580CAE Muni","MATURITY")</f>
        <v>#N/A Requesting Data...</v>
      </c>
      <c r="L2131">
        <v>870000</v>
      </c>
      <c r="M2131" t="str">
        <f>_xll.BDP("64580CAE Muni","YIELD_ON_ISSUE_DATE")</f>
        <v>#N/A Requesting Data...</v>
      </c>
      <c r="N2131" t="str">
        <f>_xll.BDP("64580CAE Muni","YTW_SPREAD_TO_MATURITY_AT_ISSU")</f>
        <v>#N/A Requesting Data...</v>
      </c>
      <c r="O2131" t="str">
        <f>_xll.BDP("64580CAE Muni","BVAL_MID_YTM")</f>
        <v>#N/A Requesting Data...</v>
      </c>
      <c r="P2131" t="str">
        <f>_xll.BDP("64580CAE Muni","MUNI_TAX_PROV")</f>
        <v>#N/A Requesting Data...</v>
      </c>
      <c r="Q2131" t="str">
        <f>_xll.BDP("64580CAE Muni","MUNI_FED_TAX")</f>
        <v>#N/A Requesting Data...</v>
      </c>
      <c r="R2131" t="str">
        <f>_xll.BDP("64580CAE Muni","MUNI_MSRB_VOLUME")</f>
        <v>#N/A Requesting Data...</v>
      </c>
      <c r="S2131" t="str">
        <f>_xll.BDP("64580CAE Muni","BB_COMPOSITE")</f>
        <v>#N/A Requesting Data...</v>
      </c>
      <c r="T2131" t="str">
        <f>_xll.BDP("64580CAE Muni","LQA_LIQUIDITY_SCORE")</f>
        <v>#N/A Requesting Data...</v>
      </c>
    </row>
    <row r="2132" spans="1:20" x14ac:dyDescent="0.25">
      <c r="A2132" t="str">
        <f>_xll.BDP("64580CAG Muni","ID_CUSIP")</f>
        <v>#N/A Requesting Data...</v>
      </c>
      <c r="B2132" t="s">
        <v>481</v>
      </c>
      <c r="C2132" t="str">
        <f>_xll.BDP("64580CAG Muni","INSURANCE_STATUS")</f>
        <v>#N/A Requesting Data...</v>
      </c>
      <c r="D2132" t="str">
        <f>_xll.BDP("64580CAG Muni","STATE_CODE")</f>
        <v>#N/A Requesting Data...</v>
      </c>
      <c r="E2132" t="str">
        <f>_xll.BDP("64580CAG Muni","COUNTY_LOCATION_ISSUER")</f>
        <v>#N/A Requesting Data...</v>
      </c>
      <c r="F2132" t="str">
        <f>_xll.BDP("64580CAG Muni","DUR_ADJ_MID")</f>
        <v>#N/A Requesting Data...</v>
      </c>
      <c r="G2132" t="str">
        <f>_xll.BDP("64580CAG Muni","SPREAD_AT_ISSUANCE_TO_WORST")</f>
        <v>#N/A Requesting Data...</v>
      </c>
      <c r="H2132" t="str">
        <f>_xll.BDP("64580CAG Muni","ISSUE_DT")</f>
        <v>#N/A Requesting Data...</v>
      </c>
      <c r="I2132" t="str">
        <f>_xll.BDS("64580CAG Muni","MUNI_PURPOSE_SCHED", "aggregate=y")</f>
        <v>#N/A Requesting Data...</v>
      </c>
      <c r="J2132" t="str">
        <f>_xll.BDP("64580CAG Muni","CPN")</f>
        <v>#N/A Requesting Data...</v>
      </c>
      <c r="K2132" t="str">
        <f>_xll.BDP("64580CAG Muni","MATURITY")</f>
        <v>#N/A Requesting Data...</v>
      </c>
      <c r="L2132">
        <v>945000</v>
      </c>
      <c r="M2132" t="str">
        <f>_xll.BDP("64580CAG Muni","YIELD_ON_ISSUE_DATE")</f>
        <v>#N/A Requesting Data...</v>
      </c>
      <c r="N2132" t="str">
        <f>_xll.BDP("64580CAG Muni","YTW_SPREAD_TO_MATURITY_AT_ISSU")</f>
        <v>#N/A Requesting Data...</v>
      </c>
      <c r="O2132" t="str">
        <f>_xll.BDP("64580CAG Muni","BVAL_MID_YTM")</f>
        <v>#N/A Requesting Data...</v>
      </c>
      <c r="P2132" t="str">
        <f>_xll.BDP("64580CAG Muni","MUNI_TAX_PROV")</f>
        <v>#N/A Requesting Data...</v>
      </c>
      <c r="Q2132" t="str">
        <f>_xll.BDP("64580CAG Muni","MUNI_FED_TAX")</f>
        <v>#N/A Requesting Data...</v>
      </c>
      <c r="R2132" t="str">
        <f>_xll.BDP("64580CAG Muni","MUNI_MSRB_VOLUME")</f>
        <v>#N/A Requesting Data...</v>
      </c>
      <c r="S2132" t="str">
        <f>_xll.BDP("64580CAG Muni","BB_COMPOSITE")</f>
        <v>#N/A Requesting Data...</v>
      </c>
      <c r="T2132" t="str">
        <f>_xll.BDP("64580CAG Muni","LQA_LIQUIDITY_SCORE")</f>
        <v>#N/A Requesting Data...</v>
      </c>
    </row>
    <row r="2133" spans="1:20" x14ac:dyDescent="0.25">
      <c r="A2133" t="str">
        <f>_xll.BDP("64580CAH Muni","ID_CUSIP")</f>
        <v>#N/A Requesting Data...</v>
      </c>
      <c r="B2133" t="s">
        <v>481</v>
      </c>
      <c r="C2133" t="str">
        <f>_xll.BDP("64580CAH Muni","INSURANCE_STATUS")</f>
        <v>#N/A Requesting Data...</v>
      </c>
      <c r="D2133" t="str">
        <f>_xll.BDP("64580CAH Muni","STATE_CODE")</f>
        <v>#N/A Requesting Data...</v>
      </c>
      <c r="E2133" t="str">
        <f>_xll.BDP("64580CAH Muni","COUNTY_LOCATION_ISSUER")</f>
        <v>#N/A Requesting Data...</v>
      </c>
      <c r="F2133" t="str">
        <f>_xll.BDP("64580CAH Muni","DUR_ADJ_MID")</f>
        <v>#N/A Requesting Data...</v>
      </c>
      <c r="G2133" t="str">
        <f>_xll.BDP("64580CAH Muni","SPREAD_AT_ISSUANCE_TO_WORST")</f>
        <v>#N/A Requesting Data...</v>
      </c>
      <c r="H2133" t="str">
        <f>_xll.BDP("64580CAH Muni","ISSUE_DT")</f>
        <v>#N/A Requesting Data...</v>
      </c>
      <c r="I2133" t="str">
        <f>_xll.BDS("64580CAH Muni","MUNI_PURPOSE_SCHED", "aggregate=y")</f>
        <v>#N/A Requesting Data...</v>
      </c>
      <c r="J2133" t="str">
        <f>_xll.BDP("64580CAH Muni","CPN")</f>
        <v>#N/A Requesting Data...</v>
      </c>
      <c r="K2133" t="str">
        <f>_xll.BDP("64580CAH Muni","MATURITY")</f>
        <v>#N/A Requesting Data...</v>
      </c>
      <c r="L2133">
        <v>985000</v>
      </c>
      <c r="M2133" t="str">
        <f>_xll.BDP("64580CAH Muni","YIELD_ON_ISSUE_DATE")</f>
        <v>#N/A Requesting Data...</v>
      </c>
      <c r="N2133" t="str">
        <f>_xll.BDP("64580CAH Muni","YTW_SPREAD_TO_MATURITY_AT_ISSU")</f>
        <v>#N/A Requesting Data...</v>
      </c>
      <c r="O2133" t="str">
        <f>_xll.BDP("64580CAH Muni","BVAL_MID_YTM")</f>
        <v>#N/A Requesting Data...</v>
      </c>
      <c r="P2133" t="str">
        <f>_xll.BDP("64580CAH Muni","MUNI_TAX_PROV")</f>
        <v>#N/A Requesting Data...</v>
      </c>
      <c r="Q2133" t="str">
        <f>_xll.BDP("64580CAH Muni","MUNI_FED_TAX")</f>
        <v>#N/A Requesting Data...</v>
      </c>
      <c r="R2133" t="str">
        <f>_xll.BDP("64580CAH Muni","MUNI_MSRB_VOLUME")</f>
        <v>#N/A Requesting Data...</v>
      </c>
      <c r="S2133" t="str">
        <f>_xll.BDP("64580CAH Muni","BB_COMPOSITE")</f>
        <v>#N/A Requesting Data...</v>
      </c>
      <c r="T2133" t="str">
        <f>_xll.BDP("64580CAH Muni","LQA_LIQUIDITY_SCORE")</f>
        <v>#N/A Requesting Data...</v>
      </c>
    </row>
    <row r="2134" spans="1:20" x14ac:dyDescent="0.25">
      <c r="A2134" t="str">
        <f>_xll.BDP("64580CAJ Muni","ID_CUSIP")</f>
        <v>#N/A Requesting Data...</v>
      </c>
      <c r="B2134" t="s">
        <v>481</v>
      </c>
      <c r="C2134" t="str">
        <f>_xll.BDP("64580CAJ Muni","INSURANCE_STATUS")</f>
        <v>#N/A Requesting Data...</v>
      </c>
      <c r="D2134" t="str">
        <f>_xll.BDP("64580CAJ Muni","STATE_CODE")</f>
        <v>#N/A Requesting Data...</v>
      </c>
      <c r="E2134" t="str">
        <f>_xll.BDP("64580CAJ Muni","COUNTY_LOCATION_ISSUER")</f>
        <v>#N/A Requesting Data...</v>
      </c>
      <c r="F2134" t="str">
        <f>_xll.BDP("64580CAJ Muni","DUR_ADJ_MID")</f>
        <v>#N/A Requesting Data...</v>
      </c>
      <c r="G2134" t="str">
        <f>_xll.BDP("64580CAJ Muni","SPREAD_AT_ISSUANCE_TO_WORST")</f>
        <v>#N/A Requesting Data...</v>
      </c>
      <c r="H2134" t="str">
        <f>_xll.BDP("64580CAJ Muni","ISSUE_DT")</f>
        <v>#N/A Requesting Data...</v>
      </c>
      <c r="I2134" t="str">
        <f>_xll.BDS("64580CAJ Muni","MUNI_PURPOSE_SCHED", "aggregate=y")</f>
        <v>#N/A Requesting Data...</v>
      </c>
      <c r="J2134" t="str">
        <f>_xll.BDP("64580CAJ Muni","CPN")</f>
        <v>#N/A Requesting Data...</v>
      </c>
      <c r="K2134" t="str">
        <f>_xll.BDP("64580CAJ Muni","MATURITY")</f>
        <v>#N/A Requesting Data...</v>
      </c>
      <c r="L2134">
        <v>1025000</v>
      </c>
      <c r="M2134" t="str">
        <f>_xll.BDP("64580CAJ Muni","YIELD_ON_ISSUE_DATE")</f>
        <v>#N/A Requesting Data...</v>
      </c>
      <c r="N2134" t="str">
        <f>_xll.BDP("64580CAJ Muni","YTW_SPREAD_TO_MATURITY_AT_ISSU")</f>
        <v>#N/A Requesting Data...</v>
      </c>
      <c r="O2134" t="str">
        <f>_xll.BDP("64580CAJ Muni","BVAL_MID_YTM")</f>
        <v>#N/A Requesting Data...</v>
      </c>
      <c r="P2134" t="str">
        <f>_xll.BDP("64580CAJ Muni","MUNI_TAX_PROV")</f>
        <v>#N/A Requesting Data...</v>
      </c>
      <c r="Q2134" t="str">
        <f>_xll.BDP("64580CAJ Muni","MUNI_FED_TAX")</f>
        <v>#N/A Requesting Data...</v>
      </c>
      <c r="R2134" t="str">
        <f>_xll.BDP("64580CAJ Muni","MUNI_MSRB_VOLUME")</f>
        <v>#N/A Requesting Data...</v>
      </c>
      <c r="S2134" t="str">
        <f>_xll.BDP("64580CAJ Muni","BB_COMPOSITE")</f>
        <v>#N/A Requesting Data...</v>
      </c>
      <c r="T2134" t="str">
        <f>_xll.BDP("64580CAJ Muni","LQA_LIQUIDITY_SCORE")</f>
        <v>#N/A Requesting Data...</v>
      </c>
    </row>
    <row r="2135" spans="1:20" x14ac:dyDescent="0.25">
      <c r="A2135" t="str">
        <f>_xll.BDP("64580CBJ Muni","ID_CUSIP")</f>
        <v>#N/A Requesting Data...</v>
      </c>
      <c r="B2135" t="s">
        <v>481</v>
      </c>
      <c r="C2135" t="str">
        <f>_xll.BDP("64580CBJ Muni","INSURANCE_STATUS")</f>
        <v>#N/A Requesting Data...</v>
      </c>
      <c r="D2135" t="str">
        <f>_xll.BDP("64580CBJ Muni","STATE_CODE")</f>
        <v>#N/A Requesting Data...</v>
      </c>
      <c r="E2135" t="str">
        <f>_xll.BDP("64580CBJ Muni","COUNTY_LOCATION_ISSUER")</f>
        <v>#N/A Requesting Data...</v>
      </c>
      <c r="F2135" t="str">
        <f>_xll.BDP("64580CBJ Muni","DUR_ADJ_MID")</f>
        <v>#N/A Requesting Data...</v>
      </c>
      <c r="G2135" t="str">
        <f>_xll.BDP("64580CBJ Muni","SPREAD_AT_ISSUANCE_TO_WORST")</f>
        <v>#N/A Requesting Data...</v>
      </c>
      <c r="H2135" t="str">
        <f>_xll.BDP("64580CBJ Muni","ISSUE_DT")</f>
        <v>#N/A Requesting Data...</v>
      </c>
      <c r="I2135" t="str">
        <f>_xll.BDS("64580CBJ Muni","MUNI_PURPOSE_SCHED", "aggregate=y")</f>
        <v>#N/A Requesting Data...</v>
      </c>
      <c r="J2135" t="str">
        <f>_xll.BDP("64580CBJ Muni","CPN")</f>
        <v>#N/A Requesting Data...</v>
      </c>
      <c r="K2135" t="str">
        <f>_xll.BDP("64580CBJ Muni","MATURITY")</f>
        <v>#N/A Requesting Data...</v>
      </c>
      <c r="L2135">
        <v>315000</v>
      </c>
      <c r="M2135" t="str">
        <f>_xll.BDP("64580CBJ Muni","YIELD_ON_ISSUE_DATE")</f>
        <v>#N/A Requesting Data...</v>
      </c>
      <c r="N2135" t="str">
        <f>_xll.BDP("64580CBJ Muni","YTW_SPREAD_TO_MATURITY_AT_ISSU")</f>
        <v>#N/A Requesting Data...</v>
      </c>
      <c r="O2135" t="str">
        <f>_xll.BDP("64580CBJ Muni","BVAL_MID_YTM")</f>
        <v>#N/A Requesting Data...</v>
      </c>
      <c r="P2135" t="str">
        <f>_xll.BDP("64580CBJ Muni","MUNI_TAX_PROV")</f>
        <v>#N/A Requesting Data...</v>
      </c>
      <c r="Q2135" t="str">
        <f>_xll.BDP("64580CBJ Muni","MUNI_FED_TAX")</f>
        <v>#N/A Requesting Data...</v>
      </c>
      <c r="R2135" t="str">
        <f>_xll.BDP("64580CBJ Muni","MUNI_MSRB_VOLUME")</f>
        <v>#N/A Requesting Data...</v>
      </c>
      <c r="S2135" t="str">
        <f>_xll.BDP("64580CBJ Muni","BB_COMPOSITE")</f>
        <v>#N/A Requesting Data...</v>
      </c>
      <c r="T2135" t="str">
        <f>_xll.BDP("64580CBJ Muni","LQA_LIQUIDITY_SCORE")</f>
        <v>#N/A Requesting Data...</v>
      </c>
    </row>
    <row r="2136" spans="1:20" x14ac:dyDescent="0.25">
      <c r="A2136" t="str">
        <f>_xll.BDP("64580CBK Muni","ID_CUSIP")</f>
        <v>#N/A Requesting Data...</v>
      </c>
      <c r="B2136" t="s">
        <v>481</v>
      </c>
      <c r="C2136" t="str">
        <f>_xll.BDP("64580CBK Muni","INSURANCE_STATUS")</f>
        <v>#N/A Requesting Data...</v>
      </c>
      <c r="D2136" t="str">
        <f>_xll.BDP("64580CBK Muni","STATE_CODE")</f>
        <v>#N/A Requesting Data...</v>
      </c>
      <c r="E2136" t="str">
        <f>_xll.BDP("64580CBK Muni","COUNTY_LOCATION_ISSUER")</f>
        <v>#N/A Requesting Data...</v>
      </c>
      <c r="F2136" t="str">
        <f>_xll.BDP("64580CBK Muni","DUR_ADJ_MID")</f>
        <v>#N/A Requesting Data...</v>
      </c>
      <c r="G2136" t="str">
        <f>_xll.BDP("64580CBK Muni","SPREAD_AT_ISSUANCE_TO_WORST")</f>
        <v>#N/A Requesting Data...</v>
      </c>
      <c r="H2136" t="str">
        <f>_xll.BDP("64580CBK Muni","ISSUE_DT")</f>
        <v>#N/A Requesting Data...</v>
      </c>
      <c r="I2136" t="str">
        <f>_xll.BDS("64580CBK Muni","MUNI_PURPOSE_SCHED", "aggregate=y")</f>
        <v>#N/A Requesting Data...</v>
      </c>
      <c r="J2136" t="str">
        <f>_xll.BDP("64580CBK Muni","CPN")</f>
        <v>#N/A Requesting Data...</v>
      </c>
      <c r="K2136" t="str">
        <f>_xll.BDP("64580CBK Muni","MATURITY")</f>
        <v>#N/A Requesting Data...</v>
      </c>
      <c r="L2136">
        <v>330000</v>
      </c>
      <c r="M2136" t="str">
        <f>_xll.BDP("64580CBK Muni","YIELD_ON_ISSUE_DATE")</f>
        <v>#N/A Requesting Data...</v>
      </c>
      <c r="N2136" t="str">
        <f>_xll.BDP("64580CBK Muni","YTW_SPREAD_TO_MATURITY_AT_ISSU")</f>
        <v>#N/A Requesting Data...</v>
      </c>
      <c r="O2136" t="str">
        <f>_xll.BDP("64580CBK Muni","BVAL_MID_YTM")</f>
        <v>#N/A Requesting Data...</v>
      </c>
      <c r="P2136" t="str">
        <f>_xll.BDP("64580CBK Muni","MUNI_TAX_PROV")</f>
        <v>#N/A Requesting Data...</v>
      </c>
      <c r="Q2136" t="str">
        <f>_xll.BDP("64580CBK Muni","MUNI_FED_TAX")</f>
        <v>#N/A Requesting Data...</v>
      </c>
      <c r="R2136" t="str">
        <f>_xll.BDP("64580CBK Muni","MUNI_MSRB_VOLUME")</f>
        <v>#N/A Requesting Data...</v>
      </c>
      <c r="S2136" t="str">
        <f>_xll.BDP("64580CBK Muni","BB_COMPOSITE")</f>
        <v>#N/A Requesting Data...</v>
      </c>
      <c r="T2136" t="str">
        <f>_xll.BDP("64580CBK Muni","LQA_LIQUIDITY_SCORE")</f>
        <v>#N/A Requesting Data...</v>
      </c>
    </row>
    <row r="2137" spans="1:20" x14ac:dyDescent="0.25">
      <c r="A2137" t="str">
        <f>_xll.BDP("64580CBM Muni","ID_CUSIP")</f>
        <v>#N/A Requesting Data...</v>
      </c>
      <c r="B2137" t="s">
        <v>481</v>
      </c>
      <c r="C2137" t="str">
        <f>_xll.BDP("64580CBM Muni","INSURANCE_STATUS")</f>
        <v>#N/A Requesting Data...</v>
      </c>
      <c r="D2137" t="str">
        <f>_xll.BDP("64580CBM Muni","STATE_CODE")</f>
        <v>#N/A Requesting Data...</v>
      </c>
      <c r="E2137" t="str">
        <f>_xll.BDP("64580CBM Muni","COUNTY_LOCATION_ISSUER")</f>
        <v>#N/A Requesting Data...</v>
      </c>
      <c r="F2137" t="str">
        <f>_xll.BDP("64580CBM Muni","DUR_ADJ_MID")</f>
        <v>#N/A Requesting Data...</v>
      </c>
      <c r="G2137" t="str">
        <f>_xll.BDP("64580CBM Muni","SPREAD_AT_ISSUANCE_TO_WORST")</f>
        <v>#N/A Requesting Data...</v>
      </c>
      <c r="H2137" t="str">
        <f>_xll.BDP("64580CBM Muni","ISSUE_DT")</f>
        <v>#N/A Requesting Data...</v>
      </c>
      <c r="I2137" t="str">
        <f>_xll.BDS("64580CBM Muni","MUNI_PURPOSE_SCHED", "aggregate=y")</f>
        <v>#N/A Requesting Data...</v>
      </c>
      <c r="J2137" t="str">
        <f>_xll.BDP("64580CBM Muni","CPN")</f>
        <v>#N/A Requesting Data...</v>
      </c>
      <c r="K2137" t="str">
        <f>_xll.BDP("64580CBM Muni","MATURITY")</f>
        <v>#N/A Requesting Data...</v>
      </c>
      <c r="L2137">
        <v>365000</v>
      </c>
      <c r="M2137" t="str">
        <f>_xll.BDP("64580CBM Muni","YIELD_ON_ISSUE_DATE")</f>
        <v>#N/A Requesting Data...</v>
      </c>
      <c r="N2137" t="str">
        <f>_xll.BDP("64580CBM Muni","YTW_SPREAD_TO_MATURITY_AT_ISSU")</f>
        <v>#N/A Requesting Data...</v>
      </c>
      <c r="O2137" t="str">
        <f>_xll.BDP("64580CBM Muni","BVAL_MID_YTM")</f>
        <v>#N/A Requesting Data...</v>
      </c>
      <c r="P2137" t="str">
        <f>_xll.BDP("64580CBM Muni","MUNI_TAX_PROV")</f>
        <v>#N/A Requesting Data...</v>
      </c>
      <c r="Q2137" t="str">
        <f>_xll.BDP("64580CBM Muni","MUNI_FED_TAX")</f>
        <v>#N/A Requesting Data...</v>
      </c>
      <c r="R2137" t="str">
        <f>_xll.BDP("64580CBM Muni","MUNI_MSRB_VOLUME")</f>
        <v>#N/A Requesting Data...</v>
      </c>
      <c r="S2137" t="str">
        <f>_xll.BDP("64580CBM Muni","BB_COMPOSITE")</f>
        <v>#N/A Requesting Data...</v>
      </c>
      <c r="T2137" t="str">
        <f>_xll.BDP("64580CBM Muni","LQA_LIQUIDITY_SCORE")</f>
        <v>#N/A Requesting Data...</v>
      </c>
    </row>
    <row r="2138" spans="1:20" x14ac:dyDescent="0.25">
      <c r="A2138" t="str">
        <f>_xll.BDP("64580CBN Muni","ID_CUSIP")</f>
        <v>#N/A Requesting Data...</v>
      </c>
      <c r="B2138" t="s">
        <v>481</v>
      </c>
      <c r="C2138" t="str">
        <f>_xll.BDP("64580CBN Muni","INSURANCE_STATUS")</f>
        <v>#N/A Requesting Data...</v>
      </c>
      <c r="D2138" t="str">
        <f>_xll.BDP("64580CBN Muni","STATE_CODE")</f>
        <v>#N/A Requesting Data...</v>
      </c>
      <c r="E2138" t="str">
        <f>_xll.BDP("64580CBN Muni","COUNTY_LOCATION_ISSUER")</f>
        <v>#N/A Requesting Data...</v>
      </c>
      <c r="F2138" t="str">
        <f>_xll.BDP("64580CBN Muni","DUR_ADJ_MID")</f>
        <v>#N/A Requesting Data...</v>
      </c>
      <c r="G2138" t="str">
        <f>_xll.BDP("64580CBN Muni","SPREAD_AT_ISSUANCE_TO_WORST")</f>
        <v>#N/A Requesting Data...</v>
      </c>
      <c r="H2138" t="str">
        <f>_xll.BDP("64580CBN Muni","ISSUE_DT")</f>
        <v>#N/A Requesting Data...</v>
      </c>
      <c r="I2138" t="str">
        <f>_xll.BDS("64580CBN Muni","MUNI_PURPOSE_SCHED", "aggregate=y")</f>
        <v>#N/A Requesting Data...</v>
      </c>
      <c r="J2138" t="str">
        <f>_xll.BDP("64580CBN Muni","CPN")</f>
        <v>#N/A Requesting Data...</v>
      </c>
      <c r="K2138" t="str">
        <f>_xll.BDP("64580CBN Muni","MATURITY")</f>
        <v>#N/A Requesting Data...</v>
      </c>
      <c r="L2138">
        <v>390000</v>
      </c>
      <c r="M2138" t="str">
        <f>_xll.BDP("64580CBN Muni","YIELD_ON_ISSUE_DATE")</f>
        <v>#N/A Requesting Data...</v>
      </c>
      <c r="N2138" t="str">
        <f>_xll.BDP("64580CBN Muni","YTW_SPREAD_TO_MATURITY_AT_ISSU")</f>
        <v>#N/A Requesting Data...</v>
      </c>
      <c r="O2138" t="str">
        <f>_xll.BDP("64580CBN Muni","BVAL_MID_YTM")</f>
        <v>#N/A Requesting Data...</v>
      </c>
      <c r="P2138" t="str">
        <f>_xll.BDP("64580CBN Muni","MUNI_TAX_PROV")</f>
        <v>#N/A Requesting Data...</v>
      </c>
      <c r="Q2138" t="str">
        <f>_xll.BDP("64580CBN Muni","MUNI_FED_TAX")</f>
        <v>#N/A Requesting Data...</v>
      </c>
      <c r="R2138" t="str">
        <f>_xll.BDP("64580CBN Muni","MUNI_MSRB_VOLUME")</f>
        <v>#N/A Requesting Data...</v>
      </c>
      <c r="S2138" t="str">
        <f>_xll.BDP("64580CBN Muni","BB_COMPOSITE")</f>
        <v>#N/A Requesting Data...</v>
      </c>
      <c r="T2138" t="str">
        <f>_xll.BDP("64580CBN Muni","LQA_LIQUIDITY_SCORE")</f>
        <v>#N/A Requesting Data...</v>
      </c>
    </row>
    <row r="2139" spans="1:20" x14ac:dyDescent="0.25">
      <c r="A2139" t="str">
        <f>_xll.BDP("64580CCP Muni","ID_CUSIP")</f>
        <v>#N/A Requesting Data...</v>
      </c>
      <c r="B2139" t="s">
        <v>481</v>
      </c>
      <c r="C2139" t="str">
        <f>_xll.BDP("64580CCP Muni","INSURANCE_STATUS")</f>
        <v>#N/A Requesting Data...</v>
      </c>
      <c r="D2139" t="str">
        <f>_xll.BDP("64580CCP Muni","STATE_CODE")</f>
        <v>#N/A Requesting Data...</v>
      </c>
      <c r="E2139" t="str">
        <f>_xll.BDP("64580CCP Muni","COUNTY_LOCATION_ISSUER")</f>
        <v>#N/A Requesting Data...</v>
      </c>
      <c r="F2139" t="str">
        <f>_xll.BDP("64580CCP Muni","DUR_ADJ_MID")</f>
        <v>#N/A Requesting Data...</v>
      </c>
      <c r="G2139" t="str">
        <f>_xll.BDP("64580CCP Muni","SPREAD_AT_ISSUANCE_TO_WORST")</f>
        <v>#N/A Requesting Data...</v>
      </c>
      <c r="H2139" t="str">
        <f>_xll.BDP("64580CCP Muni","ISSUE_DT")</f>
        <v>#N/A Requesting Data...</v>
      </c>
      <c r="I2139" t="str">
        <f>_xll.BDS("64580CCP Muni","MUNI_PURPOSE_SCHED", "aggregate=y")</f>
        <v>#N/A Requesting Data...</v>
      </c>
      <c r="J2139" t="str">
        <f>_xll.BDP("64580CCP Muni","CPN")</f>
        <v>#N/A Requesting Data...</v>
      </c>
      <c r="K2139" t="str">
        <f>_xll.BDP("64580CCP Muni","MATURITY")</f>
        <v>#N/A Requesting Data...</v>
      </c>
      <c r="L2139">
        <v>400000</v>
      </c>
      <c r="M2139" t="str">
        <f>_xll.BDP("64580CCP Muni","YIELD_ON_ISSUE_DATE")</f>
        <v>#N/A Requesting Data...</v>
      </c>
      <c r="N2139" t="str">
        <f>_xll.BDP("64580CCP Muni","YTW_SPREAD_TO_MATURITY_AT_ISSU")</f>
        <v>#N/A Requesting Data...</v>
      </c>
      <c r="O2139" t="str">
        <f>_xll.BDP("64580CCP Muni","BVAL_MID_YTM")</f>
        <v>#N/A Requesting Data...</v>
      </c>
      <c r="P2139" t="str">
        <f>_xll.BDP("64580CCP Muni","MUNI_TAX_PROV")</f>
        <v>#N/A Requesting Data...</v>
      </c>
      <c r="Q2139" t="str">
        <f>_xll.BDP("64580CCP Muni","MUNI_FED_TAX")</f>
        <v>#N/A Requesting Data...</v>
      </c>
      <c r="R2139" t="str">
        <f>_xll.BDP("64580CCP Muni","MUNI_MSRB_VOLUME")</f>
        <v>#N/A Requesting Data...</v>
      </c>
      <c r="S2139" t="str">
        <f>_xll.BDP("64580CCP Muni","BB_COMPOSITE")</f>
        <v>#N/A Requesting Data...</v>
      </c>
      <c r="T2139" t="str">
        <f>_xll.BDP("64580CCP Muni","LQA_LIQUIDITY_SCORE")</f>
        <v>#N/A Requesting Data...</v>
      </c>
    </row>
    <row r="2140" spans="1:20" x14ac:dyDescent="0.25">
      <c r="A2140" t="str">
        <f>_xll.BDP("64580CCR Muni","ID_CUSIP")</f>
        <v>#N/A Requesting Data...</v>
      </c>
      <c r="B2140" t="s">
        <v>481</v>
      </c>
      <c r="C2140" t="str">
        <f>_xll.BDP("64580CCR Muni","INSURANCE_STATUS")</f>
        <v>#N/A Requesting Data...</v>
      </c>
      <c r="D2140" t="str">
        <f>_xll.BDP("64580CCR Muni","STATE_CODE")</f>
        <v>#N/A Requesting Data...</v>
      </c>
      <c r="E2140" t="str">
        <f>_xll.BDP("64580CCR Muni","COUNTY_LOCATION_ISSUER")</f>
        <v>#N/A Requesting Data...</v>
      </c>
      <c r="F2140" t="str">
        <f>_xll.BDP("64580CCR Muni","DUR_ADJ_MID")</f>
        <v>#N/A Requesting Data...</v>
      </c>
      <c r="G2140" t="str">
        <f>_xll.BDP("64580CCR Muni","SPREAD_AT_ISSUANCE_TO_WORST")</f>
        <v>#N/A Requesting Data...</v>
      </c>
      <c r="H2140" t="str">
        <f>_xll.BDP("64580CCR Muni","ISSUE_DT")</f>
        <v>#N/A Requesting Data...</v>
      </c>
      <c r="I2140" t="str">
        <f>_xll.BDS("64580CCR Muni","MUNI_PURPOSE_SCHED", "aggregate=y")</f>
        <v>#N/A Requesting Data...</v>
      </c>
      <c r="J2140" t="str">
        <f>_xll.BDP("64580CCR Muni","CPN")</f>
        <v>#N/A Requesting Data...</v>
      </c>
      <c r="K2140" t="str">
        <f>_xll.BDP("64580CCR Muni","MATURITY")</f>
        <v>#N/A Requesting Data...</v>
      </c>
      <c r="L2140">
        <v>460000</v>
      </c>
      <c r="M2140" t="str">
        <f>_xll.BDP("64580CCR Muni","YIELD_ON_ISSUE_DATE")</f>
        <v>#N/A Requesting Data...</v>
      </c>
      <c r="N2140" t="str">
        <f>_xll.BDP("64580CCR Muni","YTW_SPREAD_TO_MATURITY_AT_ISSU")</f>
        <v>#N/A Requesting Data...</v>
      </c>
      <c r="O2140" t="str">
        <f>_xll.BDP("64580CCR Muni","BVAL_MID_YTM")</f>
        <v>#N/A Requesting Data...</v>
      </c>
      <c r="P2140" t="str">
        <f>_xll.BDP("64580CCR Muni","MUNI_TAX_PROV")</f>
        <v>#N/A Requesting Data...</v>
      </c>
      <c r="Q2140" t="str">
        <f>_xll.BDP("64580CCR Muni","MUNI_FED_TAX")</f>
        <v>#N/A Requesting Data...</v>
      </c>
      <c r="R2140" t="str">
        <f>_xll.BDP("64580CCR Muni","MUNI_MSRB_VOLUME")</f>
        <v>#N/A Requesting Data...</v>
      </c>
      <c r="S2140" t="str">
        <f>_xll.BDP("64580CCR Muni","BB_COMPOSITE")</f>
        <v>#N/A Requesting Data...</v>
      </c>
      <c r="T2140" t="str">
        <f>_xll.BDP("64580CCR Muni","LQA_LIQUIDITY_SCORE")</f>
        <v>#N/A Requesting Data...</v>
      </c>
    </row>
    <row r="2141" spans="1:20" x14ac:dyDescent="0.25">
      <c r="A2141" t="str">
        <f>_xll.BDP("64580CCT Muni","ID_CUSIP")</f>
        <v>#N/A Requesting Data...</v>
      </c>
      <c r="B2141" t="s">
        <v>481</v>
      </c>
      <c r="C2141" t="str">
        <f>_xll.BDP("64580CCT Muni","INSURANCE_STATUS")</f>
        <v>#N/A Requesting Data...</v>
      </c>
      <c r="D2141" t="str">
        <f>_xll.BDP("64580CCT Muni","STATE_CODE")</f>
        <v>#N/A Requesting Data...</v>
      </c>
      <c r="E2141" t="str">
        <f>_xll.BDP("64580CCT Muni","COUNTY_LOCATION_ISSUER")</f>
        <v>#N/A Requesting Data...</v>
      </c>
      <c r="F2141" t="str">
        <f>_xll.BDP("64580CCT Muni","DUR_ADJ_MID")</f>
        <v>#N/A Requesting Data...</v>
      </c>
      <c r="G2141" t="str">
        <f>_xll.BDP("64580CCT Muni","SPREAD_AT_ISSUANCE_TO_WORST")</f>
        <v>#N/A Requesting Data...</v>
      </c>
      <c r="H2141" t="str">
        <f>_xll.BDP("64580CCT Muni","ISSUE_DT")</f>
        <v>#N/A Requesting Data...</v>
      </c>
      <c r="I2141" t="str">
        <f>_xll.BDS("64580CCT Muni","MUNI_PURPOSE_SCHED", "aggregate=y")</f>
        <v>#N/A Requesting Data...</v>
      </c>
      <c r="J2141" t="str">
        <f>_xll.BDP("64580CCT Muni","CPN")</f>
        <v>#N/A Requesting Data...</v>
      </c>
      <c r="K2141" t="str">
        <f>_xll.BDP("64580CCT Muni","MATURITY")</f>
        <v>#N/A Requesting Data...</v>
      </c>
      <c r="L2141">
        <v>500000</v>
      </c>
      <c r="M2141" t="str">
        <f>_xll.BDP("64580CCT Muni","YIELD_ON_ISSUE_DATE")</f>
        <v>#N/A Requesting Data...</v>
      </c>
      <c r="N2141" t="str">
        <f>_xll.BDP("64580CCT Muni","YTW_SPREAD_TO_MATURITY_AT_ISSU")</f>
        <v>#N/A Requesting Data...</v>
      </c>
      <c r="O2141" t="str">
        <f>_xll.BDP("64580CCT Muni","BVAL_MID_YTM")</f>
        <v>#N/A Requesting Data...</v>
      </c>
      <c r="P2141" t="str">
        <f>_xll.BDP("64580CCT Muni","MUNI_TAX_PROV")</f>
        <v>#N/A Requesting Data...</v>
      </c>
      <c r="Q2141" t="str">
        <f>_xll.BDP("64580CCT Muni","MUNI_FED_TAX")</f>
        <v>#N/A Requesting Data...</v>
      </c>
      <c r="R2141" t="str">
        <f>_xll.BDP("64580CCT Muni","MUNI_MSRB_VOLUME")</f>
        <v>#N/A Requesting Data...</v>
      </c>
      <c r="S2141" t="str">
        <f>_xll.BDP("64580CCT Muni","BB_COMPOSITE")</f>
        <v>#N/A Requesting Data...</v>
      </c>
      <c r="T2141" t="str">
        <f>_xll.BDP("64580CCT Muni","LQA_LIQUIDITY_SCORE")</f>
        <v>#N/A Requesting Data...</v>
      </c>
    </row>
    <row r="2142" spans="1:20" x14ac:dyDescent="0.25">
      <c r="A2142" t="str">
        <f>_xll.BDP("701182EF Muni","ID_CUSIP")</f>
        <v>#N/A Requesting Data...</v>
      </c>
      <c r="B2142" t="s">
        <v>501</v>
      </c>
      <c r="C2142" t="str">
        <f>_xll.BDP("701182EF Muni","INSURANCE_STATUS")</f>
        <v>#N/A Requesting Data...</v>
      </c>
      <c r="D2142" t="str">
        <f>_xll.BDP("701182EF Muni","STATE_CODE")</f>
        <v>#N/A Requesting Data...</v>
      </c>
      <c r="E2142" t="str">
        <f>_xll.BDP("701182EF Muni","COUNTY_LOCATION_ISSUER")</f>
        <v>#N/A Requesting Data...</v>
      </c>
      <c r="F2142" t="str">
        <f>_xll.BDP("701182EF Muni","DUR_ADJ_MID")</f>
        <v>#N/A Requesting Data...</v>
      </c>
      <c r="G2142" t="str">
        <f>_xll.BDP("701182EF Muni","SPREAD_AT_ISSUANCE_TO_WORST")</f>
        <v>#N/A Requesting Data...</v>
      </c>
      <c r="H2142" t="str">
        <f>_xll.BDP("701182EF Muni","ISSUE_DT")</f>
        <v>#N/A Requesting Data...</v>
      </c>
      <c r="I2142" t="str">
        <f>_xll.BDS("701182EF Muni","MUNI_PURPOSE_SCHED", "aggregate=y")</f>
        <v>#N/A Requesting Data...</v>
      </c>
      <c r="J2142" t="str">
        <f>_xll.BDP("701182EF Muni","CPN")</f>
        <v>#N/A Requesting Data...</v>
      </c>
      <c r="K2142" t="str">
        <f>_xll.BDP("701182EF Muni","MATURITY")</f>
        <v>#N/A Requesting Data...</v>
      </c>
      <c r="L2142">
        <v>80000</v>
      </c>
      <c r="M2142" t="str">
        <f>_xll.BDP("701182EF Muni","YIELD_ON_ISSUE_DATE")</f>
        <v>#N/A Requesting Data...</v>
      </c>
      <c r="N2142" t="str">
        <f>_xll.BDP("701182EF Muni","YTW_SPREAD_TO_MATURITY_AT_ISSU")</f>
        <v>#N/A Requesting Data...</v>
      </c>
      <c r="O2142" t="str">
        <f>_xll.BDP("701182EF Muni","BVAL_MID_YTM")</f>
        <v>#N/A Requesting Data...</v>
      </c>
      <c r="P2142" t="str">
        <f>_xll.BDP("701182EF Muni","MUNI_TAX_PROV")</f>
        <v>#N/A Requesting Data...</v>
      </c>
      <c r="Q2142" t="str">
        <f>_xll.BDP("701182EF Muni","MUNI_FED_TAX")</f>
        <v>#N/A Requesting Data...</v>
      </c>
      <c r="R2142" t="str">
        <f>_xll.BDP("701182EF Muni","MUNI_MSRB_VOLUME")</f>
        <v>#N/A Requesting Data...</v>
      </c>
      <c r="S2142" t="str">
        <f>_xll.BDP("701182EF Muni","BB_COMPOSITE")</f>
        <v>#N/A Requesting Data...</v>
      </c>
      <c r="T2142" t="str">
        <f>_xll.BDP("701182EF Muni","LQA_LIQUIDITY_SCORE")</f>
        <v>#N/A Requesting Data...</v>
      </c>
    </row>
    <row r="2143" spans="1:20" x14ac:dyDescent="0.25">
      <c r="A2143" t="str">
        <f>_xll.BDP("701182EG Muni","ID_CUSIP")</f>
        <v>#N/A Requesting Data...</v>
      </c>
      <c r="B2143" t="s">
        <v>501</v>
      </c>
      <c r="C2143" t="str">
        <f>_xll.BDP("701182EG Muni","INSURANCE_STATUS")</f>
        <v>#N/A Requesting Data...</v>
      </c>
      <c r="D2143" t="str">
        <f>_xll.BDP("701182EG Muni","STATE_CODE")</f>
        <v>#N/A Requesting Data...</v>
      </c>
      <c r="E2143" t="str">
        <f>_xll.BDP("701182EG Muni","COUNTY_LOCATION_ISSUER")</f>
        <v>#N/A Requesting Data...</v>
      </c>
      <c r="F2143" t="str">
        <f>_xll.BDP("701182EG Muni","DUR_ADJ_MID")</f>
        <v>#N/A Requesting Data...</v>
      </c>
      <c r="G2143" t="str">
        <f>_xll.BDP("701182EG Muni","SPREAD_AT_ISSUANCE_TO_WORST")</f>
        <v>#N/A Requesting Data...</v>
      </c>
      <c r="H2143" t="str">
        <f>_xll.BDP("701182EG Muni","ISSUE_DT")</f>
        <v>#N/A Requesting Data...</v>
      </c>
      <c r="I2143" t="str">
        <f>_xll.BDS("701182EG Muni","MUNI_PURPOSE_SCHED", "aggregate=y")</f>
        <v>#N/A Requesting Data...</v>
      </c>
      <c r="J2143" t="str">
        <f>_xll.BDP("701182EG Muni","CPN")</f>
        <v>#N/A Requesting Data...</v>
      </c>
      <c r="K2143" t="str">
        <f>_xll.BDP("701182EG Muni","MATURITY")</f>
        <v>#N/A Requesting Data...</v>
      </c>
      <c r="L2143">
        <v>170000</v>
      </c>
      <c r="M2143" t="str">
        <f>_xll.BDP("701182EG Muni","YIELD_ON_ISSUE_DATE")</f>
        <v>#N/A Requesting Data...</v>
      </c>
      <c r="N2143" t="str">
        <f>_xll.BDP("701182EG Muni","YTW_SPREAD_TO_MATURITY_AT_ISSU")</f>
        <v>#N/A Requesting Data...</v>
      </c>
      <c r="O2143" t="str">
        <f>_xll.BDP("701182EG Muni","BVAL_MID_YTM")</f>
        <v>#N/A Requesting Data...</v>
      </c>
      <c r="P2143" t="str">
        <f>_xll.BDP("701182EG Muni","MUNI_TAX_PROV")</f>
        <v>#N/A Requesting Data...</v>
      </c>
      <c r="Q2143" t="str">
        <f>_xll.BDP("701182EG Muni","MUNI_FED_TAX")</f>
        <v>#N/A Requesting Data...</v>
      </c>
      <c r="R2143" t="str">
        <f>_xll.BDP("701182EG Muni","MUNI_MSRB_VOLUME")</f>
        <v>#N/A Requesting Data...</v>
      </c>
      <c r="S2143" t="str">
        <f>_xll.BDP("701182EG Muni","BB_COMPOSITE")</f>
        <v>#N/A Requesting Data...</v>
      </c>
      <c r="T2143" t="str">
        <f>_xll.BDP("701182EG Muni","LQA_LIQUIDITY_SCORE")</f>
        <v>#N/A Requesting Data...</v>
      </c>
    </row>
    <row r="2144" spans="1:20" x14ac:dyDescent="0.25">
      <c r="A2144" t="str">
        <f>_xll.BDP("701182EH Muni","ID_CUSIP")</f>
        <v>#N/A Requesting Data...</v>
      </c>
      <c r="B2144" t="s">
        <v>501</v>
      </c>
      <c r="C2144" t="str">
        <f>_xll.BDP("701182EH Muni","INSURANCE_STATUS")</f>
        <v>#N/A Requesting Data...</v>
      </c>
      <c r="D2144" t="str">
        <f>_xll.BDP("701182EH Muni","STATE_CODE")</f>
        <v>#N/A Requesting Data...</v>
      </c>
      <c r="E2144" t="str">
        <f>_xll.BDP("701182EH Muni","COUNTY_LOCATION_ISSUER")</f>
        <v>#N/A Requesting Data...</v>
      </c>
      <c r="F2144" t="str">
        <f>_xll.BDP("701182EH Muni","DUR_ADJ_MID")</f>
        <v>#N/A Requesting Data...</v>
      </c>
      <c r="G2144" t="str">
        <f>_xll.BDP("701182EH Muni","SPREAD_AT_ISSUANCE_TO_WORST")</f>
        <v>#N/A Requesting Data...</v>
      </c>
      <c r="H2144" t="str">
        <f>_xll.BDP("701182EH Muni","ISSUE_DT")</f>
        <v>#N/A Requesting Data...</v>
      </c>
      <c r="I2144" t="str">
        <f>_xll.BDS("701182EH Muni","MUNI_PURPOSE_SCHED", "aggregate=y")</f>
        <v>#N/A Requesting Data...</v>
      </c>
      <c r="J2144" t="str">
        <f>_xll.BDP("701182EH Muni","CPN")</f>
        <v>#N/A Requesting Data...</v>
      </c>
      <c r="K2144" t="str">
        <f>_xll.BDP("701182EH Muni","MATURITY")</f>
        <v>#N/A Requesting Data...</v>
      </c>
      <c r="L2144">
        <v>200000</v>
      </c>
      <c r="M2144" t="str">
        <f>_xll.BDP("701182EH Muni","YIELD_ON_ISSUE_DATE")</f>
        <v>#N/A Requesting Data...</v>
      </c>
      <c r="N2144" t="str">
        <f>_xll.BDP("701182EH Muni","YTW_SPREAD_TO_MATURITY_AT_ISSU")</f>
        <v>#N/A Requesting Data...</v>
      </c>
      <c r="O2144" t="str">
        <f>_xll.BDP("701182EH Muni","BVAL_MID_YTM")</f>
        <v>#N/A Requesting Data...</v>
      </c>
      <c r="P2144" t="str">
        <f>_xll.BDP("701182EH Muni","MUNI_TAX_PROV")</f>
        <v>#N/A Requesting Data...</v>
      </c>
      <c r="Q2144" t="str">
        <f>_xll.BDP("701182EH Muni","MUNI_FED_TAX")</f>
        <v>#N/A Requesting Data...</v>
      </c>
      <c r="R2144" t="str">
        <f>_xll.BDP("701182EH Muni","MUNI_MSRB_VOLUME")</f>
        <v>#N/A Requesting Data...</v>
      </c>
      <c r="S2144" t="str">
        <f>_xll.BDP("701182EH Muni","BB_COMPOSITE")</f>
        <v>#N/A Requesting Data...</v>
      </c>
      <c r="T2144" t="str">
        <f>_xll.BDP("701182EH Muni","LQA_LIQUIDITY_SCORE")</f>
        <v>#N/A Requesting Data...</v>
      </c>
    </row>
    <row r="2145" spans="1:20" x14ac:dyDescent="0.25">
      <c r="A2145" t="str">
        <f>_xll.BDP("701182EJ Muni","ID_CUSIP")</f>
        <v>#N/A Requesting Data...</v>
      </c>
      <c r="B2145" t="s">
        <v>501</v>
      </c>
      <c r="C2145" t="str">
        <f>_xll.BDP("701182EJ Muni","INSURANCE_STATUS")</f>
        <v>#N/A Requesting Data...</v>
      </c>
      <c r="D2145" t="str">
        <f>_xll.BDP("701182EJ Muni","STATE_CODE")</f>
        <v>#N/A Requesting Data...</v>
      </c>
      <c r="E2145" t="str">
        <f>_xll.BDP("701182EJ Muni","COUNTY_LOCATION_ISSUER")</f>
        <v>#N/A Requesting Data...</v>
      </c>
      <c r="F2145" t="str">
        <f>_xll.BDP("701182EJ Muni","DUR_ADJ_MID")</f>
        <v>#N/A Requesting Data...</v>
      </c>
      <c r="G2145" t="str">
        <f>_xll.BDP("701182EJ Muni","SPREAD_AT_ISSUANCE_TO_WORST")</f>
        <v>#N/A Requesting Data...</v>
      </c>
      <c r="H2145" t="str">
        <f>_xll.BDP("701182EJ Muni","ISSUE_DT")</f>
        <v>#N/A Requesting Data...</v>
      </c>
      <c r="I2145" t="str">
        <f>_xll.BDS("701182EJ Muni","MUNI_PURPOSE_SCHED", "aggregate=y")</f>
        <v>#N/A Requesting Data...</v>
      </c>
      <c r="J2145" t="str">
        <f>_xll.BDP("701182EJ Muni","CPN")</f>
        <v>#N/A Requesting Data...</v>
      </c>
      <c r="K2145" t="str">
        <f>_xll.BDP("701182EJ Muni","MATURITY")</f>
        <v>#N/A Requesting Data...</v>
      </c>
      <c r="L2145">
        <v>245000</v>
      </c>
      <c r="M2145" t="str">
        <f>_xll.BDP("701182EJ Muni","YIELD_ON_ISSUE_DATE")</f>
        <v>#N/A Requesting Data...</v>
      </c>
      <c r="N2145" t="str">
        <f>_xll.BDP("701182EJ Muni","YTW_SPREAD_TO_MATURITY_AT_ISSU")</f>
        <v>#N/A Requesting Data...</v>
      </c>
      <c r="O2145" t="str">
        <f>_xll.BDP("701182EJ Muni","BVAL_MID_YTM")</f>
        <v>#N/A Requesting Data...</v>
      </c>
      <c r="P2145" t="str">
        <f>_xll.BDP("701182EJ Muni","MUNI_TAX_PROV")</f>
        <v>#N/A Requesting Data...</v>
      </c>
      <c r="Q2145" t="str">
        <f>_xll.BDP("701182EJ Muni","MUNI_FED_TAX")</f>
        <v>#N/A Requesting Data...</v>
      </c>
      <c r="R2145" t="str">
        <f>_xll.BDP("701182EJ Muni","MUNI_MSRB_VOLUME")</f>
        <v>#N/A Requesting Data...</v>
      </c>
      <c r="S2145" t="str">
        <f>_xll.BDP("701182EJ Muni","BB_COMPOSITE")</f>
        <v>#N/A Requesting Data...</v>
      </c>
      <c r="T2145" t="str">
        <f>_xll.BDP("701182EJ Muni","LQA_LIQUIDITY_SCORE")</f>
        <v>#N/A Requesting Data...</v>
      </c>
    </row>
    <row r="2146" spans="1:20" x14ac:dyDescent="0.25">
      <c r="A2146" t="str">
        <f>_xll.BDP("701182EK Muni","ID_CUSIP")</f>
        <v>#N/A Requesting Data...</v>
      </c>
      <c r="B2146" t="s">
        <v>501</v>
      </c>
      <c r="C2146" t="str">
        <f>_xll.BDP("701182EK Muni","INSURANCE_STATUS")</f>
        <v>#N/A Requesting Data...</v>
      </c>
      <c r="D2146" t="str">
        <f>_xll.BDP("701182EK Muni","STATE_CODE")</f>
        <v>#N/A Requesting Data...</v>
      </c>
      <c r="E2146" t="str">
        <f>_xll.BDP("701182EK Muni","COUNTY_LOCATION_ISSUER")</f>
        <v>#N/A Requesting Data...</v>
      </c>
      <c r="F2146" t="str">
        <f>_xll.BDP("701182EK Muni","DUR_ADJ_MID")</f>
        <v>#N/A Requesting Data...</v>
      </c>
      <c r="G2146" t="str">
        <f>_xll.BDP("701182EK Muni","SPREAD_AT_ISSUANCE_TO_WORST")</f>
        <v>#N/A Requesting Data...</v>
      </c>
      <c r="H2146" t="str">
        <f>_xll.BDP("701182EK Muni","ISSUE_DT")</f>
        <v>#N/A Requesting Data...</v>
      </c>
      <c r="I2146" t="str">
        <f>_xll.BDS("701182EK Muni","MUNI_PURPOSE_SCHED", "aggregate=y")</f>
        <v>#N/A Requesting Data...</v>
      </c>
      <c r="J2146" t="str">
        <f>_xll.BDP("701182EK Muni","CPN")</f>
        <v>#N/A Requesting Data...</v>
      </c>
      <c r="K2146" t="str">
        <f>_xll.BDP("701182EK Muni","MATURITY")</f>
        <v>#N/A Requesting Data...</v>
      </c>
      <c r="L2146">
        <v>255000</v>
      </c>
      <c r="M2146" t="str">
        <f>_xll.BDP("701182EK Muni","YIELD_ON_ISSUE_DATE")</f>
        <v>#N/A Requesting Data...</v>
      </c>
      <c r="N2146" t="str">
        <f>_xll.BDP("701182EK Muni","YTW_SPREAD_TO_MATURITY_AT_ISSU")</f>
        <v>#N/A Requesting Data...</v>
      </c>
      <c r="O2146" t="str">
        <f>_xll.BDP("701182EK Muni","BVAL_MID_YTM")</f>
        <v>#N/A Requesting Data...</v>
      </c>
      <c r="P2146" t="str">
        <f>_xll.BDP("701182EK Muni","MUNI_TAX_PROV")</f>
        <v>#N/A Requesting Data...</v>
      </c>
      <c r="Q2146" t="str">
        <f>_xll.BDP("701182EK Muni","MUNI_FED_TAX")</f>
        <v>#N/A Requesting Data...</v>
      </c>
      <c r="R2146" t="str">
        <f>_xll.BDP("701182EK Muni","MUNI_MSRB_VOLUME")</f>
        <v>#N/A Requesting Data...</v>
      </c>
      <c r="S2146" t="str">
        <f>_xll.BDP("701182EK Muni","BB_COMPOSITE")</f>
        <v>#N/A Requesting Data...</v>
      </c>
      <c r="T2146" t="str">
        <f>_xll.BDP("701182EK Muni","LQA_LIQUIDITY_SCORE")</f>
        <v>#N/A Requesting Data...</v>
      </c>
    </row>
    <row r="2147" spans="1:20" x14ac:dyDescent="0.25">
      <c r="A2147" t="str">
        <f>_xll.BDP("701182EL Muni","ID_CUSIP")</f>
        <v>#N/A Requesting Data...</v>
      </c>
      <c r="B2147" t="s">
        <v>501</v>
      </c>
      <c r="C2147" t="str">
        <f>_xll.BDP("701182EL Muni","INSURANCE_STATUS")</f>
        <v>#N/A Requesting Data...</v>
      </c>
      <c r="D2147" t="str">
        <f>_xll.BDP("701182EL Muni","STATE_CODE")</f>
        <v>#N/A Requesting Data...</v>
      </c>
      <c r="E2147" t="str">
        <f>_xll.BDP("701182EL Muni","COUNTY_LOCATION_ISSUER")</f>
        <v>#N/A Requesting Data...</v>
      </c>
      <c r="F2147" t="str">
        <f>_xll.BDP("701182EL Muni","DUR_ADJ_MID")</f>
        <v>#N/A Requesting Data...</v>
      </c>
      <c r="G2147" t="str">
        <f>_xll.BDP("701182EL Muni","SPREAD_AT_ISSUANCE_TO_WORST")</f>
        <v>#N/A Requesting Data...</v>
      </c>
      <c r="H2147" t="str">
        <f>_xll.BDP("701182EL Muni","ISSUE_DT")</f>
        <v>#N/A Requesting Data...</v>
      </c>
      <c r="I2147" t="str">
        <f>_xll.BDS("701182EL Muni","MUNI_PURPOSE_SCHED", "aggregate=y")</f>
        <v>#N/A Requesting Data...</v>
      </c>
      <c r="J2147" t="str">
        <f>_xll.BDP("701182EL Muni","CPN")</f>
        <v>#N/A Requesting Data...</v>
      </c>
      <c r="K2147" t="str">
        <f>_xll.BDP("701182EL Muni","MATURITY")</f>
        <v>#N/A Requesting Data...</v>
      </c>
      <c r="L2147">
        <v>265000</v>
      </c>
      <c r="M2147" t="str">
        <f>_xll.BDP("701182EL Muni","YIELD_ON_ISSUE_DATE")</f>
        <v>#N/A Requesting Data...</v>
      </c>
      <c r="N2147" t="str">
        <f>_xll.BDP("701182EL Muni","YTW_SPREAD_TO_MATURITY_AT_ISSU")</f>
        <v>#N/A Requesting Data...</v>
      </c>
      <c r="O2147" t="str">
        <f>_xll.BDP("701182EL Muni","BVAL_MID_YTM")</f>
        <v>#N/A Requesting Data...</v>
      </c>
      <c r="P2147" t="str">
        <f>_xll.BDP("701182EL Muni","MUNI_TAX_PROV")</f>
        <v>#N/A Requesting Data...</v>
      </c>
      <c r="Q2147" t="str">
        <f>_xll.BDP("701182EL Muni","MUNI_FED_TAX")</f>
        <v>#N/A Requesting Data...</v>
      </c>
      <c r="R2147" t="str">
        <f>_xll.BDP("701182EL Muni","MUNI_MSRB_VOLUME")</f>
        <v>#N/A Requesting Data...</v>
      </c>
      <c r="S2147" t="str">
        <f>_xll.BDP("701182EL Muni","BB_COMPOSITE")</f>
        <v>#N/A Requesting Data...</v>
      </c>
      <c r="T2147" t="str">
        <f>_xll.BDP("701182EL Muni","LQA_LIQUIDITY_SCORE")</f>
        <v>#N/A Requesting Data...</v>
      </c>
    </row>
    <row r="2148" spans="1:20" x14ac:dyDescent="0.25">
      <c r="A2148" t="str">
        <f>_xll.BDP("89657PJQ Muni","ID_CUSIP")</f>
        <v>#N/A Requesting Data...</v>
      </c>
      <c r="B2148" t="s">
        <v>498</v>
      </c>
      <c r="C2148" t="str">
        <f>_xll.BDP("89657PJQ Muni","INSURANCE_STATUS")</f>
        <v>#N/A Requesting Data...</v>
      </c>
      <c r="D2148" t="str">
        <f>_xll.BDP("89657PJQ Muni","STATE_CODE")</f>
        <v>#N/A Requesting Data...</v>
      </c>
      <c r="E2148" t="str">
        <f>_xll.BDP("89657PJQ Muni","COUNTY_LOCATION_ISSUER")</f>
        <v>#N/A Requesting Data...</v>
      </c>
      <c r="F2148" t="str">
        <f>_xll.BDP("89657PJQ Muni","DUR_ADJ_MID")</f>
        <v>#N/A Requesting Data...</v>
      </c>
      <c r="G2148" t="str">
        <f>_xll.BDP("89657PJQ Muni","SPREAD_AT_ISSUANCE_TO_WORST")</f>
        <v>#N/A Requesting Data...</v>
      </c>
      <c r="H2148" t="str">
        <f>_xll.BDP("89657PJQ Muni","ISSUE_DT")</f>
        <v>#N/A Requesting Data...</v>
      </c>
      <c r="I2148" t="str">
        <f>_xll.BDS("89657PJQ Muni","MUNI_PURPOSE_SCHED", "aggregate=y")</f>
        <v>#N/A Requesting Data...</v>
      </c>
      <c r="J2148" t="str">
        <f>_xll.BDP("89657PJQ Muni","CPN")</f>
        <v>#N/A Requesting Data...</v>
      </c>
      <c r="K2148" t="str">
        <f>_xll.BDP("89657PJQ Muni","MATURITY")</f>
        <v>#N/A Requesting Data...</v>
      </c>
      <c r="L2148">
        <v>500000</v>
      </c>
      <c r="M2148" t="str">
        <f>_xll.BDP("89657PJQ Muni","YIELD_ON_ISSUE_DATE")</f>
        <v>#N/A Requesting Data...</v>
      </c>
      <c r="N2148" t="str">
        <f>_xll.BDP("89657PJQ Muni","YTW_SPREAD_TO_MATURITY_AT_ISSU")</f>
        <v>#N/A Requesting Data...</v>
      </c>
      <c r="O2148" t="str">
        <f>_xll.BDP("89657PJQ Muni","BVAL_MID_YTM")</f>
        <v>#N/A Requesting Data...</v>
      </c>
      <c r="P2148" t="str">
        <f>_xll.BDP("89657PJQ Muni","MUNI_TAX_PROV")</f>
        <v>#N/A Requesting Data...</v>
      </c>
      <c r="Q2148" t="str">
        <f>_xll.BDP("89657PJQ Muni","MUNI_FED_TAX")</f>
        <v>#N/A Requesting Data...</v>
      </c>
      <c r="R2148" t="str">
        <f>_xll.BDP("89657PJQ Muni","MUNI_MSRB_VOLUME")</f>
        <v>#N/A Requesting Data...</v>
      </c>
      <c r="S2148" t="str">
        <f>_xll.BDP("89657PJQ Muni","BB_COMPOSITE")</f>
        <v>#N/A Requesting Data...</v>
      </c>
      <c r="T2148" t="str">
        <f>_xll.BDP("89657PJQ Muni","LQA_LIQUIDITY_SCORE")</f>
        <v>#N/A Requesting Data...</v>
      </c>
    </row>
    <row r="2149" spans="1:20" x14ac:dyDescent="0.25">
      <c r="A2149" t="str">
        <f>_xll.BDP("89657PJS Muni","ID_CUSIP")</f>
        <v>#N/A Requesting Data...</v>
      </c>
      <c r="B2149" t="s">
        <v>498</v>
      </c>
      <c r="C2149" t="str">
        <f>_xll.BDP("89657PJS Muni","INSURANCE_STATUS")</f>
        <v>#N/A Requesting Data...</v>
      </c>
      <c r="D2149" t="str">
        <f>_xll.BDP("89657PJS Muni","STATE_CODE")</f>
        <v>#N/A Requesting Data...</v>
      </c>
      <c r="E2149" t="str">
        <f>_xll.BDP("89657PJS Muni","COUNTY_LOCATION_ISSUER")</f>
        <v>#N/A Requesting Data...</v>
      </c>
      <c r="F2149" t="str">
        <f>_xll.BDP("89657PJS Muni","DUR_ADJ_MID")</f>
        <v>#N/A Requesting Data...</v>
      </c>
      <c r="G2149" t="str">
        <f>_xll.BDP("89657PJS Muni","SPREAD_AT_ISSUANCE_TO_WORST")</f>
        <v>#N/A Requesting Data...</v>
      </c>
      <c r="H2149" t="str">
        <f>_xll.BDP("89657PJS Muni","ISSUE_DT")</f>
        <v>#N/A Requesting Data...</v>
      </c>
      <c r="I2149" t="str">
        <f>_xll.BDS("89657PJS Muni","MUNI_PURPOSE_SCHED", "aggregate=y")</f>
        <v>#N/A Requesting Data...</v>
      </c>
      <c r="J2149" t="str">
        <f>_xll.BDP("89657PJS Muni","CPN")</f>
        <v>#N/A Requesting Data...</v>
      </c>
      <c r="K2149" t="str">
        <f>_xll.BDP("89657PJS Muni","MATURITY")</f>
        <v>#N/A Requesting Data...</v>
      </c>
      <c r="L2149">
        <v>200000</v>
      </c>
      <c r="M2149" t="str">
        <f>_xll.BDP("89657PJS Muni","YIELD_ON_ISSUE_DATE")</f>
        <v>#N/A Requesting Data...</v>
      </c>
      <c r="N2149" t="str">
        <f>_xll.BDP("89657PJS Muni","YTW_SPREAD_TO_MATURITY_AT_ISSU")</f>
        <v>#N/A Requesting Data...</v>
      </c>
      <c r="O2149" t="str">
        <f>_xll.BDP("89657PJS Muni","BVAL_MID_YTM")</f>
        <v>#N/A Requesting Data...</v>
      </c>
      <c r="P2149" t="str">
        <f>_xll.BDP("89657PJS Muni","MUNI_TAX_PROV")</f>
        <v>#N/A Requesting Data...</v>
      </c>
      <c r="Q2149" t="str">
        <f>_xll.BDP("89657PJS Muni","MUNI_FED_TAX")</f>
        <v>#N/A Requesting Data...</v>
      </c>
      <c r="R2149" t="str">
        <f>_xll.BDP("89657PJS Muni","MUNI_MSRB_VOLUME")</f>
        <v>#N/A Requesting Data...</v>
      </c>
      <c r="S2149" t="str">
        <f>_xll.BDP("89657PJS Muni","BB_COMPOSITE")</f>
        <v>#N/A Requesting Data...</v>
      </c>
      <c r="T2149" t="str">
        <f>_xll.BDP("89657PJS Muni","LQA_LIQUIDITY_SCORE")</f>
        <v>#N/A Requesting Data...</v>
      </c>
    </row>
    <row r="2150" spans="1:20" x14ac:dyDescent="0.25">
      <c r="A2150" t="str">
        <f>_xll.BDP("89686AAD Muni","ID_CUSIP")</f>
        <v>#N/A Requesting Data...</v>
      </c>
      <c r="B2150" t="s">
        <v>499</v>
      </c>
      <c r="C2150" t="str">
        <f>_xll.BDP("89686AAD Muni","INSURANCE_STATUS")</f>
        <v>#N/A Requesting Data...</v>
      </c>
      <c r="D2150" t="str">
        <f>_xll.BDP("89686AAD Muni","STATE_CODE")</f>
        <v>#N/A Requesting Data...</v>
      </c>
      <c r="E2150" t="str">
        <f>_xll.BDP("89686AAD Muni","COUNTY_LOCATION_ISSUER")</f>
        <v>#N/A Requesting Data...</v>
      </c>
      <c r="F2150" t="str">
        <f>_xll.BDP("89686AAD Muni","DUR_ADJ_MID")</f>
        <v>#N/A Requesting Data...</v>
      </c>
      <c r="G2150" t="str">
        <f>_xll.BDP("89686AAD Muni","SPREAD_AT_ISSUANCE_TO_WORST")</f>
        <v>#N/A Requesting Data...</v>
      </c>
      <c r="H2150" t="str">
        <f>_xll.BDP("89686AAD Muni","ISSUE_DT")</f>
        <v>#N/A Requesting Data...</v>
      </c>
      <c r="I2150" t="str">
        <f>_xll.BDS("89686AAD Muni","MUNI_PURPOSE_SCHED", "aggregate=y")</f>
        <v>#N/A Requesting Data...</v>
      </c>
      <c r="J2150" t="str">
        <f>_xll.BDP("89686AAD Muni","CPN")</f>
        <v>#N/A Requesting Data...</v>
      </c>
      <c r="K2150" t="str">
        <f>_xll.BDP("89686AAD Muni","MATURITY")</f>
        <v>#N/A Requesting Data...</v>
      </c>
      <c r="L2150">
        <v>205000</v>
      </c>
      <c r="M2150" t="str">
        <f>_xll.BDP("89686AAD Muni","YIELD_ON_ISSUE_DATE")</f>
        <v>#N/A Requesting Data...</v>
      </c>
      <c r="N2150" t="str">
        <f>_xll.BDP("89686AAD Muni","YTW_SPREAD_TO_MATURITY_AT_ISSU")</f>
        <v>#N/A Requesting Data...</v>
      </c>
      <c r="O2150" t="str">
        <f>_xll.BDP("89686AAD Muni","BVAL_MID_YTM")</f>
        <v>#N/A Requesting Data...</v>
      </c>
      <c r="P2150" t="str">
        <f>_xll.BDP("89686AAD Muni","MUNI_TAX_PROV")</f>
        <v>#N/A Requesting Data...</v>
      </c>
      <c r="Q2150" t="str">
        <f>_xll.BDP("89686AAD Muni","MUNI_FED_TAX")</f>
        <v>#N/A Requesting Data...</v>
      </c>
      <c r="R2150" t="str">
        <f>_xll.BDP("89686AAD Muni","MUNI_MSRB_VOLUME")</f>
        <v>#N/A Requesting Data...</v>
      </c>
      <c r="S2150" t="str">
        <f>_xll.BDP("89686AAD Muni","BB_COMPOSITE")</f>
        <v>#N/A Requesting Data...</v>
      </c>
      <c r="T2150" t="str">
        <f>_xll.BDP("89686AAD Muni","LQA_LIQUIDITY_SCORE")</f>
        <v>#N/A Requesting Data...</v>
      </c>
    </row>
    <row r="2151" spans="1:20" x14ac:dyDescent="0.25">
      <c r="A2151" t="str">
        <f>_xll.BDP("89686AAE Muni","ID_CUSIP")</f>
        <v>#N/A Requesting Data...</v>
      </c>
      <c r="B2151" t="s">
        <v>499</v>
      </c>
      <c r="C2151" t="str">
        <f>_xll.BDP("89686AAE Muni","INSURANCE_STATUS")</f>
        <v>#N/A Requesting Data...</v>
      </c>
      <c r="D2151" t="str">
        <f>_xll.BDP("89686AAE Muni","STATE_CODE")</f>
        <v>#N/A Requesting Data...</v>
      </c>
      <c r="E2151" t="str">
        <f>_xll.BDP("89686AAE Muni","COUNTY_LOCATION_ISSUER")</f>
        <v>#N/A Requesting Data...</v>
      </c>
      <c r="F2151" t="str">
        <f>_xll.BDP("89686AAE Muni","DUR_ADJ_MID")</f>
        <v>#N/A Requesting Data...</v>
      </c>
      <c r="G2151" t="str">
        <f>_xll.BDP("89686AAE Muni","SPREAD_AT_ISSUANCE_TO_WORST")</f>
        <v>#N/A Requesting Data...</v>
      </c>
      <c r="H2151" t="str">
        <f>_xll.BDP("89686AAE Muni","ISSUE_DT")</f>
        <v>#N/A Requesting Data...</v>
      </c>
      <c r="I2151" t="str">
        <f>_xll.BDS("89686AAE Muni","MUNI_PURPOSE_SCHED", "aggregate=y")</f>
        <v>#N/A Requesting Data...</v>
      </c>
      <c r="J2151" t="str">
        <f>_xll.BDP("89686AAE Muni","CPN")</f>
        <v>#N/A Requesting Data...</v>
      </c>
      <c r="K2151" t="str">
        <f>_xll.BDP("89686AAE Muni","MATURITY")</f>
        <v>#N/A Requesting Data...</v>
      </c>
      <c r="L2151">
        <v>215000</v>
      </c>
      <c r="M2151" t="str">
        <f>_xll.BDP("89686AAE Muni","YIELD_ON_ISSUE_DATE")</f>
        <v>#N/A Requesting Data...</v>
      </c>
      <c r="N2151" t="str">
        <f>_xll.BDP("89686AAE Muni","YTW_SPREAD_TO_MATURITY_AT_ISSU")</f>
        <v>#N/A Requesting Data...</v>
      </c>
      <c r="O2151" t="str">
        <f>_xll.BDP("89686AAE Muni","BVAL_MID_YTM")</f>
        <v>#N/A Requesting Data...</v>
      </c>
      <c r="P2151" t="str">
        <f>_xll.BDP("89686AAE Muni","MUNI_TAX_PROV")</f>
        <v>#N/A Requesting Data...</v>
      </c>
      <c r="Q2151" t="str">
        <f>_xll.BDP("89686AAE Muni","MUNI_FED_TAX")</f>
        <v>#N/A Requesting Data...</v>
      </c>
      <c r="R2151" t="str">
        <f>_xll.BDP("89686AAE Muni","MUNI_MSRB_VOLUME")</f>
        <v>#N/A Requesting Data...</v>
      </c>
      <c r="S2151" t="str">
        <f>_xll.BDP("89686AAE Muni","BB_COMPOSITE")</f>
        <v>#N/A Requesting Data...</v>
      </c>
      <c r="T2151" t="str">
        <f>_xll.BDP("89686AAE Muni","LQA_LIQUIDITY_SCORE")</f>
        <v>#N/A Requesting Data...</v>
      </c>
    </row>
    <row r="2152" spans="1:20" x14ac:dyDescent="0.25">
      <c r="A2152" t="str">
        <f>_xll.BDP("89686AAG Muni","ID_CUSIP")</f>
        <v>#N/A Requesting Data...</v>
      </c>
      <c r="B2152" t="s">
        <v>499</v>
      </c>
      <c r="C2152" t="str">
        <f>_xll.BDP("89686AAG Muni","INSURANCE_STATUS")</f>
        <v>#N/A Requesting Data...</v>
      </c>
      <c r="D2152" t="str">
        <f>_xll.BDP("89686AAG Muni","STATE_CODE")</f>
        <v>#N/A Requesting Data...</v>
      </c>
      <c r="E2152" t="str">
        <f>_xll.BDP("89686AAG Muni","COUNTY_LOCATION_ISSUER")</f>
        <v>#N/A Requesting Data...</v>
      </c>
      <c r="F2152" t="str">
        <f>_xll.BDP("89686AAG Muni","DUR_ADJ_MID")</f>
        <v>#N/A Requesting Data...</v>
      </c>
      <c r="G2152" t="str">
        <f>_xll.BDP("89686AAG Muni","SPREAD_AT_ISSUANCE_TO_WORST")</f>
        <v>#N/A Requesting Data...</v>
      </c>
      <c r="H2152" t="str">
        <f>_xll.BDP("89686AAG Muni","ISSUE_DT")</f>
        <v>#N/A Requesting Data...</v>
      </c>
      <c r="I2152" t="str">
        <f>_xll.BDS("89686AAG Muni","MUNI_PURPOSE_SCHED", "aggregate=y")</f>
        <v>#N/A Requesting Data...</v>
      </c>
      <c r="J2152" t="str">
        <f>_xll.BDP("89686AAG Muni","CPN")</f>
        <v>#N/A Requesting Data...</v>
      </c>
      <c r="K2152" t="str">
        <f>_xll.BDP("89686AAG Muni","MATURITY")</f>
        <v>#N/A Requesting Data...</v>
      </c>
      <c r="L2152">
        <v>235000</v>
      </c>
      <c r="M2152" t="str">
        <f>_xll.BDP("89686AAG Muni","YIELD_ON_ISSUE_DATE")</f>
        <v>#N/A Requesting Data...</v>
      </c>
      <c r="N2152" t="str">
        <f>_xll.BDP("89686AAG Muni","YTW_SPREAD_TO_MATURITY_AT_ISSU")</f>
        <v>#N/A Requesting Data...</v>
      </c>
      <c r="O2152" t="str">
        <f>_xll.BDP("89686AAG Muni","BVAL_MID_YTM")</f>
        <v>#N/A Requesting Data...</v>
      </c>
      <c r="P2152" t="str">
        <f>_xll.BDP("89686AAG Muni","MUNI_TAX_PROV")</f>
        <v>#N/A Requesting Data...</v>
      </c>
      <c r="Q2152" t="str">
        <f>_xll.BDP("89686AAG Muni","MUNI_FED_TAX")</f>
        <v>#N/A Requesting Data...</v>
      </c>
      <c r="R2152" t="str">
        <f>_xll.BDP("89686AAG Muni","MUNI_MSRB_VOLUME")</f>
        <v>#N/A Requesting Data...</v>
      </c>
      <c r="S2152" t="str">
        <f>_xll.BDP("89686AAG Muni","BB_COMPOSITE")</f>
        <v>#N/A Requesting Data...</v>
      </c>
      <c r="T2152" t="str">
        <f>_xll.BDP("89686AAG Muni","LQA_LIQUIDITY_SCORE")</f>
        <v>#N/A Requesting Data...</v>
      </c>
    </row>
    <row r="2153" spans="1:20" x14ac:dyDescent="0.25">
      <c r="A2153" t="str">
        <f>_xll.BDP("89686AAH Muni","ID_CUSIP")</f>
        <v>#N/A Requesting Data...</v>
      </c>
      <c r="B2153" t="s">
        <v>499</v>
      </c>
      <c r="C2153" t="str">
        <f>_xll.BDP("89686AAH Muni","INSURANCE_STATUS")</f>
        <v>#N/A Requesting Data...</v>
      </c>
      <c r="D2153" t="str">
        <f>_xll.BDP("89686AAH Muni","STATE_CODE")</f>
        <v>#N/A Requesting Data...</v>
      </c>
      <c r="E2153" t="str">
        <f>_xll.BDP("89686AAH Muni","COUNTY_LOCATION_ISSUER")</f>
        <v>#N/A Requesting Data...</v>
      </c>
      <c r="F2153" t="str">
        <f>_xll.BDP("89686AAH Muni","DUR_ADJ_MID")</f>
        <v>#N/A Requesting Data...</v>
      </c>
      <c r="G2153" t="str">
        <f>_xll.BDP("89686AAH Muni","SPREAD_AT_ISSUANCE_TO_WORST")</f>
        <v>#N/A Requesting Data...</v>
      </c>
      <c r="H2153" t="str">
        <f>_xll.BDP("89686AAH Muni","ISSUE_DT")</f>
        <v>#N/A Requesting Data...</v>
      </c>
      <c r="I2153" t="str">
        <f>_xll.BDS("89686AAH Muni","MUNI_PURPOSE_SCHED", "aggregate=y")</f>
        <v>#N/A Requesting Data...</v>
      </c>
      <c r="J2153" t="str">
        <f>_xll.BDP("89686AAH Muni","CPN")</f>
        <v>#N/A Requesting Data...</v>
      </c>
      <c r="K2153" t="str">
        <f>_xll.BDP("89686AAH Muni","MATURITY")</f>
        <v>#N/A Requesting Data...</v>
      </c>
      <c r="L2153">
        <v>245000</v>
      </c>
      <c r="M2153" t="str">
        <f>_xll.BDP("89686AAH Muni","YIELD_ON_ISSUE_DATE")</f>
        <v>#N/A Requesting Data...</v>
      </c>
      <c r="N2153" t="str">
        <f>_xll.BDP("89686AAH Muni","YTW_SPREAD_TO_MATURITY_AT_ISSU")</f>
        <v>#N/A Requesting Data...</v>
      </c>
      <c r="O2153" t="str">
        <f>_xll.BDP("89686AAH Muni","BVAL_MID_YTM")</f>
        <v>#N/A Requesting Data...</v>
      </c>
      <c r="P2153" t="str">
        <f>_xll.BDP("89686AAH Muni","MUNI_TAX_PROV")</f>
        <v>#N/A Requesting Data...</v>
      </c>
      <c r="Q2153" t="str">
        <f>_xll.BDP("89686AAH Muni","MUNI_FED_TAX")</f>
        <v>#N/A Requesting Data...</v>
      </c>
      <c r="R2153" t="str">
        <f>_xll.BDP("89686AAH Muni","MUNI_MSRB_VOLUME")</f>
        <v>#N/A Requesting Data...</v>
      </c>
      <c r="S2153" t="str">
        <f>_xll.BDP("89686AAH Muni","BB_COMPOSITE")</f>
        <v>#N/A Requesting Data...</v>
      </c>
      <c r="T2153" t="str">
        <f>_xll.BDP("89686AAH Muni","LQA_LIQUIDITY_SCORE")</f>
        <v>#N/A Requesting Data...</v>
      </c>
    </row>
    <row r="2154" spans="1:20" x14ac:dyDescent="0.25">
      <c r="A2154" t="str">
        <f>_xll.BDP("898797FP Muni","ID_CUSIP")</f>
        <v>#N/A Requesting Data...</v>
      </c>
      <c r="B2154" t="s">
        <v>500</v>
      </c>
      <c r="C2154" t="str">
        <f>_xll.BDP("898797FP Muni","INSURANCE_STATUS")</f>
        <v>#N/A Requesting Data...</v>
      </c>
      <c r="D2154" t="str">
        <f>_xll.BDP("898797FP Muni","STATE_CODE")</f>
        <v>#N/A Requesting Data...</v>
      </c>
      <c r="E2154" t="str">
        <f>_xll.BDP("898797FP Muni","COUNTY_LOCATION_ISSUER")</f>
        <v>#N/A Requesting Data...</v>
      </c>
      <c r="F2154" t="str">
        <f>_xll.BDP("898797FP Muni","DUR_ADJ_MID")</f>
        <v>#N/A Requesting Data...</v>
      </c>
      <c r="G2154" t="str">
        <f>_xll.BDP("898797FP Muni","SPREAD_AT_ISSUANCE_TO_WORST")</f>
        <v>#N/A Requesting Data...</v>
      </c>
      <c r="H2154" t="str">
        <f>_xll.BDP("898797FP Muni","ISSUE_DT")</f>
        <v>#N/A Requesting Data...</v>
      </c>
      <c r="I2154" t="str">
        <f>_xll.BDS("898797FP Muni","MUNI_PURPOSE_SCHED", "aggregate=y")</f>
        <v>#N/A Requesting Data...</v>
      </c>
      <c r="J2154" t="str">
        <f>_xll.BDP("898797FP Muni","CPN")</f>
        <v>#N/A Requesting Data...</v>
      </c>
      <c r="K2154" t="str">
        <f>_xll.BDP("898797FP Muni","MATURITY")</f>
        <v>#N/A Requesting Data...</v>
      </c>
      <c r="L2154">
        <v>1375000</v>
      </c>
      <c r="M2154" t="str">
        <f>_xll.BDP("898797FP Muni","YIELD_ON_ISSUE_DATE")</f>
        <v>#N/A Requesting Data...</v>
      </c>
      <c r="N2154" t="str">
        <f>_xll.BDP("898797FP Muni","YTW_SPREAD_TO_MATURITY_AT_ISSU")</f>
        <v>#N/A Requesting Data...</v>
      </c>
      <c r="O2154" t="str">
        <f>_xll.BDP("898797FP Muni","BVAL_MID_YTM")</f>
        <v>#N/A Requesting Data...</v>
      </c>
      <c r="P2154" t="str">
        <f>_xll.BDP("898797FP Muni","MUNI_TAX_PROV")</f>
        <v>#N/A Requesting Data...</v>
      </c>
      <c r="Q2154" t="str">
        <f>_xll.BDP("898797FP Muni","MUNI_FED_TAX")</f>
        <v>#N/A Requesting Data...</v>
      </c>
      <c r="R2154" t="str">
        <f>_xll.BDP("898797FP Muni","MUNI_MSRB_VOLUME")</f>
        <v>#N/A Requesting Data...</v>
      </c>
      <c r="S2154" t="str">
        <f>_xll.BDP("898797FP Muni","BB_COMPOSITE")</f>
        <v>#N/A Requesting Data...</v>
      </c>
      <c r="T2154" t="str">
        <f>_xll.BDP("898797FP Muni","LQA_LIQUIDITY_SCORE")</f>
        <v>#N/A Requesting Data...</v>
      </c>
    </row>
    <row r="2155" spans="1:20" x14ac:dyDescent="0.25">
      <c r="A2155" t="str">
        <f>_xll.BDP("898797FQ Muni","ID_CUSIP")</f>
        <v>#N/A Requesting Data...</v>
      </c>
      <c r="B2155" t="s">
        <v>500</v>
      </c>
      <c r="C2155" t="str">
        <f>_xll.BDP("898797FQ Muni","INSURANCE_STATUS")</f>
        <v>#N/A Requesting Data...</v>
      </c>
      <c r="D2155" t="str">
        <f>_xll.BDP("898797FQ Muni","STATE_CODE")</f>
        <v>#N/A Requesting Data...</v>
      </c>
      <c r="E2155" t="str">
        <f>_xll.BDP("898797FQ Muni","COUNTY_LOCATION_ISSUER")</f>
        <v>#N/A Requesting Data...</v>
      </c>
      <c r="F2155" t="str">
        <f>_xll.BDP("898797FQ Muni","DUR_ADJ_MID")</f>
        <v>#N/A Requesting Data...</v>
      </c>
      <c r="G2155" t="str">
        <f>_xll.BDP("898797FQ Muni","SPREAD_AT_ISSUANCE_TO_WORST")</f>
        <v>#N/A Requesting Data...</v>
      </c>
      <c r="H2155" t="str">
        <f>_xll.BDP("898797FQ Muni","ISSUE_DT")</f>
        <v>#N/A Requesting Data...</v>
      </c>
      <c r="I2155" t="str">
        <f>_xll.BDS("898797FQ Muni","MUNI_PURPOSE_SCHED", "aggregate=y")</f>
        <v>#N/A Requesting Data...</v>
      </c>
      <c r="J2155" t="str">
        <f>_xll.BDP("898797FQ Muni","CPN")</f>
        <v>#N/A Requesting Data...</v>
      </c>
      <c r="K2155" t="str">
        <f>_xll.BDP("898797FQ Muni","MATURITY")</f>
        <v>#N/A Requesting Data...</v>
      </c>
      <c r="L2155">
        <v>1425000</v>
      </c>
      <c r="M2155" t="str">
        <f>_xll.BDP("898797FQ Muni","YIELD_ON_ISSUE_DATE")</f>
        <v>#N/A Requesting Data...</v>
      </c>
      <c r="N2155" t="str">
        <f>_xll.BDP("898797FQ Muni","YTW_SPREAD_TO_MATURITY_AT_ISSU")</f>
        <v>#N/A Requesting Data...</v>
      </c>
      <c r="O2155" t="str">
        <f>_xll.BDP("898797FQ Muni","BVAL_MID_YTM")</f>
        <v>#N/A Requesting Data...</v>
      </c>
      <c r="P2155" t="str">
        <f>_xll.BDP("898797FQ Muni","MUNI_TAX_PROV")</f>
        <v>#N/A Requesting Data...</v>
      </c>
      <c r="Q2155" t="str">
        <f>_xll.BDP("898797FQ Muni","MUNI_FED_TAX")</f>
        <v>#N/A Requesting Data...</v>
      </c>
      <c r="R2155" t="str">
        <f>_xll.BDP("898797FQ Muni","MUNI_MSRB_VOLUME")</f>
        <v>#N/A Requesting Data...</v>
      </c>
      <c r="S2155" t="str">
        <f>_xll.BDP("898797FQ Muni","BB_COMPOSITE")</f>
        <v>#N/A Requesting Data...</v>
      </c>
      <c r="T2155" t="str">
        <f>_xll.BDP("898797FQ Muni","LQA_LIQUIDITY_SCORE")</f>
        <v>#N/A Requesting Data...</v>
      </c>
    </row>
    <row r="2156" spans="1:20" x14ac:dyDescent="0.25">
      <c r="A2156" t="str">
        <f>_xll.BDP("898797FR Muni","ID_CUSIP")</f>
        <v>#N/A Requesting Data...</v>
      </c>
      <c r="B2156" t="s">
        <v>500</v>
      </c>
      <c r="C2156" t="str">
        <f>_xll.BDP("898797FR Muni","INSURANCE_STATUS")</f>
        <v>#N/A Requesting Data...</v>
      </c>
      <c r="D2156" t="str">
        <f>_xll.BDP("898797FR Muni","STATE_CODE")</f>
        <v>#N/A Requesting Data...</v>
      </c>
      <c r="E2156" t="str">
        <f>_xll.BDP("898797FR Muni","COUNTY_LOCATION_ISSUER")</f>
        <v>#N/A Requesting Data...</v>
      </c>
      <c r="F2156" t="str">
        <f>_xll.BDP("898797FR Muni","DUR_ADJ_MID")</f>
        <v>#N/A Requesting Data...</v>
      </c>
      <c r="G2156" t="str">
        <f>_xll.BDP("898797FR Muni","SPREAD_AT_ISSUANCE_TO_WORST")</f>
        <v>#N/A Requesting Data...</v>
      </c>
      <c r="H2156" t="str">
        <f>_xll.BDP("898797FR Muni","ISSUE_DT")</f>
        <v>#N/A Requesting Data...</v>
      </c>
      <c r="I2156" t="str">
        <f>_xll.BDS("898797FR Muni","MUNI_PURPOSE_SCHED", "aggregate=y")</f>
        <v>#N/A Requesting Data...</v>
      </c>
      <c r="J2156" t="str">
        <f>_xll.BDP("898797FR Muni","CPN")</f>
        <v>#N/A Requesting Data...</v>
      </c>
      <c r="K2156" t="str">
        <f>_xll.BDP("898797FR Muni","MATURITY")</f>
        <v>#N/A Requesting Data...</v>
      </c>
      <c r="L2156">
        <v>1475000</v>
      </c>
      <c r="M2156" t="str">
        <f>_xll.BDP("898797FR Muni","YIELD_ON_ISSUE_DATE")</f>
        <v>#N/A Requesting Data...</v>
      </c>
      <c r="N2156" t="str">
        <f>_xll.BDP("898797FR Muni","YTW_SPREAD_TO_MATURITY_AT_ISSU")</f>
        <v>#N/A Requesting Data...</v>
      </c>
      <c r="O2156" t="str">
        <f>_xll.BDP("898797FR Muni","BVAL_MID_YTM")</f>
        <v>#N/A Requesting Data...</v>
      </c>
      <c r="P2156" t="str">
        <f>_xll.BDP("898797FR Muni","MUNI_TAX_PROV")</f>
        <v>#N/A Requesting Data...</v>
      </c>
      <c r="Q2156" t="str">
        <f>_xll.BDP("898797FR Muni","MUNI_FED_TAX")</f>
        <v>#N/A Requesting Data...</v>
      </c>
      <c r="R2156" t="str">
        <f>_xll.BDP("898797FR Muni","MUNI_MSRB_VOLUME")</f>
        <v>#N/A Requesting Data...</v>
      </c>
      <c r="S2156" t="str">
        <f>_xll.BDP("898797FR Muni","BB_COMPOSITE")</f>
        <v>#N/A Requesting Data...</v>
      </c>
      <c r="T2156" t="str">
        <f>_xll.BDP("898797FR Muni","LQA_LIQUIDITY_SCORE")</f>
        <v>#N/A Requesting Data...</v>
      </c>
    </row>
    <row r="2157" spans="1:20" x14ac:dyDescent="0.25">
      <c r="A2157" t="str">
        <f>_xll.BDP("898797FS Muni","ID_CUSIP")</f>
        <v>#N/A Requesting Data...</v>
      </c>
      <c r="B2157" t="s">
        <v>500</v>
      </c>
      <c r="C2157" t="str">
        <f>_xll.BDP("898797FS Muni","INSURANCE_STATUS")</f>
        <v>#N/A Requesting Data...</v>
      </c>
      <c r="D2157" t="str">
        <f>_xll.BDP("898797FS Muni","STATE_CODE")</f>
        <v>#N/A Requesting Data...</v>
      </c>
      <c r="E2157" t="str">
        <f>_xll.BDP("898797FS Muni","COUNTY_LOCATION_ISSUER")</f>
        <v>#N/A Requesting Data...</v>
      </c>
      <c r="F2157" t="str">
        <f>_xll.BDP("898797FS Muni","DUR_ADJ_MID")</f>
        <v>#N/A Requesting Data...</v>
      </c>
      <c r="G2157" t="str">
        <f>_xll.BDP("898797FS Muni","SPREAD_AT_ISSUANCE_TO_WORST")</f>
        <v>#N/A Requesting Data...</v>
      </c>
      <c r="H2157" t="str">
        <f>_xll.BDP("898797FS Muni","ISSUE_DT")</f>
        <v>#N/A Requesting Data...</v>
      </c>
      <c r="I2157" t="str">
        <f>_xll.BDS("898797FS Muni","MUNI_PURPOSE_SCHED", "aggregate=y")</f>
        <v>#N/A Requesting Data...</v>
      </c>
      <c r="J2157" t="str">
        <f>_xll.BDP("898797FS Muni","CPN")</f>
        <v>#N/A Requesting Data...</v>
      </c>
      <c r="K2157" t="str">
        <f>_xll.BDP("898797FS Muni","MATURITY")</f>
        <v>#N/A Requesting Data...</v>
      </c>
      <c r="L2157">
        <v>2200000</v>
      </c>
      <c r="M2157" t="str">
        <f>_xll.BDP("898797FS Muni","YIELD_ON_ISSUE_DATE")</f>
        <v>#N/A Requesting Data...</v>
      </c>
      <c r="N2157" t="str">
        <f>_xll.BDP("898797FS Muni","YTW_SPREAD_TO_MATURITY_AT_ISSU")</f>
        <v>#N/A Requesting Data...</v>
      </c>
      <c r="O2157" t="str">
        <f>_xll.BDP("898797FS Muni","BVAL_MID_YTM")</f>
        <v>#N/A Requesting Data...</v>
      </c>
      <c r="P2157" t="str">
        <f>_xll.BDP("898797FS Muni","MUNI_TAX_PROV")</f>
        <v>#N/A Requesting Data...</v>
      </c>
      <c r="Q2157" t="str">
        <f>_xll.BDP("898797FS Muni","MUNI_FED_TAX")</f>
        <v>#N/A Requesting Data...</v>
      </c>
      <c r="R2157" t="str">
        <f>_xll.BDP("898797FS Muni","MUNI_MSRB_VOLUME")</f>
        <v>#N/A Requesting Data...</v>
      </c>
      <c r="S2157" t="str">
        <f>_xll.BDP("898797FS Muni","BB_COMPOSITE")</f>
        <v>#N/A Requesting Data...</v>
      </c>
      <c r="T2157" t="str">
        <f>_xll.BDP("898797FS Muni","LQA_LIQUIDITY_SCORE")</f>
        <v>#N/A Requesting Data...</v>
      </c>
    </row>
    <row r="2158" spans="1:20" x14ac:dyDescent="0.25">
      <c r="A2158" t="str">
        <f>_xll.BDP("882253SL Muni","ID_CUSIP")</f>
        <v>#N/A Requesting Data...</v>
      </c>
      <c r="B2158" t="s">
        <v>502</v>
      </c>
      <c r="C2158" t="str">
        <f>_xll.BDP("882253SL Muni","INSURANCE_STATUS")</f>
        <v>#N/A Requesting Data...</v>
      </c>
      <c r="D2158" t="str">
        <f>_xll.BDP("882253SL Muni","STATE_CODE")</f>
        <v>#N/A Requesting Data...</v>
      </c>
      <c r="E2158" t="str">
        <f>_xll.BDP("882253SL Muni","COUNTY_LOCATION_ISSUER")</f>
        <v>#N/A Requesting Data...</v>
      </c>
      <c r="F2158" t="str">
        <f>_xll.BDP("882253SL Muni","DUR_ADJ_MID")</f>
        <v>#N/A Requesting Data...</v>
      </c>
      <c r="G2158" t="str">
        <f>_xll.BDP("882253SL Muni","SPREAD_AT_ISSUANCE_TO_WORST")</f>
        <v>#N/A Requesting Data...</v>
      </c>
      <c r="H2158" t="str">
        <f>_xll.BDP("882253SL Muni","ISSUE_DT")</f>
        <v>#N/A Requesting Data...</v>
      </c>
      <c r="I2158" t="str">
        <f>_xll.BDS("882253SL Muni","MUNI_PURPOSE_SCHED", "aggregate=y")</f>
        <v>#N/A Requesting Data...</v>
      </c>
      <c r="J2158" t="str">
        <f>_xll.BDP("882253SL Muni","CPN")</f>
        <v>#N/A Requesting Data...</v>
      </c>
      <c r="K2158" t="str">
        <f>_xll.BDP("882253SL Muni","MATURITY")</f>
        <v>#N/A Requesting Data...</v>
      </c>
      <c r="L2158">
        <v>385000</v>
      </c>
      <c r="M2158" t="str">
        <f>_xll.BDP("882253SL Muni","YIELD_ON_ISSUE_DATE")</f>
        <v>#N/A Requesting Data...</v>
      </c>
      <c r="N2158" t="str">
        <f>_xll.BDP("882253SL Muni","YTW_SPREAD_TO_MATURITY_AT_ISSU")</f>
        <v>#N/A Requesting Data...</v>
      </c>
      <c r="O2158" t="str">
        <f>_xll.BDP("882253SL Muni","BVAL_MID_YTM")</f>
        <v>#N/A Requesting Data...</v>
      </c>
      <c r="P2158" t="str">
        <f>_xll.BDP("882253SL Muni","MUNI_TAX_PROV")</f>
        <v>#N/A Requesting Data...</v>
      </c>
      <c r="Q2158" t="str">
        <f>_xll.BDP("882253SL Muni","MUNI_FED_TAX")</f>
        <v>#N/A Requesting Data...</v>
      </c>
      <c r="R2158" t="str">
        <f>_xll.BDP("882253SL Muni","MUNI_MSRB_VOLUME")</f>
        <v>#N/A Requesting Data...</v>
      </c>
      <c r="S2158" t="str">
        <f>_xll.BDP("882253SL Muni","BB_COMPOSITE")</f>
        <v>#N/A Requesting Data...</v>
      </c>
      <c r="T2158" t="str">
        <f>_xll.BDP("882253SL Muni","LQA_LIQUIDITY_SCORE")</f>
        <v>#N/A Requesting Data...</v>
      </c>
    </row>
    <row r="2159" spans="1:20" x14ac:dyDescent="0.25">
      <c r="A2159" t="str">
        <f>_xll.BDP("882253SN Muni","ID_CUSIP")</f>
        <v>#N/A Requesting Data...</v>
      </c>
      <c r="B2159" t="s">
        <v>502</v>
      </c>
      <c r="C2159" t="str">
        <f>_xll.BDP("882253SN Muni","INSURANCE_STATUS")</f>
        <v>#N/A Requesting Data...</v>
      </c>
      <c r="D2159" t="str">
        <f>_xll.BDP("882253SN Muni","STATE_CODE")</f>
        <v>#N/A Requesting Data...</v>
      </c>
      <c r="E2159" t="str">
        <f>_xll.BDP("882253SN Muni","COUNTY_LOCATION_ISSUER")</f>
        <v>#N/A Requesting Data...</v>
      </c>
      <c r="F2159" t="str">
        <f>_xll.BDP("882253SN Muni","DUR_ADJ_MID")</f>
        <v>#N/A Requesting Data...</v>
      </c>
      <c r="G2159" t="str">
        <f>_xll.BDP("882253SN Muni","SPREAD_AT_ISSUANCE_TO_WORST")</f>
        <v>#N/A Requesting Data...</v>
      </c>
      <c r="H2159" t="str">
        <f>_xll.BDP("882253SN Muni","ISSUE_DT")</f>
        <v>#N/A Requesting Data...</v>
      </c>
      <c r="I2159" t="str">
        <f>_xll.BDS("882253SN Muni","MUNI_PURPOSE_SCHED", "aggregate=y")</f>
        <v>#N/A Requesting Data...</v>
      </c>
      <c r="J2159" t="str">
        <f>_xll.BDP("882253SN Muni","CPN")</f>
        <v>#N/A Requesting Data...</v>
      </c>
      <c r="K2159" t="str">
        <f>_xll.BDP("882253SN Muni","MATURITY")</f>
        <v>#N/A Requesting Data...</v>
      </c>
      <c r="L2159">
        <v>425000</v>
      </c>
      <c r="M2159" t="str">
        <f>_xll.BDP("882253SN Muni","YIELD_ON_ISSUE_DATE")</f>
        <v>#N/A Requesting Data...</v>
      </c>
      <c r="N2159" t="str">
        <f>_xll.BDP("882253SN Muni","YTW_SPREAD_TO_MATURITY_AT_ISSU")</f>
        <v>#N/A Requesting Data...</v>
      </c>
      <c r="O2159" t="str">
        <f>_xll.BDP("882253SN Muni","BVAL_MID_YTM")</f>
        <v>#N/A Requesting Data...</v>
      </c>
      <c r="P2159" t="str">
        <f>_xll.BDP("882253SN Muni","MUNI_TAX_PROV")</f>
        <v>#N/A Requesting Data...</v>
      </c>
      <c r="Q2159" t="str">
        <f>_xll.BDP("882253SN Muni","MUNI_FED_TAX")</f>
        <v>#N/A Requesting Data...</v>
      </c>
      <c r="R2159" t="str">
        <f>_xll.BDP("882253SN Muni","MUNI_MSRB_VOLUME")</f>
        <v>#N/A Requesting Data...</v>
      </c>
      <c r="S2159" t="str">
        <f>_xll.BDP("882253SN Muni","BB_COMPOSITE")</f>
        <v>#N/A Requesting Data...</v>
      </c>
      <c r="T2159" t="str">
        <f>_xll.BDP("882253SN Muni","LQA_LIQUIDITY_SCORE")</f>
        <v>#N/A Requesting Data...</v>
      </c>
    </row>
    <row r="2160" spans="1:20" x14ac:dyDescent="0.25">
      <c r="A2160" t="str">
        <f>_xll.BDP("887127XH Muni","ID_CUSIP")</f>
        <v>#N/A Requesting Data...</v>
      </c>
      <c r="B2160" t="s">
        <v>491</v>
      </c>
      <c r="C2160" t="str">
        <f>_xll.BDP("887127XH Muni","INSURANCE_STATUS")</f>
        <v>#N/A Requesting Data...</v>
      </c>
      <c r="D2160" t="str">
        <f>_xll.BDP("887127XH Muni","STATE_CODE")</f>
        <v>#N/A Requesting Data...</v>
      </c>
      <c r="E2160" t="str">
        <f>_xll.BDP("887127XH Muni","COUNTY_LOCATION_ISSUER")</f>
        <v>#N/A Requesting Data...</v>
      </c>
      <c r="F2160" t="str">
        <f>_xll.BDP("887127XH Muni","DUR_ADJ_MID")</f>
        <v>#N/A Requesting Data...</v>
      </c>
      <c r="G2160" t="str">
        <f>_xll.BDP("887127XH Muni","SPREAD_AT_ISSUANCE_TO_WORST")</f>
        <v>#N/A Requesting Data...</v>
      </c>
      <c r="H2160" t="str">
        <f>_xll.BDP("887127XH Muni","ISSUE_DT")</f>
        <v>#N/A Requesting Data...</v>
      </c>
      <c r="I2160" t="str">
        <f>_xll.BDS("887127XH Muni","MUNI_PURPOSE_SCHED", "aggregate=y")</f>
        <v>#N/A Requesting Data...</v>
      </c>
      <c r="J2160" t="str">
        <f>_xll.BDP("887127XH Muni","CPN")</f>
        <v>#N/A Requesting Data...</v>
      </c>
      <c r="K2160" t="str">
        <f>_xll.BDP("887127XH Muni","MATURITY")</f>
        <v>#N/A Requesting Data...</v>
      </c>
      <c r="L2160">
        <v>225000</v>
      </c>
      <c r="M2160" t="str">
        <f>_xll.BDP("887127XH Muni","YIELD_ON_ISSUE_DATE")</f>
        <v>#N/A Requesting Data...</v>
      </c>
      <c r="N2160" t="str">
        <f>_xll.BDP("887127XH Muni","YTW_SPREAD_TO_MATURITY_AT_ISSU")</f>
        <v>#N/A Requesting Data...</v>
      </c>
      <c r="O2160" t="str">
        <f>_xll.BDP("887127XH Muni","BVAL_MID_YTM")</f>
        <v>#N/A Requesting Data...</v>
      </c>
      <c r="P2160" t="str">
        <f>_xll.BDP("887127XH Muni","MUNI_TAX_PROV")</f>
        <v>#N/A Requesting Data...</v>
      </c>
      <c r="Q2160" t="str">
        <f>_xll.BDP("887127XH Muni","MUNI_FED_TAX")</f>
        <v>#N/A Requesting Data...</v>
      </c>
      <c r="R2160" t="str">
        <f>_xll.BDP("887127XH Muni","MUNI_MSRB_VOLUME")</f>
        <v>#N/A Requesting Data...</v>
      </c>
      <c r="S2160" t="str">
        <f>_xll.BDP("887127XH Muni","BB_COMPOSITE")</f>
        <v>#N/A Requesting Data...</v>
      </c>
      <c r="T2160" t="str">
        <f>_xll.BDP("887127XH Muni","LQA_LIQUIDITY_SCORE")</f>
        <v>#N/A Requesting Data...</v>
      </c>
    </row>
    <row r="2161" spans="1:20" x14ac:dyDescent="0.25">
      <c r="A2161" t="str">
        <f>_xll.BDP("887127XK Muni","ID_CUSIP")</f>
        <v>#N/A Requesting Data...</v>
      </c>
      <c r="B2161" t="s">
        <v>491</v>
      </c>
      <c r="C2161" t="str">
        <f>_xll.BDP("887127XK Muni","INSURANCE_STATUS")</f>
        <v>#N/A Requesting Data...</v>
      </c>
      <c r="D2161" t="str">
        <f>_xll.BDP("887127XK Muni","STATE_CODE")</f>
        <v>#N/A Requesting Data...</v>
      </c>
      <c r="E2161" t="str">
        <f>_xll.BDP("887127XK Muni","COUNTY_LOCATION_ISSUER")</f>
        <v>#N/A Requesting Data...</v>
      </c>
      <c r="F2161" t="str">
        <f>_xll.BDP("887127XK Muni","DUR_ADJ_MID")</f>
        <v>#N/A Requesting Data...</v>
      </c>
      <c r="G2161" t="str">
        <f>_xll.BDP("887127XK Muni","SPREAD_AT_ISSUANCE_TO_WORST")</f>
        <v>#N/A Requesting Data...</v>
      </c>
      <c r="H2161" t="str">
        <f>_xll.BDP("887127XK Muni","ISSUE_DT")</f>
        <v>#N/A Requesting Data...</v>
      </c>
      <c r="I2161" t="str">
        <f>_xll.BDS("887127XK Muni","MUNI_PURPOSE_SCHED", "aggregate=y")</f>
        <v>#N/A Requesting Data...</v>
      </c>
      <c r="J2161" t="str">
        <f>_xll.BDP("887127XK Muni","CPN")</f>
        <v>#N/A Requesting Data...</v>
      </c>
      <c r="K2161" t="str">
        <f>_xll.BDP("887127XK Muni","MATURITY")</f>
        <v>#N/A Requesting Data...</v>
      </c>
      <c r="L2161">
        <v>225000</v>
      </c>
      <c r="M2161" t="str">
        <f>_xll.BDP("887127XK Muni","YIELD_ON_ISSUE_DATE")</f>
        <v>#N/A Requesting Data...</v>
      </c>
      <c r="N2161" t="str">
        <f>_xll.BDP("887127XK Muni","YTW_SPREAD_TO_MATURITY_AT_ISSU")</f>
        <v>#N/A Requesting Data...</v>
      </c>
      <c r="O2161" t="str">
        <f>_xll.BDP("887127XK Muni","BVAL_MID_YTM")</f>
        <v>#N/A Requesting Data...</v>
      </c>
      <c r="P2161" t="str">
        <f>_xll.BDP("887127XK Muni","MUNI_TAX_PROV")</f>
        <v>#N/A Requesting Data...</v>
      </c>
      <c r="Q2161" t="str">
        <f>_xll.BDP("887127XK Muni","MUNI_FED_TAX")</f>
        <v>#N/A Requesting Data...</v>
      </c>
      <c r="R2161" t="str">
        <f>_xll.BDP("887127XK Muni","MUNI_MSRB_VOLUME")</f>
        <v>#N/A Requesting Data...</v>
      </c>
      <c r="S2161" t="str">
        <f>_xll.BDP("887127XK Muni","BB_COMPOSITE")</f>
        <v>#N/A Requesting Data...</v>
      </c>
      <c r="T2161" t="str">
        <f>_xll.BDP("887127XK Muni","LQA_LIQUIDITY_SCORE")</f>
        <v>#N/A Requesting Data...</v>
      </c>
    </row>
    <row r="2162" spans="1:20" x14ac:dyDescent="0.25">
      <c r="A2162" t="str">
        <f>_xll.BDP("888140GM Muni","ID_CUSIP")</f>
        <v>#N/A Requesting Data...</v>
      </c>
      <c r="B2162" t="s">
        <v>492</v>
      </c>
      <c r="C2162" t="str">
        <f>_xll.BDP("888140GM Muni","INSURANCE_STATUS")</f>
        <v>#N/A Requesting Data...</v>
      </c>
      <c r="D2162" t="str">
        <f>_xll.BDP("888140GM Muni","STATE_CODE")</f>
        <v>#N/A Requesting Data...</v>
      </c>
      <c r="E2162" t="str">
        <f>_xll.BDP("888140GM Muni","COUNTY_LOCATION_ISSUER")</f>
        <v>#N/A Requesting Data...</v>
      </c>
      <c r="F2162" t="str">
        <f>_xll.BDP("888140GM Muni","DUR_ADJ_MID")</f>
        <v>#N/A Requesting Data...</v>
      </c>
      <c r="G2162" t="str">
        <f>_xll.BDP("888140GM Muni","SPREAD_AT_ISSUANCE_TO_WORST")</f>
        <v>#N/A Requesting Data...</v>
      </c>
      <c r="H2162" t="str">
        <f>_xll.BDP("888140GM Muni","ISSUE_DT")</f>
        <v>#N/A Requesting Data...</v>
      </c>
      <c r="I2162" t="str">
        <f>_xll.BDS("888140GM Muni","MUNI_PURPOSE_SCHED", "aggregate=y")</f>
        <v>#N/A Requesting Data...</v>
      </c>
      <c r="J2162" t="str">
        <f>_xll.BDP("888140GM Muni","CPN")</f>
        <v>#N/A Requesting Data...</v>
      </c>
      <c r="K2162" t="str">
        <f>_xll.BDP("888140GM Muni","MATURITY")</f>
        <v>#N/A Requesting Data...</v>
      </c>
      <c r="L2162">
        <v>150000</v>
      </c>
      <c r="M2162" t="str">
        <f>_xll.BDP("888140GM Muni","YIELD_ON_ISSUE_DATE")</f>
        <v>#N/A Requesting Data...</v>
      </c>
      <c r="N2162" t="str">
        <f>_xll.BDP("888140GM Muni","YTW_SPREAD_TO_MATURITY_AT_ISSU")</f>
        <v>#N/A Requesting Data...</v>
      </c>
      <c r="O2162" t="str">
        <f>_xll.BDP("888140GM Muni","BVAL_MID_YTM")</f>
        <v>#N/A Requesting Data...</v>
      </c>
      <c r="P2162" t="str">
        <f>_xll.BDP("888140GM Muni","MUNI_TAX_PROV")</f>
        <v>#N/A Requesting Data...</v>
      </c>
      <c r="Q2162" t="str">
        <f>_xll.BDP("888140GM Muni","MUNI_FED_TAX")</f>
        <v>#N/A Requesting Data...</v>
      </c>
      <c r="R2162" t="str">
        <f>_xll.BDP("888140GM Muni","MUNI_MSRB_VOLUME")</f>
        <v>#N/A Requesting Data...</v>
      </c>
      <c r="S2162" t="str">
        <f>_xll.BDP("888140GM Muni","BB_COMPOSITE")</f>
        <v>#N/A Requesting Data...</v>
      </c>
      <c r="T2162" t="str">
        <f>_xll.BDP("888140GM Muni","LQA_LIQUIDITY_SCORE")</f>
        <v>#N/A Requesting Data...</v>
      </c>
    </row>
    <row r="2163" spans="1:20" x14ac:dyDescent="0.25">
      <c r="A2163" t="str">
        <f>_xll.BDP("890680PL Muni","ID_CUSIP")</f>
        <v>#N/A Requesting Data...</v>
      </c>
      <c r="B2163" t="s">
        <v>476</v>
      </c>
      <c r="C2163" t="str">
        <f>_xll.BDP("890680PL Muni","INSURANCE_STATUS")</f>
        <v>#N/A Requesting Data...</v>
      </c>
      <c r="D2163" t="str">
        <f>_xll.BDP("890680PL Muni","STATE_CODE")</f>
        <v>#N/A Requesting Data...</v>
      </c>
      <c r="E2163" t="str">
        <f>_xll.BDP("890680PL Muni","COUNTY_LOCATION_ISSUER")</f>
        <v>#N/A Requesting Data...</v>
      </c>
      <c r="F2163" t="str">
        <f>_xll.BDP("890680PL Muni","DUR_ADJ_MID")</f>
        <v>#N/A Requesting Data...</v>
      </c>
      <c r="G2163" t="str">
        <f>_xll.BDP("890680PL Muni","SPREAD_AT_ISSUANCE_TO_WORST")</f>
        <v>#N/A Requesting Data...</v>
      </c>
      <c r="H2163" t="str">
        <f>_xll.BDP("890680PL Muni","ISSUE_DT")</f>
        <v>#N/A Requesting Data...</v>
      </c>
      <c r="I2163" t="str">
        <f>_xll.BDS("890680PL Muni","MUNI_PURPOSE_SCHED", "aggregate=y")</f>
        <v>#N/A Requesting Data...</v>
      </c>
      <c r="J2163" t="str">
        <f>_xll.BDP("890680PL Muni","CPN")</f>
        <v>#N/A Requesting Data...</v>
      </c>
      <c r="K2163" t="str">
        <f>_xll.BDP("890680PL Muni","MATURITY")</f>
        <v>#N/A Requesting Data...</v>
      </c>
      <c r="L2163">
        <v>915000</v>
      </c>
      <c r="M2163" t="str">
        <f>_xll.BDP("890680PL Muni","YIELD_ON_ISSUE_DATE")</f>
        <v>#N/A Requesting Data...</v>
      </c>
      <c r="N2163" t="str">
        <f>_xll.BDP("890680PL Muni","YTW_SPREAD_TO_MATURITY_AT_ISSU")</f>
        <v>#N/A Requesting Data...</v>
      </c>
      <c r="O2163" t="str">
        <f>_xll.BDP("890680PL Muni","BVAL_MID_YTM")</f>
        <v>#N/A Requesting Data...</v>
      </c>
      <c r="P2163" t="str">
        <f>_xll.BDP("890680PL Muni","MUNI_TAX_PROV")</f>
        <v>#N/A Requesting Data...</v>
      </c>
      <c r="Q2163" t="str">
        <f>_xll.BDP("890680PL Muni","MUNI_FED_TAX")</f>
        <v>#N/A Requesting Data...</v>
      </c>
      <c r="R2163" t="str">
        <f>_xll.BDP("890680PL Muni","MUNI_MSRB_VOLUME")</f>
        <v>#N/A Requesting Data...</v>
      </c>
      <c r="S2163" t="str">
        <f>_xll.BDP("890680PL Muni","BB_COMPOSITE")</f>
        <v>#N/A Requesting Data...</v>
      </c>
      <c r="T2163" t="str">
        <f>_xll.BDP("890680PL Muni","LQA_LIQUIDITY_SCORE")</f>
        <v>#N/A Requesting Data...</v>
      </c>
    </row>
    <row r="2164" spans="1:20" x14ac:dyDescent="0.25">
      <c r="A2164" t="str">
        <f>_xll.BDP("890680PQ Muni","ID_CUSIP")</f>
        <v>#N/A Requesting Data...</v>
      </c>
      <c r="B2164" t="s">
        <v>476</v>
      </c>
      <c r="C2164" t="str">
        <f>_xll.BDP("890680PQ Muni","INSURANCE_STATUS")</f>
        <v>#N/A Requesting Data...</v>
      </c>
      <c r="D2164" t="str">
        <f>_xll.BDP("890680PQ Muni","STATE_CODE")</f>
        <v>#N/A Requesting Data...</v>
      </c>
      <c r="E2164" t="str">
        <f>_xll.BDP("890680PQ Muni","COUNTY_LOCATION_ISSUER")</f>
        <v>#N/A Requesting Data...</v>
      </c>
      <c r="F2164" t="str">
        <f>_xll.BDP("890680PQ Muni","DUR_ADJ_MID")</f>
        <v>#N/A Requesting Data...</v>
      </c>
      <c r="G2164" t="str">
        <f>_xll.BDP("890680PQ Muni","SPREAD_AT_ISSUANCE_TO_WORST")</f>
        <v>#N/A Requesting Data...</v>
      </c>
      <c r="H2164" t="str">
        <f>_xll.BDP("890680PQ Muni","ISSUE_DT")</f>
        <v>#N/A Requesting Data...</v>
      </c>
      <c r="I2164" t="str">
        <f>_xll.BDS("890680PQ Muni","MUNI_PURPOSE_SCHED", "aggregate=y")</f>
        <v>#N/A Requesting Data...</v>
      </c>
      <c r="J2164" t="str">
        <f>_xll.BDP("890680PQ Muni","CPN")</f>
        <v>#N/A Requesting Data...</v>
      </c>
      <c r="K2164" t="str">
        <f>_xll.BDP("890680PQ Muni","MATURITY")</f>
        <v>#N/A Requesting Data...</v>
      </c>
      <c r="L2164">
        <v>1115000</v>
      </c>
      <c r="M2164" t="str">
        <f>_xll.BDP("890680PQ Muni","YIELD_ON_ISSUE_DATE")</f>
        <v>#N/A Requesting Data...</v>
      </c>
      <c r="N2164" t="str">
        <f>_xll.BDP("890680PQ Muni","YTW_SPREAD_TO_MATURITY_AT_ISSU")</f>
        <v>#N/A Requesting Data...</v>
      </c>
      <c r="O2164" t="str">
        <f>_xll.BDP("890680PQ Muni","BVAL_MID_YTM")</f>
        <v>#N/A Requesting Data...</v>
      </c>
      <c r="P2164" t="str">
        <f>_xll.BDP("890680PQ Muni","MUNI_TAX_PROV")</f>
        <v>#N/A Requesting Data...</v>
      </c>
      <c r="Q2164" t="str">
        <f>_xll.BDP("890680PQ Muni","MUNI_FED_TAX")</f>
        <v>#N/A Requesting Data...</v>
      </c>
      <c r="R2164" t="str">
        <f>_xll.BDP("890680PQ Muni","MUNI_MSRB_VOLUME")</f>
        <v>#N/A Requesting Data...</v>
      </c>
      <c r="S2164" t="str">
        <f>_xll.BDP("890680PQ Muni","BB_COMPOSITE")</f>
        <v>#N/A Requesting Data...</v>
      </c>
      <c r="T2164" t="str">
        <f>_xll.BDP("890680PQ Muni","LQA_LIQUIDITY_SCORE")</f>
        <v>#N/A Requesting Data...</v>
      </c>
    </row>
    <row r="2165" spans="1:20" x14ac:dyDescent="0.25">
      <c r="A2165" t="str">
        <f>_xll.BDP("890788GU Muni","ID_CUSIP")</f>
        <v>#N/A Requesting Data...</v>
      </c>
      <c r="B2165" t="s">
        <v>477</v>
      </c>
      <c r="C2165" t="str">
        <f>_xll.BDP("890788GU Muni","INSURANCE_STATUS")</f>
        <v>#N/A Requesting Data...</v>
      </c>
      <c r="D2165" t="str">
        <f>_xll.BDP("890788GU Muni","STATE_CODE")</f>
        <v>#N/A Requesting Data...</v>
      </c>
      <c r="E2165" t="str">
        <f>_xll.BDP("890788GU Muni","COUNTY_LOCATION_ISSUER")</f>
        <v>#N/A Requesting Data...</v>
      </c>
      <c r="F2165" t="str">
        <f>_xll.BDP("890788GU Muni","DUR_ADJ_MID")</f>
        <v>#N/A Requesting Data...</v>
      </c>
      <c r="G2165" t="str">
        <f>_xll.BDP("890788GU Muni","SPREAD_AT_ISSUANCE_TO_WORST")</f>
        <v>#N/A Requesting Data...</v>
      </c>
      <c r="H2165" t="str">
        <f>_xll.BDP("890788GU Muni","ISSUE_DT")</f>
        <v>#N/A Requesting Data...</v>
      </c>
      <c r="I2165" t="str">
        <f>_xll.BDS("890788GU Muni","MUNI_PURPOSE_SCHED", "aggregate=y")</f>
        <v>#N/A Requesting Data...</v>
      </c>
      <c r="J2165" t="str">
        <f>_xll.BDP("890788GU Muni","CPN")</f>
        <v>#N/A Requesting Data...</v>
      </c>
      <c r="K2165" t="str">
        <f>_xll.BDP("890788GU Muni","MATURITY")</f>
        <v>#N/A Requesting Data...</v>
      </c>
      <c r="L2165">
        <v>175000</v>
      </c>
      <c r="M2165" t="str">
        <f>_xll.BDP("890788GU Muni","YIELD_ON_ISSUE_DATE")</f>
        <v>#N/A Requesting Data...</v>
      </c>
      <c r="N2165" t="str">
        <f>_xll.BDP("890788GU Muni","YTW_SPREAD_TO_MATURITY_AT_ISSU")</f>
        <v>#N/A Requesting Data...</v>
      </c>
      <c r="O2165" t="str">
        <f>_xll.BDP("890788GU Muni","BVAL_MID_YTM")</f>
        <v>#N/A Requesting Data...</v>
      </c>
      <c r="P2165" t="str">
        <f>_xll.BDP("890788GU Muni","MUNI_TAX_PROV")</f>
        <v>#N/A Requesting Data...</v>
      </c>
      <c r="Q2165" t="str">
        <f>_xll.BDP("890788GU Muni","MUNI_FED_TAX")</f>
        <v>#N/A Requesting Data...</v>
      </c>
      <c r="R2165" t="str">
        <f>_xll.BDP("890788GU Muni","MUNI_MSRB_VOLUME")</f>
        <v>#N/A Requesting Data...</v>
      </c>
      <c r="S2165" t="str">
        <f>_xll.BDP("890788GU Muni","BB_COMPOSITE")</f>
        <v>#N/A Requesting Data...</v>
      </c>
      <c r="T2165" t="str">
        <f>_xll.BDP("890788GU Muni","LQA_LIQUIDITY_SCORE")</f>
        <v>#N/A Requesting Data...</v>
      </c>
    </row>
    <row r="2166" spans="1:20" x14ac:dyDescent="0.25">
      <c r="A2166" t="str">
        <f>_xll.BDP("882253SQ Muni","ID_CUSIP")</f>
        <v>#N/A Requesting Data...</v>
      </c>
      <c r="B2166" t="s">
        <v>502</v>
      </c>
      <c r="C2166" t="str">
        <f>_xll.BDP("882253SQ Muni","INSURANCE_STATUS")</f>
        <v>#N/A Requesting Data...</v>
      </c>
      <c r="D2166" t="str">
        <f>_xll.BDP("882253SQ Muni","STATE_CODE")</f>
        <v>#N/A Requesting Data...</v>
      </c>
      <c r="E2166" t="str">
        <f>_xll.BDP("882253SQ Muni","COUNTY_LOCATION_ISSUER")</f>
        <v>#N/A Requesting Data...</v>
      </c>
      <c r="F2166" t="str">
        <f>_xll.BDP("882253SQ Muni","DUR_ADJ_MID")</f>
        <v>#N/A Requesting Data...</v>
      </c>
      <c r="G2166" t="str">
        <f>_xll.BDP("882253SQ Muni","SPREAD_AT_ISSUANCE_TO_WORST")</f>
        <v>#N/A Requesting Data...</v>
      </c>
      <c r="H2166" t="str">
        <f>_xll.BDP("882253SQ Muni","ISSUE_DT")</f>
        <v>#N/A Requesting Data...</v>
      </c>
      <c r="I2166" t="str">
        <f>_xll.BDS("882253SQ Muni","MUNI_PURPOSE_SCHED", "aggregate=y")</f>
        <v>#N/A Requesting Data...</v>
      </c>
      <c r="J2166" t="str">
        <f>_xll.BDP("882253SQ Muni","CPN")</f>
        <v>#N/A Requesting Data...</v>
      </c>
      <c r="K2166" t="str">
        <f>_xll.BDP("882253SQ Muni","MATURITY")</f>
        <v>#N/A Requesting Data...</v>
      </c>
      <c r="L2166">
        <v>470000</v>
      </c>
      <c r="M2166" t="str">
        <f>_xll.BDP("882253SQ Muni","YIELD_ON_ISSUE_DATE")</f>
        <v>#N/A Requesting Data...</v>
      </c>
      <c r="N2166" t="str">
        <f>_xll.BDP("882253SQ Muni","YTW_SPREAD_TO_MATURITY_AT_ISSU")</f>
        <v>#N/A Requesting Data...</v>
      </c>
      <c r="O2166" t="str">
        <f>_xll.BDP("882253SQ Muni","BVAL_MID_YTM")</f>
        <v>#N/A Requesting Data...</v>
      </c>
      <c r="P2166" t="str">
        <f>_xll.BDP("882253SQ Muni","MUNI_TAX_PROV")</f>
        <v>#N/A Requesting Data...</v>
      </c>
      <c r="Q2166" t="str">
        <f>_xll.BDP("882253SQ Muni","MUNI_FED_TAX")</f>
        <v>#N/A Requesting Data...</v>
      </c>
      <c r="R2166" t="str">
        <f>_xll.BDP("882253SQ Muni","MUNI_MSRB_VOLUME")</f>
        <v>#N/A Requesting Data...</v>
      </c>
      <c r="S2166" t="str">
        <f>_xll.BDP("882253SQ Muni","BB_COMPOSITE")</f>
        <v>#N/A Requesting Data...</v>
      </c>
      <c r="T2166" t="str">
        <f>_xll.BDP("882253SQ Muni","LQA_LIQUIDITY_SCORE")</f>
        <v>#N/A Requesting Data...</v>
      </c>
    </row>
    <row r="2167" spans="1:20" x14ac:dyDescent="0.25">
      <c r="A2167" t="str">
        <f>_xll.BDP("882253SR Muni","ID_CUSIP")</f>
        <v>#N/A Requesting Data...</v>
      </c>
      <c r="B2167" t="s">
        <v>502</v>
      </c>
      <c r="C2167" t="str">
        <f>_xll.BDP("882253SR Muni","INSURANCE_STATUS")</f>
        <v>#N/A Requesting Data...</v>
      </c>
      <c r="D2167" t="str">
        <f>_xll.BDP("882253SR Muni","STATE_CODE")</f>
        <v>#N/A Requesting Data...</v>
      </c>
      <c r="E2167" t="str">
        <f>_xll.BDP("882253SR Muni","COUNTY_LOCATION_ISSUER")</f>
        <v>#N/A Requesting Data...</v>
      </c>
      <c r="F2167" t="str">
        <f>_xll.BDP("882253SR Muni","DUR_ADJ_MID")</f>
        <v>#N/A Requesting Data...</v>
      </c>
      <c r="G2167" t="str">
        <f>_xll.BDP("882253SR Muni","SPREAD_AT_ISSUANCE_TO_WORST")</f>
        <v>#N/A Requesting Data...</v>
      </c>
      <c r="H2167" t="str">
        <f>_xll.BDP("882253SR Muni","ISSUE_DT")</f>
        <v>#N/A Requesting Data...</v>
      </c>
      <c r="I2167" t="str">
        <f>_xll.BDS("882253SR Muni","MUNI_PURPOSE_SCHED", "aggregate=y")</f>
        <v>#N/A Requesting Data...</v>
      </c>
      <c r="J2167" t="str">
        <f>_xll.BDP("882253SR Muni","CPN")</f>
        <v>#N/A Requesting Data...</v>
      </c>
      <c r="K2167" t="str">
        <f>_xll.BDP("882253SR Muni","MATURITY")</f>
        <v>#N/A Requesting Data...</v>
      </c>
      <c r="L2167">
        <v>490000</v>
      </c>
      <c r="M2167" t="str">
        <f>_xll.BDP("882253SR Muni","YIELD_ON_ISSUE_DATE")</f>
        <v>#N/A Requesting Data...</v>
      </c>
      <c r="N2167" t="str">
        <f>_xll.BDP("882253SR Muni","YTW_SPREAD_TO_MATURITY_AT_ISSU")</f>
        <v>#N/A Requesting Data...</v>
      </c>
      <c r="O2167" t="str">
        <f>_xll.BDP("882253SR Muni","BVAL_MID_YTM")</f>
        <v>#N/A Requesting Data...</v>
      </c>
      <c r="P2167" t="str">
        <f>_xll.BDP("882253SR Muni","MUNI_TAX_PROV")</f>
        <v>#N/A Requesting Data...</v>
      </c>
      <c r="Q2167" t="str">
        <f>_xll.BDP("882253SR Muni","MUNI_FED_TAX")</f>
        <v>#N/A Requesting Data...</v>
      </c>
      <c r="R2167" t="str">
        <f>_xll.BDP("882253SR Muni","MUNI_MSRB_VOLUME")</f>
        <v>#N/A Requesting Data...</v>
      </c>
      <c r="S2167" t="str">
        <f>_xll.BDP("882253SR Muni","BB_COMPOSITE")</f>
        <v>#N/A Requesting Data...</v>
      </c>
      <c r="T2167" t="str">
        <f>_xll.BDP("882253SR Muni","LQA_LIQUIDITY_SCORE")</f>
        <v>#N/A Requesting Data...</v>
      </c>
    </row>
    <row r="2168" spans="1:20" x14ac:dyDescent="0.25">
      <c r="A2168" t="str">
        <f>_xll.BDP("882253SM Muni","ID_CUSIP")</f>
        <v>#N/A Requesting Data...</v>
      </c>
      <c r="B2168" t="s">
        <v>502</v>
      </c>
      <c r="C2168" t="str">
        <f>_xll.BDP("882253SM Muni","INSURANCE_STATUS")</f>
        <v>#N/A Requesting Data...</v>
      </c>
      <c r="D2168" t="str">
        <f>_xll.BDP("882253SM Muni","STATE_CODE")</f>
        <v>#N/A Requesting Data...</v>
      </c>
      <c r="E2168" t="str">
        <f>_xll.BDP("882253SM Muni","COUNTY_LOCATION_ISSUER")</f>
        <v>#N/A Requesting Data...</v>
      </c>
      <c r="F2168" t="str">
        <f>_xll.BDP("882253SM Muni","DUR_ADJ_MID")</f>
        <v>#N/A Requesting Data...</v>
      </c>
      <c r="G2168" t="str">
        <f>_xll.BDP("882253SM Muni","SPREAD_AT_ISSUANCE_TO_WORST")</f>
        <v>#N/A Requesting Data...</v>
      </c>
      <c r="H2168" t="str">
        <f>_xll.BDP("882253SM Muni","ISSUE_DT")</f>
        <v>#N/A Requesting Data...</v>
      </c>
      <c r="I2168" t="str">
        <f>_xll.BDS("882253SM Muni","MUNI_PURPOSE_SCHED", "aggregate=y")</f>
        <v>#N/A Requesting Data...</v>
      </c>
      <c r="J2168" t="str">
        <f>_xll.BDP("882253SM Muni","CPN")</f>
        <v>#N/A Requesting Data...</v>
      </c>
      <c r="K2168" t="str">
        <f>_xll.BDP("882253SM Muni","MATURITY")</f>
        <v>#N/A Requesting Data...</v>
      </c>
      <c r="L2168">
        <v>405000</v>
      </c>
      <c r="M2168" t="str">
        <f>_xll.BDP("882253SM Muni","YIELD_ON_ISSUE_DATE")</f>
        <v>#N/A Requesting Data...</v>
      </c>
      <c r="N2168" t="str">
        <f>_xll.BDP("882253SM Muni","YTW_SPREAD_TO_MATURITY_AT_ISSU")</f>
        <v>#N/A Requesting Data...</v>
      </c>
      <c r="O2168" t="str">
        <f>_xll.BDP("882253SM Muni","BVAL_MID_YTM")</f>
        <v>#N/A Requesting Data...</v>
      </c>
      <c r="P2168" t="str">
        <f>_xll.BDP("882253SM Muni","MUNI_TAX_PROV")</f>
        <v>#N/A Requesting Data...</v>
      </c>
      <c r="Q2168" t="str">
        <f>_xll.BDP("882253SM Muni","MUNI_FED_TAX")</f>
        <v>#N/A Requesting Data...</v>
      </c>
      <c r="R2168" t="str">
        <f>_xll.BDP("882253SM Muni","MUNI_MSRB_VOLUME")</f>
        <v>#N/A Requesting Data...</v>
      </c>
      <c r="S2168" t="str">
        <f>_xll.BDP("882253SM Muni","BB_COMPOSITE")</f>
        <v>#N/A Requesting Data...</v>
      </c>
      <c r="T2168" t="str">
        <f>_xll.BDP("882253SM Muni","LQA_LIQUIDITY_SCORE")</f>
        <v>#N/A Requesting Data...</v>
      </c>
    </row>
    <row r="2169" spans="1:20" x14ac:dyDescent="0.25">
      <c r="A2169" t="str">
        <f>_xll.BDP("882253SP Muni","ID_CUSIP")</f>
        <v>#N/A Requesting Data...</v>
      </c>
      <c r="B2169" t="s">
        <v>502</v>
      </c>
      <c r="C2169" t="str">
        <f>_xll.BDP("882253SP Muni","INSURANCE_STATUS")</f>
        <v>#N/A Requesting Data...</v>
      </c>
      <c r="D2169" t="str">
        <f>_xll.BDP("882253SP Muni","STATE_CODE")</f>
        <v>#N/A Requesting Data...</v>
      </c>
      <c r="E2169" t="str">
        <f>_xll.BDP("882253SP Muni","COUNTY_LOCATION_ISSUER")</f>
        <v>#N/A Requesting Data...</v>
      </c>
      <c r="F2169" t="str">
        <f>_xll.BDP("882253SP Muni","DUR_ADJ_MID")</f>
        <v>#N/A Requesting Data...</v>
      </c>
      <c r="G2169" t="str">
        <f>_xll.BDP("882253SP Muni","SPREAD_AT_ISSUANCE_TO_WORST")</f>
        <v>#N/A Requesting Data...</v>
      </c>
      <c r="H2169" t="str">
        <f>_xll.BDP("882253SP Muni","ISSUE_DT")</f>
        <v>#N/A Requesting Data...</v>
      </c>
      <c r="I2169" t="str">
        <f>_xll.BDS("882253SP Muni","MUNI_PURPOSE_SCHED", "aggregate=y")</f>
        <v>#N/A Requesting Data...</v>
      </c>
      <c r="J2169" t="str">
        <f>_xll.BDP("882253SP Muni","CPN")</f>
        <v>#N/A Requesting Data...</v>
      </c>
      <c r="K2169" t="str">
        <f>_xll.BDP("882253SP Muni","MATURITY")</f>
        <v>#N/A Requesting Data...</v>
      </c>
      <c r="L2169">
        <v>450000</v>
      </c>
      <c r="M2169" t="str">
        <f>_xll.BDP("882253SP Muni","YIELD_ON_ISSUE_DATE")</f>
        <v>#N/A Requesting Data...</v>
      </c>
      <c r="N2169" t="str">
        <f>_xll.BDP("882253SP Muni","YTW_SPREAD_TO_MATURITY_AT_ISSU")</f>
        <v>#N/A Requesting Data...</v>
      </c>
      <c r="O2169" t="str">
        <f>_xll.BDP("882253SP Muni","BVAL_MID_YTM")</f>
        <v>#N/A Requesting Data...</v>
      </c>
      <c r="P2169" t="str">
        <f>_xll.BDP("882253SP Muni","MUNI_TAX_PROV")</f>
        <v>#N/A Requesting Data...</v>
      </c>
      <c r="Q2169" t="str">
        <f>_xll.BDP("882253SP Muni","MUNI_FED_TAX")</f>
        <v>#N/A Requesting Data...</v>
      </c>
      <c r="R2169" t="str">
        <f>_xll.BDP("882253SP Muni","MUNI_MSRB_VOLUME")</f>
        <v>#N/A Requesting Data...</v>
      </c>
      <c r="S2169" t="str">
        <f>_xll.BDP("882253SP Muni","BB_COMPOSITE")</f>
        <v>#N/A Requesting Data...</v>
      </c>
      <c r="T2169" t="str">
        <f>_xll.BDP("882253SP Muni","LQA_LIQUIDITY_SCORE")</f>
        <v>#N/A Requesting Data...</v>
      </c>
    </row>
    <row r="2170" spans="1:20" x14ac:dyDescent="0.25">
      <c r="A2170" t="str">
        <f>_xll.BDP("942840CT Muni","ID_CUSIP")</f>
        <v>#N/A Requesting Data...</v>
      </c>
      <c r="B2170" t="s">
        <v>503</v>
      </c>
      <c r="C2170" t="str">
        <f>_xll.BDP("942840CT Muni","INSURANCE_STATUS")</f>
        <v>#N/A Requesting Data...</v>
      </c>
      <c r="D2170" t="str">
        <f>_xll.BDP("942840CT Muni","STATE_CODE")</f>
        <v>#N/A Requesting Data...</v>
      </c>
      <c r="E2170" t="str">
        <f>_xll.BDP("942840CT Muni","COUNTY_LOCATION_ISSUER")</f>
        <v>#N/A Requesting Data...</v>
      </c>
      <c r="F2170" t="str">
        <f>_xll.BDP("942840CT Muni","DUR_ADJ_MID")</f>
        <v>#N/A Requesting Data...</v>
      </c>
      <c r="G2170" t="str">
        <f>_xll.BDP("942840CT Muni","SPREAD_AT_ISSUANCE_TO_WORST")</f>
        <v>#N/A Requesting Data...</v>
      </c>
      <c r="H2170" t="str">
        <f>_xll.BDP("942840CT Muni","ISSUE_DT")</f>
        <v>#N/A Requesting Data...</v>
      </c>
      <c r="I2170" t="str">
        <f>_xll.BDS("942840CT Muni","MUNI_PURPOSE_SCHED", "aggregate=y")</f>
        <v>#N/A Requesting Data...</v>
      </c>
      <c r="J2170" t="str">
        <f>_xll.BDP("942840CT Muni","CPN")</f>
        <v>#N/A Requesting Data...</v>
      </c>
      <c r="K2170" t="str">
        <f>_xll.BDP("942840CT Muni","MATURITY")</f>
        <v>#N/A Requesting Data...</v>
      </c>
      <c r="L2170">
        <v>100000</v>
      </c>
      <c r="M2170" t="str">
        <f>_xll.BDP("942840CT Muni","YIELD_ON_ISSUE_DATE")</f>
        <v>#N/A Requesting Data...</v>
      </c>
      <c r="N2170" t="str">
        <f>_xll.BDP("942840CT Muni","YTW_SPREAD_TO_MATURITY_AT_ISSU")</f>
        <v>#N/A Requesting Data...</v>
      </c>
      <c r="O2170" t="str">
        <f>_xll.BDP("942840CT Muni","BVAL_MID_YTM")</f>
        <v>#N/A Requesting Data...</v>
      </c>
      <c r="P2170" t="str">
        <f>_xll.BDP("942840CT Muni","MUNI_TAX_PROV")</f>
        <v>#N/A Requesting Data...</v>
      </c>
      <c r="Q2170" t="str">
        <f>_xll.BDP("942840CT Muni","MUNI_FED_TAX")</f>
        <v>#N/A Requesting Data...</v>
      </c>
      <c r="R2170" t="str">
        <f>_xll.BDP("942840CT Muni","MUNI_MSRB_VOLUME")</f>
        <v>#N/A Requesting Data...</v>
      </c>
      <c r="S2170" t="str">
        <f>_xll.BDP("942840CT Muni","BB_COMPOSITE")</f>
        <v>#N/A Requesting Data...</v>
      </c>
      <c r="T2170" t="str">
        <f>_xll.BDP("942840CT Muni","LQA_LIQUIDITY_SCORE")</f>
        <v>#N/A Requesting Data...</v>
      </c>
    </row>
    <row r="2171" spans="1:20" x14ac:dyDescent="0.25">
      <c r="A2171" t="str">
        <f>_xll.BDP("943011JU Muni","ID_CUSIP")</f>
        <v>#N/A Requesting Data...</v>
      </c>
      <c r="B2171" t="s">
        <v>504</v>
      </c>
      <c r="C2171" t="str">
        <f>_xll.BDP("943011JU Muni","INSURANCE_STATUS")</f>
        <v>#N/A Requesting Data...</v>
      </c>
      <c r="D2171" t="str">
        <f>_xll.BDP("943011JU Muni","STATE_CODE")</f>
        <v>#N/A Requesting Data...</v>
      </c>
      <c r="E2171" t="str">
        <f>_xll.BDP("943011JU Muni","COUNTY_LOCATION_ISSUER")</f>
        <v>#N/A Requesting Data...</v>
      </c>
      <c r="F2171" t="str">
        <f>_xll.BDP("943011JU Muni","DUR_ADJ_MID")</f>
        <v>#N/A Requesting Data...</v>
      </c>
      <c r="G2171" t="str">
        <f>_xll.BDP("943011JU Muni","SPREAD_AT_ISSUANCE_TO_WORST")</f>
        <v>#N/A Requesting Data...</v>
      </c>
      <c r="H2171" t="str">
        <f>_xll.BDP("943011JU Muni","ISSUE_DT")</f>
        <v>#N/A Requesting Data...</v>
      </c>
      <c r="I2171" t="str">
        <f>_xll.BDS("943011JU Muni","MUNI_PURPOSE_SCHED", "aggregate=y")</f>
        <v>#N/A Requesting Data...</v>
      </c>
      <c r="J2171" t="str">
        <f>_xll.BDP("943011JU Muni","CPN")</f>
        <v>#N/A Requesting Data...</v>
      </c>
      <c r="K2171" t="str">
        <f>_xll.BDP("943011JU Muni","MATURITY")</f>
        <v>#N/A Requesting Data...</v>
      </c>
      <c r="L2171">
        <v>585000</v>
      </c>
      <c r="M2171" t="str">
        <f>_xll.BDP("943011JU Muni","YIELD_ON_ISSUE_DATE")</f>
        <v>#N/A Requesting Data...</v>
      </c>
      <c r="N2171" t="str">
        <f>_xll.BDP("943011JU Muni","YTW_SPREAD_TO_MATURITY_AT_ISSU")</f>
        <v>#N/A Requesting Data...</v>
      </c>
      <c r="O2171" t="str">
        <f>_xll.BDP("943011JU Muni","BVAL_MID_YTM")</f>
        <v>#N/A Requesting Data...</v>
      </c>
      <c r="P2171" t="str">
        <f>_xll.BDP("943011JU Muni","MUNI_TAX_PROV")</f>
        <v>#N/A Requesting Data...</v>
      </c>
      <c r="Q2171" t="str">
        <f>_xll.BDP("943011JU Muni","MUNI_FED_TAX")</f>
        <v>#N/A Requesting Data...</v>
      </c>
      <c r="R2171" t="str">
        <f>_xll.BDP("943011JU Muni","MUNI_MSRB_VOLUME")</f>
        <v>#N/A Requesting Data...</v>
      </c>
      <c r="S2171" t="str">
        <f>_xll.BDP("943011JU Muni","BB_COMPOSITE")</f>
        <v>#N/A Requesting Data...</v>
      </c>
      <c r="T2171" t="str">
        <f>_xll.BDP("943011JU Muni","LQA_LIQUIDITY_SCORE")</f>
        <v>#N/A Requesting Data...</v>
      </c>
    </row>
    <row r="2172" spans="1:20" x14ac:dyDescent="0.25">
      <c r="A2172" t="str">
        <f>_xll.BDP("943011JW Muni","ID_CUSIP")</f>
        <v>#N/A Requesting Data...</v>
      </c>
      <c r="B2172" t="s">
        <v>504</v>
      </c>
      <c r="C2172" t="str">
        <f>_xll.BDP("943011JW Muni","INSURANCE_STATUS")</f>
        <v>#N/A Requesting Data...</v>
      </c>
      <c r="D2172" t="str">
        <f>_xll.BDP("943011JW Muni","STATE_CODE")</f>
        <v>#N/A Requesting Data...</v>
      </c>
      <c r="E2172" t="str">
        <f>_xll.BDP("943011JW Muni","COUNTY_LOCATION_ISSUER")</f>
        <v>#N/A Requesting Data...</v>
      </c>
      <c r="F2172" t="str">
        <f>_xll.BDP("943011JW Muni","DUR_ADJ_MID")</f>
        <v>#N/A Requesting Data...</v>
      </c>
      <c r="G2172" t="str">
        <f>_xll.BDP("943011JW Muni","SPREAD_AT_ISSUANCE_TO_WORST")</f>
        <v>#N/A Requesting Data...</v>
      </c>
      <c r="H2172" t="str">
        <f>_xll.BDP("943011JW Muni","ISSUE_DT")</f>
        <v>#N/A Requesting Data...</v>
      </c>
      <c r="I2172" t="str">
        <f>_xll.BDS("943011JW Muni","MUNI_PURPOSE_SCHED", "aggregate=y")</f>
        <v>#N/A Requesting Data...</v>
      </c>
      <c r="J2172" t="str">
        <f>_xll.BDP("943011JW Muni","CPN")</f>
        <v>#N/A Requesting Data...</v>
      </c>
      <c r="K2172" t="str">
        <f>_xll.BDP("943011JW Muni","MATURITY")</f>
        <v>#N/A Requesting Data...</v>
      </c>
      <c r="L2172">
        <v>645000</v>
      </c>
      <c r="M2172" t="str">
        <f>_xll.BDP("943011JW Muni","YIELD_ON_ISSUE_DATE")</f>
        <v>#N/A Requesting Data...</v>
      </c>
      <c r="N2172" t="str">
        <f>_xll.BDP("943011JW Muni","YTW_SPREAD_TO_MATURITY_AT_ISSU")</f>
        <v>#N/A Requesting Data...</v>
      </c>
      <c r="O2172" t="str">
        <f>_xll.BDP("943011JW Muni","BVAL_MID_YTM")</f>
        <v>#N/A Requesting Data...</v>
      </c>
      <c r="P2172" t="str">
        <f>_xll.BDP("943011JW Muni","MUNI_TAX_PROV")</f>
        <v>#N/A Requesting Data...</v>
      </c>
      <c r="Q2172" t="str">
        <f>_xll.BDP("943011JW Muni","MUNI_FED_TAX")</f>
        <v>#N/A Requesting Data...</v>
      </c>
      <c r="R2172" t="str">
        <f>_xll.BDP("943011JW Muni","MUNI_MSRB_VOLUME")</f>
        <v>#N/A Requesting Data...</v>
      </c>
      <c r="S2172" t="str">
        <f>_xll.BDP("943011JW Muni","BB_COMPOSITE")</f>
        <v>#N/A Requesting Data...</v>
      </c>
      <c r="T2172" t="str">
        <f>_xll.BDP("943011JW Muni","LQA_LIQUIDITY_SCORE")</f>
        <v>#N/A Requesting Data...</v>
      </c>
    </row>
    <row r="2173" spans="1:20" x14ac:dyDescent="0.25">
      <c r="A2173" t="str">
        <f>_xll.BDP("943245BS Muni","ID_CUSIP")</f>
        <v>#N/A Requesting Data...</v>
      </c>
      <c r="B2173" t="s">
        <v>505</v>
      </c>
      <c r="C2173" t="str">
        <f>_xll.BDP("943245BS Muni","INSURANCE_STATUS")</f>
        <v>#N/A Requesting Data...</v>
      </c>
      <c r="D2173" t="str">
        <f>_xll.BDP("943245BS Muni","STATE_CODE")</f>
        <v>#N/A Requesting Data...</v>
      </c>
      <c r="E2173" t="str">
        <f>_xll.BDP("943245BS Muni","COUNTY_LOCATION_ISSUER")</f>
        <v>#N/A Requesting Data...</v>
      </c>
      <c r="F2173" t="str">
        <f>_xll.BDP("943245BS Muni","DUR_ADJ_MID")</f>
        <v>#N/A Requesting Data...</v>
      </c>
      <c r="G2173" t="str">
        <f>_xll.BDP("943245BS Muni","SPREAD_AT_ISSUANCE_TO_WORST")</f>
        <v>#N/A Requesting Data...</v>
      </c>
      <c r="H2173" t="str">
        <f>_xll.BDP("943245BS Muni","ISSUE_DT")</f>
        <v>#N/A Requesting Data...</v>
      </c>
      <c r="I2173" t="str">
        <f>_xll.BDS("943245BS Muni","MUNI_PURPOSE_SCHED", "aggregate=y")</f>
        <v>#N/A Requesting Data...</v>
      </c>
      <c r="J2173" t="str">
        <f>_xll.BDP("943245BS Muni","CPN")</f>
        <v>#N/A Requesting Data...</v>
      </c>
      <c r="K2173" t="str">
        <f>_xll.BDP("943245BS Muni","MATURITY")</f>
        <v>#N/A Requesting Data...</v>
      </c>
      <c r="L2173">
        <v>300000</v>
      </c>
      <c r="M2173" t="str">
        <f>_xll.BDP("943245BS Muni","YIELD_ON_ISSUE_DATE")</f>
        <v>#N/A Requesting Data...</v>
      </c>
      <c r="N2173" t="str">
        <f>_xll.BDP("943245BS Muni","YTW_SPREAD_TO_MATURITY_AT_ISSU")</f>
        <v>#N/A Requesting Data...</v>
      </c>
      <c r="O2173" t="str">
        <f>_xll.BDP("943245BS Muni","BVAL_MID_YTM")</f>
        <v>#N/A Requesting Data...</v>
      </c>
      <c r="P2173" t="str">
        <f>_xll.BDP("943245BS Muni","MUNI_TAX_PROV")</f>
        <v>#N/A Requesting Data...</v>
      </c>
      <c r="Q2173" t="str">
        <f>_xll.BDP("943245BS Muni","MUNI_FED_TAX")</f>
        <v>#N/A Requesting Data...</v>
      </c>
      <c r="R2173" t="str">
        <f>_xll.BDP("943245BS Muni","MUNI_MSRB_VOLUME")</f>
        <v>#N/A Requesting Data...</v>
      </c>
      <c r="S2173" t="str">
        <f>_xll.BDP("943245BS Muni","BB_COMPOSITE")</f>
        <v>#N/A Requesting Data...</v>
      </c>
      <c r="T2173" t="str">
        <f>_xll.BDP("943245BS Muni","LQA_LIQUIDITY_SCORE")</f>
        <v>#N/A Requesting Data...</v>
      </c>
    </row>
    <row r="2174" spans="1:20" x14ac:dyDescent="0.25">
      <c r="A2174" t="str">
        <f>_xll.BDP("91882PEK Muni","ID_CUSIP")</f>
        <v>#N/A Requesting Data...</v>
      </c>
      <c r="B2174" t="s">
        <v>506</v>
      </c>
      <c r="C2174" t="str">
        <f>_xll.BDP("91882PEK Muni","INSURANCE_STATUS")</f>
        <v>#N/A Requesting Data...</v>
      </c>
      <c r="D2174" t="str">
        <f>_xll.BDP("91882PEK Muni","STATE_CODE")</f>
        <v>#N/A Requesting Data...</v>
      </c>
      <c r="E2174" t="str">
        <f>_xll.BDP("91882PEK Muni","COUNTY_LOCATION_ISSUER")</f>
        <v>#N/A Requesting Data...</v>
      </c>
      <c r="F2174" t="str">
        <f>_xll.BDP("91882PEK Muni","DUR_ADJ_MID")</f>
        <v>#N/A Requesting Data...</v>
      </c>
      <c r="G2174" t="str">
        <f>_xll.BDP("91882PEK Muni","SPREAD_AT_ISSUANCE_TO_WORST")</f>
        <v>#N/A Requesting Data...</v>
      </c>
      <c r="H2174" t="str">
        <f>_xll.BDP("91882PEK Muni","ISSUE_DT")</f>
        <v>#N/A Requesting Data...</v>
      </c>
      <c r="I2174" t="str">
        <f>_xll.BDS("91882PEK Muni","MUNI_PURPOSE_SCHED", "aggregate=y")</f>
        <v>#N/A Requesting Data...</v>
      </c>
      <c r="J2174" t="str">
        <f>_xll.BDP("91882PEK Muni","CPN")</f>
        <v>#N/A Requesting Data...</v>
      </c>
      <c r="K2174" t="str">
        <f>_xll.BDP("91882PEK Muni","MATURITY")</f>
        <v>#N/A Requesting Data...</v>
      </c>
      <c r="L2174">
        <v>80000</v>
      </c>
      <c r="M2174" t="str">
        <f>_xll.BDP("91882PEK Muni","YIELD_ON_ISSUE_DATE")</f>
        <v>#N/A Requesting Data...</v>
      </c>
      <c r="N2174" t="str">
        <f>_xll.BDP("91882PEK Muni","YTW_SPREAD_TO_MATURITY_AT_ISSU")</f>
        <v>#N/A Requesting Data...</v>
      </c>
      <c r="O2174" t="str">
        <f>_xll.BDP("91882PEK Muni","BVAL_MID_YTM")</f>
        <v>#N/A Requesting Data...</v>
      </c>
      <c r="P2174" t="str">
        <f>_xll.BDP("91882PEK Muni","MUNI_TAX_PROV")</f>
        <v>#N/A Requesting Data...</v>
      </c>
      <c r="Q2174" t="str">
        <f>_xll.BDP("91882PEK Muni","MUNI_FED_TAX")</f>
        <v>#N/A Requesting Data...</v>
      </c>
      <c r="R2174" t="str">
        <f>_xll.BDP("91882PEK Muni","MUNI_MSRB_VOLUME")</f>
        <v>#N/A Requesting Data...</v>
      </c>
      <c r="S2174" t="str">
        <f>_xll.BDP("91882PEK Muni","BB_COMPOSITE")</f>
        <v>#N/A Requesting Data...</v>
      </c>
      <c r="T2174" t="str">
        <f>_xll.BDP("91882PEK Muni","LQA_LIQUIDITY_SCORE")</f>
        <v>#N/A Requesting Data...</v>
      </c>
    </row>
    <row r="2175" spans="1:20" x14ac:dyDescent="0.25">
      <c r="A2175" t="str">
        <f>_xll.BDP("91882PEM Muni","ID_CUSIP")</f>
        <v>#N/A Requesting Data...</v>
      </c>
      <c r="B2175" t="s">
        <v>506</v>
      </c>
      <c r="C2175" t="str">
        <f>_xll.BDP("91882PEM Muni","INSURANCE_STATUS")</f>
        <v>#N/A Requesting Data...</v>
      </c>
      <c r="D2175" t="str">
        <f>_xll.BDP("91882PEM Muni","STATE_CODE")</f>
        <v>#N/A Requesting Data...</v>
      </c>
      <c r="E2175" t="str">
        <f>_xll.BDP("91882PEM Muni","COUNTY_LOCATION_ISSUER")</f>
        <v>#N/A Requesting Data...</v>
      </c>
      <c r="F2175" t="str">
        <f>_xll.BDP("91882PEM Muni","DUR_ADJ_MID")</f>
        <v>#N/A Requesting Data...</v>
      </c>
      <c r="G2175" t="str">
        <f>_xll.BDP("91882PEM Muni","SPREAD_AT_ISSUANCE_TO_WORST")</f>
        <v>#N/A Requesting Data...</v>
      </c>
      <c r="H2175" t="str">
        <f>_xll.BDP("91882PEM Muni","ISSUE_DT")</f>
        <v>#N/A Requesting Data...</v>
      </c>
      <c r="I2175" t="str">
        <f>_xll.BDS("91882PEM Muni","MUNI_PURPOSE_SCHED", "aggregate=y")</f>
        <v>#N/A Requesting Data...</v>
      </c>
      <c r="J2175" t="str">
        <f>_xll.BDP("91882PEM Muni","CPN")</f>
        <v>#N/A Requesting Data...</v>
      </c>
      <c r="K2175" t="str">
        <f>_xll.BDP("91882PEM Muni","MATURITY")</f>
        <v>#N/A Requesting Data...</v>
      </c>
      <c r="L2175">
        <v>100000</v>
      </c>
      <c r="M2175" t="str">
        <f>_xll.BDP("91882PEM Muni","YIELD_ON_ISSUE_DATE")</f>
        <v>#N/A Requesting Data...</v>
      </c>
      <c r="N2175" t="str">
        <f>_xll.BDP("91882PEM Muni","YTW_SPREAD_TO_MATURITY_AT_ISSU")</f>
        <v>#N/A Requesting Data...</v>
      </c>
      <c r="O2175" t="str">
        <f>_xll.BDP("91882PEM Muni","BVAL_MID_YTM")</f>
        <v>#N/A Requesting Data...</v>
      </c>
      <c r="P2175" t="str">
        <f>_xll.BDP("91882PEM Muni","MUNI_TAX_PROV")</f>
        <v>#N/A Requesting Data...</v>
      </c>
      <c r="Q2175" t="str">
        <f>_xll.BDP("91882PEM Muni","MUNI_FED_TAX")</f>
        <v>#N/A Requesting Data...</v>
      </c>
      <c r="R2175" t="str">
        <f>_xll.BDP("91882PEM Muni","MUNI_MSRB_VOLUME")</f>
        <v>#N/A Requesting Data...</v>
      </c>
      <c r="S2175" t="str">
        <f>_xll.BDP("91882PEM Muni","BB_COMPOSITE")</f>
        <v>#N/A Requesting Data...</v>
      </c>
      <c r="T2175" t="str">
        <f>_xll.BDP("91882PEM Muni","LQA_LIQUIDITY_SCORE")</f>
        <v>#N/A Requesting Data...</v>
      </c>
    </row>
    <row r="2176" spans="1:20" x14ac:dyDescent="0.25">
      <c r="A2176" t="str">
        <f>_xll.BDP("919456UW Muni","ID_CUSIP")</f>
        <v>#N/A Requesting Data...</v>
      </c>
      <c r="B2176" t="s">
        <v>507</v>
      </c>
      <c r="C2176" t="str">
        <f>_xll.BDP("919456UW Muni","INSURANCE_STATUS")</f>
        <v>#N/A Requesting Data...</v>
      </c>
      <c r="D2176" t="str">
        <f>_xll.BDP("919456UW Muni","STATE_CODE")</f>
        <v>#N/A Requesting Data...</v>
      </c>
      <c r="E2176" t="str">
        <f>_xll.BDP("919456UW Muni","COUNTY_LOCATION_ISSUER")</f>
        <v>#N/A Requesting Data...</v>
      </c>
      <c r="F2176" t="str">
        <f>_xll.BDP("919456UW Muni","DUR_ADJ_MID")</f>
        <v>#N/A Requesting Data...</v>
      </c>
      <c r="G2176" t="str">
        <f>_xll.BDP("919456UW Muni","SPREAD_AT_ISSUANCE_TO_WORST")</f>
        <v>#N/A Requesting Data...</v>
      </c>
      <c r="H2176" t="str">
        <f>_xll.BDP("919456UW Muni","ISSUE_DT")</f>
        <v>#N/A Requesting Data...</v>
      </c>
      <c r="I2176" t="str">
        <f>_xll.BDS("919456UW Muni","MUNI_PURPOSE_SCHED", "aggregate=y")</f>
        <v>#N/A Requesting Data...</v>
      </c>
      <c r="J2176" t="str">
        <f>_xll.BDP("919456UW Muni","CPN")</f>
        <v>#N/A Requesting Data...</v>
      </c>
      <c r="K2176" t="str">
        <f>_xll.BDP("919456UW Muni","MATURITY")</f>
        <v>#N/A Requesting Data...</v>
      </c>
      <c r="L2176">
        <v>120000</v>
      </c>
      <c r="M2176" t="str">
        <f>_xll.BDP("919456UW Muni","YIELD_ON_ISSUE_DATE")</f>
        <v>#N/A Requesting Data...</v>
      </c>
      <c r="N2176" t="str">
        <f>_xll.BDP("919456UW Muni","YTW_SPREAD_TO_MATURITY_AT_ISSU")</f>
        <v>#N/A Requesting Data...</v>
      </c>
      <c r="O2176" t="str">
        <f>_xll.BDP("919456UW Muni","BVAL_MID_YTM")</f>
        <v>#N/A Requesting Data...</v>
      </c>
      <c r="P2176" t="str">
        <f>_xll.BDP("919456UW Muni","MUNI_TAX_PROV")</f>
        <v>#N/A Requesting Data...</v>
      </c>
      <c r="Q2176" t="str">
        <f>_xll.BDP("919456UW Muni","MUNI_FED_TAX")</f>
        <v>#N/A Requesting Data...</v>
      </c>
      <c r="R2176" t="str">
        <f>_xll.BDP("919456UW Muni","MUNI_MSRB_VOLUME")</f>
        <v>#N/A Requesting Data...</v>
      </c>
      <c r="S2176" t="str">
        <f>_xll.BDP("919456UW Muni","BB_COMPOSITE")</f>
        <v>#N/A Requesting Data...</v>
      </c>
      <c r="T2176" t="str">
        <f>_xll.BDP("919456UW Muni","LQA_LIQUIDITY_SCORE")</f>
        <v>#N/A Requesting Data...</v>
      </c>
    </row>
    <row r="2177" spans="1:20" x14ac:dyDescent="0.25">
      <c r="A2177" t="str">
        <f>_xll.BDP("919526AF Muni","ID_CUSIP")</f>
        <v>#N/A Requesting Data...</v>
      </c>
      <c r="B2177" t="s">
        <v>508</v>
      </c>
      <c r="C2177" t="str">
        <f>_xll.BDP("919526AF Muni","INSURANCE_STATUS")</f>
        <v>#N/A Requesting Data...</v>
      </c>
      <c r="D2177" t="str">
        <f>_xll.BDP("919526AF Muni","STATE_CODE")</f>
        <v>#N/A Requesting Data...</v>
      </c>
      <c r="E2177" t="str">
        <f>_xll.BDP("919526AF Muni","COUNTY_LOCATION_ISSUER")</f>
        <v>#N/A Requesting Data...</v>
      </c>
      <c r="F2177" t="str">
        <f>_xll.BDP("919526AF Muni","DUR_ADJ_MID")</f>
        <v>#N/A Requesting Data...</v>
      </c>
      <c r="G2177" t="str">
        <f>_xll.BDP("919526AF Muni","SPREAD_AT_ISSUANCE_TO_WORST")</f>
        <v>#N/A Requesting Data...</v>
      </c>
      <c r="H2177" t="str">
        <f>_xll.BDP("919526AF Muni","ISSUE_DT")</f>
        <v>#N/A Requesting Data...</v>
      </c>
      <c r="I2177" t="str">
        <f>_xll.BDS("919526AF Muni","MUNI_PURPOSE_SCHED", "aggregate=y")</f>
        <v>#N/A Requesting Data...</v>
      </c>
      <c r="J2177" t="str">
        <f>_xll.BDP("919526AF Muni","CPN")</f>
        <v>#N/A Requesting Data...</v>
      </c>
      <c r="K2177" t="str">
        <f>_xll.BDP("919526AF Muni","MATURITY")</f>
        <v>#N/A Requesting Data...</v>
      </c>
      <c r="L2177">
        <v>465000</v>
      </c>
      <c r="M2177" t="str">
        <f>_xll.BDP("919526AF Muni","YIELD_ON_ISSUE_DATE")</f>
        <v>#N/A Requesting Data...</v>
      </c>
      <c r="N2177" t="str">
        <f>_xll.BDP("919526AF Muni","YTW_SPREAD_TO_MATURITY_AT_ISSU")</f>
        <v>#N/A Requesting Data...</v>
      </c>
      <c r="O2177" t="str">
        <f>_xll.BDP("919526AF Muni","BVAL_MID_YTM")</f>
        <v>#N/A Requesting Data...</v>
      </c>
      <c r="P2177" t="str">
        <f>_xll.BDP("919526AF Muni","MUNI_TAX_PROV")</f>
        <v>#N/A Requesting Data...</v>
      </c>
      <c r="Q2177" t="str">
        <f>_xll.BDP("919526AF Muni","MUNI_FED_TAX")</f>
        <v>#N/A Requesting Data...</v>
      </c>
      <c r="R2177" t="str">
        <f>_xll.BDP("919526AF Muni","MUNI_MSRB_VOLUME")</f>
        <v>#N/A Requesting Data...</v>
      </c>
      <c r="S2177" t="str">
        <f>_xll.BDP("919526AF Muni","BB_COMPOSITE")</f>
        <v>#N/A Requesting Data...</v>
      </c>
      <c r="T2177" t="str">
        <f>_xll.BDP("919526AF Muni","LQA_LIQUIDITY_SCORE")</f>
        <v>#N/A Requesting Data...</v>
      </c>
    </row>
    <row r="2178" spans="1:20" x14ac:dyDescent="0.25">
      <c r="A2178" t="str">
        <f>_xll.BDP("919526AH Muni","ID_CUSIP")</f>
        <v>#N/A Requesting Data...</v>
      </c>
      <c r="B2178" t="s">
        <v>508</v>
      </c>
      <c r="C2178" t="str">
        <f>_xll.BDP("919526AH Muni","INSURANCE_STATUS")</f>
        <v>#N/A Requesting Data...</v>
      </c>
      <c r="D2178" t="str">
        <f>_xll.BDP("919526AH Muni","STATE_CODE")</f>
        <v>#N/A Requesting Data...</v>
      </c>
      <c r="E2178" t="str">
        <f>_xll.BDP("919526AH Muni","COUNTY_LOCATION_ISSUER")</f>
        <v>#N/A Requesting Data...</v>
      </c>
      <c r="F2178" t="str">
        <f>_xll.BDP("919526AH Muni","DUR_ADJ_MID")</f>
        <v>#N/A Requesting Data...</v>
      </c>
      <c r="G2178" t="str">
        <f>_xll.BDP("919526AH Muni","SPREAD_AT_ISSUANCE_TO_WORST")</f>
        <v>#N/A Requesting Data...</v>
      </c>
      <c r="H2178" t="str">
        <f>_xll.BDP("919526AH Muni","ISSUE_DT")</f>
        <v>#N/A Requesting Data...</v>
      </c>
      <c r="I2178" t="str">
        <f>_xll.BDS("919526AH Muni","MUNI_PURPOSE_SCHED", "aggregate=y")</f>
        <v>#N/A Requesting Data...</v>
      </c>
      <c r="J2178" t="str">
        <f>_xll.BDP("919526AH Muni","CPN")</f>
        <v>#N/A Requesting Data...</v>
      </c>
      <c r="K2178" t="str">
        <f>_xll.BDP("919526AH Muni","MATURITY")</f>
        <v>#N/A Requesting Data...</v>
      </c>
      <c r="L2178">
        <v>510000</v>
      </c>
      <c r="M2178" t="str">
        <f>_xll.BDP("919526AH Muni","YIELD_ON_ISSUE_DATE")</f>
        <v>#N/A Requesting Data...</v>
      </c>
      <c r="N2178" t="str">
        <f>_xll.BDP("919526AH Muni","YTW_SPREAD_TO_MATURITY_AT_ISSU")</f>
        <v>#N/A Requesting Data...</v>
      </c>
      <c r="O2178" t="str">
        <f>_xll.BDP("919526AH Muni","BVAL_MID_YTM")</f>
        <v>#N/A Requesting Data...</v>
      </c>
      <c r="P2178" t="str">
        <f>_xll.BDP("919526AH Muni","MUNI_TAX_PROV")</f>
        <v>#N/A Requesting Data...</v>
      </c>
      <c r="Q2178" t="str">
        <f>_xll.BDP("919526AH Muni","MUNI_FED_TAX")</f>
        <v>#N/A Requesting Data...</v>
      </c>
      <c r="R2178" t="str">
        <f>_xll.BDP("919526AH Muni","MUNI_MSRB_VOLUME")</f>
        <v>#N/A Requesting Data...</v>
      </c>
      <c r="S2178" t="str">
        <f>_xll.BDP("919526AH Muni","BB_COMPOSITE")</f>
        <v>#N/A Requesting Data...</v>
      </c>
      <c r="T2178" t="str">
        <f>_xll.BDP("919526AH Muni","LQA_LIQUIDITY_SCORE")</f>
        <v>#N/A Requesting Data...</v>
      </c>
    </row>
    <row r="2179" spans="1:20" x14ac:dyDescent="0.25">
      <c r="A2179" t="str">
        <f>_xll.BDP("92006TKD Muni","ID_CUSIP")</f>
        <v>#N/A Requesting Data...</v>
      </c>
      <c r="B2179" t="s">
        <v>509</v>
      </c>
      <c r="C2179" t="str">
        <f>_xll.BDP("92006TKD Muni","INSURANCE_STATUS")</f>
        <v>#N/A Requesting Data...</v>
      </c>
      <c r="D2179" t="str">
        <f>_xll.BDP("92006TKD Muni","STATE_CODE")</f>
        <v>#N/A Requesting Data...</v>
      </c>
      <c r="E2179" t="str">
        <f>_xll.BDP("92006TKD Muni","COUNTY_LOCATION_ISSUER")</f>
        <v>#N/A Requesting Data...</v>
      </c>
      <c r="F2179" t="str">
        <f>_xll.BDP("92006TKD Muni","DUR_ADJ_MID")</f>
        <v>#N/A Requesting Data...</v>
      </c>
      <c r="G2179" t="str">
        <f>_xll.BDP("92006TKD Muni","SPREAD_AT_ISSUANCE_TO_WORST")</f>
        <v>#N/A Requesting Data...</v>
      </c>
      <c r="H2179" t="str">
        <f>_xll.BDP("92006TKD Muni","ISSUE_DT")</f>
        <v>#N/A Requesting Data...</v>
      </c>
      <c r="I2179" t="str">
        <f>_xll.BDS("92006TKD Muni","MUNI_PURPOSE_SCHED", "aggregate=y")</f>
        <v>#N/A Requesting Data...</v>
      </c>
      <c r="J2179" t="str">
        <f>_xll.BDP("92006TKD Muni","CPN")</f>
        <v>#N/A Requesting Data...</v>
      </c>
      <c r="K2179" t="str">
        <f>_xll.BDP("92006TKD Muni","MATURITY")</f>
        <v>#N/A Requesting Data...</v>
      </c>
      <c r="L2179">
        <v>65000</v>
      </c>
      <c r="M2179" t="str">
        <f>_xll.BDP("92006TKD Muni","YIELD_ON_ISSUE_DATE")</f>
        <v>#N/A Requesting Data...</v>
      </c>
      <c r="N2179" t="str">
        <f>_xll.BDP("92006TKD Muni","YTW_SPREAD_TO_MATURITY_AT_ISSU")</f>
        <v>#N/A Requesting Data...</v>
      </c>
      <c r="O2179" t="str">
        <f>_xll.BDP("92006TKD Muni","BVAL_MID_YTM")</f>
        <v>#N/A Requesting Data...</v>
      </c>
      <c r="P2179" t="str">
        <f>_xll.BDP("92006TKD Muni","MUNI_TAX_PROV")</f>
        <v>#N/A Requesting Data...</v>
      </c>
      <c r="Q2179" t="str">
        <f>_xll.BDP("92006TKD Muni","MUNI_FED_TAX")</f>
        <v>#N/A Requesting Data...</v>
      </c>
      <c r="R2179" t="str">
        <f>_xll.BDP("92006TKD Muni","MUNI_MSRB_VOLUME")</f>
        <v>#N/A Requesting Data...</v>
      </c>
      <c r="S2179" t="str">
        <f>_xll.BDP("92006TKD Muni","BB_COMPOSITE")</f>
        <v>#N/A Requesting Data...</v>
      </c>
      <c r="T2179" t="str">
        <f>_xll.BDP("92006TKD Muni","LQA_LIQUIDITY_SCORE")</f>
        <v>#N/A Requesting Data...</v>
      </c>
    </row>
    <row r="2180" spans="1:20" x14ac:dyDescent="0.25">
      <c r="A2180" t="str">
        <f>_xll.BDP("92006TLD Muni","ID_CUSIP")</f>
        <v>#N/A Requesting Data...</v>
      </c>
      <c r="B2180" t="s">
        <v>509</v>
      </c>
      <c r="C2180" t="str">
        <f>_xll.BDP("92006TLD Muni","INSURANCE_STATUS")</f>
        <v>#N/A Requesting Data...</v>
      </c>
      <c r="D2180" t="str">
        <f>_xll.BDP("92006TLD Muni","STATE_CODE")</f>
        <v>#N/A Requesting Data...</v>
      </c>
      <c r="E2180" t="str">
        <f>_xll.BDP("92006TLD Muni","COUNTY_LOCATION_ISSUER")</f>
        <v>#N/A Requesting Data...</v>
      </c>
      <c r="F2180" t="str">
        <f>_xll.BDP("92006TLD Muni","DUR_ADJ_MID")</f>
        <v>#N/A Requesting Data...</v>
      </c>
      <c r="G2180" t="str">
        <f>_xll.BDP("92006TLD Muni","SPREAD_AT_ISSUANCE_TO_WORST")</f>
        <v>#N/A Requesting Data...</v>
      </c>
      <c r="H2180" t="str">
        <f>_xll.BDP("92006TLD Muni","ISSUE_DT")</f>
        <v>#N/A Requesting Data...</v>
      </c>
      <c r="I2180" t="str">
        <f>_xll.BDS("92006TLD Muni","MUNI_PURPOSE_SCHED", "aggregate=y")</f>
        <v>#N/A Requesting Data...</v>
      </c>
      <c r="J2180" t="str">
        <f>_xll.BDP("92006TLD Muni","CPN")</f>
        <v>#N/A Requesting Data...</v>
      </c>
      <c r="K2180" t="str">
        <f>_xll.BDP("92006TLD Muni","MATURITY")</f>
        <v>#N/A Requesting Data...</v>
      </c>
      <c r="L2180">
        <v>105000</v>
      </c>
      <c r="M2180" t="str">
        <f>_xll.BDP("92006TLD Muni","YIELD_ON_ISSUE_DATE")</f>
        <v>#N/A Requesting Data...</v>
      </c>
      <c r="N2180" t="str">
        <f>_xll.BDP("92006TLD Muni","YTW_SPREAD_TO_MATURITY_AT_ISSU")</f>
        <v>#N/A Requesting Data...</v>
      </c>
      <c r="O2180" t="str">
        <f>_xll.BDP("92006TLD Muni","BVAL_MID_YTM")</f>
        <v>#N/A Requesting Data...</v>
      </c>
      <c r="P2180" t="str">
        <f>_xll.BDP("92006TLD Muni","MUNI_TAX_PROV")</f>
        <v>#N/A Requesting Data...</v>
      </c>
      <c r="Q2180" t="str">
        <f>_xll.BDP("92006TLD Muni","MUNI_FED_TAX")</f>
        <v>#N/A Requesting Data...</v>
      </c>
      <c r="R2180" t="str">
        <f>_xll.BDP("92006TLD Muni","MUNI_MSRB_VOLUME")</f>
        <v>#N/A Requesting Data...</v>
      </c>
      <c r="S2180" t="str">
        <f>_xll.BDP("92006TLD Muni","BB_COMPOSITE")</f>
        <v>#N/A Requesting Data...</v>
      </c>
      <c r="T2180" t="str">
        <f>_xll.BDP("92006TLD Muni","LQA_LIQUIDITY_SCORE")</f>
        <v>#N/A Requesting Data...</v>
      </c>
    </row>
    <row r="2181" spans="1:20" x14ac:dyDescent="0.25">
      <c r="A2181" t="str">
        <f>_xll.BDP("92006TLE Muni","ID_CUSIP")</f>
        <v>#N/A Requesting Data...</v>
      </c>
      <c r="B2181" t="s">
        <v>509</v>
      </c>
      <c r="C2181" t="str">
        <f>_xll.BDP("92006TLE Muni","INSURANCE_STATUS")</f>
        <v>#N/A Requesting Data...</v>
      </c>
      <c r="D2181" t="str">
        <f>_xll.BDP("92006TLE Muni","STATE_CODE")</f>
        <v>#N/A Requesting Data...</v>
      </c>
      <c r="E2181" t="str">
        <f>_xll.BDP("92006TLE Muni","COUNTY_LOCATION_ISSUER")</f>
        <v>#N/A Requesting Data...</v>
      </c>
      <c r="F2181" t="str">
        <f>_xll.BDP("92006TLE Muni","DUR_ADJ_MID")</f>
        <v>#N/A Requesting Data...</v>
      </c>
      <c r="G2181" t="str">
        <f>_xll.BDP("92006TLE Muni","SPREAD_AT_ISSUANCE_TO_WORST")</f>
        <v>#N/A Requesting Data...</v>
      </c>
      <c r="H2181" t="str">
        <f>_xll.BDP("92006TLE Muni","ISSUE_DT")</f>
        <v>#N/A Requesting Data...</v>
      </c>
      <c r="I2181" t="str">
        <f>_xll.BDS("92006TLE Muni","MUNI_PURPOSE_SCHED", "aggregate=y")</f>
        <v>#N/A Requesting Data...</v>
      </c>
      <c r="J2181" t="str">
        <f>_xll.BDP("92006TLE Muni","CPN")</f>
        <v>#N/A Requesting Data...</v>
      </c>
      <c r="K2181" t="str">
        <f>_xll.BDP("92006TLE Muni","MATURITY")</f>
        <v>#N/A Requesting Data...</v>
      </c>
      <c r="L2181">
        <v>110000</v>
      </c>
      <c r="M2181" t="str">
        <f>_xll.BDP("92006TLE Muni","YIELD_ON_ISSUE_DATE")</f>
        <v>#N/A Requesting Data...</v>
      </c>
      <c r="N2181" t="str">
        <f>_xll.BDP("92006TLE Muni","YTW_SPREAD_TO_MATURITY_AT_ISSU")</f>
        <v>#N/A Requesting Data...</v>
      </c>
      <c r="O2181" t="str">
        <f>_xll.BDP("92006TLE Muni","BVAL_MID_YTM")</f>
        <v>#N/A Requesting Data...</v>
      </c>
      <c r="P2181" t="str">
        <f>_xll.BDP("92006TLE Muni","MUNI_TAX_PROV")</f>
        <v>#N/A Requesting Data...</v>
      </c>
      <c r="Q2181" t="str">
        <f>_xll.BDP("92006TLE Muni","MUNI_FED_TAX")</f>
        <v>#N/A Requesting Data...</v>
      </c>
      <c r="R2181" t="str">
        <f>_xll.BDP("92006TLE Muni","MUNI_MSRB_VOLUME")</f>
        <v>#N/A Requesting Data...</v>
      </c>
      <c r="S2181" t="str">
        <f>_xll.BDP("92006TLE Muni","BB_COMPOSITE")</f>
        <v>#N/A Requesting Data...</v>
      </c>
      <c r="T2181" t="str">
        <f>_xll.BDP("92006TLE Muni","LQA_LIQUIDITY_SCORE")</f>
        <v>#N/A Requesting Data...</v>
      </c>
    </row>
    <row r="2182" spans="1:20" x14ac:dyDescent="0.25">
      <c r="A2182" t="str">
        <f>_xll.BDP("941519FQ Muni","ID_CUSIP")</f>
        <v>#N/A Requesting Data...</v>
      </c>
      <c r="B2182" t="s">
        <v>510</v>
      </c>
      <c r="C2182" t="str">
        <f>_xll.BDP("941519FQ Muni","INSURANCE_STATUS")</f>
        <v>#N/A Requesting Data...</v>
      </c>
      <c r="D2182" t="str">
        <f>_xll.BDP("941519FQ Muni","STATE_CODE")</f>
        <v>#N/A Requesting Data...</v>
      </c>
      <c r="E2182" t="str">
        <f>_xll.BDP("941519FQ Muni","COUNTY_LOCATION_ISSUER")</f>
        <v>#N/A Requesting Data...</v>
      </c>
      <c r="F2182" t="str">
        <f>_xll.BDP("941519FQ Muni","DUR_ADJ_MID")</f>
        <v>#N/A Requesting Data...</v>
      </c>
      <c r="G2182" t="str">
        <f>_xll.BDP("941519FQ Muni","SPREAD_AT_ISSUANCE_TO_WORST")</f>
        <v>#N/A Requesting Data...</v>
      </c>
      <c r="H2182" t="str">
        <f>_xll.BDP("941519FQ Muni","ISSUE_DT")</f>
        <v>#N/A Requesting Data...</v>
      </c>
      <c r="I2182" t="str">
        <f>_xll.BDS("941519FQ Muni","MUNI_PURPOSE_SCHED", "aggregate=y")</f>
        <v>#N/A Requesting Data...</v>
      </c>
      <c r="J2182" t="str">
        <f>_xll.BDP("941519FQ Muni","CPN")</f>
        <v>#N/A Requesting Data...</v>
      </c>
      <c r="K2182" t="str">
        <f>_xll.BDP("941519FQ Muni","MATURITY")</f>
        <v>#N/A Requesting Data...</v>
      </c>
      <c r="L2182">
        <v>155000</v>
      </c>
      <c r="M2182" t="str">
        <f>_xll.BDP("941519FQ Muni","YIELD_ON_ISSUE_DATE")</f>
        <v>#N/A Requesting Data...</v>
      </c>
      <c r="N2182" t="str">
        <f>_xll.BDP("941519FQ Muni","YTW_SPREAD_TO_MATURITY_AT_ISSU")</f>
        <v>#N/A Requesting Data...</v>
      </c>
      <c r="O2182" t="str">
        <f>_xll.BDP("941519FQ Muni","BVAL_MID_YTM")</f>
        <v>#N/A Requesting Data...</v>
      </c>
      <c r="P2182" t="str">
        <f>_xll.BDP("941519FQ Muni","MUNI_TAX_PROV")</f>
        <v>#N/A Requesting Data...</v>
      </c>
      <c r="Q2182" t="str">
        <f>_xll.BDP("941519FQ Muni","MUNI_FED_TAX")</f>
        <v>#N/A Requesting Data...</v>
      </c>
      <c r="R2182" t="str">
        <f>_xll.BDP("941519FQ Muni","MUNI_MSRB_VOLUME")</f>
        <v>#N/A Requesting Data...</v>
      </c>
      <c r="S2182" t="str">
        <f>_xll.BDP("941519FQ Muni","BB_COMPOSITE")</f>
        <v>#N/A Requesting Data...</v>
      </c>
      <c r="T2182" t="str">
        <f>_xll.BDP("941519FQ Muni","LQA_LIQUIDITY_SCORE")</f>
        <v>#N/A Requesting Data...</v>
      </c>
    </row>
    <row r="2183" spans="1:20" x14ac:dyDescent="0.25">
      <c r="A2183" t="str">
        <f>_xll.BDP("941519FS Muni","ID_CUSIP")</f>
        <v>#N/A Requesting Data...</v>
      </c>
      <c r="B2183" t="s">
        <v>510</v>
      </c>
      <c r="C2183" t="str">
        <f>_xll.BDP("941519FS Muni","INSURANCE_STATUS")</f>
        <v>#N/A Requesting Data...</v>
      </c>
      <c r="D2183" t="str">
        <f>_xll.BDP("941519FS Muni","STATE_CODE")</f>
        <v>#N/A Requesting Data...</v>
      </c>
      <c r="E2183" t="str">
        <f>_xll.BDP("941519FS Muni","COUNTY_LOCATION_ISSUER")</f>
        <v>#N/A Requesting Data...</v>
      </c>
      <c r="F2183" t="str">
        <f>_xll.BDP("941519FS Muni","DUR_ADJ_MID")</f>
        <v>#N/A Requesting Data...</v>
      </c>
      <c r="G2183" t="str">
        <f>_xll.BDP("941519FS Muni","SPREAD_AT_ISSUANCE_TO_WORST")</f>
        <v>#N/A Requesting Data...</v>
      </c>
      <c r="H2183" t="str">
        <f>_xll.BDP("941519FS Muni","ISSUE_DT")</f>
        <v>#N/A Requesting Data...</v>
      </c>
      <c r="I2183" t="str">
        <f>_xll.BDS("941519FS Muni","MUNI_PURPOSE_SCHED", "aggregate=y")</f>
        <v>#N/A Requesting Data...</v>
      </c>
      <c r="J2183" t="str">
        <f>_xll.BDP("941519FS Muni","CPN")</f>
        <v>#N/A Requesting Data...</v>
      </c>
      <c r="K2183" t="str">
        <f>_xll.BDP("941519FS Muni","MATURITY")</f>
        <v>#N/A Requesting Data...</v>
      </c>
      <c r="L2183">
        <v>120000</v>
      </c>
      <c r="M2183" t="str">
        <f>_xll.BDP("941519FS Muni","YIELD_ON_ISSUE_DATE")</f>
        <v>#N/A Requesting Data...</v>
      </c>
      <c r="N2183" t="str">
        <f>_xll.BDP("941519FS Muni","YTW_SPREAD_TO_MATURITY_AT_ISSU")</f>
        <v>#N/A Requesting Data...</v>
      </c>
      <c r="O2183" t="str">
        <f>_xll.BDP("941519FS Muni","BVAL_MID_YTM")</f>
        <v>#N/A Requesting Data...</v>
      </c>
      <c r="P2183" t="str">
        <f>_xll.BDP("941519FS Muni","MUNI_TAX_PROV")</f>
        <v>#N/A Requesting Data...</v>
      </c>
      <c r="Q2183" t="str">
        <f>_xll.BDP("941519FS Muni","MUNI_FED_TAX")</f>
        <v>#N/A Requesting Data...</v>
      </c>
      <c r="R2183" t="str">
        <f>_xll.BDP("941519FS Muni","MUNI_MSRB_VOLUME")</f>
        <v>#N/A Requesting Data...</v>
      </c>
      <c r="S2183" t="str">
        <f>_xll.BDP("941519FS Muni","BB_COMPOSITE")</f>
        <v>#N/A Requesting Data...</v>
      </c>
      <c r="T2183" t="str">
        <f>_xll.BDP("941519FS Muni","LQA_LIQUIDITY_SCORE")</f>
        <v>#N/A Requesting Data...</v>
      </c>
    </row>
    <row r="2184" spans="1:20" x14ac:dyDescent="0.25">
      <c r="A2184" t="str">
        <f>_xll.BDP("942840CU Muni","ID_CUSIP")</f>
        <v>#N/A Requesting Data...</v>
      </c>
      <c r="B2184" t="s">
        <v>503</v>
      </c>
      <c r="C2184" t="str">
        <f>_xll.BDP("942840CU Muni","INSURANCE_STATUS")</f>
        <v>#N/A Requesting Data...</v>
      </c>
      <c r="D2184" t="str">
        <f>_xll.BDP("942840CU Muni","STATE_CODE")</f>
        <v>#N/A Requesting Data...</v>
      </c>
      <c r="E2184" t="str">
        <f>_xll.BDP("942840CU Muni","COUNTY_LOCATION_ISSUER")</f>
        <v>#N/A Requesting Data...</v>
      </c>
      <c r="F2184" t="str">
        <f>_xll.BDP("942840CU Muni","DUR_ADJ_MID")</f>
        <v>#N/A Requesting Data...</v>
      </c>
      <c r="G2184" t="str">
        <f>_xll.BDP("942840CU Muni","SPREAD_AT_ISSUANCE_TO_WORST")</f>
        <v>#N/A Requesting Data...</v>
      </c>
      <c r="H2184" t="str">
        <f>_xll.BDP("942840CU Muni","ISSUE_DT")</f>
        <v>#N/A Requesting Data...</v>
      </c>
      <c r="I2184" t="str">
        <f>_xll.BDS("942840CU Muni","MUNI_PURPOSE_SCHED", "aggregate=y")</f>
        <v>#N/A Requesting Data...</v>
      </c>
      <c r="J2184" t="str">
        <f>_xll.BDP("942840CU Muni","CPN")</f>
        <v>#N/A Requesting Data...</v>
      </c>
      <c r="K2184" t="str">
        <f>_xll.BDP("942840CU Muni","MATURITY")</f>
        <v>#N/A Requesting Data...</v>
      </c>
      <c r="L2184">
        <v>100000</v>
      </c>
      <c r="M2184" t="str">
        <f>_xll.BDP("942840CU Muni","YIELD_ON_ISSUE_DATE")</f>
        <v>#N/A Requesting Data...</v>
      </c>
      <c r="N2184" t="str">
        <f>_xll.BDP("942840CU Muni","YTW_SPREAD_TO_MATURITY_AT_ISSU")</f>
        <v>#N/A Requesting Data...</v>
      </c>
      <c r="O2184" t="str">
        <f>_xll.BDP("942840CU Muni","BVAL_MID_YTM")</f>
        <v>#N/A Requesting Data...</v>
      </c>
      <c r="P2184" t="str">
        <f>_xll.BDP("942840CU Muni","MUNI_TAX_PROV")</f>
        <v>#N/A Requesting Data...</v>
      </c>
      <c r="Q2184" t="str">
        <f>_xll.BDP("942840CU Muni","MUNI_FED_TAX")</f>
        <v>#N/A Requesting Data...</v>
      </c>
      <c r="R2184" t="str">
        <f>_xll.BDP("942840CU Muni","MUNI_MSRB_VOLUME")</f>
        <v>#N/A Requesting Data...</v>
      </c>
      <c r="S2184" t="str">
        <f>_xll.BDP("942840CU Muni","BB_COMPOSITE")</f>
        <v>#N/A Requesting Data...</v>
      </c>
      <c r="T2184" t="str">
        <f>_xll.BDP("942840CU Muni","LQA_LIQUIDITY_SCORE")</f>
        <v>#N/A Requesting Data...</v>
      </c>
    </row>
    <row r="2185" spans="1:20" x14ac:dyDescent="0.25">
      <c r="A2185" t="str">
        <f>_xll.BDP("943011JT Muni","ID_CUSIP")</f>
        <v>#N/A Requesting Data...</v>
      </c>
      <c r="B2185" t="s">
        <v>504</v>
      </c>
      <c r="C2185" t="str">
        <f>_xll.BDP("943011JT Muni","INSURANCE_STATUS")</f>
        <v>#N/A Requesting Data...</v>
      </c>
      <c r="D2185" t="str">
        <f>_xll.BDP("943011JT Muni","STATE_CODE")</f>
        <v>#N/A Requesting Data...</v>
      </c>
      <c r="E2185" t="str">
        <f>_xll.BDP("943011JT Muni","COUNTY_LOCATION_ISSUER")</f>
        <v>#N/A Requesting Data...</v>
      </c>
      <c r="F2185" t="str">
        <f>_xll.BDP("943011JT Muni","DUR_ADJ_MID")</f>
        <v>#N/A Requesting Data...</v>
      </c>
      <c r="G2185" t="str">
        <f>_xll.BDP("943011JT Muni","SPREAD_AT_ISSUANCE_TO_WORST")</f>
        <v>#N/A Requesting Data...</v>
      </c>
      <c r="H2185" t="str">
        <f>_xll.BDP("943011JT Muni","ISSUE_DT")</f>
        <v>#N/A Requesting Data...</v>
      </c>
      <c r="I2185" t="str">
        <f>_xll.BDS("943011JT Muni","MUNI_PURPOSE_SCHED", "aggregate=y")</f>
        <v>#N/A Requesting Data...</v>
      </c>
      <c r="J2185" t="str">
        <f>_xll.BDP("943011JT Muni","CPN")</f>
        <v>#N/A Requesting Data...</v>
      </c>
      <c r="K2185" t="str">
        <f>_xll.BDP("943011JT Muni","MATURITY")</f>
        <v>#N/A Requesting Data...</v>
      </c>
      <c r="L2185">
        <v>565000</v>
      </c>
      <c r="M2185" t="str">
        <f>_xll.BDP("943011JT Muni","YIELD_ON_ISSUE_DATE")</f>
        <v>#N/A Requesting Data...</v>
      </c>
      <c r="N2185" t="str">
        <f>_xll.BDP("943011JT Muni","YTW_SPREAD_TO_MATURITY_AT_ISSU")</f>
        <v>#N/A Requesting Data...</v>
      </c>
      <c r="O2185" t="str">
        <f>_xll.BDP("943011JT Muni","BVAL_MID_YTM")</f>
        <v>#N/A Requesting Data...</v>
      </c>
      <c r="P2185" t="str">
        <f>_xll.BDP("943011JT Muni","MUNI_TAX_PROV")</f>
        <v>#N/A Requesting Data...</v>
      </c>
      <c r="Q2185" t="str">
        <f>_xll.BDP("943011JT Muni","MUNI_FED_TAX")</f>
        <v>#N/A Requesting Data...</v>
      </c>
      <c r="R2185" t="str">
        <f>_xll.BDP("943011JT Muni","MUNI_MSRB_VOLUME")</f>
        <v>#N/A Requesting Data...</v>
      </c>
      <c r="S2185" t="str">
        <f>_xll.BDP("943011JT Muni","BB_COMPOSITE")</f>
        <v>#N/A Requesting Data...</v>
      </c>
      <c r="T2185" t="str">
        <f>_xll.BDP("943011JT Muni","LQA_LIQUIDITY_SCORE")</f>
        <v>#N/A Requesting Data...</v>
      </c>
    </row>
    <row r="2186" spans="1:20" x14ac:dyDescent="0.25">
      <c r="A2186" t="str">
        <f>_xll.BDP("943011JV Muni","ID_CUSIP")</f>
        <v>#N/A Requesting Data...</v>
      </c>
      <c r="B2186" t="s">
        <v>504</v>
      </c>
      <c r="C2186" t="str">
        <f>_xll.BDP("943011JV Muni","INSURANCE_STATUS")</f>
        <v>#N/A Requesting Data...</v>
      </c>
      <c r="D2186" t="str">
        <f>_xll.BDP("943011JV Muni","STATE_CODE")</f>
        <v>#N/A Requesting Data...</v>
      </c>
      <c r="E2186" t="str">
        <f>_xll.BDP("943011JV Muni","COUNTY_LOCATION_ISSUER")</f>
        <v>#N/A Requesting Data...</v>
      </c>
      <c r="F2186" t="str">
        <f>_xll.BDP("943011JV Muni","DUR_ADJ_MID")</f>
        <v>#N/A Requesting Data...</v>
      </c>
      <c r="G2186" t="str">
        <f>_xll.BDP("943011JV Muni","SPREAD_AT_ISSUANCE_TO_WORST")</f>
        <v>#N/A Requesting Data...</v>
      </c>
      <c r="H2186" t="str">
        <f>_xll.BDP("943011JV Muni","ISSUE_DT")</f>
        <v>#N/A Requesting Data...</v>
      </c>
      <c r="I2186" t="str">
        <f>_xll.BDS("943011JV Muni","MUNI_PURPOSE_SCHED", "aggregate=y")</f>
        <v>#N/A Requesting Data...</v>
      </c>
      <c r="J2186" t="str">
        <f>_xll.BDP("943011JV Muni","CPN")</f>
        <v>#N/A Requesting Data...</v>
      </c>
      <c r="K2186" t="str">
        <f>_xll.BDP("943011JV Muni","MATURITY")</f>
        <v>#N/A Requesting Data...</v>
      </c>
      <c r="L2186">
        <v>615000</v>
      </c>
      <c r="M2186" t="str">
        <f>_xll.BDP("943011JV Muni","YIELD_ON_ISSUE_DATE")</f>
        <v>#N/A Requesting Data...</v>
      </c>
      <c r="N2186" t="str">
        <f>_xll.BDP("943011JV Muni","YTW_SPREAD_TO_MATURITY_AT_ISSU")</f>
        <v>#N/A Requesting Data...</v>
      </c>
      <c r="O2186" t="str">
        <f>_xll.BDP("943011JV Muni","BVAL_MID_YTM")</f>
        <v>#N/A Requesting Data...</v>
      </c>
      <c r="P2186" t="str">
        <f>_xll.BDP("943011JV Muni","MUNI_TAX_PROV")</f>
        <v>#N/A Requesting Data...</v>
      </c>
      <c r="Q2186" t="str">
        <f>_xll.BDP("943011JV Muni","MUNI_FED_TAX")</f>
        <v>#N/A Requesting Data...</v>
      </c>
      <c r="R2186" t="str">
        <f>_xll.BDP("943011JV Muni","MUNI_MSRB_VOLUME")</f>
        <v>#N/A Requesting Data...</v>
      </c>
      <c r="S2186" t="str">
        <f>_xll.BDP("943011JV Muni","BB_COMPOSITE")</f>
        <v>#N/A Requesting Data...</v>
      </c>
      <c r="T2186" t="str">
        <f>_xll.BDP("943011JV Muni","LQA_LIQUIDITY_SCORE")</f>
        <v>#N/A Requesting Data...</v>
      </c>
    </row>
    <row r="2187" spans="1:20" x14ac:dyDescent="0.25">
      <c r="A2187" t="str">
        <f>_xll.BDP("943011JX Muni","ID_CUSIP")</f>
        <v>#N/A Requesting Data...</v>
      </c>
      <c r="B2187" t="s">
        <v>504</v>
      </c>
      <c r="C2187" t="str">
        <f>_xll.BDP("943011JX Muni","INSURANCE_STATUS")</f>
        <v>#N/A Requesting Data...</v>
      </c>
      <c r="D2187" t="str">
        <f>_xll.BDP("943011JX Muni","STATE_CODE")</f>
        <v>#N/A Requesting Data...</v>
      </c>
      <c r="E2187" t="str">
        <f>_xll.BDP("943011JX Muni","COUNTY_LOCATION_ISSUER")</f>
        <v>#N/A Requesting Data...</v>
      </c>
      <c r="F2187" t="str">
        <f>_xll.BDP("943011JX Muni","DUR_ADJ_MID")</f>
        <v>#N/A Requesting Data...</v>
      </c>
      <c r="G2187" t="str">
        <f>_xll.BDP("943011JX Muni","SPREAD_AT_ISSUANCE_TO_WORST")</f>
        <v>#N/A Requesting Data...</v>
      </c>
      <c r="H2187" t="str">
        <f>_xll.BDP("943011JX Muni","ISSUE_DT")</f>
        <v>#N/A Requesting Data...</v>
      </c>
      <c r="I2187" t="str">
        <f>_xll.BDS("943011JX Muni","MUNI_PURPOSE_SCHED", "aggregate=y")</f>
        <v>#N/A Requesting Data...</v>
      </c>
      <c r="J2187" t="str">
        <f>_xll.BDP("943011JX Muni","CPN")</f>
        <v>#N/A Requesting Data...</v>
      </c>
      <c r="K2187" t="str">
        <f>_xll.BDP("943011JX Muni","MATURITY")</f>
        <v>#N/A Requesting Data...</v>
      </c>
      <c r="L2187">
        <v>680000</v>
      </c>
      <c r="M2187" t="str">
        <f>_xll.BDP("943011JX Muni","YIELD_ON_ISSUE_DATE")</f>
        <v>#N/A Requesting Data...</v>
      </c>
      <c r="N2187" t="str">
        <f>_xll.BDP("943011JX Muni","YTW_SPREAD_TO_MATURITY_AT_ISSU")</f>
        <v>#N/A Requesting Data...</v>
      </c>
      <c r="O2187" t="str">
        <f>_xll.BDP("943011JX Muni","BVAL_MID_YTM")</f>
        <v>#N/A Requesting Data...</v>
      </c>
      <c r="P2187" t="str">
        <f>_xll.BDP("943011JX Muni","MUNI_TAX_PROV")</f>
        <v>#N/A Requesting Data...</v>
      </c>
      <c r="Q2187" t="str">
        <f>_xll.BDP("943011JX Muni","MUNI_FED_TAX")</f>
        <v>#N/A Requesting Data...</v>
      </c>
      <c r="R2187" t="str">
        <f>_xll.BDP("943011JX Muni","MUNI_MSRB_VOLUME")</f>
        <v>#N/A Requesting Data...</v>
      </c>
      <c r="S2187" t="str">
        <f>_xll.BDP("943011JX Muni","BB_COMPOSITE")</f>
        <v>#N/A Requesting Data...</v>
      </c>
      <c r="T2187" t="str">
        <f>_xll.BDP("943011JX Muni","LQA_LIQUIDITY_SCORE")</f>
        <v>#N/A Requesting Data...</v>
      </c>
    </row>
    <row r="2188" spans="1:20" x14ac:dyDescent="0.25">
      <c r="A2188" t="str">
        <f>_xll.BDP("799595EK Muni","ID_CUSIP")</f>
        <v>#N/A Requesting Data...</v>
      </c>
      <c r="B2188" t="s">
        <v>511</v>
      </c>
      <c r="C2188" t="str">
        <f>_xll.BDP("799595EK Muni","INSURANCE_STATUS")</f>
        <v>#N/A Requesting Data...</v>
      </c>
      <c r="D2188" t="str">
        <f>_xll.BDP("799595EK Muni","STATE_CODE")</f>
        <v>#N/A Requesting Data...</v>
      </c>
      <c r="E2188" t="str">
        <f>_xll.BDP("799595EK Muni","COUNTY_LOCATION_ISSUER")</f>
        <v>#N/A Requesting Data...</v>
      </c>
      <c r="F2188" t="str">
        <f>_xll.BDP("799595EK Muni","DUR_ADJ_MID")</f>
        <v>#N/A Requesting Data...</v>
      </c>
      <c r="G2188" t="str">
        <f>_xll.BDP("799595EK Muni","SPREAD_AT_ISSUANCE_TO_WORST")</f>
        <v>#N/A Requesting Data...</v>
      </c>
      <c r="H2188" t="str">
        <f>_xll.BDP("799595EK Muni","ISSUE_DT")</f>
        <v>#N/A Requesting Data...</v>
      </c>
      <c r="I2188" t="str">
        <f>_xll.BDS("799595EK Muni","MUNI_PURPOSE_SCHED", "aggregate=y")</f>
        <v>#N/A Requesting Data...</v>
      </c>
      <c r="J2188" t="str">
        <f>_xll.BDP("799595EK Muni","CPN")</f>
        <v>#N/A Requesting Data...</v>
      </c>
      <c r="K2188" t="str">
        <f>_xll.BDP("799595EK Muni","MATURITY")</f>
        <v>#N/A Requesting Data...</v>
      </c>
      <c r="L2188">
        <v>235000</v>
      </c>
      <c r="M2188" t="str">
        <f>_xll.BDP("799595EK Muni","YIELD_ON_ISSUE_DATE")</f>
        <v>#N/A Requesting Data...</v>
      </c>
      <c r="N2188" t="str">
        <f>_xll.BDP("799595EK Muni","YTW_SPREAD_TO_MATURITY_AT_ISSU")</f>
        <v>#N/A Requesting Data...</v>
      </c>
      <c r="O2188" t="str">
        <f>_xll.BDP("799595EK Muni","BVAL_MID_YTM")</f>
        <v>#N/A Requesting Data...</v>
      </c>
      <c r="P2188" t="str">
        <f>_xll.BDP("799595EK Muni","MUNI_TAX_PROV")</f>
        <v>#N/A Requesting Data...</v>
      </c>
      <c r="Q2188" t="str">
        <f>_xll.BDP("799595EK Muni","MUNI_FED_TAX")</f>
        <v>#N/A Requesting Data...</v>
      </c>
      <c r="R2188" t="str">
        <f>_xll.BDP("799595EK Muni","MUNI_MSRB_VOLUME")</f>
        <v>#N/A Requesting Data...</v>
      </c>
      <c r="S2188" t="str">
        <f>_xll.BDP("799595EK Muni","BB_COMPOSITE")</f>
        <v>#N/A Requesting Data...</v>
      </c>
      <c r="T2188" t="str">
        <f>_xll.BDP("799595EK Muni","LQA_LIQUIDITY_SCORE")</f>
        <v>#N/A Requesting Data...</v>
      </c>
    </row>
    <row r="2189" spans="1:20" x14ac:dyDescent="0.25">
      <c r="A2189" t="str">
        <f>_xll.BDP("799595EL Muni","ID_CUSIP")</f>
        <v>#N/A Requesting Data...</v>
      </c>
      <c r="B2189" t="s">
        <v>511</v>
      </c>
      <c r="C2189" t="str">
        <f>_xll.BDP("799595EL Muni","INSURANCE_STATUS")</f>
        <v>#N/A Requesting Data...</v>
      </c>
      <c r="D2189" t="str">
        <f>_xll.BDP("799595EL Muni","STATE_CODE")</f>
        <v>#N/A Requesting Data...</v>
      </c>
      <c r="E2189" t="str">
        <f>_xll.BDP("799595EL Muni","COUNTY_LOCATION_ISSUER")</f>
        <v>#N/A Requesting Data...</v>
      </c>
      <c r="F2189" t="str">
        <f>_xll.BDP("799595EL Muni","DUR_ADJ_MID")</f>
        <v>#N/A Requesting Data...</v>
      </c>
      <c r="G2189" t="str">
        <f>_xll.BDP("799595EL Muni","SPREAD_AT_ISSUANCE_TO_WORST")</f>
        <v>#N/A Requesting Data...</v>
      </c>
      <c r="H2189" t="str">
        <f>_xll.BDP("799595EL Muni","ISSUE_DT")</f>
        <v>#N/A Requesting Data...</v>
      </c>
      <c r="I2189" t="str">
        <f>_xll.BDS("799595EL Muni","MUNI_PURPOSE_SCHED", "aggregate=y")</f>
        <v>#N/A Requesting Data...</v>
      </c>
      <c r="J2189" t="str">
        <f>_xll.BDP("799595EL Muni","CPN")</f>
        <v>#N/A Requesting Data...</v>
      </c>
      <c r="K2189" t="str">
        <f>_xll.BDP("799595EL Muni","MATURITY")</f>
        <v>#N/A Requesting Data...</v>
      </c>
      <c r="L2189">
        <v>245000</v>
      </c>
      <c r="M2189" t="str">
        <f>_xll.BDP("799595EL Muni","YIELD_ON_ISSUE_DATE")</f>
        <v>#N/A Requesting Data...</v>
      </c>
      <c r="N2189" t="str">
        <f>_xll.BDP("799595EL Muni","YTW_SPREAD_TO_MATURITY_AT_ISSU")</f>
        <v>#N/A Requesting Data...</v>
      </c>
      <c r="O2189" t="str">
        <f>_xll.BDP("799595EL Muni","BVAL_MID_YTM")</f>
        <v>#N/A Requesting Data...</v>
      </c>
      <c r="P2189" t="str">
        <f>_xll.BDP("799595EL Muni","MUNI_TAX_PROV")</f>
        <v>#N/A Requesting Data...</v>
      </c>
      <c r="Q2189" t="str">
        <f>_xll.BDP("799595EL Muni","MUNI_FED_TAX")</f>
        <v>#N/A Requesting Data...</v>
      </c>
      <c r="R2189" t="str">
        <f>_xll.BDP("799595EL Muni","MUNI_MSRB_VOLUME")</f>
        <v>#N/A Requesting Data...</v>
      </c>
      <c r="S2189" t="str">
        <f>_xll.BDP("799595EL Muni","BB_COMPOSITE")</f>
        <v>#N/A Requesting Data...</v>
      </c>
      <c r="T2189" t="str">
        <f>_xll.BDP("799595EL Muni","LQA_LIQUIDITY_SCORE")</f>
        <v>#N/A Requesting Data...</v>
      </c>
    </row>
    <row r="2190" spans="1:20" x14ac:dyDescent="0.25">
      <c r="A2190" t="str">
        <f>_xll.BDP("833327BT Muni","ID_CUSIP")</f>
        <v>#N/A Requesting Data...</v>
      </c>
      <c r="B2190" t="s">
        <v>512</v>
      </c>
      <c r="C2190" t="str">
        <f>_xll.BDP("833327BT Muni","INSURANCE_STATUS")</f>
        <v>#N/A Requesting Data...</v>
      </c>
      <c r="D2190" t="str">
        <f>_xll.BDP("833327BT Muni","STATE_CODE")</f>
        <v>#N/A Requesting Data...</v>
      </c>
      <c r="E2190" t="str">
        <f>_xll.BDP("833327BT Muni","COUNTY_LOCATION_ISSUER")</f>
        <v>#N/A Requesting Data...</v>
      </c>
      <c r="F2190" t="str">
        <f>_xll.BDP("833327BT Muni","DUR_ADJ_MID")</f>
        <v>#N/A Requesting Data...</v>
      </c>
      <c r="G2190" t="str">
        <f>_xll.BDP("833327BT Muni","SPREAD_AT_ISSUANCE_TO_WORST")</f>
        <v>#N/A Requesting Data...</v>
      </c>
      <c r="H2190" t="str">
        <f>_xll.BDP("833327BT Muni","ISSUE_DT")</f>
        <v>#N/A Requesting Data...</v>
      </c>
      <c r="I2190" t="str">
        <f>_xll.BDS("833327BT Muni","MUNI_PURPOSE_SCHED", "aggregate=y")</f>
        <v>#N/A Requesting Data...</v>
      </c>
      <c r="J2190" t="str">
        <f>_xll.BDP("833327BT Muni","CPN")</f>
        <v>#N/A Requesting Data...</v>
      </c>
      <c r="K2190" t="str">
        <f>_xll.BDP("833327BT Muni","MATURITY")</f>
        <v>#N/A Requesting Data...</v>
      </c>
      <c r="L2190">
        <v>630000</v>
      </c>
      <c r="M2190" t="str">
        <f>_xll.BDP("833327BT Muni","YIELD_ON_ISSUE_DATE")</f>
        <v>#N/A Requesting Data...</v>
      </c>
      <c r="N2190" t="str">
        <f>_xll.BDP("833327BT Muni","YTW_SPREAD_TO_MATURITY_AT_ISSU")</f>
        <v>#N/A Requesting Data...</v>
      </c>
      <c r="O2190" t="str">
        <f>_xll.BDP("833327BT Muni","BVAL_MID_YTM")</f>
        <v>#N/A Requesting Data...</v>
      </c>
      <c r="P2190" t="str">
        <f>_xll.BDP("833327BT Muni","MUNI_TAX_PROV")</f>
        <v>#N/A Requesting Data...</v>
      </c>
      <c r="Q2190" t="str">
        <f>_xll.BDP("833327BT Muni","MUNI_FED_TAX")</f>
        <v>#N/A Requesting Data...</v>
      </c>
      <c r="R2190" t="str">
        <f>_xll.BDP("833327BT Muni","MUNI_MSRB_VOLUME")</f>
        <v>#N/A Requesting Data...</v>
      </c>
      <c r="S2190" t="str">
        <f>_xll.BDP("833327BT Muni","BB_COMPOSITE")</f>
        <v>#N/A Requesting Data...</v>
      </c>
      <c r="T2190" t="str">
        <f>_xll.BDP("833327BT Muni","LQA_LIQUIDITY_SCORE")</f>
        <v>#N/A Requesting Data...</v>
      </c>
    </row>
    <row r="2191" spans="1:20" x14ac:dyDescent="0.25">
      <c r="A2191" t="str">
        <f>_xll.BDP("833327BW Muni","ID_CUSIP")</f>
        <v>#N/A Requesting Data...</v>
      </c>
      <c r="B2191" t="s">
        <v>512</v>
      </c>
      <c r="C2191" t="str">
        <f>_xll.BDP("833327BW Muni","INSURANCE_STATUS")</f>
        <v>#N/A Requesting Data...</v>
      </c>
      <c r="D2191" t="str">
        <f>_xll.BDP("833327BW Muni","STATE_CODE")</f>
        <v>#N/A Requesting Data...</v>
      </c>
      <c r="E2191" t="str">
        <f>_xll.BDP("833327BW Muni","COUNTY_LOCATION_ISSUER")</f>
        <v>#N/A Requesting Data...</v>
      </c>
      <c r="F2191" t="str">
        <f>_xll.BDP("833327BW Muni","DUR_ADJ_MID")</f>
        <v>#N/A Requesting Data...</v>
      </c>
      <c r="G2191" t="str">
        <f>_xll.BDP("833327BW Muni","SPREAD_AT_ISSUANCE_TO_WORST")</f>
        <v>#N/A Requesting Data...</v>
      </c>
      <c r="H2191" t="str">
        <f>_xll.BDP("833327BW Muni","ISSUE_DT")</f>
        <v>#N/A Requesting Data...</v>
      </c>
      <c r="I2191" t="str">
        <f>_xll.BDS("833327BW Muni","MUNI_PURPOSE_SCHED", "aggregate=y")</f>
        <v>#N/A Requesting Data...</v>
      </c>
      <c r="J2191" t="str">
        <f>_xll.BDP("833327BW Muni","CPN")</f>
        <v>#N/A Requesting Data...</v>
      </c>
      <c r="K2191" t="str">
        <f>_xll.BDP("833327BW Muni","MATURITY")</f>
        <v>#N/A Requesting Data...</v>
      </c>
      <c r="L2191">
        <v>730000</v>
      </c>
      <c r="M2191" t="str">
        <f>_xll.BDP("833327BW Muni","YIELD_ON_ISSUE_DATE")</f>
        <v>#N/A Requesting Data...</v>
      </c>
      <c r="N2191" t="str">
        <f>_xll.BDP("833327BW Muni","YTW_SPREAD_TO_MATURITY_AT_ISSU")</f>
        <v>#N/A Requesting Data...</v>
      </c>
      <c r="O2191" t="str">
        <f>_xll.BDP("833327BW Muni","BVAL_MID_YTM")</f>
        <v>#N/A Requesting Data...</v>
      </c>
      <c r="P2191" t="str">
        <f>_xll.BDP("833327BW Muni","MUNI_TAX_PROV")</f>
        <v>#N/A Requesting Data...</v>
      </c>
      <c r="Q2191" t="str">
        <f>_xll.BDP("833327BW Muni","MUNI_FED_TAX")</f>
        <v>#N/A Requesting Data...</v>
      </c>
      <c r="R2191" t="str">
        <f>_xll.BDP("833327BW Muni","MUNI_MSRB_VOLUME")</f>
        <v>#N/A Requesting Data...</v>
      </c>
      <c r="S2191" t="str">
        <f>_xll.BDP("833327BW Muni","BB_COMPOSITE")</f>
        <v>#N/A Requesting Data...</v>
      </c>
      <c r="T2191" t="str">
        <f>_xll.BDP("833327BW Muni","LQA_LIQUIDITY_SCORE")</f>
        <v>#N/A Requesting Data...</v>
      </c>
    </row>
    <row r="2192" spans="1:20" x14ac:dyDescent="0.25">
      <c r="A2192" t="str">
        <f>_xll.BDP("833327BX Muni","ID_CUSIP")</f>
        <v>#N/A Requesting Data...</v>
      </c>
      <c r="B2192" t="s">
        <v>512</v>
      </c>
      <c r="C2192" t="str">
        <f>_xll.BDP("833327BX Muni","INSURANCE_STATUS")</f>
        <v>#N/A Requesting Data...</v>
      </c>
      <c r="D2192" t="str">
        <f>_xll.BDP("833327BX Muni","STATE_CODE")</f>
        <v>#N/A Requesting Data...</v>
      </c>
      <c r="E2192" t="str">
        <f>_xll.BDP("833327BX Muni","COUNTY_LOCATION_ISSUER")</f>
        <v>#N/A Requesting Data...</v>
      </c>
      <c r="F2192" t="str">
        <f>_xll.BDP("833327BX Muni","DUR_ADJ_MID")</f>
        <v>#N/A Requesting Data...</v>
      </c>
      <c r="G2192" t="str">
        <f>_xll.BDP("833327BX Muni","SPREAD_AT_ISSUANCE_TO_WORST")</f>
        <v>#N/A Requesting Data...</v>
      </c>
      <c r="H2192" t="str">
        <f>_xll.BDP("833327BX Muni","ISSUE_DT")</f>
        <v>#N/A Requesting Data...</v>
      </c>
      <c r="I2192" t="str">
        <f>_xll.BDS("833327BX Muni","MUNI_PURPOSE_SCHED", "aggregate=y")</f>
        <v>#N/A Requesting Data...</v>
      </c>
      <c r="J2192" t="str">
        <f>_xll.BDP("833327BX Muni","CPN")</f>
        <v>#N/A Requesting Data...</v>
      </c>
      <c r="K2192" t="str">
        <f>_xll.BDP("833327BX Muni","MATURITY")</f>
        <v>#N/A Requesting Data...</v>
      </c>
      <c r="L2192">
        <v>760000</v>
      </c>
      <c r="M2192" t="str">
        <f>_xll.BDP("833327BX Muni","YIELD_ON_ISSUE_DATE")</f>
        <v>#N/A Requesting Data...</v>
      </c>
      <c r="N2192" t="str">
        <f>_xll.BDP("833327BX Muni","YTW_SPREAD_TO_MATURITY_AT_ISSU")</f>
        <v>#N/A Requesting Data...</v>
      </c>
      <c r="O2192" t="str">
        <f>_xll.BDP("833327BX Muni","BVAL_MID_YTM")</f>
        <v>#N/A Requesting Data...</v>
      </c>
      <c r="P2192" t="str">
        <f>_xll.BDP("833327BX Muni","MUNI_TAX_PROV")</f>
        <v>#N/A Requesting Data...</v>
      </c>
      <c r="Q2192" t="str">
        <f>_xll.BDP("833327BX Muni","MUNI_FED_TAX")</f>
        <v>#N/A Requesting Data...</v>
      </c>
      <c r="R2192" t="str">
        <f>_xll.BDP("833327BX Muni","MUNI_MSRB_VOLUME")</f>
        <v>#N/A Requesting Data...</v>
      </c>
      <c r="S2192" t="str">
        <f>_xll.BDP("833327BX Muni","BB_COMPOSITE")</f>
        <v>#N/A Requesting Data...</v>
      </c>
      <c r="T2192" t="str">
        <f>_xll.BDP("833327BX Muni","LQA_LIQUIDITY_SCORE")</f>
        <v>#N/A Requesting Data...</v>
      </c>
    </row>
    <row r="2193" spans="1:20" x14ac:dyDescent="0.25">
      <c r="A2193" t="str">
        <f>_xll.BDP("83569BHN Muni","ID_CUSIP")</f>
        <v>#N/A Requesting Data...</v>
      </c>
      <c r="B2193" t="s">
        <v>513</v>
      </c>
      <c r="C2193" t="str">
        <f>_xll.BDP("83569BHN Muni","INSURANCE_STATUS")</f>
        <v>#N/A Requesting Data...</v>
      </c>
      <c r="D2193" t="str">
        <f>_xll.BDP("83569BHN Muni","STATE_CODE")</f>
        <v>#N/A Requesting Data...</v>
      </c>
      <c r="E2193" t="str">
        <f>_xll.BDP("83569BHN Muni","COUNTY_LOCATION_ISSUER")</f>
        <v>#N/A Requesting Data...</v>
      </c>
      <c r="F2193" t="str">
        <f>_xll.BDP("83569BHN Muni","DUR_ADJ_MID")</f>
        <v>#N/A Requesting Data...</v>
      </c>
      <c r="G2193" t="str">
        <f>_xll.BDP("83569BHN Muni","SPREAD_AT_ISSUANCE_TO_WORST")</f>
        <v>#N/A Requesting Data...</v>
      </c>
      <c r="H2193" t="str">
        <f>_xll.BDP("83569BHN Muni","ISSUE_DT")</f>
        <v>#N/A Requesting Data...</v>
      </c>
      <c r="I2193" t="str">
        <f>_xll.BDS("83569BHN Muni","MUNI_PURPOSE_SCHED", "aggregate=y")</f>
        <v>#N/A Requesting Data...</v>
      </c>
      <c r="J2193" t="str">
        <f>_xll.BDP("83569BHN Muni","CPN")</f>
        <v>#N/A Requesting Data...</v>
      </c>
      <c r="K2193" t="str">
        <f>_xll.BDP("83569BHN Muni","MATURITY")</f>
        <v>#N/A Requesting Data...</v>
      </c>
      <c r="L2193">
        <v>180000</v>
      </c>
      <c r="M2193" t="str">
        <f>_xll.BDP("83569BHN Muni","YIELD_ON_ISSUE_DATE")</f>
        <v>#N/A Requesting Data...</v>
      </c>
      <c r="N2193" t="str">
        <f>_xll.BDP("83569BHN Muni","YTW_SPREAD_TO_MATURITY_AT_ISSU")</f>
        <v>#N/A Requesting Data...</v>
      </c>
      <c r="O2193" t="str">
        <f>_xll.BDP("83569BHN Muni","BVAL_MID_YTM")</f>
        <v>#N/A Requesting Data...</v>
      </c>
      <c r="P2193" t="str">
        <f>_xll.BDP("83569BHN Muni","MUNI_TAX_PROV")</f>
        <v>#N/A Requesting Data...</v>
      </c>
      <c r="Q2193" t="str">
        <f>_xll.BDP("83569BHN Muni","MUNI_FED_TAX")</f>
        <v>#N/A Requesting Data...</v>
      </c>
      <c r="R2193" t="str">
        <f>_xll.BDP("83569BHN Muni","MUNI_MSRB_VOLUME")</f>
        <v>#N/A Requesting Data...</v>
      </c>
      <c r="S2193" t="str">
        <f>_xll.BDP("83569BHN Muni","BB_COMPOSITE")</f>
        <v>#N/A Requesting Data...</v>
      </c>
      <c r="T2193" t="str">
        <f>_xll.BDP("83569BHN Muni","LQA_LIQUIDITY_SCORE")</f>
        <v>#N/A Requesting Data...</v>
      </c>
    </row>
    <row r="2194" spans="1:20" x14ac:dyDescent="0.25">
      <c r="A2194" t="str">
        <f>_xll.BDP("83569BHP Muni","ID_CUSIP")</f>
        <v>#N/A Requesting Data...</v>
      </c>
      <c r="B2194" t="s">
        <v>513</v>
      </c>
      <c r="C2194" t="str">
        <f>_xll.BDP("83569BHP Muni","INSURANCE_STATUS")</f>
        <v>#N/A Requesting Data...</v>
      </c>
      <c r="D2194" t="str">
        <f>_xll.BDP("83569BHP Muni","STATE_CODE")</f>
        <v>#N/A Requesting Data...</v>
      </c>
      <c r="E2194" t="str">
        <f>_xll.BDP("83569BHP Muni","COUNTY_LOCATION_ISSUER")</f>
        <v>#N/A Requesting Data...</v>
      </c>
      <c r="F2194" t="str">
        <f>_xll.BDP("83569BHP Muni","DUR_ADJ_MID")</f>
        <v>#N/A Requesting Data...</v>
      </c>
      <c r="G2194" t="str">
        <f>_xll.BDP("83569BHP Muni","SPREAD_AT_ISSUANCE_TO_WORST")</f>
        <v>#N/A Requesting Data...</v>
      </c>
      <c r="H2194" t="str">
        <f>_xll.BDP("83569BHP Muni","ISSUE_DT")</f>
        <v>#N/A Requesting Data...</v>
      </c>
      <c r="I2194" t="str">
        <f>_xll.BDS("83569BHP Muni","MUNI_PURPOSE_SCHED", "aggregate=y")</f>
        <v>#N/A Requesting Data...</v>
      </c>
      <c r="J2194" t="str">
        <f>_xll.BDP("83569BHP Muni","CPN")</f>
        <v>#N/A Requesting Data...</v>
      </c>
      <c r="K2194" t="str">
        <f>_xll.BDP("83569BHP Muni","MATURITY")</f>
        <v>#N/A Requesting Data...</v>
      </c>
      <c r="L2194">
        <v>190000</v>
      </c>
      <c r="M2194" t="str">
        <f>_xll.BDP("83569BHP Muni","YIELD_ON_ISSUE_DATE")</f>
        <v>#N/A Requesting Data...</v>
      </c>
      <c r="N2194" t="str">
        <f>_xll.BDP("83569BHP Muni","YTW_SPREAD_TO_MATURITY_AT_ISSU")</f>
        <v>#N/A Requesting Data...</v>
      </c>
      <c r="O2194" t="str">
        <f>_xll.BDP("83569BHP Muni","BVAL_MID_YTM")</f>
        <v>#N/A Requesting Data...</v>
      </c>
      <c r="P2194" t="str">
        <f>_xll.BDP("83569BHP Muni","MUNI_TAX_PROV")</f>
        <v>#N/A Requesting Data...</v>
      </c>
      <c r="Q2194" t="str">
        <f>_xll.BDP("83569BHP Muni","MUNI_FED_TAX")</f>
        <v>#N/A Requesting Data...</v>
      </c>
      <c r="R2194" t="str">
        <f>_xll.BDP("83569BHP Muni","MUNI_MSRB_VOLUME")</f>
        <v>#N/A Requesting Data...</v>
      </c>
      <c r="S2194" t="str">
        <f>_xll.BDP("83569BHP Muni","BB_COMPOSITE")</f>
        <v>#N/A Requesting Data...</v>
      </c>
      <c r="T2194" t="str">
        <f>_xll.BDP("83569BHP Muni","LQA_LIQUIDITY_SCORE")</f>
        <v>#N/A Requesting Data...</v>
      </c>
    </row>
    <row r="2195" spans="1:20" x14ac:dyDescent="0.25">
      <c r="A2195" t="str">
        <f>_xll.BDP("83619CCA Muni","ID_CUSIP")</f>
        <v>#N/A Requesting Data...</v>
      </c>
      <c r="B2195" t="s">
        <v>514</v>
      </c>
      <c r="C2195" t="str">
        <f>_xll.BDP("83619CCA Muni","INSURANCE_STATUS")</f>
        <v>#N/A Requesting Data...</v>
      </c>
      <c r="D2195" t="str">
        <f>_xll.BDP("83619CCA Muni","STATE_CODE")</f>
        <v>#N/A Requesting Data...</v>
      </c>
      <c r="E2195" t="str">
        <f>_xll.BDP("83619CCA Muni","COUNTY_LOCATION_ISSUER")</f>
        <v>#N/A Requesting Data...</v>
      </c>
      <c r="F2195" t="str">
        <f>_xll.BDP("83619CCA Muni","DUR_ADJ_MID")</f>
        <v>#N/A Requesting Data...</v>
      </c>
      <c r="G2195" t="str">
        <f>_xll.BDP("83619CCA Muni","SPREAD_AT_ISSUANCE_TO_WORST")</f>
        <v>#N/A Requesting Data...</v>
      </c>
      <c r="H2195" t="str">
        <f>_xll.BDP("83619CCA Muni","ISSUE_DT")</f>
        <v>#N/A Requesting Data...</v>
      </c>
      <c r="I2195" t="str">
        <f>_xll.BDS("83619CCA Muni","MUNI_PURPOSE_SCHED", "aggregate=y")</f>
        <v>#N/A Requesting Data...</v>
      </c>
      <c r="J2195" t="str">
        <f>_xll.BDP("83619CCA Muni","CPN")</f>
        <v>#N/A Requesting Data...</v>
      </c>
      <c r="K2195" t="str">
        <f>_xll.BDP("83619CCA Muni","MATURITY")</f>
        <v>#N/A Requesting Data...</v>
      </c>
      <c r="L2195">
        <v>1385000</v>
      </c>
      <c r="M2195" t="str">
        <f>_xll.BDP("83619CCA Muni","YIELD_ON_ISSUE_DATE")</f>
        <v>#N/A Requesting Data...</v>
      </c>
      <c r="N2195" t="str">
        <f>_xll.BDP("83619CCA Muni","YTW_SPREAD_TO_MATURITY_AT_ISSU")</f>
        <v>#N/A Requesting Data...</v>
      </c>
      <c r="O2195" t="str">
        <f>_xll.BDP("83619CCA Muni","BVAL_MID_YTM")</f>
        <v>#N/A Requesting Data...</v>
      </c>
      <c r="P2195" t="str">
        <f>_xll.BDP("83619CCA Muni","MUNI_TAX_PROV")</f>
        <v>#N/A Requesting Data...</v>
      </c>
      <c r="Q2195" t="str">
        <f>_xll.BDP("83619CCA Muni","MUNI_FED_TAX")</f>
        <v>#N/A Requesting Data...</v>
      </c>
      <c r="R2195" t="str">
        <f>_xll.BDP("83619CCA Muni","MUNI_MSRB_VOLUME")</f>
        <v>#N/A Requesting Data...</v>
      </c>
      <c r="S2195" t="str">
        <f>_xll.BDP("83619CCA Muni","BB_COMPOSITE")</f>
        <v>#N/A Requesting Data...</v>
      </c>
      <c r="T2195" t="str">
        <f>_xll.BDP("83619CCA Muni","LQA_LIQUIDITY_SCORE")</f>
        <v>#N/A Requesting Data...</v>
      </c>
    </row>
    <row r="2196" spans="1:20" x14ac:dyDescent="0.25">
      <c r="A2196" t="str">
        <f>_xll.BDP("83619CCB Muni","ID_CUSIP")</f>
        <v>#N/A Requesting Data...</v>
      </c>
      <c r="B2196" t="s">
        <v>514</v>
      </c>
      <c r="C2196" t="str">
        <f>_xll.BDP("83619CCB Muni","INSURANCE_STATUS")</f>
        <v>#N/A Requesting Data...</v>
      </c>
      <c r="D2196" t="str">
        <f>_xll.BDP("83619CCB Muni","STATE_CODE")</f>
        <v>#N/A Requesting Data...</v>
      </c>
      <c r="E2196" t="str">
        <f>_xll.BDP("83619CCB Muni","COUNTY_LOCATION_ISSUER")</f>
        <v>#N/A Requesting Data...</v>
      </c>
      <c r="F2196" t="str">
        <f>_xll.BDP("83619CCB Muni","DUR_ADJ_MID")</f>
        <v>#N/A Requesting Data...</v>
      </c>
      <c r="G2196" t="str">
        <f>_xll.BDP("83619CCB Muni","SPREAD_AT_ISSUANCE_TO_WORST")</f>
        <v>#N/A Requesting Data...</v>
      </c>
      <c r="H2196" t="str">
        <f>_xll.BDP("83619CCB Muni","ISSUE_DT")</f>
        <v>#N/A Requesting Data...</v>
      </c>
      <c r="I2196" t="str">
        <f>_xll.BDS("83619CCB Muni","MUNI_PURPOSE_SCHED", "aggregate=y")</f>
        <v>#N/A Requesting Data...</v>
      </c>
      <c r="J2196" t="str">
        <f>_xll.BDP("83619CCB Muni","CPN")</f>
        <v>#N/A Requesting Data...</v>
      </c>
      <c r="K2196" t="str">
        <f>_xll.BDP("83619CCB Muni","MATURITY")</f>
        <v>#N/A Requesting Data...</v>
      </c>
      <c r="L2196">
        <v>1465000</v>
      </c>
      <c r="M2196" t="str">
        <f>_xll.BDP("83619CCB Muni","YIELD_ON_ISSUE_DATE")</f>
        <v>#N/A Requesting Data...</v>
      </c>
      <c r="N2196" t="str">
        <f>_xll.BDP("83619CCB Muni","YTW_SPREAD_TO_MATURITY_AT_ISSU")</f>
        <v>#N/A Requesting Data...</v>
      </c>
      <c r="O2196" t="str">
        <f>_xll.BDP("83619CCB Muni","BVAL_MID_YTM")</f>
        <v>#N/A Requesting Data...</v>
      </c>
      <c r="P2196" t="str">
        <f>_xll.BDP("83619CCB Muni","MUNI_TAX_PROV")</f>
        <v>#N/A Requesting Data...</v>
      </c>
      <c r="Q2196" t="str">
        <f>_xll.BDP("83619CCB Muni","MUNI_FED_TAX")</f>
        <v>#N/A Requesting Data...</v>
      </c>
      <c r="R2196" t="str">
        <f>_xll.BDP("83619CCB Muni","MUNI_MSRB_VOLUME")</f>
        <v>#N/A Requesting Data...</v>
      </c>
      <c r="S2196" t="str">
        <f>_xll.BDP("83619CCB Muni","BB_COMPOSITE")</f>
        <v>#N/A Requesting Data...</v>
      </c>
      <c r="T2196" t="str">
        <f>_xll.BDP("83619CCB Muni","LQA_LIQUIDITY_SCORE")</f>
        <v>#N/A Requesting Data...</v>
      </c>
    </row>
    <row r="2197" spans="1:20" x14ac:dyDescent="0.25">
      <c r="A2197" t="str">
        <f>_xll.BDP("836809JE Muni","ID_CUSIP")</f>
        <v>#N/A Requesting Data...</v>
      </c>
      <c r="B2197" t="s">
        <v>515</v>
      </c>
      <c r="C2197" t="str">
        <f>_xll.BDP("836809JE Muni","INSURANCE_STATUS")</f>
        <v>#N/A Requesting Data...</v>
      </c>
      <c r="D2197" t="str">
        <f>_xll.BDP("836809JE Muni","STATE_CODE")</f>
        <v>#N/A Requesting Data...</v>
      </c>
      <c r="E2197" t="str">
        <f>_xll.BDP("836809JE Muni","COUNTY_LOCATION_ISSUER")</f>
        <v>#N/A Requesting Data...</v>
      </c>
      <c r="F2197" t="str">
        <f>_xll.BDP("836809JE Muni","DUR_ADJ_MID")</f>
        <v>#N/A Requesting Data...</v>
      </c>
      <c r="G2197" t="str">
        <f>_xll.BDP("836809JE Muni","SPREAD_AT_ISSUANCE_TO_WORST")</f>
        <v>#N/A Requesting Data...</v>
      </c>
      <c r="H2197" t="str">
        <f>_xll.BDP("836809JE Muni","ISSUE_DT")</f>
        <v>#N/A Requesting Data...</v>
      </c>
      <c r="I2197" t="str">
        <f>_xll.BDS("836809JE Muni","MUNI_PURPOSE_SCHED", "aggregate=y")</f>
        <v>#N/A Requesting Data...</v>
      </c>
      <c r="J2197" t="str">
        <f>_xll.BDP("836809JE Muni","CPN")</f>
        <v>#N/A Requesting Data...</v>
      </c>
      <c r="K2197" t="str">
        <f>_xll.BDP("836809JE Muni","MATURITY")</f>
        <v>#N/A Requesting Data...</v>
      </c>
      <c r="L2197">
        <v>75000</v>
      </c>
      <c r="M2197" t="str">
        <f>_xll.BDP("836809JE Muni","YIELD_ON_ISSUE_DATE")</f>
        <v>#N/A Requesting Data...</v>
      </c>
      <c r="N2197" t="str">
        <f>_xll.BDP("836809JE Muni","YTW_SPREAD_TO_MATURITY_AT_ISSU")</f>
        <v>#N/A Requesting Data...</v>
      </c>
      <c r="O2197" t="str">
        <f>_xll.BDP("836809JE Muni","BVAL_MID_YTM")</f>
        <v>#N/A Requesting Data...</v>
      </c>
      <c r="P2197" t="str">
        <f>_xll.BDP("836809JE Muni","MUNI_TAX_PROV")</f>
        <v>#N/A Requesting Data...</v>
      </c>
      <c r="Q2197" t="str">
        <f>_xll.BDP("836809JE Muni","MUNI_FED_TAX")</f>
        <v>#N/A Requesting Data...</v>
      </c>
      <c r="R2197" t="str">
        <f>_xll.BDP("836809JE Muni","MUNI_MSRB_VOLUME")</f>
        <v>#N/A Requesting Data...</v>
      </c>
      <c r="S2197" t="str">
        <f>_xll.BDP("836809JE Muni","BB_COMPOSITE")</f>
        <v>#N/A Requesting Data...</v>
      </c>
      <c r="T2197" t="str">
        <f>_xll.BDP("836809JE Muni","LQA_LIQUIDITY_SCORE")</f>
        <v>#N/A Requesting Data...</v>
      </c>
    </row>
    <row r="2198" spans="1:20" x14ac:dyDescent="0.25">
      <c r="A2198" t="str">
        <f>_xll.BDP("83569BHQ Muni","ID_CUSIP")</f>
        <v>#N/A Requesting Data...</v>
      </c>
      <c r="B2198" t="s">
        <v>513</v>
      </c>
      <c r="C2198" t="str">
        <f>_xll.BDP("83569BHQ Muni","INSURANCE_STATUS")</f>
        <v>#N/A Requesting Data...</v>
      </c>
      <c r="D2198" t="str">
        <f>_xll.BDP("83569BHQ Muni","STATE_CODE")</f>
        <v>#N/A Requesting Data...</v>
      </c>
      <c r="E2198" t="str">
        <f>_xll.BDP("83569BHQ Muni","COUNTY_LOCATION_ISSUER")</f>
        <v>#N/A Requesting Data...</v>
      </c>
      <c r="F2198" t="str">
        <f>_xll.BDP("83569BHQ Muni","DUR_ADJ_MID")</f>
        <v>#N/A Requesting Data...</v>
      </c>
      <c r="G2198" t="str">
        <f>_xll.BDP("83569BHQ Muni","SPREAD_AT_ISSUANCE_TO_WORST")</f>
        <v>#N/A Requesting Data...</v>
      </c>
      <c r="H2198" t="str">
        <f>_xll.BDP("83569BHQ Muni","ISSUE_DT")</f>
        <v>#N/A Requesting Data...</v>
      </c>
      <c r="I2198" t="str">
        <f>_xll.BDS("83569BHQ Muni","MUNI_PURPOSE_SCHED", "aggregate=y")</f>
        <v>#N/A Requesting Data...</v>
      </c>
      <c r="J2198" t="str">
        <f>_xll.BDP("83569BHQ Muni","CPN")</f>
        <v>#N/A Requesting Data...</v>
      </c>
      <c r="K2198" t="str">
        <f>_xll.BDP("83569BHQ Muni","MATURITY")</f>
        <v>#N/A Requesting Data...</v>
      </c>
      <c r="L2198">
        <v>200000</v>
      </c>
      <c r="M2198" t="str">
        <f>_xll.BDP("83569BHQ Muni","YIELD_ON_ISSUE_DATE")</f>
        <v>#N/A Requesting Data...</v>
      </c>
      <c r="N2198" t="str">
        <f>_xll.BDP("83569BHQ Muni","YTW_SPREAD_TO_MATURITY_AT_ISSU")</f>
        <v>#N/A Requesting Data...</v>
      </c>
      <c r="O2198" t="str">
        <f>_xll.BDP("83569BHQ Muni","BVAL_MID_YTM")</f>
        <v>#N/A Requesting Data...</v>
      </c>
      <c r="P2198" t="str">
        <f>_xll.BDP("83569BHQ Muni","MUNI_TAX_PROV")</f>
        <v>#N/A Requesting Data...</v>
      </c>
      <c r="Q2198" t="str">
        <f>_xll.BDP("83569BHQ Muni","MUNI_FED_TAX")</f>
        <v>#N/A Requesting Data...</v>
      </c>
      <c r="R2198" t="str">
        <f>_xll.BDP("83569BHQ Muni","MUNI_MSRB_VOLUME")</f>
        <v>#N/A Requesting Data...</v>
      </c>
      <c r="S2198" t="str">
        <f>_xll.BDP("83569BHQ Muni","BB_COMPOSITE")</f>
        <v>#N/A Requesting Data...</v>
      </c>
      <c r="T2198" t="str">
        <f>_xll.BDP("83569BHQ Muni","LQA_LIQUIDITY_SCORE")</f>
        <v>#N/A Requesting Data...</v>
      </c>
    </row>
    <row r="2199" spans="1:20" x14ac:dyDescent="0.25">
      <c r="A2199" t="str">
        <f>_xll.BDP("83619CBX Muni","ID_CUSIP")</f>
        <v>#N/A Requesting Data...</v>
      </c>
      <c r="B2199" t="s">
        <v>514</v>
      </c>
      <c r="C2199" t="str">
        <f>_xll.BDP("83619CBX Muni","INSURANCE_STATUS")</f>
        <v>#N/A Requesting Data...</v>
      </c>
      <c r="D2199" t="str">
        <f>_xll.BDP("83619CBX Muni","STATE_CODE")</f>
        <v>#N/A Requesting Data...</v>
      </c>
      <c r="E2199" t="str">
        <f>_xll.BDP("83619CBX Muni","COUNTY_LOCATION_ISSUER")</f>
        <v>#N/A Requesting Data...</v>
      </c>
      <c r="F2199" t="str">
        <f>_xll.BDP("83619CBX Muni","DUR_ADJ_MID")</f>
        <v>#N/A Requesting Data...</v>
      </c>
      <c r="G2199" t="str">
        <f>_xll.BDP("83619CBX Muni","SPREAD_AT_ISSUANCE_TO_WORST")</f>
        <v>#N/A Requesting Data...</v>
      </c>
      <c r="H2199" t="str">
        <f>_xll.BDP("83619CBX Muni","ISSUE_DT")</f>
        <v>#N/A Requesting Data...</v>
      </c>
      <c r="I2199" t="str">
        <f>_xll.BDS("83619CBX Muni","MUNI_PURPOSE_SCHED", "aggregate=y")</f>
        <v>#N/A Requesting Data...</v>
      </c>
      <c r="J2199" t="str">
        <f>_xll.BDP("83619CBX Muni","CPN")</f>
        <v>#N/A Requesting Data...</v>
      </c>
      <c r="K2199" t="str">
        <f>_xll.BDP("83619CBX Muni","MATURITY")</f>
        <v>#N/A Requesting Data...</v>
      </c>
      <c r="L2199">
        <v>1180000</v>
      </c>
      <c r="M2199" t="str">
        <f>_xll.BDP("83619CBX Muni","YIELD_ON_ISSUE_DATE")</f>
        <v>#N/A Requesting Data...</v>
      </c>
      <c r="N2199" t="str">
        <f>_xll.BDP("83619CBX Muni","YTW_SPREAD_TO_MATURITY_AT_ISSU")</f>
        <v>#N/A Requesting Data...</v>
      </c>
      <c r="O2199" t="str">
        <f>_xll.BDP("83619CBX Muni","BVAL_MID_YTM")</f>
        <v>#N/A Requesting Data...</v>
      </c>
      <c r="P2199" t="str">
        <f>_xll.BDP("83619CBX Muni","MUNI_TAX_PROV")</f>
        <v>#N/A Requesting Data...</v>
      </c>
      <c r="Q2199" t="str">
        <f>_xll.BDP("83619CBX Muni","MUNI_FED_TAX")</f>
        <v>#N/A Requesting Data...</v>
      </c>
      <c r="R2199" t="str">
        <f>_xll.BDP("83619CBX Muni","MUNI_MSRB_VOLUME")</f>
        <v>#N/A Requesting Data...</v>
      </c>
      <c r="S2199" t="str">
        <f>_xll.BDP("83619CBX Muni","BB_COMPOSITE")</f>
        <v>#N/A Requesting Data...</v>
      </c>
      <c r="T2199" t="str">
        <f>_xll.BDP("83619CBX Muni","LQA_LIQUIDITY_SCORE")</f>
        <v>#N/A Requesting Data...</v>
      </c>
    </row>
    <row r="2200" spans="1:20" x14ac:dyDescent="0.25">
      <c r="A2200" t="str">
        <f>_xll.BDP("83619CBY Muni","ID_CUSIP")</f>
        <v>#N/A Requesting Data...</v>
      </c>
      <c r="B2200" t="s">
        <v>514</v>
      </c>
      <c r="C2200" t="str">
        <f>_xll.BDP("83619CBY Muni","INSURANCE_STATUS")</f>
        <v>#N/A Requesting Data...</v>
      </c>
      <c r="D2200" t="str">
        <f>_xll.BDP("83619CBY Muni","STATE_CODE")</f>
        <v>#N/A Requesting Data...</v>
      </c>
      <c r="E2200" t="str">
        <f>_xll.BDP("83619CBY Muni","COUNTY_LOCATION_ISSUER")</f>
        <v>#N/A Requesting Data...</v>
      </c>
      <c r="F2200" t="str">
        <f>_xll.BDP("83619CBY Muni","DUR_ADJ_MID")</f>
        <v>#N/A Requesting Data...</v>
      </c>
      <c r="G2200" t="str">
        <f>_xll.BDP("83619CBY Muni","SPREAD_AT_ISSUANCE_TO_WORST")</f>
        <v>#N/A Requesting Data...</v>
      </c>
      <c r="H2200" t="str">
        <f>_xll.BDP("83619CBY Muni","ISSUE_DT")</f>
        <v>#N/A Requesting Data...</v>
      </c>
      <c r="I2200" t="str">
        <f>_xll.BDS("83619CBY Muni","MUNI_PURPOSE_SCHED", "aggregate=y")</f>
        <v>#N/A Requesting Data...</v>
      </c>
      <c r="J2200" t="str">
        <f>_xll.BDP("83619CBY Muni","CPN")</f>
        <v>#N/A Requesting Data...</v>
      </c>
      <c r="K2200" t="str">
        <f>_xll.BDP("83619CBY Muni","MATURITY")</f>
        <v>#N/A Requesting Data...</v>
      </c>
      <c r="L2200">
        <v>1245000</v>
      </c>
      <c r="M2200" t="str">
        <f>_xll.BDP("83619CBY Muni","YIELD_ON_ISSUE_DATE")</f>
        <v>#N/A Requesting Data...</v>
      </c>
      <c r="N2200" t="str">
        <f>_xll.BDP("83619CBY Muni","YTW_SPREAD_TO_MATURITY_AT_ISSU")</f>
        <v>#N/A Requesting Data...</v>
      </c>
      <c r="O2200" t="str">
        <f>_xll.BDP("83619CBY Muni","BVAL_MID_YTM")</f>
        <v>#N/A Requesting Data...</v>
      </c>
      <c r="P2200" t="str">
        <f>_xll.BDP("83619CBY Muni","MUNI_TAX_PROV")</f>
        <v>#N/A Requesting Data...</v>
      </c>
      <c r="Q2200" t="str">
        <f>_xll.BDP("83619CBY Muni","MUNI_FED_TAX")</f>
        <v>#N/A Requesting Data...</v>
      </c>
      <c r="R2200" t="str">
        <f>_xll.BDP("83619CBY Muni","MUNI_MSRB_VOLUME")</f>
        <v>#N/A Requesting Data...</v>
      </c>
      <c r="S2200" t="str">
        <f>_xll.BDP("83619CBY Muni","BB_COMPOSITE")</f>
        <v>#N/A Requesting Data...</v>
      </c>
      <c r="T2200" t="str">
        <f>_xll.BDP("83619CBY Muni","LQA_LIQUIDITY_SCORE")</f>
        <v>#N/A Requesting Data...</v>
      </c>
    </row>
    <row r="2201" spans="1:20" x14ac:dyDescent="0.25">
      <c r="A2201" t="str">
        <f>_xll.BDP("833327BS Muni","ID_CUSIP")</f>
        <v>#N/A Requesting Data...</v>
      </c>
      <c r="B2201" t="s">
        <v>512</v>
      </c>
      <c r="C2201" t="str">
        <f>_xll.BDP("833327BS Muni","INSURANCE_STATUS")</f>
        <v>#N/A Requesting Data...</v>
      </c>
      <c r="D2201" t="str">
        <f>_xll.BDP("833327BS Muni","STATE_CODE")</f>
        <v>#N/A Requesting Data...</v>
      </c>
      <c r="E2201" t="str">
        <f>_xll.BDP("833327BS Muni","COUNTY_LOCATION_ISSUER")</f>
        <v>#N/A Requesting Data...</v>
      </c>
      <c r="F2201" t="str">
        <f>_xll.BDP("833327BS Muni","DUR_ADJ_MID")</f>
        <v>#N/A Requesting Data...</v>
      </c>
      <c r="G2201" t="str">
        <f>_xll.BDP("833327BS Muni","SPREAD_AT_ISSUANCE_TO_WORST")</f>
        <v>#N/A Requesting Data...</v>
      </c>
      <c r="H2201" t="str">
        <f>_xll.BDP("833327BS Muni","ISSUE_DT")</f>
        <v>#N/A Requesting Data...</v>
      </c>
      <c r="I2201" t="str">
        <f>_xll.BDS("833327BS Muni","MUNI_PURPOSE_SCHED", "aggregate=y")</f>
        <v>#N/A Requesting Data...</v>
      </c>
      <c r="J2201" t="str">
        <f>_xll.BDP("833327BS Muni","CPN")</f>
        <v>#N/A Requesting Data...</v>
      </c>
      <c r="K2201" t="str">
        <f>_xll.BDP("833327BS Muni","MATURITY")</f>
        <v>#N/A Requesting Data...</v>
      </c>
      <c r="L2201">
        <v>605000</v>
      </c>
      <c r="M2201" t="str">
        <f>_xll.BDP("833327BS Muni","YIELD_ON_ISSUE_DATE")</f>
        <v>#N/A Requesting Data...</v>
      </c>
      <c r="N2201" t="str">
        <f>_xll.BDP("833327BS Muni","YTW_SPREAD_TO_MATURITY_AT_ISSU")</f>
        <v>#N/A Requesting Data...</v>
      </c>
      <c r="O2201" t="str">
        <f>_xll.BDP("833327BS Muni","BVAL_MID_YTM")</f>
        <v>#N/A Requesting Data...</v>
      </c>
      <c r="P2201" t="str">
        <f>_xll.BDP("833327BS Muni","MUNI_TAX_PROV")</f>
        <v>#N/A Requesting Data...</v>
      </c>
      <c r="Q2201" t="str">
        <f>_xll.BDP("833327BS Muni","MUNI_FED_TAX")</f>
        <v>#N/A Requesting Data...</v>
      </c>
      <c r="R2201" t="str">
        <f>_xll.BDP("833327BS Muni","MUNI_MSRB_VOLUME")</f>
        <v>#N/A Requesting Data...</v>
      </c>
      <c r="S2201" t="str">
        <f>_xll.BDP("833327BS Muni","BB_COMPOSITE")</f>
        <v>#N/A Requesting Data...</v>
      </c>
      <c r="T2201" t="str">
        <f>_xll.BDP("833327BS Muni","LQA_LIQUIDITY_SCORE")</f>
        <v>#N/A Requesting Data...</v>
      </c>
    </row>
    <row r="2202" spans="1:20" x14ac:dyDescent="0.25">
      <c r="A2202" t="str">
        <f>_xll.BDP("833327BU Muni","ID_CUSIP")</f>
        <v>#N/A Requesting Data...</v>
      </c>
      <c r="B2202" t="s">
        <v>512</v>
      </c>
      <c r="C2202" t="str">
        <f>_xll.BDP("833327BU Muni","INSURANCE_STATUS")</f>
        <v>#N/A Requesting Data...</v>
      </c>
      <c r="D2202" t="str">
        <f>_xll.BDP("833327BU Muni","STATE_CODE")</f>
        <v>#N/A Requesting Data...</v>
      </c>
      <c r="E2202" t="str">
        <f>_xll.BDP("833327BU Muni","COUNTY_LOCATION_ISSUER")</f>
        <v>#N/A Requesting Data...</v>
      </c>
      <c r="F2202" t="str">
        <f>_xll.BDP("833327BU Muni","DUR_ADJ_MID")</f>
        <v>#N/A Requesting Data...</v>
      </c>
      <c r="G2202" t="str">
        <f>_xll.BDP("833327BU Muni","SPREAD_AT_ISSUANCE_TO_WORST")</f>
        <v>#N/A Requesting Data...</v>
      </c>
      <c r="H2202" t="str">
        <f>_xll.BDP("833327BU Muni","ISSUE_DT")</f>
        <v>#N/A Requesting Data...</v>
      </c>
      <c r="I2202" t="str">
        <f>_xll.BDS("833327BU Muni","MUNI_PURPOSE_SCHED", "aggregate=y")</f>
        <v>#N/A Requesting Data...</v>
      </c>
      <c r="J2202" t="str">
        <f>_xll.BDP("833327BU Muni","CPN")</f>
        <v>#N/A Requesting Data...</v>
      </c>
      <c r="K2202" t="str">
        <f>_xll.BDP("833327BU Muni","MATURITY")</f>
        <v>#N/A Requesting Data...</v>
      </c>
      <c r="L2202">
        <v>660000</v>
      </c>
      <c r="M2202" t="str">
        <f>_xll.BDP("833327BU Muni","YIELD_ON_ISSUE_DATE")</f>
        <v>#N/A Requesting Data...</v>
      </c>
      <c r="N2202" t="str">
        <f>_xll.BDP("833327BU Muni","YTW_SPREAD_TO_MATURITY_AT_ISSU")</f>
        <v>#N/A Requesting Data...</v>
      </c>
      <c r="O2202" t="str">
        <f>_xll.BDP("833327BU Muni","BVAL_MID_YTM")</f>
        <v>#N/A Requesting Data...</v>
      </c>
      <c r="P2202" t="str">
        <f>_xll.BDP("833327BU Muni","MUNI_TAX_PROV")</f>
        <v>#N/A Requesting Data...</v>
      </c>
      <c r="Q2202" t="str">
        <f>_xll.BDP("833327BU Muni","MUNI_FED_TAX")</f>
        <v>#N/A Requesting Data...</v>
      </c>
      <c r="R2202" t="str">
        <f>_xll.BDP("833327BU Muni","MUNI_MSRB_VOLUME")</f>
        <v>#N/A Requesting Data...</v>
      </c>
      <c r="S2202" t="str">
        <f>_xll.BDP("833327BU Muni","BB_COMPOSITE")</f>
        <v>#N/A Requesting Data...</v>
      </c>
      <c r="T2202" t="str">
        <f>_xll.BDP("833327BU Muni","LQA_LIQUIDITY_SCORE")</f>
        <v>#N/A Requesting Data...</v>
      </c>
    </row>
    <row r="2203" spans="1:20" x14ac:dyDescent="0.25">
      <c r="A2203" t="str">
        <f>_xll.BDP("833327BV Muni","ID_CUSIP")</f>
        <v>#N/A Requesting Data...</v>
      </c>
      <c r="B2203" t="s">
        <v>512</v>
      </c>
      <c r="C2203" t="str">
        <f>_xll.BDP("833327BV Muni","INSURANCE_STATUS")</f>
        <v>#N/A Requesting Data...</v>
      </c>
      <c r="D2203" t="str">
        <f>_xll.BDP("833327BV Muni","STATE_CODE")</f>
        <v>#N/A Requesting Data...</v>
      </c>
      <c r="E2203" t="str">
        <f>_xll.BDP("833327BV Muni","COUNTY_LOCATION_ISSUER")</f>
        <v>#N/A Requesting Data...</v>
      </c>
      <c r="F2203" t="str">
        <f>_xll.BDP("833327BV Muni","DUR_ADJ_MID")</f>
        <v>#N/A Requesting Data...</v>
      </c>
      <c r="G2203" t="str">
        <f>_xll.BDP("833327BV Muni","SPREAD_AT_ISSUANCE_TO_WORST")</f>
        <v>#N/A Requesting Data...</v>
      </c>
      <c r="H2203" t="str">
        <f>_xll.BDP("833327BV Muni","ISSUE_DT")</f>
        <v>#N/A Requesting Data...</v>
      </c>
      <c r="I2203" t="str">
        <f>_xll.BDS("833327BV Muni","MUNI_PURPOSE_SCHED", "aggregate=y")</f>
        <v>#N/A Requesting Data...</v>
      </c>
      <c r="J2203" t="str">
        <f>_xll.BDP("833327BV Muni","CPN")</f>
        <v>#N/A Requesting Data...</v>
      </c>
      <c r="K2203" t="str">
        <f>_xll.BDP("833327BV Muni","MATURITY")</f>
        <v>#N/A Requesting Data...</v>
      </c>
      <c r="L2203">
        <v>695000</v>
      </c>
      <c r="M2203" t="str">
        <f>_xll.BDP("833327BV Muni","YIELD_ON_ISSUE_DATE")</f>
        <v>#N/A Requesting Data...</v>
      </c>
      <c r="N2203" t="str">
        <f>_xll.BDP("833327BV Muni","YTW_SPREAD_TO_MATURITY_AT_ISSU")</f>
        <v>#N/A Requesting Data...</v>
      </c>
      <c r="O2203" t="str">
        <f>_xll.BDP("833327BV Muni","BVAL_MID_YTM")</f>
        <v>#N/A Requesting Data...</v>
      </c>
      <c r="P2203" t="str">
        <f>_xll.BDP("833327BV Muni","MUNI_TAX_PROV")</f>
        <v>#N/A Requesting Data...</v>
      </c>
      <c r="Q2203" t="str">
        <f>_xll.BDP("833327BV Muni","MUNI_FED_TAX")</f>
        <v>#N/A Requesting Data...</v>
      </c>
      <c r="R2203" t="str">
        <f>_xll.BDP("833327BV Muni","MUNI_MSRB_VOLUME")</f>
        <v>#N/A Requesting Data...</v>
      </c>
      <c r="S2203" t="str">
        <f>_xll.BDP("833327BV Muni","BB_COMPOSITE")</f>
        <v>#N/A Requesting Data...</v>
      </c>
      <c r="T2203" t="str">
        <f>_xll.BDP("833327BV Muni","LQA_LIQUIDITY_SCORE")</f>
        <v>#N/A Requesting Data...</v>
      </c>
    </row>
    <row r="2204" spans="1:20" x14ac:dyDescent="0.25">
      <c r="A2204" t="str">
        <f>_xll.BDP("837545MQ Muni","ID_CUSIP")</f>
        <v>#N/A Requesting Data...</v>
      </c>
      <c r="B2204" t="s">
        <v>516</v>
      </c>
      <c r="C2204" t="str">
        <f>_xll.BDP("837545MQ Muni","INSURANCE_STATUS")</f>
        <v>#N/A Requesting Data...</v>
      </c>
      <c r="D2204" t="str">
        <f>_xll.BDP("837545MQ Muni","STATE_CODE")</f>
        <v>#N/A Requesting Data...</v>
      </c>
      <c r="E2204" t="str">
        <f>_xll.BDP("837545MQ Muni","COUNTY_LOCATION_ISSUER")</f>
        <v>#N/A Requesting Data...</v>
      </c>
      <c r="F2204" t="str">
        <f>_xll.BDP("837545MQ Muni","DUR_ADJ_MID")</f>
        <v>#N/A Requesting Data...</v>
      </c>
      <c r="G2204" t="str">
        <f>_xll.BDP("837545MQ Muni","SPREAD_AT_ISSUANCE_TO_WORST")</f>
        <v>#N/A Requesting Data...</v>
      </c>
      <c r="H2204" t="str">
        <f>_xll.BDP("837545MQ Muni","ISSUE_DT")</f>
        <v>#N/A Requesting Data...</v>
      </c>
      <c r="I2204" t="str">
        <f>_xll.BDS("837545MQ Muni","MUNI_PURPOSE_SCHED", "aggregate=y")</f>
        <v>#N/A Requesting Data...</v>
      </c>
      <c r="J2204" t="str">
        <f>_xll.BDP("837545MQ Muni","CPN")</f>
        <v>#N/A Requesting Data...</v>
      </c>
      <c r="K2204" t="str">
        <f>_xll.BDP("837545MQ Muni","MATURITY")</f>
        <v>#N/A Requesting Data...</v>
      </c>
      <c r="L2204">
        <v>3950000</v>
      </c>
      <c r="M2204" t="str">
        <f>_xll.BDP("837545MQ Muni","YIELD_ON_ISSUE_DATE")</f>
        <v>#N/A Requesting Data...</v>
      </c>
      <c r="N2204" t="str">
        <f>_xll.BDP("837545MQ Muni","YTW_SPREAD_TO_MATURITY_AT_ISSU")</f>
        <v>#N/A Requesting Data...</v>
      </c>
      <c r="O2204" t="str">
        <f>_xll.BDP("837545MQ Muni","BVAL_MID_YTM")</f>
        <v>#N/A Requesting Data...</v>
      </c>
      <c r="P2204" t="str">
        <f>_xll.BDP("837545MQ Muni","MUNI_TAX_PROV")</f>
        <v>#N/A Requesting Data...</v>
      </c>
      <c r="Q2204" t="str">
        <f>_xll.BDP("837545MQ Muni","MUNI_FED_TAX")</f>
        <v>#N/A Requesting Data...</v>
      </c>
      <c r="R2204" t="str">
        <f>_xll.BDP("837545MQ Muni","MUNI_MSRB_VOLUME")</f>
        <v>#N/A Requesting Data...</v>
      </c>
      <c r="S2204" t="str">
        <f>_xll.BDP("837545MQ Muni","BB_COMPOSITE")</f>
        <v>#N/A Requesting Data...</v>
      </c>
      <c r="T2204" t="str">
        <f>_xll.BDP("837545MQ Muni","LQA_LIQUIDITY_SCORE")</f>
        <v>#N/A Requesting Data...</v>
      </c>
    </row>
    <row r="2205" spans="1:20" x14ac:dyDescent="0.25">
      <c r="A2205" t="str">
        <f>_xll.BDP("837545MS Muni","ID_CUSIP")</f>
        <v>#N/A Requesting Data...</v>
      </c>
      <c r="B2205" t="s">
        <v>516</v>
      </c>
      <c r="C2205" t="str">
        <f>_xll.BDP("837545MS Muni","INSURANCE_STATUS")</f>
        <v>#N/A Requesting Data...</v>
      </c>
      <c r="D2205" t="str">
        <f>_xll.BDP("837545MS Muni","STATE_CODE")</f>
        <v>#N/A Requesting Data...</v>
      </c>
      <c r="E2205" t="str">
        <f>_xll.BDP("837545MS Muni","COUNTY_LOCATION_ISSUER")</f>
        <v>#N/A Requesting Data...</v>
      </c>
      <c r="F2205" t="str">
        <f>_xll.BDP("837545MS Muni","DUR_ADJ_MID")</f>
        <v>#N/A Requesting Data...</v>
      </c>
      <c r="G2205" t="str">
        <f>_xll.BDP("837545MS Muni","SPREAD_AT_ISSUANCE_TO_WORST")</f>
        <v>#N/A Requesting Data...</v>
      </c>
      <c r="H2205" t="str">
        <f>_xll.BDP("837545MS Muni","ISSUE_DT")</f>
        <v>#N/A Requesting Data...</v>
      </c>
      <c r="I2205" t="str">
        <f>_xll.BDS("837545MS Muni","MUNI_PURPOSE_SCHED", "aggregate=y")</f>
        <v>#N/A Requesting Data...</v>
      </c>
      <c r="J2205" t="str">
        <f>_xll.BDP("837545MS Muni","CPN")</f>
        <v>#N/A Requesting Data...</v>
      </c>
      <c r="K2205" t="str">
        <f>_xll.BDP("837545MS Muni","MATURITY")</f>
        <v>#N/A Requesting Data...</v>
      </c>
      <c r="L2205">
        <v>4355000</v>
      </c>
      <c r="M2205" t="str">
        <f>_xll.BDP("837545MS Muni","YIELD_ON_ISSUE_DATE")</f>
        <v>#N/A Requesting Data...</v>
      </c>
      <c r="N2205" t="str">
        <f>_xll.BDP("837545MS Muni","YTW_SPREAD_TO_MATURITY_AT_ISSU")</f>
        <v>#N/A Requesting Data...</v>
      </c>
      <c r="O2205" t="str">
        <f>_xll.BDP("837545MS Muni","BVAL_MID_YTM")</f>
        <v>#N/A Requesting Data...</v>
      </c>
      <c r="P2205" t="str">
        <f>_xll.BDP("837545MS Muni","MUNI_TAX_PROV")</f>
        <v>#N/A Requesting Data...</v>
      </c>
      <c r="Q2205" t="str">
        <f>_xll.BDP("837545MS Muni","MUNI_FED_TAX")</f>
        <v>#N/A Requesting Data...</v>
      </c>
      <c r="R2205" t="str">
        <f>_xll.BDP("837545MS Muni","MUNI_MSRB_VOLUME")</f>
        <v>#N/A Requesting Data...</v>
      </c>
      <c r="S2205" t="str">
        <f>_xll.BDP("837545MS Muni","BB_COMPOSITE")</f>
        <v>#N/A Requesting Data...</v>
      </c>
      <c r="T2205" t="str">
        <f>_xll.BDP("837545MS Muni","LQA_LIQUIDITY_SCORE")</f>
        <v>#N/A Requesting Data...</v>
      </c>
    </row>
    <row r="2206" spans="1:20" x14ac:dyDescent="0.25">
      <c r="A2206" t="str">
        <f>_xll.BDP("83619CBW Muni","ID_CUSIP")</f>
        <v>#N/A Requesting Data...</v>
      </c>
      <c r="B2206" t="s">
        <v>514</v>
      </c>
      <c r="C2206" t="str">
        <f>_xll.BDP("83619CBW Muni","INSURANCE_STATUS")</f>
        <v>#N/A Requesting Data...</v>
      </c>
      <c r="D2206" t="str">
        <f>_xll.BDP("83619CBW Muni","STATE_CODE")</f>
        <v>#N/A Requesting Data...</v>
      </c>
      <c r="E2206" t="str">
        <f>_xll.BDP("83619CBW Muni","COUNTY_LOCATION_ISSUER")</f>
        <v>#N/A Requesting Data...</v>
      </c>
      <c r="F2206" t="str">
        <f>_xll.BDP("83619CBW Muni","DUR_ADJ_MID")</f>
        <v>#N/A Requesting Data...</v>
      </c>
      <c r="G2206" t="str">
        <f>_xll.BDP("83619CBW Muni","SPREAD_AT_ISSUANCE_TO_WORST")</f>
        <v>#N/A Requesting Data...</v>
      </c>
      <c r="H2206" t="str">
        <f>_xll.BDP("83619CBW Muni","ISSUE_DT")</f>
        <v>#N/A Requesting Data...</v>
      </c>
      <c r="I2206" t="str">
        <f>_xll.BDS("83619CBW Muni","MUNI_PURPOSE_SCHED", "aggregate=y")</f>
        <v>#N/A Requesting Data...</v>
      </c>
      <c r="J2206" t="str">
        <f>_xll.BDP("83619CBW Muni","CPN")</f>
        <v>#N/A Requesting Data...</v>
      </c>
      <c r="K2206" t="str">
        <f>_xll.BDP("83619CBW Muni","MATURITY")</f>
        <v>#N/A Requesting Data...</v>
      </c>
      <c r="L2206">
        <v>1120000</v>
      </c>
      <c r="M2206" t="str">
        <f>_xll.BDP("83619CBW Muni","YIELD_ON_ISSUE_DATE")</f>
        <v>#N/A Requesting Data...</v>
      </c>
      <c r="N2206" t="str">
        <f>_xll.BDP("83619CBW Muni","YTW_SPREAD_TO_MATURITY_AT_ISSU")</f>
        <v>#N/A Requesting Data...</v>
      </c>
      <c r="O2206" t="str">
        <f>_xll.BDP("83619CBW Muni","BVAL_MID_YTM")</f>
        <v>#N/A Requesting Data...</v>
      </c>
      <c r="P2206" t="str">
        <f>_xll.BDP("83619CBW Muni","MUNI_TAX_PROV")</f>
        <v>#N/A Requesting Data...</v>
      </c>
      <c r="Q2206" t="str">
        <f>_xll.BDP("83619CBW Muni","MUNI_FED_TAX")</f>
        <v>#N/A Requesting Data...</v>
      </c>
      <c r="R2206" t="str">
        <f>_xll.BDP("83619CBW Muni","MUNI_MSRB_VOLUME")</f>
        <v>#N/A Requesting Data...</v>
      </c>
      <c r="S2206" t="str">
        <f>_xll.BDP("83619CBW Muni","BB_COMPOSITE")</f>
        <v>#N/A Requesting Data...</v>
      </c>
      <c r="T2206" t="str">
        <f>_xll.BDP("83619CBW Muni","LQA_LIQUIDITY_SCORE")</f>
        <v>#N/A Requesting Data...</v>
      </c>
    </row>
    <row r="2207" spans="1:20" x14ac:dyDescent="0.25">
      <c r="A2207" t="str">
        <f>_xll.BDP("83619CBZ Muni","ID_CUSIP")</f>
        <v>#N/A Requesting Data...</v>
      </c>
      <c r="B2207" t="s">
        <v>514</v>
      </c>
      <c r="C2207" t="str">
        <f>_xll.BDP("83619CBZ Muni","INSURANCE_STATUS")</f>
        <v>#N/A Requesting Data...</v>
      </c>
      <c r="D2207" t="str">
        <f>_xll.BDP("83619CBZ Muni","STATE_CODE")</f>
        <v>#N/A Requesting Data...</v>
      </c>
      <c r="E2207" t="str">
        <f>_xll.BDP("83619CBZ Muni","COUNTY_LOCATION_ISSUER")</f>
        <v>#N/A Requesting Data...</v>
      </c>
      <c r="F2207" t="str">
        <f>_xll.BDP("83619CBZ Muni","DUR_ADJ_MID")</f>
        <v>#N/A Requesting Data...</v>
      </c>
      <c r="G2207" t="str">
        <f>_xll.BDP("83619CBZ Muni","SPREAD_AT_ISSUANCE_TO_WORST")</f>
        <v>#N/A Requesting Data...</v>
      </c>
      <c r="H2207" t="str">
        <f>_xll.BDP("83619CBZ Muni","ISSUE_DT")</f>
        <v>#N/A Requesting Data...</v>
      </c>
      <c r="I2207" t="str">
        <f>_xll.BDS("83619CBZ Muni","MUNI_PURPOSE_SCHED", "aggregate=y")</f>
        <v>#N/A Requesting Data...</v>
      </c>
      <c r="J2207" t="str">
        <f>_xll.BDP("83619CBZ Muni","CPN")</f>
        <v>#N/A Requesting Data...</v>
      </c>
      <c r="K2207" t="str">
        <f>_xll.BDP("83619CBZ Muni","MATURITY")</f>
        <v>#N/A Requesting Data...</v>
      </c>
      <c r="L2207">
        <v>1315000</v>
      </c>
      <c r="M2207" t="str">
        <f>_xll.BDP("83619CBZ Muni","YIELD_ON_ISSUE_DATE")</f>
        <v>#N/A Requesting Data...</v>
      </c>
      <c r="N2207" t="str">
        <f>_xll.BDP("83619CBZ Muni","YTW_SPREAD_TO_MATURITY_AT_ISSU")</f>
        <v>#N/A Requesting Data...</v>
      </c>
      <c r="O2207" t="str">
        <f>_xll.BDP("83619CBZ Muni","BVAL_MID_YTM")</f>
        <v>#N/A Requesting Data...</v>
      </c>
      <c r="P2207" t="str">
        <f>_xll.BDP("83619CBZ Muni","MUNI_TAX_PROV")</f>
        <v>#N/A Requesting Data...</v>
      </c>
      <c r="Q2207" t="str">
        <f>_xll.BDP("83619CBZ Muni","MUNI_FED_TAX")</f>
        <v>#N/A Requesting Data...</v>
      </c>
      <c r="R2207" t="str">
        <f>_xll.BDP("83619CBZ Muni","MUNI_MSRB_VOLUME")</f>
        <v>#N/A Requesting Data...</v>
      </c>
      <c r="S2207" t="str">
        <f>_xll.BDP("83619CBZ Muni","BB_COMPOSITE")</f>
        <v>#N/A Requesting Data...</v>
      </c>
      <c r="T2207" t="str">
        <f>_xll.BDP("83619CBZ Muni","LQA_LIQUIDITY_SCORE")</f>
        <v>#N/A Requesting Data...</v>
      </c>
    </row>
    <row r="2208" spans="1:20" x14ac:dyDescent="0.25">
      <c r="A2208" t="str">
        <f>_xll.BDP("836809JF Muni","ID_CUSIP")</f>
        <v>#N/A Requesting Data...</v>
      </c>
      <c r="B2208" t="s">
        <v>515</v>
      </c>
      <c r="C2208" t="str">
        <f>_xll.BDP("836809JF Muni","INSURANCE_STATUS")</f>
        <v>#N/A Requesting Data...</v>
      </c>
      <c r="D2208" t="str">
        <f>_xll.BDP("836809JF Muni","STATE_CODE")</f>
        <v>#N/A Requesting Data...</v>
      </c>
      <c r="E2208" t="str">
        <f>_xll.BDP("836809JF Muni","COUNTY_LOCATION_ISSUER")</f>
        <v>#N/A Requesting Data...</v>
      </c>
      <c r="F2208" t="str">
        <f>_xll.BDP("836809JF Muni","DUR_ADJ_MID")</f>
        <v>#N/A Requesting Data...</v>
      </c>
      <c r="G2208" t="str">
        <f>_xll.BDP("836809JF Muni","SPREAD_AT_ISSUANCE_TO_WORST")</f>
        <v>#N/A Requesting Data...</v>
      </c>
      <c r="H2208" t="str">
        <f>_xll.BDP("836809JF Muni","ISSUE_DT")</f>
        <v>#N/A Requesting Data...</v>
      </c>
      <c r="I2208" t="str">
        <f>_xll.BDS("836809JF Muni","MUNI_PURPOSE_SCHED", "aggregate=y")</f>
        <v>#N/A Requesting Data...</v>
      </c>
      <c r="J2208" t="str">
        <f>_xll.BDP("836809JF Muni","CPN")</f>
        <v>#N/A Requesting Data...</v>
      </c>
      <c r="K2208" t="str">
        <f>_xll.BDP("836809JF Muni","MATURITY")</f>
        <v>#N/A Requesting Data...</v>
      </c>
      <c r="L2208">
        <v>80000</v>
      </c>
      <c r="M2208" t="str">
        <f>_xll.BDP("836809JF Muni","YIELD_ON_ISSUE_DATE")</f>
        <v>#N/A Requesting Data...</v>
      </c>
      <c r="N2208" t="str">
        <f>_xll.BDP("836809JF Muni","YTW_SPREAD_TO_MATURITY_AT_ISSU")</f>
        <v>#N/A Requesting Data...</v>
      </c>
      <c r="O2208" t="str">
        <f>_xll.BDP("836809JF Muni","BVAL_MID_YTM")</f>
        <v>#N/A Requesting Data...</v>
      </c>
      <c r="P2208" t="str">
        <f>_xll.BDP("836809JF Muni","MUNI_TAX_PROV")</f>
        <v>#N/A Requesting Data...</v>
      </c>
      <c r="Q2208" t="str">
        <f>_xll.BDP("836809JF Muni","MUNI_FED_TAX")</f>
        <v>#N/A Requesting Data...</v>
      </c>
      <c r="R2208" t="str">
        <f>_xll.BDP("836809JF Muni","MUNI_MSRB_VOLUME")</f>
        <v>#N/A Requesting Data...</v>
      </c>
      <c r="S2208" t="str">
        <f>_xll.BDP("836809JF Muni","BB_COMPOSITE")</f>
        <v>#N/A Requesting Data...</v>
      </c>
      <c r="T2208" t="str">
        <f>_xll.BDP("836809JF Muni","LQA_LIQUIDITY_SCORE")</f>
        <v>#N/A Requesting Data...</v>
      </c>
    </row>
    <row r="2209" spans="1:20" x14ac:dyDescent="0.25">
      <c r="A2209" t="str">
        <f>_xll.BDP("940157V7 Muni","ID_CUSIP")</f>
        <v>#N/A Requesting Data...</v>
      </c>
      <c r="B2209" t="s">
        <v>517</v>
      </c>
      <c r="C2209" t="str">
        <f>_xll.BDP("940157V7 Muni","INSURANCE_STATUS")</f>
        <v>#N/A Requesting Data...</v>
      </c>
      <c r="D2209" t="str">
        <f>_xll.BDP("940157V7 Muni","STATE_CODE")</f>
        <v>#N/A Requesting Data...</v>
      </c>
      <c r="E2209" t="str">
        <f>_xll.BDP("940157V7 Muni","COUNTY_LOCATION_ISSUER")</f>
        <v>#N/A Requesting Data...</v>
      </c>
      <c r="F2209" t="str">
        <f>_xll.BDP("940157V7 Muni","DUR_ADJ_MID")</f>
        <v>#N/A Requesting Data...</v>
      </c>
      <c r="G2209" t="str">
        <f>_xll.BDP("940157V7 Muni","SPREAD_AT_ISSUANCE_TO_WORST")</f>
        <v>#N/A Requesting Data...</v>
      </c>
      <c r="H2209" t="str">
        <f>_xll.BDP("940157V7 Muni","ISSUE_DT")</f>
        <v>#N/A Requesting Data...</v>
      </c>
      <c r="I2209" t="str">
        <f>_xll.BDS("940157V7 Muni","MUNI_PURPOSE_SCHED", "aggregate=y")</f>
        <v>#N/A Requesting Data...</v>
      </c>
      <c r="J2209" t="str">
        <f>_xll.BDP("940157V7 Muni","CPN")</f>
        <v>#N/A Requesting Data...</v>
      </c>
      <c r="K2209" t="str">
        <f>_xll.BDP("940157V7 Muni","MATURITY")</f>
        <v>#N/A Requesting Data...</v>
      </c>
      <c r="L2209">
        <v>7485000</v>
      </c>
      <c r="M2209" t="str">
        <f>_xll.BDP("940157V7 Muni","YIELD_ON_ISSUE_DATE")</f>
        <v>#N/A Requesting Data...</v>
      </c>
      <c r="N2209" t="str">
        <f>_xll.BDP("940157V7 Muni","YTW_SPREAD_TO_MATURITY_AT_ISSU")</f>
        <v>#N/A Requesting Data...</v>
      </c>
      <c r="O2209" t="str">
        <f>_xll.BDP("940157V7 Muni","BVAL_MID_YTM")</f>
        <v>#N/A Requesting Data...</v>
      </c>
      <c r="P2209" t="str">
        <f>_xll.BDP("940157V7 Muni","MUNI_TAX_PROV")</f>
        <v>#N/A Requesting Data...</v>
      </c>
      <c r="Q2209" t="str">
        <f>_xll.BDP("940157V7 Muni","MUNI_FED_TAX")</f>
        <v>#N/A Requesting Data...</v>
      </c>
      <c r="R2209" t="str">
        <f>_xll.BDP("940157V7 Muni","MUNI_MSRB_VOLUME")</f>
        <v>#N/A Requesting Data...</v>
      </c>
      <c r="S2209" t="str">
        <f>_xll.BDP("940157V7 Muni","BB_COMPOSITE")</f>
        <v>#N/A Requesting Data...</v>
      </c>
      <c r="T2209" t="str">
        <f>_xll.BDP("940157V7 Muni","LQA_LIQUIDITY_SCORE")</f>
        <v>#N/A Requesting Data...</v>
      </c>
    </row>
    <row r="2210" spans="1:20" x14ac:dyDescent="0.25">
      <c r="A2210" t="str">
        <f>_xll.BDP("941519FR Muni","ID_CUSIP")</f>
        <v>#N/A Requesting Data...</v>
      </c>
      <c r="B2210" t="s">
        <v>510</v>
      </c>
      <c r="C2210" t="str">
        <f>_xll.BDP("941519FR Muni","INSURANCE_STATUS")</f>
        <v>#N/A Requesting Data...</v>
      </c>
      <c r="D2210" t="str">
        <f>_xll.BDP("941519FR Muni","STATE_CODE")</f>
        <v>#N/A Requesting Data...</v>
      </c>
      <c r="E2210" t="str">
        <f>_xll.BDP("941519FR Muni","COUNTY_LOCATION_ISSUER")</f>
        <v>#N/A Requesting Data...</v>
      </c>
      <c r="F2210" t="str">
        <f>_xll.BDP("941519FR Muni","DUR_ADJ_MID")</f>
        <v>#N/A Requesting Data...</v>
      </c>
      <c r="G2210" t="str">
        <f>_xll.BDP("941519FR Muni","SPREAD_AT_ISSUANCE_TO_WORST")</f>
        <v>#N/A Requesting Data...</v>
      </c>
      <c r="H2210" t="str">
        <f>_xll.BDP("941519FR Muni","ISSUE_DT")</f>
        <v>#N/A Requesting Data...</v>
      </c>
      <c r="I2210" t="str">
        <f>_xll.BDS("941519FR Muni","MUNI_PURPOSE_SCHED", "aggregate=y")</f>
        <v>#N/A Requesting Data...</v>
      </c>
      <c r="J2210" t="str">
        <f>_xll.BDP("941519FR Muni","CPN")</f>
        <v>#N/A Requesting Data...</v>
      </c>
      <c r="K2210" t="str">
        <f>_xll.BDP("941519FR Muni","MATURITY")</f>
        <v>#N/A Requesting Data...</v>
      </c>
      <c r="L2210">
        <v>100000</v>
      </c>
      <c r="M2210" t="str">
        <f>_xll.BDP("941519FR Muni","YIELD_ON_ISSUE_DATE")</f>
        <v>#N/A Requesting Data...</v>
      </c>
      <c r="N2210" t="str">
        <f>_xll.BDP("941519FR Muni","YTW_SPREAD_TO_MATURITY_AT_ISSU")</f>
        <v>#N/A Requesting Data...</v>
      </c>
      <c r="O2210" t="str">
        <f>_xll.BDP("941519FR Muni","BVAL_MID_YTM")</f>
        <v>#N/A Requesting Data...</v>
      </c>
      <c r="P2210" t="str">
        <f>_xll.BDP("941519FR Muni","MUNI_TAX_PROV")</f>
        <v>#N/A Requesting Data...</v>
      </c>
      <c r="Q2210" t="str">
        <f>_xll.BDP("941519FR Muni","MUNI_FED_TAX")</f>
        <v>#N/A Requesting Data...</v>
      </c>
      <c r="R2210" t="str">
        <f>_xll.BDP("941519FR Muni","MUNI_MSRB_VOLUME")</f>
        <v>#N/A Requesting Data...</v>
      </c>
      <c r="S2210" t="str">
        <f>_xll.BDP("941519FR Muni","BB_COMPOSITE")</f>
        <v>#N/A Requesting Data...</v>
      </c>
      <c r="T2210" t="str">
        <f>_xll.BDP("941519FR Muni","LQA_LIQUIDITY_SCORE")</f>
        <v>#N/A Requesting Data...</v>
      </c>
    </row>
    <row r="2211" spans="1:20" x14ac:dyDescent="0.25">
      <c r="A2211" t="str">
        <f>_xll.BDP("940157V8 Muni","ID_CUSIP")</f>
        <v>#N/A Requesting Data...</v>
      </c>
      <c r="B2211" t="s">
        <v>517</v>
      </c>
      <c r="C2211" t="str">
        <f>_xll.BDP("940157V8 Muni","INSURANCE_STATUS")</f>
        <v>#N/A Requesting Data...</v>
      </c>
      <c r="D2211" t="str">
        <f>_xll.BDP("940157V8 Muni","STATE_CODE")</f>
        <v>#N/A Requesting Data...</v>
      </c>
      <c r="E2211" t="str">
        <f>_xll.BDP("940157V8 Muni","COUNTY_LOCATION_ISSUER")</f>
        <v>#N/A Requesting Data...</v>
      </c>
      <c r="F2211" t="str">
        <f>_xll.BDP("940157V8 Muni","DUR_ADJ_MID")</f>
        <v>#N/A Requesting Data...</v>
      </c>
      <c r="G2211" t="str">
        <f>_xll.BDP("940157V8 Muni","SPREAD_AT_ISSUANCE_TO_WORST")</f>
        <v>#N/A Requesting Data...</v>
      </c>
      <c r="H2211" t="str">
        <f>_xll.BDP("940157V8 Muni","ISSUE_DT")</f>
        <v>#N/A Requesting Data...</v>
      </c>
      <c r="I2211" t="str">
        <f>_xll.BDS("940157V8 Muni","MUNI_PURPOSE_SCHED", "aggregate=y")</f>
        <v>#N/A Requesting Data...</v>
      </c>
      <c r="J2211" t="str">
        <f>_xll.BDP("940157V8 Muni","CPN")</f>
        <v>#N/A Requesting Data...</v>
      </c>
      <c r="K2211" t="str">
        <f>_xll.BDP("940157V8 Muni","MATURITY")</f>
        <v>#N/A Requesting Data...</v>
      </c>
      <c r="L2211">
        <v>7860000</v>
      </c>
      <c r="M2211" t="str">
        <f>_xll.BDP("940157V8 Muni","YIELD_ON_ISSUE_DATE")</f>
        <v>#N/A Requesting Data...</v>
      </c>
      <c r="N2211" t="str">
        <f>_xll.BDP("940157V8 Muni","YTW_SPREAD_TO_MATURITY_AT_ISSU")</f>
        <v>#N/A Requesting Data...</v>
      </c>
      <c r="O2211" t="str">
        <f>_xll.BDP("940157V8 Muni","BVAL_MID_YTM")</f>
        <v>#N/A Requesting Data...</v>
      </c>
      <c r="P2211" t="str">
        <f>_xll.BDP("940157V8 Muni","MUNI_TAX_PROV")</f>
        <v>#N/A Requesting Data...</v>
      </c>
      <c r="Q2211" t="str">
        <f>_xll.BDP("940157V8 Muni","MUNI_FED_TAX")</f>
        <v>#N/A Requesting Data...</v>
      </c>
      <c r="R2211" t="str">
        <f>_xll.BDP("940157V8 Muni","MUNI_MSRB_VOLUME")</f>
        <v>#N/A Requesting Data...</v>
      </c>
      <c r="S2211" t="str">
        <f>_xll.BDP("940157V8 Muni","BB_COMPOSITE")</f>
        <v>#N/A Requesting Data...</v>
      </c>
      <c r="T2211" t="str">
        <f>_xll.BDP("940157V8 Muni","LQA_LIQUIDITY_SCORE")</f>
        <v>#N/A Requesting Data...</v>
      </c>
    </row>
    <row r="2212" spans="1:20" x14ac:dyDescent="0.25">
      <c r="A2212" t="str">
        <f>_xll.BDP("940157W2 Muni","ID_CUSIP")</f>
        <v>#N/A Requesting Data...</v>
      </c>
      <c r="B2212" t="s">
        <v>517</v>
      </c>
      <c r="C2212" t="str">
        <f>_xll.BDP("940157W2 Muni","INSURANCE_STATUS")</f>
        <v>#N/A Requesting Data...</v>
      </c>
      <c r="D2212" t="str">
        <f>_xll.BDP("940157W2 Muni","STATE_CODE")</f>
        <v>#N/A Requesting Data...</v>
      </c>
      <c r="E2212" t="str">
        <f>_xll.BDP("940157W2 Muni","COUNTY_LOCATION_ISSUER")</f>
        <v>#N/A Requesting Data...</v>
      </c>
      <c r="F2212" t="str">
        <f>_xll.BDP("940157W2 Muni","DUR_ADJ_MID")</f>
        <v>#N/A Requesting Data...</v>
      </c>
      <c r="G2212" t="str">
        <f>_xll.BDP("940157W2 Muni","SPREAD_AT_ISSUANCE_TO_WORST")</f>
        <v>#N/A Requesting Data...</v>
      </c>
      <c r="H2212" t="str">
        <f>_xll.BDP("940157W2 Muni","ISSUE_DT")</f>
        <v>#N/A Requesting Data...</v>
      </c>
      <c r="I2212" t="str">
        <f>_xll.BDS("940157W2 Muni","MUNI_PURPOSE_SCHED", "aggregate=y")</f>
        <v>#N/A Requesting Data...</v>
      </c>
      <c r="J2212" t="str">
        <f>_xll.BDP("940157W2 Muni","CPN")</f>
        <v>#N/A Requesting Data...</v>
      </c>
      <c r="K2212" t="str">
        <f>_xll.BDP("940157W2 Muni","MATURITY")</f>
        <v>#N/A Requesting Data...</v>
      </c>
      <c r="L2212">
        <v>8665000</v>
      </c>
      <c r="M2212" t="str">
        <f>_xll.BDP("940157W2 Muni","YIELD_ON_ISSUE_DATE")</f>
        <v>#N/A Requesting Data...</v>
      </c>
      <c r="N2212" t="str">
        <f>_xll.BDP("940157W2 Muni","YTW_SPREAD_TO_MATURITY_AT_ISSU")</f>
        <v>#N/A Requesting Data...</v>
      </c>
      <c r="O2212" t="str">
        <f>_xll.BDP("940157W2 Muni","BVAL_MID_YTM")</f>
        <v>#N/A Requesting Data...</v>
      </c>
      <c r="P2212" t="str">
        <f>_xll.BDP("940157W2 Muni","MUNI_TAX_PROV")</f>
        <v>#N/A Requesting Data...</v>
      </c>
      <c r="Q2212" t="str">
        <f>_xll.BDP("940157W2 Muni","MUNI_FED_TAX")</f>
        <v>#N/A Requesting Data...</v>
      </c>
      <c r="R2212" t="str">
        <f>_xll.BDP("940157W2 Muni","MUNI_MSRB_VOLUME")</f>
        <v>#N/A Requesting Data...</v>
      </c>
      <c r="S2212" t="str">
        <f>_xll.BDP("940157W2 Muni","BB_COMPOSITE")</f>
        <v>#N/A Requesting Data...</v>
      </c>
      <c r="T2212" t="str">
        <f>_xll.BDP("940157W2 Muni","LQA_LIQUIDITY_SCORE")</f>
        <v>#N/A Requesting Data...</v>
      </c>
    </row>
    <row r="2213" spans="1:20" x14ac:dyDescent="0.25">
      <c r="A2213" t="str">
        <f>_xll.BDP("922252FM Muni","ID_CUSIP")</f>
        <v>#N/A Requesting Data...</v>
      </c>
      <c r="B2213" t="s">
        <v>518</v>
      </c>
      <c r="C2213" t="str">
        <f>_xll.BDP("922252FM Muni","INSURANCE_STATUS")</f>
        <v>#N/A Requesting Data...</v>
      </c>
      <c r="D2213" t="str">
        <f>_xll.BDP("922252FM Muni","STATE_CODE")</f>
        <v>#N/A Requesting Data...</v>
      </c>
      <c r="E2213" t="str">
        <f>_xll.BDP("922252FM Muni","COUNTY_LOCATION_ISSUER")</f>
        <v>#N/A Requesting Data...</v>
      </c>
      <c r="F2213" t="str">
        <f>_xll.BDP("922252FM Muni","DUR_ADJ_MID")</f>
        <v>#N/A Requesting Data...</v>
      </c>
      <c r="G2213" t="str">
        <f>_xll.BDP("922252FM Muni","SPREAD_AT_ISSUANCE_TO_WORST")</f>
        <v>#N/A Requesting Data...</v>
      </c>
      <c r="H2213" t="str">
        <f>_xll.BDP("922252FM Muni","ISSUE_DT")</f>
        <v>#N/A Requesting Data...</v>
      </c>
      <c r="I2213" t="str">
        <f>_xll.BDS("922252FM Muni","MUNI_PURPOSE_SCHED", "aggregate=y")</f>
        <v>#N/A Requesting Data...</v>
      </c>
      <c r="J2213" t="str">
        <f>_xll.BDP("922252FM Muni","CPN")</f>
        <v>#N/A Requesting Data...</v>
      </c>
      <c r="K2213" t="str">
        <f>_xll.BDP("922252FM Muni","MATURITY")</f>
        <v>#N/A Requesting Data...</v>
      </c>
      <c r="L2213">
        <v>135000</v>
      </c>
      <c r="M2213" t="str">
        <f>_xll.BDP("922252FM Muni","YIELD_ON_ISSUE_DATE")</f>
        <v>#N/A Requesting Data...</v>
      </c>
      <c r="N2213" t="str">
        <f>_xll.BDP("922252FM Muni","YTW_SPREAD_TO_MATURITY_AT_ISSU")</f>
        <v>#N/A Requesting Data...</v>
      </c>
      <c r="O2213" t="str">
        <f>_xll.BDP("922252FM Muni","BVAL_MID_YTM")</f>
        <v>#N/A Requesting Data...</v>
      </c>
      <c r="P2213" t="str">
        <f>_xll.BDP("922252FM Muni","MUNI_TAX_PROV")</f>
        <v>#N/A Requesting Data...</v>
      </c>
      <c r="Q2213" t="str">
        <f>_xll.BDP("922252FM Muni","MUNI_FED_TAX")</f>
        <v>#N/A Requesting Data...</v>
      </c>
      <c r="R2213" t="str">
        <f>_xll.BDP("922252FM Muni","MUNI_MSRB_VOLUME")</f>
        <v>#N/A Requesting Data...</v>
      </c>
      <c r="S2213" t="str">
        <f>_xll.BDP("922252FM Muni","BB_COMPOSITE")</f>
        <v>#N/A Requesting Data...</v>
      </c>
      <c r="T2213" t="str">
        <f>_xll.BDP("922252FM Muni","LQA_LIQUIDITY_SCORE")</f>
        <v>#N/A Requesting Data...</v>
      </c>
    </row>
    <row r="2214" spans="1:20" x14ac:dyDescent="0.25">
      <c r="A2214" t="str">
        <f>_xll.BDP("961197DC Muni","ID_CUSIP")</f>
        <v>#N/A Requesting Data...</v>
      </c>
      <c r="B2214" t="s">
        <v>519</v>
      </c>
      <c r="C2214" t="str">
        <f>_xll.BDP("961197DC Muni","INSURANCE_STATUS")</f>
        <v>#N/A Requesting Data...</v>
      </c>
      <c r="D2214" t="str">
        <f>_xll.BDP("961197DC Muni","STATE_CODE")</f>
        <v>#N/A Requesting Data...</v>
      </c>
      <c r="E2214" t="str">
        <f>_xll.BDP("961197DC Muni","COUNTY_LOCATION_ISSUER")</f>
        <v>#N/A Requesting Data...</v>
      </c>
      <c r="F2214" t="str">
        <f>_xll.BDP("961197DC Muni","DUR_ADJ_MID")</f>
        <v>#N/A Requesting Data...</v>
      </c>
      <c r="G2214" t="str">
        <f>_xll.BDP("961197DC Muni","SPREAD_AT_ISSUANCE_TO_WORST")</f>
        <v>#N/A Requesting Data...</v>
      </c>
      <c r="H2214" t="str">
        <f>_xll.BDP("961197DC Muni","ISSUE_DT")</f>
        <v>#N/A Requesting Data...</v>
      </c>
      <c r="I2214" t="str">
        <f>_xll.BDS("961197DC Muni","MUNI_PURPOSE_SCHED", "aggregate=y")</f>
        <v>#N/A Requesting Data...</v>
      </c>
      <c r="J2214" t="str">
        <f>_xll.BDP("961197DC Muni","CPN")</f>
        <v>#N/A Requesting Data...</v>
      </c>
      <c r="K2214" t="str">
        <f>_xll.BDP("961197DC Muni","MATURITY")</f>
        <v>#N/A Requesting Data...</v>
      </c>
      <c r="L2214">
        <v>160000</v>
      </c>
      <c r="M2214" t="str">
        <f>_xll.BDP("961197DC Muni","YIELD_ON_ISSUE_DATE")</f>
        <v>#N/A Requesting Data...</v>
      </c>
      <c r="N2214" t="str">
        <f>_xll.BDP("961197DC Muni","YTW_SPREAD_TO_MATURITY_AT_ISSU")</f>
        <v>#N/A Requesting Data...</v>
      </c>
      <c r="O2214" t="str">
        <f>_xll.BDP("961197DC Muni","BVAL_MID_YTM")</f>
        <v>#N/A Requesting Data...</v>
      </c>
      <c r="P2214" t="str">
        <f>_xll.BDP("961197DC Muni","MUNI_TAX_PROV")</f>
        <v>#N/A Requesting Data...</v>
      </c>
      <c r="Q2214" t="str">
        <f>_xll.BDP("961197DC Muni","MUNI_FED_TAX")</f>
        <v>#N/A Requesting Data...</v>
      </c>
      <c r="R2214" t="str">
        <f>_xll.BDP("961197DC Muni","MUNI_MSRB_VOLUME")</f>
        <v>#N/A Requesting Data...</v>
      </c>
      <c r="S2214" t="str">
        <f>_xll.BDP("961197DC Muni","BB_COMPOSITE")</f>
        <v>#N/A Requesting Data...</v>
      </c>
      <c r="T2214" t="str">
        <f>_xll.BDP("961197DC Muni","LQA_LIQUIDITY_SCORE")</f>
        <v>#N/A Requesting Data...</v>
      </c>
    </row>
    <row r="2215" spans="1:20" x14ac:dyDescent="0.25">
      <c r="A2215" t="str">
        <f>_xll.BDP("952531BW Muni","ID_CUSIP")</f>
        <v>#N/A Requesting Data...</v>
      </c>
      <c r="B2215" t="s">
        <v>520</v>
      </c>
      <c r="C2215" t="str">
        <f>_xll.BDP("952531BW Muni","INSURANCE_STATUS")</f>
        <v>#N/A Requesting Data...</v>
      </c>
      <c r="D2215" t="str">
        <f>_xll.BDP("952531BW Muni","STATE_CODE")</f>
        <v>#N/A Requesting Data...</v>
      </c>
      <c r="E2215" t="str">
        <f>_xll.BDP("952531BW Muni","COUNTY_LOCATION_ISSUER")</f>
        <v>#N/A Requesting Data...</v>
      </c>
      <c r="F2215" t="str">
        <f>_xll.BDP("952531BW Muni","DUR_ADJ_MID")</f>
        <v>#N/A Requesting Data...</v>
      </c>
      <c r="G2215" t="str">
        <f>_xll.BDP("952531BW Muni","SPREAD_AT_ISSUANCE_TO_WORST")</f>
        <v>#N/A Requesting Data...</v>
      </c>
      <c r="H2215" t="str">
        <f>_xll.BDP("952531BW Muni","ISSUE_DT")</f>
        <v>#N/A Requesting Data...</v>
      </c>
      <c r="I2215" t="str">
        <f>_xll.BDS("952531BW Muni","MUNI_PURPOSE_SCHED", "aggregate=y")</f>
        <v>#N/A Requesting Data...</v>
      </c>
      <c r="J2215" t="str">
        <f>_xll.BDP("952531BW Muni","CPN")</f>
        <v>#N/A Requesting Data...</v>
      </c>
      <c r="K2215" t="str">
        <f>_xll.BDP("952531BW Muni","MATURITY")</f>
        <v>#N/A Requesting Data...</v>
      </c>
      <c r="L2215">
        <v>500000</v>
      </c>
      <c r="M2215" t="str">
        <f>_xll.BDP("952531BW Muni","YIELD_ON_ISSUE_DATE")</f>
        <v>#N/A Requesting Data...</v>
      </c>
      <c r="N2215" t="str">
        <f>_xll.BDP("952531BW Muni","YTW_SPREAD_TO_MATURITY_AT_ISSU")</f>
        <v>#N/A Requesting Data...</v>
      </c>
      <c r="O2215" t="str">
        <f>_xll.BDP("952531BW Muni","BVAL_MID_YTM")</f>
        <v>#N/A Requesting Data...</v>
      </c>
      <c r="P2215" t="str">
        <f>_xll.BDP("952531BW Muni","MUNI_TAX_PROV")</f>
        <v>#N/A Requesting Data...</v>
      </c>
      <c r="Q2215" t="str">
        <f>_xll.BDP("952531BW Muni","MUNI_FED_TAX")</f>
        <v>#N/A Requesting Data...</v>
      </c>
      <c r="R2215" t="str">
        <f>_xll.BDP("952531BW Muni","MUNI_MSRB_VOLUME")</f>
        <v>#N/A Requesting Data...</v>
      </c>
      <c r="S2215" t="str">
        <f>_xll.BDP("952531BW Muni","BB_COMPOSITE")</f>
        <v>#N/A Requesting Data...</v>
      </c>
      <c r="T2215" t="str">
        <f>_xll.BDP("952531BW Muni","LQA_LIQUIDITY_SCORE")</f>
        <v>#N/A Requesting Data...</v>
      </c>
    </row>
    <row r="2216" spans="1:20" x14ac:dyDescent="0.25">
      <c r="A2216" t="str">
        <f>_xll.BDP("952531BY Muni","ID_CUSIP")</f>
        <v>#N/A Requesting Data...</v>
      </c>
      <c r="B2216" t="s">
        <v>520</v>
      </c>
      <c r="C2216" t="str">
        <f>_xll.BDP("952531BY Muni","INSURANCE_STATUS")</f>
        <v>#N/A Requesting Data...</v>
      </c>
      <c r="D2216" t="str">
        <f>_xll.BDP("952531BY Muni","STATE_CODE")</f>
        <v>#N/A Requesting Data...</v>
      </c>
      <c r="E2216" t="str">
        <f>_xll.BDP("952531BY Muni","COUNTY_LOCATION_ISSUER")</f>
        <v>#N/A Requesting Data...</v>
      </c>
      <c r="F2216" t="str">
        <f>_xll.BDP("952531BY Muni","DUR_ADJ_MID")</f>
        <v>#N/A Requesting Data...</v>
      </c>
      <c r="G2216" t="str">
        <f>_xll.BDP("952531BY Muni","SPREAD_AT_ISSUANCE_TO_WORST")</f>
        <v>#N/A Requesting Data...</v>
      </c>
      <c r="H2216" t="str">
        <f>_xll.BDP("952531BY Muni","ISSUE_DT")</f>
        <v>#N/A Requesting Data...</v>
      </c>
      <c r="I2216" t="str">
        <f>_xll.BDS("952531BY Muni","MUNI_PURPOSE_SCHED", "aggregate=y")</f>
        <v>#N/A Requesting Data...</v>
      </c>
      <c r="J2216" t="str">
        <f>_xll.BDP("952531BY Muni","CPN")</f>
        <v>#N/A Requesting Data...</v>
      </c>
      <c r="K2216" t="str">
        <f>_xll.BDP("952531BY Muni","MATURITY")</f>
        <v>#N/A Requesting Data...</v>
      </c>
      <c r="L2216">
        <v>600000</v>
      </c>
      <c r="M2216" t="str">
        <f>_xll.BDP("952531BY Muni","YIELD_ON_ISSUE_DATE")</f>
        <v>#N/A Requesting Data...</v>
      </c>
      <c r="N2216" t="str">
        <f>_xll.BDP("952531BY Muni","YTW_SPREAD_TO_MATURITY_AT_ISSU")</f>
        <v>#N/A Requesting Data...</v>
      </c>
      <c r="O2216" t="str">
        <f>_xll.BDP("952531BY Muni","BVAL_MID_YTM")</f>
        <v>#N/A Requesting Data...</v>
      </c>
      <c r="P2216" t="str">
        <f>_xll.BDP("952531BY Muni","MUNI_TAX_PROV")</f>
        <v>#N/A Requesting Data...</v>
      </c>
      <c r="Q2216" t="str">
        <f>_xll.BDP("952531BY Muni","MUNI_FED_TAX")</f>
        <v>#N/A Requesting Data...</v>
      </c>
      <c r="R2216" t="str">
        <f>_xll.BDP("952531BY Muni","MUNI_MSRB_VOLUME")</f>
        <v>#N/A Requesting Data...</v>
      </c>
      <c r="S2216" t="str">
        <f>_xll.BDP("952531BY Muni","BB_COMPOSITE")</f>
        <v>#N/A Requesting Data...</v>
      </c>
      <c r="T2216" t="str">
        <f>_xll.BDP("952531BY Muni","LQA_LIQUIDITY_SCORE")</f>
        <v>#N/A Requesting Data...</v>
      </c>
    </row>
    <row r="2217" spans="1:20" x14ac:dyDescent="0.25">
      <c r="A2217" t="str">
        <f>_xll.BDP("953020AG Muni","ID_CUSIP")</f>
        <v>#N/A Requesting Data...</v>
      </c>
      <c r="B2217" t="s">
        <v>521</v>
      </c>
      <c r="C2217" t="str">
        <f>_xll.BDP("953020AG Muni","INSURANCE_STATUS")</f>
        <v>#N/A Requesting Data...</v>
      </c>
      <c r="D2217" t="str">
        <f>_xll.BDP("953020AG Muni","STATE_CODE")</f>
        <v>#N/A Requesting Data...</v>
      </c>
      <c r="E2217" t="str">
        <f>_xll.BDP("953020AG Muni","COUNTY_LOCATION_ISSUER")</f>
        <v>#N/A Requesting Data...</v>
      </c>
      <c r="F2217" t="str">
        <f>_xll.BDP("953020AG Muni","DUR_ADJ_MID")</f>
        <v>#N/A Requesting Data...</v>
      </c>
      <c r="G2217" t="str">
        <f>_xll.BDP("953020AG Muni","SPREAD_AT_ISSUANCE_TO_WORST")</f>
        <v>#N/A Requesting Data...</v>
      </c>
      <c r="H2217" t="str">
        <f>_xll.BDP("953020AG Muni","ISSUE_DT")</f>
        <v>#N/A Requesting Data...</v>
      </c>
      <c r="I2217" t="str">
        <f>_xll.BDS("953020AG Muni","MUNI_PURPOSE_SCHED", "aggregate=y")</f>
        <v>#N/A Requesting Data...</v>
      </c>
      <c r="J2217" t="str">
        <f>_xll.BDP("953020AG Muni","CPN")</f>
        <v>#N/A Requesting Data...</v>
      </c>
      <c r="K2217" t="str">
        <f>_xll.BDP("953020AG Muni","MATURITY")</f>
        <v>#N/A Requesting Data...</v>
      </c>
      <c r="L2217">
        <v>95000</v>
      </c>
      <c r="M2217" t="str">
        <f>_xll.BDP("953020AG Muni","YIELD_ON_ISSUE_DATE")</f>
        <v>#N/A Requesting Data...</v>
      </c>
      <c r="N2217" t="str">
        <f>_xll.BDP("953020AG Muni","YTW_SPREAD_TO_MATURITY_AT_ISSU")</f>
        <v>#N/A Requesting Data...</v>
      </c>
      <c r="O2217" t="str">
        <f>_xll.BDP("953020AG Muni","BVAL_MID_YTM")</f>
        <v>#N/A Requesting Data...</v>
      </c>
      <c r="P2217" t="str">
        <f>_xll.BDP("953020AG Muni","MUNI_TAX_PROV")</f>
        <v>#N/A Requesting Data...</v>
      </c>
      <c r="Q2217" t="str">
        <f>_xll.BDP("953020AG Muni","MUNI_FED_TAX")</f>
        <v>#N/A Requesting Data...</v>
      </c>
      <c r="R2217" t="str">
        <f>_xll.BDP("953020AG Muni","MUNI_MSRB_VOLUME")</f>
        <v>#N/A Requesting Data...</v>
      </c>
      <c r="S2217" t="str">
        <f>_xll.BDP("953020AG Muni","BB_COMPOSITE")</f>
        <v>#N/A Requesting Data...</v>
      </c>
      <c r="T2217" t="str">
        <f>_xll.BDP("953020AG Muni","LQA_LIQUIDITY_SCORE")</f>
        <v>#N/A Requesting Data...</v>
      </c>
    </row>
    <row r="2218" spans="1:20" x14ac:dyDescent="0.25">
      <c r="A2218" t="str">
        <f>_xll.BDP("953086MR Muni","ID_CUSIP")</f>
        <v>#N/A Requesting Data...</v>
      </c>
      <c r="B2218" t="s">
        <v>522</v>
      </c>
      <c r="C2218" t="str">
        <f>_xll.BDP("953086MR Muni","INSURANCE_STATUS")</f>
        <v>#N/A Requesting Data...</v>
      </c>
      <c r="D2218" t="str">
        <f>_xll.BDP("953086MR Muni","STATE_CODE")</f>
        <v>#N/A Requesting Data...</v>
      </c>
      <c r="E2218" t="str">
        <f>_xll.BDP("953086MR Muni","COUNTY_LOCATION_ISSUER")</f>
        <v>#N/A Requesting Data...</v>
      </c>
      <c r="F2218" t="str">
        <f>_xll.BDP("953086MR Muni","DUR_ADJ_MID")</f>
        <v>#N/A Requesting Data...</v>
      </c>
      <c r="G2218" t="str">
        <f>_xll.BDP("953086MR Muni","SPREAD_AT_ISSUANCE_TO_WORST")</f>
        <v>#N/A Requesting Data...</v>
      </c>
      <c r="H2218" t="str">
        <f>_xll.BDP("953086MR Muni","ISSUE_DT")</f>
        <v>#N/A Requesting Data...</v>
      </c>
      <c r="I2218" t="str">
        <f>_xll.BDS("953086MR Muni","MUNI_PURPOSE_SCHED", "aggregate=y")</f>
        <v>#N/A Requesting Data...</v>
      </c>
      <c r="J2218" t="str">
        <f>_xll.BDP("953086MR Muni","CPN")</f>
        <v>#N/A Requesting Data...</v>
      </c>
      <c r="K2218" t="str">
        <f>_xll.BDP("953086MR Muni","MATURITY")</f>
        <v>#N/A Requesting Data...</v>
      </c>
      <c r="L2218">
        <v>75000</v>
      </c>
      <c r="M2218" t="str">
        <f>_xll.BDP("953086MR Muni","YIELD_ON_ISSUE_DATE")</f>
        <v>#N/A Requesting Data...</v>
      </c>
      <c r="N2218" t="str">
        <f>_xll.BDP("953086MR Muni","YTW_SPREAD_TO_MATURITY_AT_ISSU")</f>
        <v>#N/A Requesting Data...</v>
      </c>
      <c r="O2218" t="str">
        <f>_xll.BDP("953086MR Muni","BVAL_MID_YTM")</f>
        <v>#N/A Requesting Data...</v>
      </c>
      <c r="P2218" t="str">
        <f>_xll.BDP("953086MR Muni","MUNI_TAX_PROV")</f>
        <v>#N/A Requesting Data...</v>
      </c>
      <c r="Q2218" t="str">
        <f>_xll.BDP("953086MR Muni","MUNI_FED_TAX")</f>
        <v>#N/A Requesting Data...</v>
      </c>
      <c r="R2218" t="str">
        <f>_xll.BDP("953086MR Muni","MUNI_MSRB_VOLUME")</f>
        <v>#N/A Requesting Data...</v>
      </c>
      <c r="S2218" t="str">
        <f>_xll.BDP("953086MR Muni","BB_COMPOSITE")</f>
        <v>#N/A Requesting Data...</v>
      </c>
      <c r="T2218" t="str">
        <f>_xll.BDP("953086MR Muni","LQA_LIQUIDITY_SCORE")</f>
        <v>#N/A Requesting Data...</v>
      </c>
    </row>
    <row r="2219" spans="1:20" x14ac:dyDescent="0.25">
      <c r="A2219" t="str">
        <f>_xll.BDP("979686LS Muni","ID_CUSIP")</f>
        <v>#N/A Requesting Data...</v>
      </c>
      <c r="B2219" t="s">
        <v>523</v>
      </c>
      <c r="C2219" t="str">
        <f>_xll.BDP("979686LS Muni","INSURANCE_STATUS")</f>
        <v>#N/A Requesting Data...</v>
      </c>
      <c r="D2219" t="str">
        <f>_xll.BDP("979686LS Muni","STATE_CODE")</f>
        <v>#N/A Requesting Data...</v>
      </c>
      <c r="E2219" t="str">
        <f>_xll.BDP("979686LS Muni","COUNTY_LOCATION_ISSUER")</f>
        <v>#N/A Requesting Data...</v>
      </c>
      <c r="F2219" t="str">
        <f>_xll.BDP("979686LS Muni","DUR_ADJ_MID")</f>
        <v>#N/A Requesting Data...</v>
      </c>
      <c r="G2219" t="str">
        <f>_xll.BDP("979686LS Muni","SPREAD_AT_ISSUANCE_TO_WORST")</f>
        <v>#N/A Requesting Data...</v>
      </c>
      <c r="H2219" t="str">
        <f>_xll.BDP("979686LS Muni","ISSUE_DT")</f>
        <v>#N/A Requesting Data...</v>
      </c>
      <c r="I2219" t="str">
        <f>_xll.BDS("979686LS Muni","MUNI_PURPOSE_SCHED", "aggregate=y")</f>
        <v>#N/A Requesting Data...</v>
      </c>
      <c r="J2219" t="str">
        <f>_xll.BDP("979686LS Muni","CPN")</f>
        <v>#N/A Requesting Data...</v>
      </c>
      <c r="K2219" t="str">
        <f>_xll.BDP("979686LS Muni","MATURITY")</f>
        <v>#N/A Requesting Data...</v>
      </c>
      <c r="L2219">
        <v>280000</v>
      </c>
      <c r="M2219" t="str">
        <f>_xll.BDP("979686LS Muni","YIELD_ON_ISSUE_DATE")</f>
        <v>#N/A Requesting Data...</v>
      </c>
      <c r="N2219" t="str">
        <f>_xll.BDP("979686LS Muni","YTW_SPREAD_TO_MATURITY_AT_ISSU")</f>
        <v>#N/A Requesting Data...</v>
      </c>
      <c r="O2219" t="str">
        <f>_xll.BDP("979686LS Muni","BVAL_MID_YTM")</f>
        <v>#N/A Requesting Data...</v>
      </c>
      <c r="P2219" t="str">
        <f>_xll.BDP("979686LS Muni","MUNI_TAX_PROV")</f>
        <v>#N/A Requesting Data...</v>
      </c>
      <c r="Q2219" t="str">
        <f>_xll.BDP("979686LS Muni","MUNI_FED_TAX")</f>
        <v>#N/A Requesting Data...</v>
      </c>
      <c r="R2219" t="str">
        <f>_xll.BDP("979686LS Muni","MUNI_MSRB_VOLUME")</f>
        <v>#N/A Requesting Data...</v>
      </c>
      <c r="S2219" t="str">
        <f>_xll.BDP("979686LS Muni","BB_COMPOSITE")</f>
        <v>#N/A Requesting Data...</v>
      </c>
      <c r="T2219" t="str">
        <f>_xll.BDP("979686LS Muni","LQA_LIQUIDITY_SCORE")</f>
        <v>#N/A Requesting Data...</v>
      </c>
    </row>
    <row r="2220" spans="1:20" x14ac:dyDescent="0.25">
      <c r="A2220" t="str">
        <f>_xll.BDP("979686LT Muni","ID_CUSIP")</f>
        <v>#N/A Requesting Data...</v>
      </c>
      <c r="B2220" t="s">
        <v>523</v>
      </c>
      <c r="C2220" t="str">
        <f>_xll.BDP("979686LT Muni","INSURANCE_STATUS")</f>
        <v>#N/A Requesting Data...</v>
      </c>
      <c r="D2220" t="str">
        <f>_xll.BDP("979686LT Muni","STATE_CODE")</f>
        <v>#N/A Requesting Data...</v>
      </c>
      <c r="E2220" t="str">
        <f>_xll.BDP("979686LT Muni","COUNTY_LOCATION_ISSUER")</f>
        <v>#N/A Requesting Data...</v>
      </c>
      <c r="F2220" t="str">
        <f>_xll.BDP("979686LT Muni","DUR_ADJ_MID")</f>
        <v>#N/A Requesting Data...</v>
      </c>
      <c r="G2220" t="str">
        <f>_xll.BDP("979686LT Muni","SPREAD_AT_ISSUANCE_TO_WORST")</f>
        <v>#N/A Requesting Data...</v>
      </c>
      <c r="H2220" t="str">
        <f>_xll.BDP("979686LT Muni","ISSUE_DT")</f>
        <v>#N/A Requesting Data...</v>
      </c>
      <c r="I2220" t="str">
        <f>_xll.BDS("979686LT Muni","MUNI_PURPOSE_SCHED", "aggregate=y")</f>
        <v>#N/A Requesting Data...</v>
      </c>
      <c r="J2220" t="str">
        <f>_xll.BDP("979686LT Muni","CPN")</f>
        <v>#N/A Requesting Data...</v>
      </c>
      <c r="K2220" t="str">
        <f>_xll.BDP("979686LT Muni","MATURITY")</f>
        <v>#N/A Requesting Data...</v>
      </c>
      <c r="L2220">
        <v>290000</v>
      </c>
      <c r="M2220" t="str">
        <f>_xll.BDP("979686LT Muni","YIELD_ON_ISSUE_DATE")</f>
        <v>#N/A Requesting Data...</v>
      </c>
      <c r="N2220" t="str">
        <f>_xll.BDP("979686LT Muni","YTW_SPREAD_TO_MATURITY_AT_ISSU")</f>
        <v>#N/A Requesting Data...</v>
      </c>
      <c r="O2220" t="str">
        <f>_xll.BDP("979686LT Muni","BVAL_MID_YTM")</f>
        <v>#N/A Requesting Data...</v>
      </c>
      <c r="P2220" t="str">
        <f>_xll.BDP("979686LT Muni","MUNI_TAX_PROV")</f>
        <v>#N/A Requesting Data...</v>
      </c>
      <c r="Q2220" t="str">
        <f>_xll.BDP("979686LT Muni","MUNI_FED_TAX")</f>
        <v>#N/A Requesting Data...</v>
      </c>
      <c r="R2220" t="str">
        <f>_xll.BDP("979686LT Muni","MUNI_MSRB_VOLUME")</f>
        <v>#N/A Requesting Data...</v>
      </c>
      <c r="S2220" t="str">
        <f>_xll.BDP("979686LT Muni","BB_COMPOSITE")</f>
        <v>#N/A Requesting Data...</v>
      </c>
      <c r="T2220" t="str">
        <f>_xll.BDP("979686LT Muni","LQA_LIQUIDITY_SCORE")</f>
        <v>#N/A Requesting Data...</v>
      </c>
    </row>
    <row r="2221" spans="1:20" x14ac:dyDescent="0.25">
      <c r="A2221" t="str">
        <f>_xll.BDP("97989WCF Muni","ID_CUSIP")</f>
        <v>#N/A Requesting Data...</v>
      </c>
      <c r="B2221" t="s">
        <v>524</v>
      </c>
      <c r="C2221" t="str">
        <f>_xll.BDP("97989WCF Muni","INSURANCE_STATUS")</f>
        <v>#N/A Requesting Data...</v>
      </c>
      <c r="D2221" t="str">
        <f>_xll.BDP("97989WCF Muni","STATE_CODE")</f>
        <v>#N/A Requesting Data...</v>
      </c>
      <c r="E2221" t="str">
        <f>_xll.BDP("97989WCF Muni","COUNTY_LOCATION_ISSUER")</f>
        <v>#N/A Requesting Data...</v>
      </c>
      <c r="F2221" t="str">
        <f>_xll.BDP("97989WCF Muni","DUR_ADJ_MID")</f>
        <v>#N/A Requesting Data...</v>
      </c>
      <c r="G2221" t="str">
        <f>_xll.BDP("97989WCF Muni","SPREAD_AT_ISSUANCE_TO_WORST")</f>
        <v>#N/A Requesting Data...</v>
      </c>
      <c r="H2221" t="str">
        <f>_xll.BDP("97989WCF Muni","ISSUE_DT")</f>
        <v>#N/A Requesting Data...</v>
      </c>
      <c r="I2221" t="str">
        <f>_xll.BDS("97989WCF Muni","MUNI_PURPOSE_SCHED", "aggregate=y")</f>
        <v>#N/A Requesting Data...</v>
      </c>
      <c r="J2221" t="str">
        <f>_xll.BDP("97989WCF Muni","CPN")</f>
        <v>#N/A Requesting Data...</v>
      </c>
      <c r="K2221" t="str">
        <f>_xll.BDP("97989WCF Muni","MATURITY")</f>
        <v>#N/A Requesting Data...</v>
      </c>
      <c r="L2221">
        <v>120000</v>
      </c>
      <c r="M2221" t="str">
        <f>_xll.BDP("97989WCF Muni","YIELD_ON_ISSUE_DATE")</f>
        <v>#N/A Requesting Data...</v>
      </c>
      <c r="N2221" t="str">
        <f>_xll.BDP("97989WCF Muni","YTW_SPREAD_TO_MATURITY_AT_ISSU")</f>
        <v>#N/A Requesting Data...</v>
      </c>
      <c r="O2221" t="str">
        <f>_xll.BDP("97989WCF Muni","BVAL_MID_YTM")</f>
        <v>#N/A Requesting Data...</v>
      </c>
      <c r="P2221" t="str">
        <f>_xll.BDP("97989WCF Muni","MUNI_TAX_PROV")</f>
        <v>#N/A Requesting Data...</v>
      </c>
      <c r="Q2221" t="str">
        <f>_xll.BDP("97989WCF Muni","MUNI_FED_TAX")</f>
        <v>#N/A Requesting Data...</v>
      </c>
      <c r="R2221" t="str">
        <f>_xll.BDP("97989WCF Muni","MUNI_MSRB_VOLUME")</f>
        <v>#N/A Requesting Data...</v>
      </c>
      <c r="S2221" t="str">
        <f>_xll.BDP("97989WCF Muni","BB_COMPOSITE")</f>
        <v>#N/A Requesting Data...</v>
      </c>
      <c r="T2221" t="str">
        <f>_xll.BDP("97989WCF Muni","LQA_LIQUIDITY_SCORE")</f>
        <v>#N/A Requesting Data...</v>
      </c>
    </row>
    <row r="2222" spans="1:20" x14ac:dyDescent="0.25">
      <c r="A2222" t="str">
        <f>_xll.BDP("97989WCG Muni","ID_CUSIP")</f>
        <v>#N/A Requesting Data...</v>
      </c>
      <c r="B2222" t="s">
        <v>524</v>
      </c>
      <c r="C2222" t="str">
        <f>_xll.BDP("97989WCG Muni","INSURANCE_STATUS")</f>
        <v>#N/A Requesting Data...</v>
      </c>
      <c r="D2222" t="str">
        <f>_xll.BDP("97989WCG Muni","STATE_CODE")</f>
        <v>#N/A Requesting Data...</v>
      </c>
      <c r="E2222" t="str">
        <f>_xll.BDP("97989WCG Muni","COUNTY_LOCATION_ISSUER")</f>
        <v>#N/A Requesting Data...</v>
      </c>
      <c r="F2222" t="str">
        <f>_xll.BDP("97989WCG Muni","DUR_ADJ_MID")</f>
        <v>#N/A Requesting Data...</v>
      </c>
      <c r="G2222" t="str">
        <f>_xll.BDP("97989WCG Muni","SPREAD_AT_ISSUANCE_TO_WORST")</f>
        <v>#N/A Requesting Data...</v>
      </c>
      <c r="H2222" t="str">
        <f>_xll.BDP("97989WCG Muni","ISSUE_DT")</f>
        <v>#N/A Requesting Data...</v>
      </c>
      <c r="I2222" t="str">
        <f>_xll.BDS("97989WCG Muni","MUNI_PURPOSE_SCHED", "aggregate=y")</f>
        <v>#N/A Requesting Data...</v>
      </c>
      <c r="J2222" t="str">
        <f>_xll.BDP("97989WCG Muni","CPN")</f>
        <v>#N/A Requesting Data...</v>
      </c>
      <c r="K2222" t="str">
        <f>_xll.BDP("97989WCG Muni","MATURITY")</f>
        <v>#N/A Requesting Data...</v>
      </c>
      <c r="L2222">
        <v>120000</v>
      </c>
      <c r="M2222" t="str">
        <f>_xll.BDP("97989WCG Muni","YIELD_ON_ISSUE_DATE")</f>
        <v>#N/A Requesting Data...</v>
      </c>
      <c r="N2222" t="str">
        <f>_xll.BDP("97989WCG Muni","YTW_SPREAD_TO_MATURITY_AT_ISSU")</f>
        <v>#N/A Requesting Data...</v>
      </c>
      <c r="O2222" t="str">
        <f>_xll.BDP("97989WCG Muni","BVAL_MID_YTM")</f>
        <v>#N/A Requesting Data...</v>
      </c>
      <c r="P2222" t="str">
        <f>_xll.BDP("97989WCG Muni","MUNI_TAX_PROV")</f>
        <v>#N/A Requesting Data...</v>
      </c>
      <c r="Q2222" t="str">
        <f>_xll.BDP("97989WCG Muni","MUNI_FED_TAX")</f>
        <v>#N/A Requesting Data...</v>
      </c>
      <c r="R2222" t="str">
        <f>_xll.BDP("97989WCG Muni","MUNI_MSRB_VOLUME")</f>
        <v>#N/A Requesting Data...</v>
      </c>
      <c r="S2222" t="str">
        <f>_xll.BDP("97989WCG Muni","BB_COMPOSITE")</f>
        <v>#N/A Requesting Data...</v>
      </c>
      <c r="T2222" t="str">
        <f>_xll.BDP("97989WCG Muni","LQA_LIQUIDITY_SCORE")</f>
        <v>#N/A Requesting Data...</v>
      </c>
    </row>
    <row r="2223" spans="1:20" x14ac:dyDescent="0.25">
      <c r="A2223" t="str">
        <f>_xll.BDP("97989WCH Muni","ID_CUSIP")</f>
        <v>#N/A Requesting Data...</v>
      </c>
      <c r="B2223" t="s">
        <v>524</v>
      </c>
      <c r="C2223" t="str">
        <f>_xll.BDP("97989WCH Muni","INSURANCE_STATUS")</f>
        <v>#N/A Requesting Data...</v>
      </c>
      <c r="D2223" t="str">
        <f>_xll.BDP("97989WCH Muni","STATE_CODE")</f>
        <v>#N/A Requesting Data...</v>
      </c>
      <c r="E2223" t="str">
        <f>_xll.BDP("97989WCH Muni","COUNTY_LOCATION_ISSUER")</f>
        <v>#N/A Requesting Data...</v>
      </c>
      <c r="F2223" t="str">
        <f>_xll.BDP("97989WCH Muni","DUR_ADJ_MID")</f>
        <v>#N/A Requesting Data...</v>
      </c>
      <c r="G2223" t="str">
        <f>_xll.BDP("97989WCH Muni","SPREAD_AT_ISSUANCE_TO_WORST")</f>
        <v>#N/A Requesting Data...</v>
      </c>
      <c r="H2223" t="str">
        <f>_xll.BDP("97989WCH Muni","ISSUE_DT")</f>
        <v>#N/A Requesting Data...</v>
      </c>
      <c r="I2223" t="str">
        <f>_xll.BDS("97989WCH Muni","MUNI_PURPOSE_SCHED", "aggregate=y")</f>
        <v>#N/A Requesting Data...</v>
      </c>
      <c r="J2223" t="str">
        <f>_xll.BDP("97989WCH Muni","CPN")</f>
        <v>#N/A Requesting Data...</v>
      </c>
      <c r="K2223" t="str">
        <f>_xll.BDP("97989WCH Muni","MATURITY")</f>
        <v>#N/A Requesting Data...</v>
      </c>
      <c r="L2223">
        <v>120000</v>
      </c>
      <c r="M2223" t="str">
        <f>_xll.BDP("97989WCH Muni","YIELD_ON_ISSUE_DATE")</f>
        <v>#N/A Requesting Data...</v>
      </c>
      <c r="N2223" t="str">
        <f>_xll.BDP("97989WCH Muni","YTW_SPREAD_TO_MATURITY_AT_ISSU")</f>
        <v>#N/A Requesting Data...</v>
      </c>
      <c r="O2223" t="str">
        <f>_xll.BDP("97989WCH Muni","BVAL_MID_YTM")</f>
        <v>#N/A Requesting Data...</v>
      </c>
      <c r="P2223" t="str">
        <f>_xll.BDP("97989WCH Muni","MUNI_TAX_PROV")</f>
        <v>#N/A Requesting Data...</v>
      </c>
      <c r="Q2223" t="str">
        <f>_xll.BDP("97989WCH Muni","MUNI_FED_TAX")</f>
        <v>#N/A Requesting Data...</v>
      </c>
      <c r="R2223" t="str">
        <f>_xll.BDP("97989WCH Muni","MUNI_MSRB_VOLUME")</f>
        <v>#N/A Requesting Data...</v>
      </c>
      <c r="S2223" t="str">
        <f>_xll.BDP("97989WCH Muni","BB_COMPOSITE")</f>
        <v>#N/A Requesting Data...</v>
      </c>
      <c r="T2223" t="str">
        <f>_xll.BDP("97989WCH Muni","LQA_LIQUIDITY_SCORE")</f>
        <v>#N/A Requesting Data...</v>
      </c>
    </row>
    <row r="2224" spans="1:20" x14ac:dyDescent="0.25">
      <c r="A2224" t="str">
        <f>_xll.BDP("964780VC Muni","ID_CUSIP")</f>
        <v>#N/A Requesting Data...</v>
      </c>
      <c r="B2224" t="s">
        <v>525</v>
      </c>
      <c r="C2224" t="str">
        <f>_xll.BDP("964780VC Muni","INSURANCE_STATUS")</f>
        <v>#N/A Requesting Data...</v>
      </c>
      <c r="D2224" t="str">
        <f>_xll.BDP("964780VC Muni","STATE_CODE")</f>
        <v>#N/A Requesting Data...</v>
      </c>
      <c r="E2224" t="str">
        <f>_xll.BDP("964780VC Muni","COUNTY_LOCATION_ISSUER")</f>
        <v>#N/A Requesting Data...</v>
      </c>
      <c r="F2224" t="str">
        <f>_xll.BDP("964780VC Muni","DUR_ADJ_MID")</f>
        <v>#N/A Requesting Data...</v>
      </c>
      <c r="G2224" t="str">
        <f>_xll.BDP("964780VC Muni","SPREAD_AT_ISSUANCE_TO_WORST")</f>
        <v>#N/A Requesting Data...</v>
      </c>
      <c r="H2224" t="str">
        <f>_xll.BDP("964780VC Muni","ISSUE_DT")</f>
        <v>#N/A Requesting Data...</v>
      </c>
      <c r="I2224" t="str">
        <f>_xll.BDS("964780VC Muni","MUNI_PURPOSE_SCHED", "aggregate=y")</f>
        <v>#N/A Requesting Data...</v>
      </c>
      <c r="J2224" t="str">
        <f>_xll.BDP("964780VC Muni","CPN")</f>
        <v>#N/A Requesting Data...</v>
      </c>
      <c r="K2224" t="str">
        <f>_xll.BDP("964780VC Muni","MATURITY")</f>
        <v>#N/A Requesting Data...</v>
      </c>
      <c r="L2224">
        <v>200000</v>
      </c>
      <c r="M2224" t="str">
        <f>_xll.BDP("964780VC Muni","YIELD_ON_ISSUE_DATE")</f>
        <v>#N/A Requesting Data...</v>
      </c>
      <c r="N2224" t="str">
        <f>_xll.BDP("964780VC Muni","YTW_SPREAD_TO_MATURITY_AT_ISSU")</f>
        <v>#N/A Requesting Data...</v>
      </c>
      <c r="O2224" t="str">
        <f>_xll.BDP("964780VC Muni","BVAL_MID_YTM")</f>
        <v>#N/A Requesting Data...</v>
      </c>
      <c r="P2224" t="str">
        <f>_xll.BDP("964780VC Muni","MUNI_TAX_PROV")</f>
        <v>#N/A Requesting Data...</v>
      </c>
      <c r="Q2224" t="str">
        <f>_xll.BDP("964780VC Muni","MUNI_FED_TAX")</f>
        <v>#N/A Requesting Data...</v>
      </c>
      <c r="R2224" t="str">
        <f>_xll.BDP("964780VC Muni","MUNI_MSRB_VOLUME")</f>
        <v>#N/A Requesting Data...</v>
      </c>
      <c r="S2224" t="str">
        <f>_xll.BDP("964780VC Muni","BB_COMPOSITE")</f>
        <v>#N/A Requesting Data...</v>
      </c>
      <c r="T2224" t="str">
        <f>_xll.BDP("964780VC Muni","LQA_LIQUIDITY_SCORE")</f>
        <v>#N/A Requesting Data...</v>
      </c>
    </row>
    <row r="2225" spans="1:20" x14ac:dyDescent="0.25">
      <c r="A2225" t="str">
        <f>_xll.BDP("964780VE Muni","ID_CUSIP")</f>
        <v>#N/A Requesting Data...</v>
      </c>
      <c r="B2225" t="s">
        <v>525</v>
      </c>
      <c r="C2225" t="str">
        <f>_xll.BDP("964780VE Muni","INSURANCE_STATUS")</f>
        <v>#N/A Requesting Data...</v>
      </c>
      <c r="D2225" t="str">
        <f>_xll.BDP("964780VE Muni","STATE_CODE")</f>
        <v>#N/A Requesting Data...</v>
      </c>
      <c r="E2225" t="str">
        <f>_xll.BDP("964780VE Muni","COUNTY_LOCATION_ISSUER")</f>
        <v>#N/A Requesting Data...</v>
      </c>
      <c r="F2225" t="str">
        <f>_xll.BDP("964780VE Muni","DUR_ADJ_MID")</f>
        <v>#N/A Requesting Data...</v>
      </c>
      <c r="G2225" t="str">
        <f>_xll.BDP("964780VE Muni","SPREAD_AT_ISSUANCE_TO_WORST")</f>
        <v>#N/A Requesting Data...</v>
      </c>
      <c r="H2225" t="str">
        <f>_xll.BDP("964780VE Muni","ISSUE_DT")</f>
        <v>#N/A Requesting Data...</v>
      </c>
      <c r="I2225" t="str">
        <f>_xll.BDS("964780VE Muni","MUNI_PURPOSE_SCHED", "aggregate=y")</f>
        <v>#N/A Requesting Data...</v>
      </c>
      <c r="J2225" t="str">
        <f>_xll.BDP("964780VE Muni","CPN")</f>
        <v>#N/A Requesting Data...</v>
      </c>
      <c r="K2225" t="str">
        <f>_xll.BDP("964780VE Muni","MATURITY")</f>
        <v>#N/A Requesting Data...</v>
      </c>
      <c r="L2225">
        <v>210000</v>
      </c>
      <c r="M2225" t="str">
        <f>_xll.BDP("964780VE Muni","YIELD_ON_ISSUE_DATE")</f>
        <v>#N/A Requesting Data...</v>
      </c>
      <c r="N2225" t="str">
        <f>_xll.BDP("964780VE Muni","YTW_SPREAD_TO_MATURITY_AT_ISSU")</f>
        <v>#N/A Requesting Data...</v>
      </c>
      <c r="O2225" t="str">
        <f>_xll.BDP("964780VE Muni","BVAL_MID_YTM")</f>
        <v>#N/A Requesting Data...</v>
      </c>
      <c r="P2225" t="str">
        <f>_xll.BDP("964780VE Muni","MUNI_TAX_PROV")</f>
        <v>#N/A Requesting Data...</v>
      </c>
      <c r="Q2225" t="str">
        <f>_xll.BDP("964780VE Muni","MUNI_FED_TAX")</f>
        <v>#N/A Requesting Data...</v>
      </c>
      <c r="R2225" t="str">
        <f>_xll.BDP("964780VE Muni","MUNI_MSRB_VOLUME")</f>
        <v>#N/A Requesting Data...</v>
      </c>
      <c r="S2225" t="str">
        <f>_xll.BDP("964780VE Muni","BB_COMPOSITE")</f>
        <v>#N/A Requesting Data...</v>
      </c>
      <c r="T2225" t="str">
        <f>_xll.BDP("964780VE Muni","LQA_LIQUIDITY_SCORE")</f>
        <v>#N/A Requesting Data...</v>
      </c>
    </row>
    <row r="2226" spans="1:20" x14ac:dyDescent="0.25">
      <c r="A2226" t="str">
        <f>_xll.BDP("978642DC Muni","ID_CUSIP")</f>
        <v>#N/A Requesting Data...</v>
      </c>
      <c r="B2226" t="s">
        <v>526</v>
      </c>
      <c r="C2226" t="str">
        <f>_xll.BDP("978642DC Muni","INSURANCE_STATUS")</f>
        <v>#N/A Requesting Data...</v>
      </c>
      <c r="D2226" t="str">
        <f>_xll.BDP("978642DC Muni","STATE_CODE")</f>
        <v>#N/A Requesting Data...</v>
      </c>
      <c r="E2226" t="str">
        <f>_xll.BDP("978642DC Muni","COUNTY_LOCATION_ISSUER")</f>
        <v>#N/A Requesting Data...</v>
      </c>
      <c r="F2226" t="str">
        <f>_xll.BDP("978642DC Muni","DUR_ADJ_MID")</f>
        <v>#N/A Requesting Data...</v>
      </c>
      <c r="G2226" t="str">
        <f>_xll.BDP("978642DC Muni","SPREAD_AT_ISSUANCE_TO_WORST")</f>
        <v>#N/A Requesting Data...</v>
      </c>
      <c r="H2226" t="str">
        <f>_xll.BDP("978642DC Muni","ISSUE_DT")</f>
        <v>#N/A Requesting Data...</v>
      </c>
      <c r="I2226" t="str">
        <f>_xll.BDS("978642DC Muni","MUNI_PURPOSE_SCHED", "aggregate=y")</f>
        <v>#N/A Requesting Data...</v>
      </c>
      <c r="J2226" t="str">
        <f>_xll.BDP("978642DC Muni","CPN")</f>
        <v>#N/A Requesting Data...</v>
      </c>
      <c r="K2226" t="str">
        <f>_xll.BDP("978642DC Muni","MATURITY")</f>
        <v>#N/A Requesting Data...</v>
      </c>
      <c r="L2226">
        <v>170000</v>
      </c>
      <c r="M2226" t="str">
        <f>_xll.BDP("978642DC Muni","YIELD_ON_ISSUE_DATE")</f>
        <v>#N/A Requesting Data...</v>
      </c>
      <c r="N2226" t="str">
        <f>_xll.BDP("978642DC Muni","YTW_SPREAD_TO_MATURITY_AT_ISSU")</f>
        <v>#N/A Requesting Data...</v>
      </c>
      <c r="O2226" t="str">
        <f>_xll.BDP("978642DC Muni","BVAL_MID_YTM")</f>
        <v>#N/A Requesting Data...</v>
      </c>
      <c r="P2226" t="str">
        <f>_xll.BDP("978642DC Muni","MUNI_TAX_PROV")</f>
        <v>#N/A Requesting Data...</v>
      </c>
      <c r="Q2226" t="str">
        <f>_xll.BDP("978642DC Muni","MUNI_FED_TAX")</f>
        <v>#N/A Requesting Data...</v>
      </c>
      <c r="R2226" t="str">
        <f>_xll.BDP("978642DC Muni","MUNI_MSRB_VOLUME")</f>
        <v>#N/A Requesting Data...</v>
      </c>
      <c r="S2226" t="str">
        <f>_xll.BDP("978642DC Muni","BB_COMPOSITE")</f>
        <v>#N/A Requesting Data...</v>
      </c>
      <c r="T2226" t="str">
        <f>_xll.BDP("978642DC Muni","LQA_LIQUIDITY_SCORE")</f>
        <v>#N/A Requesting Data...</v>
      </c>
    </row>
    <row r="2227" spans="1:20" x14ac:dyDescent="0.25">
      <c r="A2227" t="str">
        <f>_xll.BDP("940157V9 Muni","ID_CUSIP")</f>
        <v>#N/A Requesting Data...</v>
      </c>
      <c r="B2227" t="s">
        <v>517</v>
      </c>
      <c r="C2227" t="str">
        <f>_xll.BDP("940157V9 Muni","INSURANCE_STATUS")</f>
        <v>#N/A Requesting Data...</v>
      </c>
      <c r="D2227" t="str">
        <f>_xll.BDP("940157V9 Muni","STATE_CODE")</f>
        <v>#N/A Requesting Data...</v>
      </c>
      <c r="E2227" t="str">
        <f>_xll.BDP("940157V9 Muni","COUNTY_LOCATION_ISSUER")</f>
        <v>#N/A Requesting Data...</v>
      </c>
      <c r="F2227" t="str">
        <f>_xll.BDP("940157V9 Muni","DUR_ADJ_MID")</f>
        <v>#N/A Requesting Data...</v>
      </c>
      <c r="G2227" t="str">
        <f>_xll.BDP("940157V9 Muni","SPREAD_AT_ISSUANCE_TO_WORST")</f>
        <v>#N/A Requesting Data...</v>
      </c>
      <c r="H2227" t="str">
        <f>_xll.BDP("940157V9 Muni","ISSUE_DT")</f>
        <v>#N/A Requesting Data...</v>
      </c>
      <c r="I2227" t="str">
        <f>_xll.BDS("940157V9 Muni","MUNI_PURPOSE_SCHED", "aggregate=y")</f>
        <v>#N/A Requesting Data...</v>
      </c>
      <c r="J2227" t="str">
        <f>_xll.BDP("940157V9 Muni","CPN")</f>
        <v>#N/A Requesting Data...</v>
      </c>
      <c r="K2227" t="str">
        <f>_xll.BDP("940157V9 Muni","MATURITY")</f>
        <v>#N/A Requesting Data...</v>
      </c>
      <c r="L2227">
        <v>8250000</v>
      </c>
      <c r="M2227" t="str">
        <f>_xll.BDP("940157V9 Muni","YIELD_ON_ISSUE_DATE")</f>
        <v>#N/A Requesting Data...</v>
      </c>
      <c r="N2227" t="str">
        <f>_xll.BDP("940157V9 Muni","YTW_SPREAD_TO_MATURITY_AT_ISSU")</f>
        <v>#N/A Requesting Data...</v>
      </c>
      <c r="O2227" t="str">
        <f>_xll.BDP("940157V9 Muni","BVAL_MID_YTM")</f>
        <v>#N/A Requesting Data...</v>
      </c>
      <c r="P2227" t="str">
        <f>_xll.BDP("940157V9 Muni","MUNI_TAX_PROV")</f>
        <v>#N/A Requesting Data...</v>
      </c>
      <c r="Q2227" t="str">
        <f>_xll.BDP("940157V9 Muni","MUNI_FED_TAX")</f>
        <v>#N/A Requesting Data...</v>
      </c>
      <c r="R2227" t="str">
        <f>_xll.BDP("940157V9 Muni","MUNI_MSRB_VOLUME")</f>
        <v>#N/A Requesting Data...</v>
      </c>
      <c r="S2227" t="str">
        <f>_xll.BDP("940157V9 Muni","BB_COMPOSITE")</f>
        <v>#N/A Requesting Data...</v>
      </c>
      <c r="T2227" t="str">
        <f>_xll.BDP("940157V9 Muni","LQA_LIQUIDITY_SCORE")</f>
        <v>#N/A Requesting Data...</v>
      </c>
    </row>
    <row r="2228" spans="1:20" x14ac:dyDescent="0.25">
      <c r="A2228" t="str">
        <f>_xll.BDP("940157W4 Muni","ID_CUSIP")</f>
        <v>#N/A Requesting Data...</v>
      </c>
      <c r="B2228" t="s">
        <v>517</v>
      </c>
      <c r="C2228" t="str">
        <f>_xll.BDP("940157W4 Muni","INSURANCE_STATUS")</f>
        <v>#N/A Requesting Data...</v>
      </c>
      <c r="D2228" t="str">
        <f>_xll.BDP("940157W4 Muni","STATE_CODE")</f>
        <v>#N/A Requesting Data...</v>
      </c>
      <c r="E2228" t="str">
        <f>_xll.BDP("940157W4 Muni","COUNTY_LOCATION_ISSUER")</f>
        <v>#N/A Requesting Data...</v>
      </c>
      <c r="F2228" t="str">
        <f>_xll.BDP("940157W4 Muni","DUR_ADJ_MID")</f>
        <v>#N/A Requesting Data...</v>
      </c>
      <c r="G2228" t="str">
        <f>_xll.BDP("940157W4 Muni","SPREAD_AT_ISSUANCE_TO_WORST")</f>
        <v>#N/A Requesting Data...</v>
      </c>
      <c r="H2228" t="str">
        <f>_xll.BDP("940157W4 Muni","ISSUE_DT")</f>
        <v>#N/A Requesting Data...</v>
      </c>
      <c r="I2228" t="str">
        <f>_xll.BDS("940157W4 Muni","MUNI_PURPOSE_SCHED", "aggregate=y")</f>
        <v>#N/A Requesting Data...</v>
      </c>
      <c r="J2228" t="str">
        <f>_xll.BDP("940157W4 Muni","CPN")</f>
        <v>#N/A Requesting Data...</v>
      </c>
      <c r="K2228" t="str">
        <f>_xll.BDP("940157W4 Muni","MATURITY")</f>
        <v>#N/A Requesting Data...</v>
      </c>
      <c r="L2228">
        <v>9550000</v>
      </c>
      <c r="M2228" t="str">
        <f>_xll.BDP("940157W4 Muni","YIELD_ON_ISSUE_DATE")</f>
        <v>#N/A Requesting Data...</v>
      </c>
      <c r="N2228" t="str">
        <f>_xll.BDP("940157W4 Muni","YTW_SPREAD_TO_MATURITY_AT_ISSU")</f>
        <v>#N/A Requesting Data...</v>
      </c>
      <c r="O2228" t="str">
        <f>_xll.BDP("940157W4 Muni","BVAL_MID_YTM")</f>
        <v>#N/A Requesting Data...</v>
      </c>
      <c r="P2228" t="str">
        <f>_xll.BDP("940157W4 Muni","MUNI_TAX_PROV")</f>
        <v>#N/A Requesting Data...</v>
      </c>
      <c r="Q2228" t="str">
        <f>_xll.BDP("940157W4 Muni","MUNI_FED_TAX")</f>
        <v>#N/A Requesting Data...</v>
      </c>
      <c r="R2228" t="str">
        <f>_xll.BDP("940157W4 Muni","MUNI_MSRB_VOLUME")</f>
        <v>#N/A Requesting Data...</v>
      </c>
      <c r="S2228" t="str">
        <f>_xll.BDP("940157W4 Muni","BB_COMPOSITE")</f>
        <v>#N/A Requesting Data...</v>
      </c>
      <c r="T2228" t="str">
        <f>_xll.BDP("940157W4 Muni","LQA_LIQUIDITY_SCORE")</f>
        <v>#N/A Requesting Data...</v>
      </c>
    </row>
    <row r="2229" spans="1:20" x14ac:dyDescent="0.25">
      <c r="A2229" t="str">
        <f>_xll.BDP("74934RKA Muni","ID_CUSIP")</f>
        <v>#N/A Requesting Data...</v>
      </c>
      <c r="B2229" t="s">
        <v>494</v>
      </c>
      <c r="C2229" t="str">
        <f>_xll.BDP("74934RKA Muni","INSURANCE_STATUS")</f>
        <v>#N/A Requesting Data...</v>
      </c>
      <c r="D2229" t="str">
        <f>_xll.BDP("74934RKA Muni","STATE_CODE")</f>
        <v>#N/A Requesting Data...</v>
      </c>
      <c r="E2229" t="str">
        <f>_xll.BDP("74934RKA Muni","COUNTY_LOCATION_ISSUER")</f>
        <v>#N/A Requesting Data...</v>
      </c>
      <c r="F2229" t="str">
        <f>_xll.BDP("74934RKA Muni","DUR_ADJ_MID")</f>
        <v>#N/A Requesting Data...</v>
      </c>
      <c r="G2229" t="str">
        <f>_xll.BDP("74934RKA Muni","SPREAD_AT_ISSUANCE_TO_WORST")</f>
        <v>#N/A Requesting Data...</v>
      </c>
      <c r="H2229" t="str">
        <f>_xll.BDP("74934RKA Muni","ISSUE_DT")</f>
        <v>#N/A Requesting Data...</v>
      </c>
      <c r="I2229" t="str">
        <f>_xll.BDS("74934RKA Muni","MUNI_PURPOSE_SCHED", "aggregate=y")</f>
        <v>#N/A Requesting Data...</v>
      </c>
      <c r="J2229" t="str">
        <f>_xll.BDP("74934RKA Muni","CPN")</f>
        <v>#N/A Requesting Data...</v>
      </c>
      <c r="K2229" t="str">
        <f>_xll.BDP("74934RKA Muni","MATURITY")</f>
        <v>#N/A Requesting Data...</v>
      </c>
      <c r="L2229">
        <v>250000</v>
      </c>
      <c r="M2229" t="str">
        <f>_xll.BDP("74934RKA Muni","YIELD_ON_ISSUE_DATE")</f>
        <v>#N/A Requesting Data...</v>
      </c>
      <c r="N2229" t="str">
        <f>_xll.BDP("74934RKA Muni","YTW_SPREAD_TO_MATURITY_AT_ISSU")</f>
        <v>#N/A Requesting Data...</v>
      </c>
      <c r="O2229" t="str">
        <f>_xll.BDP("74934RKA Muni","BVAL_MID_YTM")</f>
        <v>#N/A Requesting Data...</v>
      </c>
      <c r="P2229" t="str">
        <f>_xll.BDP("74934RKA Muni","MUNI_TAX_PROV")</f>
        <v>#N/A Requesting Data...</v>
      </c>
      <c r="Q2229" t="str">
        <f>_xll.BDP("74934RKA Muni","MUNI_FED_TAX")</f>
        <v>#N/A Requesting Data...</v>
      </c>
      <c r="R2229" t="str">
        <f>_xll.BDP("74934RKA Muni","MUNI_MSRB_VOLUME")</f>
        <v>#N/A Requesting Data...</v>
      </c>
      <c r="S2229" t="str">
        <f>_xll.BDP("74934RKA Muni","BB_COMPOSITE")</f>
        <v>#N/A Requesting Data...</v>
      </c>
      <c r="T2229" t="str">
        <f>_xll.BDP("74934RKA Muni","LQA_LIQUIDITY_SCORE")</f>
        <v>#N/A Requesting Data...</v>
      </c>
    </row>
    <row r="2230" spans="1:20" x14ac:dyDescent="0.25">
      <c r="A2230" t="str">
        <f>_xll.BDP("74934RQR Muni","ID_CUSIP")</f>
        <v>#N/A Requesting Data...</v>
      </c>
      <c r="B2230" t="s">
        <v>494</v>
      </c>
      <c r="C2230" t="str">
        <f>_xll.BDP("74934RQR Muni","INSURANCE_STATUS")</f>
        <v>#N/A Requesting Data...</v>
      </c>
      <c r="D2230" t="str">
        <f>_xll.BDP("74934RQR Muni","STATE_CODE")</f>
        <v>#N/A Requesting Data...</v>
      </c>
      <c r="E2230" t="str">
        <f>_xll.BDP("74934RQR Muni","COUNTY_LOCATION_ISSUER")</f>
        <v>#N/A Requesting Data...</v>
      </c>
      <c r="F2230" t="str">
        <f>_xll.BDP("74934RQR Muni","DUR_ADJ_MID")</f>
        <v>#N/A Requesting Data...</v>
      </c>
      <c r="G2230" t="str">
        <f>_xll.BDP("74934RQR Muni","SPREAD_AT_ISSUANCE_TO_WORST")</f>
        <v>#N/A Requesting Data...</v>
      </c>
      <c r="H2230" t="str">
        <f>_xll.BDP("74934RQR Muni","ISSUE_DT")</f>
        <v>#N/A Requesting Data...</v>
      </c>
      <c r="I2230" t="str">
        <f>_xll.BDS("74934RQR Muni","MUNI_PURPOSE_SCHED", "aggregate=y")</f>
        <v>#N/A Requesting Data...</v>
      </c>
      <c r="J2230" t="str">
        <f>_xll.BDP("74934RQR Muni","CPN")</f>
        <v>#N/A Requesting Data...</v>
      </c>
      <c r="K2230" t="str">
        <f>_xll.BDP("74934RQR Muni","MATURITY")</f>
        <v>#N/A Requesting Data...</v>
      </c>
      <c r="L2230">
        <v>250000</v>
      </c>
      <c r="M2230" t="str">
        <f>_xll.BDP("74934RQR Muni","YIELD_ON_ISSUE_DATE")</f>
        <v>#N/A Requesting Data...</v>
      </c>
      <c r="N2230" t="str">
        <f>_xll.BDP("74934RQR Muni","YTW_SPREAD_TO_MATURITY_AT_ISSU")</f>
        <v>#N/A Requesting Data...</v>
      </c>
      <c r="O2230" t="str">
        <f>_xll.BDP("74934RQR Muni","BVAL_MID_YTM")</f>
        <v>#N/A Requesting Data...</v>
      </c>
      <c r="P2230" t="str">
        <f>_xll.BDP("74934RQR Muni","MUNI_TAX_PROV")</f>
        <v>#N/A Requesting Data...</v>
      </c>
      <c r="Q2230" t="str">
        <f>_xll.BDP("74934RQR Muni","MUNI_FED_TAX")</f>
        <v>#N/A Requesting Data...</v>
      </c>
      <c r="R2230" t="str">
        <f>_xll.BDP("74934RQR Muni","MUNI_MSRB_VOLUME")</f>
        <v>#N/A Requesting Data...</v>
      </c>
      <c r="S2230" t="str">
        <f>_xll.BDP("74934RQR Muni","BB_COMPOSITE")</f>
        <v>#N/A Requesting Data...</v>
      </c>
      <c r="T2230" t="str">
        <f>_xll.BDP("74934RQR Muni","LQA_LIQUIDITY_SCORE")</f>
        <v>#N/A Requesting Data...</v>
      </c>
    </row>
    <row r="2231" spans="1:20" x14ac:dyDescent="0.25">
      <c r="A2231" t="str">
        <f>_xll.BDP("750667XT Muni","ID_CUSIP")</f>
        <v>#N/A Requesting Data...</v>
      </c>
      <c r="B2231" t="s">
        <v>495</v>
      </c>
      <c r="C2231" t="str">
        <f>_xll.BDP("750667XT Muni","INSURANCE_STATUS")</f>
        <v>#N/A Requesting Data...</v>
      </c>
      <c r="D2231" t="str">
        <f>_xll.BDP("750667XT Muni","STATE_CODE")</f>
        <v>#N/A Requesting Data...</v>
      </c>
      <c r="E2231" t="str">
        <f>_xll.BDP("750667XT Muni","COUNTY_LOCATION_ISSUER")</f>
        <v>#N/A Requesting Data...</v>
      </c>
      <c r="F2231" t="str">
        <f>_xll.BDP("750667XT Muni","DUR_ADJ_MID")</f>
        <v>#N/A Requesting Data...</v>
      </c>
      <c r="G2231" t="str">
        <f>_xll.BDP("750667XT Muni","SPREAD_AT_ISSUANCE_TO_WORST")</f>
        <v>#N/A Requesting Data...</v>
      </c>
      <c r="H2231" t="str">
        <f>_xll.BDP("750667XT Muni","ISSUE_DT")</f>
        <v>#N/A Requesting Data...</v>
      </c>
      <c r="I2231" t="str">
        <f>_xll.BDS("750667XT Muni","MUNI_PURPOSE_SCHED", "aggregate=y")</f>
        <v>#N/A Requesting Data...</v>
      </c>
      <c r="J2231" t="str">
        <f>_xll.BDP("750667XT Muni","CPN")</f>
        <v>#N/A Requesting Data...</v>
      </c>
      <c r="K2231" t="str">
        <f>_xll.BDP("750667XT Muni","MATURITY")</f>
        <v>#N/A Requesting Data...</v>
      </c>
      <c r="L2231">
        <v>160000</v>
      </c>
      <c r="M2231" t="str">
        <f>_xll.BDP("750667XT Muni","YIELD_ON_ISSUE_DATE")</f>
        <v>#N/A Requesting Data...</v>
      </c>
      <c r="N2231" t="str">
        <f>_xll.BDP("750667XT Muni","YTW_SPREAD_TO_MATURITY_AT_ISSU")</f>
        <v>#N/A Requesting Data...</v>
      </c>
      <c r="O2231" t="str">
        <f>_xll.BDP("750667XT Muni","BVAL_MID_YTM")</f>
        <v>#N/A Requesting Data...</v>
      </c>
      <c r="P2231" t="str">
        <f>_xll.BDP("750667XT Muni","MUNI_TAX_PROV")</f>
        <v>#N/A Requesting Data...</v>
      </c>
      <c r="Q2231" t="str">
        <f>_xll.BDP("750667XT Muni","MUNI_FED_TAX")</f>
        <v>#N/A Requesting Data...</v>
      </c>
      <c r="R2231" t="str">
        <f>_xll.BDP("750667XT Muni","MUNI_MSRB_VOLUME")</f>
        <v>#N/A Requesting Data...</v>
      </c>
      <c r="S2231" t="str">
        <f>_xll.BDP("750667XT Muni","BB_COMPOSITE")</f>
        <v>#N/A Requesting Data...</v>
      </c>
      <c r="T2231" t="str">
        <f>_xll.BDP("750667XT Muni","LQA_LIQUIDITY_SCORE")</f>
        <v>#N/A Requesting Data...</v>
      </c>
    </row>
    <row r="2232" spans="1:20" x14ac:dyDescent="0.25">
      <c r="A2232" t="str">
        <f>_xll.BDP("8372274U Muni","ID_CUSIP")</f>
        <v>#N/A Requesting Data...</v>
      </c>
      <c r="B2232" t="s">
        <v>527</v>
      </c>
      <c r="C2232" t="str">
        <f>_xll.BDP("8372274U Muni","INSURANCE_STATUS")</f>
        <v>#N/A Requesting Data...</v>
      </c>
      <c r="D2232" t="str">
        <f>_xll.BDP("8372274U Muni","STATE_CODE")</f>
        <v>#N/A Requesting Data...</v>
      </c>
      <c r="E2232" t="str">
        <f>_xll.BDP("8372274U Muni","COUNTY_LOCATION_ISSUER")</f>
        <v>#N/A Requesting Data...</v>
      </c>
      <c r="F2232" t="str">
        <f>_xll.BDP("8372274U Muni","DUR_ADJ_MID")</f>
        <v>#N/A Requesting Data...</v>
      </c>
      <c r="G2232" t="str">
        <f>_xll.BDP("8372274U Muni","SPREAD_AT_ISSUANCE_TO_WORST")</f>
        <v>#N/A Requesting Data...</v>
      </c>
      <c r="H2232" t="str">
        <f>_xll.BDP("8372274U Muni","ISSUE_DT")</f>
        <v>#N/A Requesting Data...</v>
      </c>
      <c r="I2232" t="str">
        <f>_xll.BDS("8372274U Muni","MUNI_PURPOSE_SCHED", "aggregate=y")</f>
        <v>#N/A Requesting Data...</v>
      </c>
      <c r="J2232" t="str">
        <f>_xll.BDP("8372274U Muni","CPN")</f>
        <v>#N/A Requesting Data...</v>
      </c>
      <c r="K2232" t="str">
        <f>_xll.BDP("8372274U Muni","MATURITY")</f>
        <v>#N/A Requesting Data...</v>
      </c>
      <c r="L2232">
        <v>975000</v>
      </c>
      <c r="M2232" t="str">
        <f>_xll.BDP("8372274U Muni","YIELD_ON_ISSUE_DATE")</f>
        <v>#N/A Requesting Data...</v>
      </c>
      <c r="N2232" t="str">
        <f>_xll.BDP("8372274U Muni","YTW_SPREAD_TO_MATURITY_AT_ISSU")</f>
        <v>#N/A Requesting Data...</v>
      </c>
      <c r="O2232" t="str">
        <f>_xll.BDP("8372274U Muni","BVAL_MID_YTM")</f>
        <v>#N/A Requesting Data...</v>
      </c>
      <c r="P2232" t="str">
        <f>_xll.BDP("8372274U Muni","MUNI_TAX_PROV")</f>
        <v>#N/A Requesting Data...</v>
      </c>
      <c r="Q2232" t="str">
        <f>_xll.BDP("8372274U Muni","MUNI_FED_TAX")</f>
        <v>#N/A Requesting Data...</v>
      </c>
      <c r="R2232" t="str">
        <f>_xll.BDP("8372274U Muni","MUNI_MSRB_VOLUME")</f>
        <v>#N/A Requesting Data...</v>
      </c>
      <c r="S2232" t="str">
        <f>_xll.BDP("8372274U Muni","BB_COMPOSITE")</f>
        <v>#N/A Requesting Data...</v>
      </c>
      <c r="T2232" t="str">
        <f>_xll.BDP("8372274U Muni","LQA_LIQUIDITY_SCORE")</f>
        <v>#N/A Requesting Data...</v>
      </c>
    </row>
    <row r="2233" spans="1:20" x14ac:dyDescent="0.25">
      <c r="A2233" t="str">
        <f>_xll.BDP("8372274V Muni","ID_CUSIP")</f>
        <v>#N/A Requesting Data...</v>
      </c>
      <c r="B2233" t="s">
        <v>527</v>
      </c>
      <c r="C2233" t="str">
        <f>_xll.BDP("8372274V Muni","INSURANCE_STATUS")</f>
        <v>#N/A Requesting Data...</v>
      </c>
      <c r="D2233" t="str">
        <f>_xll.BDP("8372274V Muni","STATE_CODE")</f>
        <v>#N/A Requesting Data...</v>
      </c>
      <c r="E2233" t="str">
        <f>_xll.BDP("8372274V Muni","COUNTY_LOCATION_ISSUER")</f>
        <v>#N/A Requesting Data...</v>
      </c>
      <c r="F2233" t="str">
        <f>_xll.BDP("8372274V Muni","DUR_ADJ_MID")</f>
        <v>#N/A Requesting Data...</v>
      </c>
      <c r="G2233" t="str">
        <f>_xll.BDP("8372274V Muni","SPREAD_AT_ISSUANCE_TO_WORST")</f>
        <v>#N/A Requesting Data...</v>
      </c>
      <c r="H2233" t="str">
        <f>_xll.BDP("8372274V Muni","ISSUE_DT")</f>
        <v>#N/A Requesting Data...</v>
      </c>
      <c r="I2233" t="str">
        <f>_xll.BDS("8372274V Muni","MUNI_PURPOSE_SCHED", "aggregate=y")</f>
        <v>#N/A Requesting Data...</v>
      </c>
      <c r="J2233" t="str">
        <f>_xll.BDP("8372274V Muni","CPN")</f>
        <v>#N/A Requesting Data...</v>
      </c>
      <c r="K2233" t="str">
        <f>_xll.BDP("8372274V Muni","MATURITY")</f>
        <v>#N/A Requesting Data...</v>
      </c>
      <c r="L2233">
        <v>1060000</v>
      </c>
      <c r="M2233" t="str">
        <f>_xll.BDP("8372274V Muni","YIELD_ON_ISSUE_DATE")</f>
        <v>#N/A Requesting Data...</v>
      </c>
      <c r="N2233" t="str">
        <f>_xll.BDP("8372274V Muni","YTW_SPREAD_TO_MATURITY_AT_ISSU")</f>
        <v>#N/A Requesting Data...</v>
      </c>
      <c r="O2233" t="str">
        <f>_xll.BDP("8372274V Muni","BVAL_MID_YTM")</f>
        <v>#N/A Requesting Data...</v>
      </c>
      <c r="P2233" t="str">
        <f>_xll.BDP("8372274V Muni","MUNI_TAX_PROV")</f>
        <v>#N/A Requesting Data...</v>
      </c>
      <c r="Q2233" t="str">
        <f>_xll.BDP("8372274V Muni","MUNI_FED_TAX")</f>
        <v>#N/A Requesting Data...</v>
      </c>
      <c r="R2233" t="str">
        <f>_xll.BDP("8372274V Muni","MUNI_MSRB_VOLUME")</f>
        <v>#N/A Requesting Data...</v>
      </c>
      <c r="S2233" t="str">
        <f>_xll.BDP("8372274V Muni","BB_COMPOSITE")</f>
        <v>#N/A Requesting Data...</v>
      </c>
      <c r="T2233" t="str">
        <f>_xll.BDP("8372274V Muni","LQA_LIQUIDITY_SCORE")</f>
        <v>#N/A Requesting Data...</v>
      </c>
    </row>
    <row r="2234" spans="1:20" x14ac:dyDescent="0.25">
      <c r="A2234" t="str">
        <f>_xll.BDP("837545MM Muni","ID_CUSIP")</f>
        <v>#N/A Requesting Data...</v>
      </c>
      <c r="B2234" t="s">
        <v>516</v>
      </c>
      <c r="C2234" t="str">
        <f>_xll.BDP("837545MM Muni","INSURANCE_STATUS")</f>
        <v>#N/A Requesting Data...</v>
      </c>
      <c r="D2234" t="str">
        <f>_xll.BDP("837545MM Muni","STATE_CODE")</f>
        <v>#N/A Requesting Data...</v>
      </c>
      <c r="E2234" t="str">
        <f>_xll.BDP("837545MM Muni","COUNTY_LOCATION_ISSUER")</f>
        <v>#N/A Requesting Data...</v>
      </c>
      <c r="F2234" t="str">
        <f>_xll.BDP("837545MM Muni","DUR_ADJ_MID")</f>
        <v>#N/A Requesting Data...</v>
      </c>
      <c r="G2234" t="str">
        <f>_xll.BDP("837545MM Muni","SPREAD_AT_ISSUANCE_TO_WORST")</f>
        <v>#N/A Requesting Data...</v>
      </c>
      <c r="H2234" t="str">
        <f>_xll.BDP("837545MM Muni","ISSUE_DT")</f>
        <v>#N/A Requesting Data...</v>
      </c>
      <c r="I2234" t="str">
        <f>_xll.BDS("837545MM Muni","MUNI_PURPOSE_SCHED", "aggregate=y")</f>
        <v>#N/A Requesting Data...</v>
      </c>
      <c r="J2234" t="str">
        <f>_xll.BDP("837545MM Muni","CPN")</f>
        <v>#N/A Requesting Data...</v>
      </c>
      <c r="K2234" t="str">
        <f>_xll.BDP("837545MM Muni","MATURITY")</f>
        <v>#N/A Requesting Data...</v>
      </c>
      <c r="L2234">
        <v>3415000</v>
      </c>
      <c r="M2234" t="str">
        <f>_xll.BDP("837545MM Muni","YIELD_ON_ISSUE_DATE")</f>
        <v>#N/A Requesting Data...</v>
      </c>
      <c r="N2234" t="str">
        <f>_xll.BDP("837545MM Muni","YTW_SPREAD_TO_MATURITY_AT_ISSU")</f>
        <v>#N/A Requesting Data...</v>
      </c>
      <c r="O2234" t="str">
        <f>_xll.BDP("837545MM Muni","BVAL_MID_YTM")</f>
        <v>#N/A Requesting Data...</v>
      </c>
      <c r="P2234" t="str">
        <f>_xll.BDP("837545MM Muni","MUNI_TAX_PROV")</f>
        <v>#N/A Requesting Data...</v>
      </c>
      <c r="Q2234" t="str">
        <f>_xll.BDP("837545MM Muni","MUNI_FED_TAX")</f>
        <v>#N/A Requesting Data...</v>
      </c>
      <c r="R2234" t="str">
        <f>_xll.BDP("837545MM Muni","MUNI_MSRB_VOLUME")</f>
        <v>#N/A Requesting Data...</v>
      </c>
      <c r="S2234" t="str">
        <f>_xll.BDP("837545MM Muni","BB_COMPOSITE")</f>
        <v>#N/A Requesting Data...</v>
      </c>
      <c r="T2234" t="str">
        <f>_xll.BDP("837545MM Muni","LQA_LIQUIDITY_SCORE")</f>
        <v>#N/A Requesting Data...</v>
      </c>
    </row>
    <row r="2235" spans="1:20" x14ac:dyDescent="0.25">
      <c r="A2235" t="str">
        <f>_xll.BDP("837545MR Muni","ID_CUSIP")</f>
        <v>#N/A Requesting Data...</v>
      </c>
      <c r="B2235" t="s">
        <v>516</v>
      </c>
      <c r="C2235" t="str">
        <f>_xll.BDP("837545MR Muni","INSURANCE_STATUS")</f>
        <v>#N/A Requesting Data...</v>
      </c>
      <c r="D2235" t="str">
        <f>_xll.BDP("837545MR Muni","STATE_CODE")</f>
        <v>#N/A Requesting Data...</v>
      </c>
      <c r="E2235" t="str">
        <f>_xll.BDP("837545MR Muni","COUNTY_LOCATION_ISSUER")</f>
        <v>#N/A Requesting Data...</v>
      </c>
      <c r="F2235" t="str">
        <f>_xll.BDP("837545MR Muni","DUR_ADJ_MID")</f>
        <v>#N/A Requesting Data...</v>
      </c>
      <c r="G2235" t="str">
        <f>_xll.BDP("837545MR Muni","SPREAD_AT_ISSUANCE_TO_WORST")</f>
        <v>#N/A Requesting Data...</v>
      </c>
      <c r="H2235" t="str">
        <f>_xll.BDP("837545MR Muni","ISSUE_DT")</f>
        <v>#N/A Requesting Data...</v>
      </c>
      <c r="I2235" t="str">
        <f>_xll.BDS("837545MR Muni","MUNI_PURPOSE_SCHED", "aggregate=y")</f>
        <v>#N/A Requesting Data...</v>
      </c>
      <c r="J2235" t="str">
        <f>_xll.BDP("837545MR Muni","CPN")</f>
        <v>#N/A Requesting Data...</v>
      </c>
      <c r="K2235" t="str">
        <f>_xll.BDP("837545MR Muni","MATURITY")</f>
        <v>#N/A Requesting Data...</v>
      </c>
      <c r="L2235">
        <v>4145000</v>
      </c>
      <c r="M2235" t="str">
        <f>_xll.BDP("837545MR Muni","YIELD_ON_ISSUE_DATE")</f>
        <v>#N/A Requesting Data...</v>
      </c>
      <c r="N2235" t="str">
        <f>_xll.BDP("837545MR Muni","YTW_SPREAD_TO_MATURITY_AT_ISSU")</f>
        <v>#N/A Requesting Data...</v>
      </c>
      <c r="O2235" t="str">
        <f>_xll.BDP("837545MR Muni","BVAL_MID_YTM")</f>
        <v>#N/A Requesting Data...</v>
      </c>
      <c r="P2235" t="str">
        <f>_xll.BDP("837545MR Muni","MUNI_TAX_PROV")</f>
        <v>#N/A Requesting Data...</v>
      </c>
      <c r="Q2235" t="str">
        <f>_xll.BDP("837545MR Muni","MUNI_FED_TAX")</f>
        <v>#N/A Requesting Data...</v>
      </c>
      <c r="R2235" t="str">
        <f>_xll.BDP("837545MR Muni","MUNI_MSRB_VOLUME")</f>
        <v>#N/A Requesting Data...</v>
      </c>
      <c r="S2235" t="str">
        <f>_xll.BDP("837545MR Muni","BB_COMPOSITE")</f>
        <v>#N/A Requesting Data...</v>
      </c>
      <c r="T2235" t="str">
        <f>_xll.BDP("837545MR Muni","LQA_LIQUIDITY_SCORE")</f>
        <v>#N/A Requesting Data...</v>
      </c>
    </row>
    <row r="2236" spans="1:20" x14ac:dyDescent="0.25">
      <c r="A2236" t="str">
        <f>_xll.BDP("812145HX Muni","ID_CUSIP")</f>
        <v>#N/A Requesting Data...</v>
      </c>
      <c r="B2236" t="s">
        <v>528</v>
      </c>
      <c r="C2236" t="str">
        <f>_xll.BDP("812145HX Muni","INSURANCE_STATUS")</f>
        <v>#N/A Requesting Data...</v>
      </c>
      <c r="D2236" t="str">
        <f>_xll.BDP("812145HX Muni","STATE_CODE")</f>
        <v>#N/A Requesting Data...</v>
      </c>
      <c r="E2236" t="str">
        <f>_xll.BDP("812145HX Muni","COUNTY_LOCATION_ISSUER")</f>
        <v>#N/A Requesting Data...</v>
      </c>
      <c r="F2236" t="str">
        <f>_xll.BDP("812145HX Muni","DUR_ADJ_MID")</f>
        <v>#N/A Requesting Data...</v>
      </c>
      <c r="G2236" t="str">
        <f>_xll.BDP("812145HX Muni","SPREAD_AT_ISSUANCE_TO_WORST")</f>
        <v>#N/A Requesting Data...</v>
      </c>
      <c r="H2236" t="str">
        <f>_xll.BDP("812145HX Muni","ISSUE_DT")</f>
        <v>#N/A Requesting Data...</v>
      </c>
      <c r="I2236" t="str">
        <f>_xll.BDS("812145HX Muni","MUNI_PURPOSE_SCHED", "aggregate=y")</f>
        <v>#N/A Requesting Data...</v>
      </c>
      <c r="J2236" t="str">
        <f>_xll.BDP("812145HX Muni","CPN")</f>
        <v>#N/A Requesting Data...</v>
      </c>
      <c r="K2236" t="str">
        <f>_xll.BDP("812145HX Muni","MATURITY")</f>
        <v>#N/A Requesting Data...</v>
      </c>
      <c r="L2236">
        <v>400000</v>
      </c>
      <c r="M2236" t="str">
        <f>_xll.BDP("812145HX Muni","YIELD_ON_ISSUE_DATE")</f>
        <v>#N/A Requesting Data...</v>
      </c>
      <c r="N2236" t="str">
        <f>_xll.BDP("812145HX Muni","YTW_SPREAD_TO_MATURITY_AT_ISSU")</f>
        <v>#N/A Requesting Data...</v>
      </c>
      <c r="O2236" t="str">
        <f>_xll.BDP("812145HX Muni","BVAL_MID_YTM")</f>
        <v>#N/A Requesting Data...</v>
      </c>
      <c r="P2236" t="str">
        <f>_xll.BDP("812145HX Muni","MUNI_TAX_PROV")</f>
        <v>#N/A Requesting Data...</v>
      </c>
      <c r="Q2236" t="str">
        <f>_xll.BDP("812145HX Muni","MUNI_FED_TAX")</f>
        <v>#N/A Requesting Data...</v>
      </c>
      <c r="R2236" t="str">
        <f>_xll.BDP("812145HX Muni","MUNI_MSRB_VOLUME")</f>
        <v>#N/A Requesting Data...</v>
      </c>
      <c r="S2236" t="str">
        <f>_xll.BDP("812145HX Muni","BB_COMPOSITE")</f>
        <v>#N/A Requesting Data...</v>
      </c>
      <c r="T2236" t="str">
        <f>_xll.BDP("812145HX Muni","LQA_LIQUIDITY_SCORE")</f>
        <v>#N/A Requesting Data...</v>
      </c>
    </row>
    <row r="2237" spans="1:20" x14ac:dyDescent="0.25">
      <c r="A2237" t="str">
        <f>_xll.BDP("812145HY Muni","ID_CUSIP")</f>
        <v>#N/A Requesting Data...</v>
      </c>
      <c r="B2237" t="s">
        <v>528</v>
      </c>
      <c r="C2237" t="str">
        <f>_xll.BDP("812145HY Muni","INSURANCE_STATUS")</f>
        <v>#N/A Requesting Data...</v>
      </c>
      <c r="D2237" t="str">
        <f>_xll.BDP("812145HY Muni","STATE_CODE")</f>
        <v>#N/A Requesting Data...</v>
      </c>
      <c r="E2237" t="str">
        <f>_xll.BDP("812145HY Muni","COUNTY_LOCATION_ISSUER")</f>
        <v>#N/A Requesting Data...</v>
      </c>
      <c r="F2237" t="str">
        <f>_xll.BDP("812145HY Muni","DUR_ADJ_MID")</f>
        <v>#N/A Requesting Data...</v>
      </c>
      <c r="G2237" t="str">
        <f>_xll.BDP("812145HY Muni","SPREAD_AT_ISSUANCE_TO_WORST")</f>
        <v>#N/A Requesting Data...</v>
      </c>
      <c r="H2237" t="str">
        <f>_xll.BDP("812145HY Muni","ISSUE_DT")</f>
        <v>#N/A Requesting Data...</v>
      </c>
      <c r="I2237" t="str">
        <f>_xll.BDS("812145HY Muni","MUNI_PURPOSE_SCHED", "aggregate=y")</f>
        <v>#N/A Requesting Data...</v>
      </c>
      <c r="J2237" t="str">
        <f>_xll.BDP("812145HY Muni","CPN")</f>
        <v>#N/A Requesting Data...</v>
      </c>
      <c r="K2237" t="str">
        <f>_xll.BDP("812145HY Muni","MATURITY")</f>
        <v>#N/A Requesting Data...</v>
      </c>
      <c r="L2237">
        <v>420000</v>
      </c>
      <c r="M2237" t="str">
        <f>_xll.BDP("812145HY Muni","YIELD_ON_ISSUE_DATE")</f>
        <v>#N/A Requesting Data...</v>
      </c>
      <c r="N2237" t="str">
        <f>_xll.BDP("812145HY Muni","YTW_SPREAD_TO_MATURITY_AT_ISSU")</f>
        <v>#N/A Requesting Data...</v>
      </c>
      <c r="O2237" t="str">
        <f>_xll.BDP("812145HY Muni","BVAL_MID_YTM")</f>
        <v>#N/A Requesting Data...</v>
      </c>
      <c r="P2237" t="str">
        <f>_xll.BDP("812145HY Muni","MUNI_TAX_PROV")</f>
        <v>#N/A Requesting Data...</v>
      </c>
      <c r="Q2237" t="str">
        <f>_xll.BDP("812145HY Muni","MUNI_FED_TAX")</f>
        <v>#N/A Requesting Data...</v>
      </c>
      <c r="R2237" t="str">
        <f>_xll.BDP("812145HY Muni","MUNI_MSRB_VOLUME")</f>
        <v>#N/A Requesting Data...</v>
      </c>
      <c r="S2237" t="str">
        <f>_xll.BDP("812145HY Muni","BB_COMPOSITE")</f>
        <v>#N/A Requesting Data...</v>
      </c>
      <c r="T2237" t="str">
        <f>_xll.BDP("812145HY Muni","LQA_LIQUIDITY_SCORE")</f>
        <v>#N/A Requesting Data...</v>
      </c>
    </row>
    <row r="2238" spans="1:20" x14ac:dyDescent="0.25">
      <c r="A2238" t="str">
        <f>_xll.BDP("812145HZ Muni","ID_CUSIP")</f>
        <v>#N/A Requesting Data...</v>
      </c>
      <c r="B2238" t="s">
        <v>528</v>
      </c>
      <c r="C2238" t="str">
        <f>_xll.BDP("812145HZ Muni","INSURANCE_STATUS")</f>
        <v>#N/A Requesting Data...</v>
      </c>
      <c r="D2238" t="str">
        <f>_xll.BDP("812145HZ Muni","STATE_CODE")</f>
        <v>#N/A Requesting Data...</v>
      </c>
      <c r="E2238" t="str">
        <f>_xll.BDP("812145HZ Muni","COUNTY_LOCATION_ISSUER")</f>
        <v>#N/A Requesting Data...</v>
      </c>
      <c r="F2238" t="str">
        <f>_xll.BDP("812145HZ Muni","DUR_ADJ_MID")</f>
        <v>#N/A Requesting Data...</v>
      </c>
      <c r="G2238" t="str">
        <f>_xll.BDP("812145HZ Muni","SPREAD_AT_ISSUANCE_TO_WORST")</f>
        <v>#N/A Requesting Data...</v>
      </c>
      <c r="H2238" t="str">
        <f>_xll.BDP("812145HZ Muni","ISSUE_DT")</f>
        <v>#N/A Requesting Data...</v>
      </c>
      <c r="I2238" t="str">
        <f>_xll.BDS("812145HZ Muni","MUNI_PURPOSE_SCHED", "aggregate=y")</f>
        <v>#N/A Requesting Data...</v>
      </c>
      <c r="J2238" t="str">
        <f>_xll.BDP("812145HZ Muni","CPN")</f>
        <v>#N/A Requesting Data...</v>
      </c>
      <c r="K2238" t="str">
        <f>_xll.BDP("812145HZ Muni","MATURITY")</f>
        <v>#N/A Requesting Data...</v>
      </c>
      <c r="L2238">
        <v>445000</v>
      </c>
      <c r="M2238" t="str">
        <f>_xll.BDP("812145HZ Muni","YIELD_ON_ISSUE_DATE")</f>
        <v>#N/A Requesting Data...</v>
      </c>
      <c r="N2238" t="str">
        <f>_xll.BDP("812145HZ Muni","YTW_SPREAD_TO_MATURITY_AT_ISSU")</f>
        <v>#N/A Requesting Data...</v>
      </c>
      <c r="O2238" t="str">
        <f>_xll.BDP("812145HZ Muni","BVAL_MID_YTM")</f>
        <v>#N/A Requesting Data...</v>
      </c>
      <c r="P2238" t="str">
        <f>_xll.BDP("812145HZ Muni","MUNI_TAX_PROV")</f>
        <v>#N/A Requesting Data...</v>
      </c>
      <c r="Q2238" t="str">
        <f>_xll.BDP("812145HZ Muni","MUNI_FED_TAX")</f>
        <v>#N/A Requesting Data...</v>
      </c>
      <c r="R2238" t="str">
        <f>_xll.BDP("812145HZ Muni","MUNI_MSRB_VOLUME")</f>
        <v>#N/A Requesting Data...</v>
      </c>
      <c r="S2238" t="str">
        <f>_xll.BDP("812145HZ Muni","BB_COMPOSITE")</f>
        <v>#N/A Requesting Data...</v>
      </c>
      <c r="T2238" t="str">
        <f>_xll.BDP("812145HZ Muni","LQA_LIQUIDITY_SCORE")</f>
        <v>#N/A Requesting Data...</v>
      </c>
    </row>
    <row r="2239" spans="1:20" x14ac:dyDescent="0.25">
      <c r="A2239" t="str">
        <f>_xll.BDP("812145JA Muni","ID_CUSIP")</f>
        <v>#N/A Requesting Data...</v>
      </c>
      <c r="B2239" t="s">
        <v>528</v>
      </c>
      <c r="C2239" t="str">
        <f>_xll.BDP("812145JA Muni","INSURANCE_STATUS")</f>
        <v>#N/A Requesting Data...</v>
      </c>
      <c r="D2239" t="str">
        <f>_xll.BDP("812145JA Muni","STATE_CODE")</f>
        <v>#N/A Requesting Data...</v>
      </c>
      <c r="E2239" t="str">
        <f>_xll.BDP("812145JA Muni","COUNTY_LOCATION_ISSUER")</f>
        <v>#N/A Requesting Data...</v>
      </c>
      <c r="F2239" t="str">
        <f>_xll.BDP("812145JA Muni","DUR_ADJ_MID")</f>
        <v>#N/A Requesting Data...</v>
      </c>
      <c r="G2239" t="str">
        <f>_xll.BDP("812145JA Muni","SPREAD_AT_ISSUANCE_TO_WORST")</f>
        <v>#N/A Requesting Data...</v>
      </c>
      <c r="H2239" t="str">
        <f>_xll.BDP("812145JA Muni","ISSUE_DT")</f>
        <v>#N/A Requesting Data...</v>
      </c>
      <c r="I2239" t="str">
        <f>_xll.BDS("812145JA Muni","MUNI_PURPOSE_SCHED", "aggregate=y")</f>
        <v>#N/A Requesting Data...</v>
      </c>
      <c r="J2239" t="str">
        <f>_xll.BDP("812145JA Muni","CPN")</f>
        <v>#N/A Requesting Data...</v>
      </c>
      <c r="K2239" t="str">
        <f>_xll.BDP("812145JA Muni","MATURITY")</f>
        <v>#N/A Requesting Data...</v>
      </c>
      <c r="L2239">
        <v>465000</v>
      </c>
      <c r="M2239" t="str">
        <f>_xll.BDP("812145JA Muni","YIELD_ON_ISSUE_DATE")</f>
        <v>#N/A Requesting Data...</v>
      </c>
      <c r="N2239" t="str">
        <f>_xll.BDP("812145JA Muni","YTW_SPREAD_TO_MATURITY_AT_ISSU")</f>
        <v>#N/A Requesting Data...</v>
      </c>
      <c r="O2239" t="str">
        <f>_xll.BDP("812145JA Muni","BVAL_MID_YTM")</f>
        <v>#N/A Requesting Data...</v>
      </c>
      <c r="P2239" t="str">
        <f>_xll.BDP("812145JA Muni","MUNI_TAX_PROV")</f>
        <v>#N/A Requesting Data...</v>
      </c>
      <c r="Q2239" t="str">
        <f>_xll.BDP("812145JA Muni","MUNI_FED_TAX")</f>
        <v>#N/A Requesting Data...</v>
      </c>
      <c r="R2239" t="str">
        <f>_xll.BDP("812145JA Muni","MUNI_MSRB_VOLUME")</f>
        <v>#N/A Requesting Data...</v>
      </c>
      <c r="S2239" t="str">
        <f>_xll.BDP("812145JA Muni","BB_COMPOSITE")</f>
        <v>#N/A Requesting Data...</v>
      </c>
      <c r="T2239" t="str">
        <f>_xll.BDP("812145JA Muni","LQA_LIQUIDITY_SCORE")</f>
        <v>#N/A Requesting Data...</v>
      </c>
    </row>
    <row r="2240" spans="1:20" x14ac:dyDescent="0.25">
      <c r="A2240" t="str">
        <f>_xll.BDP("812145JB Muni","ID_CUSIP")</f>
        <v>#N/A Requesting Data...</v>
      </c>
      <c r="B2240" t="s">
        <v>528</v>
      </c>
      <c r="C2240" t="str">
        <f>_xll.BDP("812145JB Muni","INSURANCE_STATUS")</f>
        <v>#N/A Requesting Data...</v>
      </c>
      <c r="D2240" t="str">
        <f>_xll.BDP("812145JB Muni","STATE_CODE")</f>
        <v>#N/A Requesting Data...</v>
      </c>
      <c r="E2240" t="str">
        <f>_xll.BDP("812145JB Muni","COUNTY_LOCATION_ISSUER")</f>
        <v>#N/A Requesting Data...</v>
      </c>
      <c r="F2240" t="str">
        <f>_xll.BDP("812145JB Muni","DUR_ADJ_MID")</f>
        <v>#N/A Requesting Data...</v>
      </c>
      <c r="G2240" t="str">
        <f>_xll.BDP("812145JB Muni","SPREAD_AT_ISSUANCE_TO_WORST")</f>
        <v>#N/A Requesting Data...</v>
      </c>
      <c r="H2240" t="str">
        <f>_xll.BDP("812145JB Muni","ISSUE_DT")</f>
        <v>#N/A Requesting Data...</v>
      </c>
      <c r="I2240" t="str">
        <f>_xll.BDS("812145JB Muni","MUNI_PURPOSE_SCHED", "aggregate=y")</f>
        <v>#N/A Requesting Data...</v>
      </c>
      <c r="J2240" t="str">
        <f>_xll.BDP("812145JB Muni","CPN")</f>
        <v>#N/A Requesting Data...</v>
      </c>
      <c r="K2240" t="str">
        <f>_xll.BDP("812145JB Muni","MATURITY")</f>
        <v>#N/A Requesting Data...</v>
      </c>
      <c r="L2240">
        <v>490000</v>
      </c>
      <c r="M2240" t="str">
        <f>_xll.BDP("812145JB Muni","YIELD_ON_ISSUE_DATE")</f>
        <v>#N/A Requesting Data...</v>
      </c>
      <c r="N2240" t="str">
        <f>_xll.BDP("812145JB Muni","YTW_SPREAD_TO_MATURITY_AT_ISSU")</f>
        <v>#N/A Requesting Data...</v>
      </c>
      <c r="O2240" t="str">
        <f>_xll.BDP("812145JB Muni","BVAL_MID_YTM")</f>
        <v>#N/A Requesting Data...</v>
      </c>
      <c r="P2240" t="str">
        <f>_xll.BDP("812145JB Muni","MUNI_TAX_PROV")</f>
        <v>#N/A Requesting Data...</v>
      </c>
      <c r="Q2240" t="str">
        <f>_xll.BDP("812145JB Muni","MUNI_FED_TAX")</f>
        <v>#N/A Requesting Data...</v>
      </c>
      <c r="R2240" t="str">
        <f>_xll.BDP("812145JB Muni","MUNI_MSRB_VOLUME")</f>
        <v>#N/A Requesting Data...</v>
      </c>
      <c r="S2240" t="str">
        <f>_xll.BDP("812145JB Muni","BB_COMPOSITE")</f>
        <v>#N/A Requesting Data...</v>
      </c>
      <c r="T2240" t="str">
        <f>_xll.BDP("812145JB Muni","LQA_LIQUIDITY_SCORE")</f>
        <v>#N/A Requesting Data...</v>
      </c>
    </row>
    <row r="2241" spans="1:20" x14ac:dyDescent="0.25">
      <c r="A2241" t="str">
        <f>_xll.BDP("812145JC Muni","ID_CUSIP")</f>
        <v>#N/A Requesting Data...</v>
      </c>
      <c r="B2241" t="s">
        <v>528</v>
      </c>
      <c r="C2241" t="str">
        <f>_xll.BDP("812145JC Muni","INSURANCE_STATUS")</f>
        <v>#N/A Requesting Data...</v>
      </c>
      <c r="D2241" t="str">
        <f>_xll.BDP("812145JC Muni","STATE_CODE")</f>
        <v>#N/A Requesting Data...</v>
      </c>
      <c r="E2241" t="str">
        <f>_xll.BDP("812145JC Muni","COUNTY_LOCATION_ISSUER")</f>
        <v>#N/A Requesting Data...</v>
      </c>
      <c r="F2241" t="str">
        <f>_xll.BDP("812145JC Muni","DUR_ADJ_MID")</f>
        <v>#N/A Requesting Data...</v>
      </c>
      <c r="G2241" t="str">
        <f>_xll.BDP("812145JC Muni","SPREAD_AT_ISSUANCE_TO_WORST")</f>
        <v>#N/A Requesting Data...</v>
      </c>
      <c r="H2241" t="str">
        <f>_xll.BDP("812145JC Muni","ISSUE_DT")</f>
        <v>#N/A Requesting Data...</v>
      </c>
      <c r="I2241" t="str">
        <f>_xll.BDS("812145JC Muni","MUNI_PURPOSE_SCHED", "aggregate=y")</f>
        <v>#N/A Requesting Data...</v>
      </c>
      <c r="J2241" t="str">
        <f>_xll.BDP("812145JC Muni","CPN")</f>
        <v>#N/A Requesting Data...</v>
      </c>
      <c r="K2241" t="str">
        <f>_xll.BDP("812145JC Muni","MATURITY")</f>
        <v>#N/A Requesting Data...</v>
      </c>
      <c r="L2241">
        <v>515000</v>
      </c>
      <c r="M2241" t="str">
        <f>_xll.BDP("812145JC Muni","YIELD_ON_ISSUE_DATE")</f>
        <v>#N/A Requesting Data...</v>
      </c>
      <c r="N2241" t="str">
        <f>_xll.BDP("812145JC Muni","YTW_SPREAD_TO_MATURITY_AT_ISSU")</f>
        <v>#N/A Requesting Data...</v>
      </c>
      <c r="O2241" t="str">
        <f>_xll.BDP("812145JC Muni","BVAL_MID_YTM")</f>
        <v>#N/A Requesting Data...</v>
      </c>
      <c r="P2241" t="str">
        <f>_xll.BDP("812145JC Muni","MUNI_TAX_PROV")</f>
        <v>#N/A Requesting Data...</v>
      </c>
      <c r="Q2241" t="str">
        <f>_xll.BDP("812145JC Muni","MUNI_FED_TAX")</f>
        <v>#N/A Requesting Data...</v>
      </c>
      <c r="R2241" t="str">
        <f>_xll.BDP("812145JC Muni","MUNI_MSRB_VOLUME")</f>
        <v>#N/A Requesting Data...</v>
      </c>
      <c r="S2241" t="str">
        <f>_xll.BDP("812145JC Muni","BB_COMPOSITE")</f>
        <v>#N/A Requesting Data...</v>
      </c>
      <c r="T2241" t="str">
        <f>_xll.BDP("812145JC Muni","LQA_LIQUIDITY_SCORE")</f>
        <v>#N/A Requesting Data...</v>
      </c>
    </row>
    <row r="2242" spans="1:20" x14ac:dyDescent="0.25">
      <c r="A2242" t="str">
        <f>_xll.BDP("812145JD Muni","ID_CUSIP")</f>
        <v>#N/A Requesting Data...</v>
      </c>
      <c r="B2242" t="s">
        <v>528</v>
      </c>
      <c r="C2242" t="str">
        <f>_xll.BDP("812145JD Muni","INSURANCE_STATUS")</f>
        <v>#N/A Requesting Data...</v>
      </c>
      <c r="D2242" t="str">
        <f>_xll.BDP("812145JD Muni","STATE_CODE")</f>
        <v>#N/A Requesting Data...</v>
      </c>
      <c r="E2242" t="str">
        <f>_xll.BDP("812145JD Muni","COUNTY_LOCATION_ISSUER")</f>
        <v>#N/A Requesting Data...</v>
      </c>
      <c r="F2242" t="str">
        <f>_xll.BDP("812145JD Muni","DUR_ADJ_MID")</f>
        <v>#N/A Requesting Data...</v>
      </c>
      <c r="G2242" t="str">
        <f>_xll.BDP("812145JD Muni","SPREAD_AT_ISSUANCE_TO_WORST")</f>
        <v>#N/A Requesting Data...</v>
      </c>
      <c r="H2242" t="str">
        <f>_xll.BDP("812145JD Muni","ISSUE_DT")</f>
        <v>#N/A Requesting Data...</v>
      </c>
      <c r="I2242" t="str">
        <f>_xll.BDS("812145JD Muni","MUNI_PURPOSE_SCHED", "aggregate=y")</f>
        <v>#N/A Requesting Data...</v>
      </c>
      <c r="J2242" t="str">
        <f>_xll.BDP("812145JD Muni","CPN")</f>
        <v>#N/A Requesting Data...</v>
      </c>
      <c r="K2242" t="str">
        <f>_xll.BDP("812145JD Muni","MATURITY")</f>
        <v>#N/A Requesting Data...</v>
      </c>
      <c r="L2242">
        <v>540000</v>
      </c>
      <c r="M2242" t="str">
        <f>_xll.BDP("812145JD Muni","YIELD_ON_ISSUE_DATE")</f>
        <v>#N/A Requesting Data...</v>
      </c>
      <c r="N2242" t="str">
        <f>_xll.BDP("812145JD Muni","YTW_SPREAD_TO_MATURITY_AT_ISSU")</f>
        <v>#N/A Requesting Data...</v>
      </c>
      <c r="O2242" t="str">
        <f>_xll.BDP("812145JD Muni","BVAL_MID_YTM")</f>
        <v>#N/A Requesting Data...</v>
      </c>
      <c r="P2242" t="str">
        <f>_xll.BDP("812145JD Muni","MUNI_TAX_PROV")</f>
        <v>#N/A Requesting Data...</v>
      </c>
      <c r="Q2242" t="str">
        <f>_xll.BDP("812145JD Muni","MUNI_FED_TAX")</f>
        <v>#N/A Requesting Data...</v>
      </c>
      <c r="R2242" t="str">
        <f>_xll.BDP("812145JD Muni","MUNI_MSRB_VOLUME")</f>
        <v>#N/A Requesting Data...</v>
      </c>
      <c r="S2242" t="str">
        <f>_xll.BDP("812145JD Muni","BB_COMPOSITE")</f>
        <v>#N/A Requesting Data...</v>
      </c>
      <c r="T2242" t="str">
        <f>_xll.BDP("812145JD Muni","LQA_LIQUIDITY_SCORE")</f>
        <v>#N/A Requesting Data...</v>
      </c>
    </row>
    <row r="2243" spans="1:20" x14ac:dyDescent="0.25">
      <c r="A2243" t="str">
        <f>_xll.BDP("815187JQ Muni","ID_CUSIP")</f>
        <v>#N/A Requesting Data...</v>
      </c>
      <c r="B2243" t="s">
        <v>529</v>
      </c>
      <c r="C2243" t="str">
        <f>_xll.BDP("815187JQ Muni","INSURANCE_STATUS")</f>
        <v>#N/A Requesting Data...</v>
      </c>
      <c r="D2243" t="str">
        <f>_xll.BDP("815187JQ Muni","STATE_CODE")</f>
        <v>#N/A Requesting Data...</v>
      </c>
      <c r="E2243" t="str">
        <f>_xll.BDP("815187JQ Muni","COUNTY_LOCATION_ISSUER")</f>
        <v>#N/A Requesting Data...</v>
      </c>
      <c r="F2243" t="str">
        <f>_xll.BDP("815187JQ Muni","DUR_ADJ_MID")</f>
        <v>#N/A Requesting Data...</v>
      </c>
      <c r="G2243" t="str">
        <f>_xll.BDP("815187JQ Muni","SPREAD_AT_ISSUANCE_TO_WORST")</f>
        <v>#N/A Requesting Data...</v>
      </c>
      <c r="H2243" t="str">
        <f>_xll.BDP("815187JQ Muni","ISSUE_DT")</f>
        <v>#N/A Requesting Data...</v>
      </c>
      <c r="I2243" t="str">
        <f>_xll.BDS("815187JQ Muni","MUNI_PURPOSE_SCHED", "aggregate=y")</f>
        <v>#N/A Requesting Data...</v>
      </c>
      <c r="J2243" t="str">
        <f>_xll.BDP("815187JQ Muni","CPN")</f>
        <v>#N/A Requesting Data...</v>
      </c>
      <c r="K2243" t="str">
        <f>_xll.BDP("815187JQ Muni","MATURITY")</f>
        <v>#N/A Requesting Data...</v>
      </c>
      <c r="L2243">
        <v>405000</v>
      </c>
      <c r="M2243" t="str">
        <f>_xll.BDP("815187JQ Muni","YIELD_ON_ISSUE_DATE")</f>
        <v>#N/A Requesting Data...</v>
      </c>
      <c r="N2243" t="str">
        <f>_xll.BDP("815187JQ Muni","YTW_SPREAD_TO_MATURITY_AT_ISSU")</f>
        <v>#N/A Requesting Data...</v>
      </c>
      <c r="O2243" t="str">
        <f>_xll.BDP("815187JQ Muni","BVAL_MID_YTM")</f>
        <v>#N/A Requesting Data...</v>
      </c>
      <c r="P2243" t="str">
        <f>_xll.BDP("815187JQ Muni","MUNI_TAX_PROV")</f>
        <v>#N/A Requesting Data...</v>
      </c>
      <c r="Q2243" t="str">
        <f>_xll.BDP("815187JQ Muni","MUNI_FED_TAX")</f>
        <v>#N/A Requesting Data...</v>
      </c>
      <c r="R2243" t="str">
        <f>_xll.BDP("815187JQ Muni","MUNI_MSRB_VOLUME")</f>
        <v>#N/A Requesting Data...</v>
      </c>
      <c r="S2243" t="str">
        <f>_xll.BDP("815187JQ Muni","BB_COMPOSITE")</f>
        <v>#N/A Requesting Data...</v>
      </c>
      <c r="T2243" t="str">
        <f>_xll.BDP("815187JQ Muni","LQA_LIQUIDITY_SCORE")</f>
        <v>#N/A Requesting Data...</v>
      </c>
    </row>
    <row r="2244" spans="1:20" x14ac:dyDescent="0.25">
      <c r="A2244" t="str">
        <f>_xll.BDP("815187JR Muni","ID_CUSIP")</f>
        <v>#N/A Requesting Data...</v>
      </c>
      <c r="B2244" t="s">
        <v>529</v>
      </c>
      <c r="C2244" t="str">
        <f>_xll.BDP("815187JR Muni","INSURANCE_STATUS")</f>
        <v>#N/A Requesting Data...</v>
      </c>
      <c r="D2244" t="str">
        <f>_xll.BDP("815187JR Muni","STATE_CODE")</f>
        <v>#N/A Requesting Data...</v>
      </c>
      <c r="E2244" t="str">
        <f>_xll.BDP("815187JR Muni","COUNTY_LOCATION_ISSUER")</f>
        <v>#N/A Requesting Data...</v>
      </c>
      <c r="F2244" t="str">
        <f>_xll.BDP("815187JR Muni","DUR_ADJ_MID")</f>
        <v>#N/A Requesting Data...</v>
      </c>
      <c r="G2244" t="str">
        <f>_xll.BDP("815187JR Muni","SPREAD_AT_ISSUANCE_TO_WORST")</f>
        <v>#N/A Requesting Data...</v>
      </c>
      <c r="H2244" t="str">
        <f>_xll.BDP("815187JR Muni","ISSUE_DT")</f>
        <v>#N/A Requesting Data...</v>
      </c>
      <c r="I2244" t="str">
        <f>_xll.BDS("815187JR Muni","MUNI_PURPOSE_SCHED", "aggregate=y")</f>
        <v>#N/A Requesting Data...</v>
      </c>
      <c r="J2244" t="str">
        <f>_xll.BDP("815187JR Muni","CPN")</f>
        <v>#N/A Requesting Data...</v>
      </c>
      <c r="K2244" t="str">
        <f>_xll.BDP("815187JR Muni","MATURITY")</f>
        <v>#N/A Requesting Data...</v>
      </c>
      <c r="L2244">
        <v>415000</v>
      </c>
      <c r="M2244" t="str">
        <f>_xll.BDP("815187JR Muni","YIELD_ON_ISSUE_DATE")</f>
        <v>#N/A Requesting Data...</v>
      </c>
      <c r="N2244" t="str">
        <f>_xll.BDP("815187JR Muni","YTW_SPREAD_TO_MATURITY_AT_ISSU")</f>
        <v>#N/A Requesting Data...</v>
      </c>
      <c r="O2244" t="str">
        <f>_xll.BDP("815187JR Muni","BVAL_MID_YTM")</f>
        <v>#N/A Requesting Data...</v>
      </c>
      <c r="P2244" t="str">
        <f>_xll.BDP("815187JR Muni","MUNI_TAX_PROV")</f>
        <v>#N/A Requesting Data...</v>
      </c>
      <c r="Q2244" t="str">
        <f>_xll.BDP("815187JR Muni","MUNI_FED_TAX")</f>
        <v>#N/A Requesting Data...</v>
      </c>
      <c r="R2244" t="str">
        <f>_xll.BDP("815187JR Muni","MUNI_MSRB_VOLUME")</f>
        <v>#N/A Requesting Data...</v>
      </c>
      <c r="S2244" t="str">
        <f>_xll.BDP("815187JR Muni","BB_COMPOSITE")</f>
        <v>#N/A Requesting Data...</v>
      </c>
      <c r="T2244" t="str">
        <f>_xll.BDP("815187JR Muni","LQA_LIQUIDITY_SCORE")</f>
        <v>#N/A Requesting Data...</v>
      </c>
    </row>
    <row r="2245" spans="1:20" x14ac:dyDescent="0.25">
      <c r="A2245" t="str">
        <f>_xll.BDP("815883MS Muni","ID_CUSIP")</f>
        <v>#N/A Requesting Data...</v>
      </c>
      <c r="B2245" t="s">
        <v>530</v>
      </c>
      <c r="C2245" t="str">
        <f>_xll.BDP("815883MS Muni","INSURANCE_STATUS")</f>
        <v>#N/A Requesting Data...</v>
      </c>
      <c r="D2245" t="str">
        <f>_xll.BDP("815883MS Muni","STATE_CODE")</f>
        <v>#N/A Requesting Data...</v>
      </c>
      <c r="E2245" t="str">
        <f>_xll.BDP("815883MS Muni","COUNTY_LOCATION_ISSUER")</f>
        <v>#N/A Requesting Data...</v>
      </c>
      <c r="F2245" t="str">
        <f>_xll.BDP("815883MS Muni","DUR_ADJ_MID")</f>
        <v>#N/A Requesting Data...</v>
      </c>
      <c r="G2245" t="str">
        <f>_xll.BDP("815883MS Muni","SPREAD_AT_ISSUANCE_TO_WORST")</f>
        <v>#N/A Requesting Data...</v>
      </c>
      <c r="H2245" t="str">
        <f>_xll.BDP("815883MS Muni","ISSUE_DT")</f>
        <v>#N/A Requesting Data...</v>
      </c>
      <c r="I2245" t="str">
        <f>_xll.BDS("815883MS Muni","MUNI_PURPOSE_SCHED", "aggregate=y")</f>
        <v>#N/A Requesting Data...</v>
      </c>
      <c r="J2245" t="str">
        <f>_xll.BDP("815883MS Muni","CPN")</f>
        <v>#N/A Requesting Data...</v>
      </c>
      <c r="K2245" t="str">
        <f>_xll.BDP("815883MS Muni","MATURITY")</f>
        <v>#N/A Requesting Data...</v>
      </c>
      <c r="L2245">
        <v>150000</v>
      </c>
      <c r="M2245" t="str">
        <f>_xll.BDP("815883MS Muni","YIELD_ON_ISSUE_DATE")</f>
        <v>#N/A Requesting Data...</v>
      </c>
      <c r="N2245" t="str">
        <f>_xll.BDP("815883MS Muni","YTW_SPREAD_TO_MATURITY_AT_ISSU")</f>
        <v>#N/A Requesting Data...</v>
      </c>
      <c r="O2245" t="str">
        <f>_xll.BDP("815883MS Muni","BVAL_MID_YTM")</f>
        <v>#N/A Requesting Data...</v>
      </c>
      <c r="P2245" t="str">
        <f>_xll.BDP("815883MS Muni","MUNI_TAX_PROV")</f>
        <v>#N/A Requesting Data...</v>
      </c>
      <c r="Q2245" t="str">
        <f>_xll.BDP("815883MS Muni","MUNI_FED_TAX")</f>
        <v>#N/A Requesting Data...</v>
      </c>
      <c r="R2245" t="str">
        <f>_xll.BDP("815883MS Muni","MUNI_MSRB_VOLUME")</f>
        <v>#N/A Requesting Data...</v>
      </c>
      <c r="S2245" t="str">
        <f>_xll.BDP("815883MS Muni","BB_COMPOSITE")</f>
        <v>#N/A Requesting Data...</v>
      </c>
      <c r="T2245" t="str">
        <f>_xll.BDP("815883MS Muni","LQA_LIQUIDITY_SCORE")</f>
        <v>#N/A Requesting Data...</v>
      </c>
    </row>
    <row r="2246" spans="1:20" x14ac:dyDescent="0.25">
      <c r="A2246" t="str">
        <f>_xll.BDP("815883MT Muni","ID_CUSIP")</f>
        <v>#N/A Requesting Data...</v>
      </c>
      <c r="B2246" t="s">
        <v>530</v>
      </c>
      <c r="C2246" t="str">
        <f>_xll.BDP("815883MT Muni","INSURANCE_STATUS")</f>
        <v>#N/A Requesting Data...</v>
      </c>
      <c r="D2246" t="str">
        <f>_xll.BDP("815883MT Muni","STATE_CODE")</f>
        <v>#N/A Requesting Data...</v>
      </c>
      <c r="E2246" t="str">
        <f>_xll.BDP("815883MT Muni","COUNTY_LOCATION_ISSUER")</f>
        <v>#N/A Requesting Data...</v>
      </c>
      <c r="F2246" t="str">
        <f>_xll.BDP("815883MT Muni","DUR_ADJ_MID")</f>
        <v>#N/A Requesting Data...</v>
      </c>
      <c r="G2246" t="str">
        <f>_xll.BDP("815883MT Muni","SPREAD_AT_ISSUANCE_TO_WORST")</f>
        <v>#N/A Requesting Data...</v>
      </c>
      <c r="H2246" t="str">
        <f>_xll.BDP("815883MT Muni","ISSUE_DT")</f>
        <v>#N/A Requesting Data...</v>
      </c>
      <c r="I2246" t="str">
        <f>_xll.BDS("815883MT Muni","MUNI_PURPOSE_SCHED", "aggregate=y")</f>
        <v>#N/A Requesting Data...</v>
      </c>
      <c r="J2246" t="str">
        <f>_xll.BDP("815883MT Muni","CPN")</f>
        <v>#N/A Requesting Data...</v>
      </c>
      <c r="K2246" t="str">
        <f>_xll.BDP("815883MT Muni","MATURITY")</f>
        <v>#N/A Requesting Data...</v>
      </c>
      <c r="L2246">
        <v>335000</v>
      </c>
      <c r="M2246" t="str">
        <f>_xll.BDP("815883MT Muni","YIELD_ON_ISSUE_DATE")</f>
        <v>#N/A Requesting Data...</v>
      </c>
      <c r="N2246" t="str">
        <f>_xll.BDP("815883MT Muni","YTW_SPREAD_TO_MATURITY_AT_ISSU")</f>
        <v>#N/A Requesting Data...</v>
      </c>
      <c r="O2246" t="str">
        <f>_xll.BDP("815883MT Muni","BVAL_MID_YTM")</f>
        <v>#N/A Requesting Data...</v>
      </c>
      <c r="P2246" t="str">
        <f>_xll.BDP("815883MT Muni","MUNI_TAX_PROV")</f>
        <v>#N/A Requesting Data...</v>
      </c>
      <c r="Q2246" t="str">
        <f>_xll.BDP("815883MT Muni","MUNI_FED_TAX")</f>
        <v>#N/A Requesting Data...</v>
      </c>
      <c r="R2246" t="str">
        <f>_xll.BDP("815883MT Muni","MUNI_MSRB_VOLUME")</f>
        <v>#N/A Requesting Data...</v>
      </c>
      <c r="S2246" t="str">
        <f>_xll.BDP("815883MT Muni","BB_COMPOSITE")</f>
        <v>#N/A Requesting Data...</v>
      </c>
      <c r="T2246" t="str">
        <f>_xll.BDP("815883MT Muni","LQA_LIQUIDITY_SCORE")</f>
        <v>#N/A Requesting Data...</v>
      </c>
    </row>
    <row r="2247" spans="1:20" x14ac:dyDescent="0.25">
      <c r="A2247" t="str">
        <f>_xll.BDP("815883MU Muni","ID_CUSIP")</f>
        <v>#N/A Requesting Data...</v>
      </c>
      <c r="B2247" t="s">
        <v>530</v>
      </c>
      <c r="C2247" t="str">
        <f>_xll.BDP("815883MU Muni","INSURANCE_STATUS")</f>
        <v>#N/A Requesting Data...</v>
      </c>
      <c r="D2247" t="str">
        <f>_xll.BDP("815883MU Muni","STATE_CODE")</f>
        <v>#N/A Requesting Data...</v>
      </c>
      <c r="E2247" t="str">
        <f>_xll.BDP("815883MU Muni","COUNTY_LOCATION_ISSUER")</f>
        <v>#N/A Requesting Data...</v>
      </c>
      <c r="F2247" t="str">
        <f>_xll.BDP("815883MU Muni","DUR_ADJ_MID")</f>
        <v>#N/A Requesting Data...</v>
      </c>
      <c r="G2247" t="str">
        <f>_xll.BDP("815883MU Muni","SPREAD_AT_ISSUANCE_TO_WORST")</f>
        <v>#N/A Requesting Data...</v>
      </c>
      <c r="H2247" t="str">
        <f>_xll.BDP("815883MU Muni","ISSUE_DT")</f>
        <v>#N/A Requesting Data...</v>
      </c>
      <c r="I2247" t="str">
        <f>_xll.BDS("815883MU Muni","MUNI_PURPOSE_SCHED", "aggregate=y")</f>
        <v>#N/A Requesting Data...</v>
      </c>
      <c r="J2247" t="str">
        <f>_xll.BDP("815883MU Muni","CPN")</f>
        <v>#N/A Requesting Data...</v>
      </c>
      <c r="K2247" t="str">
        <f>_xll.BDP("815883MU Muni","MATURITY")</f>
        <v>#N/A Requesting Data...</v>
      </c>
      <c r="L2247">
        <v>350000</v>
      </c>
      <c r="M2247" t="str">
        <f>_xll.BDP("815883MU Muni","YIELD_ON_ISSUE_DATE")</f>
        <v>#N/A Requesting Data...</v>
      </c>
      <c r="N2247" t="str">
        <f>_xll.BDP("815883MU Muni","YTW_SPREAD_TO_MATURITY_AT_ISSU")</f>
        <v>#N/A Requesting Data...</v>
      </c>
      <c r="O2247" t="str">
        <f>_xll.BDP("815883MU Muni","BVAL_MID_YTM")</f>
        <v>#N/A Requesting Data...</v>
      </c>
      <c r="P2247" t="str">
        <f>_xll.BDP("815883MU Muni","MUNI_TAX_PROV")</f>
        <v>#N/A Requesting Data...</v>
      </c>
      <c r="Q2247" t="str">
        <f>_xll.BDP("815883MU Muni","MUNI_FED_TAX")</f>
        <v>#N/A Requesting Data...</v>
      </c>
      <c r="R2247" t="str">
        <f>_xll.BDP("815883MU Muni","MUNI_MSRB_VOLUME")</f>
        <v>#N/A Requesting Data...</v>
      </c>
      <c r="S2247" t="str">
        <f>_xll.BDP("815883MU Muni","BB_COMPOSITE")</f>
        <v>#N/A Requesting Data...</v>
      </c>
      <c r="T2247" t="str">
        <f>_xll.BDP("815883MU Muni","LQA_LIQUIDITY_SCORE")</f>
        <v>#N/A Requesting Data...</v>
      </c>
    </row>
    <row r="2248" spans="1:20" x14ac:dyDescent="0.25">
      <c r="A2248" t="str">
        <f>_xll.BDP("815883MV Muni","ID_CUSIP")</f>
        <v>#N/A Requesting Data...</v>
      </c>
      <c r="B2248" t="s">
        <v>530</v>
      </c>
      <c r="C2248" t="str">
        <f>_xll.BDP("815883MV Muni","INSURANCE_STATUS")</f>
        <v>#N/A Requesting Data...</v>
      </c>
      <c r="D2248" t="str">
        <f>_xll.BDP("815883MV Muni","STATE_CODE")</f>
        <v>#N/A Requesting Data...</v>
      </c>
      <c r="E2248" t="str">
        <f>_xll.BDP("815883MV Muni","COUNTY_LOCATION_ISSUER")</f>
        <v>#N/A Requesting Data...</v>
      </c>
      <c r="F2248" t="str">
        <f>_xll.BDP("815883MV Muni","DUR_ADJ_MID")</f>
        <v>#N/A Requesting Data...</v>
      </c>
      <c r="G2248" t="str">
        <f>_xll.BDP("815883MV Muni","SPREAD_AT_ISSUANCE_TO_WORST")</f>
        <v>#N/A Requesting Data...</v>
      </c>
      <c r="H2248" t="str">
        <f>_xll.BDP("815883MV Muni","ISSUE_DT")</f>
        <v>#N/A Requesting Data...</v>
      </c>
      <c r="I2248" t="str">
        <f>_xll.BDS("815883MV Muni","MUNI_PURPOSE_SCHED", "aggregate=y")</f>
        <v>#N/A Requesting Data...</v>
      </c>
      <c r="J2248" t="str">
        <f>_xll.BDP("815883MV Muni","CPN")</f>
        <v>#N/A Requesting Data...</v>
      </c>
      <c r="K2248" t="str">
        <f>_xll.BDP("815883MV Muni","MATURITY")</f>
        <v>#N/A Requesting Data...</v>
      </c>
      <c r="L2248">
        <v>350000</v>
      </c>
      <c r="M2248" t="str">
        <f>_xll.BDP("815883MV Muni","YIELD_ON_ISSUE_DATE")</f>
        <v>#N/A Requesting Data...</v>
      </c>
      <c r="N2248" t="str">
        <f>_xll.BDP("815883MV Muni","YTW_SPREAD_TO_MATURITY_AT_ISSU")</f>
        <v>#N/A Requesting Data...</v>
      </c>
      <c r="O2248" t="str">
        <f>_xll.BDP("815883MV Muni","BVAL_MID_YTM")</f>
        <v>#N/A Requesting Data...</v>
      </c>
      <c r="P2248" t="str">
        <f>_xll.BDP("815883MV Muni","MUNI_TAX_PROV")</f>
        <v>#N/A Requesting Data...</v>
      </c>
      <c r="Q2248" t="str">
        <f>_xll.BDP("815883MV Muni","MUNI_FED_TAX")</f>
        <v>#N/A Requesting Data...</v>
      </c>
      <c r="R2248" t="str">
        <f>_xll.BDP("815883MV Muni","MUNI_MSRB_VOLUME")</f>
        <v>#N/A Requesting Data...</v>
      </c>
      <c r="S2248" t="str">
        <f>_xll.BDP("815883MV Muni","BB_COMPOSITE")</f>
        <v>#N/A Requesting Data...</v>
      </c>
      <c r="T2248" t="str">
        <f>_xll.BDP("815883MV Muni","LQA_LIQUIDITY_SCORE")</f>
        <v>#N/A Requesting Data...</v>
      </c>
    </row>
    <row r="2249" spans="1:20" x14ac:dyDescent="0.25">
      <c r="A2249" t="str">
        <f>_xll.BDP("948390TF Muni","ID_CUSIP")</f>
        <v>#N/A Requesting Data...</v>
      </c>
      <c r="B2249" t="s">
        <v>531</v>
      </c>
      <c r="C2249" t="str">
        <f>_xll.BDP("948390TF Muni","INSURANCE_STATUS")</f>
        <v>#N/A Requesting Data...</v>
      </c>
      <c r="D2249" t="str">
        <f>_xll.BDP("948390TF Muni","STATE_CODE")</f>
        <v>#N/A Requesting Data...</v>
      </c>
      <c r="E2249" t="str">
        <f>_xll.BDP("948390TF Muni","COUNTY_LOCATION_ISSUER")</f>
        <v>#N/A Requesting Data...</v>
      </c>
      <c r="F2249" t="str">
        <f>_xll.BDP("948390TF Muni","DUR_ADJ_MID")</f>
        <v>#N/A Requesting Data...</v>
      </c>
      <c r="G2249" t="str">
        <f>_xll.BDP("948390TF Muni","SPREAD_AT_ISSUANCE_TO_WORST")</f>
        <v>#N/A Requesting Data...</v>
      </c>
      <c r="H2249" t="str">
        <f>_xll.BDP("948390TF Muni","ISSUE_DT")</f>
        <v>#N/A Requesting Data...</v>
      </c>
      <c r="I2249" t="str">
        <f>_xll.BDS("948390TF Muni","MUNI_PURPOSE_SCHED", "aggregate=y")</f>
        <v>#N/A Requesting Data...</v>
      </c>
      <c r="J2249" t="str">
        <f>_xll.BDP("948390TF Muni","CPN")</f>
        <v>#N/A Requesting Data...</v>
      </c>
      <c r="K2249" t="str">
        <f>_xll.BDP("948390TF Muni","MATURITY")</f>
        <v>#N/A Requesting Data...</v>
      </c>
      <c r="L2249">
        <v>80000</v>
      </c>
      <c r="M2249" t="str">
        <f>_xll.BDP("948390TF Muni","YIELD_ON_ISSUE_DATE")</f>
        <v>#N/A Requesting Data...</v>
      </c>
      <c r="N2249" t="str">
        <f>_xll.BDP("948390TF Muni","YTW_SPREAD_TO_MATURITY_AT_ISSU")</f>
        <v>#N/A Requesting Data...</v>
      </c>
      <c r="O2249" t="str">
        <f>_xll.BDP("948390TF Muni","BVAL_MID_YTM")</f>
        <v>#N/A Requesting Data...</v>
      </c>
      <c r="P2249" t="str">
        <f>_xll.BDP("948390TF Muni","MUNI_TAX_PROV")</f>
        <v>#N/A Requesting Data...</v>
      </c>
      <c r="Q2249" t="str">
        <f>_xll.BDP("948390TF Muni","MUNI_FED_TAX")</f>
        <v>#N/A Requesting Data...</v>
      </c>
      <c r="R2249" t="str">
        <f>_xll.BDP("948390TF Muni","MUNI_MSRB_VOLUME")</f>
        <v>#N/A Requesting Data...</v>
      </c>
      <c r="S2249" t="str">
        <f>_xll.BDP("948390TF Muni","BB_COMPOSITE")</f>
        <v>#N/A Requesting Data...</v>
      </c>
      <c r="T2249" t="str">
        <f>_xll.BDP("948390TF Muni","LQA_LIQUIDITY_SCORE")</f>
        <v>#N/A Requesting Data...</v>
      </c>
    </row>
    <row r="2250" spans="1:20" x14ac:dyDescent="0.25">
      <c r="A2250" t="str">
        <f>_xll.BDP("948390TG Muni","ID_CUSIP")</f>
        <v>#N/A Requesting Data...</v>
      </c>
      <c r="B2250" t="s">
        <v>531</v>
      </c>
      <c r="C2250" t="str">
        <f>_xll.BDP("948390TG Muni","INSURANCE_STATUS")</f>
        <v>#N/A Requesting Data...</v>
      </c>
      <c r="D2250" t="str">
        <f>_xll.BDP("948390TG Muni","STATE_CODE")</f>
        <v>#N/A Requesting Data...</v>
      </c>
      <c r="E2250" t="str">
        <f>_xll.BDP("948390TG Muni","COUNTY_LOCATION_ISSUER")</f>
        <v>#N/A Requesting Data...</v>
      </c>
      <c r="F2250" t="str">
        <f>_xll.BDP("948390TG Muni","DUR_ADJ_MID")</f>
        <v>#N/A Requesting Data...</v>
      </c>
      <c r="G2250" t="str">
        <f>_xll.BDP("948390TG Muni","SPREAD_AT_ISSUANCE_TO_WORST")</f>
        <v>#N/A Requesting Data...</v>
      </c>
      <c r="H2250" t="str">
        <f>_xll.BDP("948390TG Muni","ISSUE_DT")</f>
        <v>#N/A Requesting Data...</v>
      </c>
      <c r="I2250" t="str">
        <f>_xll.BDS("948390TG Muni","MUNI_PURPOSE_SCHED", "aggregate=y")</f>
        <v>#N/A Requesting Data...</v>
      </c>
      <c r="J2250" t="str">
        <f>_xll.BDP("948390TG Muni","CPN")</f>
        <v>#N/A Requesting Data...</v>
      </c>
      <c r="K2250" t="str">
        <f>_xll.BDP("948390TG Muni","MATURITY")</f>
        <v>#N/A Requesting Data...</v>
      </c>
      <c r="L2250">
        <v>80000</v>
      </c>
      <c r="M2250" t="str">
        <f>_xll.BDP("948390TG Muni","YIELD_ON_ISSUE_DATE")</f>
        <v>#N/A Requesting Data...</v>
      </c>
      <c r="N2250" t="str">
        <f>_xll.BDP("948390TG Muni","YTW_SPREAD_TO_MATURITY_AT_ISSU")</f>
        <v>#N/A Requesting Data...</v>
      </c>
      <c r="O2250" t="str">
        <f>_xll.BDP("948390TG Muni","BVAL_MID_YTM")</f>
        <v>#N/A Requesting Data...</v>
      </c>
      <c r="P2250" t="str">
        <f>_xll.BDP("948390TG Muni","MUNI_TAX_PROV")</f>
        <v>#N/A Requesting Data...</v>
      </c>
      <c r="Q2250" t="str">
        <f>_xll.BDP("948390TG Muni","MUNI_FED_TAX")</f>
        <v>#N/A Requesting Data...</v>
      </c>
      <c r="R2250" t="str">
        <f>_xll.BDP("948390TG Muni","MUNI_MSRB_VOLUME")</f>
        <v>#N/A Requesting Data...</v>
      </c>
      <c r="S2250" t="str">
        <f>_xll.BDP("948390TG Muni","BB_COMPOSITE")</f>
        <v>#N/A Requesting Data...</v>
      </c>
      <c r="T2250" t="str">
        <f>_xll.BDP("948390TG Muni","LQA_LIQUIDITY_SCORE")</f>
        <v>#N/A Requesting Data...</v>
      </c>
    </row>
    <row r="2251" spans="1:20" x14ac:dyDescent="0.25">
      <c r="A2251" t="str">
        <f>_xll.BDP("948390TH Muni","ID_CUSIP")</f>
        <v>#N/A Requesting Data...</v>
      </c>
      <c r="B2251" t="s">
        <v>531</v>
      </c>
      <c r="C2251" t="str">
        <f>_xll.BDP("948390TH Muni","INSURANCE_STATUS")</f>
        <v>#N/A Requesting Data...</v>
      </c>
      <c r="D2251" t="str">
        <f>_xll.BDP("948390TH Muni","STATE_CODE")</f>
        <v>#N/A Requesting Data...</v>
      </c>
      <c r="E2251" t="str">
        <f>_xll.BDP("948390TH Muni","COUNTY_LOCATION_ISSUER")</f>
        <v>#N/A Requesting Data...</v>
      </c>
      <c r="F2251" t="str">
        <f>_xll.BDP("948390TH Muni","DUR_ADJ_MID")</f>
        <v>#N/A Requesting Data...</v>
      </c>
      <c r="G2251" t="str">
        <f>_xll.BDP("948390TH Muni","SPREAD_AT_ISSUANCE_TO_WORST")</f>
        <v>#N/A Requesting Data...</v>
      </c>
      <c r="H2251" t="str">
        <f>_xll.BDP("948390TH Muni","ISSUE_DT")</f>
        <v>#N/A Requesting Data...</v>
      </c>
      <c r="I2251" t="str">
        <f>_xll.BDS("948390TH Muni","MUNI_PURPOSE_SCHED", "aggregate=y")</f>
        <v>#N/A Requesting Data...</v>
      </c>
      <c r="J2251" t="str">
        <f>_xll.BDP("948390TH Muni","CPN")</f>
        <v>#N/A Requesting Data...</v>
      </c>
      <c r="K2251" t="str">
        <f>_xll.BDP("948390TH Muni","MATURITY")</f>
        <v>#N/A Requesting Data...</v>
      </c>
      <c r="L2251">
        <v>85000</v>
      </c>
      <c r="M2251" t="str">
        <f>_xll.BDP("948390TH Muni","YIELD_ON_ISSUE_DATE")</f>
        <v>#N/A Requesting Data...</v>
      </c>
      <c r="N2251" t="str">
        <f>_xll.BDP("948390TH Muni","YTW_SPREAD_TO_MATURITY_AT_ISSU")</f>
        <v>#N/A Requesting Data...</v>
      </c>
      <c r="O2251" t="str">
        <f>_xll.BDP("948390TH Muni","BVAL_MID_YTM")</f>
        <v>#N/A Requesting Data...</v>
      </c>
      <c r="P2251" t="str">
        <f>_xll.BDP("948390TH Muni","MUNI_TAX_PROV")</f>
        <v>#N/A Requesting Data...</v>
      </c>
      <c r="Q2251" t="str">
        <f>_xll.BDP("948390TH Muni","MUNI_FED_TAX")</f>
        <v>#N/A Requesting Data...</v>
      </c>
      <c r="R2251" t="str">
        <f>_xll.BDP("948390TH Muni","MUNI_MSRB_VOLUME")</f>
        <v>#N/A Requesting Data...</v>
      </c>
      <c r="S2251" t="str">
        <f>_xll.BDP("948390TH Muni","BB_COMPOSITE")</f>
        <v>#N/A Requesting Data...</v>
      </c>
      <c r="T2251" t="str">
        <f>_xll.BDP("948390TH Muni","LQA_LIQUIDITY_SCORE")</f>
        <v>#N/A Requesting Data...</v>
      </c>
    </row>
    <row r="2252" spans="1:20" x14ac:dyDescent="0.25">
      <c r="A2252" t="str">
        <f>_xll.BDP("948390TJ Muni","ID_CUSIP")</f>
        <v>#N/A Requesting Data...</v>
      </c>
      <c r="B2252" t="s">
        <v>531</v>
      </c>
      <c r="C2252" t="str">
        <f>_xll.BDP("948390TJ Muni","INSURANCE_STATUS")</f>
        <v>#N/A Requesting Data...</v>
      </c>
      <c r="D2252" t="str">
        <f>_xll.BDP("948390TJ Muni","STATE_CODE")</f>
        <v>#N/A Requesting Data...</v>
      </c>
      <c r="E2252" t="str">
        <f>_xll.BDP("948390TJ Muni","COUNTY_LOCATION_ISSUER")</f>
        <v>#N/A Requesting Data...</v>
      </c>
      <c r="F2252" t="str">
        <f>_xll.BDP("948390TJ Muni","DUR_ADJ_MID")</f>
        <v>#N/A Requesting Data...</v>
      </c>
      <c r="G2252" t="str">
        <f>_xll.BDP("948390TJ Muni","SPREAD_AT_ISSUANCE_TO_WORST")</f>
        <v>#N/A Requesting Data...</v>
      </c>
      <c r="H2252" t="str">
        <f>_xll.BDP("948390TJ Muni","ISSUE_DT")</f>
        <v>#N/A Requesting Data...</v>
      </c>
      <c r="I2252" t="str">
        <f>_xll.BDS("948390TJ Muni","MUNI_PURPOSE_SCHED", "aggregate=y")</f>
        <v>#N/A Requesting Data...</v>
      </c>
      <c r="J2252" t="str">
        <f>_xll.BDP("948390TJ Muni","CPN")</f>
        <v>#N/A Requesting Data...</v>
      </c>
      <c r="K2252" t="str">
        <f>_xll.BDP("948390TJ Muni","MATURITY")</f>
        <v>#N/A Requesting Data...</v>
      </c>
      <c r="L2252">
        <v>85000</v>
      </c>
      <c r="M2252" t="str">
        <f>_xll.BDP("948390TJ Muni","YIELD_ON_ISSUE_DATE")</f>
        <v>#N/A Requesting Data...</v>
      </c>
      <c r="N2252" t="str">
        <f>_xll.BDP("948390TJ Muni","YTW_SPREAD_TO_MATURITY_AT_ISSU")</f>
        <v>#N/A Requesting Data...</v>
      </c>
      <c r="O2252" t="str">
        <f>_xll.BDP("948390TJ Muni","BVAL_MID_YTM")</f>
        <v>#N/A Requesting Data...</v>
      </c>
      <c r="P2252" t="str">
        <f>_xll.BDP("948390TJ Muni","MUNI_TAX_PROV")</f>
        <v>#N/A Requesting Data...</v>
      </c>
      <c r="Q2252" t="str">
        <f>_xll.BDP("948390TJ Muni","MUNI_FED_TAX")</f>
        <v>#N/A Requesting Data...</v>
      </c>
      <c r="R2252" t="str">
        <f>_xll.BDP("948390TJ Muni","MUNI_MSRB_VOLUME")</f>
        <v>#N/A Requesting Data...</v>
      </c>
      <c r="S2252" t="str">
        <f>_xll.BDP("948390TJ Muni","BB_COMPOSITE")</f>
        <v>#N/A Requesting Data...</v>
      </c>
      <c r="T2252" t="str">
        <f>_xll.BDP("948390TJ Muni","LQA_LIQUIDITY_SCORE")</f>
        <v>#N/A Requesting Data...</v>
      </c>
    </row>
    <row r="2253" spans="1:20" x14ac:dyDescent="0.25">
      <c r="A2253" t="str">
        <f>_xll.BDP("949493YB Muni","ID_CUSIP")</f>
        <v>#N/A Requesting Data...</v>
      </c>
      <c r="B2253" t="s">
        <v>532</v>
      </c>
      <c r="C2253" t="str">
        <f>_xll.BDP("949493YB Muni","INSURANCE_STATUS")</f>
        <v>#N/A Requesting Data...</v>
      </c>
      <c r="D2253" t="str">
        <f>_xll.BDP("949493YB Muni","STATE_CODE")</f>
        <v>#N/A Requesting Data...</v>
      </c>
      <c r="E2253" t="str">
        <f>_xll.BDP("949493YB Muni","COUNTY_LOCATION_ISSUER")</f>
        <v>#N/A Requesting Data...</v>
      </c>
      <c r="F2253" t="str">
        <f>_xll.BDP("949493YB Muni","DUR_ADJ_MID")</f>
        <v>#N/A Requesting Data...</v>
      </c>
      <c r="G2253" t="str">
        <f>_xll.BDP("949493YB Muni","SPREAD_AT_ISSUANCE_TO_WORST")</f>
        <v>#N/A Requesting Data...</v>
      </c>
      <c r="H2253" t="str">
        <f>_xll.BDP("949493YB Muni","ISSUE_DT")</f>
        <v>#N/A Requesting Data...</v>
      </c>
      <c r="I2253" t="str">
        <f>_xll.BDS("949493YB Muni","MUNI_PURPOSE_SCHED", "aggregate=y")</f>
        <v>#N/A Requesting Data...</v>
      </c>
      <c r="J2253" t="str">
        <f>_xll.BDP("949493YB Muni","CPN")</f>
        <v>#N/A Requesting Data...</v>
      </c>
      <c r="K2253" t="str">
        <f>_xll.BDP("949493YB Muni","MATURITY")</f>
        <v>#N/A Requesting Data...</v>
      </c>
      <c r="L2253">
        <v>950000</v>
      </c>
      <c r="M2253" t="str">
        <f>_xll.BDP("949493YB Muni","YIELD_ON_ISSUE_DATE")</f>
        <v>#N/A Requesting Data...</v>
      </c>
      <c r="N2253" t="str">
        <f>_xll.BDP("949493YB Muni","YTW_SPREAD_TO_MATURITY_AT_ISSU")</f>
        <v>#N/A Requesting Data...</v>
      </c>
      <c r="O2253" t="str">
        <f>_xll.BDP("949493YB Muni","BVAL_MID_YTM")</f>
        <v>#N/A Requesting Data...</v>
      </c>
      <c r="P2253" t="str">
        <f>_xll.BDP("949493YB Muni","MUNI_TAX_PROV")</f>
        <v>#N/A Requesting Data...</v>
      </c>
      <c r="Q2253" t="str">
        <f>_xll.BDP("949493YB Muni","MUNI_FED_TAX")</f>
        <v>#N/A Requesting Data...</v>
      </c>
      <c r="R2253" t="str">
        <f>_xll.BDP("949493YB Muni","MUNI_MSRB_VOLUME")</f>
        <v>#N/A Requesting Data...</v>
      </c>
      <c r="S2253" t="str">
        <f>_xll.BDP("949493YB Muni","BB_COMPOSITE")</f>
        <v>#N/A Requesting Data...</v>
      </c>
      <c r="T2253" t="str">
        <f>_xll.BDP("949493YB Muni","LQA_LIQUIDITY_SCORE")</f>
        <v>#N/A Requesting Data...</v>
      </c>
    </row>
    <row r="2254" spans="1:20" x14ac:dyDescent="0.25">
      <c r="A2254" t="str">
        <f>_xll.BDP("949493YC Muni","ID_CUSIP")</f>
        <v>#N/A Requesting Data...</v>
      </c>
      <c r="B2254" t="s">
        <v>532</v>
      </c>
      <c r="C2254" t="str">
        <f>_xll.BDP("949493YC Muni","INSURANCE_STATUS")</f>
        <v>#N/A Requesting Data...</v>
      </c>
      <c r="D2254" t="str">
        <f>_xll.BDP("949493YC Muni","STATE_CODE")</f>
        <v>#N/A Requesting Data...</v>
      </c>
      <c r="E2254" t="str">
        <f>_xll.BDP("949493YC Muni","COUNTY_LOCATION_ISSUER")</f>
        <v>#N/A Requesting Data...</v>
      </c>
      <c r="F2254" t="str">
        <f>_xll.BDP("949493YC Muni","DUR_ADJ_MID")</f>
        <v>#N/A Requesting Data...</v>
      </c>
      <c r="G2254" t="str">
        <f>_xll.BDP("949493YC Muni","SPREAD_AT_ISSUANCE_TO_WORST")</f>
        <v>#N/A Requesting Data...</v>
      </c>
      <c r="H2254" t="str">
        <f>_xll.BDP("949493YC Muni","ISSUE_DT")</f>
        <v>#N/A Requesting Data...</v>
      </c>
      <c r="I2254" t="str">
        <f>_xll.BDS("949493YC Muni","MUNI_PURPOSE_SCHED", "aggregate=y")</f>
        <v>#N/A Requesting Data...</v>
      </c>
      <c r="J2254" t="str">
        <f>_xll.BDP("949493YC Muni","CPN")</f>
        <v>#N/A Requesting Data...</v>
      </c>
      <c r="K2254" t="str">
        <f>_xll.BDP("949493YC Muni","MATURITY")</f>
        <v>#N/A Requesting Data...</v>
      </c>
      <c r="L2254">
        <v>850000</v>
      </c>
      <c r="M2254" t="str">
        <f>_xll.BDP("949493YC Muni","YIELD_ON_ISSUE_DATE")</f>
        <v>#N/A Requesting Data...</v>
      </c>
      <c r="N2254" t="str">
        <f>_xll.BDP("949493YC Muni","YTW_SPREAD_TO_MATURITY_AT_ISSU")</f>
        <v>#N/A Requesting Data...</v>
      </c>
      <c r="O2254" t="str">
        <f>_xll.BDP("949493YC Muni","BVAL_MID_YTM")</f>
        <v>#N/A Requesting Data...</v>
      </c>
      <c r="P2254" t="str">
        <f>_xll.BDP("949493YC Muni","MUNI_TAX_PROV")</f>
        <v>#N/A Requesting Data...</v>
      </c>
      <c r="Q2254" t="str">
        <f>_xll.BDP("949493YC Muni","MUNI_FED_TAX")</f>
        <v>#N/A Requesting Data...</v>
      </c>
      <c r="R2254" t="str">
        <f>_xll.BDP("949493YC Muni","MUNI_MSRB_VOLUME")</f>
        <v>#N/A Requesting Data...</v>
      </c>
      <c r="S2254" t="str">
        <f>_xll.BDP("949493YC Muni","BB_COMPOSITE")</f>
        <v>#N/A Requesting Data...</v>
      </c>
      <c r="T2254" t="str">
        <f>_xll.BDP("949493YC Muni","LQA_LIQUIDITY_SCORE")</f>
        <v>#N/A Requesting Data...</v>
      </c>
    </row>
    <row r="2255" spans="1:20" x14ac:dyDescent="0.25">
      <c r="A2255" t="str">
        <f>_xll.BDP("949493YD Muni","ID_CUSIP")</f>
        <v>#N/A Requesting Data...</v>
      </c>
      <c r="B2255" t="s">
        <v>532</v>
      </c>
      <c r="C2255" t="str">
        <f>_xll.BDP("949493YD Muni","INSURANCE_STATUS")</f>
        <v>#N/A Requesting Data...</v>
      </c>
      <c r="D2255" t="str">
        <f>_xll.BDP("949493YD Muni","STATE_CODE")</f>
        <v>#N/A Requesting Data...</v>
      </c>
      <c r="E2255" t="str">
        <f>_xll.BDP("949493YD Muni","COUNTY_LOCATION_ISSUER")</f>
        <v>#N/A Requesting Data...</v>
      </c>
      <c r="F2255" t="str">
        <f>_xll.BDP("949493YD Muni","DUR_ADJ_MID")</f>
        <v>#N/A Requesting Data...</v>
      </c>
      <c r="G2255" t="str">
        <f>_xll.BDP("949493YD Muni","SPREAD_AT_ISSUANCE_TO_WORST")</f>
        <v>#N/A Requesting Data...</v>
      </c>
      <c r="H2255" t="str">
        <f>_xll.BDP("949493YD Muni","ISSUE_DT")</f>
        <v>#N/A Requesting Data...</v>
      </c>
      <c r="I2255" t="str">
        <f>_xll.BDS("949493YD Muni","MUNI_PURPOSE_SCHED", "aggregate=y")</f>
        <v>#N/A Requesting Data...</v>
      </c>
      <c r="J2255" t="str">
        <f>_xll.BDP("949493YD Muni","CPN")</f>
        <v>#N/A Requesting Data...</v>
      </c>
      <c r="K2255" t="str">
        <f>_xll.BDP("949493YD Muni","MATURITY")</f>
        <v>#N/A Requesting Data...</v>
      </c>
      <c r="L2255">
        <v>850000</v>
      </c>
      <c r="M2255" t="str">
        <f>_xll.BDP("949493YD Muni","YIELD_ON_ISSUE_DATE")</f>
        <v>#N/A Requesting Data...</v>
      </c>
      <c r="N2255" t="str">
        <f>_xll.BDP("949493YD Muni","YTW_SPREAD_TO_MATURITY_AT_ISSU")</f>
        <v>#N/A Requesting Data...</v>
      </c>
      <c r="O2255" t="str">
        <f>_xll.BDP("949493YD Muni","BVAL_MID_YTM")</f>
        <v>#N/A Requesting Data...</v>
      </c>
      <c r="P2255" t="str">
        <f>_xll.BDP("949493YD Muni","MUNI_TAX_PROV")</f>
        <v>#N/A Requesting Data...</v>
      </c>
      <c r="Q2255" t="str">
        <f>_xll.BDP("949493YD Muni","MUNI_FED_TAX")</f>
        <v>#N/A Requesting Data...</v>
      </c>
      <c r="R2255" t="str">
        <f>_xll.BDP("949493YD Muni","MUNI_MSRB_VOLUME")</f>
        <v>#N/A Requesting Data...</v>
      </c>
      <c r="S2255" t="str">
        <f>_xll.BDP("949493YD Muni","BB_COMPOSITE")</f>
        <v>#N/A Requesting Data...</v>
      </c>
      <c r="T2255" t="str">
        <f>_xll.BDP("949493YD Muni","LQA_LIQUIDITY_SCORE")</f>
        <v>#N/A Requesting Data...</v>
      </c>
    </row>
    <row r="2256" spans="1:20" x14ac:dyDescent="0.25">
      <c r="A2256" t="str">
        <f>_xll.BDP("949493YE Muni","ID_CUSIP")</f>
        <v>#N/A Requesting Data...</v>
      </c>
      <c r="B2256" t="s">
        <v>532</v>
      </c>
      <c r="C2256" t="str">
        <f>_xll.BDP("949493YE Muni","INSURANCE_STATUS")</f>
        <v>#N/A Requesting Data...</v>
      </c>
      <c r="D2256" t="str">
        <f>_xll.BDP("949493YE Muni","STATE_CODE")</f>
        <v>#N/A Requesting Data...</v>
      </c>
      <c r="E2256" t="str">
        <f>_xll.BDP("949493YE Muni","COUNTY_LOCATION_ISSUER")</f>
        <v>#N/A Requesting Data...</v>
      </c>
      <c r="F2256" t="str">
        <f>_xll.BDP("949493YE Muni","DUR_ADJ_MID")</f>
        <v>#N/A Requesting Data...</v>
      </c>
      <c r="G2256" t="str">
        <f>_xll.BDP("949493YE Muni","SPREAD_AT_ISSUANCE_TO_WORST")</f>
        <v>#N/A Requesting Data...</v>
      </c>
      <c r="H2256" t="str">
        <f>_xll.BDP("949493YE Muni","ISSUE_DT")</f>
        <v>#N/A Requesting Data...</v>
      </c>
      <c r="I2256" t="str">
        <f>_xll.BDS("949493YE Muni","MUNI_PURPOSE_SCHED", "aggregate=y")</f>
        <v>#N/A Requesting Data...</v>
      </c>
      <c r="J2256" t="str">
        <f>_xll.BDP("949493YE Muni","CPN")</f>
        <v>#N/A Requesting Data...</v>
      </c>
      <c r="K2256" t="str">
        <f>_xll.BDP("949493YE Muni","MATURITY")</f>
        <v>#N/A Requesting Data...</v>
      </c>
      <c r="L2256">
        <v>845000</v>
      </c>
      <c r="M2256" t="str">
        <f>_xll.BDP("949493YE Muni","YIELD_ON_ISSUE_DATE")</f>
        <v>#N/A Requesting Data...</v>
      </c>
      <c r="N2256" t="str">
        <f>_xll.BDP("949493YE Muni","YTW_SPREAD_TO_MATURITY_AT_ISSU")</f>
        <v>#N/A Requesting Data...</v>
      </c>
      <c r="O2256" t="str">
        <f>_xll.BDP("949493YE Muni","BVAL_MID_YTM")</f>
        <v>#N/A Requesting Data...</v>
      </c>
      <c r="P2256" t="str">
        <f>_xll.BDP("949493YE Muni","MUNI_TAX_PROV")</f>
        <v>#N/A Requesting Data...</v>
      </c>
      <c r="Q2256" t="str">
        <f>_xll.BDP("949493YE Muni","MUNI_FED_TAX")</f>
        <v>#N/A Requesting Data...</v>
      </c>
      <c r="R2256" t="str">
        <f>_xll.BDP("949493YE Muni","MUNI_MSRB_VOLUME")</f>
        <v>#N/A Requesting Data...</v>
      </c>
      <c r="S2256" t="str">
        <f>_xll.BDP("949493YE Muni","BB_COMPOSITE")</f>
        <v>#N/A Requesting Data...</v>
      </c>
      <c r="T2256" t="str">
        <f>_xll.BDP("949493YE Muni","LQA_LIQUIDITY_SCORE")</f>
        <v>#N/A Requesting Data...</v>
      </c>
    </row>
    <row r="2257" spans="1:20" x14ac:dyDescent="0.25">
      <c r="A2257" t="str">
        <f>_xll.BDP("949493YF Muni","ID_CUSIP")</f>
        <v>#N/A Requesting Data...</v>
      </c>
      <c r="B2257" t="s">
        <v>532</v>
      </c>
      <c r="C2257" t="str">
        <f>_xll.BDP("949493YF Muni","INSURANCE_STATUS")</f>
        <v>#N/A Requesting Data...</v>
      </c>
      <c r="D2257" t="str">
        <f>_xll.BDP("949493YF Muni","STATE_CODE")</f>
        <v>#N/A Requesting Data...</v>
      </c>
      <c r="E2257" t="str">
        <f>_xll.BDP("949493YF Muni","COUNTY_LOCATION_ISSUER")</f>
        <v>#N/A Requesting Data...</v>
      </c>
      <c r="F2257" t="str">
        <f>_xll.BDP("949493YF Muni","DUR_ADJ_MID")</f>
        <v>#N/A Requesting Data...</v>
      </c>
      <c r="G2257" t="str">
        <f>_xll.BDP("949493YF Muni","SPREAD_AT_ISSUANCE_TO_WORST")</f>
        <v>#N/A Requesting Data...</v>
      </c>
      <c r="H2257" t="str">
        <f>_xll.BDP("949493YF Muni","ISSUE_DT")</f>
        <v>#N/A Requesting Data...</v>
      </c>
      <c r="I2257" t="str">
        <f>_xll.BDS("949493YF Muni","MUNI_PURPOSE_SCHED", "aggregate=y")</f>
        <v>#N/A Requesting Data...</v>
      </c>
      <c r="J2257" t="str">
        <f>_xll.BDP("949493YF Muni","CPN")</f>
        <v>#N/A Requesting Data...</v>
      </c>
      <c r="K2257" t="str">
        <f>_xll.BDP("949493YF Muni","MATURITY")</f>
        <v>#N/A Requesting Data...</v>
      </c>
      <c r="L2257">
        <v>845000</v>
      </c>
      <c r="M2257" t="str">
        <f>_xll.BDP("949493YF Muni","YIELD_ON_ISSUE_DATE")</f>
        <v>#N/A Requesting Data...</v>
      </c>
      <c r="N2257" t="str">
        <f>_xll.BDP("949493YF Muni","YTW_SPREAD_TO_MATURITY_AT_ISSU")</f>
        <v>#N/A Requesting Data...</v>
      </c>
      <c r="O2257" t="str">
        <f>_xll.BDP("949493YF Muni","BVAL_MID_YTM")</f>
        <v>#N/A Requesting Data...</v>
      </c>
      <c r="P2257" t="str">
        <f>_xll.BDP("949493YF Muni","MUNI_TAX_PROV")</f>
        <v>#N/A Requesting Data...</v>
      </c>
      <c r="Q2257" t="str">
        <f>_xll.BDP("949493YF Muni","MUNI_FED_TAX")</f>
        <v>#N/A Requesting Data...</v>
      </c>
      <c r="R2257" t="str">
        <f>_xll.BDP("949493YF Muni","MUNI_MSRB_VOLUME")</f>
        <v>#N/A Requesting Data...</v>
      </c>
      <c r="S2257" t="str">
        <f>_xll.BDP("949493YF Muni","BB_COMPOSITE")</f>
        <v>#N/A Requesting Data...</v>
      </c>
      <c r="T2257" t="str">
        <f>_xll.BDP("949493YF Muni","LQA_LIQUIDITY_SCORE")</f>
        <v>#N/A Requesting Data...</v>
      </c>
    </row>
    <row r="2258" spans="1:20" x14ac:dyDescent="0.25">
      <c r="A2258" t="str">
        <f>_xll.BDP("949493YG Muni","ID_CUSIP")</f>
        <v>#N/A Requesting Data...</v>
      </c>
      <c r="B2258" t="s">
        <v>532</v>
      </c>
      <c r="C2258" t="str">
        <f>_xll.BDP("949493YG Muni","INSURANCE_STATUS")</f>
        <v>#N/A Requesting Data...</v>
      </c>
      <c r="D2258" t="str">
        <f>_xll.BDP("949493YG Muni","STATE_CODE")</f>
        <v>#N/A Requesting Data...</v>
      </c>
      <c r="E2258" t="str">
        <f>_xll.BDP("949493YG Muni","COUNTY_LOCATION_ISSUER")</f>
        <v>#N/A Requesting Data...</v>
      </c>
      <c r="F2258" t="str">
        <f>_xll.BDP("949493YG Muni","DUR_ADJ_MID")</f>
        <v>#N/A Requesting Data...</v>
      </c>
      <c r="G2258" t="str">
        <f>_xll.BDP("949493YG Muni","SPREAD_AT_ISSUANCE_TO_WORST")</f>
        <v>#N/A Requesting Data...</v>
      </c>
      <c r="H2258" t="str">
        <f>_xll.BDP("949493YG Muni","ISSUE_DT")</f>
        <v>#N/A Requesting Data...</v>
      </c>
      <c r="I2258" t="str">
        <f>_xll.BDS("949493YG Muni","MUNI_PURPOSE_SCHED", "aggregate=y")</f>
        <v>#N/A Requesting Data...</v>
      </c>
      <c r="J2258" t="str">
        <f>_xll.BDP("949493YG Muni","CPN")</f>
        <v>#N/A Requesting Data...</v>
      </c>
      <c r="K2258" t="str">
        <f>_xll.BDP("949493YG Muni","MATURITY")</f>
        <v>#N/A Requesting Data...</v>
      </c>
      <c r="L2258">
        <v>840000</v>
      </c>
      <c r="M2258" t="str">
        <f>_xll.BDP("949493YG Muni","YIELD_ON_ISSUE_DATE")</f>
        <v>#N/A Requesting Data...</v>
      </c>
      <c r="N2258" t="str">
        <f>_xll.BDP("949493YG Muni","YTW_SPREAD_TO_MATURITY_AT_ISSU")</f>
        <v>#N/A Requesting Data...</v>
      </c>
      <c r="O2258" t="str">
        <f>_xll.BDP("949493YG Muni","BVAL_MID_YTM")</f>
        <v>#N/A Requesting Data...</v>
      </c>
      <c r="P2258" t="str">
        <f>_xll.BDP("949493YG Muni","MUNI_TAX_PROV")</f>
        <v>#N/A Requesting Data...</v>
      </c>
      <c r="Q2258" t="str">
        <f>_xll.BDP("949493YG Muni","MUNI_FED_TAX")</f>
        <v>#N/A Requesting Data...</v>
      </c>
      <c r="R2258" t="str">
        <f>_xll.BDP("949493YG Muni","MUNI_MSRB_VOLUME")</f>
        <v>#N/A Requesting Data...</v>
      </c>
      <c r="S2258" t="str">
        <f>_xll.BDP("949493YG Muni","BB_COMPOSITE")</f>
        <v>#N/A Requesting Data...</v>
      </c>
      <c r="T2258" t="str">
        <f>_xll.BDP("949493YG Muni","LQA_LIQUIDITY_SCORE")</f>
        <v>#N/A Requesting Data...</v>
      </c>
    </row>
    <row r="2259" spans="1:20" x14ac:dyDescent="0.25">
      <c r="A2259" t="str">
        <f>_xll.BDP("950324BZ Muni","ID_CUSIP")</f>
        <v>#N/A Requesting Data...</v>
      </c>
      <c r="B2259" t="s">
        <v>533</v>
      </c>
      <c r="C2259" t="str">
        <f>_xll.BDP("950324BZ Muni","INSURANCE_STATUS")</f>
        <v>#N/A Requesting Data...</v>
      </c>
      <c r="D2259" t="str">
        <f>_xll.BDP("950324BZ Muni","STATE_CODE")</f>
        <v>#N/A Requesting Data...</v>
      </c>
      <c r="E2259" t="str">
        <f>_xll.BDP("950324BZ Muni","COUNTY_LOCATION_ISSUER")</f>
        <v>#N/A Requesting Data...</v>
      </c>
      <c r="F2259" t="str">
        <f>_xll.BDP("950324BZ Muni","DUR_ADJ_MID")</f>
        <v>#N/A Requesting Data...</v>
      </c>
      <c r="G2259" t="str">
        <f>_xll.BDP("950324BZ Muni","SPREAD_AT_ISSUANCE_TO_WORST")</f>
        <v>#N/A Requesting Data...</v>
      </c>
      <c r="H2259" t="str">
        <f>_xll.BDP("950324BZ Muni","ISSUE_DT")</f>
        <v>#N/A Requesting Data...</v>
      </c>
      <c r="I2259" t="str">
        <f>_xll.BDS("950324BZ Muni","MUNI_PURPOSE_SCHED", "aggregate=y")</f>
        <v>#N/A Requesting Data...</v>
      </c>
      <c r="J2259" t="str">
        <f>_xll.BDP("950324BZ Muni","CPN")</f>
        <v>#N/A Requesting Data...</v>
      </c>
      <c r="K2259" t="str">
        <f>_xll.BDP("950324BZ Muni","MATURITY")</f>
        <v>#N/A Requesting Data...</v>
      </c>
      <c r="L2259">
        <v>115000</v>
      </c>
      <c r="M2259" t="str">
        <f>_xll.BDP("950324BZ Muni","YIELD_ON_ISSUE_DATE")</f>
        <v>#N/A Requesting Data...</v>
      </c>
      <c r="N2259" t="str">
        <f>_xll.BDP("950324BZ Muni","YTW_SPREAD_TO_MATURITY_AT_ISSU")</f>
        <v>#N/A Requesting Data...</v>
      </c>
      <c r="O2259" t="str">
        <f>_xll.BDP("950324BZ Muni","BVAL_MID_YTM")</f>
        <v>#N/A Requesting Data...</v>
      </c>
      <c r="P2259" t="str">
        <f>_xll.BDP("950324BZ Muni","MUNI_TAX_PROV")</f>
        <v>#N/A Requesting Data...</v>
      </c>
      <c r="Q2259" t="str">
        <f>_xll.BDP("950324BZ Muni","MUNI_FED_TAX")</f>
        <v>#N/A Requesting Data...</v>
      </c>
      <c r="R2259" t="str">
        <f>_xll.BDP("950324BZ Muni","MUNI_MSRB_VOLUME")</f>
        <v>#N/A Requesting Data...</v>
      </c>
      <c r="S2259" t="str">
        <f>_xll.BDP("950324BZ Muni","BB_COMPOSITE")</f>
        <v>#N/A Requesting Data...</v>
      </c>
      <c r="T2259" t="str">
        <f>_xll.BDP("950324BZ Muni","LQA_LIQUIDITY_SCORE")</f>
        <v>#N/A Requesting Data...</v>
      </c>
    </row>
    <row r="2260" spans="1:20" x14ac:dyDescent="0.25">
      <c r="A2260" t="str">
        <f>_xll.BDP("950324CA Muni","ID_CUSIP")</f>
        <v>#N/A Requesting Data...</v>
      </c>
      <c r="B2260" t="s">
        <v>533</v>
      </c>
      <c r="C2260" t="str">
        <f>_xll.BDP("950324CA Muni","INSURANCE_STATUS")</f>
        <v>#N/A Requesting Data...</v>
      </c>
      <c r="D2260" t="str">
        <f>_xll.BDP("950324CA Muni","STATE_CODE")</f>
        <v>#N/A Requesting Data...</v>
      </c>
      <c r="E2260" t="str">
        <f>_xll.BDP("950324CA Muni","COUNTY_LOCATION_ISSUER")</f>
        <v>#N/A Requesting Data...</v>
      </c>
      <c r="F2260" t="str">
        <f>_xll.BDP("950324CA Muni","DUR_ADJ_MID")</f>
        <v>#N/A Requesting Data...</v>
      </c>
      <c r="G2260" t="str">
        <f>_xll.BDP("950324CA Muni","SPREAD_AT_ISSUANCE_TO_WORST")</f>
        <v>#N/A Requesting Data...</v>
      </c>
      <c r="H2260" t="str">
        <f>_xll.BDP("950324CA Muni","ISSUE_DT")</f>
        <v>#N/A Requesting Data...</v>
      </c>
      <c r="I2260" t="str">
        <f>_xll.BDS("950324CA Muni","MUNI_PURPOSE_SCHED", "aggregate=y")</f>
        <v>#N/A Requesting Data...</v>
      </c>
      <c r="J2260" t="str">
        <f>_xll.BDP("950324CA Muni","CPN")</f>
        <v>#N/A Requesting Data...</v>
      </c>
      <c r="K2260" t="str">
        <f>_xll.BDP("950324CA Muni","MATURITY")</f>
        <v>#N/A Requesting Data...</v>
      </c>
      <c r="L2260">
        <v>120000</v>
      </c>
      <c r="M2260" t="str">
        <f>_xll.BDP("950324CA Muni","YIELD_ON_ISSUE_DATE")</f>
        <v>#N/A Requesting Data...</v>
      </c>
      <c r="N2260" t="str">
        <f>_xll.BDP("950324CA Muni","YTW_SPREAD_TO_MATURITY_AT_ISSU")</f>
        <v>#N/A Requesting Data...</v>
      </c>
      <c r="O2260" t="str">
        <f>_xll.BDP("950324CA Muni","BVAL_MID_YTM")</f>
        <v>#N/A Requesting Data...</v>
      </c>
      <c r="P2260" t="str">
        <f>_xll.BDP("950324CA Muni","MUNI_TAX_PROV")</f>
        <v>#N/A Requesting Data...</v>
      </c>
      <c r="Q2260" t="str">
        <f>_xll.BDP("950324CA Muni","MUNI_FED_TAX")</f>
        <v>#N/A Requesting Data...</v>
      </c>
      <c r="R2260" t="str">
        <f>_xll.BDP("950324CA Muni","MUNI_MSRB_VOLUME")</f>
        <v>#N/A Requesting Data...</v>
      </c>
      <c r="S2260" t="str">
        <f>_xll.BDP("950324CA Muni","BB_COMPOSITE")</f>
        <v>#N/A Requesting Data...</v>
      </c>
      <c r="T2260" t="str">
        <f>_xll.BDP("950324CA Muni","LQA_LIQUIDITY_SCORE")</f>
        <v>#N/A Requesting Data...</v>
      </c>
    </row>
    <row r="2261" spans="1:20" x14ac:dyDescent="0.25">
      <c r="A2261" t="str">
        <f>_xll.BDP("950324CB Muni","ID_CUSIP")</f>
        <v>#N/A Requesting Data...</v>
      </c>
      <c r="B2261" t="s">
        <v>533</v>
      </c>
      <c r="C2261" t="str">
        <f>_xll.BDP("950324CB Muni","INSURANCE_STATUS")</f>
        <v>#N/A Requesting Data...</v>
      </c>
      <c r="D2261" t="str">
        <f>_xll.BDP("950324CB Muni","STATE_CODE")</f>
        <v>#N/A Requesting Data...</v>
      </c>
      <c r="E2261" t="str">
        <f>_xll.BDP("950324CB Muni","COUNTY_LOCATION_ISSUER")</f>
        <v>#N/A Requesting Data...</v>
      </c>
      <c r="F2261" t="str">
        <f>_xll.BDP("950324CB Muni","DUR_ADJ_MID")</f>
        <v>#N/A Requesting Data...</v>
      </c>
      <c r="G2261" t="str">
        <f>_xll.BDP("950324CB Muni","SPREAD_AT_ISSUANCE_TO_WORST")</f>
        <v>#N/A Requesting Data...</v>
      </c>
      <c r="H2261" t="str">
        <f>_xll.BDP("950324CB Muni","ISSUE_DT")</f>
        <v>#N/A Requesting Data...</v>
      </c>
      <c r="I2261" t="str">
        <f>_xll.BDS("950324CB Muni","MUNI_PURPOSE_SCHED", "aggregate=y")</f>
        <v>#N/A Requesting Data...</v>
      </c>
      <c r="J2261" t="str">
        <f>_xll.BDP("950324CB Muni","CPN")</f>
        <v>#N/A Requesting Data...</v>
      </c>
      <c r="K2261" t="str">
        <f>_xll.BDP("950324CB Muni","MATURITY")</f>
        <v>#N/A Requesting Data...</v>
      </c>
      <c r="L2261">
        <v>125000</v>
      </c>
      <c r="M2261" t="str">
        <f>_xll.BDP("950324CB Muni","YIELD_ON_ISSUE_DATE")</f>
        <v>#N/A Requesting Data...</v>
      </c>
      <c r="N2261" t="str">
        <f>_xll.BDP("950324CB Muni","YTW_SPREAD_TO_MATURITY_AT_ISSU")</f>
        <v>#N/A Requesting Data...</v>
      </c>
      <c r="O2261" t="str">
        <f>_xll.BDP("950324CB Muni","BVAL_MID_YTM")</f>
        <v>#N/A Requesting Data...</v>
      </c>
      <c r="P2261" t="str">
        <f>_xll.BDP("950324CB Muni","MUNI_TAX_PROV")</f>
        <v>#N/A Requesting Data...</v>
      </c>
      <c r="Q2261" t="str">
        <f>_xll.BDP("950324CB Muni","MUNI_FED_TAX")</f>
        <v>#N/A Requesting Data...</v>
      </c>
      <c r="R2261" t="str">
        <f>_xll.BDP("950324CB Muni","MUNI_MSRB_VOLUME")</f>
        <v>#N/A Requesting Data...</v>
      </c>
      <c r="S2261" t="str">
        <f>_xll.BDP("950324CB Muni","BB_COMPOSITE")</f>
        <v>#N/A Requesting Data...</v>
      </c>
      <c r="T2261" t="str">
        <f>_xll.BDP("950324CB Muni","LQA_LIQUIDITY_SCORE")</f>
        <v>#N/A Requesting Data...</v>
      </c>
    </row>
    <row r="2262" spans="1:20" x14ac:dyDescent="0.25">
      <c r="A2262" t="str">
        <f>_xll.BDP("951173PR Muni","ID_CUSIP")</f>
        <v>#N/A Requesting Data...</v>
      </c>
      <c r="B2262" t="s">
        <v>534</v>
      </c>
      <c r="C2262" t="str">
        <f>_xll.BDP("951173PR Muni","INSURANCE_STATUS")</f>
        <v>#N/A Requesting Data...</v>
      </c>
      <c r="D2262" t="str">
        <f>_xll.BDP("951173PR Muni","STATE_CODE")</f>
        <v>#N/A Requesting Data...</v>
      </c>
      <c r="E2262" t="str">
        <f>_xll.BDP("951173PR Muni","COUNTY_LOCATION_ISSUER")</f>
        <v>#N/A Requesting Data...</v>
      </c>
      <c r="F2262" t="str">
        <f>_xll.BDP("951173PR Muni","DUR_ADJ_MID")</f>
        <v>#N/A Requesting Data...</v>
      </c>
      <c r="G2262" t="str">
        <f>_xll.BDP("951173PR Muni","SPREAD_AT_ISSUANCE_TO_WORST")</f>
        <v>#N/A Requesting Data...</v>
      </c>
      <c r="H2262" t="str">
        <f>_xll.BDP("951173PR Muni","ISSUE_DT")</f>
        <v>#N/A Requesting Data...</v>
      </c>
      <c r="I2262" t="str">
        <f>_xll.BDS("951173PR Muni","MUNI_PURPOSE_SCHED", "aggregate=y")</f>
        <v>#N/A Requesting Data...</v>
      </c>
      <c r="J2262" t="str">
        <f>_xll.BDP("951173PR Muni","CPN")</f>
        <v>#N/A Requesting Data...</v>
      </c>
      <c r="K2262" t="str">
        <f>_xll.BDP("951173PR Muni","MATURITY")</f>
        <v>#N/A Requesting Data...</v>
      </c>
      <c r="L2262">
        <v>515000</v>
      </c>
      <c r="M2262" t="str">
        <f>_xll.BDP("951173PR Muni","YIELD_ON_ISSUE_DATE")</f>
        <v>#N/A Requesting Data...</v>
      </c>
      <c r="N2262" t="str">
        <f>_xll.BDP("951173PR Muni","YTW_SPREAD_TO_MATURITY_AT_ISSU")</f>
        <v>#N/A Requesting Data...</v>
      </c>
      <c r="O2262" t="str">
        <f>_xll.BDP("951173PR Muni","BVAL_MID_YTM")</f>
        <v>#N/A Requesting Data...</v>
      </c>
      <c r="P2262" t="str">
        <f>_xll.BDP("951173PR Muni","MUNI_TAX_PROV")</f>
        <v>#N/A Requesting Data...</v>
      </c>
      <c r="Q2262" t="str">
        <f>_xll.BDP("951173PR Muni","MUNI_FED_TAX")</f>
        <v>#N/A Requesting Data...</v>
      </c>
      <c r="R2262" t="str">
        <f>_xll.BDP("951173PR Muni","MUNI_MSRB_VOLUME")</f>
        <v>#N/A Requesting Data...</v>
      </c>
      <c r="S2262" t="str">
        <f>_xll.BDP("951173PR Muni","BB_COMPOSITE")</f>
        <v>#N/A Requesting Data...</v>
      </c>
      <c r="T2262" t="str">
        <f>_xll.BDP("951173PR Muni","LQA_LIQUIDITY_SCORE")</f>
        <v>#N/A Requesting Data...</v>
      </c>
    </row>
    <row r="2263" spans="1:20" x14ac:dyDescent="0.25">
      <c r="A2263" t="str">
        <f>_xll.BDP("951173PS Muni","ID_CUSIP")</f>
        <v>#N/A Requesting Data...</v>
      </c>
      <c r="B2263" t="s">
        <v>534</v>
      </c>
      <c r="C2263" t="str">
        <f>_xll.BDP("951173PS Muni","INSURANCE_STATUS")</f>
        <v>#N/A Requesting Data...</v>
      </c>
      <c r="D2263" t="str">
        <f>_xll.BDP("951173PS Muni","STATE_CODE")</f>
        <v>#N/A Requesting Data...</v>
      </c>
      <c r="E2263" t="str">
        <f>_xll.BDP("951173PS Muni","COUNTY_LOCATION_ISSUER")</f>
        <v>#N/A Requesting Data...</v>
      </c>
      <c r="F2263" t="str">
        <f>_xll.BDP("951173PS Muni","DUR_ADJ_MID")</f>
        <v>#N/A Requesting Data...</v>
      </c>
      <c r="G2263" t="str">
        <f>_xll.BDP("951173PS Muni","SPREAD_AT_ISSUANCE_TO_WORST")</f>
        <v>#N/A Requesting Data...</v>
      </c>
      <c r="H2263" t="str">
        <f>_xll.BDP("951173PS Muni","ISSUE_DT")</f>
        <v>#N/A Requesting Data...</v>
      </c>
      <c r="I2263" t="str">
        <f>_xll.BDS("951173PS Muni","MUNI_PURPOSE_SCHED", "aggregate=y")</f>
        <v>#N/A Requesting Data...</v>
      </c>
      <c r="J2263" t="str">
        <f>_xll.BDP("951173PS Muni","CPN")</f>
        <v>#N/A Requesting Data...</v>
      </c>
      <c r="K2263" t="str">
        <f>_xll.BDP("951173PS Muni","MATURITY")</f>
        <v>#N/A Requesting Data...</v>
      </c>
      <c r="L2263">
        <v>535000</v>
      </c>
      <c r="M2263" t="str">
        <f>_xll.BDP("951173PS Muni","YIELD_ON_ISSUE_DATE")</f>
        <v>#N/A Requesting Data...</v>
      </c>
      <c r="N2263" t="str">
        <f>_xll.BDP("951173PS Muni","YTW_SPREAD_TO_MATURITY_AT_ISSU")</f>
        <v>#N/A Requesting Data...</v>
      </c>
      <c r="O2263" t="str">
        <f>_xll.BDP("951173PS Muni","BVAL_MID_YTM")</f>
        <v>#N/A Requesting Data...</v>
      </c>
      <c r="P2263" t="str">
        <f>_xll.BDP("951173PS Muni","MUNI_TAX_PROV")</f>
        <v>#N/A Requesting Data...</v>
      </c>
      <c r="Q2263" t="str">
        <f>_xll.BDP("951173PS Muni","MUNI_FED_TAX")</f>
        <v>#N/A Requesting Data...</v>
      </c>
      <c r="R2263" t="str">
        <f>_xll.BDP("951173PS Muni","MUNI_MSRB_VOLUME")</f>
        <v>#N/A Requesting Data...</v>
      </c>
      <c r="S2263" t="str">
        <f>_xll.BDP("951173PS Muni","BB_COMPOSITE")</f>
        <v>#N/A Requesting Data...</v>
      </c>
      <c r="T2263" t="str">
        <f>_xll.BDP("951173PS Muni","LQA_LIQUIDITY_SCORE")</f>
        <v>#N/A Requesting Data...</v>
      </c>
    </row>
    <row r="2264" spans="1:20" x14ac:dyDescent="0.25">
      <c r="A2264" t="str">
        <f>_xll.BDP("951173PT Muni","ID_CUSIP")</f>
        <v>#N/A Requesting Data...</v>
      </c>
      <c r="B2264" t="s">
        <v>534</v>
      </c>
      <c r="C2264" t="str">
        <f>_xll.BDP("951173PT Muni","INSURANCE_STATUS")</f>
        <v>#N/A Requesting Data...</v>
      </c>
      <c r="D2264" t="str">
        <f>_xll.BDP("951173PT Muni","STATE_CODE")</f>
        <v>#N/A Requesting Data...</v>
      </c>
      <c r="E2264" t="str">
        <f>_xll.BDP("951173PT Muni","COUNTY_LOCATION_ISSUER")</f>
        <v>#N/A Requesting Data...</v>
      </c>
      <c r="F2264" t="str">
        <f>_xll.BDP("951173PT Muni","DUR_ADJ_MID")</f>
        <v>#N/A Requesting Data...</v>
      </c>
      <c r="G2264" t="str">
        <f>_xll.BDP("951173PT Muni","SPREAD_AT_ISSUANCE_TO_WORST")</f>
        <v>#N/A Requesting Data...</v>
      </c>
      <c r="H2264" t="str">
        <f>_xll.BDP("951173PT Muni","ISSUE_DT")</f>
        <v>#N/A Requesting Data...</v>
      </c>
      <c r="I2264" t="str">
        <f>_xll.BDS("951173PT Muni","MUNI_PURPOSE_SCHED", "aggregate=y")</f>
        <v>#N/A Requesting Data...</v>
      </c>
      <c r="J2264" t="str">
        <f>_xll.BDP("951173PT Muni","CPN")</f>
        <v>#N/A Requesting Data...</v>
      </c>
      <c r="K2264" t="str">
        <f>_xll.BDP("951173PT Muni","MATURITY")</f>
        <v>#N/A Requesting Data...</v>
      </c>
      <c r="L2264">
        <v>565000</v>
      </c>
      <c r="M2264" t="str">
        <f>_xll.BDP("951173PT Muni","YIELD_ON_ISSUE_DATE")</f>
        <v>#N/A Requesting Data...</v>
      </c>
      <c r="N2264" t="str">
        <f>_xll.BDP("951173PT Muni","YTW_SPREAD_TO_MATURITY_AT_ISSU")</f>
        <v>#N/A Requesting Data...</v>
      </c>
      <c r="O2264" t="str">
        <f>_xll.BDP("951173PT Muni","BVAL_MID_YTM")</f>
        <v>#N/A Requesting Data...</v>
      </c>
      <c r="P2264" t="str">
        <f>_xll.BDP("951173PT Muni","MUNI_TAX_PROV")</f>
        <v>#N/A Requesting Data...</v>
      </c>
      <c r="Q2264" t="str">
        <f>_xll.BDP("951173PT Muni","MUNI_FED_TAX")</f>
        <v>#N/A Requesting Data...</v>
      </c>
      <c r="R2264" t="str">
        <f>_xll.BDP("951173PT Muni","MUNI_MSRB_VOLUME")</f>
        <v>#N/A Requesting Data...</v>
      </c>
      <c r="S2264" t="str">
        <f>_xll.BDP("951173PT Muni","BB_COMPOSITE")</f>
        <v>#N/A Requesting Data...</v>
      </c>
      <c r="T2264" t="str">
        <f>_xll.BDP("951173PT Muni","LQA_LIQUIDITY_SCORE")</f>
        <v>#N/A Requesting Data...</v>
      </c>
    </row>
    <row r="2265" spans="1:20" x14ac:dyDescent="0.25">
      <c r="A2265" t="str">
        <f>_xll.BDP("951428DL Muni","ID_CUSIP")</f>
        <v>#N/A Requesting Data...</v>
      </c>
      <c r="B2265" t="s">
        <v>535</v>
      </c>
      <c r="C2265" t="str">
        <f>_xll.BDP("951428DL Muni","INSURANCE_STATUS")</f>
        <v>#N/A Requesting Data...</v>
      </c>
      <c r="D2265" t="str">
        <f>_xll.BDP("951428DL Muni","STATE_CODE")</f>
        <v>#N/A Requesting Data...</v>
      </c>
      <c r="E2265" t="str">
        <f>_xll.BDP("951428DL Muni","COUNTY_LOCATION_ISSUER")</f>
        <v>#N/A Requesting Data...</v>
      </c>
      <c r="F2265" t="str">
        <f>_xll.BDP("951428DL Muni","DUR_ADJ_MID")</f>
        <v>#N/A Requesting Data...</v>
      </c>
      <c r="G2265" t="str">
        <f>_xll.BDP("951428DL Muni","SPREAD_AT_ISSUANCE_TO_WORST")</f>
        <v>#N/A Requesting Data...</v>
      </c>
      <c r="H2265" t="str">
        <f>_xll.BDP("951428DL Muni","ISSUE_DT")</f>
        <v>#N/A Requesting Data...</v>
      </c>
      <c r="I2265" t="str">
        <f>_xll.BDS("951428DL Muni","MUNI_PURPOSE_SCHED", "aggregate=y")</f>
        <v>#N/A Requesting Data...</v>
      </c>
      <c r="J2265" t="str">
        <f>_xll.BDP("951428DL Muni","CPN")</f>
        <v>#N/A Requesting Data...</v>
      </c>
      <c r="K2265" t="str">
        <f>_xll.BDP("951428DL Muni","MATURITY")</f>
        <v>#N/A Requesting Data...</v>
      </c>
      <c r="L2265">
        <v>300000</v>
      </c>
      <c r="M2265" t="str">
        <f>_xll.BDP("951428DL Muni","YIELD_ON_ISSUE_DATE")</f>
        <v>#N/A Requesting Data...</v>
      </c>
      <c r="N2265" t="str">
        <f>_xll.BDP("951428DL Muni","YTW_SPREAD_TO_MATURITY_AT_ISSU")</f>
        <v>#N/A Requesting Data...</v>
      </c>
      <c r="O2265" t="str">
        <f>_xll.BDP("951428DL Muni","BVAL_MID_YTM")</f>
        <v>#N/A Requesting Data...</v>
      </c>
      <c r="P2265" t="str">
        <f>_xll.BDP("951428DL Muni","MUNI_TAX_PROV")</f>
        <v>#N/A Requesting Data...</v>
      </c>
      <c r="Q2265" t="str">
        <f>_xll.BDP("951428DL Muni","MUNI_FED_TAX")</f>
        <v>#N/A Requesting Data...</v>
      </c>
      <c r="R2265" t="str">
        <f>_xll.BDP("951428DL Muni","MUNI_MSRB_VOLUME")</f>
        <v>#N/A Requesting Data...</v>
      </c>
      <c r="S2265" t="str">
        <f>_xll.BDP("951428DL Muni","BB_COMPOSITE")</f>
        <v>#N/A Requesting Data...</v>
      </c>
      <c r="T2265" t="str">
        <f>_xll.BDP("951428DL Muni","LQA_LIQUIDITY_SCORE")</f>
        <v>#N/A Requesting Data...</v>
      </c>
    </row>
    <row r="2266" spans="1:20" x14ac:dyDescent="0.25">
      <c r="A2266" t="str">
        <f>_xll.BDP("951428DM Muni","ID_CUSIP")</f>
        <v>#N/A Requesting Data...</v>
      </c>
      <c r="B2266" t="s">
        <v>535</v>
      </c>
      <c r="C2266" t="str">
        <f>_xll.BDP("951428DM Muni","INSURANCE_STATUS")</f>
        <v>#N/A Requesting Data...</v>
      </c>
      <c r="D2266" t="str">
        <f>_xll.BDP("951428DM Muni","STATE_CODE")</f>
        <v>#N/A Requesting Data...</v>
      </c>
      <c r="E2266" t="str">
        <f>_xll.BDP("951428DM Muni","COUNTY_LOCATION_ISSUER")</f>
        <v>#N/A Requesting Data...</v>
      </c>
      <c r="F2266" t="str">
        <f>_xll.BDP("951428DM Muni","DUR_ADJ_MID")</f>
        <v>#N/A Requesting Data...</v>
      </c>
      <c r="G2266" t="str">
        <f>_xll.BDP("951428DM Muni","SPREAD_AT_ISSUANCE_TO_WORST")</f>
        <v>#N/A Requesting Data...</v>
      </c>
      <c r="H2266" t="str">
        <f>_xll.BDP("951428DM Muni","ISSUE_DT")</f>
        <v>#N/A Requesting Data...</v>
      </c>
      <c r="I2266" t="str">
        <f>_xll.BDS("951428DM Muni","MUNI_PURPOSE_SCHED", "aggregate=y")</f>
        <v>#N/A Requesting Data...</v>
      </c>
      <c r="J2266" t="str">
        <f>_xll.BDP("951428DM Muni","CPN")</f>
        <v>#N/A Requesting Data...</v>
      </c>
      <c r="K2266" t="str">
        <f>_xll.BDP("951428DM Muni","MATURITY")</f>
        <v>#N/A Requesting Data...</v>
      </c>
      <c r="L2266">
        <v>260000</v>
      </c>
      <c r="M2266" t="str">
        <f>_xll.BDP("951428DM Muni","YIELD_ON_ISSUE_DATE")</f>
        <v>#N/A Requesting Data...</v>
      </c>
      <c r="N2266" t="str">
        <f>_xll.BDP("951428DM Muni","YTW_SPREAD_TO_MATURITY_AT_ISSU")</f>
        <v>#N/A Requesting Data...</v>
      </c>
      <c r="O2266" t="str">
        <f>_xll.BDP("951428DM Muni","BVAL_MID_YTM")</f>
        <v>#N/A Requesting Data...</v>
      </c>
      <c r="P2266" t="str">
        <f>_xll.BDP("951428DM Muni","MUNI_TAX_PROV")</f>
        <v>#N/A Requesting Data...</v>
      </c>
      <c r="Q2266" t="str">
        <f>_xll.BDP("951428DM Muni","MUNI_FED_TAX")</f>
        <v>#N/A Requesting Data...</v>
      </c>
      <c r="R2266" t="str">
        <f>_xll.BDP("951428DM Muni","MUNI_MSRB_VOLUME")</f>
        <v>#N/A Requesting Data...</v>
      </c>
      <c r="S2266" t="str">
        <f>_xll.BDP("951428DM Muni","BB_COMPOSITE")</f>
        <v>#N/A Requesting Data...</v>
      </c>
      <c r="T2266" t="str">
        <f>_xll.BDP("951428DM Muni","LQA_LIQUIDITY_SCORE")</f>
        <v>#N/A Requesting Data...</v>
      </c>
    </row>
    <row r="2267" spans="1:20" x14ac:dyDescent="0.25">
      <c r="A2267" t="str">
        <f>_xll.BDP("951428DN Muni","ID_CUSIP")</f>
        <v>#N/A Requesting Data...</v>
      </c>
      <c r="B2267" t="s">
        <v>535</v>
      </c>
      <c r="C2267" t="str">
        <f>_xll.BDP("951428DN Muni","INSURANCE_STATUS")</f>
        <v>#N/A Requesting Data...</v>
      </c>
      <c r="D2267" t="str">
        <f>_xll.BDP("951428DN Muni","STATE_CODE")</f>
        <v>#N/A Requesting Data...</v>
      </c>
      <c r="E2267" t="str">
        <f>_xll.BDP("951428DN Muni","COUNTY_LOCATION_ISSUER")</f>
        <v>#N/A Requesting Data...</v>
      </c>
      <c r="F2267" t="str">
        <f>_xll.BDP("951428DN Muni","DUR_ADJ_MID")</f>
        <v>#N/A Requesting Data...</v>
      </c>
      <c r="G2267" t="str">
        <f>_xll.BDP("951428DN Muni","SPREAD_AT_ISSUANCE_TO_WORST")</f>
        <v>#N/A Requesting Data...</v>
      </c>
      <c r="H2267" t="str">
        <f>_xll.BDP("951428DN Muni","ISSUE_DT")</f>
        <v>#N/A Requesting Data...</v>
      </c>
      <c r="I2267" t="str">
        <f>_xll.BDS("951428DN Muni","MUNI_PURPOSE_SCHED", "aggregate=y")</f>
        <v>#N/A Requesting Data...</v>
      </c>
      <c r="J2267" t="str">
        <f>_xll.BDP("951428DN Muni","CPN")</f>
        <v>#N/A Requesting Data...</v>
      </c>
      <c r="K2267" t="str">
        <f>_xll.BDP("951428DN Muni","MATURITY")</f>
        <v>#N/A Requesting Data...</v>
      </c>
      <c r="L2267">
        <v>330000</v>
      </c>
      <c r="M2267" t="str">
        <f>_xll.BDP("951428DN Muni","YIELD_ON_ISSUE_DATE")</f>
        <v>#N/A Requesting Data...</v>
      </c>
      <c r="N2267" t="str">
        <f>_xll.BDP("951428DN Muni","YTW_SPREAD_TO_MATURITY_AT_ISSU")</f>
        <v>#N/A Requesting Data...</v>
      </c>
      <c r="O2267" t="str">
        <f>_xll.BDP("951428DN Muni","BVAL_MID_YTM")</f>
        <v>#N/A Requesting Data...</v>
      </c>
      <c r="P2267" t="str">
        <f>_xll.BDP("951428DN Muni","MUNI_TAX_PROV")</f>
        <v>#N/A Requesting Data...</v>
      </c>
      <c r="Q2267" t="str">
        <f>_xll.BDP("951428DN Muni","MUNI_FED_TAX")</f>
        <v>#N/A Requesting Data...</v>
      </c>
      <c r="R2267" t="str">
        <f>_xll.BDP("951428DN Muni","MUNI_MSRB_VOLUME")</f>
        <v>#N/A Requesting Data...</v>
      </c>
      <c r="S2267" t="str">
        <f>_xll.BDP("951428DN Muni","BB_COMPOSITE")</f>
        <v>#N/A Requesting Data...</v>
      </c>
      <c r="T2267" t="str">
        <f>_xll.BDP("951428DN Muni","LQA_LIQUIDITY_SCORE")</f>
        <v>#N/A Requesting Data...</v>
      </c>
    </row>
    <row r="2268" spans="1:20" x14ac:dyDescent="0.25">
      <c r="A2268" t="str">
        <f>_xll.BDP("952258GZ Muni","ID_CUSIP")</f>
        <v>#N/A Requesting Data...</v>
      </c>
      <c r="B2268" t="s">
        <v>536</v>
      </c>
      <c r="C2268" t="str">
        <f>_xll.BDP("952258GZ Muni","INSURANCE_STATUS")</f>
        <v>#N/A Requesting Data...</v>
      </c>
      <c r="D2268" t="str">
        <f>_xll.BDP("952258GZ Muni","STATE_CODE")</f>
        <v>#N/A Requesting Data...</v>
      </c>
      <c r="E2268" t="str">
        <f>_xll.BDP("952258GZ Muni","COUNTY_LOCATION_ISSUER")</f>
        <v>#N/A Requesting Data...</v>
      </c>
      <c r="F2268" t="str">
        <f>_xll.BDP("952258GZ Muni","DUR_ADJ_MID")</f>
        <v>#N/A Requesting Data...</v>
      </c>
      <c r="G2268" t="str">
        <f>_xll.BDP("952258GZ Muni","SPREAD_AT_ISSUANCE_TO_WORST")</f>
        <v>#N/A Requesting Data...</v>
      </c>
      <c r="H2268" t="str">
        <f>_xll.BDP("952258GZ Muni","ISSUE_DT")</f>
        <v>#N/A Requesting Data...</v>
      </c>
      <c r="I2268" t="str">
        <f>_xll.BDS("952258GZ Muni","MUNI_PURPOSE_SCHED", "aggregate=y")</f>
        <v>#N/A Requesting Data...</v>
      </c>
      <c r="J2268" t="str">
        <f>_xll.BDP("952258GZ Muni","CPN")</f>
        <v>#N/A Requesting Data...</v>
      </c>
      <c r="K2268" t="str">
        <f>_xll.BDP("952258GZ Muni","MATURITY")</f>
        <v>#N/A Requesting Data...</v>
      </c>
      <c r="L2268">
        <v>420000</v>
      </c>
      <c r="M2268" t="str">
        <f>_xll.BDP("952258GZ Muni","YIELD_ON_ISSUE_DATE")</f>
        <v>#N/A Requesting Data...</v>
      </c>
      <c r="N2268" t="str">
        <f>_xll.BDP("952258GZ Muni","YTW_SPREAD_TO_MATURITY_AT_ISSU")</f>
        <v>#N/A Requesting Data...</v>
      </c>
      <c r="O2268" t="str">
        <f>_xll.BDP("952258GZ Muni","BVAL_MID_YTM")</f>
        <v>#N/A Requesting Data...</v>
      </c>
      <c r="P2268" t="str">
        <f>_xll.BDP("952258GZ Muni","MUNI_TAX_PROV")</f>
        <v>#N/A Requesting Data...</v>
      </c>
      <c r="Q2268" t="str">
        <f>_xll.BDP("952258GZ Muni","MUNI_FED_TAX")</f>
        <v>#N/A Requesting Data...</v>
      </c>
      <c r="R2268" t="str">
        <f>_xll.BDP("952258GZ Muni","MUNI_MSRB_VOLUME")</f>
        <v>#N/A Requesting Data...</v>
      </c>
      <c r="S2268" t="str">
        <f>_xll.BDP("952258GZ Muni","BB_COMPOSITE")</f>
        <v>#N/A Requesting Data...</v>
      </c>
      <c r="T2268" t="str">
        <f>_xll.BDP("952258GZ Muni","LQA_LIQUIDITY_SCORE")</f>
        <v>#N/A Requesting Data...</v>
      </c>
    </row>
    <row r="2269" spans="1:20" x14ac:dyDescent="0.25">
      <c r="A2269" t="str">
        <f>_xll.BDP("952258HA Muni","ID_CUSIP")</f>
        <v>#N/A Requesting Data...</v>
      </c>
      <c r="B2269" t="s">
        <v>536</v>
      </c>
      <c r="C2269" t="str">
        <f>_xll.BDP("952258HA Muni","INSURANCE_STATUS")</f>
        <v>#N/A Requesting Data...</v>
      </c>
      <c r="D2269" t="str">
        <f>_xll.BDP("952258HA Muni","STATE_CODE")</f>
        <v>#N/A Requesting Data...</v>
      </c>
      <c r="E2269" t="str">
        <f>_xll.BDP("952258HA Muni","COUNTY_LOCATION_ISSUER")</f>
        <v>#N/A Requesting Data...</v>
      </c>
      <c r="F2269" t="str">
        <f>_xll.BDP("952258HA Muni","DUR_ADJ_MID")</f>
        <v>#N/A Requesting Data...</v>
      </c>
      <c r="G2269" t="str">
        <f>_xll.BDP("952258HA Muni","SPREAD_AT_ISSUANCE_TO_WORST")</f>
        <v>#N/A Requesting Data...</v>
      </c>
      <c r="H2269" t="str">
        <f>_xll.BDP("952258HA Muni","ISSUE_DT")</f>
        <v>#N/A Requesting Data...</v>
      </c>
      <c r="I2269" t="str">
        <f>_xll.BDS("952258HA Muni","MUNI_PURPOSE_SCHED", "aggregate=y")</f>
        <v>#N/A Requesting Data...</v>
      </c>
      <c r="J2269" t="str">
        <f>_xll.BDP("952258HA Muni","CPN")</f>
        <v>#N/A Requesting Data...</v>
      </c>
      <c r="K2269" t="str">
        <f>_xll.BDP("952258HA Muni","MATURITY")</f>
        <v>#N/A Requesting Data...</v>
      </c>
      <c r="L2269">
        <v>435000</v>
      </c>
      <c r="M2269" t="str">
        <f>_xll.BDP("952258HA Muni","YIELD_ON_ISSUE_DATE")</f>
        <v>#N/A Requesting Data...</v>
      </c>
      <c r="N2269" t="str">
        <f>_xll.BDP("952258HA Muni","YTW_SPREAD_TO_MATURITY_AT_ISSU")</f>
        <v>#N/A Requesting Data...</v>
      </c>
      <c r="O2269" t="str">
        <f>_xll.BDP("952258HA Muni","BVAL_MID_YTM")</f>
        <v>#N/A Requesting Data...</v>
      </c>
      <c r="P2269" t="str">
        <f>_xll.BDP("952258HA Muni","MUNI_TAX_PROV")</f>
        <v>#N/A Requesting Data...</v>
      </c>
      <c r="Q2269" t="str">
        <f>_xll.BDP("952258HA Muni","MUNI_FED_TAX")</f>
        <v>#N/A Requesting Data...</v>
      </c>
      <c r="R2269" t="str">
        <f>_xll.BDP("952258HA Muni","MUNI_MSRB_VOLUME")</f>
        <v>#N/A Requesting Data...</v>
      </c>
      <c r="S2269" t="str">
        <f>_xll.BDP("952258HA Muni","BB_COMPOSITE")</f>
        <v>#N/A Requesting Data...</v>
      </c>
      <c r="T2269" t="str">
        <f>_xll.BDP("952258HA Muni","LQA_LIQUIDITY_SCORE")</f>
        <v>#N/A Requesting Data...</v>
      </c>
    </row>
    <row r="2270" spans="1:20" x14ac:dyDescent="0.25">
      <c r="A2270" t="str">
        <f>_xll.BDP("952258HB Muni","ID_CUSIP")</f>
        <v>#N/A Requesting Data...</v>
      </c>
      <c r="B2270" t="s">
        <v>536</v>
      </c>
      <c r="C2270" t="str">
        <f>_xll.BDP("952258HB Muni","INSURANCE_STATUS")</f>
        <v>#N/A Requesting Data...</v>
      </c>
      <c r="D2270" t="str">
        <f>_xll.BDP("952258HB Muni","STATE_CODE")</f>
        <v>#N/A Requesting Data...</v>
      </c>
      <c r="E2270" t="str">
        <f>_xll.BDP("952258HB Muni","COUNTY_LOCATION_ISSUER")</f>
        <v>#N/A Requesting Data...</v>
      </c>
      <c r="F2270" t="str">
        <f>_xll.BDP("952258HB Muni","DUR_ADJ_MID")</f>
        <v>#N/A Requesting Data...</v>
      </c>
      <c r="G2270" t="str">
        <f>_xll.BDP("952258HB Muni","SPREAD_AT_ISSUANCE_TO_WORST")</f>
        <v>#N/A Requesting Data...</v>
      </c>
      <c r="H2270" t="str">
        <f>_xll.BDP("952258HB Muni","ISSUE_DT")</f>
        <v>#N/A Requesting Data...</v>
      </c>
      <c r="I2270" t="str">
        <f>_xll.BDS("952258HB Muni","MUNI_PURPOSE_SCHED", "aggregate=y")</f>
        <v>#N/A Requesting Data...</v>
      </c>
      <c r="J2270" t="str">
        <f>_xll.BDP("952258HB Muni","CPN")</f>
        <v>#N/A Requesting Data...</v>
      </c>
      <c r="K2270" t="str">
        <f>_xll.BDP("952258HB Muni","MATURITY")</f>
        <v>#N/A Requesting Data...</v>
      </c>
      <c r="L2270">
        <v>355000</v>
      </c>
      <c r="M2270" t="str">
        <f>_xll.BDP("952258HB Muni","YIELD_ON_ISSUE_DATE")</f>
        <v>#N/A Requesting Data...</v>
      </c>
      <c r="N2270" t="str">
        <f>_xll.BDP("952258HB Muni","YTW_SPREAD_TO_MATURITY_AT_ISSU")</f>
        <v>#N/A Requesting Data...</v>
      </c>
      <c r="O2270" t="str">
        <f>_xll.BDP("952258HB Muni","BVAL_MID_YTM")</f>
        <v>#N/A Requesting Data...</v>
      </c>
      <c r="P2270" t="str">
        <f>_xll.BDP("952258HB Muni","MUNI_TAX_PROV")</f>
        <v>#N/A Requesting Data...</v>
      </c>
      <c r="Q2270" t="str">
        <f>_xll.BDP("952258HB Muni","MUNI_FED_TAX")</f>
        <v>#N/A Requesting Data...</v>
      </c>
      <c r="R2270" t="str">
        <f>_xll.BDP("952258HB Muni","MUNI_MSRB_VOLUME")</f>
        <v>#N/A Requesting Data...</v>
      </c>
      <c r="S2270" t="str">
        <f>_xll.BDP("952258HB Muni","BB_COMPOSITE")</f>
        <v>#N/A Requesting Data...</v>
      </c>
      <c r="T2270" t="str">
        <f>_xll.BDP("952258HB Muni","LQA_LIQUIDITY_SCORE")</f>
        <v>#N/A Requesting Data...</v>
      </c>
    </row>
    <row r="2271" spans="1:20" x14ac:dyDescent="0.25">
      <c r="A2271" t="str">
        <f>_xll.BDP("952258HC Muni","ID_CUSIP")</f>
        <v>#N/A Requesting Data...</v>
      </c>
      <c r="B2271" t="s">
        <v>536</v>
      </c>
      <c r="C2271" t="str">
        <f>_xll.BDP("952258HC Muni","INSURANCE_STATUS")</f>
        <v>#N/A Requesting Data...</v>
      </c>
      <c r="D2271" t="str">
        <f>_xll.BDP("952258HC Muni","STATE_CODE")</f>
        <v>#N/A Requesting Data...</v>
      </c>
      <c r="E2271" t="str">
        <f>_xll.BDP("952258HC Muni","COUNTY_LOCATION_ISSUER")</f>
        <v>#N/A Requesting Data...</v>
      </c>
      <c r="F2271" t="str">
        <f>_xll.BDP("952258HC Muni","DUR_ADJ_MID")</f>
        <v>#N/A Requesting Data...</v>
      </c>
      <c r="G2271" t="str">
        <f>_xll.BDP("952258HC Muni","SPREAD_AT_ISSUANCE_TO_WORST")</f>
        <v>#N/A Requesting Data...</v>
      </c>
      <c r="H2271" t="str">
        <f>_xll.BDP("952258HC Muni","ISSUE_DT")</f>
        <v>#N/A Requesting Data...</v>
      </c>
      <c r="I2271" t="str">
        <f>_xll.BDS("952258HC Muni","MUNI_PURPOSE_SCHED", "aggregate=y")</f>
        <v>#N/A Requesting Data...</v>
      </c>
      <c r="J2271" t="str">
        <f>_xll.BDP("952258HC Muni","CPN")</f>
        <v>#N/A Requesting Data...</v>
      </c>
      <c r="K2271" t="str">
        <f>_xll.BDP("952258HC Muni","MATURITY")</f>
        <v>#N/A Requesting Data...</v>
      </c>
      <c r="L2271">
        <v>100000</v>
      </c>
      <c r="M2271" t="str">
        <f>_xll.BDP("952258HC Muni","YIELD_ON_ISSUE_DATE")</f>
        <v>#N/A Requesting Data...</v>
      </c>
      <c r="N2271" t="str">
        <f>_xll.BDP("952258HC Muni","YTW_SPREAD_TO_MATURITY_AT_ISSU")</f>
        <v>#N/A Requesting Data...</v>
      </c>
      <c r="O2271" t="str">
        <f>_xll.BDP("952258HC Muni","BVAL_MID_YTM")</f>
        <v>#N/A Requesting Data...</v>
      </c>
      <c r="P2271" t="str">
        <f>_xll.BDP("952258HC Muni","MUNI_TAX_PROV")</f>
        <v>#N/A Requesting Data...</v>
      </c>
      <c r="Q2271" t="str">
        <f>_xll.BDP("952258HC Muni","MUNI_FED_TAX")</f>
        <v>#N/A Requesting Data...</v>
      </c>
      <c r="R2271" t="str">
        <f>_xll.BDP("952258HC Muni","MUNI_MSRB_VOLUME")</f>
        <v>#N/A Requesting Data...</v>
      </c>
      <c r="S2271" t="str">
        <f>_xll.BDP("952258HC Muni","BB_COMPOSITE")</f>
        <v>#N/A Requesting Data...</v>
      </c>
      <c r="T2271" t="str">
        <f>_xll.BDP("952258HC Muni","LQA_LIQUIDITY_SCORE")</f>
        <v>#N/A Requesting Data...</v>
      </c>
    </row>
    <row r="2272" spans="1:20" x14ac:dyDescent="0.25">
      <c r="A2272" t="str">
        <f>_xll.BDP("952258HD Muni","ID_CUSIP")</f>
        <v>#N/A Requesting Data...</v>
      </c>
      <c r="B2272" t="s">
        <v>536</v>
      </c>
      <c r="C2272" t="str">
        <f>_xll.BDP("952258HD Muni","INSURANCE_STATUS")</f>
        <v>#N/A Requesting Data...</v>
      </c>
      <c r="D2272" t="str">
        <f>_xll.BDP("952258HD Muni","STATE_CODE")</f>
        <v>#N/A Requesting Data...</v>
      </c>
      <c r="E2272" t="str">
        <f>_xll.BDP("952258HD Muni","COUNTY_LOCATION_ISSUER")</f>
        <v>#N/A Requesting Data...</v>
      </c>
      <c r="F2272" t="str">
        <f>_xll.BDP("952258HD Muni","DUR_ADJ_MID")</f>
        <v>#N/A Requesting Data...</v>
      </c>
      <c r="G2272" t="str">
        <f>_xll.BDP("952258HD Muni","SPREAD_AT_ISSUANCE_TO_WORST")</f>
        <v>#N/A Requesting Data...</v>
      </c>
      <c r="H2272" t="str">
        <f>_xll.BDP("952258HD Muni","ISSUE_DT")</f>
        <v>#N/A Requesting Data...</v>
      </c>
      <c r="I2272" t="str">
        <f>_xll.BDS("952258HD Muni","MUNI_PURPOSE_SCHED", "aggregate=y")</f>
        <v>#N/A Requesting Data...</v>
      </c>
      <c r="J2272" t="str">
        <f>_xll.BDP("952258HD Muni","CPN")</f>
        <v>#N/A Requesting Data...</v>
      </c>
      <c r="K2272" t="str">
        <f>_xll.BDP("952258HD Muni","MATURITY")</f>
        <v>#N/A Requesting Data...</v>
      </c>
      <c r="L2272">
        <v>470000</v>
      </c>
      <c r="M2272" t="str">
        <f>_xll.BDP("952258HD Muni","YIELD_ON_ISSUE_DATE")</f>
        <v>#N/A Requesting Data...</v>
      </c>
      <c r="N2272" t="str">
        <f>_xll.BDP("952258HD Muni","YTW_SPREAD_TO_MATURITY_AT_ISSU")</f>
        <v>#N/A Requesting Data...</v>
      </c>
      <c r="O2272" t="str">
        <f>_xll.BDP("952258HD Muni","BVAL_MID_YTM")</f>
        <v>#N/A Requesting Data...</v>
      </c>
      <c r="P2272" t="str">
        <f>_xll.BDP("952258HD Muni","MUNI_TAX_PROV")</f>
        <v>#N/A Requesting Data...</v>
      </c>
      <c r="Q2272" t="str">
        <f>_xll.BDP("952258HD Muni","MUNI_FED_TAX")</f>
        <v>#N/A Requesting Data...</v>
      </c>
      <c r="R2272" t="str">
        <f>_xll.BDP("952258HD Muni","MUNI_MSRB_VOLUME")</f>
        <v>#N/A Requesting Data...</v>
      </c>
      <c r="S2272" t="str">
        <f>_xll.BDP("952258HD Muni","BB_COMPOSITE")</f>
        <v>#N/A Requesting Data...</v>
      </c>
      <c r="T2272" t="str">
        <f>_xll.BDP("952258HD Muni","LQA_LIQUIDITY_SCORE")</f>
        <v>#N/A Requesting Data...</v>
      </c>
    </row>
    <row r="2273" spans="1:20" x14ac:dyDescent="0.25">
      <c r="A2273" t="str">
        <f>_xll.BDP("952258HE Muni","ID_CUSIP")</f>
        <v>#N/A Requesting Data...</v>
      </c>
      <c r="B2273" t="s">
        <v>536</v>
      </c>
      <c r="C2273" t="str">
        <f>_xll.BDP("952258HE Muni","INSURANCE_STATUS")</f>
        <v>#N/A Requesting Data...</v>
      </c>
      <c r="D2273" t="str">
        <f>_xll.BDP("952258HE Muni","STATE_CODE")</f>
        <v>#N/A Requesting Data...</v>
      </c>
      <c r="E2273" t="str">
        <f>_xll.BDP("952258HE Muni","COUNTY_LOCATION_ISSUER")</f>
        <v>#N/A Requesting Data...</v>
      </c>
      <c r="F2273" t="str">
        <f>_xll.BDP("952258HE Muni","DUR_ADJ_MID")</f>
        <v>#N/A Requesting Data...</v>
      </c>
      <c r="G2273" t="str">
        <f>_xll.BDP("952258HE Muni","SPREAD_AT_ISSUANCE_TO_WORST")</f>
        <v>#N/A Requesting Data...</v>
      </c>
      <c r="H2273" t="str">
        <f>_xll.BDP("952258HE Muni","ISSUE_DT")</f>
        <v>#N/A Requesting Data...</v>
      </c>
      <c r="I2273" t="str">
        <f>_xll.BDS("952258HE Muni","MUNI_PURPOSE_SCHED", "aggregate=y")</f>
        <v>#N/A Requesting Data...</v>
      </c>
      <c r="J2273" t="str">
        <f>_xll.BDP("952258HE Muni","CPN")</f>
        <v>#N/A Requesting Data...</v>
      </c>
      <c r="K2273" t="str">
        <f>_xll.BDP("952258HE Muni","MATURITY")</f>
        <v>#N/A Requesting Data...</v>
      </c>
      <c r="L2273">
        <v>485000</v>
      </c>
      <c r="M2273" t="str">
        <f>_xll.BDP("952258HE Muni","YIELD_ON_ISSUE_DATE")</f>
        <v>#N/A Requesting Data...</v>
      </c>
      <c r="N2273" t="str">
        <f>_xll.BDP("952258HE Muni","YTW_SPREAD_TO_MATURITY_AT_ISSU")</f>
        <v>#N/A Requesting Data...</v>
      </c>
      <c r="O2273" t="str">
        <f>_xll.BDP("952258HE Muni","BVAL_MID_YTM")</f>
        <v>#N/A Requesting Data...</v>
      </c>
      <c r="P2273" t="str">
        <f>_xll.BDP("952258HE Muni","MUNI_TAX_PROV")</f>
        <v>#N/A Requesting Data...</v>
      </c>
      <c r="Q2273" t="str">
        <f>_xll.BDP("952258HE Muni","MUNI_FED_TAX")</f>
        <v>#N/A Requesting Data...</v>
      </c>
      <c r="R2273" t="str">
        <f>_xll.BDP("952258HE Muni","MUNI_MSRB_VOLUME")</f>
        <v>#N/A Requesting Data...</v>
      </c>
      <c r="S2273" t="str">
        <f>_xll.BDP("952258HE Muni","BB_COMPOSITE")</f>
        <v>#N/A Requesting Data...</v>
      </c>
      <c r="T2273" t="str">
        <f>_xll.BDP("952258HE Muni","LQA_LIQUIDITY_SCORE")</f>
        <v>#N/A Requesting Data...</v>
      </c>
    </row>
    <row r="2274" spans="1:20" x14ac:dyDescent="0.25">
      <c r="A2274" t="str">
        <f>_xll.BDP("952258HF Muni","ID_CUSIP")</f>
        <v>#N/A Requesting Data...</v>
      </c>
      <c r="B2274" t="s">
        <v>536</v>
      </c>
      <c r="C2274" t="str">
        <f>_xll.BDP("952258HF Muni","INSURANCE_STATUS")</f>
        <v>#N/A Requesting Data...</v>
      </c>
      <c r="D2274" t="str">
        <f>_xll.BDP("952258HF Muni","STATE_CODE")</f>
        <v>#N/A Requesting Data...</v>
      </c>
      <c r="E2274" t="str">
        <f>_xll.BDP("952258HF Muni","COUNTY_LOCATION_ISSUER")</f>
        <v>#N/A Requesting Data...</v>
      </c>
      <c r="F2274" t="str">
        <f>_xll.BDP("952258HF Muni","DUR_ADJ_MID")</f>
        <v>#N/A Requesting Data...</v>
      </c>
      <c r="G2274" t="str">
        <f>_xll.BDP("952258HF Muni","SPREAD_AT_ISSUANCE_TO_WORST")</f>
        <v>#N/A Requesting Data...</v>
      </c>
      <c r="H2274" t="str">
        <f>_xll.BDP("952258HF Muni","ISSUE_DT")</f>
        <v>#N/A Requesting Data...</v>
      </c>
      <c r="I2274" t="str">
        <f>_xll.BDS("952258HF Muni","MUNI_PURPOSE_SCHED", "aggregate=y")</f>
        <v>#N/A Requesting Data...</v>
      </c>
      <c r="J2274" t="str">
        <f>_xll.BDP("952258HF Muni","CPN")</f>
        <v>#N/A Requesting Data...</v>
      </c>
      <c r="K2274" t="str">
        <f>_xll.BDP("952258HF Muni","MATURITY")</f>
        <v>#N/A Requesting Data...</v>
      </c>
      <c r="L2274">
        <v>510000</v>
      </c>
      <c r="M2274" t="str">
        <f>_xll.BDP("952258HF Muni","YIELD_ON_ISSUE_DATE")</f>
        <v>#N/A Requesting Data...</v>
      </c>
      <c r="N2274" t="str">
        <f>_xll.BDP("952258HF Muni","YTW_SPREAD_TO_MATURITY_AT_ISSU")</f>
        <v>#N/A Requesting Data...</v>
      </c>
      <c r="O2274" t="str">
        <f>_xll.BDP("952258HF Muni","BVAL_MID_YTM")</f>
        <v>#N/A Requesting Data...</v>
      </c>
      <c r="P2274" t="str">
        <f>_xll.BDP("952258HF Muni","MUNI_TAX_PROV")</f>
        <v>#N/A Requesting Data...</v>
      </c>
      <c r="Q2274" t="str">
        <f>_xll.BDP("952258HF Muni","MUNI_FED_TAX")</f>
        <v>#N/A Requesting Data...</v>
      </c>
      <c r="R2274" t="str">
        <f>_xll.BDP("952258HF Muni","MUNI_MSRB_VOLUME")</f>
        <v>#N/A Requesting Data...</v>
      </c>
      <c r="S2274" t="str">
        <f>_xll.BDP("952258HF Muni","BB_COMPOSITE")</f>
        <v>#N/A Requesting Data...</v>
      </c>
      <c r="T2274" t="str">
        <f>_xll.BDP("952258HF Muni","LQA_LIQUIDITY_SCORE")</f>
        <v>#N/A Requesting Data...</v>
      </c>
    </row>
    <row r="2275" spans="1:20" x14ac:dyDescent="0.25">
      <c r="A2275" t="str">
        <f>_xll.BDP("97000RJS Muni","ID_CUSIP")</f>
        <v>#N/A Requesting Data...</v>
      </c>
      <c r="B2275" t="s">
        <v>537</v>
      </c>
      <c r="C2275" t="str">
        <f>_xll.BDP("97000RJS Muni","INSURANCE_STATUS")</f>
        <v>#N/A Requesting Data...</v>
      </c>
      <c r="D2275" t="str">
        <f>_xll.BDP("97000RJS Muni","STATE_CODE")</f>
        <v>#N/A Requesting Data...</v>
      </c>
      <c r="E2275" t="str">
        <f>_xll.BDP("97000RJS Muni","COUNTY_LOCATION_ISSUER")</f>
        <v>#N/A Requesting Data...</v>
      </c>
      <c r="F2275" t="str">
        <f>_xll.BDP("97000RJS Muni","DUR_ADJ_MID")</f>
        <v>#N/A Requesting Data...</v>
      </c>
      <c r="G2275" t="str">
        <f>_xll.BDP("97000RJS Muni","SPREAD_AT_ISSUANCE_TO_WORST")</f>
        <v>#N/A Requesting Data...</v>
      </c>
      <c r="H2275" t="str">
        <f>_xll.BDP("97000RJS Muni","ISSUE_DT")</f>
        <v>#N/A Requesting Data...</v>
      </c>
      <c r="I2275" t="str">
        <f>_xll.BDS("97000RJS Muni","MUNI_PURPOSE_SCHED", "aggregate=y")</f>
        <v>#N/A Requesting Data...</v>
      </c>
      <c r="J2275" t="str">
        <f>_xll.BDP("97000RJS Muni","CPN")</f>
        <v>#N/A Requesting Data...</v>
      </c>
      <c r="K2275" t="str">
        <f>_xll.BDP("97000RJS Muni","MATURITY")</f>
        <v>#N/A Requesting Data...</v>
      </c>
      <c r="L2275">
        <v>60000</v>
      </c>
      <c r="M2275" t="str">
        <f>_xll.BDP("97000RJS Muni","YIELD_ON_ISSUE_DATE")</f>
        <v>#N/A Requesting Data...</v>
      </c>
      <c r="N2275" t="str">
        <f>_xll.BDP("97000RJS Muni","YTW_SPREAD_TO_MATURITY_AT_ISSU")</f>
        <v>#N/A Requesting Data...</v>
      </c>
      <c r="O2275" t="str">
        <f>_xll.BDP("97000RJS Muni","BVAL_MID_YTM")</f>
        <v>#N/A Requesting Data...</v>
      </c>
      <c r="P2275" t="str">
        <f>_xll.BDP("97000RJS Muni","MUNI_TAX_PROV")</f>
        <v>#N/A Requesting Data...</v>
      </c>
      <c r="Q2275" t="str">
        <f>_xll.BDP("97000RJS Muni","MUNI_FED_TAX")</f>
        <v>#N/A Requesting Data...</v>
      </c>
      <c r="R2275" t="str">
        <f>_xll.BDP("97000RJS Muni","MUNI_MSRB_VOLUME")</f>
        <v>#N/A Requesting Data...</v>
      </c>
      <c r="S2275" t="str">
        <f>_xll.BDP("97000RJS Muni","BB_COMPOSITE")</f>
        <v>#N/A Requesting Data...</v>
      </c>
      <c r="T2275" t="str">
        <f>_xll.BDP("97000RJS Muni","LQA_LIQUIDITY_SCORE")</f>
        <v>#N/A Requesting Data...</v>
      </c>
    </row>
    <row r="2276" spans="1:20" x14ac:dyDescent="0.25">
      <c r="A2276" t="str">
        <f>_xll.BDP("97000RJU Muni","ID_CUSIP")</f>
        <v>#N/A Requesting Data...</v>
      </c>
      <c r="B2276" t="s">
        <v>537</v>
      </c>
      <c r="C2276" t="str">
        <f>_xll.BDP("97000RJU Muni","INSURANCE_STATUS")</f>
        <v>#N/A Requesting Data...</v>
      </c>
      <c r="D2276" t="str">
        <f>_xll.BDP("97000RJU Muni","STATE_CODE")</f>
        <v>#N/A Requesting Data...</v>
      </c>
      <c r="E2276" t="str">
        <f>_xll.BDP("97000RJU Muni","COUNTY_LOCATION_ISSUER")</f>
        <v>#N/A Requesting Data...</v>
      </c>
      <c r="F2276" t="str">
        <f>_xll.BDP("97000RJU Muni","DUR_ADJ_MID")</f>
        <v>#N/A Requesting Data...</v>
      </c>
      <c r="G2276" t="str">
        <f>_xll.BDP("97000RJU Muni","SPREAD_AT_ISSUANCE_TO_WORST")</f>
        <v>#N/A Requesting Data...</v>
      </c>
      <c r="H2276" t="str">
        <f>_xll.BDP("97000RJU Muni","ISSUE_DT")</f>
        <v>#N/A Requesting Data...</v>
      </c>
      <c r="I2276" t="str">
        <f>_xll.BDS("97000RJU Muni","MUNI_PURPOSE_SCHED", "aggregate=y")</f>
        <v>#N/A Requesting Data...</v>
      </c>
      <c r="J2276" t="str">
        <f>_xll.BDP("97000RJU Muni","CPN")</f>
        <v>#N/A Requesting Data...</v>
      </c>
      <c r="K2276" t="str">
        <f>_xll.BDP("97000RJU Muni","MATURITY")</f>
        <v>#N/A Requesting Data...</v>
      </c>
      <c r="L2276">
        <v>65000</v>
      </c>
      <c r="M2276" t="str">
        <f>_xll.BDP("97000RJU Muni","YIELD_ON_ISSUE_DATE")</f>
        <v>#N/A Requesting Data...</v>
      </c>
      <c r="N2276" t="str">
        <f>_xll.BDP("97000RJU Muni","YTW_SPREAD_TO_MATURITY_AT_ISSU")</f>
        <v>#N/A Requesting Data...</v>
      </c>
      <c r="O2276" t="str">
        <f>_xll.BDP("97000RJU Muni","BVAL_MID_YTM")</f>
        <v>#N/A Requesting Data...</v>
      </c>
      <c r="P2276" t="str">
        <f>_xll.BDP("97000RJU Muni","MUNI_TAX_PROV")</f>
        <v>#N/A Requesting Data...</v>
      </c>
      <c r="Q2276" t="str">
        <f>_xll.BDP("97000RJU Muni","MUNI_FED_TAX")</f>
        <v>#N/A Requesting Data...</v>
      </c>
      <c r="R2276" t="str">
        <f>_xll.BDP("97000RJU Muni","MUNI_MSRB_VOLUME")</f>
        <v>#N/A Requesting Data...</v>
      </c>
      <c r="S2276" t="str">
        <f>_xll.BDP("97000RJU Muni","BB_COMPOSITE")</f>
        <v>#N/A Requesting Data...</v>
      </c>
      <c r="T2276" t="str">
        <f>_xll.BDP("97000RJU Muni","LQA_LIQUIDITY_SCORE")</f>
        <v>#N/A Requesting Data...</v>
      </c>
    </row>
    <row r="2277" spans="1:20" x14ac:dyDescent="0.25">
      <c r="A2277" t="str">
        <f>_xll.BDP("92818MVH Muni","ID_CUSIP")</f>
        <v>#N/A Requesting Data...</v>
      </c>
      <c r="B2277" t="s">
        <v>538</v>
      </c>
      <c r="C2277" t="str">
        <f>_xll.BDP("92818MVH Muni","INSURANCE_STATUS")</f>
        <v>#N/A Requesting Data...</v>
      </c>
      <c r="D2277" t="str">
        <f>_xll.BDP("92818MVH Muni","STATE_CODE")</f>
        <v>#N/A Requesting Data...</v>
      </c>
      <c r="E2277" t="str">
        <f>_xll.BDP("92818MVH Muni","COUNTY_LOCATION_ISSUER")</f>
        <v>#N/A Requesting Data...</v>
      </c>
      <c r="F2277" t="str">
        <f>_xll.BDP("92818MVH Muni","DUR_ADJ_MID")</f>
        <v>#N/A Requesting Data...</v>
      </c>
      <c r="G2277" t="str">
        <f>_xll.BDP("92818MVH Muni","SPREAD_AT_ISSUANCE_TO_WORST")</f>
        <v>#N/A Requesting Data...</v>
      </c>
      <c r="H2277" t="str">
        <f>_xll.BDP("92818MVH Muni","ISSUE_DT")</f>
        <v>#N/A Requesting Data...</v>
      </c>
      <c r="I2277" t="str">
        <f>_xll.BDS("92818MVH Muni","MUNI_PURPOSE_SCHED", "aggregate=y")</f>
        <v>#N/A Requesting Data...</v>
      </c>
      <c r="J2277" t="str">
        <f>_xll.BDP("92818MVH Muni","CPN")</f>
        <v>#N/A Requesting Data...</v>
      </c>
      <c r="K2277" t="str">
        <f>_xll.BDP("92818MVH Muni","MATURITY")</f>
        <v>#N/A Requesting Data...</v>
      </c>
      <c r="L2277">
        <v>1330000</v>
      </c>
      <c r="M2277" t="str">
        <f>_xll.BDP("92818MVH Muni","YIELD_ON_ISSUE_DATE")</f>
        <v>#N/A Requesting Data...</v>
      </c>
      <c r="N2277" t="str">
        <f>_xll.BDP("92818MVH Muni","YTW_SPREAD_TO_MATURITY_AT_ISSU")</f>
        <v>#N/A Requesting Data...</v>
      </c>
      <c r="O2277" t="str">
        <f>_xll.BDP("92818MVH Muni","BVAL_MID_YTM")</f>
        <v>#N/A Requesting Data...</v>
      </c>
      <c r="P2277" t="str">
        <f>_xll.BDP("92818MVH Muni","MUNI_TAX_PROV")</f>
        <v>#N/A Requesting Data...</v>
      </c>
      <c r="Q2277" t="str">
        <f>_xll.BDP("92818MVH Muni","MUNI_FED_TAX")</f>
        <v>#N/A Requesting Data...</v>
      </c>
      <c r="R2277" t="str">
        <f>_xll.BDP("92818MVH Muni","MUNI_MSRB_VOLUME")</f>
        <v>#N/A Requesting Data...</v>
      </c>
      <c r="S2277" t="str">
        <f>_xll.BDP("92818MVH Muni","BB_COMPOSITE")</f>
        <v>#N/A Requesting Data...</v>
      </c>
      <c r="T2277" t="str">
        <f>_xll.BDP("92818MVH Muni","LQA_LIQUIDITY_SCORE")</f>
        <v>#N/A Requesting Data...</v>
      </c>
    </row>
    <row r="2278" spans="1:20" x14ac:dyDescent="0.25">
      <c r="A2278" t="str">
        <f>_xll.BDP("92818MVK Muni","ID_CUSIP")</f>
        <v>#N/A Requesting Data...</v>
      </c>
      <c r="B2278" t="s">
        <v>538</v>
      </c>
      <c r="C2278" t="str">
        <f>_xll.BDP("92818MVK Muni","INSURANCE_STATUS")</f>
        <v>#N/A Requesting Data...</v>
      </c>
      <c r="D2278" t="str">
        <f>_xll.BDP("92818MVK Muni","STATE_CODE")</f>
        <v>#N/A Requesting Data...</v>
      </c>
      <c r="E2278" t="str">
        <f>_xll.BDP("92818MVK Muni","COUNTY_LOCATION_ISSUER")</f>
        <v>#N/A Requesting Data...</v>
      </c>
      <c r="F2278" t="str">
        <f>_xll.BDP("92818MVK Muni","DUR_ADJ_MID")</f>
        <v>#N/A Requesting Data...</v>
      </c>
      <c r="G2278" t="str">
        <f>_xll.BDP("92818MVK Muni","SPREAD_AT_ISSUANCE_TO_WORST")</f>
        <v>#N/A Requesting Data...</v>
      </c>
      <c r="H2278" t="str">
        <f>_xll.BDP("92818MVK Muni","ISSUE_DT")</f>
        <v>#N/A Requesting Data...</v>
      </c>
      <c r="I2278" t="str">
        <f>_xll.BDS("92818MVK Muni","MUNI_PURPOSE_SCHED", "aggregate=y")</f>
        <v>#N/A Requesting Data...</v>
      </c>
      <c r="J2278" t="str">
        <f>_xll.BDP("92818MVK Muni","CPN")</f>
        <v>#N/A Requesting Data...</v>
      </c>
      <c r="K2278" t="str">
        <f>_xll.BDP("92818MVK Muni","MATURITY")</f>
        <v>#N/A Requesting Data...</v>
      </c>
      <c r="L2278">
        <v>1465000</v>
      </c>
      <c r="M2278" t="str">
        <f>_xll.BDP("92818MVK Muni","YIELD_ON_ISSUE_DATE")</f>
        <v>#N/A Requesting Data...</v>
      </c>
      <c r="N2278" t="str">
        <f>_xll.BDP("92818MVK Muni","YTW_SPREAD_TO_MATURITY_AT_ISSU")</f>
        <v>#N/A Requesting Data...</v>
      </c>
      <c r="O2278" t="str">
        <f>_xll.BDP("92818MVK Muni","BVAL_MID_YTM")</f>
        <v>#N/A Requesting Data...</v>
      </c>
      <c r="P2278" t="str">
        <f>_xll.BDP("92818MVK Muni","MUNI_TAX_PROV")</f>
        <v>#N/A Requesting Data...</v>
      </c>
      <c r="Q2278" t="str">
        <f>_xll.BDP("92818MVK Muni","MUNI_FED_TAX")</f>
        <v>#N/A Requesting Data...</v>
      </c>
      <c r="R2278" t="str">
        <f>_xll.BDP("92818MVK Muni","MUNI_MSRB_VOLUME")</f>
        <v>#N/A Requesting Data...</v>
      </c>
      <c r="S2278" t="str">
        <f>_xll.BDP("92818MVK Muni","BB_COMPOSITE")</f>
        <v>#N/A Requesting Data...</v>
      </c>
      <c r="T2278" t="str">
        <f>_xll.BDP("92818MVK Muni","LQA_LIQUIDITY_SCORE")</f>
        <v>#N/A Requesting Data...</v>
      </c>
    </row>
    <row r="2279" spans="1:20" x14ac:dyDescent="0.25">
      <c r="A2279" t="str">
        <f>_xll.BDP("92818MVL Muni","ID_CUSIP")</f>
        <v>#N/A Requesting Data...</v>
      </c>
      <c r="B2279" t="s">
        <v>538</v>
      </c>
      <c r="C2279" t="str">
        <f>_xll.BDP("92818MVL Muni","INSURANCE_STATUS")</f>
        <v>#N/A Requesting Data...</v>
      </c>
      <c r="D2279" t="str">
        <f>_xll.BDP("92818MVL Muni","STATE_CODE")</f>
        <v>#N/A Requesting Data...</v>
      </c>
      <c r="E2279" t="str">
        <f>_xll.BDP("92818MVL Muni","COUNTY_LOCATION_ISSUER")</f>
        <v>#N/A Requesting Data...</v>
      </c>
      <c r="F2279" t="str">
        <f>_xll.BDP("92818MVL Muni","DUR_ADJ_MID")</f>
        <v>#N/A Requesting Data...</v>
      </c>
      <c r="G2279" t="str">
        <f>_xll.BDP("92818MVL Muni","SPREAD_AT_ISSUANCE_TO_WORST")</f>
        <v>#N/A Requesting Data...</v>
      </c>
      <c r="H2279" t="str">
        <f>_xll.BDP("92818MVL Muni","ISSUE_DT")</f>
        <v>#N/A Requesting Data...</v>
      </c>
      <c r="I2279" t="str">
        <f>_xll.BDS("92818MVL Muni","MUNI_PURPOSE_SCHED", "aggregate=y")</f>
        <v>#N/A Requesting Data...</v>
      </c>
      <c r="J2279" t="str">
        <f>_xll.BDP("92818MVL Muni","CPN")</f>
        <v>#N/A Requesting Data...</v>
      </c>
      <c r="K2279" t="str">
        <f>_xll.BDP("92818MVL Muni","MATURITY")</f>
        <v>#N/A Requesting Data...</v>
      </c>
      <c r="L2279">
        <v>1545000</v>
      </c>
      <c r="M2279" t="str">
        <f>_xll.BDP("92818MVL Muni","YIELD_ON_ISSUE_DATE")</f>
        <v>#N/A Requesting Data...</v>
      </c>
      <c r="N2279" t="str">
        <f>_xll.BDP("92818MVL Muni","YTW_SPREAD_TO_MATURITY_AT_ISSU")</f>
        <v>#N/A Requesting Data...</v>
      </c>
      <c r="O2279" t="str">
        <f>_xll.BDP("92818MVL Muni","BVAL_MID_YTM")</f>
        <v>#N/A Requesting Data...</v>
      </c>
      <c r="P2279" t="str">
        <f>_xll.BDP("92818MVL Muni","MUNI_TAX_PROV")</f>
        <v>#N/A Requesting Data...</v>
      </c>
      <c r="Q2279" t="str">
        <f>_xll.BDP("92818MVL Muni","MUNI_FED_TAX")</f>
        <v>#N/A Requesting Data...</v>
      </c>
      <c r="R2279" t="str">
        <f>_xll.BDP("92818MVL Muni","MUNI_MSRB_VOLUME")</f>
        <v>#N/A Requesting Data...</v>
      </c>
      <c r="S2279" t="str">
        <f>_xll.BDP("92818MVL Muni","BB_COMPOSITE")</f>
        <v>#N/A Requesting Data...</v>
      </c>
      <c r="T2279" t="str">
        <f>_xll.BDP("92818MVL Muni","LQA_LIQUIDITY_SCORE")</f>
        <v>#N/A Requesting Data...</v>
      </c>
    </row>
    <row r="2280" spans="1:20" x14ac:dyDescent="0.25">
      <c r="A2280" t="str">
        <f>_xll.BDP("92818MVN Muni","ID_CUSIP")</f>
        <v>#N/A Requesting Data...</v>
      </c>
      <c r="B2280" t="s">
        <v>538</v>
      </c>
      <c r="C2280" t="str">
        <f>_xll.BDP("92818MVN Muni","INSURANCE_STATUS")</f>
        <v>#N/A Requesting Data...</v>
      </c>
      <c r="D2280" t="str">
        <f>_xll.BDP("92818MVN Muni","STATE_CODE")</f>
        <v>#N/A Requesting Data...</v>
      </c>
      <c r="E2280" t="str">
        <f>_xll.BDP("92818MVN Muni","COUNTY_LOCATION_ISSUER")</f>
        <v>#N/A Requesting Data...</v>
      </c>
      <c r="F2280" t="str">
        <f>_xll.BDP("92818MVN Muni","DUR_ADJ_MID")</f>
        <v>#N/A Requesting Data...</v>
      </c>
      <c r="G2280" t="str">
        <f>_xll.BDP("92818MVN Muni","SPREAD_AT_ISSUANCE_TO_WORST")</f>
        <v>#N/A Requesting Data...</v>
      </c>
      <c r="H2280" t="str">
        <f>_xll.BDP("92818MVN Muni","ISSUE_DT")</f>
        <v>#N/A Requesting Data...</v>
      </c>
      <c r="I2280" t="str">
        <f>_xll.BDS("92818MVN Muni","MUNI_PURPOSE_SCHED", "aggregate=y")</f>
        <v>#N/A Requesting Data...</v>
      </c>
      <c r="J2280" t="str">
        <f>_xll.BDP("92818MVN Muni","CPN")</f>
        <v>#N/A Requesting Data...</v>
      </c>
      <c r="K2280" t="str">
        <f>_xll.BDP("92818MVN Muni","MATURITY")</f>
        <v>#N/A Requesting Data...</v>
      </c>
      <c r="L2280">
        <v>1715000</v>
      </c>
      <c r="M2280" t="str">
        <f>_xll.BDP("92818MVN Muni","YIELD_ON_ISSUE_DATE")</f>
        <v>#N/A Requesting Data...</v>
      </c>
      <c r="N2280" t="str">
        <f>_xll.BDP("92818MVN Muni","YTW_SPREAD_TO_MATURITY_AT_ISSU")</f>
        <v>#N/A Requesting Data...</v>
      </c>
      <c r="O2280" t="str">
        <f>_xll.BDP("92818MVN Muni","BVAL_MID_YTM")</f>
        <v>#N/A Requesting Data...</v>
      </c>
      <c r="P2280" t="str">
        <f>_xll.BDP("92818MVN Muni","MUNI_TAX_PROV")</f>
        <v>#N/A Requesting Data...</v>
      </c>
      <c r="Q2280" t="str">
        <f>_xll.BDP("92818MVN Muni","MUNI_FED_TAX")</f>
        <v>#N/A Requesting Data...</v>
      </c>
      <c r="R2280" t="str">
        <f>_xll.BDP("92818MVN Muni","MUNI_MSRB_VOLUME")</f>
        <v>#N/A Requesting Data...</v>
      </c>
      <c r="S2280" t="str">
        <f>_xll.BDP("92818MVN Muni","BB_COMPOSITE")</f>
        <v>#N/A Requesting Data...</v>
      </c>
      <c r="T2280" t="str">
        <f>_xll.BDP("92818MVN Muni","LQA_LIQUIDITY_SCORE")</f>
        <v>#N/A Requesting Data...</v>
      </c>
    </row>
    <row r="2281" spans="1:20" x14ac:dyDescent="0.25">
      <c r="A2281" t="str">
        <f>_xll.BDP("97000VDE Muni","ID_CUSIP")</f>
        <v>#N/A Requesting Data...</v>
      </c>
      <c r="B2281" t="s">
        <v>539</v>
      </c>
      <c r="C2281" t="str">
        <f>_xll.BDP("97000VDE Muni","INSURANCE_STATUS")</f>
        <v>#N/A Requesting Data...</v>
      </c>
      <c r="D2281" t="str">
        <f>_xll.BDP("97000VDE Muni","STATE_CODE")</f>
        <v>#N/A Requesting Data...</v>
      </c>
      <c r="E2281" t="str">
        <f>_xll.BDP("97000VDE Muni","COUNTY_LOCATION_ISSUER")</f>
        <v>#N/A Requesting Data...</v>
      </c>
      <c r="F2281" t="str">
        <f>_xll.BDP("97000VDE Muni","DUR_ADJ_MID")</f>
        <v>#N/A Requesting Data...</v>
      </c>
      <c r="G2281" t="str">
        <f>_xll.BDP("97000VDE Muni","SPREAD_AT_ISSUANCE_TO_WORST")</f>
        <v>#N/A Requesting Data...</v>
      </c>
      <c r="H2281" t="str">
        <f>_xll.BDP("97000VDE Muni","ISSUE_DT")</f>
        <v>#N/A Requesting Data...</v>
      </c>
      <c r="I2281" t="str">
        <f>_xll.BDS("97000VDE Muni","MUNI_PURPOSE_SCHED", "aggregate=y")</f>
        <v>#N/A Requesting Data...</v>
      </c>
      <c r="J2281" t="str">
        <f>_xll.BDP("97000VDE Muni","CPN")</f>
        <v>#N/A Requesting Data...</v>
      </c>
      <c r="K2281" t="str">
        <f>_xll.BDP("97000VDE Muni","MATURITY")</f>
        <v>#N/A Requesting Data...</v>
      </c>
      <c r="L2281">
        <v>75000</v>
      </c>
      <c r="M2281" t="str">
        <f>_xll.BDP("97000VDE Muni","YIELD_ON_ISSUE_DATE")</f>
        <v>#N/A Requesting Data...</v>
      </c>
      <c r="N2281" t="str">
        <f>_xll.BDP("97000VDE Muni","YTW_SPREAD_TO_MATURITY_AT_ISSU")</f>
        <v>#N/A Requesting Data...</v>
      </c>
      <c r="O2281" t="str">
        <f>_xll.BDP("97000VDE Muni","BVAL_MID_YTM")</f>
        <v>#N/A Requesting Data...</v>
      </c>
      <c r="P2281" t="str">
        <f>_xll.BDP("97000VDE Muni","MUNI_TAX_PROV")</f>
        <v>#N/A Requesting Data...</v>
      </c>
      <c r="Q2281" t="str">
        <f>_xll.BDP("97000VDE Muni","MUNI_FED_TAX")</f>
        <v>#N/A Requesting Data...</v>
      </c>
      <c r="R2281" t="str">
        <f>_xll.BDP("97000VDE Muni","MUNI_MSRB_VOLUME")</f>
        <v>#N/A Requesting Data...</v>
      </c>
      <c r="S2281" t="str">
        <f>_xll.BDP("97000VDE Muni","BB_COMPOSITE")</f>
        <v>#N/A Requesting Data...</v>
      </c>
      <c r="T2281" t="str">
        <f>_xll.BDP("97000VDE Muni","LQA_LIQUIDITY_SCORE")</f>
        <v>#N/A Requesting Data...</v>
      </c>
    </row>
    <row r="2282" spans="1:20" x14ac:dyDescent="0.25">
      <c r="A2282" t="str">
        <f>_xll.BDP("92818MXP Muni","ID_CUSIP")</f>
        <v>#N/A Requesting Data...</v>
      </c>
      <c r="B2282" t="s">
        <v>538</v>
      </c>
      <c r="C2282" t="str">
        <f>_xll.BDP("92818MXP Muni","INSURANCE_STATUS")</f>
        <v>#N/A Requesting Data...</v>
      </c>
      <c r="D2282" t="str">
        <f>_xll.BDP("92818MXP Muni","STATE_CODE")</f>
        <v>#N/A Requesting Data...</v>
      </c>
      <c r="E2282" t="str">
        <f>_xll.BDP("92818MXP Muni","COUNTY_LOCATION_ISSUER")</f>
        <v>#N/A Requesting Data...</v>
      </c>
      <c r="F2282" t="str">
        <f>_xll.BDP("92818MXP Muni","DUR_ADJ_MID")</f>
        <v>#N/A Requesting Data...</v>
      </c>
      <c r="G2282" t="str">
        <f>_xll.BDP("92818MXP Muni","SPREAD_AT_ISSUANCE_TO_WORST")</f>
        <v>#N/A Requesting Data...</v>
      </c>
      <c r="H2282" t="str">
        <f>_xll.BDP("92818MXP Muni","ISSUE_DT")</f>
        <v>#N/A Requesting Data...</v>
      </c>
      <c r="I2282" t="str">
        <f>_xll.BDS("92818MXP Muni","MUNI_PURPOSE_SCHED", "aggregate=y")</f>
        <v>#N/A Requesting Data...</v>
      </c>
      <c r="J2282" t="str">
        <f>_xll.BDP("92818MXP Muni","CPN")</f>
        <v>#N/A Requesting Data...</v>
      </c>
      <c r="K2282" t="str">
        <f>_xll.BDP("92818MXP Muni","MATURITY")</f>
        <v>#N/A Requesting Data...</v>
      </c>
      <c r="L2282">
        <v>50000</v>
      </c>
      <c r="M2282" t="str">
        <f>_xll.BDP("92818MXP Muni","YIELD_ON_ISSUE_DATE")</f>
        <v>#N/A Requesting Data...</v>
      </c>
      <c r="N2282" t="str">
        <f>_xll.BDP("92818MXP Muni","YTW_SPREAD_TO_MATURITY_AT_ISSU")</f>
        <v>#N/A Requesting Data...</v>
      </c>
      <c r="O2282" t="str">
        <f>_xll.BDP("92818MXP Muni","BVAL_MID_YTM")</f>
        <v>#N/A Requesting Data...</v>
      </c>
      <c r="P2282" t="str">
        <f>_xll.BDP("92818MXP Muni","MUNI_TAX_PROV")</f>
        <v>#N/A Requesting Data...</v>
      </c>
      <c r="Q2282" t="str">
        <f>_xll.BDP("92818MXP Muni","MUNI_FED_TAX")</f>
        <v>#N/A Requesting Data...</v>
      </c>
      <c r="R2282" t="str">
        <f>_xll.BDP("92818MXP Muni","MUNI_MSRB_VOLUME")</f>
        <v>#N/A Requesting Data...</v>
      </c>
      <c r="S2282" t="str">
        <f>_xll.BDP("92818MXP Muni","BB_COMPOSITE")</f>
        <v>#N/A Requesting Data...</v>
      </c>
      <c r="T2282" t="str">
        <f>_xll.BDP("92818MXP Muni","LQA_LIQUIDITY_SCORE")</f>
        <v>#N/A Requesting Data...</v>
      </c>
    </row>
    <row r="2283" spans="1:20" x14ac:dyDescent="0.25">
      <c r="A2283" t="str">
        <f>_xll.BDP("92818MXR Muni","ID_CUSIP")</f>
        <v>#N/A Requesting Data...</v>
      </c>
      <c r="B2283" t="s">
        <v>538</v>
      </c>
      <c r="C2283" t="str">
        <f>_xll.BDP("92818MXR Muni","INSURANCE_STATUS")</f>
        <v>#N/A Requesting Data...</v>
      </c>
      <c r="D2283" t="str">
        <f>_xll.BDP("92818MXR Muni","STATE_CODE")</f>
        <v>#N/A Requesting Data...</v>
      </c>
      <c r="E2283" t="str">
        <f>_xll.BDP("92818MXR Muni","COUNTY_LOCATION_ISSUER")</f>
        <v>#N/A Requesting Data...</v>
      </c>
      <c r="F2283" t="str">
        <f>_xll.BDP("92818MXR Muni","DUR_ADJ_MID")</f>
        <v>#N/A Requesting Data...</v>
      </c>
      <c r="G2283" t="str">
        <f>_xll.BDP("92818MXR Muni","SPREAD_AT_ISSUANCE_TO_WORST")</f>
        <v>#N/A Requesting Data...</v>
      </c>
      <c r="H2283" t="str">
        <f>_xll.BDP("92818MXR Muni","ISSUE_DT")</f>
        <v>#N/A Requesting Data...</v>
      </c>
      <c r="I2283" t="str">
        <f>_xll.BDS("92818MXR Muni","MUNI_PURPOSE_SCHED", "aggregate=y")</f>
        <v>#N/A Requesting Data...</v>
      </c>
      <c r="J2283" t="str">
        <f>_xll.BDP("92818MXR Muni","CPN")</f>
        <v>#N/A Requesting Data...</v>
      </c>
      <c r="K2283" t="str">
        <f>_xll.BDP("92818MXR Muni","MATURITY")</f>
        <v>#N/A Requesting Data...</v>
      </c>
      <c r="L2283">
        <v>55000</v>
      </c>
      <c r="M2283" t="str">
        <f>_xll.BDP("92818MXR Muni","YIELD_ON_ISSUE_DATE")</f>
        <v>#N/A Requesting Data...</v>
      </c>
      <c r="N2283" t="str">
        <f>_xll.BDP("92818MXR Muni","YTW_SPREAD_TO_MATURITY_AT_ISSU")</f>
        <v>#N/A Requesting Data...</v>
      </c>
      <c r="O2283" t="str">
        <f>_xll.BDP("92818MXR Muni","BVAL_MID_YTM")</f>
        <v>#N/A Requesting Data...</v>
      </c>
      <c r="P2283" t="str">
        <f>_xll.BDP("92818MXR Muni","MUNI_TAX_PROV")</f>
        <v>#N/A Requesting Data...</v>
      </c>
      <c r="Q2283" t="str">
        <f>_xll.BDP("92818MXR Muni","MUNI_FED_TAX")</f>
        <v>#N/A Requesting Data...</v>
      </c>
      <c r="R2283" t="str">
        <f>_xll.BDP("92818MXR Muni","MUNI_MSRB_VOLUME")</f>
        <v>#N/A Requesting Data...</v>
      </c>
      <c r="S2283" t="str">
        <f>_xll.BDP("92818MXR Muni","BB_COMPOSITE")</f>
        <v>#N/A Requesting Data...</v>
      </c>
      <c r="T2283" t="str">
        <f>_xll.BDP("92818MXR Muni","LQA_LIQUIDITY_SCORE")</f>
        <v>#N/A Requesting Data...</v>
      </c>
    </row>
    <row r="2284" spans="1:20" x14ac:dyDescent="0.25">
      <c r="A2284" t="str">
        <f>_xll.BDP("92818MXT Muni","ID_CUSIP")</f>
        <v>#N/A Requesting Data...</v>
      </c>
      <c r="B2284" t="s">
        <v>538</v>
      </c>
      <c r="C2284" t="str">
        <f>_xll.BDP("92818MXT Muni","INSURANCE_STATUS")</f>
        <v>#N/A Requesting Data...</v>
      </c>
      <c r="D2284" t="str">
        <f>_xll.BDP("92818MXT Muni","STATE_CODE")</f>
        <v>#N/A Requesting Data...</v>
      </c>
      <c r="E2284" t="str">
        <f>_xll.BDP("92818MXT Muni","COUNTY_LOCATION_ISSUER")</f>
        <v>#N/A Requesting Data...</v>
      </c>
      <c r="F2284" t="str">
        <f>_xll.BDP("92818MXT Muni","DUR_ADJ_MID")</f>
        <v>#N/A Requesting Data...</v>
      </c>
      <c r="G2284" t="str">
        <f>_xll.BDP("92818MXT Muni","SPREAD_AT_ISSUANCE_TO_WORST")</f>
        <v>#N/A Requesting Data...</v>
      </c>
      <c r="H2284" t="str">
        <f>_xll.BDP("92818MXT Muni","ISSUE_DT")</f>
        <v>#N/A Requesting Data...</v>
      </c>
      <c r="I2284" t="str">
        <f>_xll.BDS("92818MXT Muni","MUNI_PURPOSE_SCHED", "aggregate=y")</f>
        <v>#N/A Requesting Data...</v>
      </c>
      <c r="J2284" t="str">
        <f>_xll.BDP("92818MXT Muni","CPN")</f>
        <v>#N/A Requesting Data...</v>
      </c>
      <c r="K2284" t="str">
        <f>_xll.BDP("92818MXT Muni","MATURITY")</f>
        <v>#N/A Requesting Data...</v>
      </c>
      <c r="L2284">
        <v>60000</v>
      </c>
      <c r="M2284" t="str">
        <f>_xll.BDP("92818MXT Muni","YIELD_ON_ISSUE_DATE")</f>
        <v>#N/A Requesting Data...</v>
      </c>
      <c r="N2284" t="str">
        <f>_xll.BDP("92818MXT Muni","YTW_SPREAD_TO_MATURITY_AT_ISSU")</f>
        <v>#N/A Requesting Data...</v>
      </c>
      <c r="O2284" t="str">
        <f>_xll.BDP("92818MXT Muni","BVAL_MID_YTM")</f>
        <v>#N/A Requesting Data...</v>
      </c>
      <c r="P2284" t="str">
        <f>_xll.BDP("92818MXT Muni","MUNI_TAX_PROV")</f>
        <v>#N/A Requesting Data...</v>
      </c>
      <c r="Q2284" t="str">
        <f>_xll.BDP("92818MXT Muni","MUNI_FED_TAX")</f>
        <v>#N/A Requesting Data...</v>
      </c>
      <c r="R2284" t="str">
        <f>_xll.BDP("92818MXT Muni","MUNI_MSRB_VOLUME")</f>
        <v>#N/A Requesting Data...</v>
      </c>
      <c r="S2284" t="str">
        <f>_xll.BDP("92818MXT Muni","BB_COMPOSITE")</f>
        <v>#N/A Requesting Data...</v>
      </c>
      <c r="T2284" t="str">
        <f>_xll.BDP("92818MXT Muni","LQA_LIQUIDITY_SCORE")</f>
        <v>#N/A Requesting Data...</v>
      </c>
    </row>
    <row r="2285" spans="1:20" x14ac:dyDescent="0.25">
      <c r="A2285" t="str">
        <f>_xll.BDP("92818MXV Muni","ID_CUSIP")</f>
        <v>#N/A Requesting Data...</v>
      </c>
      <c r="B2285" t="s">
        <v>538</v>
      </c>
      <c r="C2285" t="str">
        <f>_xll.BDP("92818MXV Muni","INSURANCE_STATUS")</f>
        <v>#N/A Requesting Data...</v>
      </c>
      <c r="D2285" t="str">
        <f>_xll.BDP("92818MXV Muni","STATE_CODE")</f>
        <v>#N/A Requesting Data...</v>
      </c>
      <c r="E2285" t="str">
        <f>_xll.BDP("92818MXV Muni","COUNTY_LOCATION_ISSUER")</f>
        <v>#N/A Requesting Data...</v>
      </c>
      <c r="F2285" t="str">
        <f>_xll.BDP("92818MXV Muni","DUR_ADJ_MID")</f>
        <v>#N/A Requesting Data...</v>
      </c>
      <c r="G2285" t="str">
        <f>_xll.BDP("92818MXV Muni","SPREAD_AT_ISSUANCE_TO_WORST")</f>
        <v>#N/A Requesting Data...</v>
      </c>
      <c r="H2285" t="str">
        <f>_xll.BDP("92818MXV Muni","ISSUE_DT")</f>
        <v>#N/A Requesting Data...</v>
      </c>
      <c r="I2285" t="str">
        <f>_xll.BDS("92818MXV Muni","MUNI_PURPOSE_SCHED", "aggregate=y")</f>
        <v>#N/A Requesting Data...</v>
      </c>
      <c r="J2285" t="str">
        <f>_xll.BDP("92818MXV Muni","CPN")</f>
        <v>#N/A Requesting Data...</v>
      </c>
      <c r="K2285" t="str">
        <f>_xll.BDP("92818MXV Muni","MATURITY")</f>
        <v>#N/A Requesting Data...</v>
      </c>
      <c r="L2285">
        <v>70000</v>
      </c>
      <c r="M2285" t="str">
        <f>_xll.BDP("92818MXV Muni","YIELD_ON_ISSUE_DATE")</f>
        <v>#N/A Requesting Data...</v>
      </c>
      <c r="N2285" t="str">
        <f>_xll.BDP("92818MXV Muni","YTW_SPREAD_TO_MATURITY_AT_ISSU")</f>
        <v>#N/A Requesting Data...</v>
      </c>
      <c r="O2285" t="str">
        <f>_xll.BDP("92818MXV Muni","BVAL_MID_YTM")</f>
        <v>#N/A Requesting Data...</v>
      </c>
      <c r="P2285" t="str">
        <f>_xll.BDP("92818MXV Muni","MUNI_TAX_PROV")</f>
        <v>#N/A Requesting Data...</v>
      </c>
      <c r="Q2285" t="str">
        <f>_xll.BDP("92818MXV Muni","MUNI_FED_TAX")</f>
        <v>#N/A Requesting Data...</v>
      </c>
      <c r="R2285" t="str">
        <f>_xll.BDP("92818MXV Muni","MUNI_MSRB_VOLUME")</f>
        <v>#N/A Requesting Data...</v>
      </c>
      <c r="S2285" t="str">
        <f>_xll.BDP("92818MXV Muni","BB_COMPOSITE")</f>
        <v>#N/A Requesting Data...</v>
      </c>
      <c r="T2285" t="str">
        <f>_xll.BDP("92818MXV Muni","LQA_LIQUIDITY_SCORE")</f>
        <v>#N/A Requesting Data...</v>
      </c>
    </row>
    <row r="2286" spans="1:20" x14ac:dyDescent="0.25">
      <c r="A2286" t="str">
        <f>_xll.BDP("92818MYK Muni","ID_CUSIP")</f>
        <v>#N/A Requesting Data...</v>
      </c>
      <c r="B2286" t="s">
        <v>538</v>
      </c>
      <c r="C2286" t="str">
        <f>_xll.BDP("92818MYK Muni","INSURANCE_STATUS")</f>
        <v>#N/A Requesting Data...</v>
      </c>
      <c r="D2286" t="str">
        <f>_xll.BDP("92818MYK Muni","STATE_CODE")</f>
        <v>#N/A Requesting Data...</v>
      </c>
      <c r="E2286" t="str">
        <f>_xll.BDP("92818MYK Muni","COUNTY_LOCATION_ISSUER")</f>
        <v>#N/A Requesting Data...</v>
      </c>
      <c r="F2286" t="str">
        <f>_xll.BDP("92818MYK Muni","DUR_ADJ_MID")</f>
        <v>#N/A Requesting Data...</v>
      </c>
      <c r="G2286" t="str">
        <f>_xll.BDP("92818MYK Muni","SPREAD_AT_ISSUANCE_TO_WORST")</f>
        <v>#N/A Requesting Data...</v>
      </c>
      <c r="H2286" t="str">
        <f>_xll.BDP("92818MYK Muni","ISSUE_DT")</f>
        <v>#N/A Requesting Data...</v>
      </c>
      <c r="I2286" t="str">
        <f>_xll.BDS("92818MYK Muni","MUNI_PURPOSE_SCHED", "aggregate=y")</f>
        <v>#N/A Requesting Data...</v>
      </c>
      <c r="J2286" t="str">
        <f>_xll.BDP("92818MYK Muni","CPN")</f>
        <v>#N/A Requesting Data...</v>
      </c>
      <c r="K2286" t="str">
        <f>_xll.BDP("92818MYK Muni","MATURITY")</f>
        <v>#N/A Requesting Data...</v>
      </c>
      <c r="L2286">
        <v>30000</v>
      </c>
      <c r="M2286" t="str">
        <f>_xll.BDP("92818MYK Muni","YIELD_ON_ISSUE_DATE")</f>
        <v>#N/A Requesting Data...</v>
      </c>
      <c r="N2286" t="str">
        <f>_xll.BDP("92818MYK Muni","YTW_SPREAD_TO_MATURITY_AT_ISSU")</f>
        <v>#N/A Requesting Data...</v>
      </c>
      <c r="O2286" t="str">
        <f>_xll.BDP("92818MYK Muni","BVAL_MID_YTM")</f>
        <v>#N/A Requesting Data...</v>
      </c>
      <c r="P2286" t="str">
        <f>_xll.BDP("92818MYK Muni","MUNI_TAX_PROV")</f>
        <v>#N/A Requesting Data...</v>
      </c>
      <c r="Q2286" t="str">
        <f>_xll.BDP("92818MYK Muni","MUNI_FED_TAX")</f>
        <v>#N/A Requesting Data...</v>
      </c>
      <c r="R2286" t="str">
        <f>_xll.BDP("92818MYK Muni","MUNI_MSRB_VOLUME")</f>
        <v>#N/A Requesting Data...</v>
      </c>
      <c r="S2286" t="str">
        <f>_xll.BDP("92818MYK Muni","BB_COMPOSITE")</f>
        <v>#N/A Requesting Data...</v>
      </c>
      <c r="T2286" t="str">
        <f>_xll.BDP("92818MYK Muni","LQA_LIQUIDITY_SCORE")</f>
        <v>#N/A Requesting Data...</v>
      </c>
    </row>
    <row r="2287" spans="1:20" x14ac:dyDescent="0.25">
      <c r="A2287" t="str">
        <f>_xll.BDP("92818MYL Muni","ID_CUSIP")</f>
        <v>#N/A Requesting Data...</v>
      </c>
      <c r="B2287" t="s">
        <v>538</v>
      </c>
      <c r="C2287" t="str">
        <f>_xll.BDP("92818MYL Muni","INSURANCE_STATUS")</f>
        <v>#N/A Requesting Data...</v>
      </c>
      <c r="D2287" t="str">
        <f>_xll.BDP("92818MYL Muni","STATE_CODE")</f>
        <v>#N/A Requesting Data...</v>
      </c>
      <c r="E2287" t="str">
        <f>_xll.BDP("92818MYL Muni","COUNTY_LOCATION_ISSUER")</f>
        <v>#N/A Requesting Data...</v>
      </c>
      <c r="F2287" t="str">
        <f>_xll.BDP("92818MYL Muni","DUR_ADJ_MID")</f>
        <v>#N/A Requesting Data...</v>
      </c>
      <c r="G2287" t="str">
        <f>_xll.BDP("92818MYL Muni","SPREAD_AT_ISSUANCE_TO_WORST")</f>
        <v>#N/A Requesting Data...</v>
      </c>
      <c r="H2287" t="str">
        <f>_xll.BDP("92818MYL Muni","ISSUE_DT")</f>
        <v>#N/A Requesting Data...</v>
      </c>
      <c r="I2287" t="str">
        <f>_xll.BDS("92818MYL Muni","MUNI_PURPOSE_SCHED", "aggregate=y")</f>
        <v>#N/A Requesting Data...</v>
      </c>
      <c r="J2287" t="str">
        <f>_xll.BDP("92818MYL Muni","CPN")</f>
        <v>#N/A Requesting Data...</v>
      </c>
      <c r="K2287" t="str">
        <f>_xll.BDP("92818MYL Muni","MATURITY")</f>
        <v>#N/A Requesting Data...</v>
      </c>
      <c r="L2287">
        <v>25000</v>
      </c>
      <c r="M2287" t="str">
        <f>_xll.BDP("92818MYL Muni","YIELD_ON_ISSUE_DATE")</f>
        <v>#N/A Requesting Data...</v>
      </c>
      <c r="N2287" t="str">
        <f>_xll.BDP("92818MYL Muni","YTW_SPREAD_TO_MATURITY_AT_ISSU")</f>
        <v>#N/A Requesting Data...</v>
      </c>
      <c r="O2287" t="str">
        <f>_xll.BDP("92818MYL Muni","BVAL_MID_YTM")</f>
        <v>#N/A Requesting Data...</v>
      </c>
      <c r="P2287" t="str">
        <f>_xll.BDP("92818MYL Muni","MUNI_TAX_PROV")</f>
        <v>#N/A Requesting Data...</v>
      </c>
      <c r="Q2287" t="str">
        <f>_xll.BDP("92818MYL Muni","MUNI_FED_TAX")</f>
        <v>#N/A Requesting Data...</v>
      </c>
      <c r="R2287" t="str">
        <f>_xll.BDP("92818MYL Muni","MUNI_MSRB_VOLUME")</f>
        <v>#N/A Requesting Data...</v>
      </c>
      <c r="S2287" t="str">
        <f>_xll.BDP("92818MYL Muni","BB_COMPOSITE")</f>
        <v>#N/A Requesting Data...</v>
      </c>
      <c r="T2287" t="str">
        <f>_xll.BDP("92818MYL Muni","LQA_LIQUIDITY_SCORE")</f>
        <v>#N/A Requesting Data...</v>
      </c>
    </row>
    <row r="2288" spans="1:20" x14ac:dyDescent="0.25">
      <c r="A2288" t="str">
        <f>_xll.BDP("92818MYN Muni","ID_CUSIP")</f>
        <v>#N/A Requesting Data...</v>
      </c>
      <c r="B2288" t="s">
        <v>538</v>
      </c>
      <c r="C2288" t="str">
        <f>_xll.BDP("92818MYN Muni","INSURANCE_STATUS")</f>
        <v>#N/A Requesting Data...</v>
      </c>
      <c r="D2288" t="str">
        <f>_xll.BDP("92818MYN Muni","STATE_CODE")</f>
        <v>#N/A Requesting Data...</v>
      </c>
      <c r="E2288" t="str">
        <f>_xll.BDP("92818MYN Muni","COUNTY_LOCATION_ISSUER")</f>
        <v>#N/A Requesting Data...</v>
      </c>
      <c r="F2288" t="str">
        <f>_xll.BDP("92818MYN Muni","DUR_ADJ_MID")</f>
        <v>#N/A Requesting Data...</v>
      </c>
      <c r="G2288" t="str">
        <f>_xll.BDP("92818MYN Muni","SPREAD_AT_ISSUANCE_TO_WORST")</f>
        <v>#N/A Requesting Data...</v>
      </c>
      <c r="H2288" t="str">
        <f>_xll.BDP("92818MYN Muni","ISSUE_DT")</f>
        <v>#N/A Requesting Data...</v>
      </c>
      <c r="I2288" t="str">
        <f>_xll.BDS("92818MYN Muni","MUNI_PURPOSE_SCHED", "aggregate=y")</f>
        <v>#N/A Requesting Data...</v>
      </c>
      <c r="J2288" t="str">
        <f>_xll.BDP("92818MYN Muni","CPN")</f>
        <v>#N/A Requesting Data...</v>
      </c>
      <c r="K2288" t="str">
        <f>_xll.BDP("92818MYN Muni","MATURITY")</f>
        <v>#N/A Requesting Data...</v>
      </c>
      <c r="L2288">
        <v>25000</v>
      </c>
      <c r="M2288" t="str">
        <f>_xll.BDP("92818MYN Muni","YIELD_ON_ISSUE_DATE")</f>
        <v>#N/A Requesting Data...</v>
      </c>
      <c r="N2288" t="str">
        <f>_xll.BDP("92818MYN Muni","YTW_SPREAD_TO_MATURITY_AT_ISSU")</f>
        <v>#N/A Requesting Data...</v>
      </c>
      <c r="O2288" t="str">
        <f>_xll.BDP("92818MYN Muni","BVAL_MID_YTM")</f>
        <v>#N/A Requesting Data...</v>
      </c>
      <c r="P2288" t="str">
        <f>_xll.BDP("92818MYN Muni","MUNI_TAX_PROV")</f>
        <v>#N/A Requesting Data...</v>
      </c>
      <c r="Q2288" t="str">
        <f>_xll.BDP("92818MYN Muni","MUNI_FED_TAX")</f>
        <v>#N/A Requesting Data...</v>
      </c>
      <c r="R2288" t="str">
        <f>_xll.BDP("92818MYN Muni","MUNI_MSRB_VOLUME")</f>
        <v>#N/A Requesting Data...</v>
      </c>
      <c r="S2288" t="str">
        <f>_xll.BDP("92818MYN Muni","BB_COMPOSITE")</f>
        <v>#N/A Requesting Data...</v>
      </c>
      <c r="T2288" t="str">
        <f>_xll.BDP("92818MYN Muni","LQA_LIQUIDITY_SCORE")</f>
        <v>#N/A Requesting Data...</v>
      </c>
    </row>
    <row r="2289" spans="1:20" x14ac:dyDescent="0.25">
      <c r="A2289" t="str">
        <f>_xll.BDP("92818MYQ Muni","ID_CUSIP")</f>
        <v>#N/A Requesting Data...</v>
      </c>
      <c r="B2289" t="s">
        <v>538</v>
      </c>
      <c r="C2289" t="str">
        <f>_xll.BDP("92818MYQ Muni","INSURANCE_STATUS")</f>
        <v>#N/A Requesting Data...</v>
      </c>
      <c r="D2289" t="str">
        <f>_xll.BDP("92818MYQ Muni","STATE_CODE")</f>
        <v>#N/A Requesting Data...</v>
      </c>
      <c r="E2289" t="str">
        <f>_xll.BDP("92818MYQ Muni","COUNTY_LOCATION_ISSUER")</f>
        <v>#N/A Requesting Data...</v>
      </c>
      <c r="F2289" t="str">
        <f>_xll.BDP("92818MYQ Muni","DUR_ADJ_MID")</f>
        <v>#N/A Requesting Data...</v>
      </c>
      <c r="G2289" t="str">
        <f>_xll.BDP("92818MYQ Muni","SPREAD_AT_ISSUANCE_TO_WORST")</f>
        <v>#N/A Requesting Data...</v>
      </c>
      <c r="H2289" t="str">
        <f>_xll.BDP("92818MYQ Muni","ISSUE_DT")</f>
        <v>#N/A Requesting Data...</v>
      </c>
      <c r="I2289" t="str">
        <f>_xll.BDS("92818MYQ Muni","MUNI_PURPOSE_SCHED", "aggregate=y")</f>
        <v>#N/A Requesting Data...</v>
      </c>
      <c r="J2289" t="str">
        <f>_xll.BDP("92818MYQ Muni","CPN")</f>
        <v>#N/A Requesting Data...</v>
      </c>
      <c r="K2289" t="str">
        <f>_xll.BDP("92818MYQ Muni","MATURITY")</f>
        <v>#N/A Requesting Data...</v>
      </c>
      <c r="L2289">
        <v>25000</v>
      </c>
      <c r="M2289" t="str">
        <f>_xll.BDP("92818MYQ Muni","YIELD_ON_ISSUE_DATE")</f>
        <v>#N/A Requesting Data...</v>
      </c>
      <c r="N2289" t="str">
        <f>_xll.BDP("92818MYQ Muni","YTW_SPREAD_TO_MATURITY_AT_ISSU")</f>
        <v>#N/A Requesting Data...</v>
      </c>
      <c r="O2289" t="str">
        <f>_xll.BDP("92818MYQ Muni","BVAL_MID_YTM")</f>
        <v>#N/A Requesting Data...</v>
      </c>
      <c r="P2289" t="str">
        <f>_xll.BDP("92818MYQ Muni","MUNI_TAX_PROV")</f>
        <v>#N/A Requesting Data...</v>
      </c>
      <c r="Q2289" t="str">
        <f>_xll.BDP("92818MYQ Muni","MUNI_FED_TAX")</f>
        <v>#N/A Requesting Data...</v>
      </c>
      <c r="R2289" t="str">
        <f>_xll.BDP("92818MYQ Muni","MUNI_MSRB_VOLUME")</f>
        <v>#N/A Requesting Data...</v>
      </c>
      <c r="S2289" t="str">
        <f>_xll.BDP("92818MYQ Muni","BB_COMPOSITE")</f>
        <v>#N/A Requesting Data...</v>
      </c>
      <c r="T2289" t="str">
        <f>_xll.BDP("92818MYQ Muni","LQA_LIQUIDITY_SCORE")</f>
        <v>#N/A Requesting Data...</v>
      </c>
    </row>
    <row r="2290" spans="1:20" x14ac:dyDescent="0.25">
      <c r="A2290" t="str">
        <f>_xll.BDP("97000WEK Muni","ID_CUSIP")</f>
        <v>#N/A Requesting Data...</v>
      </c>
      <c r="B2290" t="s">
        <v>540</v>
      </c>
      <c r="C2290" t="str">
        <f>_xll.BDP("97000WEK Muni","INSURANCE_STATUS")</f>
        <v>#N/A Requesting Data...</v>
      </c>
      <c r="D2290" t="str">
        <f>_xll.BDP("97000WEK Muni","STATE_CODE")</f>
        <v>#N/A Requesting Data...</v>
      </c>
      <c r="E2290" t="str">
        <f>_xll.BDP("97000WEK Muni","COUNTY_LOCATION_ISSUER")</f>
        <v>#N/A Requesting Data...</v>
      </c>
      <c r="F2290" t="str">
        <f>_xll.BDP("97000WEK Muni","DUR_ADJ_MID")</f>
        <v>#N/A Requesting Data...</v>
      </c>
      <c r="G2290" t="str">
        <f>_xll.BDP("97000WEK Muni","SPREAD_AT_ISSUANCE_TO_WORST")</f>
        <v>#N/A Requesting Data...</v>
      </c>
      <c r="H2290" t="str">
        <f>_xll.BDP("97000WEK Muni","ISSUE_DT")</f>
        <v>#N/A Requesting Data...</v>
      </c>
      <c r="I2290" t="str">
        <f>_xll.BDS("97000WEK Muni","MUNI_PURPOSE_SCHED", "aggregate=y")</f>
        <v>#N/A Requesting Data...</v>
      </c>
      <c r="J2290" t="str">
        <f>_xll.BDP("97000WEK Muni","CPN")</f>
        <v>#N/A Requesting Data...</v>
      </c>
      <c r="K2290" t="str">
        <f>_xll.BDP("97000WEK Muni","MATURITY")</f>
        <v>#N/A Requesting Data...</v>
      </c>
      <c r="L2290">
        <v>245000</v>
      </c>
      <c r="M2290" t="str">
        <f>_xll.BDP("97000WEK Muni","YIELD_ON_ISSUE_DATE")</f>
        <v>#N/A Requesting Data...</v>
      </c>
      <c r="N2290" t="str">
        <f>_xll.BDP("97000WEK Muni","YTW_SPREAD_TO_MATURITY_AT_ISSU")</f>
        <v>#N/A Requesting Data...</v>
      </c>
      <c r="O2290" t="str">
        <f>_xll.BDP("97000WEK Muni","BVAL_MID_YTM")</f>
        <v>#N/A Requesting Data...</v>
      </c>
      <c r="P2290" t="str">
        <f>_xll.BDP("97000WEK Muni","MUNI_TAX_PROV")</f>
        <v>#N/A Requesting Data...</v>
      </c>
      <c r="Q2290" t="str">
        <f>_xll.BDP("97000WEK Muni","MUNI_FED_TAX")</f>
        <v>#N/A Requesting Data...</v>
      </c>
      <c r="R2290" t="str">
        <f>_xll.BDP("97000WEK Muni","MUNI_MSRB_VOLUME")</f>
        <v>#N/A Requesting Data...</v>
      </c>
      <c r="S2290" t="str">
        <f>_xll.BDP("97000WEK Muni","BB_COMPOSITE")</f>
        <v>#N/A Requesting Data...</v>
      </c>
      <c r="T2290" t="str">
        <f>_xll.BDP("97000WEK Muni","LQA_LIQUIDITY_SCORE")</f>
        <v>#N/A Requesting Data...</v>
      </c>
    </row>
    <row r="2291" spans="1:20" x14ac:dyDescent="0.25">
      <c r="A2291" t="str">
        <f>_xll.BDP("97001LDR Muni","ID_CUSIP")</f>
        <v>#N/A Requesting Data...</v>
      </c>
      <c r="B2291" t="s">
        <v>541</v>
      </c>
      <c r="C2291" t="str">
        <f>_xll.BDP("97001LDR Muni","INSURANCE_STATUS")</f>
        <v>#N/A Requesting Data...</v>
      </c>
      <c r="D2291" t="str">
        <f>_xll.BDP("97001LDR Muni","STATE_CODE")</f>
        <v>#N/A Requesting Data...</v>
      </c>
      <c r="E2291" t="str">
        <f>_xll.BDP("97001LDR Muni","COUNTY_LOCATION_ISSUER")</f>
        <v>#N/A Requesting Data...</v>
      </c>
      <c r="F2291" t="str">
        <f>_xll.BDP("97001LDR Muni","DUR_ADJ_MID")</f>
        <v>#N/A Requesting Data...</v>
      </c>
      <c r="G2291" t="str">
        <f>_xll.BDP("97001LDR Muni","SPREAD_AT_ISSUANCE_TO_WORST")</f>
        <v>#N/A Requesting Data...</v>
      </c>
      <c r="H2291" t="str">
        <f>_xll.BDP("97001LDR Muni","ISSUE_DT")</f>
        <v>#N/A Requesting Data...</v>
      </c>
      <c r="I2291" t="str">
        <f>_xll.BDS("97001LDR Muni","MUNI_PURPOSE_SCHED", "aggregate=y")</f>
        <v>#N/A Requesting Data...</v>
      </c>
      <c r="J2291" t="str">
        <f>_xll.BDP("97001LDR Muni","CPN")</f>
        <v>#N/A Requesting Data...</v>
      </c>
      <c r="K2291" t="str">
        <f>_xll.BDP("97001LDR Muni","MATURITY")</f>
        <v>#N/A Requesting Data...</v>
      </c>
      <c r="L2291">
        <v>45000</v>
      </c>
      <c r="M2291" t="str">
        <f>_xll.BDP("97001LDR Muni","YIELD_ON_ISSUE_DATE")</f>
        <v>#N/A Requesting Data...</v>
      </c>
      <c r="N2291" t="str">
        <f>_xll.BDP("97001LDR Muni","YTW_SPREAD_TO_MATURITY_AT_ISSU")</f>
        <v>#N/A Requesting Data...</v>
      </c>
      <c r="O2291" t="str">
        <f>_xll.BDP("97001LDR Muni","BVAL_MID_YTM")</f>
        <v>#N/A Requesting Data...</v>
      </c>
      <c r="P2291" t="str">
        <f>_xll.BDP("97001LDR Muni","MUNI_TAX_PROV")</f>
        <v>#N/A Requesting Data...</v>
      </c>
      <c r="Q2291" t="str">
        <f>_xll.BDP("97001LDR Muni","MUNI_FED_TAX")</f>
        <v>#N/A Requesting Data...</v>
      </c>
      <c r="R2291" t="str">
        <f>_xll.BDP("97001LDR Muni","MUNI_MSRB_VOLUME")</f>
        <v>#N/A Requesting Data...</v>
      </c>
      <c r="S2291" t="str">
        <f>_xll.BDP("97001LDR Muni","BB_COMPOSITE")</f>
        <v>#N/A Requesting Data...</v>
      </c>
      <c r="T2291" t="str">
        <f>_xll.BDP("97001LDR Muni","LQA_LIQUIDITY_SCORE")</f>
        <v>#N/A Requesting Data...</v>
      </c>
    </row>
    <row r="2292" spans="1:20" x14ac:dyDescent="0.25">
      <c r="A2292" t="str">
        <f>_xll.BDP("97001LEV Muni","ID_CUSIP")</f>
        <v>#N/A Requesting Data...</v>
      </c>
      <c r="B2292" t="s">
        <v>541</v>
      </c>
      <c r="C2292" t="str">
        <f>_xll.BDP("97001LEV Muni","INSURANCE_STATUS")</f>
        <v>#N/A Requesting Data...</v>
      </c>
      <c r="D2292" t="str">
        <f>_xll.BDP("97001LEV Muni","STATE_CODE")</f>
        <v>#N/A Requesting Data...</v>
      </c>
      <c r="E2292" t="str">
        <f>_xll.BDP("97001LEV Muni","COUNTY_LOCATION_ISSUER")</f>
        <v>#N/A Requesting Data...</v>
      </c>
      <c r="F2292" t="str">
        <f>_xll.BDP("97001LEV Muni","DUR_ADJ_MID")</f>
        <v>#N/A Requesting Data...</v>
      </c>
      <c r="G2292" t="str">
        <f>_xll.BDP("97001LEV Muni","SPREAD_AT_ISSUANCE_TO_WORST")</f>
        <v>#N/A Requesting Data...</v>
      </c>
      <c r="H2292" t="str">
        <f>_xll.BDP("97001LEV Muni","ISSUE_DT")</f>
        <v>#N/A Requesting Data...</v>
      </c>
      <c r="I2292" t="str">
        <f>_xll.BDS("97001LEV Muni","MUNI_PURPOSE_SCHED", "aggregate=y")</f>
        <v>#N/A Requesting Data...</v>
      </c>
      <c r="J2292" t="str">
        <f>_xll.BDP("97001LEV Muni","CPN")</f>
        <v>#N/A Requesting Data...</v>
      </c>
      <c r="K2292" t="str">
        <f>_xll.BDP("97001LEV Muni","MATURITY")</f>
        <v>#N/A Requesting Data...</v>
      </c>
      <c r="L2292">
        <v>150000</v>
      </c>
      <c r="M2292" t="str">
        <f>_xll.BDP("97001LEV Muni","YIELD_ON_ISSUE_DATE")</f>
        <v>#N/A Requesting Data...</v>
      </c>
      <c r="N2292" t="str">
        <f>_xll.BDP("97001LEV Muni","YTW_SPREAD_TO_MATURITY_AT_ISSU")</f>
        <v>#N/A Requesting Data...</v>
      </c>
      <c r="O2292" t="str">
        <f>_xll.BDP("97001LEV Muni","BVAL_MID_YTM")</f>
        <v>#N/A Requesting Data...</v>
      </c>
      <c r="P2292" t="str">
        <f>_xll.BDP("97001LEV Muni","MUNI_TAX_PROV")</f>
        <v>#N/A Requesting Data...</v>
      </c>
      <c r="Q2292" t="str">
        <f>_xll.BDP("97001LEV Muni","MUNI_FED_TAX")</f>
        <v>#N/A Requesting Data...</v>
      </c>
      <c r="R2292" t="str">
        <f>_xll.BDP("97001LEV Muni","MUNI_MSRB_VOLUME")</f>
        <v>#N/A Requesting Data...</v>
      </c>
      <c r="S2292" t="str">
        <f>_xll.BDP("97001LEV Muni","BB_COMPOSITE")</f>
        <v>#N/A Requesting Data...</v>
      </c>
      <c r="T2292" t="str">
        <f>_xll.BDP("97001LEV Muni","LQA_LIQUIDITY_SCORE")</f>
        <v>#N/A Requesting Data...</v>
      </c>
    </row>
    <row r="2293" spans="1:20" x14ac:dyDescent="0.25">
      <c r="A2293" t="str">
        <f>_xll.BDP("97001LEX Muni","ID_CUSIP")</f>
        <v>#N/A Requesting Data...</v>
      </c>
      <c r="B2293" t="s">
        <v>541</v>
      </c>
      <c r="C2293" t="str">
        <f>_xll.BDP("97001LEX Muni","INSURANCE_STATUS")</f>
        <v>#N/A Requesting Data...</v>
      </c>
      <c r="D2293" t="str">
        <f>_xll.BDP("97001LEX Muni","STATE_CODE")</f>
        <v>#N/A Requesting Data...</v>
      </c>
      <c r="E2293" t="str">
        <f>_xll.BDP("97001LEX Muni","COUNTY_LOCATION_ISSUER")</f>
        <v>#N/A Requesting Data...</v>
      </c>
      <c r="F2293" t="str">
        <f>_xll.BDP("97001LEX Muni","DUR_ADJ_MID")</f>
        <v>#N/A Requesting Data...</v>
      </c>
      <c r="G2293" t="str">
        <f>_xll.BDP("97001LEX Muni","SPREAD_AT_ISSUANCE_TO_WORST")</f>
        <v>#N/A Requesting Data...</v>
      </c>
      <c r="H2293" t="str">
        <f>_xll.BDP("97001LEX Muni","ISSUE_DT")</f>
        <v>#N/A Requesting Data...</v>
      </c>
      <c r="I2293" t="str">
        <f>_xll.BDS("97001LEX Muni","MUNI_PURPOSE_SCHED", "aggregate=y")</f>
        <v>#N/A Requesting Data...</v>
      </c>
      <c r="J2293" t="str">
        <f>_xll.BDP("97001LEX Muni","CPN")</f>
        <v>#N/A Requesting Data...</v>
      </c>
      <c r="K2293" t="str">
        <f>_xll.BDP("97001LEX Muni","MATURITY")</f>
        <v>#N/A Requesting Data...</v>
      </c>
      <c r="L2293">
        <v>160000</v>
      </c>
      <c r="M2293" t="str">
        <f>_xll.BDP("97001LEX Muni","YIELD_ON_ISSUE_DATE")</f>
        <v>#N/A Requesting Data...</v>
      </c>
      <c r="N2293" t="str">
        <f>_xll.BDP("97001LEX Muni","YTW_SPREAD_TO_MATURITY_AT_ISSU")</f>
        <v>#N/A Requesting Data...</v>
      </c>
      <c r="O2293" t="str">
        <f>_xll.BDP("97001LEX Muni","BVAL_MID_YTM")</f>
        <v>#N/A Requesting Data...</v>
      </c>
      <c r="P2293" t="str">
        <f>_xll.BDP("97001LEX Muni","MUNI_TAX_PROV")</f>
        <v>#N/A Requesting Data...</v>
      </c>
      <c r="Q2293" t="str">
        <f>_xll.BDP("97001LEX Muni","MUNI_FED_TAX")</f>
        <v>#N/A Requesting Data...</v>
      </c>
      <c r="R2293" t="str">
        <f>_xll.BDP("97001LEX Muni","MUNI_MSRB_VOLUME")</f>
        <v>#N/A Requesting Data...</v>
      </c>
      <c r="S2293" t="str">
        <f>_xll.BDP("97001LEX Muni","BB_COMPOSITE")</f>
        <v>#N/A Requesting Data...</v>
      </c>
      <c r="T2293" t="str">
        <f>_xll.BDP("97001LEX Muni","LQA_LIQUIDITY_SCORE")</f>
        <v>#N/A Requesting Data...</v>
      </c>
    </row>
    <row r="2294" spans="1:20" x14ac:dyDescent="0.25">
      <c r="A2294" t="str">
        <f>_xll.BDP("92823PHA Muni","ID_CUSIP")</f>
        <v>#N/A Requesting Data...</v>
      </c>
      <c r="B2294" t="s">
        <v>542</v>
      </c>
      <c r="C2294" t="str">
        <f>_xll.BDP("92823PHA Muni","INSURANCE_STATUS")</f>
        <v>#N/A Requesting Data...</v>
      </c>
      <c r="D2294" t="str">
        <f>_xll.BDP("92823PHA Muni","STATE_CODE")</f>
        <v>#N/A Requesting Data...</v>
      </c>
      <c r="E2294" t="str">
        <f>_xll.BDP("92823PHA Muni","COUNTY_LOCATION_ISSUER")</f>
        <v>#N/A Requesting Data...</v>
      </c>
      <c r="F2294" t="str">
        <f>_xll.BDP("92823PHA Muni","DUR_ADJ_MID")</f>
        <v>#N/A Requesting Data...</v>
      </c>
      <c r="G2294" t="str">
        <f>_xll.BDP("92823PHA Muni","SPREAD_AT_ISSUANCE_TO_WORST")</f>
        <v>#N/A Requesting Data...</v>
      </c>
      <c r="H2294" t="str">
        <f>_xll.BDP("92823PHA Muni","ISSUE_DT")</f>
        <v>#N/A Requesting Data...</v>
      </c>
      <c r="I2294" t="str">
        <f>_xll.BDS("92823PHA Muni","MUNI_PURPOSE_SCHED", "aggregate=y")</f>
        <v>#N/A Requesting Data...</v>
      </c>
      <c r="J2294" t="str">
        <f>_xll.BDP("92823PHA Muni","CPN")</f>
        <v>#N/A Requesting Data...</v>
      </c>
      <c r="K2294" t="str">
        <f>_xll.BDP("92823PHA Muni","MATURITY")</f>
        <v>#N/A Requesting Data...</v>
      </c>
      <c r="L2294">
        <v>395000</v>
      </c>
      <c r="M2294" t="str">
        <f>_xll.BDP("92823PHA Muni","YIELD_ON_ISSUE_DATE")</f>
        <v>#N/A Requesting Data...</v>
      </c>
      <c r="N2294" t="str">
        <f>_xll.BDP("92823PHA Muni","YTW_SPREAD_TO_MATURITY_AT_ISSU")</f>
        <v>#N/A Requesting Data...</v>
      </c>
      <c r="O2294" t="str">
        <f>_xll.BDP("92823PHA Muni","BVAL_MID_YTM")</f>
        <v>#N/A Requesting Data...</v>
      </c>
      <c r="P2294" t="str">
        <f>_xll.BDP("92823PHA Muni","MUNI_TAX_PROV")</f>
        <v>#N/A Requesting Data...</v>
      </c>
      <c r="Q2294" t="str">
        <f>_xll.BDP("92823PHA Muni","MUNI_FED_TAX")</f>
        <v>#N/A Requesting Data...</v>
      </c>
      <c r="R2294" t="str">
        <f>_xll.BDP("92823PHA Muni","MUNI_MSRB_VOLUME")</f>
        <v>#N/A Requesting Data...</v>
      </c>
      <c r="S2294" t="str">
        <f>_xll.BDP("92823PHA Muni","BB_COMPOSITE")</f>
        <v>#N/A Requesting Data...</v>
      </c>
      <c r="T2294" t="str">
        <f>_xll.BDP("92823PHA Muni","LQA_LIQUIDITY_SCORE")</f>
        <v>#N/A Requesting Data...</v>
      </c>
    </row>
    <row r="2295" spans="1:20" x14ac:dyDescent="0.25">
      <c r="A2295" t="str">
        <f>_xll.BDP("970735JA Muni","ID_CUSIP")</f>
        <v>#N/A Requesting Data...</v>
      </c>
      <c r="B2295" t="s">
        <v>543</v>
      </c>
      <c r="C2295" t="str">
        <f>_xll.BDP("970735JA Muni","INSURANCE_STATUS")</f>
        <v>#N/A Requesting Data...</v>
      </c>
      <c r="D2295" t="str">
        <f>_xll.BDP("970735JA Muni","STATE_CODE")</f>
        <v>#N/A Requesting Data...</v>
      </c>
      <c r="E2295" t="str">
        <f>_xll.BDP("970735JA Muni","COUNTY_LOCATION_ISSUER")</f>
        <v>#N/A Requesting Data...</v>
      </c>
      <c r="F2295" t="str">
        <f>_xll.BDP("970735JA Muni","DUR_ADJ_MID")</f>
        <v>#N/A Requesting Data...</v>
      </c>
      <c r="G2295" t="str">
        <f>_xll.BDP("970735JA Muni","SPREAD_AT_ISSUANCE_TO_WORST")</f>
        <v>#N/A Requesting Data...</v>
      </c>
      <c r="H2295" t="str">
        <f>_xll.BDP("970735JA Muni","ISSUE_DT")</f>
        <v>#N/A Requesting Data...</v>
      </c>
      <c r="I2295" t="str">
        <f>_xll.BDS("970735JA Muni","MUNI_PURPOSE_SCHED", "aggregate=y")</f>
        <v>#N/A Requesting Data...</v>
      </c>
      <c r="J2295" t="str">
        <f>_xll.BDP("970735JA Muni","CPN")</f>
        <v>#N/A Requesting Data...</v>
      </c>
      <c r="K2295" t="str">
        <f>_xll.BDP("970735JA Muni","MATURITY")</f>
        <v>#N/A Requesting Data...</v>
      </c>
      <c r="L2295">
        <v>285000</v>
      </c>
      <c r="M2295" t="str">
        <f>_xll.BDP("970735JA Muni","YIELD_ON_ISSUE_DATE")</f>
        <v>#N/A Requesting Data...</v>
      </c>
      <c r="N2295" t="str">
        <f>_xll.BDP("970735JA Muni","YTW_SPREAD_TO_MATURITY_AT_ISSU")</f>
        <v>#N/A Requesting Data...</v>
      </c>
      <c r="O2295" t="str">
        <f>_xll.BDP("970735JA Muni","BVAL_MID_YTM")</f>
        <v>#N/A Requesting Data...</v>
      </c>
      <c r="P2295" t="str">
        <f>_xll.BDP("970735JA Muni","MUNI_TAX_PROV")</f>
        <v>#N/A Requesting Data...</v>
      </c>
      <c r="Q2295" t="str">
        <f>_xll.BDP("970735JA Muni","MUNI_FED_TAX")</f>
        <v>#N/A Requesting Data...</v>
      </c>
      <c r="R2295" t="str">
        <f>_xll.BDP("970735JA Muni","MUNI_MSRB_VOLUME")</f>
        <v>#N/A Requesting Data...</v>
      </c>
      <c r="S2295" t="str">
        <f>_xll.BDP("970735JA Muni","BB_COMPOSITE")</f>
        <v>#N/A Requesting Data...</v>
      </c>
      <c r="T2295" t="str">
        <f>_xll.BDP("970735JA Muni","LQA_LIQUIDITY_SCORE")</f>
        <v>#N/A Requesting Data...</v>
      </c>
    </row>
    <row r="2296" spans="1:20" x14ac:dyDescent="0.25">
      <c r="A2296" t="str">
        <f>_xll.BDP("970735JB Muni","ID_CUSIP")</f>
        <v>#N/A Requesting Data...</v>
      </c>
      <c r="B2296" t="s">
        <v>543</v>
      </c>
      <c r="C2296" t="str">
        <f>_xll.BDP("970735JB Muni","INSURANCE_STATUS")</f>
        <v>#N/A Requesting Data...</v>
      </c>
      <c r="D2296" t="str">
        <f>_xll.BDP("970735JB Muni","STATE_CODE")</f>
        <v>#N/A Requesting Data...</v>
      </c>
      <c r="E2296" t="str">
        <f>_xll.BDP("970735JB Muni","COUNTY_LOCATION_ISSUER")</f>
        <v>#N/A Requesting Data...</v>
      </c>
      <c r="F2296" t="str">
        <f>_xll.BDP("970735JB Muni","DUR_ADJ_MID")</f>
        <v>#N/A Requesting Data...</v>
      </c>
      <c r="G2296" t="str">
        <f>_xll.BDP("970735JB Muni","SPREAD_AT_ISSUANCE_TO_WORST")</f>
        <v>#N/A Requesting Data...</v>
      </c>
      <c r="H2296" t="str">
        <f>_xll.BDP("970735JB Muni","ISSUE_DT")</f>
        <v>#N/A Requesting Data...</v>
      </c>
      <c r="I2296" t="str">
        <f>_xll.BDS("970735JB Muni","MUNI_PURPOSE_SCHED", "aggregate=y")</f>
        <v>#N/A Requesting Data...</v>
      </c>
      <c r="J2296" t="str">
        <f>_xll.BDP("970735JB Muni","CPN")</f>
        <v>#N/A Requesting Data...</v>
      </c>
      <c r="K2296" t="str">
        <f>_xll.BDP("970735JB Muni","MATURITY")</f>
        <v>#N/A Requesting Data...</v>
      </c>
      <c r="L2296">
        <v>290000</v>
      </c>
      <c r="M2296" t="str">
        <f>_xll.BDP("970735JB Muni","YIELD_ON_ISSUE_DATE")</f>
        <v>#N/A Requesting Data...</v>
      </c>
      <c r="N2296" t="str">
        <f>_xll.BDP("970735JB Muni","YTW_SPREAD_TO_MATURITY_AT_ISSU")</f>
        <v>#N/A Requesting Data...</v>
      </c>
      <c r="O2296" t="str">
        <f>_xll.BDP("970735JB Muni","BVAL_MID_YTM")</f>
        <v>#N/A Requesting Data...</v>
      </c>
      <c r="P2296" t="str">
        <f>_xll.BDP("970735JB Muni","MUNI_TAX_PROV")</f>
        <v>#N/A Requesting Data...</v>
      </c>
      <c r="Q2296" t="str">
        <f>_xll.BDP("970735JB Muni","MUNI_FED_TAX")</f>
        <v>#N/A Requesting Data...</v>
      </c>
      <c r="R2296" t="str">
        <f>_xll.BDP("970735JB Muni","MUNI_MSRB_VOLUME")</f>
        <v>#N/A Requesting Data...</v>
      </c>
      <c r="S2296" t="str">
        <f>_xll.BDP("970735JB Muni","BB_COMPOSITE")</f>
        <v>#N/A Requesting Data...</v>
      </c>
      <c r="T2296" t="str">
        <f>_xll.BDP("970735JB Muni","LQA_LIQUIDITY_SCORE")</f>
        <v>#N/A Requesting Data...</v>
      </c>
    </row>
    <row r="2297" spans="1:20" x14ac:dyDescent="0.25">
      <c r="A2297" t="str">
        <f>_xll.BDP("930013ZT Muni","ID_CUSIP")</f>
        <v>#N/A Requesting Data...</v>
      </c>
      <c r="B2297" t="s">
        <v>544</v>
      </c>
      <c r="C2297" t="str">
        <f>_xll.BDP("930013ZT Muni","INSURANCE_STATUS")</f>
        <v>#N/A Requesting Data...</v>
      </c>
      <c r="D2297" t="str">
        <f>_xll.BDP("930013ZT Muni","STATE_CODE")</f>
        <v>#N/A Requesting Data...</v>
      </c>
      <c r="E2297" t="str">
        <f>_xll.BDP("930013ZT Muni","COUNTY_LOCATION_ISSUER")</f>
        <v>#N/A Requesting Data...</v>
      </c>
      <c r="F2297" t="str">
        <f>_xll.BDP("930013ZT Muni","DUR_ADJ_MID")</f>
        <v>#N/A Requesting Data...</v>
      </c>
      <c r="G2297" t="str">
        <f>_xll.BDP("930013ZT Muni","SPREAD_AT_ISSUANCE_TO_WORST")</f>
        <v>#N/A Requesting Data...</v>
      </c>
      <c r="H2297" t="str">
        <f>_xll.BDP("930013ZT Muni","ISSUE_DT")</f>
        <v>#N/A Requesting Data...</v>
      </c>
      <c r="I2297" t="str">
        <f>_xll.BDS("930013ZT Muni","MUNI_PURPOSE_SCHED", "aggregate=y")</f>
        <v>#N/A Requesting Data...</v>
      </c>
      <c r="J2297" t="str">
        <f>_xll.BDP("930013ZT Muni","CPN")</f>
        <v>#N/A Requesting Data...</v>
      </c>
      <c r="K2297" t="str">
        <f>_xll.BDP("930013ZT Muni","MATURITY")</f>
        <v>#N/A Requesting Data...</v>
      </c>
      <c r="L2297">
        <v>140000</v>
      </c>
      <c r="M2297" t="str">
        <f>_xll.BDP("930013ZT Muni","YIELD_ON_ISSUE_DATE")</f>
        <v>#N/A Requesting Data...</v>
      </c>
      <c r="N2297" t="str">
        <f>_xll.BDP("930013ZT Muni","YTW_SPREAD_TO_MATURITY_AT_ISSU")</f>
        <v>#N/A Requesting Data...</v>
      </c>
      <c r="O2297" t="str">
        <f>_xll.BDP("930013ZT Muni","BVAL_MID_YTM")</f>
        <v>#N/A Requesting Data...</v>
      </c>
      <c r="P2297" t="str">
        <f>_xll.BDP("930013ZT Muni","MUNI_TAX_PROV")</f>
        <v>#N/A Requesting Data...</v>
      </c>
      <c r="Q2297" t="str">
        <f>_xll.BDP("930013ZT Muni","MUNI_FED_TAX")</f>
        <v>#N/A Requesting Data...</v>
      </c>
      <c r="R2297" t="str">
        <f>_xll.BDP("930013ZT Muni","MUNI_MSRB_VOLUME")</f>
        <v>#N/A Requesting Data...</v>
      </c>
      <c r="S2297" t="str">
        <f>_xll.BDP("930013ZT Muni","BB_COMPOSITE")</f>
        <v>#N/A Requesting Data...</v>
      </c>
      <c r="T2297" t="str">
        <f>_xll.BDP("930013ZT Muni","LQA_LIQUIDITY_SCORE")</f>
        <v>#N/A Requesting Data...</v>
      </c>
    </row>
    <row r="2298" spans="1:20" x14ac:dyDescent="0.25">
      <c r="A2298" t="str">
        <f>_xll.BDP("930013ZU Muni","ID_CUSIP")</f>
        <v>#N/A Requesting Data...</v>
      </c>
      <c r="B2298" t="s">
        <v>544</v>
      </c>
      <c r="C2298" t="str">
        <f>_xll.BDP("930013ZU Muni","INSURANCE_STATUS")</f>
        <v>#N/A Requesting Data...</v>
      </c>
      <c r="D2298" t="str">
        <f>_xll.BDP("930013ZU Muni","STATE_CODE")</f>
        <v>#N/A Requesting Data...</v>
      </c>
      <c r="E2298" t="str">
        <f>_xll.BDP("930013ZU Muni","COUNTY_LOCATION_ISSUER")</f>
        <v>#N/A Requesting Data...</v>
      </c>
      <c r="F2298" t="str">
        <f>_xll.BDP("930013ZU Muni","DUR_ADJ_MID")</f>
        <v>#N/A Requesting Data...</v>
      </c>
      <c r="G2298" t="str">
        <f>_xll.BDP("930013ZU Muni","SPREAD_AT_ISSUANCE_TO_WORST")</f>
        <v>#N/A Requesting Data...</v>
      </c>
      <c r="H2298" t="str">
        <f>_xll.BDP("930013ZU Muni","ISSUE_DT")</f>
        <v>#N/A Requesting Data...</v>
      </c>
      <c r="I2298" t="str">
        <f>_xll.BDS("930013ZU Muni","MUNI_PURPOSE_SCHED", "aggregate=y")</f>
        <v>#N/A Requesting Data...</v>
      </c>
      <c r="J2298" t="str">
        <f>_xll.BDP("930013ZU Muni","CPN")</f>
        <v>#N/A Requesting Data...</v>
      </c>
      <c r="K2298" t="str">
        <f>_xll.BDP("930013ZU Muni","MATURITY")</f>
        <v>#N/A Requesting Data...</v>
      </c>
      <c r="L2298">
        <v>145000</v>
      </c>
      <c r="M2298" t="str">
        <f>_xll.BDP("930013ZU Muni","YIELD_ON_ISSUE_DATE")</f>
        <v>#N/A Requesting Data...</v>
      </c>
      <c r="N2298" t="str">
        <f>_xll.BDP("930013ZU Muni","YTW_SPREAD_TO_MATURITY_AT_ISSU")</f>
        <v>#N/A Requesting Data...</v>
      </c>
      <c r="O2298" t="str">
        <f>_xll.BDP("930013ZU Muni","BVAL_MID_YTM")</f>
        <v>#N/A Requesting Data...</v>
      </c>
      <c r="P2298" t="str">
        <f>_xll.BDP("930013ZU Muni","MUNI_TAX_PROV")</f>
        <v>#N/A Requesting Data...</v>
      </c>
      <c r="Q2298" t="str">
        <f>_xll.BDP("930013ZU Muni","MUNI_FED_TAX")</f>
        <v>#N/A Requesting Data...</v>
      </c>
      <c r="R2298" t="str">
        <f>_xll.BDP("930013ZU Muni","MUNI_MSRB_VOLUME")</f>
        <v>#N/A Requesting Data...</v>
      </c>
      <c r="S2298" t="str">
        <f>_xll.BDP("930013ZU Muni","BB_COMPOSITE")</f>
        <v>#N/A Requesting Data...</v>
      </c>
      <c r="T2298" t="str">
        <f>_xll.BDP("930013ZU Muni","LQA_LIQUIDITY_SCORE")</f>
        <v>#N/A Requesting Data...</v>
      </c>
    </row>
    <row r="2299" spans="1:20" x14ac:dyDescent="0.25">
      <c r="A2299" t="str">
        <f>_xll.BDP("930013ZV Muni","ID_CUSIP")</f>
        <v>#N/A Requesting Data...</v>
      </c>
      <c r="B2299" t="s">
        <v>544</v>
      </c>
      <c r="C2299" t="str">
        <f>_xll.BDP("930013ZV Muni","INSURANCE_STATUS")</f>
        <v>#N/A Requesting Data...</v>
      </c>
      <c r="D2299" t="str">
        <f>_xll.BDP("930013ZV Muni","STATE_CODE")</f>
        <v>#N/A Requesting Data...</v>
      </c>
      <c r="E2299" t="str">
        <f>_xll.BDP("930013ZV Muni","COUNTY_LOCATION_ISSUER")</f>
        <v>#N/A Requesting Data...</v>
      </c>
      <c r="F2299" t="str">
        <f>_xll.BDP("930013ZV Muni","DUR_ADJ_MID")</f>
        <v>#N/A Requesting Data...</v>
      </c>
      <c r="G2299" t="str">
        <f>_xll.BDP("930013ZV Muni","SPREAD_AT_ISSUANCE_TO_WORST")</f>
        <v>#N/A Requesting Data...</v>
      </c>
      <c r="H2299" t="str">
        <f>_xll.BDP("930013ZV Muni","ISSUE_DT")</f>
        <v>#N/A Requesting Data...</v>
      </c>
      <c r="I2299" t="str">
        <f>_xll.BDS("930013ZV Muni","MUNI_PURPOSE_SCHED", "aggregate=y")</f>
        <v>#N/A Requesting Data...</v>
      </c>
      <c r="J2299" t="str">
        <f>_xll.BDP("930013ZV Muni","CPN")</f>
        <v>#N/A Requesting Data...</v>
      </c>
      <c r="K2299" t="str">
        <f>_xll.BDP("930013ZV Muni","MATURITY")</f>
        <v>#N/A Requesting Data...</v>
      </c>
      <c r="L2299">
        <v>150000</v>
      </c>
      <c r="M2299" t="str">
        <f>_xll.BDP("930013ZV Muni","YIELD_ON_ISSUE_DATE")</f>
        <v>#N/A Requesting Data...</v>
      </c>
      <c r="N2299" t="str">
        <f>_xll.BDP("930013ZV Muni","YTW_SPREAD_TO_MATURITY_AT_ISSU")</f>
        <v>#N/A Requesting Data...</v>
      </c>
      <c r="O2299" t="str">
        <f>_xll.BDP("930013ZV Muni","BVAL_MID_YTM")</f>
        <v>#N/A Requesting Data...</v>
      </c>
      <c r="P2299" t="str">
        <f>_xll.BDP("930013ZV Muni","MUNI_TAX_PROV")</f>
        <v>#N/A Requesting Data...</v>
      </c>
      <c r="Q2299" t="str">
        <f>_xll.BDP("930013ZV Muni","MUNI_FED_TAX")</f>
        <v>#N/A Requesting Data...</v>
      </c>
      <c r="R2299" t="str">
        <f>_xll.BDP("930013ZV Muni","MUNI_MSRB_VOLUME")</f>
        <v>#N/A Requesting Data...</v>
      </c>
      <c r="S2299" t="str">
        <f>_xll.BDP("930013ZV Muni","BB_COMPOSITE")</f>
        <v>#N/A Requesting Data...</v>
      </c>
      <c r="T2299" t="str">
        <f>_xll.BDP("930013ZV Muni","LQA_LIQUIDITY_SCORE")</f>
        <v>#N/A Requesting Data...</v>
      </c>
    </row>
    <row r="2300" spans="1:20" x14ac:dyDescent="0.25">
      <c r="A2300" t="str">
        <f>_xll.BDP("930013ZW Muni","ID_CUSIP")</f>
        <v>#N/A Requesting Data...</v>
      </c>
      <c r="B2300" t="s">
        <v>544</v>
      </c>
      <c r="C2300" t="str">
        <f>_xll.BDP("930013ZW Muni","INSURANCE_STATUS")</f>
        <v>#N/A Requesting Data...</v>
      </c>
      <c r="D2300" t="str">
        <f>_xll.BDP("930013ZW Muni","STATE_CODE")</f>
        <v>#N/A Requesting Data...</v>
      </c>
      <c r="E2300" t="str">
        <f>_xll.BDP("930013ZW Muni","COUNTY_LOCATION_ISSUER")</f>
        <v>#N/A Requesting Data...</v>
      </c>
      <c r="F2300" t="str">
        <f>_xll.BDP("930013ZW Muni","DUR_ADJ_MID")</f>
        <v>#N/A Requesting Data...</v>
      </c>
      <c r="G2300" t="str">
        <f>_xll.BDP("930013ZW Muni","SPREAD_AT_ISSUANCE_TO_WORST")</f>
        <v>#N/A Requesting Data...</v>
      </c>
      <c r="H2300" t="str">
        <f>_xll.BDP("930013ZW Muni","ISSUE_DT")</f>
        <v>#N/A Requesting Data...</v>
      </c>
      <c r="I2300" t="str">
        <f>_xll.BDS("930013ZW Muni","MUNI_PURPOSE_SCHED", "aggregate=y")</f>
        <v>#N/A Requesting Data...</v>
      </c>
      <c r="J2300" t="str">
        <f>_xll.BDP("930013ZW Muni","CPN")</f>
        <v>#N/A Requesting Data...</v>
      </c>
      <c r="K2300" t="str">
        <f>_xll.BDP("930013ZW Muni","MATURITY")</f>
        <v>#N/A Requesting Data...</v>
      </c>
      <c r="L2300">
        <v>155000</v>
      </c>
      <c r="M2300" t="str">
        <f>_xll.BDP("930013ZW Muni","YIELD_ON_ISSUE_DATE")</f>
        <v>#N/A Requesting Data...</v>
      </c>
      <c r="N2300" t="str">
        <f>_xll.BDP("930013ZW Muni","YTW_SPREAD_TO_MATURITY_AT_ISSU")</f>
        <v>#N/A Requesting Data...</v>
      </c>
      <c r="O2300" t="str">
        <f>_xll.BDP("930013ZW Muni","BVAL_MID_YTM")</f>
        <v>#N/A Requesting Data...</v>
      </c>
      <c r="P2300" t="str">
        <f>_xll.BDP("930013ZW Muni","MUNI_TAX_PROV")</f>
        <v>#N/A Requesting Data...</v>
      </c>
      <c r="Q2300" t="str">
        <f>_xll.BDP("930013ZW Muni","MUNI_FED_TAX")</f>
        <v>#N/A Requesting Data...</v>
      </c>
      <c r="R2300" t="str">
        <f>_xll.BDP("930013ZW Muni","MUNI_MSRB_VOLUME")</f>
        <v>#N/A Requesting Data...</v>
      </c>
      <c r="S2300" t="str">
        <f>_xll.BDP("930013ZW Muni","BB_COMPOSITE")</f>
        <v>#N/A Requesting Data...</v>
      </c>
      <c r="T2300" t="str">
        <f>_xll.BDP("930013ZW Muni","LQA_LIQUIDITY_SCORE")</f>
        <v>#N/A Requesting Data...</v>
      </c>
    </row>
    <row r="2301" spans="1:20" x14ac:dyDescent="0.25">
      <c r="A2301" t="str">
        <f>_xll.BDP("931472AE Muni","ID_CUSIP")</f>
        <v>#N/A Requesting Data...</v>
      </c>
      <c r="B2301" t="s">
        <v>545</v>
      </c>
      <c r="C2301" t="str">
        <f>_xll.BDP("931472AE Muni","INSURANCE_STATUS")</f>
        <v>#N/A Requesting Data...</v>
      </c>
      <c r="D2301" t="str">
        <f>_xll.BDP("931472AE Muni","STATE_CODE")</f>
        <v>#N/A Requesting Data...</v>
      </c>
      <c r="E2301" t="str">
        <f>_xll.BDP("931472AE Muni","COUNTY_LOCATION_ISSUER")</f>
        <v>#N/A Requesting Data...</v>
      </c>
      <c r="F2301" t="str">
        <f>_xll.BDP("931472AE Muni","DUR_ADJ_MID")</f>
        <v>#N/A Requesting Data...</v>
      </c>
      <c r="G2301" t="str">
        <f>_xll.BDP("931472AE Muni","SPREAD_AT_ISSUANCE_TO_WORST")</f>
        <v>#N/A Requesting Data...</v>
      </c>
      <c r="H2301" t="str">
        <f>_xll.BDP("931472AE Muni","ISSUE_DT")</f>
        <v>#N/A Requesting Data...</v>
      </c>
      <c r="I2301" t="str">
        <f>_xll.BDS("931472AE Muni","MUNI_PURPOSE_SCHED", "aggregate=y")</f>
        <v>#N/A Requesting Data...</v>
      </c>
      <c r="J2301" t="str">
        <f>_xll.BDP("931472AE Muni","CPN")</f>
        <v>#N/A Requesting Data...</v>
      </c>
      <c r="K2301" t="str">
        <f>_xll.BDP("931472AE Muni","MATURITY")</f>
        <v>#N/A Requesting Data...</v>
      </c>
      <c r="L2301">
        <v>395000</v>
      </c>
      <c r="M2301" t="str">
        <f>_xll.BDP("931472AE Muni","YIELD_ON_ISSUE_DATE")</f>
        <v>#N/A Requesting Data...</v>
      </c>
      <c r="N2301" t="str">
        <f>_xll.BDP("931472AE Muni","YTW_SPREAD_TO_MATURITY_AT_ISSU")</f>
        <v>#N/A Requesting Data...</v>
      </c>
      <c r="O2301" t="str">
        <f>_xll.BDP("931472AE Muni","BVAL_MID_YTM")</f>
        <v>#N/A Requesting Data...</v>
      </c>
      <c r="P2301" t="str">
        <f>_xll.BDP("931472AE Muni","MUNI_TAX_PROV")</f>
        <v>#N/A Requesting Data...</v>
      </c>
      <c r="Q2301" t="str">
        <f>_xll.BDP("931472AE Muni","MUNI_FED_TAX")</f>
        <v>#N/A Requesting Data...</v>
      </c>
      <c r="R2301" t="str">
        <f>_xll.BDP("931472AE Muni","MUNI_MSRB_VOLUME")</f>
        <v>#N/A Requesting Data...</v>
      </c>
      <c r="S2301" t="str">
        <f>_xll.BDP("931472AE Muni","BB_COMPOSITE")</f>
        <v>#N/A Requesting Data...</v>
      </c>
      <c r="T2301" t="str">
        <f>_xll.BDP("931472AE Muni","LQA_LIQUIDITY_SCORE")</f>
        <v>#N/A Requesting Data...</v>
      </c>
    </row>
    <row r="2302" spans="1:20" x14ac:dyDescent="0.25">
      <c r="A2302" t="str">
        <f>_xll.BDP("931472AF Muni","ID_CUSIP")</f>
        <v>#N/A Requesting Data...</v>
      </c>
      <c r="B2302" t="s">
        <v>545</v>
      </c>
      <c r="C2302" t="str">
        <f>_xll.BDP("931472AF Muni","INSURANCE_STATUS")</f>
        <v>#N/A Requesting Data...</v>
      </c>
      <c r="D2302" t="str">
        <f>_xll.BDP("931472AF Muni","STATE_CODE")</f>
        <v>#N/A Requesting Data...</v>
      </c>
      <c r="E2302" t="str">
        <f>_xll.BDP("931472AF Muni","COUNTY_LOCATION_ISSUER")</f>
        <v>#N/A Requesting Data...</v>
      </c>
      <c r="F2302" t="str">
        <f>_xll.BDP("931472AF Muni","DUR_ADJ_MID")</f>
        <v>#N/A Requesting Data...</v>
      </c>
      <c r="G2302" t="str">
        <f>_xll.BDP("931472AF Muni","SPREAD_AT_ISSUANCE_TO_WORST")</f>
        <v>#N/A Requesting Data...</v>
      </c>
      <c r="H2302" t="str">
        <f>_xll.BDP("931472AF Muni","ISSUE_DT")</f>
        <v>#N/A Requesting Data...</v>
      </c>
      <c r="I2302" t="str">
        <f>_xll.BDS("931472AF Muni","MUNI_PURPOSE_SCHED", "aggregate=y")</f>
        <v>#N/A Requesting Data...</v>
      </c>
      <c r="J2302" t="str">
        <f>_xll.BDP("931472AF Muni","CPN")</f>
        <v>#N/A Requesting Data...</v>
      </c>
      <c r="K2302" t="str">
        <f>_xll.BDP("931472AF Muni","MATURITY")</f>
        <v>#N/A Requesting Data...</v>
      </c>
      <c r="L2302">
        <v>410000</v>
      </c>
      <c r="M2302" t="str">
        <f>_xll.BDP("931472AF Muni","YIELD_ON_ISSUE_DATE")</f>
        <v>#N/A Requesting Data...</v>
      </c>
      <c r="N2302" t="str">
        <f>_xll.BDP("931472AF Muni","YTW_SPREAD_TO_MATURITY_AT_ISSU")</f>
        <v>#N/A Requesting Data...</v>
      </c>
      <c r="O2302" t="str">
        <f>_xll.BDP("931472AF Muni","BVAL_MID_YTM")</f>
        <v>#N/A Requesting Data...</v>
      </c>
      <c r="P2302" t="str">
        <f>_xll.BDP("931472AF Muni","MUNI_TAX_PROV")</f>
        <v>#N/A Requesting Data...</v>
      </c>
      <c r="Q2302" t="str">
        <f>_xll.BDP("931472AF Muni","MUNI_FED_TAX")</f>
        <v>#N/A Requesting Data...</v>
      </c>
      <c r="R2302" t="str">
        <f>_xll.BDP("931472AF Muni","MUNI_MSRB_VOLUME")</f>
        <v>#N/A Requesting Data...</v>
      </c>
      <c r="S2302" t="str">
        <f>_xll.BDP("931472AF Muni","BB_COMPOSITE")</f>
        <v>#N/A Requesting Data...</v>
      </c>
      <c r="T2302" t="str">
        <f>_xll.BDP("931472AF Muni","LQA_LIQUIDITY_SCORE")</f>
        <v>#N/A Requesting Data...</v>
      </c>
    </row>
    <row r="2303" spans="1:20" x14ac:dyDescent="0.25">
      <c r="A2303" t="str">
        <f>_xll.BDP("931472AG Muni","ID_CUSIP")</f>
        <v>#N/A Requesting Data...</v>
      </c>
      <c r="B2303" t="s">
        <v>545</v>
      </c>
      <c r="C2303" t="str">
        <f>_xll.BDP("931472AG Muni","INSURANCE_STATUS")</f>
        <v>#N/A Requesting Data...</v>
      </c>
      <c r="D2303" t="str">
        <f>_xll.BDP("931472AG Muni","STATE_CODE")</f>
        <v>#N/A Requesting Data...</v>
      </c>
      <c r="E2303" t="str">
        <f>_xll.BDP("931472AG Muni","COUNTY_LOCATION_ISSUER")</f>
        <v>#N/A Requesting Data...</v>
      </c>
      <c r="F2303" t="str">
        <f>_xll.BDP("931472AG Muni","DUR_ADJ_MID")</f>
        <v>#N/A Requesting Data...</v>
      </c>
      <c r="G2303" t="str">
        <f>_xll.BDP("931472AG Muni","SPREAD_AT_ISSUANCE_TO_WORST")</f>
        <v>#N/A Requesting Data...</v>
      </c>
      <c r="H2303" t="str">
        <f>_xll.BDP("931472AG Muni","ISSUE_DT")</f>
        <v>#N/A Requesting Data...</v>
      </c>
      <c r="I2303" t="str">
        <f>_xll.BDS("931472AG Muni","MUNI_PURPOSE_SCHED", "aggregate=y")</f>
        <v>#N/A Requesting Data...</v>
      </c>
      <c r="J2303" t="str">
        <f>_xll.BDP("931472AG Muni","CPN")</f>
        <v>#N/A Requesting Data...</v>
      </c>
      <c r="K2303" t="str">
        <f>_xll.BDP("931472AG Muni","MATURITY")</f>
        <v>#N/A Requesting Data...</v>
      </c>
      <c r="L2303">
        <v>435000</v>
      </c>
      <c r="M2303" t="str">
        <f>_xll.BDP("931472AG Muni","YIELD_ON_ISSUE_DATE")</f>
        <v>#N/A Requesting Data...</v>
      </c>
      <c r="N2303" t="str">
        <f>_xll.BDP("931472AG Muni","YTW_SPREAD_TO_MATURITY_AT_ISSU")</f>
        <v>#N/A Requesting Data...</v>
      </c>
      <c r="O2303" t="str">
        <f>_xll.BDP("931472AG Muni","BVAL_MID_YTM")</f>
        <v>#N/A Requesting Data...</v>
      </c>
      <c r="P2303" t="str">
        <f>_xll.BDP("931472AG Muni","MUNI_TAX_PROV")</f>
        <v>#N/A Requesting Data...</v>
      </c>
      <c r="Q2303" t="str">
        <f>_xll.BDP("931472AG Muni","MUNI_FED_TAX")</f>
        <v>#N/A Requesting Data...</v>
      </c>
      <c r="R2303" t="str">
        <f>_xll.BDP("931472AG Muni","MUNI_MSRB_VOLUME")</f>
        <v>#N/A Requesting Data...</v>
      </c>
      <c r="S2303" t="str">
        <f>_xll.BDP("931472AG Muni","BB_COMPOSITE")</f>
        <v>#N/A Requesting Data...</v>
      </c>
      <c r="T2303" t="str">
        <f>_xll.BDP("931472AG Muni","LQA_LIQUIDITY_SCORE")</f>
        <v>#N/A Requesting Data...</v>
      </c>
    </row>
    <row r="2304" spans="1:20" x14ac:dyDescent="0.25">
      <c r="A2304" t="str">
        <f>_xll.BDP("931472AH Muni","ID_CUSIP")</f>
        <v>#N/A Requesting Data...</v>
      </c>
      <c r="B2304" t="s">
        <v>545</v>
      </c>
      <c r="C2304" t="str">
        <f>_xll.BDP("931472AH Muni","INSURANCE_STATUS")</f>
        <v>#N/A Requesting Data...</v>
      </c>
      <c r="D2304" t="str">
        <f>_xll.BDP("931472AH Muni","STATE_CODE")</f>
        <v>#N/A Requesting Data...</v>
      </c>
      <c r="E2304" t="str">
        <f>_xll.BDP("931472AH Muni","COUNTY_LOCATION_ISSUER")</f>
        <v>#N/A Requesting Data...</v>
      </c>
      <c r="F2304" t="str">
        <f>_xll.BDP("931472AH Muni","DUR_ADJ_MID")</f>
        <v>#N/A Requesting Data...</v>
      </c>
      <c r="G2304" t="str">
        <f>_xll.BDP("931472AH Muni","SPREAD_AT_ISSUANCE_TO_WORST")</f>
        <v>#N/A Requesting Data...</v>
      </c>
      <c r="H2304" t="str">
        <f>_xll.BDP("931472AH Muni","ISSUE_DT")</f>
        <v>#N/A Requesting Data...</v>
      </c>
      <c r="I2304" t="str">
        <f>_xll.BDS("931472AH Muni","MUNI_PURPOSE_SCHED", "aggregate=y")</f>
        <v>#N/A Requesting Data...</v>
      </c>
      <c r="J2304" t="str">
        <f>_xll.BDP("931472AH Muni","CPN")</f>
        <v>#N/A Requesting Data...</v>
      </c>
      <c r="K2304" t="str">
        <f>_xll.BDP("931472AH Muni","MATURITY")</f>
        <v>#N/A Requesting Data...</v>
      </c>
      <c r="L2304">
        <v>455000</v>
      </c>
      <c r="M2304" t="str">
        <f>_xll.BDP("931472AH Muni","YIELD_ON_ISSUE_DATE")</f>
        <v>#N/A Requesting Data...</v>
      </c>
      <c r="N2304" t="str">
        <f>_xll.BDP("931472AH Muni","YTW_SPREAD_TO_MATURITY_AT_ISSU")</f>
        <v>#N/A Requesting Data...</v>
      </c>
      <c r="O2304" t="str">
        <f>_xll.BDP("931472AH Muni","BVAL_MID_YTM")</f>
        <v>#N/A Requesting Data...</v>
      </c>
      <c r="P2304" t="str">
        <f>_xll.BDP("931472AH Muni","MUNI_TAX_PROV")</f>
        <v>#N/A Requesting Data...</v>
      </c>
      <c r="Q2304" t="str">
        <f>_xll.BDP("931472AH Muni","MUNI_FED_TAX")</f>
        <v>#N/A Requesting Data...</v>
      </c>
      <c r="R2304" t="str">
        <f>_xll.BDP("931472AH Muni","MUNI_MSRB_VOLUME")</f>
        <v>#N/A Requesting Data...</v>
      </c>
      <c r="S2304" t="str">
        <f>_xll.BDP("931472AH Muni","BB_COMPOSITE")</f>
        <v>#N/A Requesting Data...</v>
      </c>
      <c r="T2304" t="str">
        <f>_xll.BDP("931472AH Muni","LQA_LIQUIDITY_SCORE")</f>
        <v>#N/A Requesting Data...</v>
      </c>
    </row>
    <row r="2305" spans="1:20" x14ac:dyDescent="0.25">
      <c r="A2305" t="str">
        <f>_xll.BDP("931472AJ Muni","ID_CUSIP")</f>
        <v>#N/A Requesting Data...</v>
      </c>
      <c r="B2305" t="s">
        <v>545</v>
      </c>
      <c r="C2305" t="str">
        <f>_xll.BDP("931472AJ Muni","INSURANCE_STATUS")</f>
        <v>#N/A Requesting Data...</v>
      </c>
      <c r="D2305" t="str">
        <f>_xll.BDP("931472AJ Muni","STATE_CODE")</f>
        <v>#N/A Requesting Data...</v>
      </c>
      <c r="E2305" t="str">
        <f>_xll.BDP("931472AJ Muni","COUNTY_LOCATION_ISSUER")</f>
        <v>#N/A Requesting Data...</v>
      </c>
      <c r="F2305" t="str">
        <f>_xll.BDP("931472AJ Muni","DUR_ADJ_MID")</f>
        <v>#N/A Requesting Data...</v>
      </c>
      <c r="G2305" t="str">
        <f>_xll.BDP("931472AJ Muni","SPREAD_AT_ISSUANCE_TO_WORST")</f>
        <v>#N/A Requesting Data...</v>
      </c>
      <c r="H2305" t="str">
        <f>_xll.BDP("931472AJ Muni","ISSUE_DT")</f>
        <v>#N/A Requesting Data...</v>
      </c>
      <c r="I2305" t="str">
        <f>_xll.BDS("931472AJ Muni","MUNI_PURPOSE_SCHED", "aggregate=y")</f>
        <v>#N/A Requesting Data...</v>
      </c>
      <c r="J2305" t="str">
        <f>_xll.BDP("931472AJ Muni","CPN")</f>
        <v>#N/A Requesting Data...</v>
      </c>
      <c r="K2305" t="str">
        <f>_xll.BDP("931472AJ Muni","MATURITY")</f>
        <v>#N/A Requesting Data...</v>
      </c>
      <c r="L2305">
        <v>480000</v>
      </c>
      <c r="M2305" t="str">
        <f>_xll.BDP("931472AJ Muni","YIELD_ON_ISSUE_DATE")</f>
        <v>#N/A Requesting Data...</v>
      </c>
      <c r="N2305" t="str">
        <f>_xll.BDP("931472AJ Muni","YTW_SPREAD_TO_MATURITY_AT_ISSU")</f>
        <v>#N/A Requesting Data...</v>
      </c>
      <c r="O2305" t="str">
        <f>_xll.BDP("931472AJ Muni","BVAL_MID_YTM")</f>
        <v>#N/A Requesting Data...</v>
      </c>
      <c r="P2305" t="str">
        <f>_xll.BDP("931472AJ Muni","MUNI_TAX_PROV")</f>
        <v>#N/A Requesting Data...</v>
      </c>
      <c r="Q2305" t="str">
        <f>_xll.BDP("931472AJ Muni","MUNI_FED_TAX")</f>
        <v>#N/A Requesting Data...</v>
      </c>
      <c r="R2305" t="str">
        <f>_xll.BDP("931472AJ Muni","MUNI_MSRB_VOLUME")</f>
        <v>#N/A Requesting Data...</v>
      </c>
      <c r="S2305" t="str">
        <f>_xll.BDP("931472AJ Muni","BB_COMPOSITE")</f>
        <v>#N/A Requesting Data...</v>
      </c>
      <c r="T2305" t="str">
        <f>_xll.BDP("931472AJ Muni","LQA_LIQUIDITY_SCORE")</f>
        <v>#N/A Requesting Data...</v>
      </c>
    </row>
    <row r="2306" spans="1:20" x14ac:dyDescent="0.25">
      <c r="A2306" t="str">
        <f>_xll.BDP("931472AK Muni","ID_CUSIP")</f>
        <v>#N/A Requesting Data...</v>
      </c>
      <c r="B2306" t="s">
        <v>545</v>
      </c>
      <c r="C2306" t="str">
        <f>_xll.BDP("931472AK Muni","INSURANCE_STATUS")</f>
        <v>#N/A Requesting Data...</v>
      </c>
      <c r="D2306" t="str">
        <f>_xll.BDP("931472AK Muni","STATE_CODE")</f>
        <v>#N/A Requesting Data...</v>
      </c>
      <c r="E2306" t="str">
        <f>_xll.BDP("931472AK Muni","COUNTY_LOCATION_ISSUER")</f>
        <v>#N/A Requesting Data...</v>
      </c>
      <c r="F2306" t="str">
        <f>_xll.BDP("931472AK Muni","DUR_ADJ_MID")</f>
        <v>#N/A Requesting Data...</v>
      </c>
      <c r="G2306" t="str">
        <f>_xll.BDP("931472AK Muni","SPREAD_AT_ISSUANCE_TO_WORST")</f>
        <v>#N/A Requesting Data...</v>
      </c>
      <c r="H2306" t="str">
        <f>_xll.BDP("931472AK Muni","ISSUE_DT")</f>
        <v>#N/A Requesting Data...</v>
      </c>
      <c r="I2306" t="str">
        <f>_xll.BDS("931472AK Muni","MUNI_PURPOSE_SCHED", "aggregate=y")</f>
        <v>#N/A Requesting Data...</v>
      </c>
      <c r="J2306" t="str">
        <f>_xll.BDP("931472AK Muni","CPN")</f>
        <v>#N/A Requesting Data...</v>
      </c>
      <c r="K2306" t="str">
        <f>_xll.BDP("931472AK Muni","MATURITY")</f>
        <v>#N/A Requesting Data...</v>
      </c>
      <c r="L2306">
        <v>500000</v>
      </c>
      <c r="M2306" t="str">
        <f>_xll.BDP("931472AK Muni","YIELD_ON_ISSUE_DATE")</f>
        <v>#N/A Requesting Data...</v>
      </c>
      <c r="N2306" t="str">
        <f>_xll.BDP("931472AK Muni","YTW_SPREAD_TO_MATURITY_AT_ISSU")</f>
        <v>#N/A Requesting Data...</v>
      </c>
      <c r="O2306" t="str">
        <f>_xll.BDP("931472AK Muni","BVAL_MID_YTM")</f>
        <v>#N/A Requesting Data...</v>
      </c>
      <c r="P2306" t="str">
        <f>_xll.BDP("931472AK Muni","MUNI_TAX_PROV")</f>
        <v>#N/A Requesting Data...</v>
      </c>
      <c r="Q2306" t="str">
        <f>_xll.BDP("931472AK Muni","MUNI_FED_TAX")</f>
        <v>#N/A Requesting Data...</v>
      </c>
      <c r="R2306" t="str">
        <f>_xll.BDP("931472AK Muni","MUNI_MSRB_VOLUME")</f>
        <v>#N/A Requesting Data...</v>
      </c>
      <c r="S2306" t="str">
        <f>_xll.BDP("931472AK Muni","BB_COMPOSITE")</f>
        <v>#N/A Requesting Data...</v>
      </c>
      <c r="T2306" t="str">
        <f>_xll.BDP("931472AK Muni","LQA_LIQUIDITY_SCORE")</f>
        <v>#N/A Requesting Data...</v>
      </c>
    </row>
    <row r="2307" spans="1:20" x14ac:dyDescent="0.25">
      <c r="A2307" t="str">
        <f>_xll.BDP("866849ZU Muni","ID_CUSIP")</f>
        <v>#N/A Requesting Data...</v>
      </c>
      <c r="B2307" t="s">
        <v>546</v>
      </c>
      <c r="C2307" t="str">
        <f>_xll.BDP("866849ZU Muni","INSURANCE_STATUS")</f>
        <v>#N/A Requesting Data...</v>
      </c>
      <c r="D2307" t="str">
        <f>_xll.BDP("866849ZU Muni","STATE_CODE")</f>
        <v>#N/A Requesting Data...</v>
      </c>
      <c r="E2307" t="str">
        <f>_xll.BDP("866849ZU Muni","COUNTY_LOCATION_ISSUER")</f>
        <v>#N/A Requesting Data...</v>
      </c>
      <c r="F2307" t="str">
        <f>_xll.BDP("866849ZU Muni","DUR_ADJ_MID")</f>
        <v>#N/A Requesting Data...</v>
      </c>
      <c r="G2307" t="str">
        <f>_xll.BDP("866849ZU Muni","SPREAD_AT_ISSUANCE_TO_WORST")</f>
        <v>#N/A Requesting Data...</v>
      </c>
      <c r="H2307" t="str">
        <f>_xll.BDP("866849ZU Muni","ISSUE_DT")</f>
        <v>#N/A Requesting Data...</v>
      </c>
      <c r="I2307" t="str">
        <f>_xll.BDS("866849ZU Muni","MUNI_PURPOSE_SCHED", "aggregate=y")</f>
        <v>#N/A Requesting Data...</v>
      </c>
      <c r="J2307" t="str">
        <f>_xll.BDP("866849ZU Muni","CPN")</f>
        <v>#N/A Requesting Data...</v>
      </c>
      <c r="K2307" t="str">
        <f>_xll.BDP("866849ZU Muni","MATURITY")</f>
        <v>#N/A Requesting Data...</v>
      </c>
      <c r="L2307">
        <v>265000</v>
      </c>
      <c r="M2307" t="str">
        <f>_xll.BDP("866849ZU Muni","YIELD_ON_ISSUE_DATE")</f>
        <v>#N/A Requesting Data...</v>
      </c>
      <c r="N2307" t="str">
        <f>_xll.BDP("866849ZU Muni","YTW_SPREAD_TO_MATURITY_AT_ISSU")</f>
        <v>#N/A Requesting Data...</v>
      </c>
      <c r="O2307" t="str">
        <f>_xll.BDP("866849ZU Muni","BVAL_MID_YTM")</f>
        <v>#N/A Requesting Data...</v>
      </c>
      <c r="P2307" t="str">
        <f>_xll.BDP("866849ZU Muni","MUNI_TAX_PROV")</f>
        <v>#N/A Requesting Data...</v>
      </c>
      <c r="Q2307" t="str">
        <f>_xll.BDP("866849ZU Muni","MUNI_FED_TAX")</f>
        <v>#N/A Requesting Data...</v>
      </c>
      <c r="R2307" t="str">
        <f>_xll.BDP("866849ZU Muni","MUNI_MSRB_VOLUME")</f>
        <v>#N/A Requesting Data...</v>
      </c>
      <c r="S2307" t="str">
        <f>_xll.BDP("866849ZU Muni","BB_COMPOSITE")</f>
        <v>#N/A Requesting Data...</v>
      </c>
      <c r="T2307" t="str">
        <f>_xll.BDP("866849ZU Muni","LQA_LIQUIDITY_SCORE")</f>
        <v>#N/A Requesting Data...</v>
      </c>
    </row>
    <row r="2308" spans="1:20" x14ac:dyDescent="0.25">
      <c r="A2308" t="str">
        <f>_xll.BDP("866849ZV Muni","ID_CUSIP")</f>
        <v>#N/A Requesting Data...</v>
      </c>
      <c r="B2308" t="s">
        <v>546</v>
      </c>
      <c r="C2308" t="str">
        <f>_xll.BDP("866849ZV Muni","INSURANCE_STATUS")</f>
        <v>#N/A Requesting Data...</v>
      </c>
      <c r="D2308" t="str">
        <f>_xll.BDP("866849ZV Muni","STATE_CODE")</f>
        <v>#N/A Requesting Data...</v>
      </c>
      <c r="E2308" t="str">
        <f>_xll.BDP("866849ZV Muni","COUNTY_LOCATION_ISSUER")</f>
        <v>#N/A Requesting Data...</v>
      </c>
      <c r="F2308" t="str">
        <f>_xll.BDP("866849ZV Muni","DUR_ADJ_MID")</f>
        <v>#N/A Requesting Data...</v>
      </c>
      <c r="G2308" t="str">
        <f>_xll.BDP("866849ZV Muni","SPREAD_AT_ISSUANCE_TO_WORST")</f>
        <v>#N/A Requesting Data...</v>
      </c>
      <c r="H2308" t="str">
        <f>_xll.BDP("866849ZV Muni","ISSUE_DT")</f>
        <v>#N/A Requesting Data...</v>
      </c>
      <c r="I2308" t="str">
        <f>_xll.BDS("866849ZV Muni","MUNI_PURPOSE_SCHED", "aggregate=y")</f>
        <v>#N/A Requesting Data...</v>
      </c>
      <c r="J2308" t="str">
        <f>_xll.BDP("866849ZV Muni","CPN")</f>
        <v>#N/A Requesting Data...</v>
      </c>
      <c r="K2308" t="str">
        <f>_xll.BDP("866849ZV Muni","MATURITY")</f>
        <v>#N/A Requesting Data...</v>
      </c>
      <c r="L2308">
        <v>280000</v>
      </c>
      <c r="M2308" t="str">
        <f>_xll.BDP("866849ZV Muni","YIELD_ON_ISSUE_DATE")</f>
        <v>#N/A Requesting Data...</v>
      </c>
      <c r="N2308" t="str">
        <f>_xll.BDP("866849ZV Muni","YTW_SPREAD_TO_MATURITY_AT_ISSU")</f>
        <v>#N/A Requesting Data...</v>
      </c>
      <c r="O2308" t="str">
        <f>_xll.BDP("866849ZV Muni","BVAL_MID_YTM")</f>
        <v>#N/A Requesting Data...</v>
      </c>
      <c r="P2308" t="str">
        <f>_xll.BDP("866849ZV Muni","MUNI_TAX_PROV")</f>
        <v>#N/A Requesting Data...</v>
      </c>
      <c r="Q2308" t="str">
        <f>_xll.BDP("866849ZV Muni","MUNI_FED_TAX")</f>
        <v>#N/A Requesting Data...</v>
      </c>
      <c r="R2308" t="str">
        <f>_xll.BDP("866849ZV Muni","MUNI_MSRB_VOLUME")</f>
        <v>#N/A Requesting Data...</v>
      </c>
      <c r="S2308" t="str">
        <f>_xll.BDP("866849ZV Muni","BB_COMPOSITE")</f>
        <v>#N/A Requesting Data...</v>
      </c>
      <c r="T2308" t="str">
        <f>_xll.BDP("866849ZV Muni","LQA_LIQUIDITY_SCORE")</f>
        <v>#N/A Requesting Data...</v>
      </c>
    </row>
    <row r="2309" spans="1:20" x14ac:dyDescent="0.25">
      <c r="A2309" t="str">
        <f>_xll.BDP("866849ZW Muni","ID_CUSIP")</f>
        <v>#N/A Requesting Data...</v>
      </c>
      <c r="B2309" t="s">
        <v>546</v>
      </c>
      <c r="C2309" t="str">
        <f>_xll.BDP("866849ZW Muni","INSURANCE_STATUS")</f>
        <v>#N/A Requesting Data...</v>
      </c>
      <c r="D2309" t="str">
        <f>_xll.BDP("866849ZW Muni","STATE_CODE")</f>
        <v>#N/A Requesting Data...</v>
      </c>
      <c r="E2309" t="str">
        <f>_xll.BDP("866849ZW Muni","COUNTY_LOCATION_ISSUER")</f>
        <v>#N/A Requesting Data...</v>
      </c>
      <c r="F2309" t="str">
        <f>_xll.BDP("866849ZW Muni","DUR_ADJ_MID")</f>
        <v>#N/A Requesting Data...</v>
      </c>
      <c r="G2309" t="str">
        <f>_xll.BDP("866849ZW Muni","SPREAD_AT_ISSUANCE_TO_WORST")</f>
        <v>#N/A Requesting Data...</v>
      </c>
      <c r="H2309" t="str">
        <f>_xll.BDP("866849ZW Muni","ISSUE_DT")</f>
        <v>#N/A Requesting Data...</v>
      </c>
      <c r="I2309" t="str">
        <f>_xll.BDS("866849ZW Muni","MUNI_PURPOSE_SCHED", "aggregate=y")</f>
        <v>#N/A Requesting Data...</v>
      </c>
      <c r="J2309" t="str">
        <f>_xll.BDP("866849ZW Muni","CPN")</f>
        <v>#N/A Requesting Data...</v>
      </c>
      <c r="K2309" t="str">
        <f>_xll.BDP("866849ZW Muni","MATURITY")</f>
        <v>#N/A Requesting Data...</v>
      </c>
      <c r="L2309">
        <v>295000</v>
      </c>
      <c r="M2309" t="str">
        <f>_xll.BDP("866849ZW Muni","YIELD_ON_ISSUE_DATE")</f>
        <v>#N/A Requesting Data...</v>
      </c>
      <c r="N2309" t="str">
        <f>_xll.BDP("866849ZW Muni","YTW_SPREAD_TO_MATURITY_AT_ISSU")</f>
        <v>#N/A Requesting Data...</v>
      </c>
      <c r="O2309" t="str">
        <f>_xll.BDP("866849ZW Muni","BVAL_MID_YTM")</f>
        <v>#N/A Requesting Data...</v>
      </c>
      <c r="P2309" t="str">
        <f>_xll.BDP("866849ZW Muni","MUNI_TAX_PROV")</f>
        <v>#N/A Requesting Data...</v>
      </c>
      <c r="Q2309" t="str">
        <f>_xll.BDP("866849ZW Muni","MUNI_FED_TAX")</f>
        <v>#N/A Requesting Data...</v>
      </c>
      <c r="R2309" t="str">
        <f>_xll.BDP("866849ZW Muni","MUNI_MSRB_VOLUME")</f>
        <v>#N/A Requesting Data...</v>
      </c>
      <c r="S2309" t="str">
        <f>_xll.BDP("866849ZW Muni","BB_COMPOSITE")</f>
        <v>#N/A Requesting Data...</v>
      </c>
      <c r="T2309" t="str">
        <f>_xll.BDP("866849ZW Muni","LQA_LIQUIDITY_SCORE")</f>
        <v>#N/A Requesting Data...</v>
      </c>
    </row>
    <row r="2310" spans="1:20" x14ac:dyDescent="0.25">
      <c r="A2310" t="str">
        <f>_xll.BDP("866849ZX Muni","ID_CUSIP")</f>
        <v>#N/A Requesting Data...</v>
      </c>
      <c r="B2310" t="s">
        <v>546</v>
      </c>
      <c r="C2310" t="str">
        <f>_xll.BDP("866849ZX Muni","INSURANCE_STATUS")</f>
        <v>#N/A Requesting Data...</v>
      </c>
      <c r="D2310" t="str">
        <f>_xll.BDP("866849ZX Muni","STATE_CODE")</f>
        <v>#N/A Requesting Data...</v>
      </c>
      <c r="E2310" t="str">
        <f>_xll.BDP("866849ZX Muni","COUNTY_LOCATION_ISSUER")</f>
        <v>#N/A Requesting Data...</v>
      </c>
      <c r="F2310" t="str">
        <f>_xll.BDP("866849ZX Muni","DUR_ADJ_MID")</f>
        <v>#N/A Requesting Data...</v>
      </c>
      <c r="G2310" t="str">
        <f>_xll.BDP("866849ZX Muni","SPREAD_AT_ISSUANCE_TO_WORST")</f>
        <v>#N/A Requesting Data...</v>
      </c>
      <c r="H2310" t="str">
        <f>_xll.BDP("866849ZX Muni","ISSUE_DT")</f>
        <v>#N/A Requesting Data...</v>
      </c>
      <c r="I2310" t="str">
        <f>_xll.BDS("866849ZX Muni","MUNI_PURPOSE_SCHED", "aggregate=y")</f>
        <v>#N/A Requesting Data...</v>
      </c>
      <c r="J2310" t="str">
        <f>_xll.BDP("866849ZX Muni","CPN")</f>
        <v>#N/A Requesting Data...</v>
      </c>
      <c r="K2310" t="str">
        <f>_xll.BDP("866849ZX Muni","MATURITY")</f>
        <v>#N/A Requesting Data...</v>
      </c>
      <c r="L2310">
        <v>305000</v>
      </c>
      <c r="M2310" t="str">
        <f>_xll.BDP("866849ZX Muni","YIELD_ON_ISSUE_DATE")</f>
        <v>#N/A Requesting Data...</v>
      </c>
      <c r="N2310" t="str">
        <f>_xll.BDP("866849ZX Muni","YTW_SPREAD_TO_MATURITY_AT_ISSU")</f>
        <v>#N/A Requesting Data...</v>
      </c>
      <c r="O2310" t="str">
        <f>_xll.BDP("866849ZX Muni","BVAL_MID_YTM")</f>
        <v>#N/A Requesting Data...</v>
      </c>
      <c r="P2310" t="str">
        <f>_xll.BDP("866849ZX Muni","MUNI_TAX_PROV")</f>
        <v>#N/A Requesting Data...</v>
      </c>
      <c r="Q2310" t="str">
        <f>_xll.BDP("866849ZX Muni","MUNI_FED_TAX")</f>
        <v>#N/A Requesting Data...</v>
      </c>
      <c r="R2310" t="str">
        <f>_xll.BDP("866849ZX Muni","MUNI_MSRB_VOLUME")</f>
        <v>#N/A Requesting Data...</v>
      </c>
      <c r="S2310" t="str">
        <f>_xll.BDP("866849ZX Muni","BB_COMPOSITE")</f>
        <v>#N/A Requesting Data...</v>
      </c>
      <c r="T2310" t="str">
        <f>_xll.BDP("866849ZX Muni","LQA_LIQUIDITY_SCORE")</f>
        <v>#N/A Requesting Data...</v>
      </c>
    </row>
    <row r="2311" spans="1:20" x14ac:dyDescent="0.25">
      <c r="A2311" t="str">
        <f>_xll.BDP("866849ZY Muni","ID_CUSIP")</f>
        <v>#N/A Requesting Data...</v>
      </c>
      <c r="B2311" t="s">
        <v>546</v>
      </c>
      <c r="C2311" t="str">
        <f>_xll.BDP("866849ZY Muni","INSURANCE_STATUS")</f>
        <v>#N/A Requesting Data...</v>
      </c>
      <c r="D2311" t="str">
        <f>_xll.BDP("866849ZY Muni","STATE_CODE")</f>
        <v>#N/A Requesting Data...</v>
      </c>
      <c r="E2311" t="str">
        <f>_xll.BDP("866849ZY Muni","COUNTY_LOCATION_ISSUER")</f>
        <v>#N/A Requesting Data...</v>
      </c>
      <c r="F2311" t="str">
        <f>_xll.BDP("866849ZY Muni","DUR_ADJ_MID")</f>
        <v>#N/A Requesting Data...</v>
      </c>
      <c r="G2311" t="str">
        <f>_xll.BDP("866849ZY Muni","SPREAD_AT_ISSUANCE_TO_WORST")</f>
        <v>#N/A Requesting Data...</v>
      </c>
      <c r="H2311" t="str">
        <f>_xll.BDP("866849ZY Muni","ISSUE_DT")</f>
        <v>#N/A Requesting Data...</v>
      </c>
      <c r="I2311" t="str">
        <f>_xll.BDS("866849ZY Muni","MUNI_PURPOSE_SCHED", "aggregate=y")</f>
        <v>#N/A Requesting Data...</v>
      </c>
      <c r="J2311" t="str">
        <f>_xll.BDP("866849ZY Muni","CPN")</f>
        <v>#N/A Requesting Data...</v>
      </c>
      <c r="K2311" t="str">
        <f>_xll.BDP("866849ZY Muni","MATURITY")</f>
        <v>#N/A Requesting Data...</v>
      </c>
      <c r="L2311">
        <v>325000</v>
      </c>
      <c r="M2311" t="str">
        <f>_xll.BDP("866849ZY Muni","YIELD_ON_ISSUE_DATE")</f>
        <v>#N/A Requesting Data...</v>
      </c>
      <c r="N2311" t="str">
        <f>_xll.BDP("866849ZY Muni","YTW_SPREAD_TO_MATURITY_AT_ISSU")</f>
        <v>#N/A Requesting Data...</v>
      </c>
      <c r="O2311" t="str">
        <f>_xll.BDP("866849ZY Muni","BVAL_MID_YTM")</f>
        <v>#N/A Requesting Data...</v>
      </c>
      <c r="P2311" t="str">
        <f>_xll.BDP("866849ZY Muni","MUNI_TAX_PROV")</f>
        <v>#N/A Requesting Data...</v>
      </c>
      <c r="Q2311" t="str">
        <f>_xll.BDP("866849ZY Muni","MUNI_FED_TAX")</f>
        <v>#N/A Requesting Data...</v>
      </c>
      <c r="R2311" t="str">
        <f>_xll.BDP("866849ZY Muni","MUNI_MSRB_VOLUME")</f>
        <v>#N/A Requesting Data...</v>
      </c>
      <c r="S2311" t="str">
        <f>_xll.BDP("866849ZY Muni","BB_COMPOSITE")</f>
        <v>#N/A Requesting Data...</v>
      </c>
      <c r="T2311" t="str">
        <f>_xll.BDP("866849ZY Muni","LQA_LIQUIDITY_SCORE")</f>
        <v>#N/A Requesting Data...</v>
      </c>
    </row>
    <row r="2312" spans="1:20" x14ac:dyDescent="0.25">
      <c r="A2312" t="str">
        <f>_xll.BDP("874461JX Muni","ID_CUSIP")</f>
        <v>#N/A Requesting Data...</v>
      </c>
      <c r="B2312" t="s">
        <v>547</v>
      </c>
      <c r="C2312" t="str">
        <f>_xll.BDP("874461JX Muni","INSURANCE_STATUS")</f>
        <v>#N/A Requesting Data...</v>
      </c>
      <c r="D2312" t="str">
        <f>_xll.BDP("874461JX Muni","STATE_CODE")</f>
        <v>#N/A Requesting Data...</v>
      </c>
      <c r="E2312" t="str">
        <f>_xll.BDP("874461JX Muni","COUNTY_LOCATION_ISSUER")</f>
        <v>#N/A Requesting Data...</v>
      </c>
      <c r="F2312" t="str">
        <f>_xll.BDP("874461JX Muni","DUR_ADJ_MID")</f>
        <v>#N/A Requesting Data...</v>
      </c>
      <c r="G2312" t="str">
        <f>_xll.BDP("874461JX Muni","SPREAD_AT_ISSUANCE_TO_WORST")</f>
        <v>#N/A Requesting Data...</v>
      </c>
      <c r="H2312" t="str">
        <f>_xll.BDP("874461JX Muni","ISSUE_DT")</f>
        <v>#N/A Requesting Data...</v>
      </c>
      <c r="I2312" t="str">
        <f>_xll.BDS("874461JX Muni","MUNI_PURPOSE_SCHED", "aggregate=y")</f>
        <v>#N/A Requesting Data...</v>
      </c>
      <c r="J2312" t="str">
        <f>_xll.BDP("874461JX Muni","CPN")</f>
        <v>#N/A Requesting Data...</v>
      </c>
      <c r="K2312" t="str">
        <f>_xll.BDP("874461JX Muni","MATURITY")</f>
        <v>#N/A Requesting Data...</v>
      </c>
      <c r="L2312">
        <v>1590000</v>
      </c>
      <c r="M2312" t="str">
        <f>_xll.BDP("874461JX Muni","YIELD_ON_ISSUE_DATE")</f>
        <v>#N/A Requesting Data...</v>
      </c>
      <c r="N2312" t="str">
        <f>_xll.BDP("874461JX Muni","YTW_SPREAD_TO_MATURITY_AT_ISSU")</f>
        <v>#N/A Requesting Data...</v>
      </c>
      <c r="O2312" t="str">
        <f>_xll.BDP("874461JX Muni","BVAL_MID_YTM")</f>
        <v>#N/A Requesting Data...</v>
      </c>
      <c r="P2312" t="str">
        <f>_xll.BDP("874461JX Muni","MUNI_TAX_PROV")</f>
        <v>#N/A Requesting Data...</v>
      </c>
      <c r="Q2312" t="str">
        <f>_xll.BDP("874461JX Muni","MUNI_FED_TAX")</f>
        <v>#N/A Requesting Data...</v>
      </c>
      <c r="R2312" t="str">
        <f>_xll.BDP("874461JX Muni","MUNI_MSRB_VOLUME")</f>
        <v>#N/A Requesting Data...</v>
      </c>
      <c r="S2312" t="str">
        <f>_xll.BDP("874461JX Muni","BB_COMPOSITE")</f>
        <v>#N/A Requesting Data...</v>
      </c>
      <c r="T2312" t="str">
        <f>_xll.BDP("874461JX Muni","LQA_LIQUIDITY_SCORE")</f>
        <v>#N/A Requesting Data...</v>
      </c>
    </row>
    <row r="2313" spans="1:20" x14ac:dyDescent="0.25">
      <c r="A2313" t="str">
        <f>_xll.BDP("874461JY Muni","ID_CUSIP")</f>
        <v>#N/A Requesting Data...</v>
      </c>
      <c r="B2313" t="s">
        <v>547</v>
      </c>
      <c r="C2313" t="str">
        <f>_xll.BDP("874461JY Muni","INSURANCE_STATUS")</f>
        <v>#N/A Requesting Data...</v>
      </c>
      <c r="D2313" t="str">
        <f>_xll.BDP("874461JY Muni","STATE_CODE")</f>
        <v>#N/A Requesting Data...</v>
      </c>
      <c r="E2313" t="str">
        <f>_xll.BDP("874461JY Muni","COUNTY_LOCATION_ISSUER")</f>
        <v>#N/A Requesting Data...</v>
      </c>
      <c r="F2313" t="str">
        <f>_xll.BDP("874461JY Muni","DUR_ADJ_MID")</f>
        <v>#N/A Requesting Data...</v>
      </c>
      <c r="G2313" t="str">
        <f>_xll.BDP("874461JY Muni","SPREAD_AT_ISSUANCE_TO_WORST")</f>
        <v>#N/A Requesting Data...</v>
      </c>
      <c r="H2313" t="str">
        <f>_xll.BDP("874461JY Muni","ISSUE_DT")</f>
        <v>#N/A Requesting Data...</v>
      </c>
      <c r="I2313" t="str">
        <f>_xll.BDS("874461JY Muni","MUNI_PURPOSE_SCHED", "aggregate=y")</f>
        <v>#N/A Requesting Data...</v>
      </c>
      <c r="J2313" t="str">
        <f>_xll.BDP("874461JY Muni","CPN")</f>
        <v>#N/A Requesting Data...</v>
      </c>
      <c r="K2313" t="str">
        <f>_xll.BDP("874461JY Muni","MATURITY")</f>
        <v>#N/A Requesting Data...</v>
      </c>
      <c r="L2313">
        <v>1670000</v>
      </c>
      <c r="M2313" t="str">
        <f>_xll.BDP("874461JY Muni","YIELD_ON_ISSUE_DATE")</f>
        <v>#N/A Requesting Data...</v>
      </c>
      <c r="N2313" t="str">
        <f>_xll.BDP("874461JY Muni","YTW_SPREAD_TO_MATURITY_AT_ISSU")</f>
        <v>#N/A Requesting Data...</v>
      </c>
      <c r="O2313" t="str">
        <f>_xll.BDP("874461JY Muni","BVAL_MID_YTM")</f>
        <v>#N/A Requesting Data...</v>
      </c>
      <c r="P2313" t="str">
        <f>_xll.BDP("874461JY Muni","MUNI_TAX_PROV")</f>
        <v>#N/A Requesting Data...</v>
      </c>
      <c r="Q2313" t="str">
        <f>_xll.BDP("874461JY Muni","MUNI_FED_TAX")</f>
        <v>#N/A Requesting Data...</v>
      </c>
      <c r="R2313" t="str">
        <f>_xll.BDP("874461JY Muni","MUNI_MSRB_VOLUME")</f>
        <v>#N/A Requesting Data...</v>
      </c>
      <c r="S2313" t="str">
        <f>_xll.BDP("874461JY Muni","BB_COMPOSITE")</f>
        <v>#N/A Requesting Data...</v>
      </c>
      <c r="T2313" t="str">
        <f>_xll.BDP("874461JY Muni","LQA_LIQUIDITY_SCORE")</f>
        <v>#N/A Requesting Data...</v>
      </c>
    </row>
    <row r="2314" spans="1:20" x14ac:dyDescent="0.25">
      <c r="A2314" t="str">
        <f>_xll.BDP("874461JZ Muni","ID_CUSIP")</f>
        <v>#N/A Requesting Data...</v>
      </c>
      <c r="B2314" t="s">
        <v>547</v>
      </c>
      <c r="C2314" t="str">
        <f>_xll.BDP("874461JZ Muni","INSURANCE_STATUS")</f>
        <v>#N/A Requesting Data...</v>
      </c>
      <c r="D2314" t="str">
        <f>_xll.BDP("874461JZ Muni","STATE_CODE")</f>
        <v>#N/A Requesting Data...</v>
      </c>
      <c r="E2314" t="str">
        <f>_xll.BDP("874461JZ Muni","COUNTY_LOCATION_ISSUER")</f>
        <v>#N/A Requesting Data...</v>
      </c>
      <c r="F2314" t="str">
        <f>_xll.BDP("874461JZ Muni","DUR_ADJ_MID")</f>
        <v>#N/A Requesting Data...</v>
      </c>
      <c r="G2314" t="str">
        <f>_xll.BDP("874461JZ Muni","SPREAD_AT_ISSUANCE_TO_WORST")</f>
        <v>#N/A Requesting Data...</v>
      </c>
      <c r="H2314" t="str">
        <f>_xll.BDP("874461JZ Muni","ISSUE_DT")</f>
        <v>#N/A Requesting Data...</v>
      </c>
      <c r="I2314" t="str">
        <f>_xll.BDS("874461JZ Muni","MUNI_PURPOSE_SCHED", "aggregate=y")</f>
        <v>#N/A Requesting Data...</v>
      </c>
      <c r="J2314" t="str">
        <f>_xll.BDP("874461JZ Muni","CPN")</f>
        <v>#N/A Requesting Data...</v>
      </c>
      <c r="K2314" t="str">
        <f>_xll.BDP("874461JZ Muni","MATURITY")</f>
        <v>#N/A Requesting Data...</v>
      </c>
      <c r="L2314">
        <v>1750000</v>
      </c>
      <c r="M2314" t="str">
        <f>_xll.BDP("874461JZ Muni","YIELD_ON_ISSUE_DATE")</f>
        <v>#N/A Requesting Data...</v>
      </c>
      <c r="N2314" t="str">
        <f>_xll.BDP("874461JZ Muni","YTW_SPREAD_TO_MATURITY_AT_ISSU")</f>
        <v>#N/A Requesting Data...</v>
      </c>
      <c r="O2314" t="str">
        <f>_xll.BDP("874461JZ Muni","BVAL_MID_YTM")</f>
        <v>#N/A Requesting Data...</v>
      </c>
      <c r="P2314" t="str">
        <f>_xll.BDP("874461JZ Muni","MUNI_TAX_PROV")</f>
        <v>#N/A Requesting Data...</v>
      </c>
      <c r="Q2314" t="str">
        <f>_xll.BDP("874461JZ Muni","MUNI_FED_TAX")</f>
        <v>#N/A Requesting Data...</v>
      </c>
      <c r="R2314" t="str">
        <f>_xll.BDP("874461JZ Muni","MUNI_MSRB_VOLUME")</f>
        <v>#N/A Requesting Data...</v>
      </c>
      <c r="S2314" t="str">
        <f>_xll.BDP("874461JZ Muni","BB_COMPOSITE")</f>
        <v>#N/A Requesting Data...</v>
      </c>
      <c r="T2314" t="str">
        <f>_xll.BDP("874461JZ Muni","LQA_LIQUIDITY_SCORE")</f>
        <v>#N/A Requesting Data...</v>
      </c>
    </row>
    <row r="2315" spans="1:20" x14ac:dyDescent="0.25">
      <c r="A2315" t="str">
        <f>_xll.BDP("874461KA Muni","ID_CUSIP")</f>
        <v>#N/A Requesting Data...</v>
      </c>
      <c r="B2315" t="s">
        <v>547</v>
      </c>
      <c r="C2315" t="str">
        <f>_xll.BDP("874461KA Muni","INSURANCE_STATUS")</f>
        <v>#N/A Requesting Data...</v>
      </c>
      <c r="D2315" t="str">
        <f>_xll.BDP("874461KA Muni","STATE_CODE")</f>
        <v>#N/A Requesting Data...</v>
      </c>
      <c r="E2315" t="str">
        <f>_xll.BDP("874461KA Muni","COUNTY_LOCATION_ISSUER")</f>
        <v>#N/A Requesting Data...</v>
      </c>
      <c r="F2315" t="str">
        <f>_xll.BDP("874461KA Muni","DUR_ADJ_MID")</f>
        <v>#N/A Requesting Data...</v>
      </c>
      <c r="G2315" t="str">
        <f>_xll.BDP("874461KA Muni","SPREAD_AT_ISSUANCE_TO_WORST")</f>
        <v>#N/A Requesting Data...</v>
      </c>
      <c r="H2315" t="str">
        <f>_xll.BDP("874461KA Muni","ISSUE_DT")</f>
        <v>#N/A Requesting Data...</v>
      </c>
      <c r="I2315" t="str">
        <f>_xll.BDS("874461KA Muni","MUNI_PURPOSE_SCHED", "aggregate=y")</f>
        <v>#N/A Requesting Data...</v>
      </c>
      <c r="J2315" t="str">
        <f>_xll.BDP("874461KA Muni","CPN")</f>
        <v>#N/A Requesting Data...</v>
      </c>
      <c r="K2315" t="str">
        <f>_xll.BDP("874461KA Muni","MATURITY")</f>
        <v>#N/A Requesting Data...</v>
      </c>
      <c r="L2315">
        <v>1840000</v>
      </c>
      <c r="M2315" t="str">
        <f>_xll.BDP("874461KA Muni","YIELD_ON_ISSUE_DATE")</f>
        <v>#N/A Requesting Data...</v>
      </c>
      <c r="N2315" t="str">
        <f>_xll.BDP("874461KA Muni","YTW_SPREAD_TO_MATURITY_AT_ISSU")</f>
        <v>#N/A Requesting Data...</v>
      </c>
      <c r="O2315" t="str">
        <f>_xll.BDP("874461KA Muni","BVAL_MID_YTM")</f>
        <v>#N/A Requesting Data...</v>
      </c>
      <c r="P2315" t="str">
        <f>_xll.BDP("874461KA Muni","MUNI_TAX_PROV")</f>
        <v>#N/A Requesting Data...</v>
      </c>
      <c r="Q2315" t="str">
        <f>_xll.BDP("874461KA Muni","MUNI_FED_TAX")</f>
        <v>#N/A Requesting Data...</v>
      </c>
      <c r="R2315" t="str">
        <f>_xll.BDP("874461KA Muni","MUNI_MSRB_VOLUME")</f>
        <v>#N/A Requesting Data...</v>
      </c>
      <c r="S2315" t="str">
        <f>_xll.BDP("874461KA Muni","BB_COMPOSITE")</f>
        <v>#N/A Requesting Data...</v>
      </c>
      <c r="T2315" t="str">
        <f>_xll.BDP("874461KA Muni","LQA_LIQUIDITY_SCORE")</f>
        <v>#N/A Requesting Data...</v>
      </c>
    </row>
    <row r="2316" spans="1:20" x14ac:dyDescent="0.25">
      <c r="A2316" t="str">
        <f>_xll.BDP("943521QC Muni","ID_CUSIP")</f>
        <v>#N/A Requesting Data...</v>
      </c>
      <c r="B2316" t="s">
        <v>548</v>
      </c>
      <c r="C2316" t="str">
        <f>_xll.BDP("943521QC Muni","INSURANCE_STATUS")</f>
        <v>#N/A Requesting Data...</v>
      </c>
      <c r="D2316" t="str">
        <f>_xll.BDP("943521QC Muni","STATE_CODE")</f>
        <v>#N/A Requesting Data...</v>
      </c>
      <c r="E2316" t="str">
        <f>_xll.BDP("943521QC Muni","COUNTY_LOCATION_ISSUER")</f>
        <v>#N/A Requesting Data...</v>
      </c>
      <c r="F2316" t="str">
        <f>_xll.BDP("943521QC Muni","DUR_ADJ_MID")</f>
        <v>#N/A Requesting Data...</v>
      </c>
      <c r="G2316" t="str">
        <f>_xll.BDP("943521QC Muni","SPREAD_AT_ISSUANCE_TO_WORST")</f>
        <v>#N/A Requesting Data...</v>
      </c>
      <c r="H2316" t="str">
        <f>_xll.BDP("943521QC Muni","ISSUE_DT")</f>
        <v>#N/A Requesting Data...</v>
      </c>
      <c r="I2316" t="str">
        <f>_xll.BDS("943521QC Muni","MUNI_PURPOSE_SCHED", "aggregate=y")</f>
        <v>#N/A Requesting Data...</v>
      </c>
      <c r="J2316" t="str">
        <f>_xll.BDP("943521QC Muni","CPN")</f>
        <v>#N/A Requesting Data...</v>
      </c>
      <c r="K2316" t="str">
        <f>_xll.BDP("943521QC Muni","MATURITY")</f>
        <v>#N/A Requesting Data...</v>
      </c>
      <c r="L2316">
        <v>145000</v>
      </c>
      <c r="M2316" t="str">
        <f>_xll.BDP("943521QC Muni","YIELD_ON_ISSUE_DATE")</f>
        <v>#N/A Requesting Data...</v>
      </c>
      <c r="N2316" t="str">
        <f>_xll.BDP("943521QC Muni","YTW_SPREAD_TO_MATURITY_AT_ISSU")</f>
        <v>#N/A Requesting Data...</v>
      </c>
      <c r="O2316" t="str">
        <f>_xll.BDP("943521QC Muni","BVAL_MID_YTM")</f>
        <v>#N/A Requesting Data...</v>
      </c>
      <c r="P2316" t="str">
        <f>_xll.BDP("943521QC Muni","MUNI_TAX_PROV")</f>
        <v>#N/A Requesting Data...</v>
      </c>
      <c r="Q2316" t="str">
        <f>_xll.BDP("943521QC Muni","MUNI_FED_TAX")</f>
        <v>#N/A Requesting Data...</v>
      </c>
      <c r="R2316" t="str">
        <f>_xll.BDP("943521QC Muni","MUNI_MSRB_VOLUME")</f>
        <v>#N/A Requesting Data...</v>
      </c>
      <c r="S2316" t="str">
        <f>_xll.BDP("943521QC Muni","BB_COMPOSITE")</f>
        <v>#N/A Requesting Data...</v>
      </c>
      <c r="T2316" t="str">
        <f>_xll.BDP("943521QC Muni","LQA_LIQUIDITY_SCORE")</f>
        <v>#N/A Requesting Data...</v>
      </c>
    </row>
    <row r="2317" spans="1:20" x14ac:dyDescent="0.25">
      <c r="A2317" t="str">
        <f>_xll.BDP("943521QD Muni","ID_CUSIP")</f>
        <v>#N/A Requesting Data...</v>
      </c>
      <c r="B2317" t="s">
        <v>548</v>
      </c>
      <c r="C2317" t="str">
        <f>_xll.BDP("943521QD Muni","INSURANCE_STATUS")</f>
        <v>#N/A Requesting Data...</v>
      </c>
      <c r="D2317" t="str">
        <f>_xll.BDP("943521QD Muni","STATE_CODE")</f>
        <v>#N/A Requesting Data...</v>
      </c>
      <c r="E2317" t="str">
        <f>_xll.BDP("943521QD Muni","COUNTY_LOCATION_ISSUER")</f>
        <v>#N/A Requesting Data...</v>
      </c>
      <c r="F2317" t="str">
        <f>_xll.BDP("943521QD Muni","DUR_ADJ_MID")</f>
        <v>#N/A Requesting Data...</v>
      </c>
      <c r="G2317" t="str">
        <f>_xll.BDP("943521QD Muni","SPREAD_AT_ISSUANCE_TO_WORST")</f>
        <v>#N/A Requesting Data...</v>
      </c>
      <c r="H2317" t="str">
        <f>_xll.BDP("943521QD Muni","ISSUE_DT")</f>
        <v>#N/A Requesting Data...</v>
      </c>
      <c r="I2317" t="str">
        <f>_xll.BDS("943521QD Muni","MUNI_PURPOSE_SCHED", "aggregate=y")</f>
        <v>#N/A Requesting Data...</v>
      </c>
      <c r="J2317" t="str">
        <f>_xll.BDP("943521QD Muni","CPN")</f>
        <v>#N/A Requesting Data...</v>
      </c>
      <c r="K2317" t="str">
        <f>_xll.BDP("943521QD Muni","MATURITY")</f>
        <v>#N/A Requesting Data...</v>
      </c>
      <c r="L2317">
        <v>150000</v>
      </c>
      <c r="M2317" t="str">
        <f>_xll.BDP("943521QD Muni","YIELD_ON_ISSUE_DATE")</f>
        <v>#N/A Requesting Data...</v>
      </c>
      <c r="N2317" t="str">
        <f>_xll.BDP("943521QD Muni","YTW_SPREAD_TO_MATURITY_AT_ISSU")</f>
        <v>#N/A Requesting Data...</v>
      </c>
      <c r="O2317" t="str">
        <f>_xll.BDP("943521QD Muni","BVAL_MID_YTM")</f>
        <v>#N/A Requesting Data...</v>
      </c>
      <c r="P2317" t="str">
        <f>_xll.BDP("943521QD Muni","MUNI_TAX_PROV")</f>
        <v>#N/A Requesting Data...</v>
      </c>
      <c r="Q2317" t="str">
        <f>_xll.BDP("943521QD Muni","MUNI_FED_TAX")</f>
        <v>#N/A Requesting Data...</v>
      </c>
      <c r="R2317" t="str">
        <f>_xll.BDP("943521QD Muni","MUNI_MSRB_VOLUME")</f>
        <v>#N/A Requesting Data...</v>
      </c>
      <c r="S2317" t="str">
        <f>_xll.BDP("943521QD Muni","BB_COMPOSITE")</f>
        <v>#N/A Requesting Data...</v>
      </c>
      <c r="T2317" t="str">
        <f>_xll.BDP("943521QD Muni","LQA_LIQUIDITY_SCORE")</f>
        <v>#N/A Requesting Data...</v>
      </c>
    </row>
    <row r="2318" spans="1:20" x14ac:dyDescent="0.25">
      <c r="A2318" t="str">
        <f>_xll.BDP("943521QE Muni","ID_CUSIP")</f>
        <v>#N/A Requesting Data...</v>
      </c>
      <c r="B2318" t="s">
        <v>548</v>
      </c>
      <c r="C2318" t="str">
        <f>_xll.BDP("943521QE Muni","INSURANCE_STATUS")</f>
        <v>#N/A Requesting Data...</v>
      </c>
      <c r="D2318" t="str">
        <f>_xll.BDP("943521QE Muni","STATE_CODE")</f>
        <v>#N/A Requesting Data...</v>
      </c>
      <c r="E2318" t="str">
        <f>_xll.BDP("943521QE Muni","COUNTY_LOCATION_ISSUER")</f>
        <v>#N/A Requesting Data...</v>
      </c>
      <c r="F2318" t="str">
        <f>_xll.BDP("943521QE Muni","DUR_ADJ_MID")</f>
        <v>#N/A Requesting Data...</v>
      </c>
      <c r="G2318" t="str">
        <f>_xll.BDP("943521QE Muni","SPREAD_AT_ISSUANCE_TO_WORST")</f>
        <v>#N/A Requesting Data...</v>
      </c>
      <c r="H2318" t="str">
        <f>_xll.BDP("943521QE Muni","ISSUE_DT")</f>
        <v>#N/A Requesting Data...</v>
      </c>
      <c r="I2318" t="str">
        <f>_xll.BDS("943521QE Muni","MUNI_PURPOSE_SCHED", "aggregate=y")</f>
        <v>#N/A Requesting Data...</v>
      </c>
      <c r="J2318" t="str">
        <f>_xll.BDP("943521QE Muni","CPN")</f>
        <v>#N/A Requesting Data...</v>
      </c>
      <c r="K2318" t="str">
        <f>_xll.BDP("943521QE Muni","MATURITY")</f>
        <v>#N/A Requesting Data...</v>
      </c>
      <c r="L2318">
        <v>155000</v>
      </c>
      <c r="M2318" t="str">
        <f>_xll.BDP("943521QE Muni","YIELD_ON_ISSUE_DATE")</f>
        <v>#N/A Requesting Data...</v>
      </c>
      <c r="N2318" t="str">
        <f>_xll.BDP("943521QE Muni","YTW_SPREAD_TO_MATURITY_AT_ISSU")</f>
        <v>#N/A Requesting Data...</v>
      </c>
      <c r="O2318" t="str">
        <f>_xll.BDP("943521QE Muni","BVAL_MID_YTM")</f>
        <v>#N/A Requesting Data...</v>
      </c>
      <c r="P2318" t="str">
        <f>_xll.BDP("943521QE Muni","MUNI_TAX_PROV")</f>
        <v>#N/A Requesting Data...</v>
      </c>
      <c r="Q2318" t="str">
        <f>_xll.BDP("943521QE Muni","MUNI_FED_TAX")</f>
        <v>#N/A Requesting Data...</v>
      </c>
      <c r="R2318" t="str">
        <f>_xll.BDP("943521QE Muni","MUNI_MSRB_VOLUME")</f>
        <v>#N/A Requesting Data...</v>
      </c>
      <c r="S2318" t="str">
        <f>_xll.BDP("943521QE Muni","BB_COMPOSITE")</f>
        <v>#N/A Requesting Data...</v>
      </c>
      <c r="T2318" t="str">
        <f>_xll.BDP("943521QE Muni","LQA_LIQUIDITY_SCORE")</f>
        <v>#N/A Requesting Data...</v>
      </c>
    </row>
    <row r="2319" spans="1:20" x14ac:dyDescent="0.25">
      <c r="A2319" t="str">
        <f>_xll.BDP("943521QF Muni","ID_CUSIP")</f>
        <v>#N/A Requesting Data...</v>
      </c>
      <c r="B2319" t="s">
        <v>548</v>
      </c>
      <c r="C2319" t="str">
        <f>_xll.BDP("943521QF Muni","INSURANCE_STATUS")</f>
        <v>#N/A Requesting Data...</v>
      </c>
      <c r="D2319" t="str">
        <f>_xll.BDP("943521QF Muni","STATE_CODE")</f>
        <v>#N/A Requesting Data...</v>
      </c>
      <c r="E2319" t="str">
        <f>_xll.BDP("943521QF Muni","COUNTY_LOCATION_ISSUER")</f>
        <v>#N/A Requesting Data...</v>
      </c>
      <c r="F2319" t="str">
        <f>_xll.BDP("943521QF Muni","DUR_ADJ_MID")</f>
        <v>#N/A Requesting Data...</v>
      </c>
      <c r="G2319" t="str">
        <f>_xll.BDP("943521QF Muni","SPREAD_AT_ISSUANCE_TO_WORST")</f>
        <v>#N/A Requesting Data...</v>
      </c>
      <c r="H2319" t="str">
        <f>_xll.BDP("943521QF Muni","ISSUE_DT")</f>
        <v>#N/A Requesting Data...</v>
      </c>
      <c r="I2319" t="str">
        <f>_xll.BDS("943521QF Muni","MUNI_PURPOSE_SCHED", "aggregate=y")</f>
        <v>#N/A Requesting Data...</v>
      </c>
      <c r="J2319" t="str">
        <f>_xll.BDP("943521QF Muni","CPN")</f>
        <v>#N/A Requesting Data...</v>
      </c>
      <c r="K2319" t="str">
        <f>_xll.BDP("943521QF Muni","MATURITY")</f>
        <v>#N/A Requesting Data...</v>
      </c>
      <c r="L2319">
        <v>160000</v>
      </c>
      <c r="M2319" t="str">
        <f>_xll.BDP("943521QF Muni","YIELD_ON_ISSUE_DATE")</f>
        <v>#N/A Requesting Data...</v>
      </c>
      <c r="N2319" t="str">
        <f>_xll.BDP("943521QF Muni","YTW_SPREAD_TO_MATURITY_AT_ISSU")</f>
        <v>#N/A Requesting Data...</v>
      </c>
      <c r="O2319" t="str">
        <f>_xll.BDP("943521QF Muni","BVAL_MID_YTM")</f>
        <v>#N/A Requesting Data...</v>
      </c>
      <c r="P2319" t="str">
        <f>_xll.BDP("943521QF Muni","MUNI_TAX_PROV")</f>
        <v>#N/A Requesting Data...</v>
      </c>
      <c r="Q2319" t="str">
        <f>_xll.BDP("943521QF Muni","MUNI_FED_TAX")</f>
        <v>#N/A Requesting Data...</v>
      </c>
      <c r="R2319" t="str">
        <f>_xll.BDP("943521QF Muni","MUNI_MSRB_VOLUME")</f>
        <v>#N/A Requesting Data...</v>
      </c>
      <c r="S2319" t="str">
        <f>_xll.BDP("943521QF Muni","BB_COMPOSITE")</f>
        <v>#N/A Requesting Data...</v>
      </c>
      <c r="T2319" t="str">
        <f>_xll.BDP("943521QF Muni","LQA_LIQUIDITY_SCORE")</f>
        <v>#N/A Requesting Data...</v>
      </c>
    </row>
    <row r="2320" spans="1:20" x14ac:dyDescent="0.25">
      <c r="A2320" t="str">
        <f>_xll.BDP("943665DW Muni","ID_CUSIP")</f>
        <v>#N/A Requesting Data...</v>
      </c>
      <c r="B2320" t="s">
        <v>549</v>
      </c>
      <c r="C2320" t="str">
        <f>_xll.BDP("943665DW Muni","INSURANCE_STATUS")</f>
        <v>#N/A Requesting Data...</v>
      </c>
      <c r="D2320" t="str">
        <f>_xll.BDP("943665DW Muni","STATE_CODE")</f>
        <v>#N/A Requesting Data...</v>
      </c>
      <c r="E2320" t="str">
        <f>_xll.BDP("943665DW Muni","COUNTY_LOCATION_ISSUER")</f>
        <v>#N/A Requesting Data...</v>
      </c>
      <c r="F2320" t="str">
        <f>_xll.BDP("943665DW Muni","DUR_ADJ_MID")</f>
        <v>#N/A Requesting Data...</v>
      </c>
      <c r="G2320" t="str">
        <f>_xll.BDP("943665DW Muni","SPREAD_AT_ISSUANCE_TO_WORST")</f>
        <v>#N/A Requesting Data...</v>
      </c>
      <c r="H2320" t="str">
        <f>_xll.BDP("943665DW Muni","ISSUE_DT")</f>
        <v>#N/A Requesting Data...</v>
      </c>
      <c r="I2320" t="str">
        <f>_xll.BDS("943665DW Muni","MUNI_PURPOSE_SCHED", "aggregate=y")</f>
        <v>#N/A Requesting Data...</v>
      </c>
      <c r="J2320" t="str">
        <f>_xll.BDP("943665DW Muni","CPN")</f>
        <v>#N/A Requesting Data...</v>
      </c>
      <c r="K2320" t="str">
        <f>_xll.BDP("943665DW Muni","MATURITY")</f>
        <v>#N/A Requesting Data...</v>
      </c>
      <c r="L2320">
        <v>160000</v>
      </c>
      <c r="M2320" t="str">
        <f>_xll.BDP("943665DW Muni","YIELD_ON_ISSUE_DATE")</f>
        <v>#N/A Requesting Data...</v>
      </c>
      <c r="N2320" t="str">
        <f>_xll.BDP("943665DW Muni","YTW_SPREAD_TO_MATURITY_AT_ISSU")</f>
        <v>#N/A Requesting Data...</v>
      </c>
      <c r="O2320" t="str">
        <f>_xll.BDP("943665DW Muni","BVAL_MID_YTM")</f>
        <v>#N/A Requesting Data...</v>
      </c>
      <c r="P2320" t="str">
        <f>_xll.BDP("943665DW Muni","MUNI_TAX_PROV")</f>
        <v>#N/A Requesting Data...</v>
      </c>
      <c r="Q2320" t="str">
        <f>_xll.BDP("943665DW Muni","MUNI_FED_TAX")</f>
        <v>#N/A Requesting Data...</v>
      </c>
      <c r="R2320" t="str">
        <f>_xll.BDP("943665DW Muni","MUNI_MSRB_VOLUME")</f>
        <v>#N/A Requesting Data...</v>
      </c>
      <c r="S2320" t="str">
        <f>_xll.BDP("943665DW Muni","BB_COMPOSITE")</f>
        <v>#N/A Requesting Data...</v>
      </c>
      <c r="T2320" t="str">
        <f>_xll.BDP("943665DW Muni","LQA_LIQUIDITY_SCORE")</f>
        <v>#N/A Requesting Data...</v>
      </c>
    </row>
    <row r="2321" spans="1:20" x14ac:dyDescent="0.25">
      <c r="A2321" t="str">
        <f>_xll.BDP("943665DX Muni","ID_CUSIP")</f>
        <v>#N/A Requesting Data...</v>
      </c>
      <c r="B2321" t="s">
        <v>549</v>
      </c>
      <c r="C2321" t="str">
        <f>_xll.BDP("943665DX Muni","INSURANCE_STATUS")</f>
        <v>#N/A Requesting Data...</v>
      </c>
      <c r="D2321" t="str">
        <f>_xll.BDP("943665DX Muni","STATE_CODE")</f>
        <v>#N/A Requesting Data...</v>
      </c>
      <c r="E2321" t="str">
        <f>_xll.BDP("943665DX Muni","COUNTY_LOCATION_ISSUER")</f>
        <v>#N/A Requesting Data...</v>
      </c>
      <c r="F2321" t="str">
        <f>_xll.BDP("943665DX Muni","DUR_ADJ_MID")</f>
        <v>#N/A Requesting Data...</v>
      </c>
      <c r="G2321" t="str">
        <f>_xll.BDP("943665DX Muni","SPREAD_AT_ISSUANCE_TO_WORST")</f>
        <v>#N/A Requesting Data...</v>
      </c>
      <c r="H2321" t="str">
        <f>_xll.BDP("943665DX Muni","ISSUE_DT")</f>
        <v>#N/A Requesting Data...</v>
      </c>
      <c r="I2321" t="str">
        <f>_xll.BDS("943665DX Muni","MUNI_PURPOSE_SCHED", "aggregate=y")</f>
        <v>#N/A Requesting Data...</v>
      </c>
      <c r="J2321" t="str">
        <f>_xll.BDP("943665DX Muni","CPN")</f>
        <v>#N/A Requesting Data...</v>
      </c>
      <c r="K2321" t="str">
        <f>_xll.BDP("943665DX Muni","MATURITY")</f>
        <v>#N/A Requesting Data...</v>
      </c>
      <c r="L2321">
        <v>165000</v>
      </c>
      <c r="M2321" t="str">
        <f>_xll.BDP("943665DX Muni","YIELD_ON_ISSUE_DATE")</f>
        <v>#N/A Requesting Data...</v>
      </c>
      <c r="N2321" t="str">
        <f>_xll.BDP("943665DX Muni","YTW_SPREAD_TO_MATURITY_AT_ISSU")</f>
        <v>#N/A Requesting Data...</v>
      </c>
      <c r="O2321" t="str">
        <f>_xll.BDP("943665DX Muni","BVAL_MID_YTM")</f>
        <v>#N/A Requesting Data...</v>
      </c>
      <c r="P2321" t="str">
        <f>_xll.BDP("943665DX Muni","MUNI_TAX_PROV")</f>
        <v>#N/A Requesting Data...</v>
      </c>
      <c r="Q2321" t="str">
        <f>_xll.BDP("943665DX Muni","MUNI_FED_TAX")</f>
        <v>#N/A Requesting Data...</v>
      </c>
      <c r="R2321" t="str">
        <f>_xll.BDP("943665DX Muni","MUNI_MSRB_VOLUME")</f>
        <v>#N/A Requesting Data...</v>
      </c>
      <c r="S2321" t="str">
        <f>_xll.BDP("943665DX Muni","BB_COMPOSITE")</f>
        <v>#N/A Requesting Data...</v>
      </c>
      <c r="T2321" t="str">
        <f>_xll.BDP("943665DX Muni","LQA_LIQUIDITY_SCORE")</f>
        <v>#N/A Requesting Data...</v>
      </c>
    </row>
    <row r="2322" spans="1:20" x14ac:dyDescent="0.25">
      <c r="A2322" t="str">
        <f>_xll.BDP("943665DY Muni","ID_CUSIP")</f>
        <v>#N/A Requesting Data...</v>
      </c>
      <c r="B2322" t="s">
        <v>549</v>
      </c>
      <c r="C2322" t="str">
        <f>_xll.BDP("943665DY Muni","INSURANCE_STATUS")</f>
        <v>#N/A Requesting Data...</v>
      </c>
      <c r="D2322" t="str">
        <f>_xll.BDP("943665DY Muni","STATE_CODE")</f>
        <v>#N/A Requesting Data...</v>
      </c>
      <c r="E2322" t="str">
        <f>_xll.BDP("943665DY Muni","COUNTY_LOCATION_ISSUER")</f>
        <v>#N/A Requesting Data...</v>
      </c>
      <c r="F2322" t="str">
        <f>_xll.BDP("943665DY Muni","DUR_ADJ_MID")</f>
        <v>#N/A Requesting Data...</v>
      </c>
      <c r="G2322" t="str">
        <f>_xll.BDP("943665DY Muni","SPREAD_AT_ISSUANCE_TO_WORST")</f>
        <v>#N/A Requesting Data...</v>
      </c>
      <c r="H2322" t="str">
        <f>_xll.BDP("943665DY Muni","ISSUE_DT")</f>
        <v>#N/A Requesting Data...</v>
      </c>
      <c r="I2322" t="str">
        <f>_xll.BDS("943665DY Muni","MUNI_PURPOSE_SCHED", "aggregate=y")</f>
        <v>#N/A Requesting Data...</v>
      </c>
      <c r="J2322" t="str">
        <f>_xll.BDP("943665DY Muni","CPN")</f>
        <v>#N/A Requesting Data...</v>
      </c>
      <c r="K2322" t="str">
        <f>_xll.BDP("943665DY Muni","MATURITY")</f>
        <v>#N/A Requesting Data...</v>
      </c>
      <c r="L2322">
        <v>170000</v>
      </c>
      <c r="M2322" t="str">
        <f>_xll.BDP("943665DY Muni","YIELD_ON_ISSUE_DATE")</f>
        <v>#N/A Requesting Data...</v>
      </c>
      <c r="N2322" t="str">
        <f>_xll.BDP("943665DY Muni","YTW_SPREAD_TO_MATURITY_AT_ISSU")</f>
        <v>#N/A Requesting Data...</v>
      </c>
      <c r="O2322" t="str">
        <f>_xll.BDP("943665DY Muni","BVAL_MID_YTM")</f>
        <v>#N/A Requesting Data...</v>
      </c>
      <c r="P2322" t="str">
        <f>_xll.BDP("943665DY Muni","MUNI_TAX_PROV")</f>
        <v>#N/A Requesting Data...</v>
      </c>
      <c r="Q2322" t="str">
        <f>_xll.BDP("943665DY Muni","MUNI_FED_TAX")</f>
        <v>#N/A Requesting Data...</v>
      </c>
      <c r="R2322" t="str">
        <f>_xll.BDP("943665DY Muni","MUNI_MSRB_VOLUME")</f>
        <v>#N/A Requesting Data...</v>
      </c>
      <c r="S2322" t="str">
        <f>_xll.BDP("943665DY Muni","BB_COMPOSITE")</f>
        <v>#N/A Requesting Data...</v>
      </c>
      <c r="T2322" t="str">
        <f>_xll.BDP("943665DY Muni","LQA_LIQUIDITY_SCORE")</f>
        <v>#N/A Requesting Data...</v>
      </c>
    </row>
    <row r="2323" spans="1:20" x14ac:dyDescent="0.25">
      <c r="A2323" t="str">
        <f>_xll.BDP("943725FN Muni","ID_CUSIP")</f>
        <v>#N/A Requesting Data...</v>
      </c>
      <c r="B2323" t="s">
        <v>550</v>
      </c>
      <c r="C2323" t="str">
        <f>_xll.BDP("943725FN Muni","INSURANCE_STATUS")</f>
        <v>#N/A Requesting Data...</v>
      </c>
      <c r="D2323" t="str">
        <f>_xll.BDP("943725FN Muni","STATE_CODE")</f>
        <v>#N/A Requesting Data...</v>
      </c>
      <c r="E2323" t="str">
        <f>_xll.BDP("943725FN Muni","COUNTY_LOCATION_ISSUER")</f>
        <v>#N/A Requesting Data...</v>
      </c>
      <c r="F2323" t="str">
        <f>_xll.BDP("943725FN Muni","DUR_ADJ_MID")</f>
        <v>#N/A Requesting Data...</v>
      </c>
      <c r="G2323" t="str">
        <f>_xll.BDP("943725FN Muni","SPREAD_AT_ISSUANCE_TO_WORST")</f>
        <v>#N/A Requesting Data...</v>
      </c>
      <c r="H2323" t="str">
        <f>_xll.BDP("943725FN Muni","ISSUE_DT")</f>
        <v>#N/A Requesting Data...</v>
      </c>
      <c r="I2323" t="str">
        <f>_xll.BDS("943725FN Muni","MUNI_PURPOSE_SCHED", "aggregate=y")</f>
        <v>#N/A Requesting Data...</v>
      </c>
      <c r="J2323" t="str">
        <f>_xll.BDP("943725FN Muni","CPN")</f>
        <v>#N/A Requesting Data...</v>
      </c>
      <c r="K2323" t="str">
        <f>_xll.BDP("943725FN Muni","MATURITY")</f>
        <v>#N/A Requesting Data...</v>
      </c>
      <c r="L2323">
        <v>110000</v>
      </c>
      <c r="M2323" t="str">
        <f>_xll.BDP("943725FN Muni","YIELD_ON_ISSUE_DATE")</f>
        <v>#N/A Requesting Data...</v>
      </c>
      <c r="N2323" t="str">
        <f>_xll.BDP("943725FN Muni","YTW_SPREAD_TO_MATURITY_AT_ISSU")</f>
        <v>#N/A Requesting Data...</v>
      </c>
      <c r="O2323" t="str">
        <f>_xll.BDP("943725FN Muni","BVAL_MID_YTM")</f>
        <v>#N/A Requesting Data...</v>
      </c>
      <c r="P2323" t="str">
        <f>_xll.BDP("943725FN Muni","MUNI_TAX_PROV")</f>
        <v>#N/A Requesting Data...</v>
      </c>
      <c r="Q2323" t="str">
        <f>_xll.BDP("943725FN Muni","MUNI_FED_TAX")</f>
        <v>#N/A Requesting Data...</v>
      </c>
      <c r="R2323" t="str">
        <f>_xll.BDP("943725FN Muni","MUNI_MSRB_VOLUME")</f>
        <v>#N/A Requesting Data...</v>
      </c>
      <c r="S2323" t="str">
        <f>_xll.BDP("943725FN Muni","BB_COMPOSITE")</f>
        <v>#N/A Requesting Data...</v>
      </c>
      <c r="T2323" t="str">
        <f>_xll.BDP("943725FN Muni","LQA_LIQUIDITY_SCORE")</f>
        <v>#N/A Requesting Data...</v>
      </c>
    </row>
    <row r="2324" spans="1:20" x14ac:dyDescent="0.25">
      <c r="A2324" t="str">
        <f>_xll.BDP("943725FP Muni","ID_CUSIP")</f>
        <v>#N/A Requesting Data...</v>
      </c>
      <c r="B2324" t="s">
        <v>550</v>
      </c>
      <c r="C2324" t="str">
        <f>_xll.BDP("943725FP Muni","INSURANCE_STATUS")</f>
        <v>#N/A Requesting Data...</v>
      </c>
      <c r="D2324" t="str">
        <f>_xll.BDP("943725FP Muni","STATE_CODE")</f>
        <v>#N/A Requesting Data...</v>
      </c>
      <c r="E2324" t="str">
        <f>_xll.BDP("943725FP Muni","COUNTY_LOCATION_ISSUER")</f>
        <v>#N/A Requesting Data...</v>
      </c>
      <c r="F2324" t="str">
        <f>_xll.BDP("943725FP Muni","DUR_ADJ_MID")</f>
        <v>#N/A Requesting Data...</v>
      </c>
      <c r="G2324" t="str">
        <f>_xll.BDP("943725FP Muni","SPREAD_AT_ISSUANCE_TO_WORST")</f>
        <v>#N/A Requesting Data...</v>
      </c>
      <c r="H2324" t="str">
        <f>_xll.BDP("943725FP Muni","ISSUE_DT")</f>
        <v>#N/A Requesting Data...</v>
      </c>
      <c r="I2324" t="str">
        <f>_xll.BDS("943725FP Muni","MUNI_PURPOSE_SCHED", "aggregate=y")</f>
        <v>#N/A Requesting Data...</v>
      </c>
      <c r="J2324" t="str">
        <f>_xll.BDP("943725FP Muni","CPN")</f>
        <v>#N/A Requesting Data...</v>
      </c>
      <c r="K2324" t="str">
        <f>_xll.BDP("943725FP Muni","MATURITY")</f>
        <v>#N/A Requesting Data...</v>
      </c>
      <c r="L2324">
        <v>70000</v>
      </c>
      <c r="M2324" t="str">
        <f>_xll.BDP("943725FP Muni","YIELD_ON_ISSUE_DATE")</f>
        <v>#N/A Requesting Data...</v>
      </c>
      <c r="N2324" t="str">
        <f>_xll.BDP("943725FP Muni","YTW_SPREAD_TO_MATURITY_AT_ISSU")</f>
        <v>#N/A Requesting Data...</v>
      </c>
      <c r="O2324" t="str">
        <f>_xll.BDP("943725FP Muni","BVAL_MID_YTM")</f>
        <v>#N/A Requesting Data...</v>
      </c>
      <c r="P2324" t="str">
        <f>_xll.BDP("943725FP Muni","MUNI_TAX_PROV")</f>
        <v>#N/A Requesting Data...</v>
      </c>
      <c r="Q2324" t="str">
        <f>_xll.BDP("943725FP Muni","MUNI_FED_TAX")</f>
        <v>#N/A Requesting Data...</v>
      </c>
      <c r="R2324" t="str">
        <f>_xll.BDP("943725FP Muni","MUNI_MSRB_VOLUME")</f>
        <v>#N/A Requesting Data...</v>
      </c>
      <c r="S2324" t="str">
        <f>_xll.BDP("943725FP Muni","BB_COMPOSITE")</f>
        <v>#N/A Requesting Data...</v>
      </c>
      <c r="T2324" t="str">
        <f>_xll.BDP("943725FP Muni","LQA_LIQUIDITY_SCORE")</f>
        <v>#N/A Requesting Data...</v>
      </c>
    </row>
    <row r="2325" spans="1:20" x14ac:dyDescent="0.25">
      <c r="A2325" t="str">
        <f>_xll.BDP("943725FQ Muni","ID_CUSIP")</f>
        <v>#N/A Requesting Data...</v>
      </c>
      <c r="B2325" t="s">
        <v>550</v>
      </c>
      <c r="C2325" t="str">
        <f>_xll.BDP("943725FQ Muni","INSURANCE_STATUS")</f>
        <v>#N/A Requesting Data...</v>
      </c>
      <c r="D2325" t="str">
        <f>_xll.BDP("943725FQ Muni","STATE_CODE")</f>
        <v>#N/A Requesting Data...</v>
      </c>
      <c r="E2325" t="str">
        <f>_xll.BDP("943725FQ Muni","COUNTY_LOCATION_ISSUER")</f>
        <v>#N/A Requesting Data...</v>
      </c>
      <c r="F2325" t="str">
        <f>_xll.BDP("943725FQ Muni","DUR_ADJ_MID")</f>
        <v>#N/A Requesting Data...</v>
      </c>
      <c r="G2325" t="str">
        <f>_xll.BDP("943725FQ Muni","SPREAD_AT_ISSUANCE_TO_WORST")</f>
        <v>#N/A Requesting Data...</v>
      </c>
      <c r="H2325" t="str">
        <f>_xll.BDP("943725FQ Muni","ISSUE_DT")</f>
        <v>#N/A Requesting Data...</v>
      </c>
      <c r="I2325" t="str">
        <f>_xll.BDS("943725FQ Muni","MUNI_PURPOSE_SCHED", "aggregate=y")</f>
        <v>#N/A Requesting Data...</v>
      </c>
      <c r="J2325" t="str">
        <f>_xll.BDP("943725FQ Muni","CPN")</f>
        <v>#N/A Requesting Data...</v>
      </c>
      <c r="K2325" t="str">
        <f>_xll.BDP("943725FQ Muni","MATURITY")</f>
        <v>#N/A Requesting Data...</v>
      </c>
      <c r="L2325">
        <v>170000</v>
      </c>
      <c r="M2325" t="str">
        <f>_xll.BDP("943725FQ Muni","YIELD_ON_ISSUE_DATE")</f>
        <v>#N/A Requesting Data...</v>
      </c>
      <c r="N2325" t="str">
        <f>_xll.BDP("943725FQ Muni","YTW_SPREAD_TO_MATURITY_AT_ISSU")</f>
        <v>#N/A Requesting Data...</v>
      </c>
      <c r="O2325" t="str">
        <f>_xll.BDP("943725FQ Muni","BVAL_MID_YTM")</f>
        <v>#N/A Requesting Data...</v>
      </c>
      <c r="P2325" t="str">
        <f>_xll.BDP("943725FQ Muni","MUNI_TAX_PROV")</f>
        <v>#N/A Requesting Data...</v>
      </c>
      <c r="Q2325" t="str">
        <f>_xll.BDP("943725FQ Muni","MUNI_FED_TAX")</f>
        <v>#N/A Requesting Data...</v>
      </c>
      <c r="R2325" t="str">
        <f>_xll.BDP("943725FQ Muni","MUNI_MSRB_VOLUME")</f>
        <v>#N/A Requesting Data...</v>
      </c>
      <c r="S2325" t="str">
        <f>_xll.BDP("943725FQ Muni","BB_COMPOSITE")</f>
        <v>#N/A Requesting Data...</v>
      </c>
      <c r="T2325" t="str">
        <f>_xll.BDP("943725FQ Muni","LQA_LIQUIDITY_SCORE")</f>
        <v>#N/A Requesting Data...</v>
      </c>
    </row>
    <row r="2326" spans="1:20" x14ac:dyDescent="0.25">
      <c r="A2326" t="str">
        <f>_xll.BDP("943725FR Muni","ID_CUSIP")</f>
        <v>#N/A Requesting Data...</v>
      </c>
      <c r="B2326" t="s">
        <v>550</v>
      </c>
      <c r="C2326" t="str">
        <f>_xll.BDP("943725FR Muni","INSURANCE_STATUS")</f>
        <v>#N/A Requesting Data...</v>
      </c>
      <c r="D2326" t="str">
        <f>_xll.BDP("943725FR Muni","STATE_CODE")</f>
        <v>#N/A Requesting Data...</v>
      </c>
      <c r="E2326" t="str">
        <f>_xll.BDP("943725FR Muni","COUNTY_LOCATION_ISSUER")</f>
        <v>#N/A Requesting Data...</v>
      </c>
      <c r="F2326" t="str">
        <f>_xll.BDP("943725FR Muni","DUR_ADJ_MID")</f>
        <v>#N/A Requesting Data...</v>
      </c>
      <c r="G2326" t="str">
        <f>_xll.BDP("943725FR Muni","SPREAD_AT_ISSUANCE_TO_WORST")</f>
        <v>#N/A Requesting Data...</v>
      </c>
      <c r="H2326" t="str">
        <f>_xll.BDP("943725FR Muni","ISSUE_DT")</f>
        <v>#N/A Requesting Data...</v>
      </c>
      <c r="I2326" t="str">
        <f>_xll.BDS("943725FR Muni","MUNI_PURPOSE_SCHED", "aggregate=y")</f>
        <v>#N/A Requesting Data...</v>
      </c>
      <c r="J2326" t="str">
        <f>_xll.BDP("943725FR Muni","CPN")</f>
        <v>#N/A Requesting Data...</v>
      </c>
      <c r="K2326" t="str">
        <f>_xll.BDP("943725FR Muni","MATURITY")</f>
        <v>#N/A Requesting Data...</v>
      </c>
      <c r="L2326">
        <v>130000</v>
      </c>
      <c r="M2326" t="str">
        <f>_xll.BDP("943725FR Muni","YIELD_ON_ISSUE_DATE")</f>
        <v>#N/A Requesting Data...</v>
      </c>
      <c r="N2326" t="str">
        <f>_xll.BDP("943725FR Muni","YTW_SPREAD_TO_MATURITY_AT_ISSU")</f>
        <v>#N/A Requesting Data...</v>
      </c>
      <c r="O2326" t="str">
        <f>_xll.BDP("943725FR Muni","BVAL_MID_YTM")</f>
        <v>#N/A Requesting Data...</v>
      </c>
      <c r="P2326" t="str">
        <f>_xll.BDP("943725FR Muni","MUNI_TAX_PROV")</f>
        <v>#N/A Requesting Data...</v>
      </c>
      <c r="Q2326" t="str">
        <f>_xll.BDP("943725FR Muni","MUNI_FED_TAX")</f>
        <v>#N/A Requesting Data...</v>
      </c>
      <c r="R2326" t="str">
        <f>_xll.BDP("943725FR Muni","MUNI_MSRB_VOLUME")</f>
        <v>#N/A Requesting Data...</v>
      </c>
      <c r="S2326" t="str">
        <f>_xll.BDP("943725FR Muni","BB_COMPOSITE")</f>
        <v>#N/A Requesting Data...</v>
      </c>
      <c r="T2326" t="str">
        <f>_xll.BDP("943725FR Muni","LQA_LIQUIDITY_SCORE")</f>
        <v>#N/A Requesting Data...</v>
      </c>
    </row>
    <row r="2327" spans="1:20" x14ac:dyDescent="0.25">
      <c r="A2327" t="str">
        <f>_xll.BDP("944080H4 Muni","ID_CUSIP")</f>
        <v>#N/A Requesting Data...</v>
      </c>
      <c r="B2327" t="s">
        <v>551</v>
      </c>
      <c r="C2327" t="str">
        <f>_xll.BDP("944080H4 Muni","INSURANCE_STATUS")</f>
        <v>#N/A Requesting Data...</v>
      </c>
      <c r="D2327" t="str">
        <f>_xll.BDP("944080H4 Muni","STATE_CODE")</f>
        <v>#N/A Requesting Data...</v>
      </c>
      <c r="E2327" t="str">
        <f>_xll.BDP("944080H4 Muni","COUNTY_LOCATION_ISSUER")</f>
        <v>#N/A Requesting Data...</v>
      </c>
      <c r="F2327" t="str">
        <f>_xll.BDP("944080H4 Muni","DUR_ADJ_MID")</f>
        <v>#N/A Requesting Data...</v>
      </c>
      <c r="G2327" t="str">
        <f>_xll.BDP("944080H4 Muni","SPREAD_AT_ISSUANCE_TO_WORST")</f>
        <v>#N/A Requesting Data...</v>
      </c>
      <c r="H2327" t="str">
        <f>_xll.BDP("944080H4 Muni","ISSUE_DT")</f>
        <v>#N/A Requesting Data...</v>
      </c>
      <c r="I2327" t="str">
        <f>_xll.BDS("944080H4 Muni","MUNI_PURPOSE_SCHED", "aggregate=y")</f>
        <v>#N/A Requesting Data...</v>
      </c>
      <c r="J2327" t="str">
        <f>_xll.BDP("944080H4 Muni","CPN")</f>
        <v>#N/A Requesting Data...</v>
      </c>
      <c r="K2327" t="str">
        <f>_xll.BDP("944080H4 Muni","MATURITY")</f>
        <v>#N/A Requesting Data...</v>
      </c>
      <c r="L2327">
        <v>505000</v>
      </c>
      <c r="M2327" t="str">
        <f>_xll.BDP("944080H4 Muni","YIELD_ON_ISSUE_DATE")</f>
        <v>#N/A Requesting Data...</v>
      </c>
      <c r="N2327" t="str">
        <f>_xll.BDP("944080H4 Muni","YTW_SPREAD_TO_MATURITY_AT_ISSU")</f>
        <v>#N/A Requesting Data...</v>
      </c>
      <c r="O2327" t="str">
        <f>_xll.BDP("944080H4 Muni","BVAL_MID_YTM")</f>
        <v>#N/A Requesting Data...</v>
      </c>
      <c r="P2327" t="str">
        <f>_xll.BDP("944080H4 Muni","MUNI_TAX_PROV")</f>
        <v>#N/A Requesting Data...</v>
      </c>
      <c r="Q2327" t="str">
        <f>_xll.BDP("944080H4 Muni","MUNI_FED_TAX")</f>
        <v>#N/A Requesting Data...</v>
      </c>
      <c r="R2327" t="str">
        <f>_xll.BDP("944080H4 Muni","MUNI_MSRB_VOLUME")</f>
        <v>#N/A Requesting Data...</v>
      </c>
      <c r="S2327" t="str">
        <f>_xll.BDP("944080H4 Muni","BB_COMPOSITE")</f>
        <v>#N/A Requesting Data...</v>
      </c>
      <c r="T2327" t="str">
        <f>_xll.BDP("944080H4 Muni","LQA_LIQUIDITY_SCORE")</f>
        <v>#N/A Requesting Data...</v>
      </c>
    </row>
    <row r="2328" spans="1:20" x14ac:dyDescent="0.25">
      <c r="A2328" t="str">
        <f>_xll.BDP("944080H5 Muni","ID_CUSIP")</f>
        <v>#N/A Requesting Data...</v>
      </c>
      <c r="B2328" t="s">
        <v>551</v>
      </c>
      <c r="C2328" t="str">
        <f>_xll.BDP("944080H5 Muni","INSURANCE_STATUS")</f>
        <v>#N/A Requesting Data...</v>
      </c>
      <c r="D2328" t="str">
        <f>_xll.BDP("944080H5 Muni","STATE_CODE")</f>
        <v>#N/A Requesting Data...</v>
      </c>
      <c r="E2328" t="str">
        <f>_xll.BDP("944080H5 Muni","COUNTY_LOCATION_ISSUER")</f>
        <v>#N/A Requesting Data...</v>
      </c>
      <c r="F2328" t="str">
        <f>_xll.BDP("944080H5 Muni","DUR_ADJ_MID")</f>
        <v>#N/A Requesting Data...</v>
      </c>
      <c r="G2328" t="str">
        <f>_xll.BDP("944080H5 Muni","SPREAD_AT_ISSUANCE_TO_WORST")</f>
        <v>#N/A Requesting Data...</v>
      </c>
      <c r="H2328" t="str">
        <f>_xll.BDP("944080H5 Muni","ISSUE_DT")</f>
        <v>#N/A Requesting Data...</v>
      </c>
      <c r="I2328" t="str">
        <f>_xll.BDS("944080H5 Muni","MUNI_PURPOSE_SCHED", "aggregate=y")</f>
        <v>#N/A Requesting Data...</v>
      </c>
      <c r="J2328" t="str">
        <f>_xll.BDP("944080H5 Muni","CPN")</f>
        <v>#N/A Requesting Data...</v>
      </c>
      <c r="K2328" t="str">
        <f>_xll.BDP("944080H5 Muni","MATURITY")</f>
        <v>#N/A Requesting Data...</v>
      </c>
      <c r="L2328">
        <v>520000</v>
      </c>
      <c r="M2328" t="str">
        <f>_xll.BDP("944080H5 Muni","YIELD_ON_ISSUE_DATE")</f>
        <v>#N/A Requesting Data...</v>
      </c>
      <c r="N2328" t="str">
        <f>_xll.BDP("944080H5 Muni","YTW_SPREAD_TO_MATURITY_AT_ISSU")</f>
        <v>#N/A Requesting Data...</v>
      </c>
      <c r="O2328" t="str">
        <f>_xll.BDP("944080H5 Muni","BVAL_MID_YTM")</f>
        <v>#N/A Requesting Data...</v>
      </c>
      <c r="P2328" t="str">
        <f>_xll.BDP("944080H5 Muni","MUNI_TAX_PROV")</f>
        <v>#N/A Requesting Data...</v>
      </c>
      <c r="Q2328" t="str">
        <f>_xll.BDP("944080H5 Muni","MUNI_FED_TAX")</f>
        <v>#N/A Requesting Data...</v>
      </c>
      <c r="R2328" t="str">
        <f>_xll.BDP("944080H5 Muni","MUNI_MSRB_VOLUME")</f>
        <v>#N/A Requesting Data...</v>
      </c>
      <c r="S2328" t="str">
        <f>_xll.BDP("944080H5 Muni","BB_COMPOSITE")</f>
        <v>#N/A Requesting Data...</v>
      </c>
      <c r="T2328" t="str">
        <f>_xll.BDP("944080H5 Muni","LQA_LIQUIDITY_SCORE")</f>
        <v>#N/A Requesting Data...</v>
      </c>
    </row>
    <row r="2329" spans="1:20" x14ac:dyDescent="0.25">
      <c r="A2329" t="str">
        <f>_xll.BDP("944080H6 Muni","ID_CUSIP")</f>
        <v>#N/A Requesting Data...</v>
      </c>
      <c r="B2329" t="s">
        <v>551</v>
      </c>
      <c r="C2329" t="str">
        <f>_xll.BDP("944080H6 Muni","INSURANCE_STATUS")</f>
        <v>#N/A Requesting Data...</v>
      </c>
      <c r="D2329" t="str">
        <f>_xll.BDP("944080H6 Muni","STATE_CODE")</f>
        <v>#N/A Requesting Data...</v>
      </c>
      <c r="E2329" t="str">
        <f>_xll.BDP("944080H6 Muni","COUNTY_LOCATION_ISSUER")</f>
        <v>#N/A Requesting Data...</v>
      </c>
      <c r="F2329" t="str">
        <f>_xll.BDP("944080H6 Muni","DUR_ADJ_MID")</f>
        <v>#N/A Requesting Data...</v>
      </c>
      <c r="G2329" t="str">
        <f>_xll.BDP("944080H6 Muni","SPREAD_AT_ISSUANCE_TO_WORST")</f>
        <v>#N/A Requesting Data...</v>
      </c>
      <c r="H2329" t="str">
        <f>_xll.BDP("944080H6 Muni","ISSUE_DT")</f>
        <v>#N/A Requesting Data...</v>
      </c>
      <c r="I2329" t="str">
        <f>_xll.BDS("944080H6 Muni","MUNI_PURPOSE_SCHED", "aggregate=y")</f>
        <v>#N/A Requesting Data...</v>
      </c>
      <c r="J2329" t="str">
        <f>_xll.BDP("944080H6 Muni","CPN")</f>
        <v>#N/A Requesting Data...</v>
      </c>
      <c r="K2329" t="str">
        <f>_xll.BDP("944080H6 Muni","MATURITY")</f>
        <v>#N/A Requesting Data...</v>
      </c>
      <c r="L2329">
        <v>550000</v>
      </c>
      <c r="M2329" t="str">
        <f>_xll.BDP("944080H6 Muni","YIELD_ON_ISSUE_DATE")</f>
        <v>#N/A Requesting Data...</v>
      </c>
      <c r="N2329" t="str">
        <f>_xll.BDP("944080H6 Muni","YTW_SPREAD_TO_MATURITY_AT_ISSU")</f>
        <v>#N/A Requesting Data...</v>
      </c>
      <c r="O2329" t="str">
        <f>_xll.BDP("944080H6 Muni","BVAL_MID_YTM")</f>
        <v>#N/A Requesting Data...</v>
      </c>
      <c r="P2329" t="str">
        <f>_xll.BDP("944080H6 Muni","MUNI_TAX_PROV")</f>
        <v>#N/A Requesting Data...</v>
      </c>
      <c r="Q2329" t="str">
        <f>_xll.BDP("944080H6 Muni","MUNI_FED_TAX")</f>
        <v>#N/A Requesting Data...</v>
      </c>
      <c r="R2329" t="str">
        <f>_xll.BDP("944080H6 Muni","MUNI_MSRB_VOLUME")</f>
        <v>#N/A Requesting Data...</v>
      </c>
      <c r="S2329" t="str">
        <f>_xll.BDP("944080H6 Muni","BB_COMPOSITE")</f>
        <v>#N/A Requesting Data...</v>
      </c>
      <c r="T2329" t="str">
        <f>_xll.BDP("944080H6 Muni","LQA_LIQUIDITY_SCORE")</f>
        <v>#N/A Requesting Data...</v>
      </c>
    </row>
    <row r="2330" spans="1:20" x14ac:dyDescent="0.25">
      <c r="A2330" t="str">
        <f>_xll.BDP("944080H7 Muni","ID_CUSIP")</f>
        <v>#N/A Requesting Data...</v>
      </c>
      <c r="B2330" t="s">
        <v>551</v>
      </c>
      <c r="C2330" t="str">
        <f>_xll.BDP("944080H7 Muni","INSURANCE_STATUS")</f>
        <v>#N/A Requesting Data...</v>
      </c>
      <c r="D2330" t="str">
        <f>_xll.BDP("944080H7 Muni","STATE_CODE")</f>
        <v>#N/A Requesting Data...</v>
      </c>
      <c r="E2330" t="str">
        <f>_xll.BDP("944080H7 Muni","COUNTY_LOCATION_ISSUER")</f>
        <v>#N/A Requesting Data...</v>
      </c>
      <c r="F2330" t="str">
        <f>_xll.BDP("944080H7 Muni","DUR_ADJ_MID")</f>
        <v>#N/A Requesting Data...</v>
      </c>
      <c r="G2330" t="str">
        <f>_xll.BDP("944080H7 Muni","SPREAD_AT_ISSUANCE_TO_WORST")</f>
        <v>#N/A Requesting Data...</v>
      </c>
      <c r="H2330" t="str">
        <f>_xll.BDP("944080H7 Muni","ISSUE_DT")</f>
        <v>#N/A Requesting Data...</v>
      </c>
      <c r="I2330" t="str">
        <f>_xll.BDS("944080H7 Muni","MUNI_PURPOSE_SCHED", "aggregate=y")</f>
        <v>#N/A Requesting Data...</v>
      </c>
      <c r="J2330" t="str">
        <f>_xll.BDP("944080H7 Muni","CPN")</f>
        <v>#N/A Requesting Data...</v>
      </c>
      <c r="K2330" t="str">
        <f>_xll.BDP("944080H7 Muni","MATURITY")</f>
        <v>#N/A Requesting Data...</v>
      </c>
      <c r="L2330">
        <v>575000</v>
      </c>
      <c r="M2330" t="str">
        <f>_xll.BDP("944080H7 Muni","YIELD_ON_ISSUE_DATE")</f>
        <v>#N/A Requesting Data...</v>
      </c>
      <c r="N2330" t="str">
        <f>_xll.BDP("944080H7 Muni","YTW_SPREAD_TO_MATURITY_AT_ISSU")</f>
        <v>#N/A Requesting Data...</v>
      </c>
      <c r="O2330" t="str">
        <f>_xll.BDP("944080H7 Muni","BVAL_MID_YTM")</f>
        <v>#N/A Requesting Data...</v>
      </c>
      <c r="P2330" t="str">
        <f>_xll.BDP("944080H7 Muni","MUNI_TAX_PROV")</f>
        <v>#N/A Requesting Data...</v>
      </c>
      <c r="Q2330" t="str">
        <f>_xll.BDP("944080H7 Muni","MUNI_FED_TAX")</f>
        <v>#N/A Requesting Data...</v>
      </c>
      <c r="R2330" t="str">
        <f>_xll.BDP("944080H7 Muni","MUNI_MSRB_VOLUME")</f>
        <v>#N/A Requesting Data...</v>
      </c>
      <c r="S2330" t="str">
        <f>_xll.BDP("944080H7 Muni","BB_COMPOSITE")</f>
        <v>#N/A Requesting Data...</v>
      </c>
      <c r="T2330" t="str">
        <f>_xll.BDP("944080H7 Muni","LQA_LIQUIDITY_SCORE")</f>
        <v>#N/A Requesting Data...</v>
      </c>
    </row>
    <row r="2331" spans="1:20" x14ac:dyDescent="0.25">
      <c r="A2331" t="str">
        <f>_xll.BDP("944080H8 Muni","ID_CUSIP")</f>
        <v>#N/A Requesting Data...</v>
      </c>
      <c r="B2331" t="s">
        <v>551</v>
      </c>
      <c r="C2331" t="str">
        <f>_xll.BDP("944080H8 Muni","INSURANCE_STATUS")</f>
        <v>#N/A Requesting Data...</v>
      </c>
      <c r="D2331" t="str">
        <f>_xll.BDP("944080H8 Muni","STATE_CODE")</f>
        <v>#N/A Requesting Data...</v>
      </c>
      <c r="E2331" t="str">
        <f>_xll.BDP("944080H8 Muni","COUNTY_LOCATION_ISSUER")</f>
        <v>#N/A Requesting Data...</v>
      </c>
      <c r="F2331" t="str">
        <f>_xll.BDP("944080H8 Muni","DUR_ADJ_MID")</f>
        <v>#N/A Requesting Data...</v>
      </c>
      <c r="G2331" t="str">
        <f>_xll.BDP("944080H8 Muni","SPREAD_AT_ISSUANCE_TO_WORST")</f>
        <v>#N/A Requesting Data...</v>
      </c>
      <c r="H2331" t="str">
        <f>_xll.BDP("944080H8 Muni","ISSUE_DT")</f>
        <v>#N/A Requesting Data...</v>
      </c>
      <c r="I2331" t="str">
        <f>_xll.BDS("944080H8 Muni","MUNI_PURPOSE_SCHED", "aggregate=y")</f>
        <v>#N/A Requesting Data...</v>
      </c>
      <c r="J2331" t="str">
        <f>_xll.BDP("944080H8 Muni","CPN")</f>
        <v>#N/A Requesting Data...</v>
      </c>
      <c r="K2331" t="str">
        <f>_xll.BDP("944080H8 Muni","MATURITY")</f>
        <v>#N/A Requesting Data...</v>
      </c>
      <c r="L2331">
        <v>605000</v>
      </c>
      <c r="M2331" t="str">
        <f>_xll.BDP("944080H8 Muni","YIELD_ON_ISSUE_DATE")</f>
        <v>#N/A Requesting Data...</v>
      </c>
      <c r="N2331" t="str">
        <f>_xll.BDP("944080H8 Muni","YTW_SPREAD_TO_MATURITY_AT_ISSU")</f>
        <v>#N/A Requesting Data...</v>
      </c>
      <c r="O2331" t="str">
        <f>_xll.BDP("944080H8 Muni","BVAL_MID_YTM")</f>
        <v>#N/A Requesting Data...</v>
      </c>
      <c r="P2331" t="str">
        <f>_xll.BDP("944080H8 Muni","MUNI_TAX_PROV")</f>
        <v>#N/A Requesting Data...</v>
      </c>
      <c r="Q2331" t="str">
        <f>_xll.BDP("944080H8 Muni","MUNI_FED_TAX")</f>
        <v>#N/A Requesting Data...</v>
      </c>
      <c r="R2331" t="str">
        <f>_xll.BDP("944080H8 Muni","MUNI_MSRB_VOLUME")</f>
        <v>#N/A Requesting Data...</v>
      </c>
      <c r="S2331" t="str">
        <f>_xll.BDP("944080H8 Muni","BB_COMPOSITE")</f>
        <v>#N/A Requesting Data...</v>
      </c>
      <c r="T2331" t="str">
        <f>_xll.BDP("944080H8 Muni","LQA_LIQUIDITY_SCORE")</f>
        <v>#N/A Requesting Data...</v>
      </c>
    </row>
    <row r="2332" spans="1:20" x14ac:dyDescent="0.25">
      <c r="A2332" t="str">
        <f>_xll.BDP("944080H9 Muni","ID_CUSIP")</f>
        <v>#N/A Requesting Data...</v>
      </c>
      <c r="B2332" t="s">
        <v>551</v>
      </c>
      <c r="C2332" t="str">
        <f>_xll.BDP("944080H9 Muni","INSURANCE_STATUS")</f>
        <v>#N/A Requesting Data...</v>
      </c>
      <c r="D2332" t="str">
        <f>_xll.BDP("944080H9 Muni","STATE_CODE")</f>
        <v>#N/A Requesting Data...</v>
      </c>
      <c r="E2332" t="str">
        <f>_xll.BDP("944080H9 Muni","COUNTY_LOCATION_ISSUER")</f>
        <v>#N/A Requesting Data...</v>
      </c>
      <c r="F2332" t="str">
        <f>_xll.BDP("944080H9 Muni","DUR_ADJ_MID")</f>
        <v>#N/A Requesting Data...</v>
      </c>
      <c r="G2332" t="str">
        <f>_xll.BDP("944080H9 Muni","SPREAD_AT_ISSUANCE_TO_WORST")</f>
        <v>#N/A Requesting Data...</v>
      </c>
      <c r="H2332" t="str">
        <f>_xll.BDP("944080H9 Muni","ISSUE_DT")</f>
        <v>#N/A Requesting Data...</v>
      </c>
      <c r="I2332" t="str">
        <f>_xll.BDS("944080H9 Muni","MUNI_PURPOSE_SCHED", "aggregate=y")</f>
        <v>#N/A Requesting Data...</v>
      </c>
      <c r="J2332" t="str">
        <f>_xll.BDP("944080H9 Muni","CPN")</f>
        <v>#N/A Requesting Data...</v>
      </c>
      <c r="K2332" t="str">
        <f>_xll.BDP("944080H9 Muni","MATURITY")</f>
        <v>#N/A Requesting Data...</v>
      </c>
      <c r="L2332">
        <v>635000</v>
      </c>
      <c r="M2332" t="str">
        <f>_xll.BDP("944080H9 Muni","YIELD_ON_ISSUE_DATE")</f>
        <v>#N/A Requesting Data...</v>
      </c>
      <c r="N2332" t="str">
        <f>_xll.BDP("944080H9 Muni","YTW_SPREAD_TO_MATURITY_AT_ISSU")</f>
        <v>#N/A Requesting Data...</v>
      </c>
      <c r="O2332" t="str">
        <f>_xll.BDP("944080H9 Muni","BVAL_MID_YTM")</f>
        <v>#N/A Requesting Data...</v>
      </c>
      <c r="P2332" t="str">
        <f>_xll.BDP("944080H9 Muni","MUNI_TAX_PROV")</f>
        <v>#N/A Requesting Data...</v>
      </c>
      <c r="Q2332" t="str">
        <f>_xll.BDP("944080H9 Muni","MUNI_FED_TAX")</f>
        <v>#N/A Requesting Data...</v>
      </c>
      <c r="R2332" t="str">
        <f>_xll.BDP("944080H9 Muni","MUNI_MSRB_VOLUME")</f>
        <v>#N/A Requesting Data...</v>
      </c>
      <c r="S2332" t="str">
        <f>_xll.BDP("944080H9 Muni","BB_COMPOSITE")</f>
        <v>#N/A Requesting Data...</v>
      </c>
      <c r="T2332" t="str">
        <f>_xll.BDP("944080H9 Muni","LQA_LIQUIDITY_SCORE")</f>
        <v>#N/A Requesting Data...</v>
      </c>
    </row>
    <row r="2333" spans="1:20" x14ac:dyDescent="0.25">
      <c r="A2333" t="str">
        <f>_xll.BDP("944080J2 Muni","ID_CUSIP")</f>
        <v>#N/A Requesting Data...</v>
      </c>
      <c r="B2333" t="s">
        <v>551</v>
      </c>
      <c r="C2333" t="str">
        <f>_xll.BDP("944080J2 Muni","INSURANCE_STATUS")</f>
        <v>#N/A Requesting Data...</v>
      </c>
      <c r="D2333" t="str">
        <f>_xll.BDP("944080J2 Muni","STATE_CODE")</f>
        <v>#N/A Requesting Data...</v>
      </c>
      <c r="E2333" t="str">
        <f>_xll.BDP("944080J2 Muni","COUNTY_LOCATION_ISSUER")</f>
        <v>#N/A Requesting Data...</v>
      </c>
      <c r="F2333" t="str">
        <f>_xll.BDP("944080J2 Muni","DUR_ADJ_MID")</f>
        <v>#N/A Requesting Data...</v>
      </c>
      <c r="G2333" t="str">
        <f>_xll.BDP("944080J2 Muni","SPREAD_AT_ISSUANCE_TO_WORST")</f>
        <v>#N/A Requesting Data...</v>
      </c>
      <c r="H2333" t="str">
        <f>_xll.BDP("944080J2 Muni","ISSUE_DT")</f>
        <v>#N/A Requesting Data...</v>
      </c>
      <c r="I2333" t="str">
        <f>_xll.BDS("944080J2 Muni","MUNI_PURPOSE_SCHED", "aggregate=y")</f>
        <v>#N/A Requesting Data...</v>
      </c>
      <c r="J2333" t="str">
        <f>_xll.BDP("944080J2 Muni","CPN")</f>
        <v>#N/A Requesting Data...</v>
      </c>
      <c r="K2333" t="str">
        <f>_xll.BDP("944080J2 Muni","MATURITY")</f>
        <v>#N/A Requesting Data...</v>
      </c>
      <c r="L2333">
        <v>670000</v>
      </c>
      <c r="M2333" t="str">
        <f>_xll.BDP("944080J2 Muni","YIELD_ON_ISSUE_DATE")</f>
        <v>#N/A Requesting Data...</v>
      </c>
      <c r="N2333" t="str">
        <f>_xll.BDP("944080J2 Muni","YTW_SPREAD_TO_MATURITY_AT_ISSU")</f>
        <v>#N/A Requesting Data...</v>
      </c>
      <c r="O2333" t="str">
        <f>_xll.BDP("944080J2 Muni","BVAL_MID_YTM")</f>
        <v>#N/A Requesting Data...</v>
      </c>
      <c r="P2333" t="str">
        <f>_xll.BDP("944080J2 Muni","MUNI_TAX_PROV")</f>
        <v>#N/A Requesting Data...</v>
      </c>
      <c r="Q2333" t="str">
        <f>_xll.BDP("944080J2 Muni","MUNI_FED_TAX")</f>
        <v>#N/A Requesting Data...</v>
      </c>
      <c r="R2333" t="str">
        <f>_xll.BDP("944080J2 Muni","MUNI_MSRB_VOLUME")</f>
        <v>#N/A Requesting Data...</v>
      </c>
      <c r="S2333" t="str">
        <f>_xll.BDP("944080J2 Muni","BB_COMPOSITE")</f>
        <v>#N/A Requesting Data...</v>
      </c>
      <c r="T2333" t="str">
        <f>_xll.BDP("944080J2 Muni","LQA_LIQUIDITY_SCORE")</f>
        <v>#N/A Requesting Data...</v>
      </c>
    </row>
    <row r="2334" spans="1:20" x14ac:dyDescent="0.25">
      <c r="A2334" t="str">
        <f>_xll.BDP("944250BY Muni","ID_CUSIP")</f>
        <v>#N/A Requesting Data...</v>
      </c>
      <c r="B2334" t="s">
        <v>552</v>
      </c>
      <c r="C2334" t="str">
        <f>_xll.BDP("944250BY Muni","INSURANCE_STATUS")</f>
        <v>#N/A Requesting Data...</v>
      </c>
      <c r="D2334" t="str">
        <f>_xll.BDP("944250BY Muni","STATE_CODE")</f>
        <v>#N/A Requesting Data...</v>
      </c>
      <c r="E2334" t="str">
        <f>_xll.BDP("944250BY Muni","COUNTY_LOCATION_ISSUER")</f>
        <v>#N/A Requesting Data...</v>
      </c>
      <c r="F2334" t="str">
        <f>_xll.BDP("944250BY Muni","DUR_ADJ_MID")</f>
        <v>#N/A Requesting Data...</v>
      </c>
      <c r="G2334" t="str">
        <f>_xll.BDP("944250BY Muni","SPREAD_AT_ISSUANCE_TO_WORST")</f>
        <v>#N/A Requesting Data...</v>
      </c>
      <c r="H2334" t="str">
        <f>_xll.BDP("944250BY Muni","ISSUE_DT")</f>
        <v>#N/A Requesting Data...</v>
      </c>
      <c r="I2334" t="str">
        <f>_xll.BDS("944250BY Muni","MUNI_PURPOSE_SCHED", "aggregate=y")</f>
        <v>#N/A Requesting Data...</v>
      </c>
      <c r="J2334" t="str">
        <f>_xll.BDP("944250BY Muni","CPN")</f>
        <v>#N/A Requesting Data...</v>
      </c>
      <c r="K2334" t="str">
        <f>_xll.BDP("944250BY Muni","MATURITY")</f>
        <v>#N/A Requesting Data...</v>
      </c>
      <c r="L2334">
        <v>15000</v>
      </c>
      <c r="M2334" t="str">
        <f>_xll.BDP("944250BY Muni","YIELD_ON_ISSUE_DATE")</f>
        <v>#N/A Requesting Data...</v>
      </c>
      <c r="N2334" t="str">
        <f>_xll.BDP("944250BY Muni","YTW_SPREAD_TO_MATURITY_AT_ISSU")</f>
        <v>#N/A Requesting Data...</v>
      </c>
      <c r="O2334" t="str">
        <f>_xll.BDP("944250BY Muni","BVAL_MID_YTM")</f>
        <v>#N/A Requesting Data...</v>
      </c>
      <c r="P2334" t="str">
        <f>_xll.BDP("944250BY Muni","MUNI_TAX_PROV")</f>
        <v>#N/A Requesting Data...</v>
      </c>
      <c r="Q2334" t="str">
        <f>_xll.BDP("944250BY Muni","MUNI_FED_TAX")</f>
        <v>#N/A Requesting Data...</v>
      </c>
      <c r="R2334" t="str">
        <f>_xll.BDP("944250BY Muni","MUNI_MSRB_VOLUME")</f>
        <v>#N/A Requesting Data...</v>
      </c>
      <c r="S2334" t="str">
        <f>_xll.BDP("944250BY Muni","BB_COMPOSITE")</f>
        <v>#N/A Requesting Data...</v>
      </c>
      <c r="T2334" t="str">
        <f>_xll.BDP("944250BY Muni","LQA_LIQUIDITY_SCORE")</f>
        <v>#N/A Requesting Data...</v>
      </c>
    </row>
    <row r="2335" spans="1:20" x14ac:dyDescent="0.25">
      <c r="A2335" t="str">
        <f>_xll.BDP("944250BZ Muni","ID_CUSIP")</f>
        <v>#N/A Requesting Data...</v>
      </c>
      <c r="B2335" t="s">
        <v>552</v>
      </c>
      <c r="C2335" t="str">
        <f>_xll.BDP("944250BZ Muni","INSURANCE_STATUS")</f>
        <v>#N/A Requesting Data...</v>
      </c>
      <c r="D2335" t="str">
        <f>_xll.BDP("944250BZ Muni","STATE_CODE")</f>
        <v>#N/A Requesting Data...</v>
      </c>
      <c r="E2335" t="str">
        <f>_xll.BDP("944250BZ Muni","COUNTY_LOCATION_ISSUER")</f>
        <v>#N/A Requesting Data...</v>
      </c>
      <c r="F2335" t="str">
        <f>_xll.BDP("944250BZ Muni","DUR_ADJ_MID")</f>
        <v>#N/A Requesting Data...</v>
      </c>
      <c r="G2335" t="str">
        <f>_xll.BDP("944250BZ Muni","SPREAD_AT_ISSUANCE_TO_WORST")</f>
        <v>#N/A Requesting Data...</v>
      </c>
      <c r="H2335" t="str">
        <f>_xll.BDP("944250BZ Muni","ISSUE_DT")</f>
        <v>#N/A Requesting Data...</v>
      </c>
      <c r="I2335" t="str">
        <f>_xll.BDS("944250BZ Muni","MUNI_PURPOSE_SCHED", "aggregate=y")</f>
        <v>#N/A Requesting Data...</v>
      </c>
      <c r="J2335" t="str">
        <f>_xll.BDP("944250BZ Muni","CPN")</f>
        <v>#N/A Requesting Data...</v>
      </c>
      <c r="K2335" t="str">
        <f>_xll.BDP("944250BZ Muni","MATURITY")</f>
        <v>#N/A Requesting Data...</v>
      </c>
      <c r="L2335">
        <v>15000</v>
      </c>
      <c r="M2335" t="str">
        <f>_xll.BDP("944250BZ Muni","YIELD_ON_ISSUE_DATE")</f>
        <v>#N/A Requesting Data...</v>
      </c>
      <c r="N2335" t="str">
        <f>_xll.BDP("944250BZ Muni","YTW_SPREAD_TO_MATURITY_AT_ISSU")</f>
        <v>#N/A Requesting Data...</v>
      </c>
      <c r="O2335" t="str">
        <f>_xll.BDP("944250BZ Muni","BVAL_MID_YTM")</f>
        <v>#N/A Requesting Data...</v>
      </c>
      <c r="P2335" t="str">
        <f>_xll.BDP("944250BZ Muni","MUNI_TAX_PROV")</f>
        <v>#N/A Requesting Data...</v>
      </c>
      <c r="Q2335" t="str">
        <f>_xll.BDP("944250BZ Muni","MUNI_FED_TAX")</f>
        <v>#N/A Requesting Data...</v>
      </c>
      <c r="R2335" t="str">
        <f>_xll.BDP("944250BZ Muni","MUNI_MSRB_VOLUME")</f>
        <v>#N/A Requesting Data...</v>
      </c>
      <c r="S2335" t="str">
        <f>_xll.BDP("944250BZ Muni","BB_COMPOSITE")</f>
        <v>#N/A Requesting Data...</v>
      </c>
      <c r="T2335" t="str">
        <f>_xll.BDP("944250BZ Muni","LQA_LIQUIDITY_SCORE")</f>
        <v>#N/A Requesting Data...</v>
      </c>
    </row>
    <row r="2336" spans="1:20" x14ac:dyDescent="0.25">
      <c r="A2336" t="str">
        <f>_xll.BDP("944250CA Muni","ID_CUSIP")</f>
        <v>#N/A Requesting Data...</v>
      </c>
      <c r="B2336" t="s">
        <v>552</v>
      </c>
      <c r="C2336" t="str">
        <f>_xll.BDP("944250CA Muni","INSURANCE_STATUS")</f>
        <v>#N/A Requesting Data...</v>
      </c>
      <c r="D2336" t="str">
        <f>_xll.BDP("944250CA Muni","STATE_CODE")</f>
        <v>#N/A Requesting Data...</v>
      </c>
      <c r="E2336" t="str">
        <f>_xll.BDP("944250CA Muni","COUNTY_LOCATION_ISSUER")</f>
        <v>#N/A Requesting Data...</v>
      </c>
      <c r="F2336" t="str">
        <f>_xll.BDP("944250CA Muni","DUR_ADJ_MID")</f>
        <v>#N/A Requesting Data...</v>
      </c>
      <c r="G2336" t="str">
        <f>_xll.BDP("944250CA Muni","SPREAD_AT_ISSUANCE_TO_WORST")</f>
        <v>#N/A Requesting Data...</v>
      </c>
      <c r="H2336" t="str">
        <f>_xll.BDP("944250CA Muni","ISSUE_DT")</f>
        <v>#N/A Requesting Data...</v>
      </c>
      <c r="I2336" t="str">
        <f>_xll.BDS("944250CA Muni","MUNI_PURPOSE_SCHED", "aggregate=y")</f>
        <v>#N/A Requesting Data...</v>
      </c>
      <c r="J2336" t="str">
        <f>_xll.BDP("944250CA Muni","CPN")</f>
        <v>#N/A Requesting Data...</v>
      </c>
      <c r="K2336" t="str">
        <f>_xll.BDP("944250CA Muni","MATURITY")</f>
        <v>#N/A Requesting Data...</v>
      </c>
      <c r="L2336">
        <v>20000</v>
      </c>
      <c r="M2336" t="str">
        <f>_xll.BDP("944250CA Muni","YIELD_ON_ISSUE_DATE")</f>
        <v>#N/A Requesting Data...</v>
      </c>
      <c r="N2336" t="str">
        <f>_xll.BDP("944250CA Muni","YTW_SPREAD_TO_MATURITY_AT_ISSU")</f>
        <v>#N/A Requesting Data...</v>
      </c>
      <c r="O2336" t="str">
        <f>_xll.BDP("944250CA Muni","BVAL_MID_YTM")</f>
        <v>#N/A Requesting Data...</v>
      </c>
      <c r="P2336" t="str">
        <f>_xll.BDP("944250CA Muni","MUNI_TAX_PROV")</f>
        <v>#N/A Requesting Data...</v>
      </c>
      <c r="Q2336" t="str">
        <f>_xll.BDP("944250CA Muni","MUNI_FED_TAX")</f>
        <v>#N/A Requesting Data...</v>
      </c>
      <c r="R2336" t="str">
        <f>_xll.BDP("944250CA Muni","MUNI_MSRB_VOLUME")</f>
        <v>#N/A Requesting Data...</v>
      </c>
      <c r="S2336" t="str">
        <f>_xll.BDP("944250CA Muni","BB_COMPOSITE")</f>
        <v>#N/A Requesting Data...</v>
      </c>
      <c r="T2336" t="str">
        <f>_xll.BDP("944250CA Muni","LQA_LIQUIDITY_SCORE")</f>
        <v>#N/A Requesting Data...</v>
      </c>
    </row>
    <row r="2337" spans="1:20" x14ac:dyDescent="0.25">
      <c r="A2337" t="str">
        <f>_xll.BDP("944250CB Muni","ID_CUSIP")</f>
        <v>#N/A Requesting Data...</v>
      </c>
      <c r="B2337" t="s">
        <v>552</v>
      </c>
      <c r="C2337" t="str">
        <f>_xll.BDP("944250CB Muni","INSURANCE_STATUS")</f>
        <v>#N/A Requesting Data...</v>
      </c>
      <c r="D2337" t="str">
        <f>_xll.BDP("944250CB Muni","STATE_CODE")</f>
        <v>#N/A Requesting Data...</v>
      </c>
      <c r="E2337" t="str">
        <f>_xll.BDP("944250CB Muni","COUNTY_LOCATION_ISSUER")</f>
        <v>#N/A Requesting Data...</v>
      </c>
      <c r="F2337" t="str">
        <f>_xll.BDP("944250CB Muni","DUR_ADJ_MID")</f>
        <v>#N/A Requesting Data...</v>
      </c>
      <c r="G2337" t="str">
        <f>_xll.BDP("944250CB Muni","SPREAD_AT_ISSUANCE_TO_WORST")</f>
        <v>#N/A Requesting Data...</v>
      </c>
      <c r="H2337" t="str">
        <f>_xll.BDP("944250CB Muni","ISSUE_DT")</f>
        <v>#N/A Requesting Data...</v>
      </c>
      <c r="I2337" t="str">
        <f>_xll.BDS("944250CB Muni","MUNI_PURPOSE_SCHED", "aggregate=y")</f>
        <v>#N/A Requesting Data...</v>
      </c>
      <c r="J2337" t="str">
        <f>_xll.BDP("944250CB Muni","CPN")</f>
        <v>#N/A Requesting Data...</v>
      </c>
      <c r="K2337" t="str">
        <f>_xll.BDP("944250CB Muni","MATURITY")</f>
        <v>#N/A Requesting Data...</v>
      </c>
      <c r="L2337">
        <v>20000</v>
      </c>
      <c r="M2337" t="str">
        <f>_xll.BDP("944250CB Muni","YIELD_ON_ISSUE_DATE")</f>
        <v>#N/A Requesting Data...</v>
      </c>
      <c r="N2337" t="str">
        <f>_xll.BDP("944250CB Muni","YTW_SPREAD_TO_MATURITY_AT_ISSU")</f>
        <v>#N/A Requesting Data...</v>
      </c>
      <c r="O2337" t="str">
        <f>_xll.BDP("944250CB Muni","BVAL_MID_YTM")</f>
        <v>#N/A Requesting Data...</v>
      </c>
      <c r="P2337" t="str">
        <f>_xll.BDP("944250CB Muni","MUNI_TAX_PROV")</f>
        <v>#N/A Requesting Data...</v>
      </c>
      <c r="Q2337" t="str">
        <f>_xll.BDP("944250CB Muni","MUNI_FED_TAX")</f>
        <v>#N/A Requesting Data...</v>
      </c>
      <c r="R2337" t="str">
        <f>_xll.BDP("944250CB Muni","MUNI_MSRB_VOLUME")</f>
        <v>#N/A Requesting Data...</v>
      </c>
      <c r="S2337" t="str">
        <f>_xll.BDP("944250CB Muni","BB_COMPOSITE")</f>
        <v>#N/A Requesting Data...</v>
      </c>
      <c r="T2337" t="str">
        <f>_xll.BDP("944250CB Muni","LQA_LIQUIDITY_SCORE")</f>
        <v>#N/A Requesting Data...</v>
      </c>
    </row>
    <row r="2338" spans="1:20" x14ac:dyDescent="0.25">
      <c r="A2338" t="str">
        <f>_xll.BDP("916675DX Muni","ID_CUSIP")</f>
        <v>#N/A Requesting Data...</v>
      </c>
      <c r="B2338" t="s">
        <v>553</v>
      </c>
      <c r="C2338" t="str">
        <f>_xll.BDP("916675DX Muni","INSURANCE_STATUS")</f>
        <v>#N/A Requesting Data...</v>
      </c>
      <c r="D2338" t="str">
        <f>_xll.BDP("916675DX Muni","STATE_CODE")</f>
        <v>#N/A Requesting Data...</v>
      </c>
      <c r="E2338" t="str">
        <f>_xll.BDP("916675DX Muni","COUNTY_LOCATION_ISSUER")</f>
        <v>#N/A Requesting Data...</v>
      </c>
      <c r="F2338" t="str">
        <f>_xll.BDP("916675DX Muni","DUR_ADJ_MID")</f>
        <v>#N/A Requesting Data...</v>
      </c>
      <c r="G2338" t="str">
        <f>_xll.BDP("916675DX Muni","SPREAD_AT_ISSUANCE_TO_WORST")</f>
        <v>#N/A Requesting Data...</v>
      </c>
      <c r="H2338" t="str">
        <f>_xll.BDP("916675DX Muni","ISSUE_DT")</f>
        <v>#N/A Requesting Data...</v>
      </c>
      <c r="I2338" t="str">
        <f>_xll.BDS("916675DX Muni","MUNI_PURPOSE_SCHED", "aggregate=y")</f>
        <v>#N/A Requesting Data...</v>
      </c>
      <c r="J2338" t="str">
        <f>_xll.BDP("916675DX Muni","CPN")</f>
        <v>#N/A Requesting Data...</v>
      </c>
      <c r="K2338" t="str">
        <f>_xll.BDP("916675DX Muni","MATURITY")</f>
        <v>#N/A Requesting Data...</v>
      </c>
      <c r="L2338">
        <v>795000</v>
      </c>
      <c r="M2338" t="str">
        <f>_xll.BDP("916675DX Muni","YIELD_ON_ISSUE_DATE")</f>
        <v>#N/A Requesting Data...</v>
      </c>
      <c r="N2338" t="str">
        <f>_xll.BDP("916675DX Muni","YTW_SPREAD_TO_MATURITY_AT_ISSU")</f>
        <v>#N/A Requesting Data...</v>
      </c>
      <c r="O2338" t="str">
        <f>_xll.BDP("916675DX Muni","BVAL_MID_YTM")</f>
        <v>#N/A Requesting Data...</v>
      </c>
      <c r="P2338" t="str">
        <f>_xll.BDP("916675DX Muni","MUNI_TAX_PROV")</f>
        <v>#N/A Requesting Data...</v>
      </c>
      <c r="Q2338" t="str">
        <f>_xll.BDP("916675DX Muni","MUNI_FED_TAX")</f>
        <v>#N/A Requesting Data...</v>
      </c>
      <c r="R2338" t="str">
        <f>_xll.BDP("916675DX Muni","MUNI_MSRB_VOLUME")</f>
        <v>#N/A Requesting Data...</v>
      </c>
      <c r="S2338" t="str">
        <f>_xll.BDP("916675DX Muni","BB_COMPOSITE")</f>
        <v>#N/A Requesting Data...</v>
      </c>
      <c r="T2338" t="str">
        <f>_xll.BDP("916675DX Muni","LQA_LIQUIDITY_SCORE")</f>
        <v>#N/A Requesting Data...</v>
      </c>
    </row>
    <row r="2339" spans="1:20" x14ac:dyDescent="0.25">
      <c r="A2339" t="str">
        <f>_xll.BDP("916675DY Muni","ID_CUSIP")</f>
        <v>#N/A Requesting Data...</v>
      </c>
      <c r="B2339" t="s">
        <v>553</v>
      </c>
      <c r="C2339" t="str">
        <f>_xll.BDP("916675DY Muni","INSURANCE_STATUS")</f>
        <v>#N/A Requesting Data...</v>
      </c>
      <c r="D2339" t="str">
        <f>_xll.BDP("916675DY Muni","STATE_CODE")</f>
        <v>#N/A Requesting Data...</v>
      </c>
      <c r="E2339" t="str">
        <f>_xll.BDP("916675DY Muni","COUNTY_LOCATION_ISSUER")</f>
        <v>#N/A Requesting Data...</v>
      </c>
      <c r="F2339" t="str">
        <f>_xll.BDP("916675DY Muni","DUR_ADJ_MID")</f>
        <v>#N/A Requesting Data...</v>
      </c>
      <c r="G2339" t="str">
        <f>_xll.BDP("916675DY Muni","SPREAD_AT_ISSUANCE_TO_WORST")</f>
        <v>#N/A Requesting Data...</v>
      </c>
      <c r="H2339" t="str">
        <f>_xll.BDP("916675DY Muni","ISSUE_DT")</f>
        <v>#N/A Requesting Data...</v>
      </c>
      <c r="I2339" t="str">
        <f>_xll.BDS("916675DY Muni","MUNI_PURPOSE_SCHED", "aggregate=y")</f>
        <v>#N/A Requesting Data...</v>
      </c>
      <c r="J2339" t="str">
        <f>_xll.BDP("916675DY Muni","CPN")</f>
        <v>#N/A Requesting Data...</v>
      </c>
      <c r="K2339" t="str">
        <f>_xll.BDP("916675DY Muni","MATURITY")</f>
        <v>#N/A Requesting Data...</v>
      </c>
      <c r="L2339">
        <v>830000</v>
      </c>
      <c r="M2339" t="str">
        <f>_xll.BDP("916675DY Muni","YIELD_ON_ISSUE_DATE")</f>
        <v>#N/A Requesting Data...</v>
      </c>
      <c r="N2339" t="str">
        <f>_xll.BDP("916675DY Muni","YTW_SPREAD_TO_MATURITY_AT_ISSU")</f>
        <v>#N/A Requesting Data...</v>
      </c>
      <c r="O2339" t="str">
        <f>_xll.BDP("916675DY Muni","BVAL_MID_YTM")</f>
        <v>#N/A Requesting Data...</v>
      </c>
      <c r="P2339" t="str">
        <f>_xll.BDP("916675DY Muni","MUNI_TAX_PROV")</f>
        <v>#N/A Requesting Data...</v>
      </c>
      <c r="Q2339" t="str">
        <f>_xll.BDP("916675DY Muni","MUNI_FED_TAX")</f>
        <v>#N/A Requesting Data...</v>
      </c>
      <c r="R2339" t="str">
        <f>_xll.BDP("916675DY Muni","MUNI_MSRB_VOLUME")</f>
        <v>#N/A Requesting Data...</v>
      </c>
      <c r="S2339" t="str">
        <f>_xll.BDP("916675DY Muni","BB_COMPOSITE")</f>
        <v>#N/A Requesting Data...</v>
      </c>
      <c r="T2339" t="str">
        <f>_xll.BDP("916675DY Muni","LQA_LIQUIDITY_SCORE")</f>
        <v>#N/A Requesting Data...</v>
      </c>
    </row>
    <row r="2340" spans="1:20" x14ac:dyDescent="0.25">
      <c r="A2340" t="str">
        <f>_xll.BDP("916675DZ Muni","ID_CUSIP")</f>
        <v>#N/A Requesting Data...</v>
      </c>
      <c r="B2340" t="s">
        <v>553</v>
      </c>
      <c r="C2340" t="str">
        <f>_xll.BDP("916675DZ Muni","INSURANCE_STATUS")</f>
        <v>#N/A Requesting Data...</v>
      </c>
      <c r="D2340" t="str">
        <f>_xll.BDP("916675DZ Muni","STATE_CODE")</f>
        <v>#N/A Requesting Data...</v>
      </c>
      <c r="E2340" t="str">
        <f>_xll.BDP("916675DZ Muni","COUNTY_LOCATION_ISSUER")</f>
        <v>#N/A Requesting Data...</v>
      </c>
      <c r="F2340" t="str">
        <f>_xll.BDP("916675DZ Muni","DUR_ADJ_MID")</f>
        <v>#N/A Requesting Data...</v>
      </c>
      <c r="G2340" t="str">
        <f>_xll.BDP("916675DZ Muni","SPREAD_AT_ISSUANCE_TO_WORST")</f>
        <v>#N/A Requesting Data...</v>
      </c>
      <c r="H2340" t="str">
        <f>_xll.BDP("916675DZ Muni","ISSUE_DT")</f>
        <v>#N/A Requesting Data...</v>
      </c>
      <c r="I2340" t="str">
        <f>_xll.BDS("916675DZ Muni","MUNI_PURPOSE_SCHED", "aggregate=y")</f>
        <v>#N/A Requesting Data...</v>
      </c>
      <c r="J2340" t="str">
        <f>_xll.BDP("916675DZ Muni","CPN")</f>
        <v>#N/A Requesting Data...</v>
      </c>
      <c r="K2340" t="str">
        <f>_xll.BDP("916675DZ Muni","MATURITY")</f>
        <v>#N/A Requesting Data...</v>
      </c>
      <c r="L2340">
        <v>860000</v>
      </c>
      <c r="M2340" t="str">
        <f>_xll.BDP("916675DZ Muni","YIELD_ON_ISSUE_DATE")</f>
        <v>#N/A Requesting Data...</v>
      </c>
      <c r="N2340" t="str">
        <f>_xll.BDP("916675DZ Muni","YTW_SPREAD_TO_MATURITY_AT_ISSU")</f>
        <v>#N/A Requesting Data...</v>
      </c>
      <c r="O2340" t="str">
        <f>_xll.BDP("916675DZ Muni","BVAL_MID_YTM")</f>
        <v>#N/A Requesting Data...</v>
      </c>
      <c r="P2340" t="str">
        <f>_xll.BDP("916675DZ Muni","MUNI_TAX_PROV")</f>
        <v>#N/A Requesting Data...</v>
      </c>
      <c r="Q2340" t="str">
        <f>_xll.BDP("916675DZ Muni","MUNI_FED_TAX")</f>
        <v>#N/A Requesting Data...</v>
      </c>
      <c r="R2340" t="str">
        <f>_xll.BDP("916675DZ Muni","MUNI_MSRB_VOLUME")</f>
        <v>#N/A Requesting Data...</v>
      </c>
      <c r="S2340" t="str">
        <f>_xll.BDP("916675DZ Muni","BB_COMPOSITE")</f>
        <v>#N/A Requesting Data...</v>
      </c>
      <c r="T2340" t="str">
        <f>_xll.BDP("916675DZ Muni","LQA_LIQUIDITY_SCORE")</f>
        <v>#N/A Requesting Data...</v>
      </c>
    </row>
    <row r="2341" spans="1:20" x14ac:dyDescent="0.25">
      <c r="A2341" t="str">
        <f>_xll.BDP("916675EA Muni","ID_CUSIP")</f>
        <v>#N/A Requesting Data...</v>
      </c>
      <c r="B2341" t="s">
        <v>553</v>
      </c>
      <c r="C2341" t="str">
        <f>_xll.BDP("916675EA Muni","INSURANCE_STATUS")</f>
        <v>#N/A Requesting Data...</v>
      </c>
      <c r="D2341" t="str">
        <f>_xll.BDP("916675EA Muni","STATE_CODE")</f>
        <v>#N/A Requesting Data...</v>
      </c>
      <c r="E2341" t="str">
        <f>_xll.BDP("916675EA Muni","COUNTY_LOCATION_ISSUER")</f>
        <v>#N/A Requesting Data...</v>
      </c>
      <c r="F2341" t="str">
        <f>_xll.BDP("916675EA Muni","DUR_ADJ_MID")</f>
        <v>#N/A Requesting Data...</v>
      </c>
      <c r="G2341" t="str">
        <f>_xll.BDP("916675EA Muni","SPREAD_AT_ISSUANCE_TO_WORST")</f>
        <v>#N/A Requesting Data...</v>
      </c>
      <c r="H2341" t="str">
        <f>_xll.BDP("916675EA Muni","ISSUE_DT")</f>
        <v>#N/A Requesting Data...</v>
      </c>
      <c r="I2341" t="str">
        <f>_xll.BDS("916675EA Muni","MUNI_PURPOSE_SCHED", "aggregate=y")</f>
        <v>#N/A Requesting Data...</v>
      </c>
      <c r="J2341" t="str">
        <f>_xll.BDP("916675EA Muni","CPN")</f>
        <v>#N/A Requesting Data...</v>
      </c>
      <c r="K2341" t="str">
        <f>_xll.BDP("916675EA Muni","MATURITY")</f>
        <v>#N/A Requesting Data...</v>
      </c>
      <c r="L2341">
        <v>905000</v>
      </c>
      <c r="M2341" t="str">
        <f>_xll.BDP("916675EA Muni","YIELD_ON_ISSUE_DATE")</f>
        <v>#N/A Requesting Data...</v>
      </c>
      <c r="N2341" t="str">
        <f>_xll.BDP("916675EA Muni","YTW_SPREAD_TO_MATURITY_AT_ISSU")</f>
        <v>#N/A Requesting Data...</v>
      </c>
      <c r="O2341" t="str">
        <f>_xll.BDP("916675EA Muni","BVAL_MID_YTM")</f>
        <v>#N/A Requesting Data...</v>
      </c>
      <c r="P2341" t="str">
        <f>_xll.BDP("916675EA Muni","MUNI_TAX_PROV")</f>
        <v>#N/A Requesting Data...</v>
      </c>
      <c r="Q2341" t="str">
        <f>_xll.BDP("916675EA Muni","MUNI_FED_TAX")</f>
        <v>#N/A Requesting Data...</v>
      </c>
      <c r="R2341" t="str">
        <f>_xll.BDP("916675EA Muni","MUNI_MSRB_VOLUME")</f>
        <v>#N/A Requesting Data...</v>
      </c>
      <c r="S2341" t="str">
        <f>_xll.BDP("916675EA Muni","BB_COMPOSITE")</f>
        <v>#N/A Requesting Data...</v>
      </c>
      <c r="T2341" t="str">
        <f>_xll.BDP("916675EA Muni","LQA_LIQUIDITY_SCORE")</f>
        <v>#N/A Requesting Data...</v>
      </c>
    </row>
    <row r="2342" spans="1:20" x14ac:dyDescent="0.25">
      <c r="A2342" t="str">
        <f>_xll.BDP("916675EB Muni","ID_CUSIP")</f>
        <v>#N/A Requesting Data...</v>
      </c>
      <c r="B2342" t="s">
        <v>553</v>
      </c>
      <c r="C2342" t="str">
        <f>_xll.BDP("916675EB Muni","INSURANCE_STATUS")</f>
        <v>#N/A Requesting Data...</v>
      </c>
      <c r="D2342" t="str">
        <f>_xll.BDP("916675EB Muni","STATE_CODE")</f>
        <v>#N/A Requesting Data...</v>
      </c>
      <c r="E2342" t="str">
        <f>_xll.BDP("916675EB Muni","COUNTY_LOCATION_ISSUER")</f>
        <v>#N/A Requesting Data...</v>
      </c>
      <c r="F2342" t="str">
        <f>_xll.BDP("916675EB Muni","DUR_ADJ_MID")</f>
        <v>#N/A Requesting Data...</v>
      </c>
      <c r="G2342" t="str">
        <f>_xll.BDP("916675EB Muni","SPREAD_AT_ISSUANCE_TO_WORST")</f>
        <v>#N/A Requesting Data...</v>
      </c>
      <c r="H2342" t="str">
        <f>_xll.BDP("916675EB Muni","ISSUE_DT")</f>
        <v>#N/A Requesting Data...</v>
      </c>
      <c r="I2342" t="str">
        <f>_xll.BDS("916675EB Muni","MUNI_PURPOSE_SCHED", "aggregate=y")</f>
        <v>#N/A Requesting Data...</v>
      </c>
      <c r="J2342" t="str">
        <f>_xll.BDP("916675EB Muni","CPN")</f>
        <v>#N/A Requesting Data...</v>
      </c>
      <c r="K2342" t="str">
        <f>_xll.BDP("916675EB Muni","MATURITY")</f>
        <v>#N/A Requesting Data...</v>
      </c>
      <c r="L2342">
        <v>965000</v>
      </c>
      <c r="M2342" t="str">
        <f>_xll.BDP("916675EB Muni","YIELD_ON_ISSUE_DATE")</f>
        <v>#N/A Requesting Data...</v>
      </c>
      <c r="N2342" t="str">
        <f>_xll.BDP("916675EB Muni","YTW_SPREAD_TO_MATURITY_AT_ISSU")</f>
        <v>#N/A Requesting Data...</v>
      </c>
      <c r="O2342" t="str">
        <f>_xll.BDP("916675EB Muni","BVAL_MID_YTM")</f>
        <v>#N/A Requesting Data...</v>
      </c>
      <c r="P2342" t="str">
        <f>_xll.BDP("916675EB Muni","MUNI_TAX_PROV")</f>
        <v>#N/A Requesting Data...</v>
      </c>
      <c r="Q2342" t="str">
        <f>_xll.BDP("916675EB Muni","MUNI_FED_TAX")</f>
        <v>#N/A Requesting Data...</v>
      </c>
      <c r="R2342" t="str">
        <f>_xll.BDP("916675EB Muni","MUNI_MSRB_VOLUME")</f>
        <v>#N/A Requesting Data...</v>
      </c>
      <c r="S2342" t="str">
        <f>_xll.BDP("916675EB Muni","BB_COMPOSITE")</f>
        <v>#N/A Requesting Data...</v>
      </c>
      <c r="T2342" t="str">
        <f>_xll.BDP("916675EB Muni","LQA_LIQUIDITY_SCORE")</f>
        <v>#N/A Requesting Data...</v>
      </c>
    </row>
    <row r="2343" spans="1:20" x14ac:dyDescent="0.25">
      <c r="A2343" t="str">
        <f>_xll.BDP("916675EC Muni","ID_CUSIP")</f>
        <v>#N/A Requesting Data...</v>
      </c>
      <c r="B2343" t="s">
        <v>553</v>
      </c>
      <c r="C2343" t="str">
        <f>_xll.BDP("916675EC Muni","INSURANCE_STATUS")</f>
        <v>#N/A Requesting Data...</v>
      </c>
      <c r="D2343" t="str">
        <f>_xll.BDP("916675EC Muni","STATE_CODE")</f>
        <v>#N/A Requesting Data...</v>
      </c>
      <c r="E2343" t="str">
        <f>_xll.BDP("916675EC Muni","COUNTY_LOCATION_ISSUER")</f>
        <v>#N/A Requesting Data...</v>
      </c>
      <c r="F2343" t="str">
        <f>_xll.BDP("916675EC Muni","DUR_ADJ_MID")</f>
        <v>#N/A Requesting Data...</v>
      </c>
      <c r="G2343" t="str">
        <f>_xll.BDP("916675EC Muni","SPREAD_AT_ISSUANCE_TO_WORST")</f>
        <v>#N/A Requesting Data...</v>
      </c>
      <c r="H2343" t="str">
        <f>_xll.BDP("916675EC Muni","ISSUE_DT")</f>
        <v>#N/A Requesting Data...</v>
      </c>
      <c r="I2343" t="str">
        <f>_xll.BDS("916675EC Muni","MUNI_PURPOSE_SCHED", "aggregate=y")</f>
        <v>#N/A Requesting Data...</v>
      </c>
      <c r="J2343" t="str">
        <f>_xll.BDP("916675EC Muni","CPN")</f>
        <v>#N/A Requesting Data...</v>
      </c>
      <c r="K2343" t="str">
        <f>_xll.BDP("916675EC Muni","MATURITY")</f>
        <v>#N/A Requesting Data...</v>
      </c>
      <c r="L2343">
        <v>1010000</v>
      </c>
      <c r="M2343" t="str">
        <f>_xll.BDP("916675EC Muni","YIELD_ON_ISSUE_DATE")</f>
        <v>#N/A Requesting Data...</v>
      </c>
      <c r="N2343" t="str">
        <f>_xll.BDP("916675EC Muni","YTW_SPREAD_TO_MATURITY_AT_ISSU")</f>
        <v>#N/A Requesting Data...</v>
      </c>
      <c r="O2343" t="str">
        <f>_xll.BDP("916675EC Muni","BVAL_MID_YTM")</f>
        <v>#N/A Requesting Data...</v>
      </c>
      <c r="P2343" t="str">
        <f>_xll.BDP("916675EC Muni","MUNI_TAX_PROV")</f>
        <v>#N/A Requesting Data...</v>
      </c>
      <c r="Q2343" t="str">
        <f>_xll.BDP("916675EC Muni","MUNI_FED_TAX")</f>
        <v>#N/A Requesting Data...</v>
      </c>
      <c r="R2343" t="str">
        <f>_xll.BDP("916675EC Muni","MUNI_MSRB_VOLUME")</f>
        <v>#N/A Requesting Data...</v>
      </c>
      <c r="S2343" t="str">
        <f>_xll.BDP("916675EC Muni","BB_COMPOSITE")</f>
        <v>#N/A Requesting Data...</v>
      </c>
      <c r="T2343" t="str">
        <f>_xll.BDP("916675EC Muni","LQA_LIQUIDITY_SCORE")</f>
        <v>#N/A Requesting Data...</v>
      </c>
    </row>
    <row r="2344" spans="1:20" x14ac:dyDescent="0.25">
      <c r="A2344" t="str">
        <f>_xll.BDP("916675ED Muni","ID_CUSIP")</f>
        <v>#N/A Requesting Data...</v>
      </c>
      <c r="B2344" t="s">
        <v>553</v>
      </c>
      <c r="C2344" t="str">
        <f>_xll.BDP("916675ED Muni","INSURANCE_STATUS")</f>
        <v>#N/A Requesting Data...</v>
      </c>
      <c r="D2344" t="str">
        <f>_xll.BDP("916675ED Muni","STATE_CODE")</f>
        <v>#N/A Requesting Data...</v>
      </c>
      <c r="E2344" t="str">
        <f>_xll.BDP("916675ED Muni","COUNTY_LOCATION_ISSUER")</f>
        <v>#N/A Requesting Data...</v>
      </c>
      <c r="F2344" t="str">
        <f>_xll.BDP("916675ED Muni","DUR_ADJ_MID")</f>
        <v>#N/A Requesting Data...</v>
      </c>
      <c r="G2344" t="str">
        <f>_xll.BDP("916675ED Muni","SPREAD_AT_ISSUANCE_TO_WORST")</f>
        <v>#N/A Requesting Data...</v>
      </c>
      <c r="H2344" t="str">
        <f>_xll.BDP("916675ED Muni","ISSUE_DT")</f>
        <v>#N/A Requesting Data...</v>
      </c>
      <c r="I2344" t="str">
        <f>_xll.BDS("916675ED Muni","MUNI_PURPOSE_SCHED", "aggregate=y")</f>
        <v>#N/A Requesting Data...</v>
      </c>
      <c r="J2344" t="str">
        <f>_xll.BDP("916675ED Muni","CPN")</f>
        <v>#N/A Requesting Data...</v>
      </c>
      <c r="K2344" t="str">
        <f>_xll.BDP("916675ED Muni","MATURITY")</f>
        <v>#N/A Requesting Data...</v>
      </c>
      <c r="L2344">
        <v>1060000</v>
      </c>
      <c r="M2344" t="str">
        <f>_xll.BDP("916675ED Muni","YIELD_ON_ISSUE_DATE")</f>
        <v>#N/A Requesting Data...</v>
      </c>
      <c r="N2344" t="str">
        <f>_xll.BDP("916675ED Muni","YTW_SPREAD_TO_MATURITY_AT_ISSU")</f>
        <v>#N/A Requesting Data...</v>
      </c>
      <c r="O2344" t="str">
        <f>_xll.BDP("916675ED Muni","BVAL_MID_YTM")</f>
        <v>#N/A Requesting Data...</v>
      </c>
      <c r="P2344" t="str">
        <f>_xll.BDP("916675ED Muni","MUNI_TAX_PROV")</f>
        <v>#N/A Requesting Data...</v>
      </c>
      <c r="Q2344" t="str">
        <f>_xll.BDP("916675ED Muni","MUNI_FED_TAX")</f>
        <v>#N/A Requesting Data...</v>
      </c>
      <c r="R2344" t="str">
        <f>_xll.BDP("916675ED Muni","MUNI_MSRB_VOLUME")</f>
        <v>#N/A Requesting Data...</v>
      </c>
      <c r="S2344" t="str">
        <f>_xll.BDP("916675ED Muni","BB_COMPOSITE")</f>
        <v>#N/A Requesting Data...</v>
      </c>
      <c r="T2344" t="str">
        <f>_xll.BDP("916675ED Muni","LQA_LIQUIDITY_SCORE")</f>
        <v>#N/A Requesting Data...</v>
      </c>
    </row>
    <row r="2345" spans="1:20" x14ac:dyDescent="0.25">
      <c r="A2345" t="str">
        <f>_xll.BDP("91882PEJ Muni","ID_CUSIP")</f>
        <v>#N/A Requesting Data...</v>
      </c>
      <c r="B2345" t="s">
        <v>506</v>
      </c>
      <c r="C2345" t="str">
        <f>_xll.BDP("91882PEJ Muni","INSURANCE_STATUS")</f>
        <v>#N/A Requesting Data...</v>
      </c>
      <c r="D2345" t="str">
        <f>_xll.BDP("91882PEJ Muni","STATE_CODE")</f>
        <v>#N/A Requesting Data...</v>
      </c>
      <c r="E2345" t="str">
        <f>_xll.BDP("91882PEJ Muni","COUNTY_LOCATION_ISSUER")</f>
        <v>#N/A Requesting Data...</v>
      </c>
      <c r="F2345" t="str">
        <f>_xll.BDP("91882PEJ Muni","DUR_ADJ_MID")</f>
        <v>#N/A Requesting Data...</v>
      </c>
      <c r="G2345" t="str">
        <f>_xll.BDP("91882PEJ Muni","SPREAD_AT_ISSUANCE_TO_WORST")</f>
        <v>#N/A Requesting Data...</v>
      </c>
      <c r="H2345" t="str">
        <f>_xll.BDP("91882PEJ Muni","ISSUE_DT")</f>
        <v>#N/A Requesting Data...</v>
      </c>
      <c r="I2345" t="str">
        <f>_xll.BDS("91882PEJ Muni","MUNI_PURPOSE_SCHED", "aggregate=y")</f>
        <v>#N/A Requesting Data...</v>
      </c>
      <c r="J2345" t="str">
        <f>_xll.BDP("91882PEJ Muni","CPN")</f>
        <v>#N/A Requesting Data...</v>
      </c>
      <c r="K2345" t="str">
        <f>_xll.BDP("91882PEJ Muni","MATURITY")</f>
        <v>#N/A Requesting Data...</v>
      </c>
      <c r="L2345">
        <v>75000</v>
      </c>
      <c r="M2345" t="str">
        <f>_xll.BDP("91882PEJ Muni","YIELD_ON_ISSUE_DATE")</f>
        <v>#N/A Requesting Data...</v>
      </c>
      <c r="N2345" t="str">
        <f>_xll.BDP("91882PEJ Muni","YTW_SPREAD_TO_MATURITY_AT_ISSU")</f>
        <v>#N/A Requesting Data...</v>
      </c>
      <c r="O2345" t="str">
        <f>_xll.BDP("91882PEJ Muni","BVAL_MID_YTM")</f>
        <v>#N/A Requesting Data...</v>
      </c>
      <c r="P2345" t="str">
        <f>_xll.BDP("91882PEJ Muni","MUNI_TAX_PROV")</f>
        <v>#N/A Requesting Data...</v>
      </c>
      <c r="Q2345" t="str">
        <f>_xll.BDP("91882PEJ Muni","MUNI_FED_TAX")</f>
        <v>#N/A Requesting Data...</v>
      </c>
      <c r="R2345" t="str">
        <f>_xll.BDP("91882PEJ Muni","MUNI_MSRB_VOLUME")</f>
        <v>#N/A Requesting Data...</v>
      </c>
      <c r="S2345" t="str">
        <f>_xll.BDP("91882PEJ Muni","BB_COMPOSITE")</f>
        <v>#N/A Requesting Data...</v>
      </c>
      <c r="T2345" t="str">
        <f>_xll.BDP("91882PEJ Muni","LQA_LIQUIDITY_SCORE")</f>
        <v>#N/A Requesting Data...</v>
      </c>
    </row>
    <row r="2346" spans="1:20" x14ac:dyDescent="0.25">
      <c r="A2346" t="str">
        <f>_xll.BDP("91882PEL Muni","ID_CUSIP")</f>
        <v>#N/A Requesting Data...</v>
      </c>
      <c r="B2346" t="s">
        <v>506</v>
      </c>
      <c r="C2346" t="str">
        <f>_xll.BDP("91882PEL Muni","INSURANCE_STATUS")</f>
        <v>#N/A Requesting Data...</v>
      </c>
      <c r="D2346" t="str">
        <f>_xll.BDP("91882PEL Muni","STATE_CODE")</f>
        <v>#N/A Requesting Data...</v>
      </c>
      <c r="E2346" t="str">
        <f>_xll.BDP("91882PEL Muni","COUNTY_LOCATION_ISSUER")</f>
        <v>#N/A Requesting Data...</v>
      </c>
      <c r="F2346" t="str">
        <f>_xll.BDP("91882PEL Muni","DUR_ADJ_MID")</f>
        <v>#N/A Requesting Data...</v>
      </c>
      <c r="G2346" t="str">
        <f>_xll.BDP("91882PEL Muni","SPREAD_AT_ISSUANCE_TO_WORST")</f>
        <v>#N/A Requesting Data...</v>
      </c>
      <c r="H2346" t="str">
        <f>_xll.BDP("91882PEL Muni","ISSUE_DT")</f>
        <v>#N/A Requesting Data...</v>
      </c>
      <c r="I2346" t="str">
        <f>_xll.BDS("91882PEL Muni","MUNI_PURPOSE_SCHED", "aggregate=y")</f>
        <v>#N/A Requesting Data...</v>
      </c>
      <c r="J2346" t="str">
        <f>_xll.BDP("91882PEL Muni","CPN")</f>
        <v>#N/A Requesting Data...</v>
      </c>
      <c r="K2346" t="str">
        <f>_xll.BDP("91882PEL Muni","MATURITY")</f>
        <v>#N/A Requesting Data...</v>
      </c>
      <c r="L2346">
        <v>90000</v>
      </c>
      <c r="M2346" t="str">
        <f>_xll.BDP("91882PEL Muni","YIELD_ON_ISSUE_DATE")</f>
        <v>#N/A Requesting Data...</v>
      </c>
      <c r="N2346" t="str">
        <f>_xll.BDP("91882PEL Muni","YTW_SPREAD_TO_MATURITY_AT_ISSU")</f>
        <v>#N/A Requesting Data...</v>
      </c>
      <c r="O2346" t="str">
        <f>_xll.BDP("91882PEL Muni","BVAL_MID_YTM")</f>
        <v>#N/A Requesting Data...</v>
      </c>
      <c r="P2346" t="str">
        <f>_xll.BDP("91882PEL Muni","MUNI_TAX_PROV")</f>
        <v>#N/A Requesting Data...</v>
      </c>
      <c r="Q2346" t="str">
        <f>_xll.BDP("91882PEL Muni","MUNI_FED_TAX")</f>
        <v>#N/A Requesting Data...</v>
      </c>
      <c r="R2346" t="str">
        <f>_xll.BDP("91882PEL Muni","MUNI_MSRB_VOLUME")</f>
        <v>#N/A Requesting Data...</v>
      </c>
      <c r="S2346" t="str">
        <f>_xll.BDP("91882PEL Muni","BB_COMPOSITE")</f>
        <v>#N/A Requesting Data...</v>
      </c>
      <c r="T2346" t="str">
        <f>_xll.BDP("91882PEL Muni","LQA_LIQUIDITY_SCORE")</f>
        <v>#N/A Requesting Data...</v>
      </c>
    </row>
    <row r="2347" spans="1:20" x14ac:dyDescent="0.25">
      <c r="A2347" t="str">
        <f>_xll.BDP("919526AE Muni","ID_CUSIP")</f>
        <v>#N/A Requesting Data...</v>
      </c>
      <c r="B2347" t="s">
        <v>508</v>
      </c>
      <c r="C2347" t="str">
        <f>_xll.BDP("919526AE Muni","INSURANCE_STATUS")</f>
        <v>#N/A Requesting Data...</v>
      </c>
      <c r="D2347" t="str">
        <f>_xll.BDP("919526AE Muni","STATE_CODE")</f>
        <v>#N/A Requesting Data...</v>
      </c>
      <c r="E2347" t="str">
        <f>_xll.BDP("919526AE Muni","COUNTY_LOCATION_ISSUER")</f>
        <v>#N/A Requesting Data...</v>
      </c>
      <c r="F2347" t="str">
        <f>_xll.BDP("919526AE Muni","DUR_ADJ_MID")</f>
        <v>#N/A Requesting Data...</v>
      </c>
      <c r="G2347" t="str">
        <f>_xll.BDP("919526AE Muni","SPREAD_AT_ISSUANCE_TO_WORST")</f>
        <v>#N/A Requesting Data...</v>
      </c>
      <c r="H2347" t="str">
        <f>_xll.BDP("919526AE Muni","ISSUE_DT")</f>
        <v>#N/A Requesting Data...</v>
      </c>
      <c r="I2347" t="str">
        <f>_xll.BDS("919526AE Muni","MUNI_PURPOSE_SCHED", "aggregate=y")</f>
        <v>#N/A Requesting Data...</v>
      </c>
      <c r="J2347" t="str">
        <f>_xll.BDP("919526AE Muni","CPN")</f>
        <v>#N/A Requesting Data...</v>
      </c>
      <c r="K2347" t="str">
        <f>_xll.BDP("919526AE Muni","MATURITY")</f>
        <v>#N/A Requesting Data...</v>
      </c>
      <c r="L2347">
        <v>440000</v>
      </c>
      <c r="M2347" t="str">
        <f>_xll.BDP("919526AE Muni","YIELD_ON_ISSUE_DATE")</f>
        <v>#N/A Requesting Data...</v>
      </c>
      <c r="N2347" t="str">
        <f>_xll.BDP("919526AE Muni","YTW_SPREAD_TO_MATURITY_AT_ISSU")</f>
        <v>#N/A Requesting Data...</v>
      </c>
      <c r="O2347" t="str">
        <f>_xll.BDP("919526AE Muni","BVAL_MID_YTM")</f>
        <v>#N/A Requesting Data...</v>
      </c>
      <c r="P2347" t="str">
        <f>_xll.BDP("919526AE Muni","MUNI_TAX_PROV")</f>
        <v>#N/A Requesting Data...</v>
      </c>
      <c r="Q2347" t="str">
        <f>_xll.BDP("919526AE Muni","MUNI_FED_TAX")</f>
        <v>#N/A Requesting Data...</v>
      </c>
      <c r="R2347" t="str">
        <f>_xll.BDP("919526AE Muni","MUNI_MSRB_VOLUME")</f>
        <v>#N/A Requesting Data...</v>
      </c>
      <c r="S2347" t="str">
        <f>_xll.BDP("919526AE Muni","BB_COMPOSITE")</f>
        <v>#N/A Requesting Data...</v>
      </c>
      <c r="T2347" t="str">
        <f>_xll.BDP("919526AE Muni","LQA_LIQUIDITY_SCORE")</f>
        <v>#N/A Requesting Data...</v>
      </c>
    </row>
    <row r="2348" spans="1:20" x14ac:dyDescent="0.25">
      <c r="A2348" t="str">
        <f>_xll.BDP("919526AG Muni","ID_CUSIP")</f>
        <v>#N/A Requesting Data...</v>
      </c>
      <c r="B2348" t="s">
        <v>508</v>
      </c>
      <c r="C2348" t="str">
        <f>_xll.BDP("919526AG Muni","INSURANCE_STATUS")</f>
        <v>#N/A Requesting Data...</v>
      </c>
      <c r="D2348" t="str">
        <f>_xll.BDP("919526AG Muni","STATE_CODE")</f>
        <v>#N/A Requesting Data...</v>
      </c>
      <c r="E2348" t="str">
        <f>_xll.BDP("919526AG Muni","COUNTY_LOCATION_ISSUER")</f>
        <v>#N/A Requesting Data...</v>
      </c>
      <c r="F2348" t="str">
        <f>_xll.BDP("919526AG Muni","DUR_ADJ_MID")</f>
        <v>#N/A Requesting Data...</v>
      </c>
      <c r="G2348" t="str">
        <f>_xll.BDP("919526AG Muni","SPREAD_AT_ISSUANCE_TO_WORST")</f>
        <v>#N/A Requesting Data...</v>
      </c>
      <c r="H2348" t="str">
        <f>_xll.BDP("919526AG Muni","ISSUE_DT")</f>
        <v>#N/A Requesting Data...</v>
      </c>
      <c r="I2348" t="str">
        <f>_xll.BDS("919526AG Muni","MUNI_PURPOSE_SCHED", "aggregate=y")</f>
        <v>#N/A Requesting Data...</v>
      </c>
      <c r="J2348" t="str">
        <f>_xll.BDP("919526AG Muni","CPN")</f>
        <v>#N/A Requesting Data...</v>
      </c>
      <c r="K2348" t="str">
        <f>_xll.BDP("919526AG Muni","MATURITY")</f>
        <v>#N/A Requesting Data...</v>
      </c>
      <c r="L2348">
        <v>485000</v>
      </c>
      <c r="M2348" t="str">
        <f>_xll.BDP("919526AG Muni","YIELD_ON_ISSUE_DATE")</f>
        <v>#N/A Requesting Data...</v>
      </c>
      <c r="N2348" t="str">
        <f>_xll.BDP("919526AG Muni","YTW_SPREAD_TO_MATURITY_AT_ISSU")</f>
        <v>#N/A Requesting Data...</v>
      </c>
      <c r="O2348" t="str">
        <f>_xll.BDP("919526AG Muni","BVAL_MID_YTM")</f>
        <v>#N/A Requesting Data...</v>
      </c>
      <c r="P2348" t="str">
        <f>_xll.BDP("919526AG Muni","MUNI_TAX_PROV")</f>
        <v>#N/A Requesting Data...</v>
      </c>
      <c r="Q2348" t="str">
        <f>_xll.BDP("919526AG Muni","MUNI_FED_TAX")</f>
        <v>#N/A Requesting Data...</v>
      </c>
      <c r="R2348" t="str">
        <f>_xll.BDP("919526AG Muni","MUNI_MSRB_VOLUME")</f>
        <v>#N/A Requesting Data...</v>
      </c>
      <c r="S2348" t="str">
        <f>_xll.BDP("919526AG Muni","BB_COMPOSITE")</f>
        <v>#N/A Requesting Data...</v>
      </c>
      <c r="T2348" t="str">
        <f>_xll.BDP("919526AG Muni","LQA_LIQUIDITY_SCORE")</f>
        <v>#N/A Requesting Data...</v>
      </c>
    </row>
    <row r="2349" spans="1:20" x14ac:dyDescent="0.25">
      <c r="A2349" t="str">
        <f>_xll.BDP("919526AJ Muni","ID_CUSIP")</f>
        <v>#N/A Requesting Data...</v>
      </c>
      <c r="B2349" t="s">
        <v>508</v>
      </c>
      <c r="C2349" t="str">
        <f>_xll.BDP("919526AJ Muni","INSURANCE_STATUS")</f>
        <v>#N/A Requesting Data...</v>
      </c>
      <c r="D2349" t="str">
        <f>_xll.BDP("919526AJ Muni","STATE_CODE")</f>
        <v>#N/A Requesting Data...</v>
      </c>
      <c r="E2349" t="str">
        <f>_xll.BDP("919526AJ Muni","COUNTY_LOCATION_ISSUER")</f>
        <v>#N/A Requesting Data...</v>
      </c>
      <c r="F2349" t="str">
        <f>_xll.BDP("919526AJ Muni","DUR_ADJ_MID")</f>
        <v>#N/A Requesting Data...</v>
      </c>
      <c r="G2349" t="str">
        <f>_xll.BDP("919526AJ Muni","SPREAD_AT_ISSUANCE_TO_WORST")</f>
        <v>#N/A Requesting Data...</v>
      </c>
      <c r="H2349" t="str">
        <f>_xll.BDP("919526AJ Muni","ISSUE_DT")</f>
        <v>#N/A Requesting Data...</v>
      </c>
      <c r="I2349" t="str">
        <f>_xll.BDS("919526AJ Muni","MUNI_PURPOSE_SCHED", "aggregate=y")</f>
        <v>#N/A Requesting Data...</v>
      </c>
      <c r="J2349" t="str">
        <f>_xll.BDP("919526AJ Muni","CPN")</f>
        <v>#N/A Requesting Data...</v>
      </c>
      <c r="K2349" t="str">
        <f>_xll.BDP("919526AJ Muni","MATURITY")</f>
        <v>#N/A Requesting Data...</v>
      </c>
      <c r="L2349">
        <v>535000</v>
      </c>
      <c r="M2349" t="str">
        <f>_xll.BDP("919526AJ Muni","YIELD_ON_ISSUE_DATE")</f>
        <v>#N/A Requesting Data...</v>
      </c>
      <c r="N2349" t="str">
        <f>_xll.BDP("919526AJ Muni","YTW_SPREAD_TO_MATURITY_AT_ISSU")</f>
        <v>#N/A Requesting Data...</v>
      </c>
      <c r="O2349" t="str">
        <f>_xll.BDP("919526AJ Muni","BVAL_MID_YTM")</f>
        <v>#N/A Requesting Data...</v>
      </c>
      <c r="P2349" t="str">
        <f>_xll.BDP("919526AJ Muni","MUNI_TAX_PROV")</f>
        <v>#N/A Requesting Data...</v>
      </c>
      <c r="Q2349" t="str">
        <f>_xll.BDP("919526AJ Muni","MUNI_FED_TAX")</f>
        <v>#N/A Requesting Data...</v>
      </c>
      <c r="R2349" t="str">
        <f>_xll.BDP("919526AJ Muni","MUNI_MSRB_VOLUME")</f>
        <v>#N/A Requesting Data...</v>
      </c>
      <c r="S2349" t="str">
        <f>_xll.BDP("919526AJ Muni","BB_COMPOSITE")</f>
        <v>#N/A Requesting Data...</v>
      </c>
      <c r="T2349" t="str">
        <f>_xll.BDP("919526AJ Muni","LQA_LIQUIDITY_SCORE")</f>
        <v>#N/A Requesting Data...</v>
      </c>
    </row>
    <row r="2350" spans="1:20" x14ac:dyDescent="0.25">
      <c r="A2350" t="str">
        <f>_xll.BDP("920012QX Muni","ID_CUSIP")</f>
        <v>#N/A Requesting Data...</v>
      </c>
      <c r="B2350" t="s">
        <v>554</v>
      </c>
      <c r="C2350" t="str">
        <f>_xll.BDP("920012QX Muni","INSURANCE_STATUS")</f>
        <v>#N/A Requesting Data...</v>
      </c>
      <c r="D2350" t="str">
        <f>_xll.BDP("920012QX Muni","STATE_CODE")</f>
        <v>#N/A Requesting Data...</v>
      </c>
      <c r="E2350" t="str">
        <f>_xll.BDP("920012QX Muni","COUNTY_LOCATION_ISSUER")</f>
        <v>#N/A Requesting Data...</v>
      </c>
      <c r="F2350" t="str">
        <f>_xll.BDP("920012QX Muni","DUR_ADJ_MID")</f>
        <v>#N/A Requesting Data...</v>
      </c>
      <c r="G2350" t="str">
        <f>_xll.BDP("920012QX Muni","SPREAD_AT_ISSUANCE_TO_WORST")</f>
        <v>#N/A Requesting Data...</v>
      </c>
      <c r="H2350" t="str">
        <f>_xll.BDP("920012QX Muni","ISSUE_DT")</f>
        <v>#N/A Requesting Data...</v>
      </c>
      <c r="I2350" t="str">
        <f>_xll.BDS("920012QX Muni","MUNI_PURPOSE_SCHED", "aggregate=y")</f>
        <v>#N/A Requesting Data...</v>
      </c>
      <c r="J2350" t="str">
        <f>_xll.BDP("920012QX Muni","CPN")</f>
        <v>#N/A Requesting Data...</v>
      </c>
      <c r="K2350" t="str">
        <f>_xll.BDP("920012QX Muni","MATURITY")</f>
        <v>#N/A Requesting Data...</v>
      </c>
      <c r="L2350">
        <v>80000</v>
      </c>
      <c r="M2350" t="str">
        <f>_xll.BDP("920012QX Muni","YIELD_ON_ISSUE_DATE")</f>
        <v>#N/A Requesting Data...</v>
      </c>
      <c r="N2350" t="str">
        <f>_xll.BDP("920012QX Muni","YTW_SPREAD_TO_MATURITY_AT_ISSU")</f>
        <v>#N/A Requesting Data...</v>
      </c>
      <c r="O2350" t="str">
        <f>_xll.BDP("920012QX Muni","BVAL_MID_YTM")</f>
        <v>#N/A Requesting Data...</v>
      </c>
      <c r="P2350" t="str">
        <f>_xll.BDP("920012QX Muni","MUNI_TAX_PROV")</f>
        <v>#N/A Requesting Data...</v>
      </c>
      <c r="Q2350" t="str">
        <f>_xll.BDP("920012QX Muni","MUNI_FED_TAX")</f>
        <v>#N/A Requesting Data...</v>
      </c>
      <c r="R2350" t="str">
        <f>_xll.BDP("920012QX Muni","MUNI_MSRB_VOLUME")</f>
        <v>#N/A Requesting Data...</v>
      </c>
      <c r="S2350" t="str">
        <f>_xll.BDP("920012QX Muni","BB_COMPOSITE")</f>
        <v>#N/A Requesting Data...</v>
      </c>
      <c r="T2350" t="str">
        <f>_xll.BDP("920012QX Muni","LQA_LIQUIDITY_SCORE")</f>
        <v>#N/A Requesting Data...</v>
      </c>
    </row>
    <row r="2351" spans="1:20" x14ac:dyDescent="0.25">
      <c r="A2351" t="str">
        <f>_xll.BDP("92006TKC Muni","ID_CUSIP")</f>
        <v>#N/A Requesting Data...</v>
      </c>
      <c r="B2351" t="s">
        <v>509</v>
      </c>
      <c r="C2351" t="str">
        <f>_xll.BDP("92006TKC Muni","INSURANCE_STATUS")</f>
        <v>#N/A Requesting Data...</v>
      </c>
      <c r="D2351" t="str">
        <f>_xll.BDP("92006TKC Muni","STATE_CODE")</f>
        <v>#N/A Requesting Data...</v>
      </c>
      <c r="E2351" t="str">
        <f>_xll.BDP("92006TKC Muni","COUNTY_LOCATION_ISSUER")</f>
        <v>#N/A Requesting Data...</v>
      </c>
      <c r="F2351" t="str">
        <f>_xll.BDP("92006TKC Muni","DUR_ADJ_MID")</f>
        <v>#N/A Requesting Data...</v>
      </c>
      <c r="G2351" t="str">
        <f>_xll.BDP("92006TKC Muni","SPREAD_AT_ISSUANCE_TO_WORST")</f>
        <v>#N/A Requesting Data...</v>
      </c>
      <c r="H2351" t="str">
        <f>_xll.BDP("92006TKC Muni","ISSUE_DT")</f>
        <v>#N/A Requesting Data...</v>
      </c>
      <c r="I2351" t="str">
        <f>_xll.BDS("92006TKC Muni","MUNI_PURPOSE_SCHED", "aggregate=y")</f>
        <v>#N/A Requesting Data...</v>
      </c>
      <c r="J2351" t="str">
        <f>_xll.BDP("92006TKC Muni","CPN")</f>
        <v>#N/A Requesting Data...</v>
      </c>
      <c r="K2351" t="str">
        <f>_xll.BDP("92006TKC Muni","MATURITY")</f>
        <v>#N/A Requesting Data...</v>
      </c>
      <c r="L2351">
        <v>60000</v>
      </c>
      <c r="M2351" t="str">
        <f>_xll.BDP("92006TKC Muni","YIELD_ON_ISSUE_DATE")</f>
        <v>#N/A Requesting Data...</v>
      </c>
      <c r="N2351" t="str">
        <f>_xll.BDP("92006TKC Muni","YTW_SPREAD_TO_MATURITY_AT_ISSU")</f>
        <v>#N/A Requesting Data...</v>
      </c>
      <c r="O2351" t="str">
        <f>_xll.BDP("92006TKC Muni","BVAL_MID_YTM")</f>
        <v>#N/A Requesting Data...</v>
      </c>
      <c r="P2351" t="str">
        <f>_xll.BDP("92006TKC Muni","MUNI_TAX_PROV")</f>
        <v>#N/A Requesting Data...</v>
      </c>
      <c r="Q2351" t="str">
        <f>_xll.BDP("92006TKC Muni","MUNI_FED_TAX")</f>
        <v>#N/A Requesting Data...</v>
      </c>
      <c r="R2351" t="str">
        <f>_xll.BDP("92006TKC Muni","MUNI_MSRB_VOLUME")</f>
        <v>#N/A Requesting Data...</v>
      </c>
      <c r="S2351" t="str">
        <f>_xll.BDP("92006TKC Muni","BB_COMPOSITE")</f>
        <v>#N/A Requesting Data...</v>
      </c>
      <c r="T2351" t="str">
        <f>_xll.BDP("92006TKC Muni","LQA_LIQUIDITY_SCORE")</f>
        <v>#N/A Requesting Data...</v>
      </c>
    </row>
    <row r="2352" spans="1:20" x14ac:dyDescent="0.25">
      <c r="A2352" t="str">
        <f>_xll.BDP("92006TLC Muni","ID_CUSIP")</f>
        <v>#N/A Requesting Data...</v>
      </c>
      <c r="B2352" t="s">
        <v>509</v>
      </c>
      <c r="C2352" t="str">
        <f>_xll.BDP("92006TLC Muni","INSURANCE_STATUS")</f>
        <v>#N/A Requesting Data...</v>
      </c>
      <c r="D2352" t="str">
        <f>_xll.BDP("92006TLC Muni","STATE_CODE")</f>
        <v>#N/A Requesting Data...</v>
      </c>
      <c r="E2352" t="str">
        <f>_xll.BDP("92006TLC Muni","COUNTY_LOCATION_ISSUER")</f>
        <v>#N/A Requesting Data...</v>
      </c>
      <c r="F2352" t="str">
        <f>_xll.BDP("92006TLC Muni","DUR_ADJ_MID")</f>
        <v>#N/A Requesting Data...</v>
      </c>
      <c r="G2352" t="str">
        <f>_xll.BDP("92006TLC Muni","SPREAD_AT_ISSUANCE_TO_WORST")</f>
        <v>#N/A Requesting Data...</v>
      </c>
      <c r="H2352" t="str">
        <f>_xll.BDP("92006TLC Muni","ISSUE_DT")</f>
        <v>#N/A Requesting Data...</v>
      </c>
      <c r="I2352" t="str">
        <f>_xll.BDS("92006TLC Muni","MUNI_PURPOSE_SCHED", "aggregate=y")</f>
        <v>#N/A Requesting Data...</v>
      </c>
      <c r="J2352" t="str">
        <f>_xll.BDP("92006TLC Muni","CPN")</f>
        <v>#N/A Requesting Data...</v>
      </c>
      <c r="K2352" t="str">
        <f>_xll.BDP("92006TLC Muni","MATURITY")</f>
        <v>#N/A Requesting Data...</v>
      </c>
      <c r="L2352">
        <v>100000</v>
      </c>
      <c r="M2352" t="str">
        <f>_xll.BDP("92006TLC Muni","YIELD_ON_ISSUE_DATE")</f>
        <v>#N/A Requesting Data...</v>
      </c>
      <c r="N2352" t="str">
        <f>_xll.BDP("92006TLC Muni","YTW_SPREAD_TO_MATURITY_AT_ISSU")</f>
        <v>#N/A Requesting Data...</v>
      </c>
      <c r="O2352" t="str">
        <f>_xll.BDP("92006TLC Muni","BVAL_MID_YTM")</f>
        <v>#N/A Requesting Data...</v>
      </c>
      <c r="P2352" t="str">
        <f>_xll.BDP("92006TLC Muni","MUNI_TAX_PROV")</f>
        <v>#N/A Requesting Data...</v>
      </c>
      <c r="Q2352" t="str">
        <f>_xll.BDP("92006TLC Muni","MUNI_FED_TAX")</f>
        <v>#N/A Requesting Data...</v>
      </c>
      <c r="R2352" t="str">
        <f>_xll.BDP("92006TLC Muni","MUNI_MSRB_VOLUME")</f>
        <v>#N/A Requesting Data...</v>
      </c>
      <c r="S2352" t="str">
        <f>_xll.BDP("92006TLC Muni","BB_COMPOSITE")</f>
        <v>#N/A Requesting Data...</v>
      </c>
      <c r="T2352" t="str">
        <f>_xll.BDP("92006TLC Muni","LQA_LIQUIDITY_SCORE")</f>
        <v>#N/A Requesting Data...</v>
      </c>
    </row>
    <row r="2353" spans="1:20" x14ac:dyDescent="0.25">
      <c r="A2353" t="str">
        <f>_xll.BDP("925088VU Muni","ID_CUSIP")</f>
        <v>#N/A Requesting Data...</v>
      </c>
      <c r="B2353" t="s">
        <v>555</v>
      </c>
      <c r="C2353" t="str">
        <f>_xll.BDP("925088VU Muni","INSURANCE_STATUS")</f>
        <v>#N/A Requesting Data...</v>
      </c>
      <c r="D2353" t="str">
        <f>_xll.BDP("925088VU Muni","STATE_CODE")</f>
        <v>#N/A Requesting Data...</v>
      </c>
      <c r="E2353" t="str">
        <f>_xll.BDP("925088VU Muni","COUNTY_LOCATION_ISSUER")</f>
        <v>#N/A Requesting Data...</v>
      </c>
      <c r="F2353" t="str">
        <f>_xll.BDP("925088VU Muni","DUR_ADJ_MID")</f>
        <v>#N/A Requesting Data...</v>
      </c>
      <c r="G2353" t="str">
        <f>_xll.BDP("925088VU Muni","SPREAD_AT_ISSUANCE_TO_WORST")</f>
        <v>#N/A Requesting Data...</v>
      </c>
      <c r="H2353" t="str">
        <f>_xll.BDP("925088VU Muni","ISSUE_DT")</f>
        <v>#N/A Requesting Data...</v>
      </c>
      <c r="I2353" t="str">
        <f>_xll.BDS("925088VU Muni","MUNI_PURPOSE_SCHED", "aggregate=y")</f>
        <v>#N/A Requesting Data...</v>
      </c>
      <c r="J2353" t="str">
        <f>_xll.BDP("925088VU Muni","CPN")</f>
        <v>#N/A Requesting Data...</v>
      </c>
      <c r="K2353" t="str">
        <f>_xll.BDP("925088VU Muni","MATURITY")</f>
        <v>#N/A Requesting Data...</v>
      </c>
      <c r="L2353">
        <v>205000</v>
      </c>
      <c r="M2353" t="str">
        <f>_xll.BDP("925088VU Muni","YIELD_ON_ISSUE_DATE")</f>
        <v>#N/A Requesting Data...</v>
      </c>
      <c r="N2353" t="str">
        <f>_xll.BDP("925088VU Muni","YTW_SPREAD_TO_MATURITY_AT_ISSU")</f>
        <v>#N/A Requesting Data...</v>
      </c>
      <c r="O2353" t="str">
        <f>_xll.BDP("925088VU Muni","BVAL_MID_YTM")</f>
        <v>#N/A Requesting Data...</v>
      </c>
      <c r="P2353" t="str">
        <f>_xll.BDP("925088VU Muni","MUNI_TAX_PROV")</f>
        <v>#N/A Requesting Data...</v>
      </c>
      <c r="Q2353" t="str">
        <f>_xll.BDP("925088VU Muni","MUNI_FED_TAX")</f>
        <v>#N/A Requesting Data...</v>
      </c>
      <c r="R2353" t="str">
        <f>_xll.BDP("925088VU Muni","MUNI_MSRB_VOLUME")</f>
        <v>#N/A Requesting Data...</v>
      </c>
      <c r="S2353" t="str">
        <f>_xll.BDP("925088VU Muni","BB_COMPOSITE")</f>
        <v>#N/A Requesting Data...</v>
      </c>
      <c r="T2353" t="str">
        <f>_xll.BDP("925088VU Muni","LQA_LIQUIDITY_SCORE")</f>
        <v>#N/A Requesting Data...</v>
      </c>
    </row>
    <row r="2354" spans="1:20" x14ac:dyDescent="0.25">
      <c r="A2354" t="str">
        <f>_xll.BDP("925088VV Muni","ID_CUSIP")</f>
        <v>#N/A Requesting Data...</v>
      </c>
      <c r="B2354" t="s">
        <v>555</v>
      </c>
      <c r="C2354" t="str">
        <f>_xll.BDP("925088VV Muni","INSURANCE_STATUS")</f>
        <v>#N/A Requesting Data...</v>
      </c>
      <c r="D2354" t="str">
        <f>_xll.BDP("925088VV Muni","STATE_CODE")</f>
        <v>#N/A Requesting Data...</v>
      </c>
      <c r="E2354" t="str">
        <f>_xll.BDP("925088VV Muni","COUNTY_LOCATION_ISSUER")</f>
        <v>#N/A Requesting Data...</v>
      </c>
      <c r="F2354" t="str">
        <f>_xll.BDP("925088VV Muni","DUR_ADJ_MID")</f>
        <v>#N/A Requesting Data...</v>
      </c>
      <c r="G2354" t="str">
        <f>_xll.BDP("925088VV Muni","SPREAD_AT_ISSUANCE_TO_WORST")</f>
        <v>#N/A Requesting Data...</v>
      </c>
      <c r="H2354" t="str">
        <f>_xll.BDP("925088VV Muni","ISSUE_DT")</f>
        <v>#N/A Requesting Data...</v>
      </c>
      <c r="I2354" t="str">
        <f>_xll.BDS("925088VV Muni","MUNI_PURPOSE_SCHED", "aggregate=y")</f>
        <v>#N/A Requesting Data...</v>
      </c>
      <c r="J2354" t="str">
        <f>_xll.BDP("925088VV Muni","CPN")</f>
        <v>#N/A Requesting Data...</v>
      </c>
      <c r="K2354" t="str">
        <f>_xll.BDP("925088VV Muni","MATURITY")</f>
        <v>#N/A Requesting Data...</v>
      </c>
      <c r="L2354">
        <v>210000</v>
      </c>
      <c r="M2354" t="str">
        <f>_xll.BDP("925088VV Muni","YIELD_ON_ISSUE_DATE")</f>
        <v>#N/A Requesting Data...</v>
      </c>
      <c r="N2354" t="str">
        <f>_xll.BDP("925088VV Muni","YTW_SPREAD_TO_MATURITY_AT_ISSU")</f>
        <v>#N/A Requesting Data...</v>
      </c>
      <c r="O2354" t="str">
        <f>_xll.BDP("925088VV Muni","BVAL_MID_YTM")</f>
        <v>#N/A Requesting Data...</v>
      </c>
      <c r="P2354" t="str">
        <f>_xll.BDP("925088VV Muni","MUNI_TAX_PROV")</f>
        <v>#N/A Requesting Data...</v>
      </c>
      <c r="Q2354" t="str">
        <f>_xll.BDP("925088VV Muni","MUNI_FED_TAX")</f>
        <v>#N/A Requesting Data...</v>
      </c>
      <c r="R2354" t="str">
        <f>_xll.BDP("925088VV Muni","MUNI_MSRB_VOLUME")</f>
        <v>#N/A Requesting Data...</v>
      </c>
      <c r="S2354" t="str">
        <f>_xll.BDP("925088VV Muni","BB_COMPOSITE")</f>
        <v>#N/A Requesting Data...</v>
      </c>
      <c r="T2354" t="str">
        <f>_xll.BDP("925088VV Muni","LQA_LIQUIDITY_SCORE")</f>
        <v>#N/A Requesting Data...</v>
      </c>
    </row>
    <row r="2355" spans="1:20" x14ac:dyDescent="0.25">
      <c r="A2355" t="str">
        <f>_xll.BDP("925088VW Muni","ID_CUSIP")</f>
        <v>#N/A Requesting Data...</v>
      </c>
      <c r="B2355" t="s">
        <v>555</v>
      </c>
      <c r="C2355" t="str">
        <f>_xll.BDP("925088VW Muni","INSURANCE_STATUS")</f>
        <v>#N/A Requesting Data...</v>
      </c>
      <c r="D2355" t="str">
        <f>_xll.BDP("925088VW Muni","STATE_CODE")</f>
        <v>#N/A Requesting Data...</v>
      </c>
      <c r="E2355" t="str">
        <f>_xll.BDP("925088VW Muni","COUNTY_LOCATION_ISSUER")</f>
        <v>#N/A Requesting Data...</v>
      </c>
      <c r="F2355" t="str">
        <f>_xll.BDP("925088VW Muni","DUR_ADJ_MID")</f>
        <v>#N/A Requesting Data...</v>
      </c>
      <c r="G2355" t="str">
        <f>_xll.BDP("925088VW Muni","SPREAD_AT_ISSUANCE_TO_WORST")</f>
        <v>#N/A Requesting Data...</v>
      </c>
      <c r="H2355" t="str">
        <f>_xll.BDP("925088VW Muni","ISSUE_DT")</f>
        <v>#N/A Requesting Data...</v>
      </c>
      <c r="I2355" t="str">
        <f>_xll.BDS("925088VW Muni","MUNI_PURPOSE_SCHED", "aggregate=y")</f>
        <v>#N/A Requesting Data...</v>
      </c>
      <c r="J2355" t="str">
        <f>_xll.BDP("925088VW Muni","CPN")</f>
        <v>#N/A Requesting Data...</v>
      </c>
      <c r="K2355" t="str">
        <f>_xll.BDP("925088VW Muni","MATURITY")</f>
        <v>#N/A Requesting Data...</v>
      </c>
      <c r="L2355">
        <v>215000</v>
      </c>
      <c r="M2355" t="str">
        <f>_xll.BDP("925088VW Muni","YIELD_ON_ISSUE_DATE")</f>
        <v>#N/A Requesting Data...</v>
      </c>
      <c r="N2355" t="str">
        <f>_xll.BDP("925088VW Muni","YTW_SPREAD_TO_MATURITY_AT_ISSU")</f>
        <v>#N/A Requesting Data...</v>
      </c>
      <c r="O2355" t="str">
        <f>_xll.BDP("925088VW Muni","BVAL_MID_YTM")</f>
        <v>#N/A Requesting Data...</v>
      </c>
      <c r="P2355" t="str">
        <f>_xll.BDP("925088VW Muni","MUNI_TAX_PROV")</f>
        <v>#N/A Requesting Data...</v>
      </c>
      <c r="Q2355" t="str">
        <f>_xll.BDP("925088VW Muni","MUNI_FED_TAX")</f>
        <v>#N/A Requesting Data...</v>
      </c>
      <c r="R2355" t="str">
        <f>_xll.BDP("925088VW Muni","MUNI_MSRB_VOLUME")</f>
        <v>#N/A Requesting Data...</v>
      </c>
      <c r="S2355" t="str">
        <f>_xll.BDP("925088VW Muni","BB_COMPOSITE")</f>
        <v>#N/A Requesting Data...</v>
      </c>
      <c r="T2355" t="str">
        <f>_xll.BDP("925088VW Muni","LQA_LIQUIDITY_SCORE")</f>
        <v>#N/A Requesting Data...</v>
      </c>
    </row>
    <row r="2356" spans="1:20" x14ac:dyDescent="0.25">
      <c r="A2356" t="str">
        <f>_xll.BDP("925088VX Muni","ID_CUSIP")</f>
        <v>#N/A Requesting Data...</v>
      </c>
      <c r="B2356" t="s">
        <v>555</v>
      </c>
      <c r="C2356" t="str">
        <f>_xll.BDP("925088VX Muni","INSURANCE_STATUS")</f>
        <v>#N/A Requesting Data...</v>
      </c>
      <c r="D2356" t="str">
        <f>_xll.BDP("925088VX Muni","STATE_CODE")</f>
        <v>#N/A Requesting Data...</v>
      </c>
      <c r="E2356" t="str">
        <f>_xll.BDP("925088VX Muni","COUNTY_LOCATION_ISSUER")</f>
        <v>#N/A Requesting Data...</v>
      </c>
      <c r="F2356" t="str">
        <f>_xll.BDP("925088VX Muni","DUR_ADJ_MID")</f>
        <v>#N/A Requesting Data...</v>
      </c>
      <c r="G2356" t="str">
        <f>_xll.BDP("925088VX Muni","SPREAD_AT_ISSUANCE_TO_WORST")</f>
        <v>#N/A Requesting Data...</v>
      </c>
      <c r="H2356" t="str">
        <f>_xll.BDP("925088VX Muni","ISSUE_DT")</f>
        <v>#N/A Requesting Data...</v>
      </c>
      <c r="I2356" t="str">
        <f>_xll.BDS("925088VX Muni","MUNI_PURPOSE_SCHED", "aggregate=y")</f>
        <v>#N/A Requesting Data...</v>
      </c>
      <c r="J2356" t="str">
        <f>_xll.BDP("925088VX Muni","CPN")</f>
        <v>#N/A Requesting Data...</v>
      </c>
      <c r="K2356" t="str">
        <f>_xll.BDP("925088VX Muni","MATURITY")</f>
        <v>#N/A Requesting Data...</v>
      </c>
      <c r="L2356">
        <v>220000</v>
      </c>
      <c r="M2356" t="str">
        <f>_xll.BDP("925088VX Muni","YIELD_ON_ISSUE_DATE")</f>
        <v>#N/A Requesting Data...</v>
      </c>
      <c r="N2356" t="str">
        <f>_xll.BDP("925088VX Muni","YTW_SPREAD_TO_MATURITY_AT_ISSU")</f>
        <v>#N/A Requesting Data...</v>
      </c>
      <c r="O2356" t="str">
        <f>_xll.BDP("925088VX Muni","BVAL_MID_YTM")</f>
        <v>#N/A Requesting Data...</v>
      </c>
      <c r="P2356" t="str">
        <f>_xll.BDP("925088VX Muni","MUNI_TAX_PROV")</f>
        <v>#N/A Requesting Data...</v>
      </c>
      <c r="Q2356" t="str">
        <f>_xll.BDP("925088VX Muni","MUNI_FED_TAX")</f>
        <v>#N/A Requesting Data...</v>
      </c>
      <c r="R2356" t="str">
        <f>_xll.BDP("925088VX Muni","MUNI_MSRB_VOLUME")</f>
        <v>#N/A Requesting Data...</v>
      </c>
      <c r="S2356" t="str">
        <f>_xll.BDP("925088VX Muni","BB_COMPOSITE")</f>
        <v>#N/A Requesting Data...</v>
      </c>
      <c r="T2356" t="str">
        <f>_xll.BDP("925088VX Muni","LQA_LIQUIDITY_SCORE")</f>
        <v>#N/A Requesting Data...</v>
      </c>
    </row>
    <row r="2357" spans="1:20" x14ac:dyDescent="0.25">
      <c r="A2357" t="str">
        <f>_xll.BDP("927260FY Muni","ID_CUSIP")</f>
        <v>#N/A Requesting Data...</v>
      </c>
      <c r="B2357" t="s">
        <v>556</v>
      </c>
      <c r="C2357" t="str">
        <f>_xll.BDP("927260FY Muni","INSURANCE_STATUS")</f>
        <v>#N/A Requesting Data...</v>
      </c>
      <c r="D2357" t="str">
        <f>_xll.BDP("927260FY Muni","STATE_CODE")</f>
        <v>#N/A Requesting Data...</v>
      </c>
      <c r="E2357" t="str">
        <f>_xll.BDP("927260FY Muni","COUNTY_LOCATION_ISSUER")</f>
        <v>#N/A Requesting Data...</v>
      </c>
      <c r="F2357" t="str">
        <f>_xll.BDP("927260FY Muni","DUR_ADJ_MID")</f>
        <v>#N/A Requesting Data...</v>
      </c>
      <c r="G2357" t="str">
        <f>_xll.BDP("927260FY Muni","SPREAD_AT_ISSUANCE_TO_WORST")</f>
        <v>#N/A Requesting Data...</v>
      </c>
      <c r="H2357" t="str">
        <f>_xll.BDP("927260FY Muni","ISSUE_DT")</f>
        <v>#N/A Requesting Data...</v>
      </c>
      <c r="I2357" t="str">
        <f>_xll.BDS("927260FY Muni","MUNI_PURPOSE_SCHED", "aggregate=y")</f>
        <v>#N/A Requesting Data...</v>
      </c>
      <c r="J2357" t="str">
        <f>_xll.BDP("927260FY Muni","CPN")</f>
        <v>#N/A Requesting Data...</v>
      </c>
      <c r="K2357" t="str">
        <f>_xll.BDP("927260FY Muni","MATURITY")</f>
        <v>#N/A Requesting Data...</v>
      </c>
      <c r="L2357">
        <v>70000</v>
      </c>
      <c r="M2357" t="str">
        <f>_xll.BDP("927260FY Muni","YIELD_ON_ISSUE_DATE")</f>
        <v>#N/A Requesting Data...</v>
      </c>
      <c r="N2357" t="str">
        <f>_xll.BDP("927260FY Muni","YTW_SPREAD_TO_MATURITY_AT_ISSU")</f>
        <v>#N/A Requesting Data...</v>
      </c>
      <c r="O2357" t="str">
        <f>_xll.BDP("927260FY Muni","BVAL_MID_YTM")</f>
        <v>#N/A Requesting Data...</v>
      </c>
      <c r="P2357" t="str">
        <f>_xll.BDP("927260FY Muni","MUNI_TAX_PROV")</f>
        <v>#N/A Requesting Data...</v>
      </c>
      <c r="Q2357" t="str">
        <f>_xll.BDP("927260FY Muni","MUNI_FED_TAX")</f>
        <v>#N/A Requesting Data...</v>
      </c>
      <c r="R2357" t="str">
        <f>_xll.BDP("927260FY Muni","MUNI_MSRB_VOLUME")</f>
        <v>#N/A Requesting Data...</v>
      </c>
      <c r="S2357" t="str">
        <f>_xll.BDP("927260FY Muni","BB_COMPOSITE")</f>
        <v>#N/A Requesting Data...</v>
      </c>
      <c r="T2357" t="str">
        <f>_xll.BDP("927260FY Muni","LQA_LIQUIDITY_SCORE")</f>
        <v>#N/A Requesting Data...</v>
      </c>
    </row>
    <row r="2358" spans="1:20" x14ac:dyDescent="0.25">
      <c r="A2358" t="str">
        <f>_xll.BDP("927260FZ Muni","ID_CUSIP")</f>
        <v>#N/A Requesting Data...</v>
      </c>
      <c r="B2358" t="s">
        <v>556</v>
      </c>
      <c r="C2358" t="str">
        <f>_xll.BDP("927260FZ Muni","INSURANCE_STATUS")</f>
        <v>#N/A Requesting Data...</v>
      </c>
      <c r="D2358" t="str">
        <f>_xll.BDP("927260FZ Muni","STATE_CODE")</f>
        <v>#N/A Requesting Data...</v>
      </c>
      <c r="E2358" t="str">
        <f>_xll.BDP("927260FZ Muni","COUNTY_LOCATION_ISSUER")</f>
        <v>#N/A Requesting Data...</v>
      </c>
      <c r="F2358" t="str">
        <f>_xll.BDP("927260FZ Muni","DUR_ADJ_MID")</f>
        <v>#N/A Requesting Data...</v>
      </c>
      <c r="G2358" t="str">
        <f>_xll.BDP("927260FZ Muni","SPREAD_AT_ISSUANCE_TO_WORST")</f>
        <v>#N/A Requesting Data...</v>
      </c>
      <c r="H2358" t="str">
        <f>_xll.BDP("927260FZ Muni","ISSUE_DT")</f>
        <v>#N/A Requesting Data...</v>
      </c>
      <c r="I2358" t="str">
        <f>_xll.BDS("927260FZ Muni","MUNI_PURPOSE_SCHED", "aggregate=y")</f>
        <v>#N/A Requesting Data...</v>
      </c>
      <c r="J2358" t="str">
        <f>_xll.BDP("927260FZ Muni","CPN")</f>
        <v>#N/A Requesting Data...</v>
      </c>
      <c r="K2358" t="str">
        <f>_xll.BDP("927260FZ Muni","MATURITY")</f>
        <v>#N/A Requesting Data...</v>
      </c>
      <c r="L2358">
        <v>70000</v>
      </c>
      <c r="M2358" t="str">
        <f>_xll.BDP("927260FZ Muni","YIELD_ON_ISSUE_DATE")</f>
        <v>#N/A Requesting Data...</v>
      </c>
      <c r="N2358" t="str">
        <f>_xll.BDP("927260FZ Muni","YTW_SPREAD_TO_MATURITY_AT_ISSU")</f>
        <v>#N/A Requesting Data...</v>
      </c>
      <c r="O2358" t="str">
        <f>_xll.BDP("927260FZ Muni","BVAL_MID_YTM")</f>
        <v>#N/A Requesting Data...</v>
      </c>
      <c r="P2358" t="str">
        <f>_xll.BDP("927260FZ Muni","MUNI_TAX_PROV")</f>
        <v>#N/A Requesting Data...</v>
      </c>
      <c r="Q2358" t="str">
        <f>_xll.BDP("927260FZ Muni","MUNI_FED_TAX")</f>
        <v>#N/A Requesting Data...</v>
      </c>
      <c r="R2358" t="str">
        <f>_xll.BDP("927260FZ Muni","MUNI_MSRB_VOLUME")</f>
        <v>#N/A Requesting Data...</v>
      </c>
      <c r="S2358" t="str">
        <f>_xll.BDP("927260FZ Muni","BB_COMPOSITE")</f>
        <v>#N/A Requesting Data...</v>
      </c>
      <c r="T2358" t="str">
        <f>_xll.BDP("927260FZ Muni","LQA_LIQUIDITY_SCORE")</f>
        <v>#N/A Requesting Data...</v>
      </c>
    </row>
    <row r="2359" spans="1:20" x14ac:dyDescent="0.25">
      <c r="A2359" t="str">
        <f>_xll.BDP("927260GA Muni","ID_CUSIP")</f>
        <v>#N/A Requesting Data...</v>
      </c>
      <c r="B2359" t="s">
        <v>556</v>
      </c>
      <c r="C2359" t="str">
        <f>_xll.BDP("927260GA Muni","INSURANCE_STATUS")</f>
        <v>#N/A Requesting Data...</v>
      </c>
      <c r="D2359" t="str">
        <f>_xll.BDP("927260GA Muni","STATE_CODE")</f>
        <v>#N/A Requesting Data...</v>
      </c>
      <c r="E2359" t="str">
        <f>_xll.BDP("927260GA Muni","COUNTY_LOCATION_ISSUER")</f>
        <v>#N/A Requesting Data...</v>
      </c>
      <c r="F2359" t="str">
        <f>_xll.BDP("927260GA Muni","DUR_ADJ_MID")</f>
        <v>#N/A Requesting Data...</v>
      </c>
      <c r="G2359" t="str">
        <f>_xll.BDP("927260GA Muni","SPREAD_AT_ISSUANCE_TO_WORST")</f>
        <v>#N/A Requesting Data...</v>
      </c>
      <c r="H2359" t="str">
        <f>_xll.BDP("927260GA Muni","ISSUE_DT")</f>
        <v>#N/A Requesting Data...</v>
      </c>
      <c r="I2359" t="str">
        <f>_xll.BDS("927260GA Muni","MUNI_PURPOSE_SCHED", "aggregate=y")</f>
        <v>#N/A Requesting Data...</v>
      </c>
      <c r="J2359" t="str">
        <f>_xll.BDP("927260GA Muni","CPN")</f>
        <v>#N/A Requesting Data...</v>
      </c>
      <c r="K2359" t="str">
        <f>_xll.BDP("927260GA Muni","MATURITY")</f>
        <v>#N/A Requesting Data...</v>
      </c>
      <c r="L2359">
        <v>75000</v>
      </c>
      <c r="M2359" t="str">
        <f>_xll.BDP("927260GA Muni","YIELD_ON_ISSUE_DATE")</f>
        <v>#N/A Requesting Data...</v>
      </c>
      <c r="N2359" t="str">
        <f>_xll.BDP("927260GA Muni","YTW_SPREAD_TO_MATURITY_AT_ISSU")</f>
        <v>#N/A Requesting Data...</v>
      </c>
      <c r="O2359" t="str">
        <f>_xll.BDP("927260GA Muni","BVAL_MID_YTM")</f>
        <v>#N/A Requesting Data...</v>
      </c>
      <c r="P2359" t="str">
        <f>_xll.BDP("927260GA Muni","MUNI_TAX_PROV")</f>
        <v>#N/A Requesting Data...</v>
      </c>
      <c r="Q2359" t="str">
        <f>_xll.BDP("927260GA Muni","MUNI_FED_TAX")</f>
        <v>#N/A Requesting Data...</v>
      </c>
      <c r="R2359" t="str">
        <f>_xll.BDP("927260GA Muni","MUNI_MSRB_VOLUME")</f>
        <v>#N/A Requesting Data...</v>
      </c>
      <c r="S2359" t="str">
        <f>_xll.BDP("927260GA Muni","BB_COMPOSITE")</f>
        <v>#N/A Requesting Data...</v>
      </c>
      <c r="T2359" t="str">
        <f>_xll.BDP("927260GA Muni","LQA_LIQUIDITY_SCORE")</f>
        <v>#N/A Requesting Data...</v>
      </c>
    </row>
    <row r="2360" spans="1:20" x14ac:dyDescent="0.25">
      <c r="A2360" t="str">
        <f>_xll.BDP("927260GB Muni","ID_CUSIP")</f>
        <v>#N/A Requesting Data...</v>
      </c>
      <c r="B2360" t="s">
        <v>556</v>
      </c>
      <c r="C2360" t="str">
        <f>_xll.BDP("927260GB Muni","INSURANCE_STATUS")</f>
        <v>#N/A Requesting Data...</v>
      </c>
      <c r="D2360" t="str">
        <f>_xll.BDP("927260GB Muni","STATE_CODE")</f>
        <v>#N/A Requesting Data...</v>
      </c>
      <c r="E2360" t="str">
        <f>_xll.BDP("927260GB Muni","COUNTY_LOCATION_ISSUER")</f>
        <v>#N/A Requesting Data...</v>
      </c>
      <c r="F2360" t="str">
        <f>_xll.BDP("927260GB Muni","DUR_ADJ_MID")</f>
        <v>#N/A Requesting Data...</v>
      </c>
      <c r="G2360" t="str">
        <f>_xll.BDP("927260GB Muni","SPREAD_AT_ISSUANCE_TO_WORST")</f>
        <v>#N/A Requesting Data...</v>
      </c>
      <c r="H2360" t="str">
        <f>_xll.BDP("927260GB Muni","ISSUE_DT")</f>
        <v>#N/A Requesting Data...</v>
      </c>
      <c r="I2360" t="str">
        <f>_xll.BDS("927260GB Muni","MUNI_PURPOSE_SCHED", "aggregate=y")</f>
        <v>#N/A Requesting Data...</v>
      </c>
      <c r="J2360" t="str">
        <f>_xll.BDP("927260GB Muni","CPN")</f>
        <v>#N/A Requesting Data...</v>
      </c>
      <c r="K2360" t="str">
        <f>_xll.BDP("927260GB Muni","MATURITY")</f>
        <v>#N/A Requesting Data...</v>
      </c>
      <c r="L2360">
        <v>75000</v>
      </c>
      <c r="M2360" t="str">
        <f>_xll.BDP("927260GB Muni","YIELD_ON_ISSUE_DATE")</f>
        <v>#N/A Requesting Data...</v>
      </c>
      <c r="N2360" t="str">
        <f>_xll.BDP("927260GB Muni","YTW_SPREAD_TO_MATURITY_AT_ISSU")</f>
        <v>#N/A Requesting Data...</v>
      </c>
      <c r="O2360" t="str">
        <f>_xll.BDP("927260GB Muni","BVAL_MID_YTM")</f>
        <v>#N/A Requesting Data...</v>
      </c>
      <c r="P2360" t="str">
        <f>_xll.BDP("927260GB Muni","MUNI_TAX_PROV")</f>
        <v>#N/A Requesting Data...</v>
      </c>
      <c r="Q2360" t="str">
        <f>_xll.BDP("927260GB Muni","MUNI_FED_TAX")</f>
        <v>#N/A Requesting Data...</v>
      </c>
      <c r="R2360" t="str">
        <f>_xll.BDP("927260GB Muni","MUNI_MSRB_VOLUME")</f>
        <v>#N/A Requesting Data...</v>
      </c>
      <c r="S2360" t="str">
        <f>_xll.BDP("927260GB Muni","BB_COMPOSITE")</f>
        <v>#N/A Requesting Data...</v>
      </c>
      <c r="T2360" t="str">
        <f>_xll.BDP("927260GB Muni","LQA_LIQUIDITY_SCORE")</f>
        <v>#N/A Requesting Data...</v>
      </c>
    </row>
    <row r="2361" spans="1:20" x14ac:dyDescent="0.25">
      <c r="A2361" t="str">
        <f>_xll.BDP("927260GC Muni","ID_CUSIP")</f>
        <v>#N/A Requesting Data...</v>
      </c>
      <c r="B2361" t="s">
        <v>556</v>
      </c>
      <c r="C2361" t="str">
        <f>_xll.BDP("927260GC Muni","INSURANCE_STATUS")</f>
        <v>#N/A Requesting Data...</v>
      </c>
      <c r="D2361" t="str">
        <f>_xll.BDP("927260GC Muni","STATE_CODE")</f>
        <v>#N/A Requesting Data...</v>
      </c>
      <c r="E2361" t="str">
        <f>_xll.BDP("927260GC Muni","COUNTY_LOCATION_ISSUER")</f>
        <v>#N/A Requesting Data...</v>
      </c>
      <c r="F2361" t="str">
        <f>_xll.BDP("927260GC Muni","DUR_ADJ_MID")</f>
        <v>#N/A Requesting Data...</v>
      </c>
      <c r="G2361" t="str">
        <f>_xll.BDP("927260GC Muni","SPREAD_AT_ISSUANCE_TO_WORST")</f>
        <v>#N/A Requesting Data...</v>
      </c>
      <c r="H2361" t="str">
        <f>_xll.BDP("927260GC Muni","ISSUE_DT")</f>
        <v>#N/A Requesting Data...</v>
      </c>
      <c r="I2361" t="str">
        <f>_xll.BDS("927260GC Muni","MUNI_PURPOSE_SCHED", "aggregate=y")</f>
        <v>#N/A Requesting Data...</v>
      </c>
      <c r="J2361" t="str">
        <f>_xll.BDP("927260GC Muni","CPN")</f>
        <v>#N/A Requesting Data...</v>
      </c>
      <c r="K2361" t="str">
        <f>_xll.BDP("927260GC Muni","MATURITY")</f>
        <v>#N/A Requesting Data...</v>
      </c>
      <c r="L2361">
        <v>75000</v>
      </c>
      <c r="M2361" t="str">
        <f>_xll.BDP("927260GC Muni","YIELD_ON_ISSUE_DATE")</f>
        <v>#N/A Requesting Data...</v>
      </c>
      <c r="N2361" t="str">
        <f>_xll.BDP("927260GC Muni","YTW_SPREAD_TO_MATURITY_AT_ISSU")</f>
        <v>#N/A Requesting Data...</v>
      </c>
      <c r="O2361" t="str">
        <f>_xll.BDP("927260GC Muni","BVAL_MID_YTM")</f>
        <v>#N/A Requesting Data...</v>
      </c>
      <c r="P2361" t="str">
        <f>_xll.BDP("927260GC Muni","MUNI_TAX_PROV")</f>
        <v>#N/A Requesting Data...</v>
      </c>
      <c r="Q2361" t="str">
        <f>_xll.BDP("927260GC Muni","MUNI_FED_TAX")</f>
        <v>#N/A Requesting Data...</v>
      </c>
      <c r="R2361" t="str">
        <f>_xll.BDP("927260GC Muni","MUNI_MSRB_VOLUME")</f>
        <v>#N/A Requesting Data...</v>
      </c>
      <c r="S2361" t="str">
        <f>_xll.BDP("927260GC Muni","BB_COMPOSITE")</f>
        <v>#N/A Requesting Data...</v>
      </c>
      <c r="T2361" t="str">
        <f>_xll.BDP("927260GC Muni","LQA_LIQUIDITY_SCORE")</f>
        <v>#N/A Requesting Data...</v>
      </c>
    </row>
    <row r="2362" spans="1:20" x14ac:dyDescent="0.25">
      <c r="A2362" t="str">
        <f>_xll.BDP("927260GD Muni","ID_CUSIP")</f>
        <v>#N/A Requesting Data...</v>
      </c>
      <c r="B2362" t="s">
        <v>556</v>
      </c>
      <c r="C2362" t="str">
        <f>_xll.BDP("927260GD Muni","INSURANCE_STATUS")</f>
        <v>#N/A Requesting Data...</v>
      </c>
      <c r="D2362" t="str">
        <f>_xll.BDP("927260GD Muni","STATE_CODE")</f>
        <v>#N/A Requesting Data...</v>
      </c>
      <c r="E2362" t="str">
        <f>_xll.BDP("927260GD Muni","COUNTY_LOCATION_ISSUER")</f>
        <v>#N/A Requesting Data...</v>
      </c>
      <c r="F2362" t="str">
        <f>_xll.BDP("927260GD Muni","DUR_ADJ_MID")</f>
        <v>#N/A Requesting Data...</v>
      </c>
      <c r="G2362" t="str">
        <f>_xll.BDP("927260GD Muni","SPREAD_AT_ISSUANCE_TO_WORST")</f>
        <v>#N/A Requesting Data...</v>
      </c>
      <c r="H2362" t="str">
        <f>_xll.BDP("927260GD Muni","ISSUE_DT")</f>
        <v>#N/A Requesting Data...</v>
      </c>
      <c r="I2362" t="str">
        <f>_xll.BDS("927260GD Muni","MUNI_PURPOSE_SCHED", "aggregate=y")</f>
        <v>#N/A Requesting Data...</v>
      </c>
      <c r="J2362" t="str">
        <f>_xll.BDP("927260GD Muni","CPN")</f>
        <v>#N/A Requesting Data...</v>
      </c>
      <c r="K2362" t="str">
        <f>_xll.BDP("927260GD Muni","MATURITY")</f>
        <v>#N/A Requesting Data...</v>
      </c>
      <c r="L2362">
        <v>75000</v>
      </c>
      <c r="M2362" t="str">
        <f>_xll.BDP("927260GD Muni","YIELD_ON_ISSUE_DATE")</f>
        <v>#N/A Requesting Data...</v>
      </c>
      <c r="N2362" t="str">
        <f>_xll.BDP("927260GD Muni","YTW_SPREAD_TO_MATURITY_AT_ISSU")</f>
        <v>#N/A Requesting Data...</v>
      </c>
      <c r="O2362" t="str">
        <f>_xll.BDP("927260GD Muni","BVAL_MID_YTM")</f>
        <v>#N/A Requesting Data...</v>
      </c>
      <c r="P2362" t="str">
        <f>_xll.BDP("927260GD Muni","MUNI_TAX_PROV")</f>
        <v>#N/A Requesting Data...</v>
      </c>
      <c r="Q2362" t="str">
        <f>_xll.BDP("927260GD Muni","MUNI_FED_TAX")</f>
        <v>#N/A Requesting Data...</v>
      </c>
      <c r="R2362" t="str">
        <f>_xll.BDP("927260GD Muni","MUNI_MSRB_VOLUME")</f>
        <v>#N/A Requesting Data...</v>
      </c>
      <c r="S2362" t="str">
        <f>_xll.BDP("927260GD Muni","BB_COMPOSITE")</f>
        <v>#N/A Requesting Data...</v>
      </c>
      <c r="T2362" t="str">
        <f>_xll.BDP("927260GD Muni","LQA_LIQUIDITY_SCORE")</f>
        <v>#N/A Requesting Data...</v>
      </c>
    </row>
    <row r="2363" spans="1:20" x14ac:dyDescent="0.25">
      <c r="A2363" t="str">
        <f>_xll.BDP("927260GE Muni","ID_CUSIP")</f>
        <v>#N/A Requesting Data...</v>
      </c>
      <c r="B2363" t="s">
        <v>556</v>
      </c>
      <c r="C2363" t="str">
        <f>_xll.BDP("927260GE Muni","INSURANCE_STATUS")</f>
        <v>#N/A Requesting Data...</v>
      </c>
      <c r="D2363" t="str">
        <f>_xll.BDP("927260GE Muni","STATE_CODE")</f>
        <v>#N/A Requesting Data...</v>
      </c>
      <c r="E2363" t="str">
        <f>_xll.BDP("927260GE Muni","COUNTY_LOCATION_ISSUER")</f>
        <v>#N/A Requesting Data...</v>
      </c>
      <c r="F2363" t="str">
        <f>_xll.BDP("927260GE Muni","DUR_ADJ_MID")</f>
        <v>#N/A Requesting Data...</v>
      </c>
      <c r="G2363" t="str">
        <f>_xll.BDP("927260GE Muni","SPREAD_AT_ISSUANCE_TO_WORST")</f>
        <v>#N/A Requesting Data...</v>
      </c>
      <c r="H2363" t="str">
        <f>_xll.BDP("927260GE Muni","ISSUE_DT")</f>
        <v>#N/A Requesting Data...</v>
      </c>
      <c r="I2363" t="str">
        <f>_xll.BDS("927260GE Muni","MUNI_PURPOSE_SCHED", "aggregate=y")</f>
        <v>#N/A Requesting Data...</v>
      </c>
      <c r="J2363" t="str">
        <f>_xll.BDP("927260GE Muni","CPN")</f>
        <v>#N/A Requesting Data...</v>
      </c>
      <c r="K2363" t="str">
        <f>_xll.BDP("927260GE Muni","MATURITY")</f>
        <v>#N/A Requesting Data...</v>
      </c>
      <c r="L2363">
        <v>75000</v>
      </c>
      <c r="M2363" t="str">
        <f>_xll.BDP("927260GE Muni","YIELD_ON_ISSUE_DATE")</f>
        <v>#N/A Requesting Data...</v>
      </c>
      <c r="N2363" t="str">
        <f>_xll.BDP("927260GE Muni","YTW_SPREAD_TO_MATURITY_AT_ISSU")</f>
        <v>#N/A Requesting Data...</v>
      </c>
      <c r="O2363" t="str">
        <f>_xll.BDP("927260GE Muni","BVAL_MID_YTM")</f>
        <v>#N/A Requesting Data...</v>
      </c>
      <c r="P2363" t="str">
        <f>_xll.BDP("927260GE Muni","MUNI_TAX_PROV")</f>
        <v>#N/A Requesting Data...</v>
      </c>
      <c r="Q2363" t="str">
        <f>_xll.BDP("927260GE Muni","MUNI_FED_TAX")</f>
        <v>#N/A Requesting Data...</v>
      </c>
      <c r="R2363" t="str">
        <f>_xll.BDP("927260GE Muni","MUNI_MSRB_VOLUME")</f>
        <v>#N/A Requesting Data...</v>
      </c>
      <c r="S2363" t="str">
        <f>_xll.BDP("927260GE Muni","BB_COMPOSITE")</f>
        <v>#N/A Requesting Data...</v>
      </c>
      <c r="T2363" t="str">
        <f>_xll.BDP("927260GE Muni","LQA_LIQUIDITY_SCORE")</f>
        <v>#N/A Requesting Data...</v>
      </c>
    </row>
    <row r="2364" spans="1:20" x14ac:dyDescent="0.25">
      <c r="A2364" t="str">
        <f>_xll.BDP("927260GF Muni","ID_CUSIP")</f>
        <v>#N/A Requesting Data...</v>
      </c>
      <c r="B2364" t="s">
        <v>556</v>
      </c>
      <c r="C2364" t="str">
        <f>_xll.BDP("927260GF Muni","INSURANCE_STATUS")</f>
        <v>#N/A Requesting Data...</v>
      </c>
      <c r="D2364" t="str">
        <f>_xll.BDP("927260GF Muni","STATE_CODE")</f>
        <v>#N/A Requesting Data...</v>
      </c>
      <c r="E2364" t="str">
        <f>_xll.BDP("927260GF Muni","COUNTY_LOCATION_ISSUER")</f>
        <v>#N/A Requesting Data...</v>
      </c>
      <c r="F2364" t="str">
        <f>_xll.BDP("927260GF Muni","DUR_ADJ_MID")</f>
        <v>#N/A Requesting Data...</v>
      </c>
      <c r="G2364" t="str">
        <f>_xll.BDP("927260GF Muni","SPREAD_AT_ISSUANCE_TO_WORST")</f>
        <v>#N/A Requesting Data...</v>
      </c>
      <c r="H2364" t="str">
        <f>_xll.BDP("927260GF Muni","ISSUE_DT")</f>
        <v>#N/A Requesting Data...</v>
      </c>
      <c r="I2364" t="str">
        <f>_xll.BDS("927260GF Muni","MUNI_PURPOSE_SCHED", "aggregate=y")</f>
        <v>#N/A Requesting Data...</v>
      </c>
      <c r="J2364" t="str">
        <f>_xll.BDP("927260GF Muni","CPN")</f>
        <v>#N/A Requesting Data...</v>
      </c>
      <c r="K2364" t="str">
        <f>_xll.BDP("927260GF Muni","MATURITY")</f>
        <v>#N/A Requesting Data...</v>
      </c>
      <c r="L2364">
        <v>80000</v>
      </c>
      <c r="M2364" t="str">
        <f>_xll.BDP("927260GF Muni","YIELD_ON_ISSUE_DATE")</f>
        <v>#N/A Requesting Data...</v>
      </c>
      <c r="N2364" t="str">
        <f>_xll.BDP("927260GF Muni","YTW_SPREAD_TO_MATURITY_AT_ISSU")</f>
        <v>#N/A Requesting Data...</v>
      </c>
      <c r="O2364" t="str">
        <f>_xll.BDP("927260GF Muni","BVAL_MID_YTM")</f>
        <v>#N/A Requesting Data...</v>
      </c>
      <c r="P2364" t="str">
        <f>_xll.BDP("927260GF Muni","MUNI_TAX_PROV")</f>
        <v>#N/A Requesting Data...</v>
      </c>
      <c r="Q2364" t="str">
        <f>_xll.BDP("927260GF Muni","MUNI_FED_TAX")</f>
        <v>#N/A Requesting Data...</v>
      </c>
      <c r="R2364" t="str">
        <f>_xll.BDP("927260GF Muni","MUNI_MSRB_VOLUME")</f>
        <v>#N/A Requesting Data...</v>
      </c>
      <c r="S2364" t="str">
        <f>_xll.BDP("927260GF Muni","BB_COMPOSITE")</f>
        <v>#N/A Requesting Data...</v>
      </c>
      <c r="T2364" t="str">
        <f>_xll.BDP("927260GF Muni","LQA_LIQUIDITY_SCORE")</f>
        <v>#N/A Requesting Data...</v>
      </c>
    </row>
    <row r="2365" spans="1:20" x14ac:dyDescent="0.25">
      <c r="A2365" t="str">
        <f>_xll.BDP("927260GG Muni","ID_CUSIP")</f>
        <v>#N/A Requesting Data...</v>
      </c>
      <c r="B2365" t="s">
        <v>556</v>
      </c>
      <c r="C2365" t="str">
        <f>_xll.BDP("927260GG Muni","INSURANCE_STATUS")</f>
        <v>#N/A Requesting Data...</v>
      </c>
      <c r="D2365" t="str">
        <f>_xll.BDP("927260GG Muni","STATE_CODE")</f>
        <v>#N/A Requesting Data...</v>
      </c>
      <c r="E2365" t="str">
        <f>_xll.BDP("927260GG Muni","COUNTY_LOCATION_ISSUER")</f>
        <v>#N/A Requesting Data...</v>
      </c>
      <c r="F2365" t="str">
        <f>_xll.BDP("927260GG Muni","DUR_ADJ_MID")</f>
        <v>#N/A Requesting Data...</v>
      </c>
      <c r="G2365" t="str">
        <f>_xll.BDP("927260GG Muni","SPREAD_AT_ISSUANCE_TO_WORST")</f>
        <v>#N/A Requesting Data...</v>
      </c>
      <c r="H2365" t="str">
        <f>_xll.BDP("927260GG Muni","ISSUE_DT")</f>
        <v>#N/A Requesting Data...</v>
      </c>
      <c r="I2365" t="str">
        <f>_xll.BDS("927260GG Muni","MUNI_PURPOSE_SCHED", "aggregate=y")</f>
        <v>#N/A Requesting Data...</v>
      </c>
      <c r="J2365" t="str">
        <f>_xll.BDP("927260GG Muni","CPN")</f>
        <v>#N/A Requesting Data...</v>
      </c>
      <c r="K2365" t="str">
        <f>_xll.BDP("927260GG Muni","MATURITY")</f>
        <v>#N/A Requesting Data...</v>
      </c>
      <c r="L2365">
        <v>80000</v>
      </c>
      <c r="M2365" t="str">
        <f>_xll.BDP("927260GG Muni","YIELD_ON_ISSUE_DATE")</f>
        <v>#N/A Requesting Data...</v>
      </c>
      <c r="N2365" t="str">
        <f>_xll.BDP("927260GG Muni","YTW_SPREAD_TO_MATURITY_AT_ISSU")</f>
        <v>#N/A Requesting Data...</v>
      </c>
      <c r="O2365" t="str">
        <f>_xll.BDP("927260GG Muni","BVAL_MID_YTM")</f>
        <v>#N/A Requesting Data...</v>
      </c>
      <c r="P2365" t="str">
        <f>_xll.BDP("927260GG Muni","MUNI_TAX_PROV")</f>
        <v>#N/A Requesting Data...</v>
      </c>
      <c r="Q2365" t="str">
        <f>_xll.BDP("927260GG Muni","MUNI_FED_TAX")</f>
        <v>#N/A Requesting Data...</v>
      </c>
      <c r="R2365" t="str">
        <f>_xll.BDP("927260GG Muni","MUNI_MSRB_VOLUME")</f>
        <v>#N/A Requesting Data...</v>
      </c>
      <c r="S2365" t="str">
        <f>_xll.BDP("927260GG Muni","BB_COMPOSITE")</f>
        <v>#N/A Requesting Data...</v>
      </c>
      <c r="T2365" t="str">
        <f>_xll.BDP("927260GG Muni","LQA_LIQUIDITY_SCORE")</f>
        <v>#N/A Requesting Data...</v>
      </c>
    </row>
    <row r="2366" spans="1:20" x14ac:dyDescent="0.25">
      <c r="A2366" t="str">
        <f>_xll.BDP("803531XZ Muni","ID_CUSIP")</f>
        <v>#N/A Requesting Data...</v>
      </c>
      <c r="B2366" t="s">
        <v>557</v>
      </c>
      <c r="C2366" t="str">
        <f>_xll.BDP("803531XZ Muni","INSURANCE_STATUS")</f>
        <v>#N/A Requesting Data...</v>
      </c>
      <c r="D2366" t="str">
        <f>_xll.BDP("803531XZ Muni","STATE_CODE")</f>
        <v>#N/A Requesting Data...</v>
      </c>
      <c r="E2366" t="str">
        <f>_xll.BDP("803531XZ Muni","COUNTY_LOCATION_ISSUER")</f>
        <v>#N/A Requesting Data...</v>
      </c>
      <c r="F2366" t="str">
        <f>_xll.BDP("803531XZ Muni","DUR_ADJ_MID")</f>
        <v>#N/A Requesting Data...</v>
      </c>
      <c r="G2366" t="str">
        <f>_xll.BDP("803531XZ Muni","SPREAD_AT_ISSUANCE_TO_WORST")</f>
        <v>#N/A Requesting Data...</v>
      </c>
      <c r="H2366" t="str">
        <f>_xll.BDP("803531XZ Muni","ISSUE_DT")</f>
        <v>#N/A Requesting Data...</v>
      </c>
      <c r="I2366" t="str">
        <f>_xll.BDS("803531XZ Muni","MUNI_PURPOSE_SCHED", "aggregate=y")</f>
        <v>#N/A Requesting Data...</v>
      </c>
      <c r="J2366" t="str">
        <f>_xll.BDP("803531XZ Muni","CPN")</f>
        <v>#N/A Requesting Data...</v>
      </c>
      <c r="K2366" t="str">
        <f>_xll.BDP("803531XZ Muni","MATURITY")</f>
        <v>#N/A Requesting Data...</v>
      </c>
      <c r="L2366">
        <v>220000</v>
      </c>
      <c r="M2366" t="str">
        <f>_xll.BDP("803531XZ Muni","YIELD_ON_ISSUE_DATE")</f>
        <v>#N/A Requesting Data...</v>
      </c>
      <c r="N2366" t="str">
        <f>_xll.BDP("803531XZ Muni","YTW_SPREAD_TO_MATURITY_AT_ISSU")</f>
        <v>#N/A Requesting Data...</v>
      </c>
      <c r="O2366" t="str">
        <f>_xll.BDP("803531XZ Muni","BVAL_MID_YTM")</f>
        <v>#N/A Requesting Data...</v>
      </c>
      <c r="P2366" t="str">
        <f>_xll.BDP("803531XZ Muni","MUNI_TAX_PROV")</f>
        <v>#N/A Requesting Data...</v>
      </c>
      <c r="Q2366" t="str">
        <f>_xll.BDP("803531XZ Muni","MUNI_FED_TAX")</f>
        <v>#N/A Requesting Data...</v>
      </c>
      <c r="R2366" t="str">
        <f>_xll.BDP("803531XZ Muni","MUNI_MSRB_VOLUME")</f>
        <v>#N/A Requesting Data...</v>
      </c>
      <c r="S2366" t="str">
        <f>_xll.BDP("803531XZ Muni","BB_COMPOSITE")</f>
        <v>#N/A Requesting Data...</v>
      </c>
      <c r="T2366" t="str">
        <f>_xll.BDP("803531XZ Muni","LQA_LIQUIDITY_SCORE")</f>
        <v>#N/A Requesting Data...</v>
      </c>
    </row>
    <row r="2367" spans="1:20" x14ac:dyDescent="0.25">
      <c r="A2367" t="str">
        <f>_xll.BDP("803531YA Muni","ID_CUSIP")</f>
        <v>#N/A Requesting Data...</v>
      </c>
      <c r="B2367" t="s">
        <v>557</v>
      </c>
      <c r="C2367" t="str">
        <f>_xll.BDP("803531YA Muni","INSURANCE_STATUS")</f>
        <v>#N/A Requesting Data...</v>
      </c>
      <c r="D2367" t="str">
        <f>_xll.BDP("803531YA Muni","STATE_CODE")</f>
        <v>#N/A Requesting Data...</v>
      </c>
      <c r="E2367" t="str">
        <f>_xll.BDP("803531YA Muni","COUNTY_LOCATION_ISSUER")</f>
        <v>#N/A Requesting Data...</v>
      </c>
      <c r="F2367" t="str">
        <f>_xll.BDP("803531YA Muni","DUR_ADJ_MID")</f>
        <v>#N/A Requesting Data...</v>
      </c>
      <c r="G2367" t="str">
        <f>_xll.BDP("803531YA Muni","SPREAD_AT_ISSUANCE_TO_WORST")</f>
        <v>#N/A Requesting Data...</v>
      </c>
      <c r="H2367" t="str">
        <f>_xll.BDP("803531YA Muni","ISSUE_DT")</f>
        <v>#N/A Requesting Data...</v>
      </c>
      <c r="I2367" t="str">
        <f>_xll.BDS("803531YA Muni","MUNI_PURPOSE_SCHED", "aggregate=y")</f>
        <v>#N/A Requesting Data...</v>
      </c>
      <c r="J2367" t="str">
        <f>_xll.BDP("803531YA Muni","CPN")</f>
        <v>#N/A Requesting Data...</v>
      </c>
      <c r="K2367" t="str">
        <f>_xll.BDP("803531YA Muni","MATURITY")</f>
        <v>#N/A Requesting Data...</v>
      </c>
      <c r="L2367">
        <v>230000</v>
      </c>
      <c r="M2367" t="str">
        <f>_xll.BDP("803531YA Muni","YIELD_ON_ISSUE_DATE")</f>
        <v>#N/A Requesting Data...</v>
      </c>
      <c r="N2367" t="str">
        <f>_xll.BDP("803531YA Muni","YTW_SPREAD_TO_MATURITY_AT_ISSU")</f>
        <v>#N/A Requesting Data...</v>
      </c>
      <c r="O2367" t="str">
        <f>_xll.BDP("803531YA Muni","BVAL_MID_YTM")</f>
        <v>#N/A Requesting Data...</v>
      </c>
      <c r="P2367" t="str">
        <f>_xll.BDP("803531YA Muni","MUNI_TAX_PROV")</f>
        <v>#N/A Requesting Data...</v>
      </c>
      <c r="Q2367" t="str">
        <f>_xll.BDP("803531YA Muni","MUNI_FED_TAX")</f>
        <v>#N/A Requesting Data...</v>
      </c>
      <c r="R2367" t="str">
        <f>_xll.BDP("803531YA Muni","MUNI_MSRB_VOLUME")</f>
        <v>#N/A Requesting Data...</v>
      </c>
      <c r="S2367" t="str">
        <f>_xll.BDP("803531YA Muni","BB_COMPOSITE")</f>
        <v>#N/A Requesting Data...</v>
      </c>
      <c r="T2367" t="str">
        <f>_xll.BDP("803531YA Muni","LQA_LIQUIDITY_SCORE")</f>
        <v>#N/A Requesting Data...</v>
      </c>
    </row>
    <row r="2368" spans="1:20" x14ac:dyDescent="0.25">
      <c r="A2368" t="str">
        <f>_xll.BDP("803531YB Muni","ID_CUSIP")</f>
        <v>#N/A Requesting Data...</v>
      </c>
      <c r="B2368" t="s">
        <v>557</v>
      </c>
      <c r="C2368" t="str">
        <f>_xll.BDP("803531YB Muni","INSURANCE_STATUS")</f>
        <v>#N/A Requesting Data...</v>
      </c>
      <c r="D2368" t="str">
        <f>_xll.BDP("803531YB Muni","STATE_CODE")</f>
        <v>#N/A Requesting Data...</v>
      </c>
      <c r="E2368" t="str">
        <f>_xll.BDP("803531YB Muni","COUNTY_LOCATION_ISSUER")</f>
        <v>#N/A Requesting Data...</v>
      </c>
      <c r="F2368" t="str">
        <f>_xll.BDP("803531YB Muni","DUR_ADJ_MID")</f>
        <v>#N/A Requesting Data...</v>
      </c>
      <c r="G2368" t="str">
        <f>_xll.BDP("803531YB Muni","SPREAD_AT_ISSUANCE_TO_WORST")</f>
        <v>#N/A Requesting Data...</v>
      </c>
      <c r="H2368" t="str">
        <f>_xll.BDP("803531YB Muni","ISSUE_DT")</f>
        <v>#N/A Requesting Data...</v>
      </c>
      <c r="I2368" t="str">
        <f>_xll.BDS("803531YB Muni","MUNI_PURPOSE_SCHED", "aggregate=y")</f>
        <v>#N/A Requesting Data...</v>
      </c>
      <c r="J2368" t="str">
        <f>_xll.BDP("803531YB Muni","CPN")</f>
        <v>#N/A Requesting Data...</v>
      </c>
      <c r="K2368" t="str">
        <f>_xll.BDP("803531YB Muni","MATURITY")</f>
        <v>#N/A Requesting Data...</v>
      </c>
      <c r="L2368">
        <v>235000</v>
      </c>
      <c r="M2368" t="str">
        <f>_xll.BDP("803531YB Muni","YIELD_ON_ISSUE_DATE")</f>
        <v>#N/A Requesting Data...</v>
      </c>
      <c r="N2368" t="str">
        <f>_xll.BDP("803531YB Muni","YTW_SPREAD_TO_MATURITY_AT_ISSU")</f>
        <v>#N/A Requesting Data...</v>
      </c>
      <c r="O2368" t="str">
        <f>_xll.BDP("803531YB Muni","BVAL_MID_YTM")</f>
        <v>#N/A Requesting Data...</v>
      </c>
      <c r="P2368" t="str">
        <f>_xll.BDP("803531YB Muni","MUNI_TAX_PROV")</f>
        <v>#N/A Requesting Data...</v>
      </c>
      <c r="Q2368" t="str">
        <f>_xll.BDP("803531YB Muni","MUNI_FED_TAX")</f>
        <v>#N/A Requesting Data...</v>
      </c>
      <c r="R2368" t="str">
        <f>_xll.BDP("803531YB Muni","MUNI_MSRB_VOLUME")</f>
        <v>#N/A Requesting Data...</v>
      </c>
      <c r="S2368" t="str">
        <f>_xll.BDP("803531YB Muni","BB_COMPOSITE")</f>
        <v>#N/A Requesting Data...</v>
      </c>
      <c r="T2368" t="str">
        <f>_xll.BDP("803531YB Muni","LQA_LIQUIDITY_SCORE")</f>
        <v>#N/A Requesting Data...</v>
      </c>
    </row>
    <row r="2369" spans="1:20" x14ac:dyDescent="0.25">
      <c r="A2369" t="str">
        <f>_xll.BDP("803531YC Muni","ID_CUSIP")</f>
        <v>#N/A Requesting Data...</v>
      </c>
      <c r="B2369" t="s">
        <v>557</v>
      </c>
      <c r="C2369" t="str">
        <f>_xll.BDP("803531YC Muni","INSURANCE_STATUS")</f>
        <v>#N/A Requesting Data...</v>
      </c>
      <c r="D2369" t="str">
        <f>_xll.BDP("803531YC Muni","STATE_CODE")</f>
        <v>#N/A Requesting Data...</v>
      </c>
      <c r="E2369" t="str">
        <f>_xll.BDP("803531YC Muni","COUNTY_LOCATION_ISSUER")</f>
        <v>#N/A Requesting Data...</v>
      </c>
      <c r="F2369" t="str">
        <f>_xll.BDP("803531YC Muni","DUR_ADJ_MID")</f>
        <v>#N/A Requesting Data...</v>
      </c>
      <c r="G2369" t="str">
        <f>_xll.BDP("803531YC Muni","SPREAD_AT_ISSUANCE_TO_WORST")</f>
        <v>#N/A Requesting Data...</v>
      </c>
      <c r="H2369" t="str">
        <f>_xll.BDP("803531YC Muni","ISSUE_DT")</f>
        <v>#N/A Requesting Data...</v>
      </c>
      <c r="I2369" t="str">
        <f>_xll.BDS("803531YC Muni","MUNI_PURPOSE_SCHED", "aggregate=y")</f>
        <v>#N/A Requesting Data...</v>
      </c>
      <c r="J2369" t="str">
        <f>_xll.BDP("803531YC Muni","CPN")</f>
        <v>#N/A Requesting Data...</v>
      </c>
      <c r="K2369" t="str">
        <f>_xll.BDP("803531YC Muni","MATURITY")</f>
        <v>#N/A Requesting Data...</v>
      </c>
      <c r="L2369">
        <v>245000</v>
      </c>
      <c r="M2369" t="str">
        <f>_xll.BDP("803531YC Muni","YIELD_ON_ISSUE_DATE")</f>
        <v>#N/A Requesting Data...</v>
      </c>
      <c r="N2369" t="str">
        <f>_xll.BDP("803531YC Muni","YTW_SPREAD_TO_MATURITY_AT_ISSU")</f>
        <v>#N/A Requesting Data...</v>
      </c>
      <c r="O2369" t="str">
        <f>_xll.BDP("803531YC Muni","BVAL_MID_YTM")</f>
        <v>#N/A Requesting Data...</v>
      </c>
      <c r="P2369" t="str">
        <f>_xll.BDP("803531YC Muni","MUNI_TAX_PROV")</f>
        <v>#N/A Requesting Data...</v>
      </c>
      <c r="Q2369" t="str">
        <f>_xll.BDP("803531YC Muni","MUNI_FED_TAX")</f>
        <v>#N/A Requesting Data...</v>
      </c>
      <c r="R2369" t="str">
        <f>_xll.BDP("803531YC Muni","MUNI_MSRB_VOLUME")</f>
        <v>#N/A Requesting Data...</v>
      </c>
      <c r="S2369" t="str">
        <f>_xll.BDP("803531YC Muni","BB_COMPOSITE")</f>
        <v>#N/A Requesting Data...</v>
      </c>
      <c r="T2369" t="str">
        <f>_xll.BDP("803531YC Muni","LQA_LIQUIDITY_SCORE")</f>
        <v>#N/A Requesting Data...</v>
      </c>
    </row>
    <row r="2370" spans="1:20" x14ac:dyDescent="0.25">
      <c r="A2370" t="str">
        <f>_xll.BDP("804260YS Muni","ID_CUSIP")</f>
        <v>#N/A Requesting Data...</v>
      </c>
      <c r="B2370" t="s">
        <v>558</v>
      </c>
      <c r="C2370" t="str">
        <f>_xll.BDP("804260YS Muni","INSURANCE_STATUS")</f>
        <v>#N/A Requesting Data...</v>
      </c>
      <c r="D2370" t="str">
        <f>_xll.BDP("804260YS Muni","STATE_CODE")</f>
        <v>#N/A Requesting Data...</v>
      </c>
      <c r="E2370" t="str">
        <f>_xll.BDP("804260YS Muni","COUNTY_LOCATION_ISSUER")</f>
        <v>#N/A Requesting Data...</v>
      </c>
      <c r="F2370" t="str">
        <f>_xll.BDP("804260YS Muni","DUR_ADJ_MID")</f>
        <v>#N/A Requesting Data...</v>
      </c>
      <c r="G2370" t="str">
        <f>_xll.BDP("804260YS Muni","SPREAD_AT_ISSUANCE_TO_WORST")</f>
        <v>#N/A Requesting Data...</v>
      </c>
      <c r="H2370" t="str">
        <f>_xll.BDP("804260YS Muni","ISSUE_DT")</f>
        <v>#N/A Requesting Data...</v>
      </c>
      <c r="I2370" t="str">
        <f>_xll.BDS("804260YS Muni","MUNI_PURPOSE_SCHED", "aggregate=y")</f>
        <v>#N/A Requesting Data...</v>
      </c>
      <c r="J2370" t="str">
        <f>_xll.BDP("804260YS Muni","CPN")</f>
        <v>#N/A Requesting Data...</v>
      </c>
      <c r="K2370" t="str">
        <f>_xll.BDP("804260YS Muni","MATURITY")</f>
        <v>#N/A Requesting Data...</v>
      </c>
      <c r="L2370">
        <v>205000</v>
      </c>
      <c r="M2370" t="str">
        <f>_xll.BDP("804260YS Muni","YIELD_ON_ISSUE_DATE")</f>
        <v>#N/A Requesting Data...</v>
      </c>
      <c r="N2370" t="str">
        <f>_xll.BDP("804260YS Muni","YTW_SPREAD_TO_MATURITY_AT_ISSU")</f>
        <v>#N/A Requesting Data...</v>
      </c>
      <c r="O2370" t="str">
        <f>_xll.BDP("804260YS Muni","BVAL_MID_YTM")</f>
        <v>#N/A Requesting Data...</v>
      </c>
      <c r="P2370" t="str">
        <f>_xll.BDP("804260YS Muni","MUNI_TAX_PROV")</f>
        <v>#N/A Requesting Data...</v>
      </c>
      <c r="Q2370" t="str">
        <f>_xll.BDP("804260YS Muni","MUNI_FED_TAX")</f>
        <v>#N/A Requesting Data...</v>
      </c>
      <c r="R2370" t="str">
        <f>_xll.BDP("804260YS Muni","MUNI_MSRB_VOLUME")</f>
        <v>#N/A Requesting Data...</v>
      </c>
      <c r="S2370" t="str">
        <f>_xll.BDP("804260YS Muni","BB_COMPOSITE")</f>
        <v>#N/A Requesting Data...</v>
      </c>
      <c r="T2370" t="str">
        <f>_xll.BDP("804260YS Muni","LQA_LIQUIDITY_SCORE")</f>
        <v>#N/A Requesting Data...</v>
      </c>
    </row>
    <row r="2371" spans="1:20" x14ac:dyDescent="0.25">
      <c r="A2371" t="str">
        <f>_xll.BDP("805788VX Muni","ID_CUSIP")</f>
        <v>#N/A Requesting Data...</v>
      </c>
      <c r="B2371" t="s">
        <v>559</v>
      </c>
      <c r="C2371" t="str">
        <f>_xll.BDP("805788VX Muni","INSURANCE_STATUS")</f>
        <v>#N/A Requesting Data...</v>
      </c>
      <c r="D2371" t="str">
        <f>_xll.BDP("805788VX Muni","STATE_CODE")</f>
        <v>#N/A Requesting Data...</v>
      </c>
      <c r="E2371" t="str">
        <f>_xll.BDP("805788VX Muni","COUNTY_LOCATION_ISSUER")</f>
        <v>#N/A Requesting Data...</v>
      </c>
      <c r="F2371" t="str">
        <f>_xll.BDP("805788VX Muni","DUR_ADJ_MID")</f>
        <v>#N/A Requesting Data...</v>
      </c>
      <c r="G2371" t="str">
        <f>_xll.BDP("805788VX Muni","SPREAD_AT_ISSUANCE_TO_WORST")</f>
        <v>#N/A Requesting Data...</v>
      </c>
      <c r="H2371" t="str">
        <f>_xll.BDP("805788VX Muni","ISSUE_DT")</f>
        <v>#N/A Requesting Data...</v>
      </c>
      <c r="I2371" t="str">
        <f>_xll.BDS("805788VX Muni","MUNI_PURPOSE_SCHED", "aggregate=y")</f>
        <v>#N/A Requesting Data...</v>
      </c>
      <c r="J2371" t="str">
        <f>_xll.BDP("805788VX Muni","CPN")</f>
        <v>#N/A Requesting Data...</v>
      </c>
      <c r="K2371" t="str">
        <f>_xll.BDP("805788VX Muni","MATURITY")</f>
        <v>#N/A Requesting Data...</v>
      </c>
      <c r="L2371">
        <v>770000</v>
      </c>
      <c r="M2371" t="str">
        <f>_xll.BDP("805788VX Muni","YIELD_ON_ISSUE_DATE")</f>
        <v>#N/A Requesting Data...</v>
      </c>
      <c r="N2371" t="str">
        <f>_xll.BDP("805788VX Muni","YTW_SPREAD_TO_MATURITY_AT_ISSU")</f>
        <v>#N/A Requesting Data...</v>
      </c>
      <c r="O2371" t="str">
        <f>_xll.BDP("805788VX Muni","BVAL_MID_YTM")</f>
        <v>#N/A Requesting Data...</v>
      </c>
      <c r="P2371" t="str">
        <f>_xll.BDP("805788VX Muni","MUNI_TAX_PROV")</f>
        <v>#N/A Requesting Data...</v>
      </c>
      <c r="Q2371" t="str">
        <f>_xll.BDP("805788VX Muni","MUNI_FED_TAX")</f>
        <v>#N/A Requesting Data...</v>
      </c>
      <c r="R2371" t="str">
        <f>_xll.BDP("805788VX Muni","MUNI_MSRB_VOLUME")</f>
        <v>#N/A Requesting Data...</v>
      </c>
      <c r="S2371" t="str">
        <f>_xll.BDP("805788VX Muni","BB_COMPOSITE")</f>
        <v>#N/A Requesting Data...</v>
      </c>
      <c r="T2371" t="str">
        <f>_xll.BDP("805788VX Muni","LQA_LIQUIDITY_SCORE")</f>
        <v>#N/A Requesting Data...</v>
      </c>
    </row>
    <row r="2372" spans="1:20" x14ac:dyDescent="0.25">
      <c r="A2372" t="str">
        <f>_xll.BDP("805788VY Muni","ID_CUSIP")</f>
        <v>#N/A Requesting Data...</v>
      </c>
      <c r="B2372" t="s">
        <v>559</v>
      </c>
      <c r="C2372" t="str">
        <f>_xll.BDP("805788VY Muni","INSURANCE_STATUS")</f>
        <v>#N/A Requesting Data...</v>
      </c>
      <c r="D2372" t="str">
        <f>_xll.BDP("805788VY Muni","STATE_CODE")</f>
        <v>#N/A Requesting Data...</v>
      </c>
      <c r="E2372" t="str">
        <f>_xll.BDP("805788VY Muni","COUNTY_LOCATION_ISSUER")</f>
        <v>#N/A Requesting Data...</v>
      </c>
      <c r="F2372" t="str">
        <f>_xll.BDP("805788VY Muni","DUR_ADJ_MID")</f>
        <v>#N/A Requesting Data...</v>
      </c>
      <c r="G2372" t="str">
        <f>_xll.BDP("805788VY Muni","SPREAD_AT_ISSUANCE_TO_WORST")</f>
        <v>#N/A Requesting Data...</v>
      </c>
      <c r="H2372" t="str">
        <f>_xll.BDP("805788VY Muni","ISSUE_DT")</f>
        <v>#N/A Requesting Data...</v>
      </c>
      <c r="I2372" t="str">
        <f>_xll.BDS("805788VY Muni","MUNI_PURPOSE_SCHED", "aggregate=y")</f>
        <v>#N/A Requesting Data...</v>
      </c>
      <c r="J2372" t="str">
        <f>_xll.BDP("805788VY Muni","CPN")</f>
        <v>#N/A Requesting Data...</v>
      </c>
      <c r="K2372" t="str">
        <f>_xll.BDP("805788VY Muni","MATURITY")</f>
        <v>#N/A Requesting Data...</v>
      </c>
      <c r="L2372">
        <v>810000</v>
      </c>
      <c r="M2372" t="str">
        <f>_xll.BDP("805788VY Muni","YIELD_ON_ISSUE_DATE")</f>
        <v>#N/A Requesting Data...</v>
      </c>
      <c r="N2372" t="str">
        <f>_xll.BDP("805788VY Muni","YTW_SPREAD_TO_MATURITY_AT_ISSU")</f>
        <v>#N/A Requesting Data...</v>
      </c>
      <c r="O2372" t="str">
        <f>_xll.BDP("805788VY Muni","BVAL_MID_YTM")</f>
        <v>#N/A Requesting Data...</v>
      </c>
      <c r="P2372" t="str">
        <f>_xll.BDP("805788VY Muni","MUNI_TAX_PROV")</f>
        <v>#N/A Requesting Data...</v>
      </c>
      <c r="Q2372" t="str">
        <f>_xll.BDP("805788VY Muni","MUNI_FED_TAX")</f>
        <v>#N/A Requesting Data...</v>
      </c>
      <c r="R2372" t="str">
        <f>_xll.BDP("805788VY Muni","MUNI_MSRB_VOLUME")</f>
        <v>#N/A Requesting Data...</v>
      </c>
      <c r="S2372" t="str">
        <f>_xll.BDP("805788VY Muni","BB_COMPOSITE")</f>
        <v>#N/A Requesting Data...</v>
      </c>
      <c r="T2372" t="str">
        <f>_xll.BDP("805788VY Muni","LQA_LIQUIDITY_SCORE")</f>
        <v>#N/A Requesting Data...</v>
      </c>
    </row>
    <row r="2373" spans="1:20" x14ac:dyDescent="0.25">
      <c r="A2373" t="str">
        <f>_xll.BDP("805788VZ Muni","ID_CUSIP")</f>
        <v>#N/A Requesting Data...</v>
      </c>
      <c r="B2373" t="s">
        <v>559</v>
      </c>
      <c r="C2373" t="str">
        <f>_xll.BDP("805788VZ Muni","INSURANCE_STATUS")</f>
        <v>#N/A Requesting Data...</v>
      </c>
      <c r="D2373" t="str">
        <f>_xll.BDP("805788VZ Muni","STATE_CODE")</f>
        <v>#N/A Requesting Data...</v>
      </c>
      <c r="E2373" t="str">
        <f>_xll.BDP("805788VZ Muni","COUNTY_LOCATION_ISSUER")</f>
        <v>#N/A Requesting Data...</v>
      </c>
      <c r="F2373" t="str">
        <f>_xll.BDP("805788VZ Muni","DUR_ADJ_MID")</f>
        <v>#N/A Requesting Data...</v>
      </c>
      <c r="G2373" t="str">
        <f>_xll.BDP("805788VZ Muni","SPREAD_AT_ISSUANCE_TO_WORST")</f>
        <v>#N/A Requesting Data...</v>
      </c>
      <c r="H2373" t="str">
        <f>_xll.BDP("805788VZ Muni","ISSUE_DT")</f>
        <v>#N/A Requesting Data...</v>
      </c>
      <c r="I2373" t="str">
        <f>_xll.BDS("805788VZ Muni","MUNI_PURPOSE_SCHED", "aggregate=y")</f>
        <v>#N/A Requesting Data...</v>
      </c>
      <c r="J2373" t="str">
        <f>_xll.BDP("805788VZ Muni","CPN")</f>
        <v>#N/A Requesting Data...</v>
      </c>
      <c r="K2373" t="str">
        <f>_xll.BDP("805788VZ Muni","MATURITY")</f>
        <v>#N/A Requesting Data...</v>
      </c>
      <c r="L2373">
        <v>850000</v>
      </c>
      <c r="M2373" t="str">
        <f>_xll.BDP("805788VZ Muni","YIELD_ON_ISSUE_DATE")</f>
        <v>#N/A Requesting Data...</v>
      </c>
      <c r="N2373" t="str">
        <f>_xll.BDP("805788VZ Muni","YTW_SPREAD_TO_MATURITY_AT_ISSU")</f>
        <v>#N/A Requesting Data...</v>
      </c>
      <c r="O2373" t="str">
        <f>_xll.BDP("805788VZ Muni","BVAL_MID_YTM")</f>
        <v>#N/A Requesting Data...</v>
      </c>
      <c r="P2373" t="str">
        <f>_xll.BDP("805788VZ Muni","MUNI_TAX_PROV")</f>
        <v>#N/A Requesting Data...</v>
      </c>
      <c r="Q2373" t="str">
        <f>_xll.BDP("805788VZ Muni","MUNI_FED_TAX")</f>
        <v>#N/A Requesting Data...</v>
      </c>
      <c r="R2373" t="str">
        <f>_xll.BDP("805788VZ Muni","MUNI_MSRB_VOLUME")</f>
        <v>#N/A Requesting Data...</v>
      </c>
      <c r="S2373" t="str">
        <f>_xll.BDP("805788VZ Muni","BB_COMPOSITE")</f>
        <v>#N/A Requesting Data...</v>
      </c>
      <c r="T2373" t="str">
        <f>_xll.BDP("805788VZ Muni","LQA_LIQUIDITY_SCORE")</f>
        <v>#N/A Requesting Data...</v>
      </c>
    </row>
    <row r="2374" spans="1:20" x14ac:dyDescent="0.25">
      <c r="A2374" t="str">
        <f>_xll.BDP("805788WA Muni","ID_CUSIP")</f>
        <v>#N/A Requesting Data...</v>
      </c>
      <c r="B2374" t="s">
        <v>559</v>
      </c>
      <c r="C2374" t="str">
        <f>_xll.BDP("805788WA Muni","INSURANCE_STATUS")</f>
        <v>#N/A Requesting Data...</v>
      </c>
      <c r="D2374" t="str">
        <f>_xll.BDP("805788WA Muni","STATE_CODE")</f>
        <v>#N/A Requesting Data...</v>
      </c>
      <c r="E2374" t="str">
        <f>_xll.BDP("805788WA Muni","COUNTY_LOCATION_ISSUER")</f>
        <v>#N/A Requesting Data...</v>
      </c>
      <c r="F2374" t="str">
        <f>_xll.BDP("805788WA Muni","DUR_ADJ_MID")</f>
        <v>#N/A Requesting Data...</v>
      </c>
      <c r="G2374" t="str">
        <f>_xll.BDP("805788WA Muni","SPREAD_AT_ISSUANCE_TO_WORST")</f>
        <v>#N/A Requesting Data...</v>
      </c>
      <c r="H2374" t="str">
        <f>_xll.BDP("805788WA Muni","ISSUE_DT")</f>
        <v>#N/A Requesting Data...</v>
      </c>
      <c r="I2374" t="str">
        <f>_xll.BDS("805788WA Muni","MUNI_PURPOSE_SCHED", "aggregate=y")</f>
        <v>#N/A Requesting Data...</v>
      </c>
      <c r="J2374" t="str">
        <f>_xll.BDP("805788WA Muni","CPN")</f>
        <v>#N/A Requesting Data...</v>
      </c>
      <c r="K2374" t="str">
        <f>_xll.BDP("805788WA Muni","MATURITY")</f>
        <v>#N/A Requesting Data...</v>
      </c>
      <c r="L2374">
        <v>915000</v>
      </c>
      <c r="M2374" t="str">
        <f>_xll.BDP("805788WA Muni","YIELD_ON_ISSUE_DATE")</f>
        <v>#N/A Requesting Data...</v>
      </c>
      <c r="N2374" t="str">
        <f>_xll.BDP("805788WA Muni","YTW_SPREAD_TO_MATURITY_AT_ISSU")</f>
        <v>#N/A Requesting Data...</v>
      </c>
      <c r="O2374" t="str">
        <f>_xll.BDP("805788WA Muni","BVAL_MID_YTM")</f>
        <v>#N/A Requesting Data...</v>
      </c>
      <c r="P2374" t="str">
        <f>_xll.BDP("805788WA Muni","MUNI_TAX_PROV")</f>
        <v>#N/A Requesting Data...</v>
      </c>
      <c r="Q2374" t="str">
        <f>_xll.BDP("805788WA Muni","MUNI_FED_TAX")</f>
        <v>#N/A Requesting Data...</v>
      </c>
      <c r="R2374" t="str">
        <f>_xll.BDP("805788WA Muni","MUNI_MSRB_VOLUME")</f>
        <v>#N/A Requesting Data...</v>
      </c>
      <c r="S2374" t="str">
        <f>_xll.BDP("805788WA Muni","BB_COMPOSITE")</f>
        <v>#N/A Requesting Data...</v>
      </c>
      <c r="T2374" t="str">
        <f>_xll.BDP("805788WA Muni","LQA_LIQUIDITY_SCORE")</f>
        <v>#N/A Requesting Data...</v>
      </c>
    </row>
    <row r="2375" spans="1:20" x14ac:dyDescent="0.25">
      <c r="A2375" t="str">
        <f>_xll.BDP("805788WB Muni","ID_CUSIP")</f>
        <v>#N/A Requesting Data...</v>
      </c>
      <c r="B2375" t="s">
        <v>559</v>
      </c>
      <c r="C2375" t="str">
        <f>_xll.BDP("805788WB Muni","INSURANCE_STATUS")</f>
        <v>#N/A Requesting Data...</v>
      </c>
      <c r="D2375" t="str">
        <f>_xll.BDP("805788WB Muni","STATE_CODE")</f>
        <v>#N/A Requesting Data...</v>
      </c>
      <c r="E2375" t="str">
        <f>_xll.BDP("805788WB Muni","COUNTY_LOCATION_ISSUER")</f>
        <v>#N/A Requesting Data...</v>
      </c>
      <c r="F2375" t="str">
        <f>_xll.BDP("805788WB Muni","DUR_ADJ_MID")</f>
        <v>#N/A Requesting Data...</v>
      </c>
      <c r="G2375" t="str">
        <f>_xll.BDP("805788WB Muni","SPREAD_AT_ISSUANCE_TO_WORST")</f>
        <v>#N/A Requesting Data...</v>
      </c>
      <c r="H2375" t="str">
        <f>_xll.BDP("805788WB Muni","ISSUE_DT")</f>
        <v>#N/A Requesting Data...</v>
      </c>
      <c r="I2375" t="str">
        <f>_xll.BDS("805788WB Muni","MUNI_PURPOSE_SCHED", "aggregate=y")</f>
        <v>#N/A Requesting Data...</v>
      </c>
      <c r="J2375" t="str">
        <f>_xll.BDP("805788WB Muni","CPN")</f>
        <v>#N/A Requesting Data...</v>
      </c>
      <c r="K2375" t="str">
        <f>_xll.BDP("805788WB Muni","MATURITY")</f>
        <v>#N/A Requesting Data...</v>
      </c>
      <c r="L2375">
        <v>1025000</v>
      </c>
      <c r="M2375" t="str">
        <f>_xll.BDP("805788WB Muni","YIELD_ON_ISSUE_DATE")</f>
        <v>#N/A Requesting Data...</v>
      </c>
      <c r="N2375" t="str">
        <f>_xll.BDP("805788WB Muni","YTW_SPREAD_TO_MATURITY_AT_ISSU")</f>
        <v>#N/A Requesting Data...</v>
      </c>
      <c r="O2375" t="str">
        <f>_xll.BDP("805788WB Muni","BVAL_MID_YTM")</f>
        <v>#N/A Requesting Data...</v>
      </c>
      <c r="P2375" t="str">
        <f>_xll.BDP("805788WB Muni","MUNI_TAX_PROV")</f>
        <v>#N/A Requesting Data...</v>
      </c>
      <c r="Q2375" t="str">
        <f>_xll.BDP("805788WB Muni","MUNI_FED_TAX")</f>
        <v>#N/A Requesting Data...</v>
      </c>
      <c r="R2375" t="str">
        <f>_xll.BDP("805788WB Muni","MUNI_MSRB_VOLUME")</f>
        <v>#N/A Requesting Data...</v>
      </c>
      <c r="S2375" t="str">
        <f>_xll.BDP("805788WB Muni","BB_COMPOSITE")</f>
        <v>#N/A Requesting Data...</v>
      </c>
      <c r="T2375" t="str">
        <f>_xll.BDP("805788WB Muni","LQA_LIQUIDITY_SCORE")</f>
        <v>#N/A Requesting Data...</v>
      </c>
    </row>
    <row r="2376" spans="1:20" x14ac:dyDescent="0.25">
      <c r="A2376" t="str">
        <f>_xll.BDP("806143MF Muni","ID_CUSIP")</f>
        <v>#N/A Requesting Data...</v>
      </c>
      <c r="B2376" t="s">
        <v>560</v>
      </c>
      <c r="C2376" t="str">
        <f>_xll.BDP("806143MF Muni","INSURANCE_STATUS")</f>
        <v>#N/A Requesting Data...</v>
      </c>
      <c r="D2376" t="str">
        <f>_xll.BDP("806143MF Muni","STATE_CODE")</f>
        <v>#N/A Requesting Data...</v>
      </c>
      <c r="E2376" t="str">
        <f>_xll.BDP("806143MF Muni","COUNTY_LOCATION_ISSUER")</f>
        <v>#N/A Requesting Data...</v>
      </c>
      <c r="F2376" t="str">
        <f>_xll.BDP("806143MF Muni","DUR_ADJ_MID")</f>
        <v>#N/A Requesting Data...</v>
      </c>
      <c r="G2376" t="str">
        <f>_xll.BDP("806143MF Muni","SPREAD_AT_ISSUANCE_TO_WORST")</f>
        <v>#N/A Requesting Data...</v>
      </c>
      <c r="H2376" t="str">
        <f>_xll.BDP("806143MF Muni","ISSUE_DT")</f>
        <v>#N/A Requesting Data...</v>
      </c>
      <c r="I2376" t="str">
        <f>_xll.BDS("806143MF Muni","MUNI_PURPOSE_SCHED", "aggregate=y")</f>
        <v>#N/A Requesting Data...</v>
      </c>
      <c r="J2376" t="str">
        <f>_xll.BDP("806143MF Muni","CPN")</f>
        <v>#N/A Requesting Data...</v>
      </c>
      <c r="K2376" t="str">
        <f>_xll.BDP("806143MF Muni","MATURITY")</f>
        <v>#N/A Requesting Data...</v>
      </c>
      <c r="L2376">
        <v>545000</v>
      </c>
      <c r="M2376" t="str">
        <f>_xll.BDP("806143MF Muni","YIELD_ON_ISSUE_DATE")</f>
        <v>#N/A Requesting Data...</v>
      </c>
      <c r="N2376" t="str">
        <f>_xll.BDP("806143MF Muni","YTW_SPREAD_TO_MATURITY_AT_ISSU")</f>
        <v>#N/A Requesting Data...</v>
      </c>
      <c r="O2376" t="str">
        <f>_xll.BDP("806143MF Muni","BVAL_MID_YTM")</f>
        <v>#N/A Requesting Data...</v>
      </c>
      <c r="P2376" t="str">
        <f>_xll.BDP("806143MF Muni","MUNI_TAX_PROV")</f>
        <v>#N/A Requesting Data...</v>
      </c>
      <c r="Q2376" t="str">
        <f>_xll.BDP("806143MF Muni","MUNI_FED_TAX")</f>
        <v>#N/A Requesting Data...</v>
      </c>
      <c r="R2376" t="str">
        <f>_xll.BDP("806143MF Muni","MUNI_MSRB_VOLUME")</f>
        <v>#N/A Requesting Data...</v>
      </c>
      <c r="S2376" t="str">
        <f>_xll.BDP("806143MF Muni","BB_COMPOSITE")</f>
        <v>#N/A Requesting Data...</v>
      </c>
      <c r="T2376" t="str">
        <f>_xll.BDP("806143MF Muni","LQA_LIQUIDITY_SCORE")</f>
        <v>#N/A Requesting Data...</v>
      </c>
    </row>
    <row r="2377" spans="1:20" x14ac:dyDescent="0.25">
      <c r="A2377" t="str">
        <f>_xll.BDP("806143MG Muni","ID_CUSIP")</f>
        <v>#N/A Requesting Data...</v>
      </c>
      <c r="B2377" t="s">
        <v>560</v>
      </c>
      <c r="C2377" t="str">
        <f>_xll.BDP("806143MG Muni","INSURANCE_STATUS")</f>
        <v>#N/A Requesting Data...</v>
      </c>
      <c r="D2377" t="str">
        <f>_xll.BDP("806143MG Muni","STATE_CODE")</f>
        <v>#N/A Requesting Data...</v>
      </c>
      <c r="E2377" t="str">
        <f>_xll.BDP("806143MG Muni","COUNTY_LOCATION_ISSUER")</f>
        <v>#N/A Requesting Data...</v>
      </c>
      <c r="F2377" t="str">
        <f>_xll.BDP("806143MG Muni","DUR_ADJ_MID")</f>
        <v>#N/A Requesting Data...</v>
      </c>
      <c r="G2377" t="str">
        <f>_xll.BDP("806143MG Muni","SPREAD_AT_ISSUANCE_TO_WORST")</f>
        <v>#N/A Requesting Data...</v>
      </c>
      <c r="H2377" t="str">
        <f>_xll.BDP("806143MG Muni","ISSUE_DT")</f>
        <v>#N/A Requesting Data...</v>
      </c>
      <c r="I2377" t="str">
        <f>_xll.BDS("806143MG Muni","MUNI_PURPOSE_SCHED", "aggregate=y")</f>
        <v>#N/A Requesting Data...</v>
      </c>
      <c r="J2377" t="str">
        <f>_xll.BDP("806143MG Muni","CPN")</f>
        <v>#N/A Requesting Data...</v>
      </c>
      <c r="K2377" t="str">
        <f>_xll.BDP("806143MG Muni","MATURITY")</f>
        <v>#N/A Requesting Data...</v>
      </c>
      <c r="L2377">
        <v>560000</v>
      </c>
      <c r="M2377" t="str">
        <f>_xll.BDP("806143MG Muni","YIELD_ON_ISSUE_DATE")</f>
        <v>#N/A Requesting Data...</v>
      </c>
      <c r="N2377" t="str">
        <f>_xll.BDP("806143MG Muni","YTW_SPREAD_TO_MATURITY_AT_ISSU")</f>
        <v>#N/A Requesting Data...</v>
      </c>
      <c r="O2377" t="str">
        <f>_xll.BDP("806143MG Muni","BVAL_MID_YTM")</f>
        <v>#N/A Requesting Data...</v>
      </c>
      <c r="P2377" t="str">
        <f>_xll.BDP("806143MG Muni","MUNI_TAX_PROV")</f>
        <v>#N/A Requesting Data...</v>
      </c>
      <c r="Q2377" t="str">
        <f>_xll.BDP("806143MG Muni","MUNI_FED_TAX")</f>
        <v>#N/A Requesting Data...</v>
      </c>
      <c r="R2377" t="str">
        <f>_xll.BDP("806143MG Muni","MUNI_MSRB_VOLUME")</f>
        <v>#N/A Requesting Data...</v>
      </c>
      <c r="S2377" t="str">
        <f>_xll.BDP("806143MG Muni","BB_COMPOSITE")</f>
        <v>#N/A Requesting Data...</v>
      </c>
      <c r="T2377" t="str">
        <f>_xll.BDP("806143MG Muni","LQA_LIQUIDITY_SCORE")</f>
        <v>#N/A Requesting Data...</v>
      </c>
    </row>
    <row r="2378" spans="1:20" x14ac:dyDescent="0.25">
      <c r="A2378" t="str">
        <f>_xll.BDP("806143MH Muni","ID_CUSIP")</f>
        <v>#N/A Requesting Data...</v>
      </c>
      <c r="B2378" t="s">
        <v>560</v>
      </c>
      <c r="C2378" t="str">
        <f>_xll.BDP("806143MH Muni","INSURANCE_STATUS")</f>
        <v>#N/A Requesting Data...</v>
      </c>
      <c r="D2378" t="str">
        <f>_xll.BDP("806143MH Muni","STATE_CODE")</f>
        <v>#N/A Requesting Data...</v>
      </c>
      <c r="E2378" t="str">
        <f>_xll.BDP("806143MH Muni","COUNTY_LOCATION_ISSUER")</f>
        <v>#N/A Requesting Data...</v>
      </c>
      <c r="F2378" t="str">
        <f>_xll.BDP("806143MH Muni","DUR_ADJ_MID")</f>
        <v>#N/A Requesting Data...</v>
      </c>
      <c r="G2378" t="str">
        <f>_xll.BDP("806143MH Muni","SPREAD_AT_ISSUANCE_TO_WORST")</f>
        <v>#N/A Requesting Data...</v>
      </c>
      <c r="H2378" t="str">
        <f>_xll.BDP("806143MH Muni","ISSUE_DT")</f>
        <v>#N/A Requesting Data...</v>
      </c>
      <c r="I2378" t="str">
        <f>_xll.BDS("806143MH Muni","MUNI_PURPOSE_SCHED", "aggregate=y")</f>
        <v>#N/A Requesting Data...</v>
      </c>
      <c r="J2378" t="str">
        <f>_xll.BDP("806143MH Muni","CPN")</f>
        <v>#N/A Requesting Data...</v>
      </c>
      <c r="K2378" t="str">
        <f>_xll.BDP("806143MH Muni","MATURITY")</f>
        <v>#N/A Requesting Data...</v>
      </c>
      <c r="L2378">
        <v>575000</v>
      </c>
      <c r="M2378" t="str">
        <f>_xll.BDP("806143MH Muni","YIELD_ON_ISSUE_DATE")</f>
        <v>#N/A Requesting Data...</v>
      </c>
      <c r="N2378" t="str">
        <f>_xll.BDP("806143MH Muni","YTW_SPREAD_TO_MATURITY_AT_ISSU")</f>
        <v>#N/A Requesting Data...</v>
      </c>
      <c r="O2378" t="str">
        <f>_xll.BDP("806143MH Muni","BVAL_MID_YTM")</f>
        <v>#N/A Requesting Data...</v>
      </c>
      <c r="P2378" t="str">
        <f>_xll.BDP("806143MH Muni","MUNI_TAX_PROV")</f>
        <v>#N/A Requesting Data...</v>
      </c>
      <c r="Q2378" t="str">
        <f>_xll.BDP("806143MH Muni","MUNI_FED_TAX")</f>
        <v>#N/A Requesting Data...</v>
      </c>
      <c r="R2378" t="str">
        <f>_xll.BDP("806143MH Muni","MUNI_MSRB_VOLUME")</f>
        <v>#N/A Requesting Data...</v>
      </c>
      <c r="S2378" t="str">
        <f>_xll.BDP("806143MH Muni","BB_COMPOSITE")</f>
        <v>#N/A Requesting Data...</v>
      </c>
      <c r="T2378" t="str">
        <f>_xll.BDP("806143MH Muni","LQA_LIQUIDITY_SCORE")</f>
        <v>#N/A Requesting Data...</v>
      </c>
    </row>
    <row r="2379" spans="1:20" x14ac:dyDescent="0.25">
      <c r="A2379" t="str">
        <f>_xll.BDP("806143MJ Muni","ID_CUSIP")</f>
        <v>#N/A Requesting Data...</v>
      </c>
      <c r="B2379" t="s">
        <v>560</v>
      </c>
      <c r="C2379" t="str">
        <f>_xll.BDP("806143MJ Muni","INSURANCE_STATUS")</f>
        <v>#N/A Requesting Data...</v>
      </c>
      <c r="D2379" t="str">
        <f>_xll.BDP("806143MJ Muni","STATE_CODE")</f>
        <v>#N/A Requesting Data...</v>
      </c>
      <c r="E2379" t="str">
        <f>_xll.BDP("806143MJ Muni","COUNTY_LOCATION_ISSUER")</f>
        <v>#N/A Requesting Data...</v>
      </c>
      <c r="F2379" t="str">
        <f>_xll.BDP("806143MJ Muni","DUR_ADJ_MID")</f>
        <v>#N/A Requesting Data...</v>
      </c>
      <c r="G2379" t="str">
        <f>_xll.BDP("806143MJ Muni","SPREAD_AT_ISSUANCE_TO_WORST")</f>
        <v>#N/A Requesting Data...</v>
      </c>
      <c r="H2379" t="str">
        <f>_xll.BDP("806143MJ Muni","ISSUE_DT")</f>
        <v>#N/A Requesting Data...</v>
      </c>
      <c r="I2379" t="str">
        <f>_xll.BDS("806143MJ Muni","MUNI_PURPOSE_SCHED", "aggregate=y")</f>
        <v>#N/A Requesting Data...</v>
      </c>
      <c r="J2379" t="str">
        <f>_xll.BDP("806143MJ Muni","CPN")</f>
        <v>#N/A Requesting Data...</v>
      </c>
      <c r="K2379" t="str">
        <f>_xll.BDP("806143MJ Muni","MATURITY")</f>
        <v>#N/A Requesting Data...</v>
      </c>
      <c r="L2379">
        <v>590000</v>
      </c>
      <c r="M2379" t="str">
        <f>_xll.BDP("806143MJ Muni","YIELD_ON_ISSUE_DATE")</f>
        <v>#N/A Requesting Data...</v>
      </c>
      <c r="N2379" t="str">
        <f>_xll.BDP("806143MJ Muni","YTW_SPREAD_TO_MATURITY_AT_ISSU")</f>
        <v>#N/A Requesting Data...</v>
      </c>
      <c r="O2379" t="str">
        <f>_xll.BDP("806143MJ Muni","BVAL_MID_YTM")</f>
        <v>#N/A Requesting Data...</v>
      </c>
      <c r="P2379" t="str">
        <f>_xll.BDP("806143MJ Muni","MUNI_TAX_PROV")</f>
        <v>#N/A Requesting Data...</v>
      </c>
      <c r="Q2379" t="str">
        <f>_xll.BDP("806143MJ Muni","MUNI_FED_TAX")</f>
        <v>#N/A Requesting Data...</v>
      </c>
      <c r="R2379" t="str">
        <f>_xll.BDP("806143MJ Muni","MUNI_MSRB_VOLUME")</f>
        <v>#N/A Requesting Data...</v>
      </c>
      <c r="S2379" t="str">
        <f>_xll.BDP("806143MJ Muni","BB_COMPOSITE")</f>
        <v>#N/A Requesting Data...</v>
      </c>
      <c r="T2379" t="str">
        <f>_xll.BDP("806143MJ Muni","LQA_LIQUIDITY_SCORE")</f>
        <v>#N/A Requesting Data...</v>
      </c>
    </row>
    <row r="2380" spans="1:20" x14ac:dyDescent="0.25">
      <c r="A2380" t="str">
        <f>_xll.BDP("806143MK Muni","ID_CUSIP")</f>
        <v>#N/A Requesting Data...</v>
      </c>
      <c r="B2380" t="s">
        <v>560</v>
      </c>
      <c r="C2380" t="str">
        <f>_xll.BDP("806143MK Muni","INSURANCE_STATUS")</f>
        <v>#N/A Requesting Data...</v>
      </c>
      <c r="D2380" t="str">
        <f>_xll.BDP("806143MK Muni","STATE_CODE")</f>
        <v>#N/A Requesting Data...</v>
      </c>
      <c r="E2380" t="str">
        <f>_xll.BDP("806143MK Muni","COUNTY_LOCATION_ISSUER")</f>
        <v>#N/A Requesting Data...</v>
      </c>
      <c r="F2380" t="str">
        <f>_xll.BDP("806143MK Muni","DUR_ADJ_MID")</f>
        <v>#N/A Requesting Data...</v>
      </c>
      <c r="G2380" t="str">
        <f>_xll.BDP("806143MK Muni","SPREAD_AT_ISSUANCE_TO_WORST")</f>
        <v>#N/A Requesting Data...</v>
      </c>
      <c r="H2380" t="str">
        <f>_xll.BDP("806143MK Muni","ISSUE_DT")</f>
        <v>#N/A Requesting Data...</v>
      </c>
      <c r="I2380" t="str">
        <f>_xll.BDS("806143MK Muni","MUNI_PURPOSE_SCHED", "aggregate=y")</f>
        <v>#N/A Requesting Data...</v>
      </c>
      <c r="J2380" t="str">
        <f>_xll.BDP("806143MK Muni","CPN")</f>
        <v>#N/A Requesting Data...</v>
      </c>
      <c r="K2380" t="str">
        <f>_xll.BDP("806143MK Muni","MATURITY")</f>
        <v>#N/A Requesting Data...</v>
      </c>
      <c r="L2380">
        <v>605000</v>
      </c>
      <c r="M2380" t="str">
        <f>_xll.BDP("806143MK Muni","YIELD_ON_ISSUE_DATE")</f>
        <v>#N/A Requesting Data...</v>
      </c>
      <c r="N2380" t="str">
        <f>_xll.BDP("806143MK Muni","YTW_SPREAD_TO_MATURITY_AT_ISSU")</f>
        <v>#N/A Requesting Data...</v>
      </c>
      <c r="O2380" t="str">
        <f>_xll.BDP("806143MK Muni","BVAL_MID_YTM")</f>
        <v>#N/A Requesting Data...</v>
      </c>
      <c r="P2380" t="str">
        <f>_xll.BDP("806143MK Muni","MUNI_TAX_PROV")</f>
        <v>#N/A Requesting Data...</v>
      </c>
      <c r="Q2380" t="str">
        <f>_xll.BDP("806143MK Muni","MUNI_FED_TAX")</f>
        <v>#N/A Requesting Data...</v>
      </c>
      <c r="R2380" t="str">
        <f>_xll.BDP("806143MK Muni","MUNI_MSRB_VOLUME")</f>
        <v>#N/A Requesting Data...</v>
      </c>
      <c r="S2380" t="str">
        <f>_xll.BDP("806143MK Muni","BB_COMPOSITE")</f>
        <v>#N/A Requesting Data...</v>
      </c>
      <c r="T2380" t="str">
        <f>_xll.BDP("806143MK Muni","LQA_LIQUIDITY_SCORE")</f>
        <v>#N/A Requesting Data...</v>
      </c>
    </row>
    <row r="2381" spans="1:20" x14ac:dyDescent="0.25">
      <c r="A2381" t="str">
        <f>_xll.BDP("92336LDV Muni","ID_CUSIP")</f>
        <v>#N/A Requesting Data...</v>
      </c>
      <c r="B2381" t="s">
        <v>561</v>
      </c>
      <c r="C2381" t="str">
        <f>_xll.BDP("92336LDV Muni","INSURANCE_STATUS")</f>
        <v>#N/A Requesting Data...</v>
      </c>
      <c r="D2381" t="str">
        <f>_xll.BDP("92336LDV Muni","STATE_CODE")</f>
        <v>#N/A Requesting Data...</v>
      </c>
      <c r="E2381" t="str">
        <f>_xll.BDP("92336LDV Muni","COUNTY_LOCATION_ISSUER")</f>
        <v>#N/A Requesting Data...</v>
      </c>
      <c r="F2381" t="str">
        <f>_xll.BDP("92336LDV Muni","DUR_ADJ_MID")</f>
        <v>#N/A Requesting Data...</v>
      </c>
      <c r="G2381" t="str">
        <f>_xll.BDP("92336LDV Muni","SPREAD_AT_ISSUANCE_TO_WORST")</f>
        <v>#N/A Requesting Data...</v>
      </c>
      <c r="H2381" t="str">
        <f>_xll.BDP("92336LDV Muni","ISSUE_DT")</f>
        <v>#N/A Requesting Data...</v>
      </c>
      <c r="I2381" t="str">
        <f>_xll.BDS("92336LDV Muni","MUNI_PURPOSE_SCHED", "aggregate=y")</f>
        <v>#N/A Requesting Data...</v>
      </c>
      <c r="J2381" t="str">
        <f>_xll.BDP("92336LDV Muni","CPN")</f>
        <v>#N/A Requesting Data...</v>
      </c>
      <c r="K2381" t="str">
        <f>_xll.BDP("92336LDV Muni","MATURITY")</f>
        <v>#N/A Requesting Data...</v>
      </c>
      <c r="L2381">
        <v>100000</v>
      </c>
      <c r="M2381" t="str">
        <f>_xll.BDP("92336LDV Muni","YIELD_ON_ISSUE_DATE")</f>
        <v>#N/A Requesting Data...</v>
      </c>
      <c r="N2381" t="str">
        <f>_xll.BDP("92336LDV Muni","YTW_SPREAD_TO_MATURITY_AT_ISSU")</f>
        <v>#N/A Requesting Data...</v>
      </c>
      <c r="O2381" t="str">
        <f>_xll.BDP("92336LDV Muni","BVAL_MID_YTM")</f>
        <v>#N/A Requesting Data...</v>
      </c>
      <c r="P2381" t="str">
        <f>_xll.BDP("92336LDV Muni","MUNI_TAX_PROV")</f>
        <v>#N/A Requesting Data...</v>
      </c>
      <c r="Q2381" t="str">
        <f>_xll.BDP("92336LDV Muni","MUNI_FED_TAX")</f>
        <v>#N/A Requesting Data...</v>
      </c>
      <c r="R2381" t="str">
        <f>_xll.BDP("92336LDV Muni","MUNI_MSRB_VOLUME")</f>
        <v>#N/A Requesting Data...</v>
      </c>
      <c r="S2381" t="str">
        <f>_xll.BDP("92336LDV Muni","BB_COMPOSITE")</f>
        <v>#N/A Requesting Data...</v>
      </c>
      <c r="T2381" t="str">
        <f>_xll.BDP("92336LDV Muni","LQA_LIQUIDITY_SCORE")</f>
        <v>#N/A Requesting Data...</v>
      </c>
    </row>
    <row r="2382" spans="1:20" x14ac:dyDescent="0.25">
      <c r="A2382" t="str">
        <f>_xll.BDP("92336LDW Muni","ID_CUSIP")</f>
        <v>#N/A Requesting Data...</v>
      </c>
      <c r="B2382" t="s">
        <v>561</v>
      </c>
      <c r="C2382" t="str">
        <f>_xll.BDP("92336LDW Muni","INSURANCE_STATUS")</f>
        <v>#N/A Requesting Data...</v>
      </c>
      <c r="D2382" t="str">
        <f>_xll.BDP("92336LDW Muni","STATE_CODE")</f>
        <v>#N/A Requesting Data...</v>
      </c>
      <c r="E2382" t="str">
        <f>_xll.BDP("92336LDW Muni","COUNTY_LOCATION_ISSUER")</f>
        <v>#N/A Requesting Data...</v>
      </c>
      <c r="F2382" t="str">
        <f>_xll.BDP("92336LDW Muni","DUR_ADJ_MID")</f>
        <v>#N/A Requesting Data...</v>
      </c>
      <c r="G2382" t="str">
        <f>_xll.BDP("92336LDW Muni","SPREAD_AT_ISSUANCE_TO_WORST")</f>
        <v>#N/A Requesting Data...</v>
      </c>
      <c r="H2382" t="str">
        <f>_xll.BDP("92336LDW Muni","ISSUE_DT")</f>
        <v>#N/A Requesting Data...</v>
      </c>
      <c r="I2382" t="str">
        <f>_xll.BDS("92336LDW Muni","MUNI_PURPOSE_SCHED", "aggregate=y")</f>
        <v>#N/A Requesting Data...</v>
      </c>
      <c r="J2382" t="str">
        <f>_xll.BDP("92336LDW Muni","CPN")</f>
        <v>#N/A Requesting Data...</v>
      </c>
      <c r="K2382" t="str">
        <f>_xll.BDP("92336LDW Muni","MATURITY")</f>
        <v>#N/A Requesting Data...</v>
      </c>
      <c r="L2382">
        <v>100000</v>
      </c>
      <c r="M2382" t="str">
        <f>_xll.BDP("92336LDW Muni","YIELD_ON_ISSUE_DATE")</f>
        <v>#N/A Requesting Data...</v>
      </c>
      <c r="N2382" t="str">
        <f>_xll.BDP("92336LDW Muni","YTW_SPREAD_TO_MATURITY_AT_ISSU")</f>
        <v>#N/A Requesting Data...</v>
      </c>
      <c r="O2382" t="str">
        <f>_xll.BDP("92336LDW Muni","BVAL_MID_YTM")</f>
        <v>#N/A Requesting Data...</v>
      </c>
      <c r="P2382" t="str">
        <f>_xll.BDP("92336LDW Muni","MUNI_TAX_PROV")</f>
        <v>#N/A Requesting Data...</v>
      </c>
      <c r="Q2382" t="str">
        <f>_xll.BDP("92336LDW Muni","MUNI_FED_TAX")</f>
        <v>#N/A Requesting Data...</v>
      </c>
      <c r="R2382" t="str">
        <f>_xll.BDP("92336LDW Muni","MUNI_MSRB_VOLUME")</f>
        <v>#N/A Requesting Data...</v>
      </c>
      <c r="S2382" t="str">
        <f>_xll.BDP("92336LDW Muni","BB_COMPOSITE")</f>
        <v>#N/A Requesting Data...</v>
      </c>
      <c r="T2382" t="str">
        <f>_xll.BDP("92336LDW Muni","LQA_LIQUIDITY_SCORE")</f>
        <v>#N/A Requesting Data...</v>
      </c>
    </row>
    <row r="2383" spans="1:20" x14ac:dyDescent="0.25">
      <c r="A2383" t="str">
        <f>_xll.BDP("92336LDX Muni","ID_CUSIP")</f>
        <v>#N/A Requesting Data...</v>
      </c>
      <c r="B2383" t="s">
        <v>561</v>
      </c>
      <c r="C2383" t="str">
        <f>_xll.BDP("92336LDX Muni","INSURANCE_STATUS")</f>
        <v>#N/A Requesting Data...</v>
      </c>
      <c r="D2383" t="str">
        <f>_xll.BDP("92336LDX Muni","STATE_CODE")</f>
        <v>#N/A Requesting Data...</v>
      </c>
      <c r="E2383" t="str">
        <f>_xll.BDP("92336LDX Muni","COUNTY_LOCATION_ISSUER")</f>
        <v>#N/A Requesting Data...</v>
      </c>
      <c r="F2383" t="str">
        <f>_xll.BDP("92336LDX Muni","DUR_ADJ_MID")</f>
        <v>#N/A Requesting Data...</v>
      </c>
      <c r="G2383" t="str">
        <f>_xll.BDP("92336LDX Muni","SPREAD_AT_ISSUANCE_TO_WORST")</f>
        <v>#N/A Requesting Data...</v>
      </c>
      <c r="H2383" t="str">
        <f>_xll.BDP("92336LDX Muni","ISSUE_DT")</f>
        <v>#N/A Requesting Data...</v>
      </c>
      <c r="I2383" t="str">
        <f>_xll.BDS("92336LDX Muni","MUNI_PURPOSE_SCHED", "aggregate=y")</f>
        <v>#N/A Requesting Data...</v>
      </c>
      <c r="J2383" t="str">
        <f>_xll.BDP("92336LDX Muni","CPN")</f>
        <v>#N/A Requesting Data...</v>
      </c>
      <c r="K2383" t="str">
        <f>_xll.BDP("92336LDX Muni","MATURITY")</f>
        <v>#N/A Requesting Data...</v>
      </c>
      <c r="L2383">
        <v>100000</v>
      </c>
      <c r="M2383" t="str">
        <f>_xll.BDP("92336LDX Muni","YIELD_ON_ISSUE_DATE")</f>
        <v>#N/A Requesting Data...</v>
      </c>
      <c r="N2383" t="str">
        <f>_xll.BDP("92336LDX Muni","YTW_SPREAD_TO_MATURITY_AT_ISSU")</f>
        <v>#N/A Requesting Data...</v>
      </c>
      <c r="O2383" t="str">
        <f>_xll.BDP("92336LDX Muni","BVAL_MID_YTM")</f>
        <v>#N/A Requesting Data...</v>
      </c>
      <c r="P2383" t="str">
        <f>_xll.BDP("92336LDX Muni","MUNI_TAX_PROV")</f>
        <v>#N/A Requesting Data...</v>
      </c>
      <c r="Q2383" t="str">
        <f>_xll.BDP("92336LDX Muni","MUNI_FED_TAX")</f>
        <v>#N/A Requesting Data...</v>
      </c>
      <c r="R2383" t="str">
        <f>_xll.BDP("92336LDX Muni","MUNI_MSRB_VOLUME")</f>
        <v>#N/A Requesting Data...</v>
      </c>
      <c r="S2383" t="str">
        <f>_xll.BDP("92336LDX Muni","BB_COMPOSITE")</f>
        <v>#N/A Requesting Data...</v>
      </c>
      <c r="T2383" t="str">
        <f>_xll.BDP("92336LDX Muni","LQA_LIQUIDITY_SCORE")</f>
        <v>#N/A Requesting Data...</v>
      </c>
    </row>
    <row r="2384" spans="1:20" x14ac:dyDescent="0.25">
      <c r="A2384" t="str">
        <f>_xll.BDP("92336LDY Muni","ID_CUSIP")</f>
        <v>#N/A Requesting Data...</v>
      </c>
      <c r="B2384" t="s">
        <v>561</v>
      </c>
      <c r="C2384" t="str">
        <f>_xll.BDP("92336LDY Muni","INSURANCE_STATUS")</f>
        <v>#N/A Requesting Data...</v>
      </c>
      <c r="D2384" t="str">
        <f>_xll.BDP("92336LDY Muni","STATE_CODE")</f>
        <v>#N/A Requesting Data...</v>
      </c>
      <c r="E2384" t="str">
        <f>_xll.BDP("92336LDY Muni","COUNTY_LOCATION_ISSUER")</f>
        <v>#N/A Requesting Data...</v>
      </c>
      <c r="F2384" t="str">
        <f>_xll.BDP("92336LDY Muni","DUR_ADJ_MID")</f>
        <v>#N/A Requesting Data...</v>
      </c>
      <c r="G2384" t="str">
        <f>_xll.BDP("92336LDY Muni","SPREAD_AT_ISSUANCE_TO_WORST")</f>
        <v>#N/A Requesting Data...</v>
      </c>
      <c r="H2384" t="str">
        <f>_xll.BDP("92336LDY Muni","ISSUE_DT")</f>
        <v>#N/A Requesting Data...</v>
      </c>
      <c r="I2384" t="str">
        <f>_xll.BDS("92336LDY Muni","MUNI_PURPOSE_SCHED", "aggregate=y")</f>
        <v>#N/A Requesting Data...</v>
      </c>
      <c r="J2384" t="str">
        <f>_xll.BDP("92336LDY Muni","CPN")</f>
        <v>#N/A Requesting Data...</v>
      </c>
      <c r="K2384" t="str">
        <f>_xll.BDP("92336LDY Muni","MATURITY")</f>
        <v>#N/A Requesting Data...</v>
      </c>
      <c r="L2384">
        <v>100000</v>
      </c>
      <c r="M2384" t="str">
        <f>_xll.BDP("92336LDY Muni","YIELD_ON_ISSUE_DATE")</f>
        <v>#N/A Requesting Data...</v>
      </c>
      <c r="N2384" t="str">
        <f>_xll.BDP("92336LDY Muni","YTW_SPREAD_TO_MATURITY_AT_ISSU")</f>
        <v>#N/A Requesting Data...</v>
      </c>
      <c r="O2384" t="str">
        <f>_xll.BDP("92336LDY Muni","BVAL_MID_YTM")</f>
        <v>#N/A Requesting Data...</v>
      </c>
      <c r="P2384" t="str">
        <f>_xll.BDP("92336LDY Muni","MUNI_TAX_PROV")</f>
        <v>#N/A Requesting Data...</v>
      </c>
      <c r="Q2384" t="str">
        <f>_xll.BDP("92336LDY Muni","MUNI_FED_TAX")</f>
        <v>#N/A Requesting Data...</v>
      </c>
      <c r="R2384" t="str">
        <f>_xll.BDP("92336LDY Muni","MUNI_MSRB_VOLUME")</f>
        <v>#N/A Requesting Data...</v>
      </c>
      <c r="S2384" t="str">
        <f>_xll.BDP("92336LDY Muni","BB_COMPOSITE")</f>
        <v>#N/A Requesting Data...</v>
      </c>
      <c r="T2384" t="str">
        <f>_xll.BDP("92336LDY Muni","LQA_LIQUIDITY_SCORE")</f>
        <v>#N/A Requesting Data...</v>
      </c>
    </row>
    <row r="2385" spans="1:20" x14ac:dyDescent="0.25">
      <c r="A2385" t="str">
        <f>_xll.BDP("92336LDZ Muni","ID_CUSIP")</f>
        <v>#N/A Requesting Data...</v>
      </c>
      <c r="B2385" t="s">
        <v>561</v>
      </c>
      <c r="C2385" t="str">
        <f>_xll.BDP("92336LDZ Muni","INSURANCE_STATUS")</f>
        <v>#N/A Requesting Data...</v>
      </c>
      <c r="D2385" t="str">
        <f>_xll.BDP("92336LDZ Muni","STATE_CODE")</f>
        <v>#N/A Requesting Data...</v>
      </c>
      <c r="E2385" t="str">
        <f>_xll.BDP("92336LDZ Muni","COUNTY_LOCATION_ISSUER")</f>
        <v>#N/A Requesting Data...</v>
      </c>
      <c r="F2385" t="str">
        <f>_xll.BDP("92336LDZ Muni","DUR_ADJ_MID")</f>
        <v>#N/A Requesting Data...</v>
      </c>
      <c r="G2385" t="str">
        <f>_xll.BDP("92336LDZ Muni","SPREAD_AT_ISSUANCE_TO_WORST")</f>
        <v>#N/A Requesting Data...</v>
      </c>
      <c r="H2385" t="str">
        <f>_xll.BDP("92336LDZ Muni","ISSUE_DT")</f>
        <v>#N/A Requesting Data...</v>
      </c>
      <c r="I2385" t="str">
        <f>_xll.BDS("92336LDZ Muni","MUNI_PURPOSE_SCHED", "aggregate=y")</f>
        <v>#N/A Requesting Data...</v>
      </c>
      <c r="J2385" t="str">
        <f>_xll.BDP("92336LDZ Muni","CPN")</f>
        <v>#N/A Requesting Data...</v>
      </c>
      <c r="K2385" t="str">
        <f>_xll.BDP("92336LDZ Muni","MATURITY")</f>
        <v>#N/A Requesting Data...</v>
      </c>
      <c r="L2385">
        <v>105000</v>
      </c>
      <c r="M2385" t="str">
        <f>_xll.BDP("92336LDZ Muni","YIELD_ON_ISSUE_DATE")</f>
        <v>#N/A Requesting Data...</v>
      </c>
      <c r="N2385" t="str">
        <f>_xll.BDP("92336LDZ Muni","YTW_SPREAD_TO_MATURITY_AT_ISSU")</f>
        <v>#N/A Requesting Data...</v>
      </c>
      <c r="O2385" t="str">
        <f>_xll.BDP("92336LDZ Muni","BVAL_MID_YTM")</f>
        <v>#N/A Requesting Data...</v>
      </c>
      <c r="P2385" t="str">
        <f>_xll.BDP("92336LDZ Muni","MUNI_TAX_PROV")</f>
        <v>#N/A Requesting Data...</v>
      </c>
      <c r="Q2385" t="str">
        <f>_xll.BDP("92336LDZ Muni","MUNI_FED_TAX")</f>
        <v>#N/A Requesting Data...</v>
      </c>
      <c r="R2385" t="str">
        <f>_xll.BDP("92336LDZ Muni","MUNI_MSRB_VOLUME")</f>
        <v>#N/A Requesting Data...</v>
      </c>
      <c r="S2385" t="str">
        <f>_xll.BDP("92336LDZ Muni","BB_COMPOSITE")</f>
        <v>#N/A Requesting Data...</v>
      </c>
      <c r="T2385" t="str">
        <f>_xll.BDP("92336LDZ Muni","LQA_LIQUIDITY_SCORE")</f>
        <v>#N/A Requesting Data...</v>
      </c>
    </row>
    <row r="2386" spans="1:20" x14ac:dyDescent="0.25">
      <c r="A2386" t="str">
        <f>_xll.BDP("92336LEA Muni","ID_CUSIP")</f>
        <v>#N/A Requesting Data...</v>
      </c>
      <c r="B2386" t="s">
        <v>561</v>
      </c>
      <c r="C2386" t="str">
        <f>_xll.BDP("92336LEA Muni","INSURANCE_STATUS")</f>
        <v>#N/A Requesting Data...</v>
      </c>
      <c r="D2386" t="str">
        <f>_xll.BDP("92336LEA Muni","STATE_CODE")</f>
        <v>#N/A Requesting Data...</v>
      </c>
      <c r="E2386" t="str">
        <f>_xll.BDP("92336LEA Muni","COUNTY_LOCATION_ISSUER")</f>
        <v>#N/A Requesting Data...</v>
      </c>
      <c r="F2386" t="str">
        <f>_xll.BDP("92336LEA Muni","DUR_ADJ_MID")</f>
        <v>#N/A Requesting Data...</v>
      </c>
      <c r="G2386" t="str">
        <f>_xll.BDP("92336LEA Muni","SPREAD_AT_ISSUANCE_TO_WORST")</f>
        <v>#N/A Requesting Data...</v>
      </c>
      <c r="H2386" t="str">
        <f>_xll.BDP("92336LEA Muni","ISSUE_DT")</f>
        <v>#N/A Requesting Data...</v>
      </c>
      <c r="I2386" t="str">
        <f>_xll.BDS("92336LEA Muni","MUNI_PURPOSE_SCHED", "aggregate=y")</f>
        <v>#N/A Requesting Data...</v>
      </c>
      <c r="J2386" t="str">
        <f>_xll.BDP("92336LEA Muni","CPN")</f>
        <v>#N/A Requesting Data...</v>
      </c>
      <c r="K2386" t="str">
        <f>_xll.BDP("92336LEA Muni","MATURITY")</f>
        <v>#N/A Requesting Data...</v>
      </c>
      <c r="L2386">
        <v>105000</v>
      </c>
      <c r="M2386" t="str">
        <f>_xll.BDP("92336LEA Muni","YIELD_ON_ISSUE_DATE")</f>
        <v>#N/A Requesting Data...</v>
      </c>
      <c r="N2386" t="str">
        <f>_xll.BDP("92336LEA Muni","YTW_SPREAD_TO_MATURITY_AT_ISSU")</f>
        <v>#N/A Requesting Data...</v>
      </c>
      <c r="O2386" t="str">
        <f>_xll.BDP("92336LEA Muni","BVAL_MID_YTM")</f>
        <v>#N/A Requesting Data...</v>
      </c>
      <c r="P2386" t="str">
        <f>_xll.BDP("92336LEA Muni","MUNI_TAX_PROV")</f>
        <v>#N/A Requesting Data...</v>
      </c>
      <c r="Q2386" t="str">
        <f>_xll.BDP("92336LEA Muni","MUNI_FED_TAX")</f>
        <v>#N/A Requesting Data...</v>
      </c>
      <c r="R2386" t="str">
        <f>_xll.BDP("92336LEA Muni","MUNI_MSRB_VOLUME")</f>
        <v>#N/A Requesting Data...</v>
      </c>
      <c r="S2386" t="str">
        <f>_xll.BDP("92336LEA Muni","BB_COMPOSITE")</f>
        <v>#N/A Requesting Data...</v>
      </c>
      <c r="T2386" t="str">
        <f>_xll.BDP("92336LEA Muni","LQA_LIQUIDITY_SCORE")</f>
        <v>#N/A Requesting Data...</v>
      </c>
    </row>
    <row r="2387" spans="1:20" x14ac:dyDescent="0.25">
      <c r="A2387" t="str">
        <f>_xll.BDP("92336LEB Muni","ID_CUSIP")</f>
        <v>#N/A Requesting Data...</v>
      </c>
      <c r="B2387" t="s">
        <v>561</v>
      </c>
      <c r="C2387" t="str">
        <f>_xll.BDP("92336LEB Muni","INSURANCE_STATUS")</f>
        <v>#N/A Requesting Data...</v>
      </c>
      <c r="D2387" t="str">
        <f>_xll.BDP("92336LEB Muni","STATE_CODE")</f>
        <v>#N/A Requesting Data...</v>
      </c>
      <c r="E2387" t="str">
        <f>_xll.BDP("92336LEB Muni","COUNTY_LOCATION_ISSUER")</f>
        <v>#N/A Requesting Data...</v>
      </c>
      <c r="F2387" t="str">
        <f>_xll.BDP("92336LEB Muni","DUR_ADJ_MID")</f>
        <v>#N/A Requesting Data...</v>
      </c>
      <c r="G2387" t="str">
        <f>_xll.BDP("92336LEB Muni","SPREAD_AT_ISSUANCE_TO_WORST")</f>
        <v>#N/A Requesting Data...</v>
      </c>
      <c r="H2387" t="str">
        <f>_xll.BDP("92336LEB Muni","ISSUE_DT")</f>
        <v>#N/A Requesting Data...</v>
      </c>
      <c r="I2387" t="str">
        <f>_xll.BDS("92336LEB Muni","MUNI_PURPOSE_SCHED", "aggregate=y")</f>
        <v>#N/A Requesting Data...</v>
      </c>
      <c r="J2387" t="str">
        <f>_xll.BDP("92336LEB Muni","CPN")</f>
        <v>#N/A Requesting Data...</v>
      </c>
      <c r="K2387" t="str">
        <f>_xll.BDP("92336LEB Muni","MATURITY")</f>
        <v>#N/A Requesting Data...</v>
      </c>
      <c r="L2387">
        <v>115000</v>
      </c>
      <c r="M2387" t="str">
        <f>_xll.BDP("92336LEB Muni","YIELD_ON_ISSUE_DATE")</f>
        <v>#N/A Requesting Data...</v>
      </c>
      <c r="N2387" t="str">
        <f>_xll.BDP("92336LEB Muni","YTW_SPREAD_TO_MATURITY_AT_ISSU")</f>
        <v>#N/A Requesting Data...</v>
      </c>
      <c r="O2387" t="str">
        <f>_xll.BDP("92336LEB Muni","BVAL_MID_YTM")</f>
        <v>#N/A Requesting Data...</v>
      </c>
      <c r="P2387" t="str">
        <f>_xll.BDP("92336LEB Muni","MUNI_TAX_PROV")</f>
        <v>#N/A Requesting Data...</v>
      </c>
      <c r="Q2387" t="str">
        <f>_xll.BDP("92336LEB Muni","MUNI_FED_TAX")</f>
        <v>#N/A Requesting Data...</v>
      </c>
      <c r="R2387" t="str">
        <f>_xll.BDP("92336LEB Muni","MUNI_MSRB_VOLUME")</f>
        <v>#N/A Requesting Data...</v>
      </c>
      <c r="S2387" t="str">
        <f>_xll.BDP("92336LEB Muni","BB_COMPOSITE")</f>
        <v>#N/A Requesting Data...</v>
      </c>
      <c r="T2387" t="str">
        <f>_xll.BDP("92336LEB Muni","LQA_LIQUIDITY_SCORE")</f>
        <v>#N/A Requesting Data...</v>
      </c>
    </row>
    <row r="2388" spans="1:20" x14ac:dyDescent="0.25">
      <c r="A2388" t="str">
        <f>_xll.BDP("818154AH Muni","ID_CUSIP")</f>
        <v>#N/A Requesting Data...</v>
      </c>
      <c r="B2388" t="s">
        <v>562</v>
      </c>
      <c r="C2388" t="str">
        <f>_xll.BDP("818154AH Muni","INSURANCE_STATUS")</f>
        <v>#N/A Requesting Data...</v>
      </c>
      <c r="D2388" t="str">
        <f>_xll.BDP("818154AH Muni","STATE_CODE")</f>
        <v>#N/A Requesting Data...</v>
      </c>
      <c r="E2388" t="str">
        <f>_xll.BDP("818154AH Muni","COUNTY_LOCATION_ISSUER")</f>
        <v>#N/A Requesting Data...</v>
      </c>
      <c r="F2388" t="str">
        <f>_xll.BDP("818154AH Muni","DUR_ADJ_MID")</f>
        <v>#N/A Requesting Data...</v>
      </c>
      <c r="G2388" t="str">
        <f>_xll.BDP("818154AH Muni","SPREAD_AT_ISSUANCE_TO_WORST")</f>
        <v>#N/A Requesting Data...</v>
      </c>
      <c r="H2388" t="str">
        <f>_xll.BDP("818154AH Muni","ISSUE_DT")</f>
        <v>#N/A Requesting Data...</v>
      </c>
      <c r="I2388" t="str">
        <f>_xll.BDS("818154AH Muni","MUNI_PURPOSE_SCHED", "aggregate=y")</f>
        <v>#N/A Requesting Data...</v>
      </c>
      <c r="J2388" t="str">
        <f>_xll.BDP("818154AH Muni","CPN")</f>
        <v>#N/A Requesting Data...</v>
      </c>
      <c r="K2388" t="str">
        <f>_xll.BDP("818154AH Muni","MATURITY")</f>
        <v>#N/A Requesting Data...</v>
      </c>
      <c r="L2388">
        <v>50000</v>
      </c>
      <c r="M2388" t="str">
        <f>_xll.BDP("818154AH Muni","YIELD_ON_ISSUE_DATE")</f>
        <v>#N/A Requesting Data...</v>
      </c>
      <c r="N2388" t="str">
        <f>_xll.BDP("818154AH Muni","YTW_SPREAD_TO_MATURITY_AT_ISSU")</f>
        <v>#N/A Requesting Data...</v>
      </c>
      <c r="O2388" t="str">
        <f>_xll.BDP("818154AH Muni","BVAL_MID_YTM")</f>
        <v>#N/A Requesting Data...</v>
      </c>
      <c r="P2388" t="str">
        <f>_xll.BDP("818154AH Muni","MUNI_TAX_PROV")</f>
        <v>#N/A Requesting Data...</v>
      </c>
      <c r="Q2388" t="str">
        <f>_xll.BDP("818154AH Muni","MUNI_FED_TAX")</f>
        <v>#N/A Requesting Data...</v>
      </c>
      <c r="R2388" t="str">
        <f>_xll.BDP("818154AH Muni","MUNI_MSRB_VOLUME")</f>
        <v>#N/A Requesting Data...</v>
      </c>
      <c r="S2388" t="str">
        <f>_xll.BDP("818154AH Muni","BB_COMPOSITE")</f>
        <v>#N/A Requesting Data...</v>
      </c>
      <c r="T2388" t="str">
        <f>_xll.BDP("818154AH Muni","LQA_LIQUIDITY_SCORE")</f>
        <v>#N/A Requesting Data...</v>
      </c>
    </row>
    <row r="2389" spans="1:20" x14ac:dyDescent="0.25">
      <c r="A2389" t="str">
        <f>_xll.BDP("818154AJ Muni","ID_CUSIP")</f>
        <v>#N/A Requesting Data...</v>
      </c>
      <c r="B2389" t="s">
        <v>562</v>
      </c>
      <c r="C2389" t="str">
        <f>_xll.BDP("818154AJ Muni","INSURANCE_STATUS")</f>
        <v>#N/A Requesting Data...</v>
      </c>
      <c r="D2389" t="str">
        <f>_xll.BDP("818154AJ Muni","STATE_CODE")</f>
        <v>#N/A Requesting Data...</v>
      </c>
      <c r="E2389" t="str">
        <f>_xll.BDP("818154AJ Muni","COUNTY_LOCATION_ISSUER")</f>
        <v>#N/A Requesting Data...</v>
      </c>
      <c r="F2389" t="str">
        <f>_xll.BDP("818154AJ Muni","DUR_ADJ_MID")</f>
        <v>#N/A Requesting Data...</v>
      </c>
      <c r="G2389" t="str">
        <f>_xll.BDP("818154AJ Muni","SPREAD_AT_ISSUANCE_TO_WORST")</f>
        <v>#N/A Requesting Data...</v>
      </c>
      <c r="H2389" t="str">
        <f>_xll.BDP("818154AJ Muni","ISSUE_DT")</f>
        <v>#N/A Requesting Data...</v>
      </c>
      <c r="I2389" t="str">
        <f>_xll.BDS("818154AJ Muni","MUNI_PURPOSE_SCHED", "aggregate=y")</f>
        <v>#N/A Requesting Data...</v>
      </c>
      <c r="J2389" t="str">
        <f>_xll.BDP("818154AJ Muni","CPN")</f>
        <v>#N/A Requesting Data...</v>
      </c>
      <c r="K2389" t="str">
        <f>_xll.BDP("818154AJ Muni","MATURITY")</f>
        <v>#N/A Requesting Data...</v>
      </c>
      <c r="L2389">
        <v>50000</v>
      </c>
      <c r="M2389" t="str">
        <f>_xll.BDP("818154AJ Muni","YIELD_ON_ISSUE_DATE")</f>
        <v>#N/A Requesting Data...</v>
      </c>
      <c r="N2389" t="str">
        <f>_xll.BDP("818154AJ Muni","YTW_SPREAD_TO_MATURITY_AT_ISSU")</f>
        <v>#N/A Requesting Data...</v>
      </c>
      <c r="O2389" t="str">
        <f>_xll.BDP("818154AJ Muni","BVAL_MID_YTM")</f>
        <v>#N/A Requesting Data...</v>
      </c>
      <c r="P2389" t="str">
        <f>_xll.BDP("818154AJ Muni","MUNI_TAX_PROV")</f>
        <v>#N/A Requesting Data...</v>
      </c>
      <c r="Q2389" t="str">
        <f>_xll.BDP("818154AJ Muni","MUNI_FED_TAX")</f>
        <v>#N/A Requesting Data...</v>
      </c>
      <c r="R2389" t="str">
        <f>_xll.BDP("818154AJ Muni","MUNI_MSRB_VOLUME")</f>
        <v>#N/A Requesting Data...</v>
      </c>
      <c r="S2389" t="str">
        <f>_xll.BDP("818154AJ Muni","BB_COMPOSITE")</f>
        <v>#N/A Requesting Data...</v>
      </c>
      <c r="T2389" t="str">
        <f>_xll.BDP("818154AJ Muni","LQA_LIQUIDITY_SCORE")</f>
        <v>#N/A Requesting Data...</v>
      </c>
    </row>
    <row r="2390" spans="1:20" x14ac:dyDescent="0.25">
      <c r="A2390" t="str">
        <f>_xll.BDP("818154AK Muni","ID_CUSIP")</f>
        <v>#N/A Requesting Data...</v>
      </c>
      <c r="B2390" t="s">
        <v>562</v>
      </c>
      <c r="C2390" t="str">
        <f>_xll.BDP("818154AK Muni","INSURANCE_STATUS")</f>
        <v>#N/A Requesting Data...</v>
      </c>
      <c r="D2390" t="str">
        <f>_xll.BDP("818154AK Muni","STATE_CODE")</f>
        <v>#N/A Requesting Data...</v>
      </c>
      <c r="E2390" t="str">
        <f>_xll.BDP("818154AK Muni","COUNTY_LOCATION_ISSUER")</f>
        <v>#N/A Requesting Data...</v>
      </c>
      <c r="F2390" t="str">
        <f>_xll.BDP("818154AK Muni","DUR_ADJ_MID")</f>
        <v>#N/A Requesting Data...</v>
      </c>
      <c r="G2390" t="str">
        <f>_xll.BDP("818154AK Muni","SPREAD_AT_ISSUANCE_TO_WORST")</f>
        <v>#N/A Requesting Data...</v>
      </c>
      <c r="H2390" t="str">
        <f>_xll.BDP("818154AK Muni","ISSUE_DT")</f>
        <v>#N/A Requesting Data...</v>
      </c>
      <c r="I2390" t="str">
        <f>_xll.BDS("818154AK Muni","MUNI_PURPOSE_SCHED", "aggregate=y")</f>
        <v>#N/A Requesting Data...</v>
      </c>
      <c r="J2390" t="str">
        <f>_xll.BDP("818154AK Muni","CPN")</f>
        <v>#N/A Requesting Data...</v>
      </c>
      <c r="K2390" t="str">
        <f>_xll.BDP("818154AK Muni","MATURITY")</f>
        <v>#N/A Requesting Data...</v>
      </c>
      <c r="L2390">
        <v>55000</v>
      </c>
      <c r="M2390" t="str">
        <f>_xll.BDP("818154AK Muni","YIELD_ON_ISSUE_DATE")</f>
        <v>#N/A Requesting Data...</v>
      </c>
      <c r="N2390" t="str">
        <f>_xll.BDP("818154AK Muni","YTW_SPREAD_TO_MATURITY_AT_ISSU")</f>
        <v>#N/A Requesting Data...</v>
      </c>
      <c r="O2390" t="str">
        <f>_xll.BDP("818154AK Muni","BVAL_MID_YTM")</f>
        <v>#N/A Requesting Data...</v>
      </c>
      <c r="P2390" t="str">
        <f>_xll.BDP("818154AK Muni","MUNI_TAX_PROV")</f>
        <v>#N/A Requesting Data...</v>
      </c>
      <c r="Q2390" t="str">
        <f>_xll.BDP("818154AK Muni","MUNI_FED_TAX")</f>
        <v>#N/A Requesting Data...</v>
      </c>
      <c r="R2390" t="str">
        <f>_xll.BDP("818154AK Muni","MUNI_MSRB_VOLUME")</f>
        <v>#N/A Requesting Data...</v>
      </c>
      <c r="S2390" t="str">
        <f>_xll.BDP("818154AK Muni","BB_COMPOSITE")</f>
        <v>#N/A Requesting Data...</v>
      </c>
      <c r="T2390" t="str">
        <f>_xll.BDP("818154AK Muni","LQA_LIQUIDITY_SCORE")</f>
        <v>#N/A Requesting Data...</v>
      </c>
    </row>
    <row r="2391" spans="1:20" x14ac:dyDescent="0.25">
      <c r="A2391" t="str">
        <f>_xll.BDP("821016AE Muni","ID_CUSIP")</f>
        <v>#N/A Requesting Data...</v>
      </c>
      <c r="B2391" t="s">
        <v>563</v>
      </c>
      <c r="C2391" t="str">
        <f>_xll.BDP("821016AE Muni","INSURANCE_STATUS")</f>
        <v>#N/A Requesting Data...</v>
      </c>
      <c r="D2391" t="str">
        <f>_xll.BDP("821016AE Muni","STATE_CODE")</f>
        <v>#N/A Requesting Data...</v>
      </c>
      <c r="E2391" t="str">
        <f>_xll.BDP("821016AE Muni","COUNTY_LOCATION_ISSUER")</f>
        <v>#N/A Requesting Data...</v>
      </c>
      <c r="F2391" t="str">
        <f>_xll.BDP("821016AE Muni","DUR_ADJ_MID")</f>
        <v>#N/A Requesting Data...</v>
      </c>
      <c r="G2391" t="str">
        <f>_xll.BDP("821016AE Muni","SPREAD_AT_ISSUANCE_TO_WORST")</f>
        <v>#N/A Requesting Data...</v>
      </c>
      <c r="H2391" t="str">
        <f>_xll.BDP("821016AE Muni","ISSUE_DT")</f>
        <v>#N/A Requesting Data...</v>
      </c>
      <c r="I2391" t="str">
        <f>_xll.BDS("821016AE Muni","MUNI_PURPOSE_SCHED", "aggregate=y")</f>
        <v>#N/A Requesting Data...</v>
      </c>
      <c r="J2391" t="str">
        <f>_xll.BDP("821016AE Muni","CPN")</f>
        <v>#N/A Requesting Data...</v>
      </c>
      <c r="K2391" t="str">
        <f>_xll.BDP("821016AE Muni","MATURITY")</f>
        <v>#N/A Requesting Data...</v>
      </c>
      <c r="L2391">
        <v>100000</v>
      </c>
      <c r="M2391" t="str">
        <f>_xll.BDP("821016AE Muni","YIELD_ON_ISSUE_DATE")</f>
        <v>#N/A Requesting Data...</v>
      </c>
      <c r="N2391" t="str">
        <f>_xll.BDP("821016AE Muni","YTW_SPREAD_TO_MATURITY_AT_ISSU")</f>
        <v>#N/A Requesting Data...</v>
      </c>
      <c r="O2391" t="str">
        <f>_xll.BDP("821016AE Muni","BVAL_MID_YTM")</f>
        <v>#N/A Requesting Data...</v>
      </c>
      <c r="P2391" t="str">
        <f>_xll.BDP("821016AE Muni","MUNI_TAX_PROV")</f>
        <v>#N/A Requesting Data...</v>
      </c>
      <c r="Q2391" t="str">
        <f>_xll.BDP("821016AE Muni","MUNI_FED_TAX")</f>
        <v>#N/A Requesting Data...</v>
      </c>
      <c r="R2391" t="str">
        <f>_xll.BDP("821016AE Muni","MUNI_MSRB_VOLUME")</f>
        <v>#N/A Requesting Data...</v>
      </c>
      <c r="S2391" t="str">
        <f>_xll.BDP("821016AE Muni","BB_COMPOSITE")</f>
        <v>#N/A Requesting Data...</v>
      </c>
      <c r="T2391" t="str">
        <f>_xll.BDP("821016AE Muni","LQA_LIQUIDITY_SCORE")</f>
        <v>#N/A Requesting Data...</v>
      </c>
    </row>
    <row r="2392" spans="1:20" x14ac:dyDescent="0.25">
      <c r="A2392" t="str">
        <f>_xll.BDP("821016AF Muni","ID_CUSIP")</f>
        <v>#N/A Requesting Data...</v>
      </c>
      <c r="B2392" t="s">
        <v>563</v>
      </c>
      <c r="C2392" t="str">
        <f>_xll.BDP("821016AF Muni","INSURANCE_STATUS")</f>
        <v>#N/A Requesting Data...</v>
      </c>
      <c r="D2392" t="str">
        <f>_xll.BDP("821016AF Muni","STATE_CODE")</f>
        <v>#N/A Requesting Data...</v>
      </c>
      <c r="E2392" t="str">
        <f>_xll.BDP("821016AF Muni","COUNTY_LOCATION_ISSUER")</f>
        <v>#N/A Requesting Data...</v>
      </c>
      <c r="F2392" t="str">
        <f>_xll.BDP("821016AF Muni","DUR_ADJ_MID")</f>
        <v>#N/A Requesting Data...</v>
      </c>
      <c r="G2392" t="str">
        <f>_xll.BDP("821016AF Muni","SPREAD_AT_ISSUANCE_TO_WORST")</f>
        <v>#N/A Requesting Data...</v>
      </c>
      <c r="H2392" t="str">
        <f>_xll.BDP("821016AF Muni","ISSUE_DT")</f>
        <v>#N/A Requesting Data...</v>
      </c>
      <c r="I2392" t="str">
        <f>_xll.BDS("821016AF Muni","MUNI_PURPOSE_SCHED", "aggregate=y")</f>
        <v>#N/A Requesting Data...</v>
      </c>
      <c r="J2392" t="str">
        <f>_xll.BDP("821016AF Muni","CPN")</f>
        <v>#N/A Requesting Data...</v>
      </c>
      <c r="K2392" t="str">
        <f>_xll.BDP("821016AF Muni","MATURITY")</f>
        <v>#N/A Requesting Data...</v>
      </c>
      <c r="L2392">
        <v>105000</v>
      </c>
      <c r="M2392" t="str">
        <f>_xll.BDP("821016AF Muni","YIELD_ON_ISSUE_DATE")</f>
        <v>#N/A Requesting Data...</v>
      </c>
      <c r="N2392" t="str">
        <f>_xll.BDP("821016AF Muni","YTW_SPREAD_TO_MATURITY_AT_ISSU")</f>
        <v>#N/A Requesting Data...</v>
      </c>
      <c r="O2392" t="str">
        <f>_xll.BDP("821016AF Muni","BVAL_MID_YTM")</f>
        <v>#N/A Requesting Data...</v>
      </c>
      <c r="P2392" t="str">
        <f>_xll.BDP("821016AF Muni","MUNI_TAX_PROV")</f>
        <v>#N/A Requesting Data...</v>
      </c>
      <c r="Q2392" t="str">
        <f>_xll.BDP("821016AF Muni","MUNI_FED_TAX")</f>
        <v>#N/A Requesting Data...</v>
      </c>
      <c r="R2392" t="str">
        <f>_xll.BDP("821016AF Muni","MUNI_MSRB_VOLUME")</f>
        <v>#N/A Requesting Data...</v>
      </c>
      <c r="S2392" t="str">
        <f>_xll.BDP("821016AF Muni","BB_COMPOSITE")</f>
        <v>#N/A Requesting Data...</v>
      </c>
      <c r="T2392" t="str">
        <f>_xll.BDP("821016AF Muni","LQA_LIQUIDITY_SCORE")</f>
        <v>#N/A Requesting Data...</v>
      </c>
    </row>
    <row r="2393" spans="1:20" x14ac:dyDescent="0.25">
      <c r="A2393" t="str">
        <f>_xll.BDP("821016AG Muni","ID_CUSIP")</f>
        <v>#N/A Requesting Data...</v>
      </c>
      <c r="B2393" t="s">
        <v>563</v>
      </c>
      <c r="C2393" t="str">
        <f>_xll.BDP("821016AG Muni","INSURANCE_STATUS")</f>
        <v>#N/A Requesting Data...</v>
      </c>
      <c r="D2393" t="str">
        <f>_xll.BDP("821016AG Muni","STATE_CODE")</f>
        <v>#N/A Requesting Data...</v>
      </c>
      <c r="E2393" t="str">
        <f>_xll.BDP("821016AG Muni","COUNTY_LOCATION_ISSUER")</f>
        <v>#N/A Requesting Data...</v>
      </c>
      <c r="F2393" t="str">
        <f>_xll.BDP("821016AG Muni","DUR_ADJ_MID")</f>
        <v>#N/A Requesting Data...</v>
      </c>
      <c r="G2393" t="str">
        <f>_xll.BDP("821016AG Muni","SPREAD_AT_ISSUANCE_TO_WORST")</f>
        <v>#N/A Requesting Data...</v>
      </c>
      <c r="H2393" t="str">
        <f>_xll.BDP("821016AG Muni","ISSUE_DT")</f>
        <v>#N/A Requesting Data...</v>
      </c>
      <c r="I2393" t="str">
        <f>_xll.BDS("821016AG Muni","MUNI_PURPOSE_SCHED", "aggregate=y")</f>
        <v>#N/A Requesting Data...</v>
      </c>
      <c r="J2393" t="str">
        <f>_xll.BDP("821016AG Muni","CPN")</f>
        <v>#N/A Requesting Data...</v>
      </c>
      <c r="K2393" t="str">
        <f>_xll.BDP("821016AG Muni","MATURITY")</f>
        <v>#N/A Requesting Data...</v>
      </c>
      <c r="L2393">
        <v>110000</v>
      </c>
      <c r="M2393" t="str">
        <f>_xll.BDP("821016AG Muni","YIELD_ON_ISSUE_DATE")</f>
        <v>#N/A Requesting Data...</v>
      </c>
      <c r="N2393" t="str">
        <f>_xll.BDP("821016AG Muni","YTW_SPREAD_TO_MATURITY_AT_ISSU")</f>
        <v>#N/A Requesting Data...</v>
      </c>
      <c r="O2393" t="str">
        <f>_xll.BDP("821016AG Muni","BVAL_MID_YTM")</f>
        <v>#N/A Requesting Data...</v>
      </c>
      <c r="P2393" t="str">
        <f>_xll.BDP("821016AG Muni","MUNI_TAX_PROV")</f>
        <v>#N/A Requesting Data...</v>
      </c>
      <c r="Q2393" t="str">
        <f>_xll.BDP("821016AG Muni","MUNI_FED_TAX")</f>
        <v>#N/A Requesting Data...</v>
      </c>
      <c r="R2393" t="str">
        <f>_xll.BDP("821016AG Muni","MUNI_MSRB_VOLUME")</f>
        <v>#N/A Requesting Data...</v>
      </c>
      <c r="S2393" t="str">
        <f>_xll.BDP("821016AG Muni","BB_COMPOSITE")</f>
        <v>#N/A Requesting Data...</v>
      </c>
      <c r="T2393" t="str">
        <f>_xll.BDP("821016AG Muni","LQA_LIQUIDITY_SCORE")</f>
        <v>#N/A Requesting Data...</v>
      </c>
    </row>
    <row r="2394" spans="1:20" x14ac:dyDescent="0.25">
      <c r="A2394" t="str">
        <f>_xll.BDP("821016AH Muni","ID_CUSIP")</f>
        <v>#N/A Requesting Data...</v>
      </c>
      <c r="B2394" t="s">
        <v>563</v>
      </c>
      <c r="C2394" t="str">
        <f>_xll.BDP("821016AH Muni","INSURANCE_STATUS")</f>
        <v>#N/A Requesting Data...</v>
      </c>
      <c r="D2394" t="str">
        <f>_xll.BDP("821016AH Muni","STATE_CODE")</f>
        <v>#N/A Requesting Data...</v>
      </c>
      <c r="E2394" t="str">
        <f>_xll.BDP("821016AH Muni","COUNTY_LOCATION_ISSUER")</f>
        <v>#N/A Requesting Data...</v>
      </c>
      <c r="F2394" t="str">
        <f>_xll.BDP("821016AH Muni","DUR_ADJ_MID")</f>
        <v>#N/A Requesting Data...</v>
      </c>
      <c r="G2394" t="str">
        <f>_xll.BDP("821016AH Muni","SPREAD_AT_ISSUANCE_TO_WORST")</f>
        <v>#N/A Requesting Data...</v>
      </c>
      <c r="H2394" t="str">
        <f>_xll.BDP("821016AH Muni","ISSUE_DT")</f>
        <v>#N/A Requesting Data...</v>
      </c>
      <c r="I2394" t="str">
        <f>_xll.BDS("821016AH Muni","MUNI_PURPOSE_SCHED", "aggregate=y")</f>
        <v>#N/A Requesting Data...</v>
      </c>
      <c r="J2394" t="str">
        <f>_xll.BDP("821016AH Muni","CPN")</f>
        <v>#N/A Requesting Data...</v>
      </c>
      <c r="K2394" t="str">
        <f>_xll.BDP("821016AH Muni","MATURITY")</f>
        <v>#N/A Requesting Data...</v>
      </c>
      <c r="L2394">
        <v>115000</v>
      </c>
      <c r="M2394" t="str">
        <f>_xll.BDP("821016AH Muni","YIELD_ON_ISSUE_DATE")</f>
        <v>#N/A Requesting Data...</v>
      </c>
      <c r="N2394" t="str">
        <f>_xll.BDP("821016AH Muni","YTW_SPREAD_TO_MATURITY_AT_ISSU")</f>
        <v>#N/A Requesting Data...</v>
      </c>
      <c r="O2394" t="str">
        <f>_xll.BDP("821016AH Muni","BVAL_MID_YTM")</f>
        <v>#N/A Requesting Data...</v>
      </c>
      <c r="P2394" t="str">
        <f>_xll.BDP("821016AH Muni","MUNI_TAX_PROV")</f>
        <v>#N/A Requesting Data...</v>
      </c>
      <c r="Q2394" t="str">
        <f>_xll.BDP("821016AH Muni","MUNI_FED_TAX")</f>
        <v>#N/A Requesting Data...</v>
      </c>
      <c r="R2394" t="str">
        <f>_xll.BDP("821016AH Muni","MUNI_MSRB_VOLUME")</f>
        <v>#N/A Requesting Data...</v>
      </c>
      <c r="S2394" t="str">
        <f>_xll.BDP("821016AH Muni","BB_COMPOSITE")</f>
        <v>#N/A Requesting Data...</v>
      </c>
      <c r="T2394" t="str">
        <f>_xll.BDP("821016AH Muni","LQA_LIQUIDITY_SCORE")</f>
        <v>#N/A Requesting Data...</v>
      </c>
    </row>
    <row r="2395" spans="1:20" x14ac:dyDescent="0.25">
      <c r="A2395" t="str">
        <f>_xll.BDP("821016AJ Muni","ID_CUSIP")</f>
        <v>#N/A Requesting Data...</v>
      </c>
      <c r="B2395" t="s">
        <v>563</v>
      </c>
      <c r="C2395" t="str">
        <f>_xll.BDP("821016AJ Muni","INSURANCE_STATUS")</f>
        <v>#N/A Requesting Data...</v>
      </c>
      <c r="D2395" t="str">
        <f>_xll.BDP("821016AJ Muni","STATE_CODE")</f>
        <v>#N/A Requesting Data...</v>
      </c>
      <c r="E2395" t="str">
        <f>_xll.BDP("821016AJ Muni","COUNTY_LOCATION_ISSUER")</f>
        <v>#N/A Requesting Data...</v>
      </c>
      <c r="F2395" t="str">
        <f>_xll.BDP("821016AJ Muni","DUR_ADJ_MID")</f>
        <v>#N/A Requesting Data...</v>
      </c>
      <c r="G2395" t="str">
        <f>_xll.BDP("821016AJ Muni","SPREAD_AT_ISSUANCE_TO_WORST")</f>
        <v>#N/A Requesting Data...</v>
      </c>
      <c r="H2395" t="str">
        <f>_xll.BDP("821016AJ Muni","ISSUE_DT")</f>
        <v>#N/A Requesting Data...</v>
      </c>
      <c r="I2395" t="str">
        <f>_xll.BDS("821016AJ Muni","MUNI_PURPOSE_SCHED", "aggregate=y")</f>
        <v>#N/A Requesting Data...</v>
      </c>
      <c r="J2395" t="str">
        <f>_xll.BDP("821016AJ Muni","CPN")</f>
        <v>#N/A Requesting Data...</v>
      </c>
      <c r="K2395" t="str">
        <f>_xll.BDP("821016AJ Muni","MATURITY")</f>
        <v>#N/A Requesting Data...</v>
      </c>
      <c r="L2395">
        <v>120000</v>
      </c>
      <c r="M2395" t="str">
        <f>_xll.BDP("821016AJ Muni","YIELD_ON_ISSUE_DATE")</f>
        <v>#N/A Requesting Data...</v>
      </c>
      <c r="N2395" t="str">
        <f>_xll.BDP("821016AJ Muni","YTW_SPREAD_TO_MATURITY_AT_ISSU")</f>
        <v>#N/A Requesting Data...</v>
      </c>
      <c r="O2395" t="str">
        <f>_xll.BDP("821016AJ Muni","BVAL_MID_YTM")</f>
        <v>#N/A Requesting Data...</v>
      </c>
      <c r="P2395" t="str">
        <f>_xll.BDP("821016AJ Muni","MUNI_TAX_PROV")</f>
        <v>#N/A Requesting Data...</v>
      </c>
      <c r="Q2395" t="str">
        <f>_xll.BDP("821016AJ Muni","MUNI_FED_TAX")</f>
        <v>#N/A Requesting Data...</v>
      </c>
      <c r="R2395" t="str">
        <f>_xll.BDP("821016AJ Muni","MUNI_MSRB_VOLUME")</f>
        <v>#N/A Requesting Data...</v>
      </c>
      <c r="S2395" t="str">
        <f>_xll.BDP("821016AJ Muni","BB_COMPOSITE")</f>
        <v>#N/A Requesting Data...</v>
      </c>
      <c r="T2395" t="str">
        <f>_xll.BDP("821016AJ Muni","LQA_LIQUIDITY_SCORE")</f>
        <v>#N/A Requesting Data...</v>
      </c>
    </row>
    <row r="2396" spans="1:20" x14ac:dyDescent="0.25">
      <c r="A2396" t="str">
        <f>_xll.BDP("821037ES Muni","ID_CUSIP")</f>
        <v>#N/A Requesting Data...</v>
      </c>
      <c r="B2396" t="s">
        <v>564</v>
      </c>
      <c r="C2396" t="str">
        <f>_xll.BDP("821037ES Muni","INSURANCE_STATUS")</f>
        <v>#N/A Requesting Data...</v>
      </c>
      <c r="D2396" t="str">
        <f>_xll.BDP("821037ES Muni","STATE_CODE")</f>
        <v>#N/A Requesting Data...</v>
      </c>
      <c r="E2396" t="str">
        <f>_xll.BDP("821037ES Muni","COUNTY_LOCATION_ISSUER")</f>
        <v>#N/A Requesting Data...</v>
      </c>
      <c r="F2396" t="str">
        <f>_xll.BDP("821037ES Muni","DUR_ADJ_MID")</f>
        <v>#N/A Requesting Data...</v>
      </c>
      <c r="G2396" t="str">
        <f>_xll.BDP("821037ES Muni","SPREAD_AT_ISSUANCE_TO_WORST")</f>
        <v>#N/A Requesting Data...</v>
      </c>
      <c r="H2396" t="str">
        <f>_xll.BDP("821037ES Muni","ISSUE_DT")</f>
        <v>#N/A Requesting Data...</v>
      </c>
      <c r="I2396" t="str">
        <f>_xll.BDS("821037ES Muni","MUNI_PURPOSE_SCHED", "aggregate=y")</f>
        <v>#N/A Requesting Data...</v>
      </c>
      <c r="J2396" t="str">
        <f>_xll.BDP("821037ES Muni","CPN")</f>
        <v>#N/A Requesting Data...</v>
      </c>
      <c r="K2396" t="str">
        <f>_xll.BDP("821037ES Muni","MATURITY")</f>
        <v>#N/A Requesting Data...</v>
      </c>
      <c r="L2396">
        <v>350000</v>
      </c>
      <c r="M2396" t="str">
        <f>_xll.BDP("821037ES Muni","YIELD_ON_ISSUE_DATE")</f>
        <v>#N/A Requesting Data...</v>
      </c>
      <c r="N2396" t="str">
        <f>_xll.BDP("821037ES Muni","YTW_SPREAD_TO_MATURITY_AT_ISSU")</f>
        <v>#N/A Requesting Data...</v>
      </c>
      <c r="O2396" t="str">
        <f>_xll.BDP("821037ES Muni","BVAL_MID_YTM")</f>
        <v>#N/A Requesting Data...</v>
      </c>
      <c r="P2396" t="str">
        <f>_xll.BDP("821037ES Muni","MUNI_TAX_PROV")</f>
        <v>#N/A Requesting Data...</v>
      </c>
      <c r="Q2396" t="str">
        <f>_xll.BDP("821037ES Muni","MUNI_FED_TAX")</f>
        <v>#N/A Requesting Data...</v>
      </c>
      <c r="R2396" t="str">
        <f>_xll.BDP("821037ES Muni","MUNI_MSRB_VOLUME")</f>
        <v>#N/A Requesting Data...</v>
      </c>
      <c r="S2396" t="str">
        <f>_xll.BDP("821037ES Muni","BB_COMPOSITE")</f>
        <v>#N/A Requesting Data...</v>
      </c>
      <c r="T2396" t="str">
        <f>_xll.BDP("821037ES Muni","LQA_LIQUIDITY_SCORE")</f>
        <v>#N/A Requesting Data...</v>
      </c>
    </row>
    <row r="2397" spans="1:20" x14ac:dyDescent="0.25">
      <c r="A2397" t="str">
        <f>_xll.BDP("821037ET Muni","ID_CUSIP")</f>
        <v>#N/A Requesting Data...</v>
      </c>
      <c r="B2397" t="s">
        <v>564</v>
      </c>
      <c r="C2397" t="str">
        <f>_xll.BDP("821037ET Muni","INSURANCE_STATUS")</f>
        <v>#N/A Requesting Data...</v>
      </c>
      <c r="D2397" t="str">
        <f>_xll.BDP("821037ET Muni","STATE_CODE")</f>
        <v>#N/A Requesting Data...</v>
      </c>
      <c r="E2397" t="str">
        <f>_xll.BDP("821037ET Muni","COUNTY_LOCATION_ISSUER")</f>
        <v>#N/A Requesting Data...</v>
      </c>
      <c r="F2397" t="str">
        <f>_xll.BDP("821037ET Muni","DUR_ADJ_MID")</f>
        <v>#N/A Requesting Data...</v>
      </c>
      <c r="G2397" t="str">
        <f>_xll.BDP("821037ET Muni","SPREAD_AT_ISSUANCE_TO_WORST")</f>
        <v>#N/A Requesting Data...</v>
      </c>
      <c r="H2397" t="str">
        <f>_xll.BDP("821037ET Muni","ISSUE_DT")</f>
        <v>#N/A Requesting Data...</v>
      </c>
      <c r="I2397" t="str">
        <f>_xll.BDS("821037ET Muni","MUNI_PURPOSE_SCHED", "aggregate=y")</f>
        <v>#N/A Requesting Data...</v>
      </c>
      <c r="J2397" t="str">
        <f>_xll.BDP("821037ET Muni","CPN")</f>
        <v>#N/A Requesting Data...</v>
      </c>
      <c r="K2397" t="str">
        <f>_xll.BDP("821037ET Muni","MATURITY")</f>
        <v>#N/A Requesting Data...</v>
      </c>
      <c r="L2397">
        <v>350000</v>
      </c>
      <c r="M2397" t="str">
        <f>_xll.BDP("821037ET Muni","YIELD_ON_ISSUE_DATE")</f>
        <v>#N/A Requesting Data...</v>
      </c>
      <c r="N2397" t="str">
        <f>_xll.BDP("821037ET Muni","YTW_SPREAD_TO_MATURITY_AT_ISSU")</f>
        <v>#N/A Requesting Data...</v>
      </c>
      <c r="O2397" t="str">
        <f>_xll.BDP("821037ET Muni","BVAL_MID_YTM")</f>
        <v>#N/A Requesting Data...</v>
      </c>
      <c r="P2397" t="str">
        <f>_xll.BDP("821037ET Muni","MUNI_TAX_PROV")</f>
        <v>#N/A Requesting Data...</v>
      </c>
      <c r="Q2397" t="str">
        <f>_xll.BDP("821037ET Muni","MUNI_FED_TAX")</f>
        <v>#N/A Requesting Data...</v>
      </c>
      <c r="R2397" t="str">
        <f>_xll.BDP("821037ET Muni","MUNI_MSRB_VOLUME")</f>
        <v>#N/A Requesting Data...</v>
      </c>
      <c r="S2397" t="str">
        <f>_xll.BDP("821037ET Muni","BB_COMPOSITE")</f>
        <v>#N/A Requesting Data...</v>
      </c>
      <c r="T2397" t="str">
        <f>_xll.BDP("821037ET Muni","LQA_LIQUIDITY_SCORE")</f>
        <v>#N/A Requesting Data...</v>
      </c>
    </row>
    <row r="2398" spans="1:20" x14ac:dyDescent="0.25">
      <c r="A2398" t="str">
        <f>_xll.BDP("821037EU Muni","ID_CUSIP")</f>
        <v>#N/A Requesting Data...</v>
      </c>
      <c r="B2398" t="s">
        <v>564</v>
      </c>
      <c r="C2398" t="str">
        <f>_xll.BDP("821037EU Muni","INSURANCE_STATUS")</f>
        <v>#N/A Requesting Data...</v>
      </c>
      <c r="D2398" t="str">
        <f>_xll.BDP("821037EU Muni","STATE_CODE")</f>
        <v>#N/A Requesting Data...</v>
      </c>
      <c r="E2398" t="str">
        <f>_xll.BDP("821037EU Muni","COUNTY_LOCATION_ISSUER")</f>
        <v>#N/A Requesting Data...</v>
      </c>
      <c r="F2398" t="str">
        <f>_xll.BDP("821037EU Muni","DUR_ADJ_MID")</f>
        <v>#N/A Requesting Data...</v>
      </c>
      <c r="G2398" t="str">
        <f>_xll.BDP("821037EU Muni","SPREAD_AT_ISSUANCE_TO_WORST")</f>
        <v>#N/A Requesting Data...</v>
      </c>
      <c r="H2398" t="str">
        <f>_xll.BDP("821037EU Muni","ISSUE_DT")</f>
        <v>#N/A Requesting Data...</v>
      </c>
      <c r="I2398" t="str">
        <f>_xll.BDS("821037EU Muni","MUNI_PURPOSE_SCHED", "aggregate=y")</f>
        <v>#N/A Requesting Data...</v>
      </c>
      <c r="J2398" t="str">
        <f>_xll.BDP("821037EU Muni","CPN")</f>
        <v>#N/A Requesting Data...</v>
      </c>
      <c r="K2398" t="str">
        <f>_xll.BDP("821037EU Muni","MATURITY")</f>
        <v>#N/A Requesting Data...</v>
      </c>
      <c r="L2398">
        <v>380000</v>
      </c>
      <c r="M2398" t="str">
        <f>_xll.BDP("821037EU Muni","YIELD_ON_ISSUE_DATE")</f>
        <v>#N/A Requesting Data...</v>
      </c>
      <c r="N2398" t="str">
        <f>_xll.BDP("821037EU Muni","YTW_SPREAD_TO_MATURITY_AT_ISSU")</f>
        <v>#N/A Requesting Data...</v>
      </c>
      <c r="O2398" t="str">
        <f>_xll.BDP("821037EU Muni","BVAL_MID_YTM")</f>
        <v>#N/A Requesting Data...</v>
      </c>
      <c r="P2398" t="str">
        <f>_xll.BDP("821037EU Muni","MUNI_TAX_PROV")</f>
        <v>#N/A Requesting Data...</v>
      </c>
      <c r="Q2398" t="str">
        <f>_xll.BDP("821037EU Muni","MUNI_FED_TAX")</f>
        <v>#N/A Requesting Data...</v>
      </c>
      <c r="R2398" t="str">
        <f>_xll.BDP("821037EU Muni","MUNI_MSRB_VOLUME")</f>
        <v>#N/A Requesting Data...</v>
      </c>
      <c r="S2398" t="str">
        <f>_xll.BDP("821037EU Muni","BB_COMPOSITE")</f>
        <v>#N/A Requesting Data...</v>
      </c>
      <c r="T2398" t="str">
        <f>_xll.BDP("821037EU Muni","LQA_LIQUIDITY_SCORE")</f>
        <v>#N/A Requesting Data...</v>
      </c>
    </row>
    <row r="2399" spans="1:20" x14ac:dyDescent="0.25">
      <c r="A2399" t="str">
        <f>_xll.BDP("821037EV Muni","ID_CUSIP")</f>
        <v>#N/A Requesting Data...</v>
      </c>
      <c r="B2399" t="s">
        <v>564</v>
      </c>
      <c r="C2399" t="str">
        <f>_xll.BDP("821037EV Muni","INSURANCE_STATUS")</f>
        <v>#N/A Requesting Data...</v>
      </c>
      <c r="D2399" t="str">
        <f>_xll.BDP("821037EV Muni","STATE_CODE")</f>
        <v>#N/A Requesting Data...</v>
      </c>
      <c r="E2399" t="str">
        <f>_xll.BDP("821037EV Muni","COUNTY_LOCATION_ISSUER")</f>
        <v>#N/A Requesting Data...</v>
      </c>
      <c r="F2399" t="str">
        <f>_xll.BDP("821037EV Muni","DUR_ADJ_MID")</f>
        <v>#N/A Requesting Data...</v>
      </c>
      <c r="G2399" t="str">
        <f>_xll.BDP("821037EV Muni","SPREAD_AT_ISSUANCE_TO_WORST")</f>
        <v>#N/A Requesting Data...</v>
      </c>
      <c r="H2399" t="str">
        <f>_xll.BDP("821037EV Muni","ISSUE_DT")</f>
        <v>#N/A Requesting Data...</v>
      </c>
      <c r="I2399" t="str">
        <f>_xll.BDS("821037EV Muni","MUNI_PURPOSE_SCHED", "aggregate=y")</f>
        <v>#N/A Requesting Data...</v>
      </c>
      <c r="J2399" t="str">
        <f>_xll.BDP("821037EV Muni","CPN")</f>
        <v>#N/A Requesting Data...</v>
      </c>
      <c r="K2399" t="str">
        <f>_xll.BDP("821037EV Muni","MATURITY")</f>
        <v>#N/A Requesting Data...</v>
      </c>
      <c r="L2399">
        <v>395000</v>
      </c>
      <c r="M2399" t="str">
        <f>_xll.BDP("821037EV Muni","YIELD_ON_ISSUE_DATE")</f>
        <v>#N/A Requesting Data...</v>
      </c>
      <c r="N2399" t="str">
        <f>_xll.BDP("821037EV Muni","YTW_SPREAD_TO_MATURITY_AT_ISSU")</f>
        <v>#N/A Requesting Data...</v>
      </c>
      <c r="O2399" t="str">
        <f>_xll.BDP("821037EV Muni","BVAL_MID_YTM")</f>
        <v>#N/A Requesting Data...</v>
      </c>
      <c r="P2399" t="str">
        <f>_xll.BDP("821037EV Muni","MUNI_TAX_PROV")</f>
        <v>#N/A Requesting Data...</v>
      </c>
      <c r="Q2399" t="str">
        <f>_xll.BDP("821037EV Muni","MUNI_FED_TAX")</f>
        <v>#N/A Requesting Data...</v>
      </c>
      <c r="R2399" t="str">
        <f>_xll.BDP("821037EV Muni","MUNI_MSRB_VOLUME")</f>
        <v>#N/A Requesting Data...</v>
      </c>
      <c r="S2399" t="str">
        <f>_xll.BDP("821037EV Muni","BB_COMPOSITE")</f>
        <v>#N/A Requesting Data...</v>
      </c>
      <c r="T2399" t="str">
        <f>_xll.BDP("821037EV Muni","LQA_LIQUIDITY_SCORE")</f>
        <v>#N/A Requesting Data...</v>
      </c>
    </row>
    <row r="2400" spans="1:20" x14ac:dyDescent="0.25">
      <c r="A2400" t="str">
        <f>_xll.BDP("821037EW Muni","ID_CUSIP")</f>
        <v>#N/A Requesting Data...</v>
      </c>
      <c r="B2400" t="s">
        <v>564</v>
      </c>
      <c r="C2400" t="str">
        <f>_xll.BDP("821037EW Muni","INSURANCE_STATUS")</f>
        <v>#N/A Requesting Data...</v>
      </c>
      <c r="D2400" t="str">
        <f>_xll.BDP("821037EW Muni","STATE_CODE")</f>
        <v>#N/A Requesting Data...</v>
      </c>
      <c r="E2400" t="str">
        <f>_xll.BDP("821037EW Muni","COUNTY_LOCATION_ISSUER")</f>
        <v>#N/A Requesting Data...</v>
      </c>
      <c r="F2400" t="str">
        <f>_xll.BDP("821037EW Muni","DUR_ADJ_MID")</f>
        <v>#N/A Requesting Data...</v>
      </c>
      <c r="G2400" t="str">
        <f>_xll.BDP("821037EW Muni","SPREAD_AT_ISSUANCE_TO_WORST")</f>
        <v>#N/A Requesting Data...</v>
      </c>
      <c r="H2400" t="str">
        <f>_xll.BDP("821037EW Muni","ISSUE_DT")</f>
        <v>#N/A Requesting Data...</v>
      </c>
      <c r="I2400" t="str">
        <f>_xll.BDS("821037EW Muni","MUNI_PURPOSE_SCHED", "aggregate=y")</f>
        <v>#N/A Requesting Data...</v>
      </c>
      <c r="J2400" t="str">
        <f>_xll.BDP("821037EW Muni","CPN")</f>
        <v>#N/A Requesting Data...</v>
      </c>
      <c r="K2400" t="str">
        <f>_xll.BDP("821037EW Muni","MATURITY")</f>
        <v>#N/A Requesting Data...</v>
      </c>
      <c r="L2400">
        <v>410000</v>
      </c>
      <c r="M2400" t="str">
        <f>_xll.BDP("821037EW Muni","YIELD_ON_ISSUE_DATE")</f>
        <v>#N/A Requesting Data...</v>
      </c>
      <c r="N2400" t="str">
        <f>_xll.BDP("821037EW Muni","YTW_SPREAD_TO_MATURITY_AT_ISSU")</f>
        <v>#N/A Requesting Data...</v>
      </c>
      <c r="O2400" t="str">
        <f>_xll.BDP("821037EW Muni","BVAL_MID_YTM")</f>
        <v>#N/A Requesting Data...</v>
      </c>
      <c r="P2400" t="str">
        <f>_xll.BDP("821037EW Muni","MUNI_TAX_PROV")</f>
        <v>#N/A Requesting Data...</v>
      </c>
      <c r="Q2400" t="str">
        <f>_xll.BDP("821037EW Muni","MUNI_FED_TAX")</f>
        <v>#N/A Requesting Data...</v>
      </c>
      <c r="R2400" t="str">
        <f>_xll.BDP("821037EW Muni","MUNI_MSRB_VOLUME")</f>
        <v>#N/A Requesting Data...</v>
      </c>
      <c r="S2400" t="str">
        <f>_xll.BDP("821037EW Muni","BB_COMPOSITE")</f>
        <v>#N/A Requesting Data...</v>
      </c>
      <c r="T2400" t="str">
        <f>_xll.BDP("821037EW Muni","LQA_LIQUIDITY_SCORE")</f>
        <v>#N/A Requesting Data...</v>
      </c>
    </row>
    <row r="2401" spans="1:20" x14ac:dyDescent="0.25">
      <c r="A2401" t="str">
        <f>_xll.BDP("821037EX Muni","ID_CUSIP")</f>
        <v>#N/A Requesting Data...</v>
      </c>
      <c r="B2401" t="s">
        <v>564</v>
      </c>
      <c r="C2401" t="str">
        <f>_xll.BDP("821037EX Muni","INSURANCE_STATUS")</f>
        <v>#N/A Requesting Data...</v>
      </c>
      <c r="D2401" t="str">
        <f>_xll.BDP("821037EX Muni","STATE_CODE")</f>
        <v>#N/A Requesting Data...</v>
      </c>
      <c r="E2401" t="str">
        <f>_xll.BDP("821037EX Muni","COUNTY_LOCATION_ISSUER")</f>
        <v>#N/A Requesting Data...</v>
      </c>
      <c r="F2401" t="str">
        <f>_xll.BDP("821037EX Muni","DUR_ADJ_MID")</f>
        <v>#N/A Requesting Data...</v>
      </c>
      <c r="G2401" t="str">
        <f>_xll.BDP("821037EX Muni","SPREAD_AT_ISSUANCE_TO_WORST")</f>
        <v>#N/A Requesting Data...</v>
      </c>
      <c r="H2401" t="str">
        <f>_xll.BDP("821037EX Muni","ISSUE_DT")</f>
        <v>#N/A Requesting Data...</v>
      </c>
      <c r="I2401" t="str">
        <f>_xll.BDS("821037EX Muni","MUNI_PURPOSE_SCHED", "aggregate=y")</f>
        <v>#N/A Requesting Data...</v>
      </c>
      <c r="J2401" t="str">
        <f>_xll.BDP("821037EX Muni","CPN")</f>
        <v>#N/A Requesting Data...</v>
      </c>
      <c r="K2401" t="str">
        <f>_xll.BDP("821037EX Muni","MATURITY")</f>
        <v>#N/A Requesting Data...</v>
      </c>
      <c r="L2401">
        <v>245000</v>
      </c>
      <c r="M2401" t="str">
        <f>_xll.BDP("821037EX Muni","YIELD_ON_ISSUE_DATE")</f>
        <v>#N/A Requesting Data...</v>
      </c>
      <c r="N2401" t="str">
        <f>_xll.BDP("821037EX Muni","YTW_SPREAD_TO_MATURITY_AT_ISSU")</f>
        <v>#N/A Requesting Data...</v>
      </c>
      <c r="O2401" t="str">
        <f>_xll.BDP("821037EX Muni","BVAL_MID_YTM")</f>
        <v>#N/A Requesting Data...</v>
      </c>
      <c r="P2401" t="str">
        <f>_xll.BDP("821037EX Muni","MUNI_TAX_PROV")</f>
        <v>#N/A Requesting Data...</v>
      </c>
      <c r="Q2401" t="str">
        <f>_xll.BDP("821037EX Muni","MUNI_FED_TAX")</f>
        <v>#N/A Requesting Data...</v>
      </c>
      <c r="R2401" t="str">
        <f>_xll.BDP("821037EX Muni","MUNI_MSRB_VOLUME")</f>
        <v>#N/A Requesting Data...</v>
      </c>
      <c r="S2401" t="str">
        <f>_xll.BDP("821037EX Muni","BB_COMPOSITE")</f>
        <v>#N/A Requesting Data...</v>
      </c>
      <c r="T2401" t="str">
        <f>_xll.BDP("821037EX Muni","LQA_LIQUIDITY_SCORE")</f>
        <v>#N/A Requesting Data...</v>
      </c>
    </row>
    <row r="2402" spans="1:20" x14ac:dyDescent="0.25">
      <c r="A2402" t="str">
        <f>_xll.BDP("847354EQ Muni","ID_CUSIP")</f>
        <v>#N/A Requesting Data...</v>
      </c>
      <c r="B2402" t="s">
        <v>565</v>
      </c>
      <c r="C2402" t="str">
        <f>_xll.BDP("847354EQ Muni","INSURANCE_STATUS")</f>
        <v>#N/A Requesting Data...</v>
      </c>
      <c r="D2402" t="str">
        <f>_xll.BDP("847354EQ Muni","STATE_CODE")</f>
        <v>#N/A Requesting Data...</v>
      </c>
      <c r="E2402" t="str">
        <f>_xll.BDP("847354EQ Muni","COUNTY_LOCATION_ISSUER")</f>
        <v>#N/A Requesting Data...</v>
      </c>
      <c r="F2402" t="str">
        <f>_xll.BDP("847354EQ Muni","DUR_ADJ_MID")</f>
        <v>#N/A Requesting Data...</v>
      </c>
      <c r="G2402" t="str">
        <f>_xll.BDP("847354EQ Muni","SPREAD_AT_ISSUANCE_TO_WORST")</f>
        <v>#N/A Requesting Data...</v>
      </c>
      <c r="H2402" t="str">
        <f>_xll.BDP("847354EQ Muni","ISSUE_DT")</f>
        <v>#N/A Requesting Data...</v>
      </c>
      <c r="I2402" t="str">
        <f>_xll.BDS("847354EQ Muni","MUNI_PURPOSE_SCHED", "aggregate=y")</f>
        <v>#N/A Requesting Data...</v>
      </c>
      <c r="J2402" t="str">
        <f>_xll.BDP("847354EQ Muni","CPN")</f>
        <v>#N/A Requesting Data...</v>
      </c>
      <c r="K2402" t="str">
        <f>_xll.BDP("847354EQ Muni","MATURITY")</f>
        <v>#N/A Requesting Data...</v>
      </c>
      <c r="L2402">
        <v>200000</v>
      </c>
      <c r="M2402" t="str">
        <f>_xll.BDP("847354EQ Muni","YIELD_ON_ISSUE_DATE")</f>
        <v>#N/A Requesting Data...</v>
      </c>
      <c r="N2402" t="str">
        <f>_xll.BDP("847354EQ Muni","YTW_SPREAD_TO_MATURITY_AT_ISSU")</f>
        <v>#N/A Requesting Data...</v>
      </c>
      <c r="O2402" t="str">
        <f>_xll.BDP("847354EQ Muni","BVAL_MID_YTM")</f>
        <v>#N/A Requesting Data...</v>
      </c>
      <c r="P2402" t="str">
        <f>_xll.BDP("847354EQ Muni","MUNI_TAX_PROV")</f>
        <v>#N/A Requesting Data...</v>
      </c>
      <c r="Q2402" t="str">
        <f>_xll.BDP("847354EQ Muni","MUNI_FED_TAX")</f>
        <v>#N/A Requesting Data...</v>
      </c>
      <c r="R2402" t="str">
        <f>_xll.BDP("847354EQ Muni","MUNI_MSRB_VOLUME")</f>
        <v>#N/A Requesting Data...</v>
      </c>
      <c r="S2402" t="str">
        <f>_xll.BDP("847354EQ Muni","BB_COMPOSITE")</f>
        <v>#N/A Requesting Data...</v>
      </c>
      <c r="T2402" t="str">
        <f>_xll.BDP("847354EQ Muni","LQA_LIQUIDITY_SCORE")</f>
        <v>#N/A Requesting Data...</v>
      </c>
    </row>
    <row r="2403" spans="1:20" x14ac:dyDescent="0.25">
      <c r="A2403" t="str">
        <f>_xll.BDP("847354ER Muni","ID_CUSIP")</f>
        <v>#N/A Requesting Data...</v>
      </c>
      <c r="B2403" t="s">
        <v>565</v>
      </c>
      <c r="C2403" t="str">
        <f>_xll.BDP("847354ER Muni","INSURANCE_STATUS")</f>
        <v>#N/A Requesting Data...</v>
      </c>
      <c r="D2403" t="str">
        <f>_xll.BDP("847354ER Muni","STATE_CODE")</f>
        <v>#N/A Requesting Data...</v>
      </c>
      <c r="E2403" t="str">
        <f>_xll.BDP("847354ER Muni","COUNTY_LOCATION_ISSUER")</f>
        <v>#N/A Requesting Data...</v>
      </c>
      <c r="F2403" t="str">
        <f>_xll.BDP("847354ER Muni","DUR_ADJ_MID")</f>
        <v>#N/A Requesting Data...</v>
      </c>
      <c r="G2403" t="str">
        <f>_xll.BDP("847354ER Muni","SPREAD_AT_ISSUANCE_TO_WORST")</f>
        <v>#N/A Requesting Data...</v>
      </c>
      <c r="H2403" t="str">
        <f>_xll.BDP("847354ER Muni","ISSUE_DT")</f>
        <v>#N/A Requesting Data...</v>
      </c>
      <c r="I2403" t="str">
        <f>_xll.BDS("847354ER Muni","MUNI_PURPOSE_SCHED", "aggregate=y")</f>
        <v>#N/A Requesting Data...</v>
      </c>
      <c r="J2403" t="str">
        <f>_xll.BDP("847354ER Muni","CPN")</f>
        <v>#N/A Requesting Data...</v>
      </c>
      <c r="K2403" t="str">
        <f>_xll.BDP("847354ER Muni","MATURITY")</f>
        <v>#N/A Requesting Data...</v>
      </c>
      <c r="L2403">
        <v>205000</v>
      </c>
      <c r="M2403" t="str">
        <f>_xll.BDP("847354ER Muni","YIELD_ON_ISSUE_DATE")</f>
        <v>#N/A Requesting Data...</v>
      </c>
      <c r="N2403" t="str">
        <f>_xll.BDP("847354ER Muni","YTW_SPREAD_TO_MATURITY_AT_ISSU")</f>
        <v>#N/A Requesting Data...</v>
      </c>
      <c r="O2403" t="str">
        <f>_xll.BDP("847354ER Muni","BVAL_MID_YTM")</f>
        <v>#N/A Requesting Data...</v>
      </c>
      <c r="P2403" t="str">
        <f>_xll.BDP("847354ER Muni","MUNI_TAX_PROV")</f>
        <v>#N/A Requesting Data...</v>
      </c>
      <c r="Q2403" t="str">
        <f>_xll.BDP("847354ER Muni","MUNI_FED_TAX")</f>
        <v>#N/A Requesting Data...</v>
      </c>
      <c r="R2403" t="str">
        <f>_xll.BDP("847354ER Muni","MUNI_MSRB_VOLUME")</f>
        <v>#N/A Requesting Data...</v>
      </c>
      <c r="S2403" t="str">
        <f>_xll.BDP("847354ER Muni","BB_COMPOSITE")</f>
        <v>#N/A Requesting Data...</v>
      </c>
      <c r="T2403" t="str">
        <f>_xll.BDP("847354ER Muni","LQA_LIQUIDITY_SCORE")</f>
        <v>#N/A Requesting Data...</v>
      </c>
    </row>
    <row r="2404" spans="1:20" x14ac:dyDescent="0.25">
      <c r="A2404" t="str">
        <f>_xll.BDP("847354ES Muni","ID_CUSIP")</f>
        <v>#N/A Requesting Data...</v>
      </c>
      <c r="B2404" t="s">
        <v>565</v>
      </c>
      <c r="C2404" t="str">
        <f>_xll.BDP("847354ES Muni","INSURANCE_STATUS")</f>
        <v>#N/A Requesting Data...</v>
      </c>
      <c r="D2404" t="str">
        <f>_xll.BDP("847354ES Muni","STATE_CODE")</f>
        <v>#N/A Requesting Data...</v>
      </c>
      <c r="E2404" t="str">
        <f>_xll.BDP("847354ES Muni","COUNTY_LOCATION_ISSUER")</f>
        <v>#N/A Requesting Data...</v>
      </c>
      <c r="F2404" t="str">
        <f>_xll.BDP("847354ES Muni","DUR_ADJ_MID")</f>
        <v>#N/A Requesting Data...</v>
      </c>
      <c r="G2404" t="str">
        <f>_xll.BDP("847354ES Muni","SPREAD_AT_ISSUANCE_TO_WORST")</f>
        <v>#N/A Requesting Data...</v>
      </c>
      <c r="H2404" t="str">
        <f>_xll.BDP("847354ES Muni","ISSUE_DT")</f>
        <v>#N/A Requesting Data...</v>
      </c>
      <c r="I2404" t="str">
        <f>_xll.BDS("847354ES Muni","MUNI_PURPOSE_SCHED", "aggregate=y")</f>
        <v>#N/A Requesting Data...</v>
      </c>
      <c r="J2404" t="str">
        <f>_xll.BDP("847354ES Muni","CPN")</f>
        <v>#N/A Requesting Data...</v>
      </c>
      <c r="K2404" t="str">
        <f>_xll.BDP("847354ES Muni","MATURITY")</f>
        <v>#N/A Requesting Data...</v>
      </c>
      <c r="L2404">
        <v>215000</v>
      </c>
      <c r="M2404" t="str">
        <f>_xll.BDP("847354ES Muni","YIELD_ON_ISSUE_DATE")</f>
        <v>#N/A Requesting Data...</v>
      </c>
      <c r="N2404" t="str">
        <f>_xll.BDP("847354ES Muni","YTW_SPREAD_TO_MATURITY_AT_ISSU")</f>
        <v>#N/A Requesting Data...</v>
      </c>
      <c r="O2404" t="str">
        <f>_xll.BDP("847354ES Muni","BVAL_MID_YTM")</f>
        <v>#N/A Requesting Data...</v>
      </c>
      <c r="P2404" t="str">
        <f>_xll.BDP("847354ES Muni","MUNI_TAX_PROV")</f>
        <v>#N/A Requesting Data...</v>
      </c>
      <c r="Q2404" t="str">
        <f>_xll.BDP("847354ES Muni","MUNI_FED_TAX")</f>
        <v>#N/A Requesting Data...</v>
      </c>
      <c r="R2404" t="str">
        <f>_xll.BDP("847354ES Muni","MUNI_MSRB_VOLUME")</f>
        <v>#N/A Requesting Data...</v>
      </c>
      <c r="S2404" t="str">
        <f>_xll.BDP("847354ES Muni","BB_COMPOSITE")</f>
        <v>#N/A Requesting Data...</v>
      </c>
      <c r="T2404" t="str">
        <f>_xll.BDP("847354ES Muni","LQA_LIQUIDITY_SCORE")</f>
        <v>#N/A Requesting Data...</v>
      </c>
    </row>
    <row r="2405" spans="1:20" x14ac:dyDescent="0.25">
      <c r="A2405" t="str">
        <f>_xll.BDP("847354ET Muni","ID_CUSIP")</f>
        <v>#N/A Requesting Data...</v>
      </c>
      <c r="B2405" t="s">
        <v>565</v>
      </c>
      <c r="C2405" t="str">
        <f>_xll.BDP("847354ET Muni","INSURANCE_STATUS")</f>
        <v>#N/A Requesting Data...</v>
      </c>
      <c r="D2405" t="str">
        <f>_xll.BDP("847354ET Muni","STATE_CODE")</f>
        <v>#N/A Requesting Data...</v>
      </c>
      <c r="E2405" t="str">
        <f>_xll.BDP("847354ET Muni","COUNTY_LOCATION_ISSUER")</f>
        <v>#N/A Requesting Data...</v>
      </c>
      <c r="F2405" t="str">
        <f>_xll.BDP("847354ET Muni","DUR_ADJ_MID")</f>
        <v>#N/A Requesting Data...</v>
      </c>
      <c r="G2405" t="str">
        <f>_xll.BDP("847354ET Muni","SPREAD_AT_ISSUANCE_TO_WORST")</f>
        <v>#N/A Requesting Data...</v>
      </c>
      <c r="H2405" t="str">
        <f>_xll.BDP("847354ET Muni","ISSUE_DT")</f>
        <v>#N/A Requesting Data...</v>
      </c>
      <c r="I2405" t="str">
        <f>_xll.BDS("847354ET Muni","MUNI_PURPOSE_SCHED", "aggregate=y")</f>
        <v>#N/A Requesting Data...</v>
      </c>
      <c r="J2405" t="str">
        <f>_xll.BDP("847354ET Muni","CPN")</f>
        <v>#N/A Requesting Data...</v>
      </c>
      <c r="K2405" t="str">
        <f>_xll.BDP("847354ET Muni","MATURITY")</f>
        <v>#N/A Requesting Data...</v>
      </c>
      <c r="L2405">
        <v>225000</v>
      </c>
      <c r="M2405" t="str">
        <f>_xll.BDP("847354ET Muni","YIELD_ON_ISSUE_DATE")</f>
        <v>#N/A Requesting Data...</v>
      </c>
      <c r="N2405" t="str">
        <f>_xll.BDP("847354ET Muni","YTW_SPREAD_TO_MATURITY_AT_ISSU")</f>
        <v>#N/A Requesting Data...</v>
      </c>
      <c r="O2405" t="str">
        <f>_xll.BDP("847354ET Muni","BVAL_MID_YTM")</f>
        <v>#N/A Requesting Data...</v>
      </c>
      <c r="P2405" t="str">
        <f>_xll.BDP("847354ET Muni","MUNI_TAX_PROV")</f>
        <v>#N/A Requesting Data...</v>
      </c>
      <c r="Q2405" t="str">
        <f>_xll.BDP("847354ET Muni","MUNI_FED_TAX")</f>
        <v>#N/A Requesting Data...</v>
      </c>
      <c r="R2405" t="str">
        <f>_xll.BDP("847354ET Muni","MUNI_MSRB_VOLUME")</f>
        <v>#N/A Requesting Data...</v>
      </c>
      <c r="S2405" t="str">
        <f>_xll.BDP("847354ET Muni","BB_COMPOSITE")</f>
        <v>#N/A Requesting Data...</v>
      </c>
      <c r="T2405" t="str">
        <f>_xll.BDP("847354ET Muni","LQA_LIQUIDITY_SCORE")</f>
        <v>#N/A Requesting Data...</v>
      </c>
    </row>
    <row r="2406" spans="1:20" x14ac:dyDescent="0.25">
      <c r="A2406" t="str">
        <f>_xll.BDP("847354EU Muni","ID_CUSIP")</f>
        <v>#N/A Requesting Data...</v>
      </c>
      <c r="B2406" t="s">
        <v>565</v>
      </c>
      <c r="C2406" t="str">
        <f>_xll.BDP("847354EU Muni","INSURANCE_STATUS")</f>
        <v>#N/A Requesting Data...</v>
      </c>
      <c r="D2406" t="str">
        <f>_xll.BDP("847354EU Muni","STATE_CODE")</f>
        <v>#N/A Requesting Data...</v>
      </c>
      <c r="E2406" t="str">
        <f>_xll.BDP("847354EU Muni","COUNTY_LOCATION_ISSUER")</f>
        <v>#N/A Requesting Data...</v>
      </c>
      <c r="F2406" t="str">
        <f>_xll.BDP("847354EU Muni","DUR_ADJ_MID")</f>
        <v>#N/A Requesting Data...</v>
      </c>
      <c r="G2406" t="str">
        <f>_xll.BDP("847354EU Muni","SPREAD_AT_ISSUANCE_TO_WORST")</f>
        <v>#N/A Requesting Data...</v>
      </c>
      <c r="H2406" t="str">
        <f>_xll.BDP("847354EU Muni","ISSUE_DT")</f>
        <v>#N/A Requesting Data...</v>
      </c>
      <c r="I2406" t="str">
        <f>_xll.BDS("847354EU Muni","MUNI_PURPOSE_SCHED", "aggregate=y")</f>
        <v>#N/A Requesting Data...</v>
      </c>
      <c r="J2406" t="str">
        <f>_xll.BDP("847354EU Muni","CPN")</f>
        <v>#N/A Requesting Data...</v>
      </c>
      <c r="K2406" t="str">
        <f>_xll.BDP("847354EU Muni","MATURITY")</f>
        <v>#N/A Requesting Data...</v>
      </c>
      <c r="L2406">
        <v>235000</v>
      </c>
      <c r="M2406" t="str">
        <f>_xll.BDP("847354EU Muni","YIELD_ON_ISSUE_DATE")</f>
        <v>#N/A Requesting Data...</v>
      </c>
      <c r="N2406" t="str">
        <f>_xll.BDP("847354EU Muni","YTW_SPREAD_TO_MATURITY_AT_ISSU")</f>
        <v>#N/A Requesting Data...</v>
      </c>
      <c r="O2406" t="str">
        <f>_xll.BDP("847354EU Muni","BVAL_MID_YTM")</f>
        <v>#N/A Requesting Data...</v>
      </c>
      <c r="P2406" t="str">
        <f>_xll.BDP("847354EU Muni","MUNI_TAX_PROV")</f>
        <v>#N/A Requesting Data...</v>
      </c>
      <c r="Q2406" t="str">
        <f>_xll.BDP("847354EU Muni","MUNI_FED_TAX")</f>
        <v>#N/A Requesting Data...</v>
      </c>
      <c r="R2406" t="str">
        <f>_xll.BDP("847354EU Muni","MUNI_MSRB_VOLUME")</f>
        <v>#N/A Requesting Data...</v>
      </c>
      <c r="S2406" t="str">
        <f>_xll.BDP("847354EU Muni","BB_COMPOSITE")</f>
        <v>#N/A Requesting Data...</v>
      </c>
      <c r="T2406" t="str">
        <f>_xll.BDP("847354EU Muni","LQA_LIQUIDITY_SCORE")</f>
        <v>#N/A Requesting Data...</v>
      </c>
    </row>
    <row r="2407" spans="1:20" x14ac:dyDescent="0.25">
      <c r="A2407" t="str">
        <f>_xll.BDP("8372274R Muni","ID_CUSIP")</f>
        <v>#N/A Requesting Data...</v>
      </c>
      <c r="B2407" t="s">
        <v>527</v>
      </c>
      <c r="C2407" t="str">
        <f>_xll.BDP("8372274R Muni","INSURANCE_STATUS")</f>
        <v>#N/A Requesting Data...</v>
      </c>
      <c r="D2407" t="str">
        <f>_xll.BDP("8372274R Muni","STATE_CODE")</f>
        <v>#N/A Requesting Data...</v>
      </c>
      <c r="E2407" t="str">
        <f>_xll.BDP("8372274R Muni","COUNTY_LOCATION_ISSUER")</f>
        <v>#N/A Requesting Data...</v>
      </c>
      <c r="F2407" t="str">
        <f>_xll.BDP("8372274R Muni","DUR_ADJ_MID")</f>
        <v>#N/A Requesting Data...</v>
      </c>
      <c r="G2407" t="str">
        <f>_xll.BDP("8372274R Muni","SPREAD_AT_ISSUANCE_TO_WORST")</f>
        <v>#N/A Requesting Data...</v>
      </c>
      <c r="H2407" t="str">
        <f>_xll.BDP("8372274R Muni","ISSUE_DT")</f>
        <v>#N/A Requesting Data...</v>
      </c>
      <c r="I2407" t="str">
        <f>_xll.BDS("8372274R Muni","MUNI_PURPOSE_SCHED", "aggregate=y")</f>
        <v>#N/A Requesting Data...</v>
      </c>
      <c r="J2407" t="str">
        <f>_xll.BDP("8372274R Muni","CPN")</f>
        <v>#N/A Requesting Data...</v>
      </c>
      <c r="K2407" t="str">
        <f>_xll.BDP("8372274R Muni","MATURITY")</f>
        <v>#N/A Requesting Data...</v>
      </c>
      <c r="L2407">
        <v>210000</v>
      </c>
      <c r="M2407" t="str">
        <f>_xll.BDP("8372274R Muni","YIELD_ON_ISSUE_DATE")</f>
        <v>#N/A Requesting Data...</v>
      </c>
      <c r="N2407" t="str">
        <f>_xll.BDP("8372274R Muni","YTW_SPREAD_TO_MATURITY_AT_ISSU")</f>
        <v>#N/A Requesting Data...</v>
      </c>
      <c r="O2407" t="str">
        <f>_xll.BDP("8372274R Muni","BVAL_MID_YTM")</f>
        <v>#N/A Requesting Data...</v>
      </c>
      <c r="P2407" t="str">
        <f>_xll.BDP("8372274R Muni","MUNI_TAX_PROV")</f>
        <v>#N/A Requesting Data...</v>
      </c>
      <c r="Q2407" t="str">
        <f>_xll.BDP("8372274R Muni","MUNI_FED_TAX")</f>
        <v>#N/A Requesting Data...</v>
      </c>
      <c r="R2407" t="str">
        <f>_xll.BDP("8372274R Muni","MUNI_MSRB_VOLUME")</f>
        <v>#N/A Requesting Data...</v>
      </c>
      <c r="S2407" t="str">
        <f>_xll.BDP("8372274R Muni","BB_COMPOSITE")</f>
        <v>#N/A Requesting Data...</v>
      </c>
      <c r="T2407" t="str">
        <f>_xll.BDP("8372274R Muni","LQA_LIQUIDITY_SCORE")</f>
        <v>#N/A Requesting Data...</v>
      </c>
    </row>
    <row r="2408" spans="1:20" x14ac:dyDescent="0.25">
      <c r="A2408" t="str">
        <f>_xll.BDP("8372274S Muni","ID_CUSIP")</f>
        <v>#N/A Requesting Data...</v>
      </c>
      <c r="B2408" t="s">
        <v>527</v>
      </c>
      <c r="C2408" t="str">
        <f>_xll.BDP("8372274S Muni","INSURANCE_STATUS")</f>
        <v>#N/A Requesting Data...</v>
      </c>
      <c r="D2408" t="str">
        <f>_xll.BDP("8372274S Muni","STATE_CODE")</f>
        <v>#N/A Requesting Data...</v>
      </c>
      <c r="E2408" t="str">
        <f>_xll.BDP("8372274S Muni","COUNTY_LOCATION_ISSUER")</f>
        <v>#N/A Requesting Data...</v>
      </c>
      <c r="F2408" t="str">
        <f>_xll.BDP("8372274S Muni","DUR_ADJ_MID")</f>
        <v>#N/A Requesting Data...</v>
      </c>
      <c r="G2408" t="str">
        <f>_xll.BDP("8372274S Muni","SPREAD_AT_ISSUANCE_TO_WORST")</f>
        <v>#N/A Requesting Data...</v>
      </c>
      <c r="H2408" t="str">
        <f>_xll.BDP("8372274S Muni","ISSUE_DT")</f>
        <v>#N/A Requesting Data...</v>
      </c>
      <c r="I2408" t="str">
        <f>_xll.BDS("8372274S Muni","MUNI_PURPOSE_SCHED", "aggregate=y")</f>
        <v>#N/A Requesting Data...</v>
      </c>
      <c r="J2408" t="str">
        <f>_xll.BDP("8372274S Muni","CPN")</f>
        <v>#N/A Requesting Data...</v>
      </c>
      <c r="K2408" t="str">
        <f>_xll.BDP("8372274S Muni","MATURITY")</f>
        <v>#N/A Requesting Data...</v>
      </c>
      <c r="L2408">
        <v>670000</v>
      </c>
      <c r="M2408" t="str">
        <f>_xll.BDP("8372274S Muni","YIELD_ON_ISSUE_DATE")</f>
        <v>#N/A Requesting Data...</v>
      </c>
      <c r="N2408" t="str">
        <f>_xll.BDP("8372274S Muni","YTW_SPREAD_TO_MATURITY_AT_ISSU")</f>
        <v>#N/A Requesting Data...</v>
      </c>
      <c r="O2408" t="str">
        <f>_xll.BDP("8372274S Muni","BVAL_MID_YTM")</f>
        <v>#N/A Requesting Data...</v>
      </c>
      <c r="P2408" t="str">
        <f>_xll.BDP("8372274S Muni","MUNI_TAX_PROV")</f>
        <v>#N/A Requesting Data...</v>
      </c>
      <c r="Q2408" t="str">
        <f>_xll.BDP("8372274S Muni","MUNI_FED_TAX")</f>
        <v>#N/A Requesting Data...</v>
      </c>
      <c r="R2408" t="str">
        <f>_xll.BDP("8372274S Muni","MUNI_MSRB_VOLUME")</f>
        <v>#N/A Requesting Data...</v>
      </c>
      <c r="S2408" t="str">
        <f>_xll.BDP("8372274S Muni","BB_COMPOSITE")</f>
        <v>#N/A Requesting Data...</v>
      </c>
      <c r="T2408" t="str">
        <f>_xll.BDP("8372274S Muni","LQA_LIQUIDITY_SCORE")</f>
        <v>#N/A Requesting Data...</v>
      </c>
    </row>
    <row r="2409" spans="1:20" x14ac:dyDescent="0.25">
      <c r="A2409" t="str">
        <f>_xll.BDP("8372274T Muni","ID_CUSIP")</f>
        <v>#N/A Requesting Data...</v>
      </c>
      <c r="B2409" t="s">
        <v>527</v>
      </c>
      <c r="C2409" t="str">
        <f>_xll.BDP("8372274T Muni","INSURANCE_STATUS")</f>
        <v>#N/A Requesting Data...</v>
      </c>
      <c r="D2409" t="str">
        <f>_xll.BDP("8372274T Muni","STATE_CODE")</f>
        <v>#N/A Requesting Data...</v>
      </c>
      <c r="E2409" t="str">
        <f>_xll.BDP("8372274T Muni","COUNTY_LOCATION_ISSUER")</f>
        <v>#N/A Requesting Data...</v>
      </c>
      <c r="F2409" t="str">
        <f>_xll.BDP("8372274T Muni","DUR_ADJ_MID")</f>
        <v>#N/A Requesting Data...</v>
      </c>
      <c r="G2409" t="str">
        <f>_xll.BDP("8372274T Muni","SPREAD_AT_ISSUANCE_TO_WORST")</f>
        <v>#N/A Requesting Data...</v>
      </c>
      <c r="H2409" t="str">
        <f>_xll.BDP("8372274T Muni","ISSUE_DT")</f>
        <v>#N/A Requesting Data...</v>
      </c>
      <c r="I2409" t="str">
        <f>_xll.BDS("8372274T Muni","MUNI_PURPOSE_SCHED", "aggregate=y")</f>
        <v>#N/A Requesting Data...</v>
      </c>
      <c r="J2409" t="str">
        <f>_xll.BDP("8372274T Muni","CPN")</f>
        <v>#N/A Requesting Data...</v>
      </c>
      <c r="K2409" t="str">
        <f>_xll.BDP("8372274T Muni","MATURITY")</f>
        <v>#N/A Requesting Data...</v>
      </c>
      <c r="L2409">
        <v>655000</v>
      </c>
      <c r="M2409" t="str">
        <f>_xll.BDP("8372274T Muni","YIELD_ON_ISSUE_DATE")</f>
        <v>#N/A Requesting Data...</v>
      </c>
      <c r="N2409" t="str">
        <f>_xll.BDP("8372274T Muni","YTW_SPREAD_TO_MATURITY_AT_ISSU")</f>
        <v>#N/A Requesting Data...</v>
      </c>
      <c r="O2409" t="str">
        <f>_xll.BDP("8372274T Muni","BVAL_MID_YTM")</f>
        <v>#N/A Requesting Data...</v>
      </c>
      <c r="P2409" t="str">
        <f>_xll.BDP("8372274T Muni","MUNI_TAX_PROV")</f>
        <v>#N/A Requesting Data...</v>
      </c>
      <c r="Q2409" t="str">
        <f>_xll.BDP("8372274T Muni","MUNI_FED_TAX")</f>
        <v>#N/A Requesting Data...</v>
      </c>
      <c r="R2409" t="str">
        <f>_xll.BDP("8372274T Muni","MUNI_MSRB_VOLUME")</f>
        <v>#N/A Requesting Data...</v>
      </c>
      <c r="S2409" t="str">
        <f>_xll.BDP("8372274T Muni","BB_COMPOSITE")</f>
        <v>#N/A Requesting Data...</v>
      </c>
      <c r="T2409" t="str">
        <f>_xll.BDP("8372274T Muni","LQA_LIQUIDITY_SCORE")</f>
        <v>#N/A Requesting Data...</v>
      </c>
    </row>
    <row r="2410" spans="1:20" x14ac:dyDescent="0.25">
      <c r="A2410" t="str">
        <f>_xll.BDP("837545MN Muni","ID_CUSIP")</f>
        <v>#N/A Requesting Data...</v>
      </c>
      <c r="B2410" t="s">
        <v>516</v>
      </c>
      <c r="C2410" t="str">
        <f>_xll.BDP("837545MN Muni","INSURANCE_STATUS")</f>
        <v>#N/A Requesting Data...</v>
      </c>
      <c r="D2410" t="str">
        <f>_xll.BDP("837545MN Muni","STATE_CODE")</f>
        <v>#N/A Requesting Data...</v>
      </c>
      <c r="E2410" t="str">
        <f>_xll.BDP("837545MN Muni","COUNTY_LOCATION_ISSUER")</f>
        <v>#N/A Requesting Data...</v>
      </c>
      <c r="F2410" t="str">
        <f>_xll.BDP("837545MN Muni","DUR_ADJ_MID")</f>
        <v>#N/A Requesting Data...</v>
      </c>
      <c r="G2410" t="str">
        <f>_xll.BDP("837545MN Muni","SPREAD_AT_ISSUANCE_TO_WORST")</f>
        <v>#N/A Requesting Data...</v>
      </c>
      <c r="H2410" t="str">
        <f>_xll.BDP("837545MN Muni","ISSUE_DT")</f>
        <v>#N/A Requesting Data...</v>
      </c>
      <c r="I2410" t="str">
        <f>_xll.BDS("837545MN Muni","MUNI_PURPOSE_SCHED", "aggregate=y")</f>
        <v>#N/A Requesting Data...</v>
      </c>
      <c r="J2410" t="str">
        <f>_xll.BDP("837545MN Muni","CPN")</f>
        <v>#N/A Requesting Data...</v>
      </c>
      <c r="K2410" t="str">
        <f>_xll.BDP("837545MN Muni","MATURITY")</f>
        <v>#N/A Requesting Data...</v>
      </c>
      <c r="L2410">
        <v>3580000</v>
      </c>
      <c r="M2410" t="str">
        <f>_xll.BDP("837545MN Muni","YIELD_ON_ISSUE_DATE")</f>
        <v>#N/A Requesting Data...</v>
      </c>
      <c r="N2410" t="str">
        <f>_xll.BDP("837545MN Muni","YTW_SPREAD_TO_MATURITY_AT_ISSU")</f>
        <v>#N/A Requesting Data...</v>
      </c>
      <c r="O2410" t="str">
        <f>_xll.BDP("837545MN Muni","BVAL_MID_YTM")</f>
        <v>#N/A Requesting Data...</v>
      </c>
      <c r="P2410" t="str">
        <f>_xll.BDP("837545MN Muni","MUNI_TAX_PROV")</f>
        <v>#N/A Requesting Data...</v>
      </c>
      <c r="Q2410" t="str">
        <f>_xll.BDP("837545MN Muni","MUNI_FED_TAX")</f>
        <v>#N/A Requesting Data...</v>
      </c>
      <c r="R2410" t="str">
        <f>_xll.BDP("837545MN Muni","MUNI_MSRB_VOLUME")</f>
        <v>#N/A Requesting Data...</v>
      </c>
      <c r="S2410" t="str">
        <f>_xll.BDP("837545MN Muni","BB_COMPOSITE")</f>
        <v>#N/A Requesting Data...</v>
      </c>
      <c r="T2410" t="str">
        <f>_xll.BDP("837545MN Muni","LQA_LIQUIDITY_SCORE")</f>
        <v>#N/A Requesting Data...</v>
      </c>
    </row>
    <row r="2411" spans="1:20" x14ac:dyDescent="0.25">
      <c r="A2411" t="str">
        <f>_xll.BDP("837545MP Muni","ID_CUSIP")</f>
        <v>#N/A Requesting Data...</v>
      </c>
      <c r="B2411" t="s">
        <v>516</v>
      </c>
      <c r="C2411" t="str">
        <f>_xll.BDP("837545MP Muni","INSURANCE_STATUS")</f>
        <v>#N/A Requesting Data...</v>
      </c>
      <c r="D2411" t="str">
        <f>_xll.BDP("837545MP Muni","STATE_CODE")</f>
        <v>#N/A Requesting Data...</v>
      </c>
      <c r="E2411" t="str">
        <f>_xll.BDP("837545MP Muni","COUNTY_LOCATION_ISSUER")</f>
        <v>#N/A Requesting Data...</v>
      </c>
      <c r="F2411" t="str">
        <f>_xll.BDP("837545MP Muni","DUR_ADJ_MID")</f>
        <v>#N/A Requesting Data...</v>
      </c>
      <c r="G2411" t="str">
        <f>_xll.BDP("837545MP Muni","SPREAD_AT_ISSUANCE_TO_WORST")</f>
        <v>#N/A Requesting Data...</v>
      </c>
      <c r="H2411" t="str">
        <f>_xll.BDP("837545MP Muni","ISSUE_DT")</f>
        <v>#N/A Requesting Data...</v>
      </c>
      <c r="I2411" t="str">
        <f>_xll.BDS("837545MP Muni","MUNI_PURPOSE_SCHED", "aggregate=y")</f>
        <v>#N/A Requesting Data...</v>
      </c>
      <c r="J2411" t="str">
        <f>_xll.BDP("837545MP Muni","CPN")</f>
        <v>#N/A Requesting Data...</v>
      </c>
      <c r="K2411" t="str">
        <f>_xll.BDP("837545MP Muni","MATURITY")</f>
        <v>#N/A Requesting Data...</v>
      </c>
      <c r="L2411">
        <v>3760000</v>
      </c>
      <c r="M2411" t="str">
        <f>_xll.BDP("837545MP Muni","YIELD_ON_ISSUE_DATE")</f>
        <v>#N/A Requesting Data...</v>
      </c>
      <c r="N2411" t="str">
        <f>_xll.BDP("837545MP Muni","YTW_SPREAD_TO_MATURITY_AT_ISSU")</f>
        <v>#N/A Requesting Data...</v>
      </c>
      <c r="O2411" t="str">
        <f>_xll.BDP("837545MP Muni","BVAL_MID_YTM")</f>
        <v>#N/A Requesting Data...</v>
      </c>
      <c r="P2411" t="str">
        <f>_xll.BDP("837545MP Muni","MUNI_TAX_PROV")</f>
        <v>#N/A Requesting Data...</v>
      </c>
      <c r="Q2411" t="str">
        <f>_xll.BDP("837545MP Muni","MUNI_FED_TAX")</f>
        <v>#N/A Requesting Data...</v>
      </c>
      <c r="R2411" t="str">
        <f>_xll.BDP("837545MP Muni","MUNI_MSRB_VOLUME")</f>
        <v>#N/A Requesting Data...</v>
      </c>
      <c r="S2411" t="str">
        <f>_xll.BDP("837545MP Muni","BB_COMPOSITE")</f>
        <v>#N/A Requesting Data...</v>
      </c>
      <c r="T2411" t="str">
        <f>_xll.BDP("837545MP Muni","LQA_LIQUIDITY_SCORE")</f>
        <v>#N/A Requesting Data...</v>
      </c>
    </row>
    <row r="2412" spans="1:20" x14ac:dyDescent="0.25">
      <c r="A2412" t="str">
        <f>_xll.BDP("837545MT Muni","ID_CUSIP")</f>
        <v>#N/A Requesting Data...</v>
      </c>
      <c r="B2412" t="s">
        <v>516</v>
      </c>
      <c r="C2412" t="str">
        <f>_xll.BDP("837545MT Muni","INSURANCE_STATUS")</f>
        <v>#N/A Requesting Data...</v>
      </c>
      <c r="D2412" t="str">
        <f>_xll.BDP("837545MT Muni","STATE_CODE")</f>
        <v>#N/A Requesting Data...</v>
      </c>
      <c r="E2412" t="str">
        <f>_xll.BDP("837545MT Muni","COUNTY_LOCATION_ISSUER")</f>
        <v>#N/A Requesting Data...</v>
      </c>
      <c r="F2412" t="str">
        <f>_xll.BDP("837545MT Muni","DUR_ADJ_MID")</f>
        <v>#N/A Requesting Data...</v>
      </c>
      <c r="G2412" t="str">
        <f>_xll.BDP("837545MT Muni","SPREAD_AT_ISSUANCE_TO_WORST")</f>
        <v>#N/A Requesting Data...</v>
      </c>
      <c r="H2412" t="str">
        <f>_xll.BDP("837545MT Muni","ISSUE_DT")</f>
        <v>#N/A Requesting Data...</v>
      </c>
      <c r="I2412" t="str">
        <f>_xll.BDS("837545MT Muni","MUNI_PURPOSE_SCHED", "aggregate=y")</f>
        <v>#N/A Requesting Data...</v>
      </c>
      <c r="J2412" t="str">
        <f>_xll.BDP("837545MT Muni","CPN")</f>
        <v>#N/A Requesting Data...</v>
      </c>
      <c r="K2412" t="str">
        <f>_xll.BDP("837545MT Muni","MATURITY")</f>
        <v>#N/A Requesting Data...</v>
      </c>
      <c r="L2412">
        <v>4575000</v>
      </c>
      <c r="M2412" t="str">
        <f>_xll.BDP("837545MT Muni","YIELD_ON_ISSUE_DATE")</f>
        <v>#N/A Requesting Data...</v>
      </c>
      <c r="N2412" t="str">
        <f>_xll.BDP("837545MT Muni","YTW_SPREAD_TO_MATURITY_AT_ISSU")</f>
        <v>#N/A Requesting Data...</v>
      </c>
      <c r="O2412" t="str">
        <f>_xll.BDP("837545MT Muni","BVAL_MID_YTM")</f>
        <v>#N/A Requesting Data...</v>
      </c>
      <c r="P2412" t="str">
        <f>_xll.BDP("837545MT Muni","MUNI_TAX_PROV")</f>
        <v>#N/A Requesting Data...</v>
      </c>
      <c r="Q2412" t="str">
        <f>_xll.BDP("837545MT Muni","MUNI_FED_TAX")</f>
        <v>#N/A Requesting Data...</v>
      </c>
      <c r="R2412" t="str">
        <f>_xll.BDP("837545MT Muni","MUNI_MSRB_VOLUME")</f>
        <v>#N/A Requesting Data...</v>
      </c>
      <c r="S2412" t="str">
        <f>_xll.BDP("837545MT Muni","BB_COMPOSITE")</f>
        <v>#N/A Requesting Data...</v>
      </c>
      <c r="T2412" t="str">
        <f>_xll.BDP("837545MT Muni","LQA_LIQUIDITY_SCORE")</f>
        <v>#N/A Requesting Data...</v>
      </c>
    </row>
    <row r="2413" spans="1:20" x14ac:dyDescent="0.25">
      <c r="A2413" t="str">
        <f>_xll.BDP("989726BQ Muni","ID_CUSIP")</f>
        <v>#N/A Requesting Data...</v>
      </c>
      <c r="B2413" t="s">
        <v>566</v>
      </c>
      <c r="C2413" t="str">
        <f>_xll.BDP("989726BQ Muni","INSURANCE_STATUS")</f>
        <v>#N/A Requesting Data...</v>
      </c>
      <c r="D2413" t="str">
        <f>_xll.BDP("989726BQ Muni","STATE_CODE")</f>
        <v>#N/A Requesting Data...</v>
      </c>
      <c r="E2413" t="str">
        <f>_xll.BDP("989726BQ Muni","COUNTY_LOCATION_ISSUER")</f>
        <v>#N/A Requesting Data...</v>
      </c>
      <c r="F2413" t="str">
        <f>_xll.BDP("989726BQ Muni","DUR_ADJ_MID")</f>
        <v>#N/A Requesting Data...</v>
      </c>
      <c r="G2413" t="str">
        <f>_xll.BDP("989726BQ Muni","SPREAD_AT_ISSUANCE_TO_WORST")</f>
        <v>#N/A Requesting Data...</v>
      </c>
      <c r="H2413" t="str">
        <f>_xll.BDP("989726BQ Muni","ISSUE_DT")</f>
        <v>#N/A Requesting Data...</v>
      </c>
      <c r="I2413" t="str">
        <f>_xll.BDS("989726BQ Muni","MUNI_PURPOSE_SCHED", "aggregate=y")</f>
        <v>#N/A Requesting Data...</v>
      </c>
      <c r="J2413" t="str">
        <f>_xll.BDP("989726BQ Muni","CPN")</f>
        <v>#N/A Requesting Data...</v>
      </c>
      <c r="K2413" t="str">
        <f>_xll.BDP("989726BQ Muni","MATURITY")</f>
        <v>#N/A Requesting Data...</v>
      </c>
      <c r="L2413">
        <v>70000</v>
      </c>
      <c r="M2413" t="str">
        <f>_xll.BDP("989726BQ Muni","YIELD_ON_ISSUE_DATE")</f>
        <v>#N/A Requesting Data...</v>
      </c>
      <c r="N2413" t="str">
        <f>_xll.BDP("989726BQ Muni","YTW_SPREAD_TO_MATURITY_AT_ISSU")</f>
        <v>#N/A Requesting Data...</v>
      </c>
      <c r="O2413" t="str">
        <f>_xll.BDP("989726BQ Muni","BVAL_MID_YTM")</f>
        <v>#N/A Requesting Data...</v>
      </c>
      <c r="P2413" t="str">
        <f>_xll.BDP("989726BQ Muni","MUNI_TAX_PROV")</f>
        <v>#N/A Requesting Data...</v>
      </c>
      <c r="Q2413" t="str">
        <f>_xll.BDP("989726BQ Muni","MUNI_FED_TAX")</f>
        <v>#N/A Requesting Data...</v>
      </c>
      <c r="R2413" t="str">
        <f>_xll.BDP("989726BQ Muni","MUNI_MSRB_VOLUME")</f>
        <v>#N/A Requesting Data...</v>
      </c>
      <c r="S2413" t="str">
        <f>_xll.BDP("989726BQ Muni","BB_COMPOSITE")</f>
        <v>#N/A Requesting Data...</v>
      </c>
      <c r="T2413" t="str">
        <f>_xll.BDP("989726BQ Muni","LQA_LIQUIDITY_SCORE")</f>
        <v>#N/A Requesting Data...</v>
      </c>
    </row>
    <row r="2414" spans="1:20" x14ac:dyDescent="0.25">
      <c r="A2414" t="str">
        <f>_xll.BDP("989726BS Muni","ID_CUSIP")</f>
        <v>#N/A Requesting Data...</v>
      </c>
      <c r="B2414" t="s">
        <v>566</v>
      </c>
      <c r="C2414" t="str">
        <f>_xll.BDP("989726BS Muni","INSURANCE_STATUS")</f>
        <v>#N/A Requesting Data...</v>
      </c>
      <c r="D2414" t="str">
        <f>_xll.BDP("989726BS Muni","STATE_CODE")</f>
        <v>#N/A Requesting Data...</v>
      </c>
      <c r="E2414" t="str">
        <f>_xll.BDP("989726BS Muni","COUNTY_LOCATION_ISSUER")</f>
        <v>#N/A Requesting Data...</v>
      </c>
      <c r="F2414" t="str">
        <f>_xll.BDP("989726BS Muni","DUR_ADJ_MID")</f>
        <v>#N/A Requesting Data...</v>
      </c>
      <c r="G2414" t="str">
        <f>_xll.BDP("989726BS Muni","SPREAD_AT_ISSUANCE_TO_WORST")</f>
        <v>#N/A Requesting Data...</v>
      </c>
      <c r="H2414" t="str">
        <f>_xll.BDP("989726BS Muni","ISSUE_DT")</f>
        <v>#N/A Requesting Data...</v>
      </c>
      <c r="I2414" t="str">
        <f>_xll.BDS("989726BS Muni","MUNI_PURPOSE_SCHED", "aggregate=y")</f>
        <v>#N/A Requesting Data...</v>
      </c>
      <c r="J2414" t="str">
        <f>_xll.BDP("989726BS Muni","CPN")</f>
        <v>#N/A Requesting Data...</v>
      </c>
      <c r="K2414" t="str">
        <f>_xll.BDP("989726BS Muni","MATURITY")</f>
        <v>#N/A Requesting Data...</v>
      </c>
      <c r="L2414">
        <v>70000</v>
      </c>
      <c r="M2414" t="str">
        <f>_xll.BDP("989726BS Muni","YIELD_ON_ISSUE_DATE")</f>
        <v>#N/A Requesting Data...</v>
      </c>
      <c r="N2414" t="str">
        <f>_xll.BDP("989726BS Muni","YTW_SPREAD_TO_MATURITY_AT_ISSU")</f>
        <v>#N/A Requesting Data...</v>
      </c>
      <c r="O2414" t="str">
        <f>_xll.BDP("989726BS Muni","BVAL_MID_YTM")</f>
        <v>#N/A Requesting Data...</v>
      </c>
      <c r="P2414" t="str">
        <f>_xll.BDP("989726BS Muni","MUNI_TAX_PROV")</f>
        <v>#N/A Requesting Data...</v>
      </c>
      <c r="Q2414" t="str">
        <f>_xll.BDP("989726BS Muni","MUNI_FED_TAX")</f>
        <v>#N/A Requesting Data...</v>
      </c>
      <c r="R2414" t="str">
        <f>_xll.BDP("989726BS Muni","MUNI_MSRB_VOLUME")</f>
        <v>#N/A Requesting Data...</v>
      </c>
      <c r="S2414" t="str">
        <f>_xll.BDP("989726BS Muni","BB_COMPOSITE")</f>
        <v>#N/A Requesting Data...</v>
      </c>
      <c r="T2414" t="str">
        <f>_xll.BDP("989726BS Muni","LQA_LIQUIDITY_SCORE")</f>
        <v>#N/A Requesting Data...</v>
      </c>
    </row>
    <row r="2415" spans="1:20" x14ac:dyDescent="0.25">
      <c r="A2415" t="str">
        <f>_xll.BDP("989726BU Muni","ID_CUSIP")</f>
        <v>#N/A Requesting Data...</v>
      </c>
      <c r="B2415" t="s">
        <v>566</v>
      </c>
      <c r="C2415" t="str">
        <f>_xll.BDP("989726BU Muni","INSURANCE_STATUS")</f>
        <v>#N/A Requesting Data...</v>
      </c>
      <c r="D2415" t="str">
        <f>_xll.BDP("989726BU Muni","STATE_CODE")</f>
        <v>#N/A Requesting Data...</v>
      </c>
      <c r="E2415" t="str">
        <f>_xll.BDP("989726BU Muni","COUNTY_LOCATION_ISSUER")</f>
        <v>#N/A Requesting Data...</v>
      </c>
      <c r="F2415" t="str">
        <f>_xll.BDP("989726BU Muni","DUR_ADJ_MID")</f>
        <v>#N/A Requesting Data...</v>
      </c>
      <c r="G2415" t="str">
        <f>_xll.BDP("989726BU Muni","SPREAD_AT_ISSUANCE_TO_WORST")</f>
        <v>#N/A Requesting Data...</v>
      </c>
      <c r="H2415" t="str">
        <f>_xll.BDP("989726BU Muni","ISSUE_DT")</f>
        <v>#N/A Requesting Data...</v>
      </c>
      <c r="I2415" t="str">
        <f>_xll.BDS("989726BU Muni","MUNI_PURPOSE_SCHED", "aggregate=y")</f>
        <v>#N/A Requesting Data...</v>
      </c>
      <c r="J2415" t="str">
        <f>_xll.BDP("989726BU Muni","CPN")</f>
        <v>#N/A Requesting Data...</v>
      </c>
      <c r="K2415" t="str">
        <f>_xll.BDP("989726BU Muni","MATURITY")</f>
        <v>#N/A Requesting Data...</v>
      </c>
      <c r="L2415">
        <v>75000</v>
      </c>
      <c r="M2415" t="str">
        <f>_xll.BDP("989726BU Muni","YIELD_ON_ISSUE_DATE")</f>
        <v>#N/A Requesting Data...</v>
      </c>
      <c r="N2415" t="str">
        <f>_xll.BDP("989726BU Muni","YTW_SPREAD_TO_MATURITY_AT_ISSU")</f>
        <v>#N/A Requesting Data...</v>
      </c>
      <c r="O2415" t="str">
        <f>_xll.BDP("989726BU Muni","BVAL_MID_YTM")</f>
        <v>#N/A Requesting Data...</v>
      </c>
      <c r="P2415" t="str">
        <f>_xll.BDP("989726BU Muni","MUNI_TAX_PROV")</f>
        <v>#N/A Requesting Data...</v>
      </c>
      <c r="Q2415" t="str">
        <f>_xll.BDP("989726BU Muni","MUNI_FED_TAX")</f>
        <v>#N/A Requesting Data...</v>
      </c>
      <c r="R2415" t="str">
        <f>_xll.BDP("989726BU Muni","MUNI_MSRB_VOLUME")</f>
        <v>#N/A Requesting Data...</v>
      </c>
      <c r="S2415" t="str">
        <f>_xll.BDP("989726BU Muni","BB_COMPOSITE")</f>
        <v>#N/A Requesting Data...</v>
      </c>
      <c r="T2415" t="str">
        <f>_xll.BDP("989726BU Muni","LQA_LIQUIDITY_SCORE")</f>
        <v>#N/A Requesting Data...</v>
      </c>
    </row>
    <row r="2416" spans="1:20" x14ac:dyDescent="0.25">
      <c r="A2416" t="str">
        <f>_xll.BDP("989726BV Muni","ID_CUSIP")</f>
        <v>#N/A Requesting Data...</v>
      </c>
      <c r="B2416" t="s">
        <v>566</v>
      </c>
      <c r="C2416" t="str">
        <f>_xll.BDP("989726BV Muni","INSURANCE_STATUS")</f>
        <v>#N/A Requesting Data...</v>
      </c>
      <c r="D2416" t="str">
        <f>_xll.BDP("989726BV Muni","STATE_CODE")</f>
        <v>#N/A Requesting Data...</v>
      </c>
      <c r="E2416" t="str">
        <f>_xll.BDP("989726BV Muni","COUNTY_LOCATION_ISSUER")</f>
        <v>#N/A Requesting Data...</v>
      </c>
      <c r="F2416" t="str">
        <f>_xll.BDP("989726BV Muni","DUR_ADJ_MID")</f>
        <v>#N/A Requesting Data...</v>
      </c>
      <c r="G2416" t="str">
        <f>_xll.BDP("989726BV Muni","SPREAD_AT_ISSUANCE_TO_WORST")</f>
        <v>#N/A Requesting Data...</v>
      </c>
      <c r="H2416" t="str">
        <f>_xll.BDP("989726BV Muni","ISSUE_DT")</f>
        <v>#N/A Requesting Data...</v>
      </c>
      <c r="I2416" t="str">
        <f>_xll.BDS("989726BV Muni","MUNI_PURPOSE_SCHED", "aggregate=y")</f>
        <v>#N/A Requesting Data...</v>
      </c>
      <c r="J2416" t="str">
        <f>_xll.BDP("989726BV Muni","CPN")</f>
        <v>#N/A Requesting Data...</v>
      </c>
      <c r="K2416" t="str">
        <f>_xll.BDP("989726BV Muni","MATURITY")</f>
        <v>#N/A Requesting Data...</v>
      </c>
      <c r="L2416">
        <v>75000</v>
      </c>
      <c r="M2416" t="str">
        <f>_xll.BDP("989726BV Muni","YIELD_ON_ISSUE_DATE")</f>
        <v>#N/A Requesting Data...</v>
      </c>
      <c r="N2416" t="str">
        <f>_xll.BDP("989726BV Muni","YTW_SPREAD_TO_MATURITY_AT_ISSU")</f>
        <v>#N/A Requesting Data...</v>
      </c>
      <c r="O2416" t="str">
        <f>_xll.BDP("989726BV Muni","BVAL_MID_YTM")</f>
        <v>#N/A Requesting Data...</v>
      </c>
      <c r="P2416" t="str">
        <f>_xll.BDP("989726BV Muni","MUNI_TAX_PROV")</f>
        <v>#N/A Requesting Data...</v>
      </c>
      <c r="Q2416" t="str">
        <f>_xll.BDP("989726BV Muni","MUNI_FED_TAX")</f>
        <v>#N/A Requesting Data...</v>
      </c>
      <c r="R2416" t="str">
        <f>_xll.BDP("989726BV Muni","MUNI_MSRB_VOLUME")</f>
        <v>#N/A Requesting Data...</v>
      </c>
      <c r="S2416" t="str">
        <f>_xll.BDP("989726BV Muni","BB_COMPOSITE")</f>
        <v>#N/A Requesting Data...</v>
      </c>
      <c r="T2416" t="str">
        <f>_xll.BDP("989726BV Muni","LQA_LIQUIDITY_SCORE")</f>
        <v>#N/A Requesting Data...</v>
      </c>
    </row>
    <row r="2417" spans="1:20" x14ac:dyDescent="0.25">
      <c r="A2417" t="str">
        <f>_xll.BDP("989726BW Muni","ID_CUSIP")</f>
        <v>#N/A Requesting Data...</v>
      </c>
      <c r="B2417" t="s">
        <v>566</v>
      </c>
      <c r="C2417" t="str">
        <f>_xll.BDP("989726BW Muni","INSURANCE_STATUS")</f>
        <v>#N/A Requesting Data...</v>
      </c>
      <c r="D2417" t="str">
        <f>_xll.BDP("989726BW Muni","STATE_CODE")</f>
        <v>#N/A Requesting Data...</v>
      </c>
      <c r="E2417" t="str">
        <f>_xll.BDP("989726BW Muni","COUNTY_LOCATION_ISSUER")</f>
        <v>#N/A Requesting Data...</v>
      </c>
      <c r="F2417" t="str">
        <f>_xll.BDP("989726BW Muni","DUR_ADJ_MID")</f>
        <v>#N/A Requesting Data...</v>
      </c>
      <c r="G2417" t="str">
        <f>_xll.BDP("989726BW Muni","SPREAD_AT_ISSUANCE_TO_WORST")</f>
        <v>#N/A Requesting Data...</v>
      </c>
      <c r="H2417" t="str">
        <f>_xll.BDP("989726BW Muni","ISSUE_DT")</f>
        <v>#N/A Requesting Data...</v>
      </c>
      <c r="I2417" t="str">
        <f>_xll.BDS("989726BW Muni","MUNI_PURPOSE_SCHED", "aggregate=y")</f>
        <v>#N/A Requesting Data...</v>
      </c>
      <c r="J2417" t="str">
        <f>_xll.BDP("989726BW Muni","CPN")</f>
        <v>#N/A Requesting Data...</v>
      </c>
      <c r="K2417" t="str">
        <f>_xll.BDP("989726BW Muni","MATURITY")</f>
        <v>#N/A Requesting Data...</v>
      </c>
      <c r="L2417">
        <v>80000</v>
      </c>
      <c r="M2417" t="str">
        <f>_xll.BDP("989726BW Muni","YIELD_ON_ISSUE_DATE")</f>
        <v>#N/A Requesting Data...</v>
      </c>
      <c r="N2417" t="str">
        <f>_xll.BDP("989726BW Muni","YTW_SPREAD_TO_MATURITY_AT_ISSU")</f>
        <v>#N/A Requesting Data...</v>
      </c>
      <c r="O2417" t="str">
        <f>_xll.BDP("989726BW Muni","BVAL_MID_YTM")</f>
        <v>#N/A Requesting Data...</v>
      </c>
      <c r="P2417" t="str">
        <f>_xll.BDP("989726BW Muni","MUNI_TAX_PROV")</f>
        <v>#N/A Requesting Data...</v>
      </c>
      <c r="Q2417" t="str">
        <f>_xll.BDP("989726BW Muni","MUNI_FED_TAX")</f>
        <v>#N/A Requesting Data...</v>
      </c>
      <c r="R2417" t="str">
        <f>_xll.BDP("989726BW Muni","MUNI_MSRB_VOLUME")</f>
        <v>#N/A Requesting Data...</v>
      </c>
      <c r="S2417" t="str">
        <f>_xll.BDP("989726BW Muni","BB_COMPOSITE")</f>
        <v>#N/A Requesting Data...</v>
      </c>
      <c r="T2417" t="str">
        <f>_xll.BDP("989726BW Muni","LQA_LIQUIDITY_SCORE")</f>
        <v>#N/A Requesting Data...</v>
      </c>
    </row>
    <row r="2418" spans="1:20" x14ac:dyDescent="0.25">
      <c r="A2418" t="str">
        <f>_xll.BDP("989726BX Muni","ID_CUSIP")</f>
        <v>#N/A Requesting Data...</v>
      </c>
      <c r="B2418" t="s">
        <v>566</v>
      </c>
      <c r="C2418" t="str">
        <f>_xll.BDP("989726BX Muni","INSURANCE_STATUS")</f>
        <v>#N/A Requesting Data...</v>
      </c>
      <c r="D2418" t="str">
        <f>_xll.BDP("989726BX Muni","STATE_CODE")</f>
        <v>#N/A Requesting Data...</v>
      </c>
      <c r="E2418" t="str">
        <f>_xll.BDP("989726BX Muni","COUNTY_LOCATION_ISSUER")</f>
        <v>#N/A Requesting Data...</v>
      </c>
      <c r="F2418" t="str">
        <f>_xll.BDP("989726BX Muni","DUR_ADJ_MID")</f>
        <v>#N/A Requesting Data...</v>
      </c>
      <c r="G2418" t="str">
        <f>_xll.BDP("989726BX Muni","SPREAD_AT_ISSUANCE_TO_WORST")</f>
        <v>#N/A Requesting Data...</v>
      </c>
      <c r="H2418" t="str">
        <f>_xll.BDP("989726BX Muni","ISSUE_DT")</f>
        <v>#N/A Requesting Data...</v>
      </c>
      <c r="I2418" t="str">
        <f>_xll.BDS("989726BX Muni","MUNI_PURPOSE_SCHED", "aggregate=y")</f>
        <v>#N/A Requesting Data...</v>
      </c>
      <c r="J2418" t="str">
        <f>_xll.BDP("989726BX Muni","CPN")</f>
        <v>#N/A Requesting Data...</v>
      </c>
      <c r="K2418" t="str">
        <f>_xll.BDP("989726BX Muni","MATURITY")</f>
        <v>#N/A Requesting Data...</v>
      </c>
      <c r="L2418">
        <v>80000</v>
      </c>
      <c r="M2418" t="str">
        <f>_xll.BDP("989726BX Muni","YIELD_ON_ISSUE_DATE")</f>
        <v>#N/A Requesting Data...</v>
      </c>
      <c r="N2418" t="str">
        <f>_xll.BDP("989726BX Muni","YTW_SPREAD_TO_MATURITY_AT_ISSU")</f>
        <v>#N/A Requesting Data...</v>
      </c>
      <c r="O2418" t="str">
        <f>_xll.BDP("989726BX Muni","BVAL_MID_YTM")</f>
        <v>#N/A Requesting Data...</v>
      </c>
      <c r="P2418" t="str">
        <f>_xll.BDP("989726BX Muni","MUNI_TAX_PROV")</f>
        <v>#N/A Requesting Data...</v>
      </c>
      <c r="Q2418" t="str">
        <f>_xll.BDP("989726BX Muni","MUNI_FED_TAX")</f>
        <v>#N/A Requesting Data...</v>
      </c>
      <c r="R2418" t="str">
        <f>_xll.BDP("989726BX Muni","MUNI_MSRB_VOLUME")</f>
        <v>#N/A Requesting Data...</v>
      </c>
      <c r="S2418" t="str">
        <f>_xll.BDP("989726BX Muni","BB_COMPOSITE")</f>
        <v>#N/A Requesting Data...</v>
      </c>
      <c r="T2418" t="str">
        <f>_xll.BDP("989726BX Muni","LQA_LIQUIDITY_SCORE")</f>
        <v>#N/A Requesting Data...</v>
      </c>
    </row>
    <row r="2419" spans="1:20" x14ac:dyDescent="0.25">
      <c r="A2419" t="str">
        <f>_xll.BDP("851830KA Muni","ID_CUSIP")</f>
        <v>#N/A Requesting Data...</v>
      </c>
      <c r="B2419" t="s">
        <v>567</v>
      </c>
      <c r="C2419" t="str">
        <f>_xll.BDP("851830KA Muni","INSURANCE_STATUS")</f>
        <v>#N/A Requesting Data...</v>
      </c>
      <c r="D2419" t="str">
        <f>_xll.BDP("851830KA Muni","STATE_CODE")</f>
        <v>#N/A Requesting Data...</v>
      </c>
      <c r="E2419" t="str">
        <f>_xll.BDP("851830KA Muni","COUNTY_LOCATION_ISSUER")</f>
        <v>#N/A Requesting Data...</v>
      </c>
      <c r="F2419" t="str">
        <f>_xll.BDP("851830KA Muni","DUR_ADJ_MID")</f>
        <v>#N/A Requesting Data...</v>
      </c>
      <c r="G2419" t="str">
        <f>_xll.BDP("851830KA Muni","SPREAD_AT_ISSUANCE_TO_WORST")</f>
        <v>#N/A Requesting Data...</v>
      </c>
      <c r="H2419" t="str">
        <f>_xll.BDP("851830KA Muni","ISSUE_DT")</f>
        <v>#N/A Requesting Data...</v>
      </c>
      <c r="I2419" t="str">
        <f>_xll.BDS("851830KA Muni","MUNI_PURPOSE_SCHED", "aggregate=y")</f>
        <v>#N/A Requesting Data...</v>
      </c>
      <c r="J2419" t="str">
        <f>_xll.BDP("851830KA Muni","CPN")</f>
        <v>#N/A Requesting Data...</v>
      </c>
      <c r="K2419" t="str">
        <f>_xll.BDP("851830KA Muni","MATURITY")</f>
        <v>#N/A Requesting Data...</v>
      </c>
      <c r="L2419">
        <v>40000</v>
      </c>
      <c r="M2419" t="str">
        <f>_xll.BDP("851830KA Muni","YIELD_ON_ISSUE_DATE")</f>
        <v>#N/A Requesting Data...</v>
      </c>
      <c r="N2419" t="str">
        <f>_xll.BDP("851830KA Muni","YTW_SPREAD_TO_MATURITY_AT_ISSU")</f>
        <v>#N/A Requesting Data...</v>
      </c>
      <c r="O2419" t="str">
        <f>_xll.BDP("851830KA Muni","BVAL_MID_YTM")</f>
        <v>#N/A Requesting Data...</v>
      </c>
      <c r="P2419" t="str">
        <f>_xll.BDP("851830KA Muni","MUNI_TAX_PROV")</f>
        <v>#N/A Requesting Data...</v>
      </c>
      <c r="Q2419" t="str">
        <f>_xll.BDP("851830KA Muni","MUNI_FED_TAX")</f>
        <v>#N/A Requesting Data...</v>
      </c>
      <c r="R2419" t="str">
        <f>_xll.BDP("851830KA Muni","MUNI_MSRB_VOLUME")</f>
        <v>#N/A Requesting Data...</v>
      </c>
      <c r="S2419" t="str">
        <f>_xll.BDP("851830KA Muni","BB_COMPOSITE")</f>
        <v>#N/A Requesting Data...</v>
      </c>
      <c r="T2419" t="str">
        <f>_xll.BDP("851830KA Muni","LQA_LIQUIDITY_SCORE")</f>
        <v>#N/A Requesting Data...</v>
      </c>
    </row>
    <row r="2420" spans="1:20" x14ac:dyDescent="0.25">
      <c r="A2420" t="str">
        <f>_xll.BDP("851830KB Muni","ID_CUSIP")</f>
        <v>#N/A Requesting Data...</v>
      </c>
      <c r="B2420" t="s">
        <v>567</v>
      </c>
      <c r="C2420" t="str">
        <f>_xll.BDP("851830KB Muni","INSURANCE_STATUS")</f>
        <v>#N/A Requesting Data...</v>
      </c>
      <c r="D2420" t="str">
        <f>_xll.BDP("851830KB Muni","STATE_CODE")</f>
        <v>#N/A Requesting Data...</v>
      </c>
      <c r="E2420" t="str">
        <f>_xll.BDP("851830KB Muni","COUNTY_LOCATION_ISSUER")</f>
        <v>#N/A Requesting Data...</v>
      </c>
      <c r="F2420" t="str">
        <f>_xll.BDP("851830KB Muni","DUR_ADJ_MID")</f>
        <v>#N/A Requesting Data...</v>
      </c>
      <c r="G2420" t="str">
        <f>_xll.BDP("851830KB Muni","SPREAD_AT_ISSUANCE_TO_WORST")</f>
        <v>#N/A Requesting Data...</v>
      </c>
      <c r="H2420" t="str">
        <f>_xll.BDP("851830KB Muni","ISSUE_DT")</f>
        <v>#N/A Requesting Data...</v>
      </c>
      <c r="I2420" t="str">
        <f>_xll.BDS("851830KB Muni","MUNI_PURPOSE_SCHED", "aggregate=y")</f>
        <v>#N/A Requesting Data...</v>
      </c>
      <c r="J2420" t="str">
        <f>_xll.BDP("851830KB Muni","CPN")</f>
        <v>#N/A Requesting Data...</v>
      </c>
      <c r="K2420" t="str">
        <f>_xll.BDP("851830KB Muni","MATURITY")</f>
        <v>#N/A Requesting Data...</v>
      </c>
      <c r="L2420">
        <v>40000</v>
      </c>
      <c r="M2420" t="str">
        <f>_xll.BDP("851830KB Muni","YIELD_ON_ISSUE_DATE")</f>
        <v>#N/A Requesting Data...</v>
      </c>
      <c r="N2420" t="str">
        <f>_xll.BDP("851830KB Muni","YTW_SPREAD_TO_MATURITY_AT_ISSU")</f>
        <v>#N/A Requesting Data...</v>
      </c>
      <c r="O2420" t="str">
        <f>_xll.BDP("851830KB Muni","BVAL_MID_YTM")</f>
        <v>#N/A Requesting Data...</v>
      </c>
      <c r="P2420" t="str">
        <f>_xll.BDP("851830KB Muni","MUNI_TAX_PROV")</f>
        <v>#N/A Requesting Data...</v>
      </c>
      <c r="Q2420" t="str">
        <f>_xll.BDP("851830KB Muni","MUNI_FED_TAX")</f>
        <v>#N/A Requesting Data...</v>
      </c>
      <c r="R2420" t="str">
        <f>_xll.BDP("851830KB Muni","MUNI_MSRB_VOLUME")</f>
        <v>#N/A Requesting Data...</v>
      </c>
      <c r="S2420" t="str">
        <f>_xll.BDP("851830KB Muni","BB_COMPOSITE")</f>
        <v>#N/A Requesting Data...</v>
      </c>
      <c r="T2420" t="str">
        <f>_xll.BDP("851830KB Muni","LQA_LIQUIDITY_SCORE")</f>
        <v>#N/A Requesting Data...</v>
      </c>
    </row>
    <row r="2421" spans="1:20" x14ac:dyDescent="0.25">
      <c r="A2421" t="str">
        <f>_xll.BDP("851830KC Muni","ID_CUSIP")</f>
        <v>#N/A Requesting Data...</v>
      </c>
      <c r="B2421" t="s">
        <v>567</v>
      </c>
      <c r="C2421" t="str">
        <f>_xll.BDP("851830KC Muni","INSURANCE_STATUS")</f>
        <v>#N/A Requesting Data...</v>
      </c>
      <c r="D2421" t="str">
        <f>_xll.BDP("851830KC Muni","STATE_CODE")</f>
        <v>#N/A Requesting Data...</v>
      </c>
      <c r="E2421" t="str">
        <f>_xll.BDP("851830KC Muni","COUNTY_LOCATION_ISSUER")</f>
        <v>#N/A Requesting Data...</v>
      </c>
      <c r="F2421" t="str">
        <f>_xll.BDP("851830KC Muni","DUR_ADJ_MID")</f>
        <v>#N/A Requesting Data...</v>
      </c>
      <c r="G2421" t="str">
        <f>_xll.BDP("851830KC Muni","SPREAD_AT_ISSUANCE_TO_WORST")</f>
        <v>#N/A Requesting Data...</v>
      </c>
      <c r="H2421" t="str">
        <f>_xll.BDP("851830KC Muni","ISSUE_DT")</f>
        <v>#N/A Requesting Data...</v>
      </c>
      <c r="I2421" t="str">
        <f>_xll.BDS("851830KC Muni","MUNI_PURPOSE_SCHED", "aggregate=y")</f>
        <v>#N/A Requesting Data...</v>
      </c>
      <c r="J2421" t="str">
        <f>_xll.BDP("851830KC Muni","CPN")</f>
        <v>#N/A Requesting Data...</v>
      </c>
      <c r="K2421" t="str">
        <f>_xll.BDP("851830KC Muni","MATURITY")</f>
        <v>#N/A Requesting Data...</v>
      </c>
      <c r="L2421">
        <v>40000</v>
      </c>
      <c r="M2421" t="str">
        <f>_xll.BDP("851830KC Muni","YIELD_ON_ISSUE_DATE")</f>
        <v>#N/A Requesting Data...</v>
      </c>
      <c r="N2421" t="str">
        <f>_xll.BDP("851830KC Muni","YTW_SPREAD_TO_MATURITY_AT_ISSU")</f>
        <v>#N/A Requesting Data...</v>
      </c>
      <c r="O2421" t="str">
        <f>_xll.BDP("851830KC Muni","BVAL_MID_YTM")</f>
        <v>#N/A Requesting Data...</v>
      </c>
      <c r="P2421" t="str">
        <f>_xll.BDP("851830KC Muni","MUNI_TAX_PROV")</f>
        <v>#N/A Requesting Data...</v>
      </c>
      <c r="Q2421" t="str">
        <f>_xll.BDP("851830KC Muni","MUNI_FED_TAX")</f>
        <v>#N/A Requesting Data...</v>
      </c>
      <c r="R2421" t="str">
        <f>_xll.BDP("851830KC Muni","MUNI_MSRB_VOLUME")</f>
        <v>#N/A Requesting Data...</v>
      </c>
      <c r="S2421" t="str">
        <f>_xll.BDP("851830KC Muni","BB_COMPOSITE")</f>
        <v>#N/A Requesting Data...</v>
      </c>
      <c r="T2421" t="str">
        <f>_xll.BDP("851830KC Muni","LQA_LIQUIDITY_SCORE")</f>
        <v>#N/A Requesting Data...</v>
      </c>
    </row>
    <row r="2422" spans="1:20" x14ac:dyDescent="0.25">
      <c r="A2422" t="str">
        <f>_xll.BDP("851830KD Muni","ID_CUSIP")</f>
        <v>#N/A Requesting Data...</v>
      </c>
      <c r="B2422" t="s">
        <v>567</v>
      </c>
      <c r="C2422" t="str">
        <f>_xll.BDP("851830KD Muni","INSURANCE_STATUS")</f>
        <v>#N/A Requesting Data...</v>
      </c>
      <c r="D2422" t="str">
        <f>_xll.BDP("851830KD Muni","STATE_CODE")</f>
        <v>#N/A Requesting Data...</v>
      </c>
      <c r="E2422" t="str">
        <f>_xll.BDP("851830KD Muni","COUNTY_LOCATION_ISSUER")</f>
        <v>#N/A Requesting Data...</v>
      </c>
      <c r="F2422" t="str">
        <f>_xll.BDP("851830KD Muni","DUR_ADJ_MID")</f>
        <v>#N/A Requesting Data...</v>
      </c>
      <c r="G2422" t="str">
        <f>_xll.BDP("851830KD Muni","SPREAD_AT_ISSUANCE_TO_WORST")</f>
        <v>#N/A Requesting Data...</v>
      </c>
      <c r="H2422" t="str">
        <f>_xll.BDP("851830KD Muni","ISSUE_DT")</f>
        <v>#N/A Requesting Data...</v>
      </c>
      <c r="I2422" t="str">
        <f>_xll.BDS("851830KD Muni","MUNI_PURPOSE_SCHED", "aggregate=y")</f>
        <v>#N/A Requesting Data...</v>
      </c>
      <c r="J2422" t="str">
        <f>_xll.BDP("851830KD Muni","CPN")</f>
        <v>#N/A Requesting Data...</v>
      </c>
      <c r="K2422" t="str">
        <f>_xll.BDP("851830KD Muni","MATURITY")</f>
        <v>#N/A Requesting Data...</v>
      </c>
      <c r="L2422">
        <v>40000</v>
      </c>
      <c r="M2422" t="str">
        <f>_xll.BDP("851830KD Muni","YIELD_ON_ISSUE_DATE")</f>
        <v>#N/A Requesting Data...</v>
      </c>
      <c r="N2422" t="str">
        <f>_xll.BDP("851830KD Muni","YTW_SPREAD_TO_MATURITY_AT_ISSU")</f>
        <v>#N/A Requesting Data...</v>
      </c>
      <c r="O2422" t="str">
        <f>_xll.BDP("851830KD Muni","BVAL_MID_YTM")</f>
        <v>#N/A Requesting Data...</v>
      </c>
      <c r="P2422" t="str">
        <f>_xll.BDP("851830KD Muni","MUNI_TAX_PROV")</f>
        <v>#N/A Requesting Data...</v>
      </c>
      <c r="Q2422" t="str">
        <f>_xll.BDP("851830KD Muni","MUNI_FED_TAX")</f>
        <v>#N/A Requesting Data...</v>
      </c>
      <c r="R2422" t="str">
        <f>_xll.BDP("851830KD Muni","MUNI_MSRB_VOLUME")</f>
        <v>#N/A Requesting Data...</v>
      </c>
      <c r="S2422" t="str">
        <f>_xll.BDP("851830KD Muni","BB_COMPOSITE")</f>
        <v>#N/A Requesting Data...</v>
      </c>
      <c r="T2422" t="str">
        <f>_xll.BDP("851830KD Muni","LQA_LIQUIDITY_SCORE")</f>
        <v>#N/A Requesting Data...</v>
      </c>
    </row>
    <row r="2423" spans="1:20" x14ac:dyDescent="0.25">
      <c r="A2423" t="str">
        <f>_xll.BDP("851830KE Muni","ID_CUSIP")</f>
        <v>#N/A Requesting Data...</v>
      </c>
      <c r="B2423" t="s">
        <v>567</v>
      </c>
      <c r="C2423" t="str">
        <f>_xll.BDP("851830KE Muni","INSURANCE_STATUS")</f>
        <v>#N/A Requesting Data...</v>
      </c>
      <c r="D2423" t="str">
        <f>_xll.BDP("851830KE Muni","STATE_CODE")</f>
        <v>#N/A Requesting Data...</v>
      </c>
      <c r="E2423" t="str">
        <f>_xll.BDP("851830KE Muni","COUNTY_LOCATION_ISSUER")</f>
        <v>#N/A Requesting Data...</v>
      </c>
      <c r="F2423" t="str">
        <f>_xll.BDP("851830KE Muni","DUR_ADJ_MID")</f>
        <v>#N/A Requesting Data...</v>
      </c>
      <c r="G2423" t="str">
        <f>_xll.BDP("851830KE Muni","SPREAD_AT_ISSUANCE_TO_WORST")</f>
        <v>#N/A Requesting Data...</v>
      </c>
      <c r="H2423" t="str">
        <f>_xll.BDP("851830KE Muni","ISSUE_DT")</f>
        <v>#N/A Requesting Data...</v>
      </c>
      <c r="I2423" t="str">
        <f>_xll.BDS("851830KE Muni","MUNI_PURPOSE_SCHED", "aggregate=y")</f>
        <v>#N/A Requesting Data...</v>
      </c>
      <c r="J2423" t="str">
        <f>_xll.BDP("851830KE Muni","CPN")</f>
        <v>#N/A Requesting Data...</v>
      </c>
      <c r="K2423" t="str">
        <f>_xll.BDP("851830KE Muni","MATURITY")</f>
        <v>#N/A Requesting Data...</v>
      </c>
      <c r="L2423">
        <v>40000</v>
      </c>
      <c r="M2423" t="str">
        <f>_xll.BDP("851830KE Muni","YIELD_ON_ISSUE_DATE")</f>
        <v>#N/A Requesting Data...</v>
      </c>
      <c r="N2423" t="str">
        <f>_xll.BDP("851830KE Muni","YTW_SPREAD_TO_MATURITY_AT_ISSU")</f>
        <v>#N/A Requesting Data...</v>
      </c>
      <c r="O2423" t="str">
        <f>_xll.BDP("851830KE Muni","BVAL_MID_YTM")</f>
        <v>#N/A Requesting Data...</v>
      </c>
      <c r="P2423" t="str">
        <f>_xll.BDP("851830KE Muni","MUNI_TAX_PROV")</f>
        <v>#N/A Requesting Data...</v>
      </c>
      <c r="Q2423" t="str">
        <f>_xll.BDP("851830KE Muni","MUNI_FED_TAX")</f>
        <v>#N/A Requesting Data...</v>
      </c>
      <c r="R2423" t="str">
        <f>_xll.BDP("851830KE Muni","MUNI_MSRB_VOLUME")</f>
        <v>#N/A Requesting Data...</v>
      </c>
      <c r="S2423" t="str">
        <f>_xll.BDP("851830KE Muni","BB_COMPOSITE")</f>
        <v>#N/A Requesting Data...</v>
      </c>
      <c r="T2423" t="str">
        <f>_xll.BDP("851830KE Muni","LQA_LIQUIDITY_SCORE")</f>
        <v>#N/A Requesting Data...</v>
      </c>
    </row>
    <row r="2424" spans="1:20" x14ac:dyDescent="0.25">
      <c r="A2424" t="str">
        <f>_xll.BDP("851830KF Muni","ID_CUSIP")</f>
        <v>#N/A Requesting Data...</v>
      </c>
      <c r="B2424" t="s">
        <v>567</v>
      </c>
      <c r="C2424" t="str">
        <f>_xll.BDP("851830KF Muni","INSURANCE_STATUS")</f>
        <v>#N/A Requesting Data...</v>
      </c>
      <c r="D2424" t="str">
        <f>_xll.BDP("851830KF Muni","STATE_CODE")</f>
        <v>#N/A Requesting Data...</v>
      </c>
      <c r="E2424" t="str">
        <f>_xll.BDP("851830KF Muni","COUNTY_LOCATION_ISSUER")</f>
        <v>#N/A Requesting Data...</v>
      </c>
      <c r="F2424" t="str">
        <f>_xll.BDP("851830KF Muni","DUR_ADJ_MID")</f>
        <v>#N/A Requesting Data...</v>
      </c>
      <c r="G2424" t="str">
        <f>_xll.BDP("851830KF Muni","SPREAD_AT_ISSUANCE_TO_WORST")</f>
        <v>#N/A Requesting Data...</v>
      </c>
      <c r="H2424" t="str">
        <f>_xll.BDP("851830KF Muni","ISSUE_DT")</f>
        <v>#N/A Requesting Data...</v>
      </c>
      <c r="I2424" t="str">
        <f>_xll.BDS("851830KF Muni","MUNI_PURPOSE_SCHED", "aggregate=y")</f>
        <v>#N/A Requesting Data...</v>
      </c>
      <c r="J2424" t="str">
        <f>_xll.BDP("851830KF Muni","CPN")</f>
        <v>#N/A Requesting Data...</v>
      </c>
      <c r="K2424" t="str">
        <f>_xll.BDP("851830KF Muni","MATURITY")</f>
        <v>#N/A Requesting Data...</v>
      </c>
      <c r="L2424">
        <v>40000</v>
      </c>
      <c r="M2424" t="str">
        <f>_xll.BDP("851830KF Muni","YIELD_ON_ISSUE_DATE")</f>
        <v>#N/A Requesting Data...</v>
      </c>
      <c r="N2424" t="str">
        <f>_xll.BDP("851830KF Muni","YTW_SPREAD_TO_MATURITY_AT_ISSU")</f>
        <v>#N/A Requesting Data...</v>
      </c>
      <c r="O2424" t="str">
        <f>_xll.BDP("851830KF Muni","BVAL_MID_YTM")</f>
        <v>#N/A Requesting Data...</v>
      </c>
      <c r="P2424" t="str">
        <f>_xll.BDP("851830KF Muni","MUNI_TAX_PROV")</f>
        <v>#N/A Requesting Data...</v>
      </c>
      <c r="Q2424" t="str">
        <f>_xll.BDP("851830KF Muni","MUNI_FED_TAX")</f>
        <v>#N/A Requesting Data...</v>
      </c>
      <c r="R2424" t="str">
        <f>_xll.BDP("851830KF Muni","MUNI_MSRB_VOLUME")</f>
        <v>#N/A Requesting Data...</v>
      </c>
      <c r="S2424" t="str">
        <f>_xll.BDP("851830KF Muni","BB_COMPOSITE")</f>
        <v>#N/A Requesting Data...</v>
      </c>
      <c r="T2424" t="str">
        <f>_xll.BDP("851830KF Muni","LQA_LIQUIDITY_SCORE")</f>
        <v>#N/A Requesting Data...</v>
      </c>
    </row>
    <row r="2425" spans="1:20" x14ac:dyDescent="0.25">
      <c r="A2425" t="str">
        <f>_xll.BDP("851882AN Muni","ID_CUSIP")</f>
        <v>#N/A Requesting Data...</v>
      </c>
      <c r="B2425" t="s">
        <v>568</v>
      </c>
      <c r="C2425" t="str">
        <f>_xll.BDP("851882AN Muni","INSURANCE_STATUS")</f>
        <v>#N/A Requesting Data...</v>
      </c>
      <c r="D2425" t="str">
        <f>_xll.BDP("851882AN Muni","STATE_CODE")</f>
        <v>#N/A Requesting Data...</v>
      </c>
      <c r="E2425" t="str">
        <f>_xll.BDP("851882AN Muni","COUNTY_LOCATION_ISSUER")</f>
        <v>#N/A Requesting Data...</v>
      </c>
      <c r="F2425" t="str">
        <f>_xll.BDP("851882AN Muni","DUR_ADJ_MID")</f>
        <v>#N/A Requesting Data...</v>
      </c>
      <c r="G2425" t="str">
        <f>_xll.BDP("851882AN Muni","SPREAD_AT_ISSUANCE_TO_WORST")</f>
        <v>#N/A Requesting Data...</v>
      </c>
      <c r="H2425" t="str">
        <f>_xll.BDP("851882AN Muni","ISSUE_DT")</f>
        <v>#N/A Requesting Data...</v>
      </c>
      <c r="I2425" t="str">
        <f>_xll.BDS("851882AN Muni","MUNI_PURPOSE_SCHED", "aggregate=y")</f>
        <v>#N/A Requesting Data...</v>
      </c>
      <c r="J2425" t="str">
        <f>_xll.BDP("851882AN Muni","CPN")</f>
        <v>#N/A Requesting Data...</v>
      </c>
      <c r="K2425" t="str">
        <f>_xll.BDP("851882AN Muni","MATURITY")</f>
        <v>#N/A Requesting Data...</v>
      </c>
      <c r="L2425">
        <v>95000</v>
      </c>
      <c r="M2425" t="str">
        <f>_xll.BDP("851882AN Muni","YIELD_ON_ISSUE_DATE")</f>
        <v>#N/A Requesting Data...</v>
      </c>
      <c r="N2425" t="str">
        <f>_xll.BDP("851882AN Muni","YTW_SPREAD_TO_MATURITY_AT_ISSU")</f>
        <v>#N/A Requesting Data...</v>
      </c>
      <c r="O2425" t="str">
        <f>_xll.BDP("851882AN Muni","BVAL_MID_YTM")</f>
        <v>#N/A Requesting Data...</v>
      </c>
      <c r="P2425" t="str">
        <f>_xll.BDP("851882AN Muni","MUNI_TAX_PROV")</f>
        <v>#N/A Requesting Data...</v>
      </c>
      <c r="Q2425" t="str">
        <f>_xll.BDP("851882AN Muni","MUNI_FED_TAX")</f>
        <v>#N/A Requesting Data...</v>
      </c>
      <c r="R2425" t="str">
        <f>_xll.BDP("851882AN Muni","MUNI_MSRB_VOLUME")</f>
        <v>#N/A Requesting Data...</v>
      </c>
      <c r="S2425" t="str">
        <f>_xll.BDP("851882AN Muni","BB_COMPOSITE")</f>
        <v>#N/A Requesting Data...</v>
      </c>
      <c r="T2425" t="str">
        <f>_xll.BDP("851882AN Muni","LQA_LIQUIDITY_SCORE")</f>
        <v>#N/A Requesting Data...</v>
      </c>
    </row>
    <row r="2426" spans="1:20" x14ac:dyDescent="0.25">
      <c r="A2426" t="str">
        <f>_xll.BDP("851882AP Muni","ID_CUSIP")</f>
        <v>#N/A Requesting Data...</v>
      </c>
      <c r="B2426" t="s">
        <v>568</v>
      </c>
      <c r="C2426" t="str">
        <f>_xll.BDP("851882AP Muni","INSURANCE_STATUS")</f>
        <v>#N/A Requesting Data...</v>
      </c>
      <c r="D2426" t="str">
        <f>_xll.BDP("851882AP Muni","STATE_CODE")</f>
        <v>#N/A Requesting Data...</v>
      </c>
      <c r="E2426" t="str">
        <f>_xll.BDP("851882AP Muni","COUNTY_LOCATION_ISSUER")</f>
        <v>#N/A Requesting Data...</v>
      </c>
      <c r="F2426" t="str">
        <f>_xll.BDP("851882AP Muni","DUR_ADJ_MID")</f>
        <v>#N/A Requesting Data...</v>
      </c>
      <c r="G2426" t="str">
        <f>_xll.BDP("851882AP Muni","SPREAD_AT_ISSUANCE_TO_WORST")</f>
        <v>#N/A Requesting Data...</v>
      </c>
      <c r="H2426" t="str">
        <f>_xll.BDP("851882AP Muni","ISSUE_DT")</f>
        <v>#N/A Requesting Data...</v>
      </c>
      <c r="I2426" t="str">
        <f>_xll.BDS("851882AP Muni","MUNI_PURPOSE_SCHED", "aggregate=y")</f>
        <v>#N/A Requesting Data...</v>
      </c>
      <c r="J2426" t="str">
        <f>_xll.BDP("851882AP Muni","CPN")</f>
        <v>#N/A Requesting Data...</v>
      </c>
      <c r="K2426" t="str">
        <f>_xll.BDP("851882AP Muni","MATURITY")</f>
        <v>#N/A Requesting Data...</v>
      </c>
      <c r="L2426">
        <v>100000</v>
      </c>
      <c r="M2426" t="str">
        <f>_xll.BDP("851882AP Muni","YIELD_ON_ISSUE_DATE")</f>
        <v>#N/A Requesting Data...</v>
      </c>
      <c r="N2426" t="str">
        <f>_xll.BDP("851882AP Muni","YTW_SPREAD_TO_MATURITY_AT_ISSU")</f>
        <v>#N/A Requesting Data...</v>
      </c>
      <c r="O2426" t="str">
        <f>_xll.BDP("851882AP Muni","BVAL_MID_YTM")</f>
        <v>#N/A Requesting Data...</v>
      </c>
      <c r="P2426" t="str">
        <f>_xll.BDP("851882AP Muni","MUNI_TAX_PROV")</f>
        <v>#N/A Requesting Data...</v>
      </c>
      <c r="Q2426" t="str">
        <f>_xll.BDP("851882AP Muni","MUNI_FED_TAX")</f>
        <v>#N/A Requesting Data...</v>
      </c>
      <c r="R2426" t="str">
        <f>_xll.BDP("851882AP Muni","MUNI_MSRB_VOLUME")</f>
        <v>#N/A Requesting Data...</v>
      </c>
      <c r="S2426" t="str">
        <f>_xll.BDP("851882AP Muni","BB_COMPOSITE")</f>
        <v>#N/A Requesting Data...</v>
      </c>
      <c r="T2426" t="str">
        <f>_xll.BDP("851882AP Muni","LQA_LIQUIDITY_SCORE")</f>
        <v>#N/A Requesting Data...</v>
      </c>
    </row>
    <row r="2427" spans="1:20" x14ac:dyDescent="0.25">
      <c r="A2427" t="str">
        <f>_xll.BDP("851882AQ Muni","ID_CUSIP")</f>
        <v>#N/A Requesting Data...</v>
      </c>
      <c r="B2427" t="s">
        <v>568</v>
      </c>
      <c r="C2427" t="str">
        <f>_xll.BDP("851882AQ Muni","INSURANCE_STATUS")</f>
        <v>#N/A Requesting Data...</v>
      </c>
      <c r="D2427" t="str">
        <f>_xll.BDP("851882AQ Muni","STATE_CODE")</f>
        <v>#N/A Requesting Data...</v>
      </c>
      <c r="E2427" t="str">
        <f>_xll.BDP("851882AQ Muni","COUNTY_LOCATION_ISSUER")</f>
        <v>#N/A Requesting Data...</v>
      </c>
      <c r="F2427" t="str">
        <f>_xll.BDP("851882AQ Muni","DUR_ADJ_MID")</f>
        <v>#N/A Requesting Data...</v>
      </c>
      <c r="G2427" t="str">
        <f>_xll.BDP("851882AQ Muni","SPREAD_AT_ISSUANCE_TO_WORST")</f>
        <v>#N/A Requesting Data...</v>
      </c>
      <c r="H2427" t="str">
        <f>_xll.BDP("851882AQ Muni","ISSUE_DT")</f>
        <v>#N/A Requesting Data...</v>
      </c>
      <c r="I2427" t="str">
        <f>_xll.BDS("851882AQ Muni","MUNI_PURPOSE_SCHED", "aggregate=y")</f>
        <v>#N/A Requesting Data...</v>
      </c>
      <c r="J2427" t="str">
        <f>_xll.BDP("851882AQ Muni","CPN")</f>
        <v>#N/A Requesting Data...</v>
      </c>
      <c r="K2427" t="str">
        <f>_xll.BDP("851882AQ Muni","MATURITY")</f>
        <v>#N/A Requesting Data...</v>
      </c>
      <c r="L2427">
        <v>100000</v>
      </c>
      <c r="M2427" t="str">
        <f>_xll.BDP("851882AQ Muni","YIELD_ON_ISSUE_DATE")</f>
        <v>#N/A Requesting Data...</v>
      </c>
      <c r="N2427" t="str">
        <f>_xll.BDP("851882AQ Muni","YTW_SPREAD_TO_MATURITY_AT_ISSU")</f>
        <v>#N/A Requesting Data...</v>
      </c>
      <c r="O2427" t="str">
        <f>_xll.BDP("851882AQ Muni","BVAL_MID_YTM")</f>
        <v>#N/A Requesting Data...</v>
      </c>
      <c r="P2427" t="str">
        <f>_xll.BDP("851882AQ Muni","MUNI_TAX_PROV")</f>
        <v>#N/A Requesting Data...</v>
      </c>
      <c r="Q2427" t="str">
        <f>_xll.BDP("851882AQ Muni","MUNI_FED_TAX")</f>
        <v>#N/A Requesting Data...</v>
      </c>
      <c r="R2427" t="str">
        <f>_xll.BDP("851882AQ Muni","MUNI_MSRB_VOLUME")</f>
        <v>#N/A Requesting Data...</v>
      </c>
      <c r="S2427" t="str">
        <f>_xll.BDP("851882AQ Muni","BB_COMPOSITE")</f>
        <v>#N/A Requesting Data...</v>
      </c>
      <c r="T2427" t="str">
        <f>_xll.BDP("851882AQ Muni","LQA_LIQUIDITY_SCORE")</f>
        <v>#N/A Requesting Data...</v>
      </c>
    </row>
    <row r="2428" spans="1:20" x14ac:dyDescent="0.25">
      <c r="A2428" t="str">
        <f>_xll.BDP("804260YR Muni","ID_CUSIP")</f>
        <v>#N/A Requesting Data...</v>
      </c>
      <c r="B2428" t="s">
        <v>558</v>
      </c>
      <c r="C2428" t="str">
        <f>_xll.BDP("804260YR Muni","INSURANCE_STATUS")</f>
        <v>#N/A Requesting Data...</v>
      </c>
      <c r="D2428" t="str">
        <f>_xll.BDP("804260YR Muni","STATE_CODE")</f>
        <v>#N/A Requesting Data...</v>
      </c>
      <c r="E2428" t="str">
        <f>_xll.BDP("804260YR Muni","COUNTY_LOCATION_ISSUER")</f>
        <v>#N/A Requesting Data...</v>
      </c>
      <c r="F2428" t="str">
        <f>_xll.BDP("804260YR Muni","DUR_ADJ_MID")</f>
        <v>#N/A Requesting Data...</v>
      </c>
      <c r="G2428" t="str">
        <f>_xll.BDP("804260YR Muni","SPREAD_AT_ISSUANCE_TO_WORST")</f>
        <v>#N/A Requesting Data...</v>
      </c>
      <c r="H2428" t="str">
        <f>_xll.BDP("804260YR Muni","ISSUE_DT")</f>
        <v>#N/A Requesting Data...</v>
      </c>
      <c r="I2428" t="str">
        <f>_xll.BDS("804260YR Muni","MUNI_PURPOSE_SCHED", "aggregate=y")</f>
        <v>#N/A Requesting Data...</v>
      </c>
      <c r="J2428" t="str">
        <f>_xll.BDP("804260YR Muni","CPN")</f>
        <v>#N/A Requesting Data...</v>
      </c>
      <c r="K2428" t="str">
        <f>_xll.BDP("804260YR Muni","MATURITY")</f>
        <v>#N/A Requesting Data...</v>
      </c>
      <c r="L2428">
        <v>200000</v>
      </c>
      <c r="M2428" t="str">
        <f>_xll.BDP("804260YR Muni","YIELD_ON_ISSUE_DATE")</f>
        <v>#N/A Requesting Data...</v>
      </c>
      <c r="N2428" t="str">
        <f>_xll.BDP("804260YR Muni","YTW_SPREAD_TO_MATURITY_AT_ISSU")</f>
        <v>#N/A Requesting Data...</v>
      </c>
      <c r="O2428" t="str">
        <f>_xll.BDP("804260YR Muni","BVAL_MID_YTM")</f>
        <v>#N/A Requesting Data...</v>
      </c>
      <c r="P2428" t="str">
        <f>_xll.BDP("804260YR Muni","MUNI_TAX_PROV")</f>
        <v>#N/A Requesting Data...</v>
      </c>
      <c r="Q2428" t="str">
        <f>_xll.BDP("804260YR Muni","MUNI_FED_TAX")</f>
        <v>#N/A Requesting Data...</v>
      </c>
      <c r="R2428" t="str">
        <f>_xll.BDP("804260YR Muni","MUNI_MSRB_VOLUME")</f>
        <v>#N/A Requesting Data...</v>
      </c>
      <c r="S2428" t="str">
        <f>_xll.BDP("804260YR Muni","BB_COMPOSITE")</f>
        <v>#N/A Requesting Data...</v>
      </c>
      <c r="T2428" t="str">
        <f>_xll.BDP("804260YR Muni","LQA_LIQUIDITY_SCORE")</f>
        <v>#N/A Requesting Data...</v>
      </c>
    </row>
    <row r="2429" spans="1:20" x14ac:dyDescent="0.25">
      <c r="A2429" t="str">
        <f>_xll.BDP("804260YT Muni","ID_CUSIP")</f>
        <v>#N/A Requesting Data...</v>
      </c>
      <c r="B2429" t="s">
        <v>558</v>
      </c>
      <c r="C2429" t="str">
        <f>_xll.BDP("804260YT Muni","INSURANCE_STATUS")</f>
        <v>#N/A Requesting Data...</v>
      </c>
      <c r="D2429" t="str">
        <f>_xll.BDP("804260YT Muni","STATE_CODE")</f>
        <v>#N/A Requesting Data...</v>
      </c>
      <c r="E2429" t="str">
        <f>_xll.BDP("804260YT Muni","COUNTY_LOCATION_ISSUER")</f>
        <v>#N/A Requesting Data...</v>
      </c>
      <c r="F2429" t="str">
        <f>_xll.BDP("804260YT Muni","DUR_ADJ_MID")</f>
        <v>#N/A Requesting Data...</v>
      </c>
      <c r="G2429" t="str">
        <f>_xll.BDP("804260YT Muni","SPREAD_AT_ISSUANCE_TO_WORST")</f>
        <v>#N/A Requesting Data...</v>
      </c>
      <c r="H2429" t="str">
        <f>_xll.BDP("804260YT Muni","ISSUE_DT")</f>
        <v>#N/A Requesting Data...</v>
      </c>
      <c r="I2429" t="str">
        <f>_xll.BDS("804260YT Muni","MUNI_PURPOSE_SCHED", "aggregate=y")</f>
        <v>#N/A Requesting Data...</v>
      </c>
      <c r="J2429" t="str">
        <f>_xll.BDP("804260YT Muni","CPN")</f>
        <v>#N/A Requesting Data...</v>
      </c>
      <c r="K2429" t="str">
        <f>_xll.BDP("804260YT Muni","MATURITY")</f>
        <v>#N/A Requesting Data...</v>
      </c>
      <c r="L2429">
        <v>210000</v>
      </c>
      <c r="M2429" t="str">
        <f>_xll.BDP("804260YT Muni","YIELD_ON_ISSUE_DATE")</f>
        <v>#N/A Requesting Data...</v>
      </c>
      <c r="N2429" t="str">
        <f>_xll.BDP("804260YT Muni","YTW_SPREAD_TO_MATURITY_AT_ISSU")</f>
        <v>#N/A Requesting Data...</v>
      </c>
      <c r="O2429" t="str">
        <f>_xll.BDP("804260YT Muni","BVAL_MID_YTM")</f>
        <v>#N/A Requesting Data...</v>
      </c>
      <c r="P2429" t="str">
        <f>_xll.BDP("804260YT Muni","MUNI_TAX_PROV")</f>
        <v>#N/A Requesting Data...</v>
      </c>
      <c r="Q2429" t="str">
        <f>_xll.BDP("804260YT Muni","MUNI_FED_TAX")</f>
        <v>#N/A Requesting Data...</v>
      </c>
      <c r="R2429" t="str">
        <f>_xll.BDP("804260YT Muni","MUNI_MSRB_VOLUME")</f>
        <v>#N/A Requesting Data...</v>
      </c>
      <c r="S2429" t="str">
        <f>_xll.BDP("804260YT Muni","BB_COMPOSITE")</f>
        <v>#N/A Requesting Data...</v>
      </c>
      <c r="T2429" t="str">
        <f>_xll.BDP("804260YT Muni","LQA_LIQUIDITY_SCORE")</f>
        <v>#N/A Requesting Data...</v>
      </c>
    </row>
    <row r="2430" spans="1:20" x14ac:dyDescent="0.25">
      <c r="A2430" t="str">
        <f>_xll.BDP("804260YU Muni","ID_CUSIP")</f>
        <v>#N/A Requesting Data...</v>
      </c>
      <c r="B2430" t="s">
        <v>558</v>
      </c>
      <c r="C2430" t="str">
        <f>_xll.BDP("804260YU Muni","INSURANCE_STATUS")</f>
        <v>#N/A Requesting Data...</v>
      </c>
      <c r="D2430" t="str">
        <f>_xll.BDP("804260YU Muni","STATE_CODE")</f>
        <v>#N/A Requesting Data...</v>
      </c>
      <c r="E2430" t="str">
        <f>_xll.BDP("804260YU Muni","COUNTY_LOCATION_ISSUER")</f>
        <v>#N/A Requesting Data...</v>
      </c>
      <c r="F2430" t="str">
        <f>_xll.BDP("804260YU Muni","DUR_ADJ_MID")</f>
        <v>#N/A Requesting Data...</v>
      </c>
      <c r="G2430" t="str">
        <f>_xll.BDP("804260YU Muni","SPREAD_AT_ISSUANCE_TO_WORST")</f>
        <v>#N/A Requesting Data...</v>
      </c>
      <c r="H2430" t="str">
        <f>_xll.BDP("804260YU Muni","ISSUE_DT")</f>
        <v>#N/A Requesting Data...</v>
      </c>
      <c r="I2430" t="str">
        <f>_xll.BDS("804260YU Muni","MUNI_PURPOSE_SCHED", "aggregate=y")</f>
        <v>#N/A Requesting Data...</v>
      </c>
      <c r="J2430" t="str">
        <f>_xll.BDP("804260YU Muni","CPN")</f>
        <v>#N/A Requesting Data...</v>
      </c>
      <c r="K2430" t="str">
        <f>_xll.BDP("804260YU Muni","MATURITY")</f>
        <v>#N/A Requesting Data...</v>
      </c>
      <c r="L2430">
        <v>220000</v>
      </c>
      <c r="M2430" t="str">
        <f>_xll.BDP("804260YU Muni","YIELD_ON_ISSUE_DATE")</f>
        <v>#N/A Requesting Data...</v>
      </c>
      <c r="N2430" t="str">
        <f>_xll.BDP("804260YU Muni","YTW_SPREAD_TO_MATURITY_AT_ISSU")</f>
        <v>#N/A Requesting Data...</v>
      </c>
      <c r="O2430" t="str">
        <f>_xll.BDP("804260YU Muni","BVAL_MID_YTM")</f>
        <v>#N/A Requesting Data...</v>
      </c>
      <c r="P2430" t="str">
        <f>_xll.BDP("804260YU Muni","MUNI_TAX_PROV")</f>
        <v>#N/A Requesting Data...</v>
      </c>
      <c r="Q2430" t="str">
        <f>_xll.BDP("804260YU Muni","MUNI_FED_TAX")</f>
        <v>#N/A Requesting Data...</v>
      </c>
      <c r="R2430" t="str">
        <f>_xll.BDP("804260YU Muni","MUNI_MSRB_VOLUME")</f>
        <v>#N/A Requesting Data...</v>
      </c>
      <c r="S2430" t="str">
        <f>_xll.BDP("804260YU Muni","BB_COMPOSITE")</f>
        <v>#N/A Requesting Data...</v>
      </c>
      <c r="T2430" t="str">
        <f>_xll.BDP("804260YU Muni","LQA_LIQUIDITY_SCORE")</f>
        <v>#N/A Requesting Data...</v>
      </c>
    </row>
    <row r="2431" spans="1:20" x14ac:dyDescent="0.25">
      <c r="A2431" t="str">
        <f>_xll.BDP("933875UX Muni","ID_CUSIP")</f>
        <v>#N/A Requesting Data...</v>
      </c>
      <c r="B2431" t="s">
        <v>569</v>
      </c>
      <c r="C2431" t="str">
        <f>_xll.BDP("933875UX Muni","INSURANCE_STATUS")</f>
        <v>#N/A Requesting Data...</v>
      </c>
      <c r="D2431" t="str">
        <f>_xll.BDP("933875UX Muni","STATE_CODE")</f>
        <v>#N/A Requesting Data...</v>
      </c>
      <c r="E2431" t="str">
        <f>_xll.BDP("933875UX Muni","COUNTY_LOCATION_ISSUER")</f>
        <v>#N/A Requesting Data...</v>
      </c>
      <c r="F2431" t="str">
        <f>_xll.BDP("933875UX Muni","DUR_ADJ_MID")</f>
        <v>#N/A Requesting Data...</v>
      </c>
      <c r="G2431" t="str">
        <f>_xll.BDP("933875UX Muni","SPREAD_AT_ISSUANCE_TO_WORST")</f>
        <v>#N/A Requesting Data...</v>
      </c>
      <c r="H2431" t="str">
        <f>_xll.BDP("933875UX Muni","ISSUE_DT")</f>
        <v>#N/A Requesting Data...</v>
      </c>
      <c r="I2431" t="str">
        <f>_xll.BDS("933875UX Muni","MUNI_PURPOSE_SCHED", "aggregate=y")</f>
        <v>#N/A Requesting Data...</v>
      </c>
      <c r="J2431" t="str">
        <f>_xll.BDP("933875UX Muni","CPN")</f>
        <v>#N/A Requesting Data...</v>
      </c>
      <c r="K2431" t="str">
        <f>_xll.BDP("933875UX Muni","MATURITY")</f>
        <v>#N/A Requesting Data...</v>
      </c>
      <c r="L2431">
        <v>155000</v>
      </c>
      <c r="M2431" t="str">
        <f>_xll.BDP("933875UX Muni","YIELD_ON_ISSUE_DATE")</f>
        <v>#N/A Requesting Data...</v>
      </c>
      <c r="N2431" t="str">
        <f>_xll.BDP("933875UX Muni","YTW_SPREAD_TO_MATURITY_AT_ISSU")</f>
        <v>#N/A Requesting Data...</v>
      </c>
      <c r="O2431" t="str">
        <f>_xll.BDP("933875UX Muni","BVAL_MID_YTM")</f>
        <v>#N/A Requesting Data...</v>
      </c>
      <c r="P2431" t="str">
        <f>_xll.BDP("933875UX Muni","MUNI_TAX_PROV")</f>
        <v>#N/A Requesting Data...</v>
      </c>
      <c r="Q2431" t="str">
        <f>_xll.BDP("933875UX Muni","MUNI_FED_TAX")</f>
        <v>#N/A Requesting Data...</v>
      </c>
      <c r="R2431" t="str">
        <f>_xll.BDP("933875UX Muni","MUNI_MSRB_VOLUME")</f>
        <v>#N/A Requesting Data...</v>
      </c>
      <c r="S2431" t="str">
        <f>_xll.BDP("933875UX Muni","BB_COMPOSITE")</f>
        <v>#N/A Requesting Data...</v>
      </c>
      <c r="T2431" t="str">
        <f>_xll.BDP("933875UX Muni","LQA_LIQUIDITY_SCORE")</f>
        <v>#N/A Requesting Data...</v>
      </c>
    </row>
    <row r="2432" spans="1:20" x14ac:dyDescent="0.25">
      <c r="A2432" t="str">
        <f>_xll.BDP("934238HH Muni","ID_CUSIP")</f>
        <v>#N/A Requesting Data...</v>
      </c>
      <c r="B2432" t="s">
        <v>570</v>
      </c>
      <c r="C2432" t="str">
        <f>_xll.BDP("934238HH Muni","INSURANCE_STATUS")</f>
        <v>#N/A Requesting Data...</v>
      </c>
      <c r="D2432" t="str">
        <f>_xll.BDP("934238HH Muni","STATE_CODE")</f>
        <v>#N/A Requesting Data...</v>
      </c>
      <c r="E2432" t="str">
        <f>_xll.BDP("934238HH Muni","COUNTY_LOCATION_ISSUER")</f>
        <v>#N/A Requesting Data...</v>
      </c>
      <c r="F2432" t="str">
        <f>_xll.BDP("934238HH Muni","DUR_ADJ_MID")</f>
        <v>#N/A Requesting Data...</v>
      </c>
      <c r="G2432" t="str">
        <f>_xll.BDP("934238HH Muni","SPREAD_AT_ISSUANCE_TO_WORST")</f>
        <v>#N/A Requesting Data...</v>
      </c>
      <c r="H2432" t="str">
        <f>_xll.BDP("934238HH Muni","ISSUE_DT")</f>
        <v>#N/A Requesting Data...</v>
      </c>
      <c r="I2432" t="str">
        <f>_xll.BDS("934238HH Muni","MUNI_PURPOSE_SCHED", "aggregate=y")</f>
        <v>#N/A Requesting Data...</v>
      </c>
      <c r="J2432" t="str">
        <f>_xll.BDP("934238HH Muni","CPN")</f>
        <v>#N/A Requesting Data...</v>
      </c>
      <c r="K2432" t="str">
        <f>_xll.BDP("934238HH Muni","MATURITY")</f>
        <v>#N/A Requesting Data...</v>
      </c>
      <c r="L2432">
        <v>85000</v>
      </c>
      <c r="M2432" t="str">
        <f>_xll.BDP("934238HH Muni","YIELD_ON_ISSUE_DATE")</f>
        <v>#N/A Requesting Data...</v>
      </c>
      <c r="N2432" t="str">
        <f>_xll.BDP("934238HH Muni","YTW_SPREAD_TO_MATURITY_AT_ISSU")</f>
        <v>#N/A Requesting Data...</v>
      </c>
      <c r="O2432" t="str">
        <f>_xll.BDP("934238HH Muni","BVAL_MID_YTM")</f>
        <v>#N/A Requesting Data...</v>
      </c>
      <c r="P2432" t="str">
        <f>_xll.BDP("934238HH Muni","MUNI_TAX_PROV")</f>
        <v>#N/A Requesting Data...</v>
      </c>
      <c r="Q2432" t="str">
        <f>_xll.BDP("934238HH Muni","MUNI_FED_TAX")</f>
        <v>#N/A Requesting Data...</v>
      </c>
      <c r="R2432" t="str">
        <f>_xll.BDP("934238HH Muni","MUNI_MSRB_VOLUME")</f>
        <v>#N/A Requesting Data...</v>
      </c>
      <c r="S2432" t="str">
        <f>_xll.BDP("934238HH Muni","BB_COMPOSITE")</f>
        <v>#N/A Requesting Data...</v>
      </c>
      <c r="T2432" t="str">
        <f>_xll.BDP("934238HH Muni","LQA_LIQUIDITY_SCORE")</f>
        <v>#N/A Requesting Data...</v>
      </c>
    </row>
    <row r="2433" spans="1:20" x14ac:dyDescent="0.25">
      <c r="A2433" t="str">
        <f>_xll.BDP("934238HJ Muni","ID_CUSIP")</f>
        <v>#N/A Requesting Data...</v>
      </c>
      <c r="B2433" t="s">
        <v>570</v>
      </c>
      <c r="C2433" t="str">
        <f>_xll.BDP("934238HJ Muni","INSURANCE_STATUS")</f>
        <v>#N/A Requesting Data...</v>
      </c>
      <c r="D2433" t="str">
        <f>_xll.BDP("934238HJ Muni","STATE_CODE")</f>
        <v>#N/A Requesting Data...</v>
      </c>
      <c r="E2433" t="str">
        <f>_xll.BDP("934238HJ Muni","COUNTY_LOCATION_ISSUER")</f>
        <v>#N/A Requesting Data...</v>
      </c>
      <c r="F2433" t="str">
        <f>_xll.BDP("934238HJ Muni","DUR_ADJ_MID")</f>
        <v>#N/A Requesting Data...</v>
      </c>
      <c r="G2433" t="str">
        <f>_xll.BDP("934238HJ Muni","SPREAD_AT_ISSUANCE_TO_WORST")</f>
        <v>#N/A Requesting Data...</v>
      </c>
      <c r="H2433" t="str">
        <f>_xll.BDP("934238HJ Muni","ISSUE_DT")</f>
        <v>#N/A Requesting Data...</v>
      </c>
      <c r="I2433" t="str">
        <f>_xll.BDS("934238HJ Muni","MUNI_PURPOSE_SCHED", "aggregate=y")</f>
        <v>#N/A Requesting Data...</v>
      </c>
      <c r="J2433" t="str">
        <f>_xll.BDP("934238HJ Muni","CPN")</f>
        <v>#N/A Requesting Data...</v>
      </c>
      <c r="K2433" t="str">
        <f>_xll.BDP("934238HJ Muni","MATURITY")</f>
        <v>#N/A Requesting Data...</v>
      </c>
      <c r="L2433">
        <v>85000</v>
      </c>
      <c r="M2433" t="str">
        <f>_xll.BDP("934238HJ Muni","YIELD_ON_ISSUE_DATE")</f>
        <v>#N/A Requesting Data...</v>
      </c>
      <c r="N2433" t="str">
        <f>_xll.BDP("934238HJ Muni","YTW_SPREAD_TO_MATURITY_AT_ISSU")</f>
        <v>#N/A Requesting Data...</v>
      </c>
      <c r="O2433" t="str">
        <f>_xll.BDP("934238HJ Muni","BVAL_MID_YTM")</f>
        <v>#N/A Requesting Data...</v>
      </c>
      <c r="P2433" t="str">
        <f>_xll.BDP("934238HJ Muni","MUNI_TAX_PROV")</f>
        <v>#N/A Requesting Data...</v>
      </c>
      <c r="Q2433" t="str">
        <f>_xll.BDP("934238HJ Muni","MUNI_FED_TAX")</f>
        <v>#N/A Requesting Data...</v>
      </c>
      <c r="R2433" t="str">
        <f>_xll.BDP("934238HJ Muni","MUNI_MSRB_VOLUME")</f>
        <v>#N/A Requesting Data...</v>
      </c>
      <c r="S2433" t="str">
        <f>_xll.BDP("934238HJ Muni","BB_COMPOSITE")</f>
        <v>#N/A Requesting Data...</v>
      </c>
      <c r="T2433" t="str">
        <f>_xll.BDP("934238HJ Muni","LQA_LIQUIDITY_SCORE")</f>
        <v>#N/A Requesting Data...</v>
      </c>
    </row>
    <row r="2434" spans="1:20" x14ac:dyDescent="0.25">
      <c r="A2434" t="str">
        <f>_xll.BDP("967792EZ Muni","ID_CUSIP")</f>
        <v>#N/A Requesting Data...</v>
      </c>
      <c r="B2434" t="s">
        <v>571</v>
      </c>
      <c r="C2434" t="str">
        <f>_xll.BDP("967792EZ Muni","INSURANCE_STATUS")</f>
        <v>#N/A Requesting Data...</v>
      </c>
      <c r="D2434" t="str">
        <f>_xll.BDP("967792EZ Muni","STATE_CODE")</f>
        <v>#N/A Requesting Data...</v>
      </c>
      <c r="E2434" t="str">
        <f>_xll.BDP("967792EZ Muni","COUNTY_LOCATION_ISSUER")</f>
        <v>#N/A Requesting Data...</v>
      </c>
      <c r="F2434" t="str">
        <f>_xll.BDP("967792EZ Muni","DUR_ADJ_MID")</f>
        <v>#N/A Requesting Data...</v>
      </c>
      <c r="G2434" t="str">
        <f>_xll.BDP("967792EZ Muni","SPREAD_AT_ISSUANCE_TO_WORST")</f>
        <v>#N/A Requesting Data...</v>
      </c>
      <c r="H2434" t="str">
        <f>_xll.BDP("967792EZ Muni","ISSUE_DT")</f>
        <v>#N/A Requesting Data...</v>
      </c>
      <c r="I2434" t="str">
        <f>_xll.BDS("967792EZ Muni","MUNI_PURPOSE_SCHED", "aggregate=y")</f>
        <v>#N/A Requesting Data...</v>
      </c>
      <c r="J2434" t="str">
        <f>_xll.BDP("967792EZ Muni","CPN")</f>
        <v>#N/A Requesting Data...</v>
      </c>
      <c r="K2434" t="str">
        <f>_xll.BDP("967792EZ Muni","MATURITY")</f>
        <v>#N/A Requesting Data...</v>
      </c>
      <c r="L2434">
        <v>215000</v>
      </c>
      <c r="M2434" t="str">
        <f>_xll.BDP("967792EZ Muni","YIELD_ON_ISSUE_DATE")</f>
        <v>#N/A Requesting Data...</v>
      </c>
      <c r="N2434" t="str">
        <f>_xll.BDP("967792EZ Muni","YTW_SPREAD_TO_MATURITY_AT_ISSU")</f>
        <v>#N/A Requesting Data...</v>
      </c>
      <c r="O2434" t="str">
        <f>_xll.BDP("967792EZ Muni","BVAL_MID_YTM")</f>
        <v>#N/A Requesting Data...</v>
      </c>
      <c r="P2434" t="str">
        <f>_xll.BDP("967792EZ Muni","MUNI_TAX_PROV")</f>
        <v>#N/A Requesting Data...</v>
      </c>
      <c r="Q2434" t="str">
        <f>_xll.BDP("967792EZ Muni","MUNI_FED_TAX")</f>
        <v>#N/A Requesting Data...</v>
      </c>
      <c r="R2434" t="str">
        <f>_xll.BDP("967792EZ Muni","MUNI_MSRB_VOLUME")</f>
        <v>#N/A Requesting Data...</v>
      </c>
      <c r="S2434" t="str">
        <f>_xll.BDP("967792EZ Muni","BB_COMPOSITE")</f>
        <v>#N/A Requesting Data...</v>
      </c>
      <c r="T2434" t="str">
        <f>_xll.BDP("967792EZ Muni","LQA_LIQUIDITY_SCORE")</f>
        <v>#N/A Requesting Data...</v>
      </c>
    </row>
    <row r="2435" spans="1:20" x14ac:dyDescent="0.25">
      <c r="A2435" t="str">
        <f>_xll.BDP("967792FB Muni","ID_CUSIP")</f>
        <v>#N/A Requesting Data...</v>
      </c>
      <c r="B2435" t="s">
        <v>571</v>
      </c>
      <c r="C2435" t="str">
        <f>_xll.BDP("967792FB Muni","INSURANCE_STATUS")</f>
        <v>#N/A Requesting Data...</v>
      </c>
      <c r="D2435" t="str">
        <f>_xll.BDP("967792FB Muni","STATE_CODE")</f>
        <v>#N/A Requesting Data...</v>
      </c>
      <c r="E2435" t="str">
        <f>_xll.BDP("967792FB Muni","COUNTY_LOCATION_ISSUER")</f>
        <v>#N/A Requesting Data...</v>
      </c>
      <c r="F2435" t="str">
        <f>_xll.BDP("967792FB Muni","DUR_ADJ_MID")</f>
        <v>#N/A Requesting Data...</v>
      </c>
      <c r="G2435" t="str">
        <f>_xll.BDP("967792FB Muni","SPREAD_AT_ISSUANCE_TO_WORST")</f>
        <v>#N/A Requesting Data...</v>
      </c>
      <c r="H2435" t="str">
        <f>_xll.BDP("967792FB Muni","ISSUE_DT")</f>
        <v>#N/A Requesting Data...</v>
      </c>
      <c r="I2435" t="str">
        <f>_xll.BDS("967792FB Muni","MUNI_PURPOSE_SCHED", "aggregate=y")</f>
        <v>#N/A Requesting Data...</v>
      </c>
      <c r="J2435" t="str">
        <f>_xll.BDP("967792FB Muni","CPN")</f>
        <v>#N/A Requesting Data...</v>
      </c>
      <c r="K2435" t="str">
        <f>_xll.BDP("967792FB Muni","MATURITY")</f>
        <v>#N/A Requesting Data...</v>
      </c>
      <c r="L2435">
        <v>240000</v>
      </c>
      <c r="M2435" t="str">
        <f>_xll.BDP("967792FB Muni","YIELD_ON_ISSUE_DATE")</f>
        <v>#N/A Requesting Data...</v>
      </c>
      <c r="N2435" t="str">
        <f>_xll.BDP("967792FB Muni","YTW_SPREAD_TO_MATURITY_AT_ISSU")</f>
        <v>#N/A Requesting Data...</v>
      </c>
      <c r="O2435" t="str">
        <f>_xll.BDP("967792FB Muni","BVAL_MID_YTM")</f>
        <v>#N/A Requesting Data...</v>
      </c>
      <c r="P2435" t="str">
        <f>_xll.BDP("967792FB Muni","MUNI_TAX_PROV")</f>
        <v>#N/A Requesting Data...</v>
      </c>
      <c r="Q2435" t="str">
        <f>_xll.BDP("967792FB Muni","MUNI_FED_TAX")</f>
        <v>#N/A Requesting Data...</v>
      </c>
      <c r="R2435" t="str">
        <f>_xll.BDP("967792FB Muni","MUNI_MSRB_VOLUME")</f>
        <v>#N/A Requesting Data...</v>
      </c>
      <c r="S2435" t="str">
        <f>_xll.BDP("967792FB Muni","BB_COMPOSITE")</f>
        <v>#N/A Requesting Data...</v>
      </c>
      <c r="T2435" t="str">
        <f>_xll.BDP("967792FB Muni","LQA_LIQUIDITY_SCORE")</f>
        <v>#N/A Requesting Data...</v>
      </c>
    </row>
    <row r="2436" spans="1:20" x14ac:dyDescent="0.25">
      <c r="A2436" t="str">
        <f>_xll.BDP("967792FC Muni","ID_CUSIP")</f>
        <v>#N/A Requesting Data...</v>
      </c>
      <c r="B2436" t="s">
        <v>571</v>
      </c>
      <c r="C2436" t="str">
        <f>_xll.BDP("967792FC Muni","INSURANCE_STATUS")</f>
        <v>#N/A Requesting Data...</v>
      </c>
      <c r="D2436" t="str">
        <f>_xll.BDP("967792FC Muni","STATE_CODE")</f>
        <v>#N/A Requesting Data...</v>
      </c>
      <c r="E2436" t="str">
        <f>_xll.BDP("967792FC Muni","COUNTY_LOCATION_ISSUER")</f>
        <v>#N/A Requesting Data...</v>
      </c>
      <c r="F2436" t="str">
        <f>_xll.BDP("967792FC Muni","DUR_ADJ_MID")</f>
        <v>#N/A Requesting Data...</v>
      </c>
      <c r="G2436" t="str">
        <f>_xll.BDP("967792FC Muni","SPREAD_AT_ISSUANCE_TO_WORST")</f>
        <v>#N/A Requesting Data...</v>
      </c>
      <c r="H2436" t="str">
        <f>_xll.BDP("967792FC Muni","ISSUE_DT")</f>
        <v>#N/A Requesting Data...</v>
      </c>
      <c r="I2436" t="str">
        <f>_xll.BDS("967792FC Muni","MUNI_PURPOSE_SCHED", "aggregate=y")</f>
        <v>#N/A Requesting Data...</v>
      </c>
      <c r="J2436" t="str">
        <f>_xll.BDP("967792FC Muni","CPN")</f>
        <v>#N/A Requesting Data...</v>
      </c>
      <c r="K2436" t="str">
        <f>_xll.BDP("967792FC Muni","MATURITY")</f>
        <v>#N/A Requesting Data...</v>
      </c>
      <c r="L2436">
        <v>240000</v>
      </c>
      <c r="M2436" t="str">
        <f>_xll.BDP("967792FC Muni","YIELD_ON_ISSUE_DATE")</f>
        <v>#N/A Requesting Data...</v>
      </c>
      <c r="N2436" t="str">
        <f>_xll.BDP("967792FC Muni","YTW_SPREAD_TO_MATURITY_AT_ISSU")</f>
        <v>#N/A Requesting Data...</v>
      </c>
      <c r="O2436" t="str">
        <f>_xll.BDP("967792FC Muni","BVAL_MID_YTM")</f>
        <v>#N/A Requesting Data...</v>
      </c>
      <c r="P2436" t="str">
        <f>_xll.BDP("967792FC Muni","MUNI_TAX_PROV")</f>
        <v>#N/A Requesting Data...</v>
      </c>
      <c r="Q2436" t="str">
        <f>_xll.BDP("967792FC Muni","MUNI_FED_TAX")</f>
        <v>#N/A Requesting Data...</v>
      </c>
      <c r="R2436" t="str">
        <f>_xll.BDP("967792FC Muni","MUNI_MSRB_VOLUME")</f>
        <v>#N/A Requesting Data...</v>
      </c>
      <c r="S2436" t="str">
        <f>_xll.BDP("967792FC Muni","BB_COMPOSITE")</f>
        <v>#N/A Requesting Data...</v>
      </c>
      <c r="T2436" t="str">
        <f>_xll.BDP("967792FC Muni","LQA_LIQUIDITY_SCORE")</f>
        <v>#N/A Requesting Data...</v>
      </c>
    </row>
    <row r="2437" spans="1:20" x14ac:dyDescent="0.25">
      <c r="A2437" t="str">
        <f>_xll.BDP("967795AD Muni","ID_CUSIP")</f>
        <v>#N/A Requesting Data...</v>
      </c>
      <c r="B2437" t="s">
        <v>572</v>
      </c>
      <c r="C2437" t="str">
        <f>_xll.BDP("967795AD Muni","INSURANCE_STATUS")</f>
        <v>#N/A Requesting Data...</v>
      </c>
      <c r="D2437" t="str">
        <f>_xll.BDP("967795AD Muni","STATE_CODE")</f>
        <v>#N/A Requesting Data...</v>
      </c>
      <c r="E2437" t="str">
        <f>_xll.BDP("967795AD Muni","COUNTY_LOCATION_ISSUER")</f>
        <v>#N/A Requesting Data...</v>
      </c>
      <c r="F2437" t="str">
        <f>_xll.BDP("967795AD Muni","DUR_ADJ_MID")</f>
        <v>#N/A Requesting Data...</v>
      </c>
      <c r="G2437" t="str">
        <f>_xll.BDP("967795AD Muni","SPREAD_AT_ISSUANCE_TO_WORST")</f>
        <v>#N/A Requesting Data...</v>
      </c>
      <c r="H2437" t="str">
        <f>_xll.BDP("967795AD Muni","ISSUE_DT")</f>
        <v>#N/A Requesting Data...</v>
      </c>
      <c r="I2437" t="str">
        <f>_xll.BDS("967795AD Muni","MUNI_PURPOSE_SCHED", "aggregate=y")</f>
        <v>#N/A Requesting Data...</v>
      </c>
      <c r="J2437" t="str">
        <f>_xll.BDP("967795AD Muni","CPN")</f>
        <v>#N/A Requesting Data...</v>
      </c>
      <c r="K2437" t="str">
        <f>_xll.BDP("967795AD Muni","MATURITY")</f>
        <v>#N/A Requesting Data...</v>
      </c>
      <c r="L2437">
        <v>95000</v>
      </c>
      <c r="M2437" t="str">
        <f>_xll.BDP("967795AD Muni","YIELD_ON_ISSUE_DATE")</f>
        <v>#N/A Requesting Data...</v>
      </c>
      <c r="N2437" t="str">
        <f>_xll.BDP("967795AD Muni","YTW_SPREAD_TO_MATURITY_AT_ISSU")</f>
        <v>#N/A Requesting Data...</v>
      </c>
      <c r="O2437" t="str">
        <f>_xll.BDP("967795AD Muni","BVAL_MID_YTM")</f>
        <v>#N/A Requesting Data...</v>
      </c>
      <c r="P2437" t="str">
        <f>_xll.BDP("967795AD Muni","MUNI_TAX_PROV")</f>
        <v>#N/A Requesting Data...</v>
      </c>
      <c r="Q2437" t="str">
        <f>_xll.BDP("967795AD Muni","MUNI_FED_TAX")</f>
        <v>#N/A Requesting Data...</v>
      </c>
      <c r="R2437" t="str">
        <f>_xll.BDP("967795AD Muni","MUNI_MSRB_VOLUME")</f>
        <v>#N/A Requesting Data...</v>
      </c>
      <c r="S2437" t="str">
        <f>_xll.BDP("967795AD Muni","BB_COMPOSITE")</f>
        <v>#N/A Requesting Data...</v>
      </c>
      <c r="T2437" t="str">
        <f>_xll.BDP("967795AD Muni","LQA_LIQUIDITY_SCORE")</f>
        <v>#N/A Requesting Data...</v>
      </c>
    </row>
    <row r="2438" spans="1:20" x14ac:dyDescent="0.25">
      <c r="A2438" t="str">
        <f>_xll.BDP("969152DX Muni","ID_CUSIP")</f>
        <v>#N/A Requesting Data...</v>
      </c>
      <c r="B2438" t="s">
        <v>573</v>
      </c>
      <c r="C2438" t="str">
        <f>_xll.BDP("969152DX Muni","INSURANCE_STATUS")</f>
        <v>#N/A Requesting Data...</v>
      </c>
      <c r="D2438" t="str">
        <f>_xll.BDP("969152DX Muni","STATE_CODE")</f>
        <v>#N/A Requesting Data...</v>
      </c>
      <c r="E2438" t="str">
        <f>_xll.BDP("969152DX Muni","COUNTY_LOCATION_ISSUER")</f>
        <v>#N/A Requesting Data...</v>
      </c>
      <c r="F2438" t="str">
        <f>_xll.BDP("969152DX Muni","DUR_ADJ_MID")</f>
        <v>#N/A Requesting Data...</v>
      </c>
      <c r="G2438" t="str">
        <f>_xll.BDP("969152DX Muni","SPREAD_AT_ISSUANCE_TO_WORST")</f>
        <v>#N/A Requesting Data...</v>
      </c>
      <c r="H2438" t="str">
        <f>_xll.BDP("969152DX Muni","ISSUE_DT")</f>
        <v>#N/A Requesting Data...</v>
      </c>
      <c r="I2438" t="str">
        <f>_xll.BDS("969152DX Muni","MUNI_PURPOSE_SCHED", "aggregate=y")</f>
        <v>#N/A Requesting Data...</v>
      </c>
      <c r="J2438" t="str">
        <f>_xll.BDP("969152DX Muni","CPN")</f>
        <v>#N/A Requesting Data...</v>
      </c>
      <c r="K2438" t="str">
        <f>_xll.BDP("969152DX Muni","MATURITY")</f>
        <v>#N/A Requesting Data...</v>
      </c>
      <c r="L2438">
        <v>110000</v>
      </c>
      <c r="M2438" t="str">
        <f>_xll.BDP("969152DX Muni","YIELD_ON_ISSUE_DATE")</f>
        <v>#N/A Requesting Data...</v>
      </c>
      <c r="N2438" t="str">
        <f>_xll.BDP("969152DX Muni","YTW_SPREAD_TO_MATURITY_AT_ISSU")</f>
        <v>#N/A Requesting Data...</v>
      </c>
      <c r="O2438" t="str">
        <f>_xll.BDP("969152DX Muni","BVAL_MID_YTM")</f>
        <v>#N/A Requesting Data...</v>
      </c>
      <c r="P2438" t="str">
        <f>_xll.BDP("969152DX Muni","MUNI_TAX_PROV")</f>
        <v>#N/A Requesting Data...</v>
      </c>
      <c r="Q2438" t="str">
        <f>_xll.BDP("969152DX Muni","MUNI_FED_TAX")</f>
        <v>#N/A Requesting Data...</v>
      </c>
      <c r="R2438" t="str">
        <f>_xll.BDP("969152DX Muni","MUNI_MSRB_VOLUME")</f>
        <v>#N/A Requesting Data...</v>
      </c>
      <c r="S2438" t="str">
        <f>_xll.BDP("969152DX Muni","BB_COMPOSITE")</f>
        <v>#N/A Requesting Data...</v>
      </c>
      <c r="T2438" t="str">
        <f>_xll.BDP("969152DX Muni","LQA_LIQUIDITY_SCORE")</f>
        <v>#N/A Requesting Data...</v>
      </c>
    </row>
    <row r="2439" spans="1:20" x14ac:dyDescent="0.25">
      <c r="A2439" t="str">
        <f>_xll.BDP("97000RJT Muni","ID_CUSIP")</f>
        <v>#N/A Requesting Data...</v>
      </c>
      <c r="B2439" t="s">
        <v>537</v>
      </c>
      <c r="C2439" t="str">
        <f>_xll.BDP("97000RJT Muni","INSURANCE_STATUS")</f>
        <v>#N/A Requesting Data...</v>
      </c>
      <c r="D2439" t="str">
        <f>_xll.BDP("97000RJT Muni","STATE_CODE")</f>
        <v>#N/A Requesting Data...</v>
      </c>
      <c r="E2439" t="str">
        <f>_xll.BDP("97000RJT Muni","COUNTY_LOCATION_ISSUER")</f>
        <v>#N/A Requesting Data...</v>
      </c>
      <c r="F2439" t="str">
        <f>_xll.BDP("97000RJT Muni","DUR_ADJ_MID")</f>
        <v>#N/A Requesting Data...</v>
      </c>
      <c r="G2439" t="str">
        <f>_xll.BDP("97000RJT Muni","SPREAD_AT_ISSUANCE_TO_WORST")</f>
        <v>#N/A Requesting Data...</v>
      </c>
      <c r="H2439" t="str">
        <f>_xll.BDP("97000RJT Muni","ISSUE_DT")</f>
        <v>#N/A Requesting Data...</v>
      </c>
      <c r="I2439" t="str">
        <f>_xll.BDS("97000RJT Muni","MUNI_PURPOSE_SCHED", "aggregate=y")</f>
        <v>#N/A Requesting Data...</v>
      </c>
      <c r="J2439" t="str">
        <f>_xll.BDP("97000RJT Muni","CPN")</f>
        <v>#N/A Requesting Data...</v>
      </c>
      <c r="K2439" t="str">
        <f>_xll.BDP("97000RJT Muni","MATURITY")</f>
        <v>#N/A Requesting Data...</v>
      </c>
      <c r="L2439">
        <v>60000</v>
      </c>
      <c r="M2439" t="str">
        <f>_xll.BDP("97000RJT Muni","YIELD_ON_ISSUE_DATE")</f>
        <v>#N/A Requesting Data...</v>
      </c>
      <c r="N2439" t="str">
        <f>_xll.BDP("97000RJT Muni","YTW_SPREAD_TO_MATURITY_AT_ISSU")</f>
        <v>#N/A Requesting Data...</v>
      </c>
      <c r="O2439" t="str">
        <f>_xll.BDP("97000RJT Muni","BVAL_MID_YTM")</f>
        <v>#N/A Requesting Data...</v>
      </c>
      <c r="P2439" t="str">
        <f>_xll.BDP("97000RJT Muni","MUNI_TAX_PROV")</f>
        <v>#N/A Requesting Data...</v>
      </c>
      <c r="Q2439" t="str">
        <f>_xll.BDP("97000RJT Muni","MUNI_FED_TAX")</f>
        <v>#N/A Requesting Data...</v>
      </c>
      <c r="R2439" t="str">
        <f>_xll.BDP("97000RJT Muni","MUNI_MSRB_VOLUME")</f>
        <v>#N/A Requesting Data...</v>
      </c>
      <c r="S2439" t="str">
        <f>_xll.BDP("97000RJT Muni","BB_COMPOSITE")</f>
        <v>#N/A Requesting Data...</v>
      </c>
      <c r="T2439" t="str">
        <f>_xll.BDP("97000RJT Muni","LQA_LIQUIDITY_SCORE")</f>
        <v>#N/A Requesting Data...</v>
      </c>
    </row>
    <row r="2440" spans="1:20" x14ac:dyDescent="0.25">
      <c r="A2440" t="str">
        <f>_xll.BDP("92818MVJ Muni","ID_CUSIP")</f>
        <v>#N/A Requesting Data...</v>
      </c>
      <c r="B2440" t="s">
        <v>538</v>
      </c>
      <c r="C2440" t="str">
        <f>_xll.BDP("92818MVJ Muni","INSURANCE_STATUS")</f>
        <v>#N/A Requesting Data...</v>
      </c>
      <c r="D2440" t="str">
        <f>_xll.BDP("92818MVJ Muni","STATE_CODE")</f>
        <v>#N/A Requesting Data...</v>
      </c>
      <c r="E2440" t="str">
        <f>_xll.BDP("92818MVJ Muni","COUNTY_LOCATION_ISSUER")</f>
        <v>#N/A Requesting Data...</v>
      </c>
      <c r="F2440" t="str">
        <f>_xll.BDP("92818MVJ Muni","DUR_ADJ_MID")</f>
        <v>#N/A Requesting Data...</v>
      </c>
      <c r="G2440" t="str">
        <f>_xll.BDP("92818MVJ Muni","SPREAD_AT_ISSUANCE_TO_WORST")</f>
        <v>#N/A Requesting Data...</v>
      </c>
      <c r="H2440" t="str">
        <f>_xll.BDP("92818MVJ Muni","ISSUE_DT")</f>
        <v>#N/A Requesting Data...</v>
      </c>
      <c r="I2440" t="str">
        <f>_xll.BDS("92818MVJ Muni","MUNI_PURPOSE_SCHED", "aggregate=y")</f>
        <v>#N/A Requesting Data...</v>
      </c>
      <c r="J2440" t="str">
        <f>_xll.BDP("92818MVJ Muni","CPN")</f>
        <v>#N/A Requesting Data...</v>
      </c>
      <c r="K2440" t="str">
        <f>_xll.BDP("92818MVJ Muni","MATURITY")</f>
        <v>#N/A Requesting Data...</v>
      </c>
      <c r="L2440">
        <v>1395000</v>
      </c>
      <c r="M2440" t="str">
        <f>_xll.BDP("92818MVJ Muni","YIELD_ON_ISSUE_DATE")</f>
        <v>#N/A Requesting Data...</v>
      </c>
      <c r="N2440" t="str">
        <f>_xll.BDP("92818MVJ Muni","YTW_SPREAD_TO_MATURITY_AT_ISSU")</f>
        <v>#N/A Requesting Data...</v>
      </c>
      <c r="O2440" t="str">
        <f>_xll.BDP("92818MVJ Muni","BVAL_MID_YTM")</f>
        <v>#N/A Requesting Data...</v>
      </c>
      <c r="P2440" t="str">
        <f>_xll.BDP("92818MVJ Muni","MUNI_TAX_PROV")</f>
        <v>#N/A Requesting Data...</v>
      </c>
      <c r="Q2440" t="str">
        <f>_xll.BDP("92818MVJ Muni","MUNI_FED_TAX")</f>
        <v>#N/A Requesting Data...</v>
      </c>
      <c r="R2440" t="str">
        <f>_xll.BDP("92818MVJ Muni","MUNI_MSRB_VOLUME")</f>
        <v>#N/A Requesting Data...</v>
      </c>
      <c r="S2440" t="str">
        <f>_xll.BDP("92818MVJ Muni","BB_COMPOSITE")</f>
        <v>#N/A Requesting Data...</v>
      </c>
      <c r="T2440" t="str">
        <f>_xll.BDP("92818MVJ Muni","LQA_LIQUIDITY_SCORE")</f>
        <v>#N/A Requesting Data...</v>
      </c>
    </row>
    <row r="2441" spans="1:20" x14ac:dyDescent="0.25">
      <c r="A2441" t="str">
        <f>_xll.BDP("92818MVM Muni","ID_CUSIP")</f>
        <v>#N/A Requesting Data...</v>
      </c>
      <c r="B2441" t="s">
        <v>538</v>
      </c>
      <c r="C2441" t="str">
        <f>_xll.BDP("92818MVM Muni","INSURANCE_STATUS")</f>
        <v>#N/A Requesting Data...</v>
      </c>
      <c r="D2441" t="str">
        <f>_xll.BDP("92818MVM Muni","STATE_CODE")</f>
        <v>#N/A Requesting Data...</v>
      </c>
      <c r="E2441" t="str">
        <f>_xll.BDP("92818MVM Muni","COUNTY_LOCATION_ISSUER")</f>
        <v>#N/A Requesting Data...</v>
      </c>
      <c r="F2441" t="str">
        <f>_xll.BDP("92818MVM Muni","DUR_ADJ_MID")</f>
        <v>#N/A Requesting Data...</v>
      </c>
      <c r="G2441" t="str">
        <f>_xll.BDP("92818MVM Muni","SPREAD_AT_ISSUANCE_TO_WORST")</f>
        <v>#N/A Requesting Data...</v>
      </c>
      <c r="H2441" t="str">
        <f>_xll.BDP("92818MVM Muni","ISSUE_DT")</f>
        <v>#N/A Requesting Data...</v>
      </c>
      <c r="I2441" t="str">
        <f>_xll.BDS("92818MVM Muni","MUNI_PURPOSE_SCHED", "aggregate=y")</f>
        <v>#N/A Requesting Data...</v>
      </c>
      <c r="J2441" t="str">
        <f>_xll.BDP("92818MVM Muni","CPN")</f>
        <v>#N/A Requesting Data...</v>
      </c>
      <c r="K2441" t="str">
        <f>_xll.BDP("92818MVM Muni","MATURITY")</f>
        <v>#N/A Requesting Data...</v>
      </c>
      <c r="L2441">
        <v>1620000</v>
      </c>
      <c r="M2441" t="str">
        <f>_xll.BDP("92818MVM Muni","YIELD_ON_ISSUE_DATE")</f>
        <v>#N/A Requesting Data...</v>
      </c>
      <c r="N2441" t="str">
        <f>_xll.BDP("92818MVM Muni","YTW_SPREAD_TO_MATURITY_AT_ISSU")</f>
        <v>#N/A Requesting Data...</v>
      </c>
      <c r="O2441" t="str">
        <f>_xll.BDP("92818MVM Muni","BVAL_MID_YTM")</f>
        <v>#N/A Requesting Data...</v>
      </c>
      <c r="P2441" t="str">
        <f>_xll.BDP("92818MVM Muni","MUNI_TAX_PROV")</f>
        <v>#N/A Requesting Data...</v>
      </c>
      <c r="Q2441" t="str">
        <f>_xll.BDP("92818MVM Muni","MUNI_FED_TAX")</f>
        <v>#N/A Requesting Data...</v>
      </c>
      <c r="R2441" t="str">
        <f>_xll.BDP("92818MVM Muni","MUNI_MSRB_VOLUME")</f>
        <v>#N/A Requesting Data...</v>
      </c>
      <c r="S2441" t="str">
        <f>_xll.BDP("92818MVM Muni","BB_COMPOSITE")</f>
        <v>#N/A Requesting Data...</v>
      </c>
      <c r="T2441" t="str">
        <f>_xll.BDP("92818MVM Muni","LQA_LIQUIDITY_SCORE")</f>
        <v>#N/A Requesting Data...</v>
      </c>
    </row>
    <row r="2442" spans="1:20" x14ac:dyDescent="0.25">
      <c r="A2442" t="str">
        <f>_xll.BDP("92818MVP Muni","ID_CUSIP")</f>
        <v>#N/A Requesting Data...</v>
      </c>
      <c r="B2442" t="s">
        <v>538</v>
      </c>
      <c r="C2442" t="str">
        <f>_xll.BDP("92818MVP Muni","INSURANCE_STATUS")</f>
        <v>#N/A Requesting Data...</v>
      </c>
      <c r="D2442" t="str">
        <f>_xll.BDP("92818MVP Muni","STATE_CODE")</f>
        <v>#N/A Requesting Data...</v>
      </c>
      <c r="E2442" t="str">
        <f>_xll.BDP("92818MVP Muni","COUNTY_LOCATION_ISSUER")</f>
        <v>#N/A Requesting Data...</v>
      </c>
      <c r="F2442" t="str">
        <f>_xll.BDP("92818MVP Muni","DUR_ADJ_MID")</f>
        <v>#N/A Requesting Data...</v>
      </c>
      <c r="G2442" t="str">
        <f>_xll.BDP("92818MVP Muni","SPREAD_AT_ISSUANCE_TO_WORST")</f>
        <v>#N/A Requesting Data...</v>
      </c>
      <c r="H2442" t="str">
        <f>_xll.BDP("92818MVP Muni","ISSUE_DT")</f>
        <v>#N/A Requesting Data...</v>
      </c>
      <c r="I2442" t="str">
        <f>_xll.BDS("92818MVP Muni","MUNI_PURPOSE_SCHED", "aggregate=y")</f>
        <v>#N/A Requesting Data...</v>
      </c>
      <c r="J2442" t="str">
        <f>_xll.BDP("92818MVP Muni","CPN")</f>
        <v>#N/A Requesting Data...</v>
      </c>
      <c r="K2442" t="str">
        <f>_xll.BDP("92818MVP Muni","MATURITY")</f>
        <v>#N/A Requesting Data...</v>
      </c>
      <c r="L2442">
        <v>1800000</v>
      </c>
      <c r="M2442" t="str">
        <f>_xll.BDP("92818MVP Muni","YIELD_ON_ISSUE_DATE")</f>
        <v>#N/A Requesting Data...</v>
      </c>
      <c r="N2442" t="str">
        <f>_xll.BDP("92818MVP Muni","YTW_SPREAD_TO_MATURITY_AT_ISSU")</f>
        <v>#N/A Requesting Data...</v>
      </c>
      <c r="O2442" t="str">
        <f>_xll.BDP("92818MVP Muni","BVAL_MID_YTM")</f>
        <v>#N/A Requesting Data...</v>
      </c>
      <c r="P2442" t="str">
        <f>_xll.BDP("92818MVP Muni","MUNI_TAX_PROV")</f>
        <v>#N/A Requesting Data...</v>
      </c>
      <c r="Q2442" t="str">
        <f>_xll.BDP("92818MVP Muni","MUNI_FED_TAX")</f>
        <v>#N/A Requesting Data...</v>
      </c>
      <c r="R2442" t="str">
        <f>_xll.BDP("92818MVP Muni","MUNI_MSRB_VOLUME")</f>
        <v>#N/A Requesting Data...</v>
      </c>
      <c r="S2442" t="str">
        <f>_xll.BDP("92818MVP Muni","BB_COMPOSITE")</f>
        <v>#N/A Requesting Data...</v>
      </c>
      <c r="T2442" t="str">
        <f>_xll.BDP("92818MVP Muni","LQA_LIQUIDITY_SCORE")</f>
        <v>#N/A Requesting Data...</v>
      </c>
    </row>
    <row r="2443" spans="1:20" x14ac:dyDescent="0.25">
      <c r="A2443" t="str">
        <f>_xll.BDP("97000VDD Muni","ID_CUSIP")</f>
        <v>#N/A Requesting Data...</v>
      </c>
      <c r="B2443" t="s">
        <v>539</v>
      </c>
      <c r="C2443" t="str">
        <f>_xll.BDP("97000VDD Muni","INSURANCE_STATUS")</f>
        <v>#N/A Requesting Data...</v>
      </c>
      <c r="D2443" t="str">
        <f>_xll.BDP("97000VDD Muni","STATE_CODE")</f>
        <v>#N/A Requesting Data...</v>
      </c>
      <c r="E2443" t="str">
        <f>_xll.BDP("97000VDD Muni","COUNTY_LOCATION_ISSUER")</f>
        <v>#N/A Requesting Data...</v>
      </c>
      <c r="F2443" t="str">
        <f>_xll.BDP("97000VDD Muni","DUR_ADJ_MID")</f>
        <v>#N/A Requesting Data...</v>
      </c>
      <c r="G2443" t="str">
        <f>_xll.BDP("97000VDD Muni","SPREAD_AT_ISSUANCE_TO_WORST")</f>
        <v>#N/A Requesting Data...</v>
      </c>
      <c r="H2443" t="str">
        <f>_xll.BDP("97000VDD Muni","ISSUE_DT")</f>
        <v>#N/A Requesting Data...</v>
      </c>
      <c r="I2443" t="str">
        <f>_xll.BDS("97000VDD Muni","MUNI_PURPOSE_SCHED", "aggregate=y")</f>
        <v>#N/A Requesting Data...</v>
      </c>
      <c r="J2443" t="str">
        <f>_xll.BDP("97000VDD Muni","CPN")</f>
        <v>#N/A Requesting Data...</v>
      </c>
      <c r="K2443" t="str">
        <f>_xll.BDP("97000VDD Muni","MATURITY")</f>
        <v>#N/A Requesting Data...</v>
      </c>
      <c r="L2443">
        <v>70000</v>
      </c>
      <c r="M2443" t="str">
        <f>_xll.BDP("97000VDD Muni","YIELD_ON_ISSUE_DATE")</f>
        <v>#N/A Requesting Data...</v>
      </c>
      <c r="N2443" t="str">
        <f>_xll.BDP("97000VDD Muni","YTW_SPREAD_TO_MATURITY_AT_ISSU")</f>
        <v>#N/A Requesting Data...</v>
      </c>
      <c r="O2443" t="str">
        <f>_xll.BDP("97000VDD Muni","BVAL_MID_YTM")</f>
        <v>#N/A Requesting Data...</v>
      </c>
      <c r="P2443" t="str">
        <f>_xll.BDP("97000VDD Muni","MUNI_TAX_PROV")</f>
        <v>#N/A Requesting Data...</v>
      </c>
      <c r="Q2443" t="str">
        <f>_xll.BDP("97000VDD Muni","MUNI_FED_TAX")</f>
        <v>#N/A Requesting Data...</v>
      </c>
      <c r="R2443" t="str">
        <f>_xll.BDP("97000VDD Muni","MUNI_MSRB_VOLUME")</f>
        <v>#N/A Requesting Data...</v>
      </c>
      <c r="S2443" t="str">
        <f>_xll.BDP("97000VDD Muni","BB_COMPOSITE")</f>
        <v>#N/A Requesting Data...</v>
      </c>
      <c r="T2443" t="str">
        <f>_xll.BDP("97000VDD Muni","LQA_LIQUIDITY_SCORE")</f>
        <v>#N/A Requesting Data...</v>
      </c>
    </row>
    <row r="2444" spans="1:20" x14ac:dyDescent="0.25">
      <c r="A2444" t="str">
        <f>_xll.BDP("92818MXQ Muni","ID_CUSIP")</f>
        <v>#N/A Requesting Data...</v>
      </c>
      <c r="B2444" t="s">
        <v>538</v>
      </c>
      <c r="C2444" t="str">
        <f>_xll.BDP("92818MXQ Muni","INSURANCE_STATUS")</f>
        <v>#N/A Requesting Data...</v>
      </c>
      <c r="D2444" t="str">
        <f>_xll.BDP("92818MXQ Muni","STATE_CODE")</f>
        <v>#N/A Requesting Data...</v>
      </c>
      <c r="E2444" t="str">
        <f>_xll.BDP("92818MXQ Muni","COUNTY_LOCATION_ISSUER")</f>
        <v>#N/A Requesting Data...</v>
      </c>
      <c r="F2444" t="str">
        <f>_xll.BDP("92818MXQ Muni","DUR_ADJ_MID")</f>
        <v>#N/A Requesting Data...</v>
      </c>
      <c r="G2444" t="str">
        <f>_xll.BDP("92818MXQ Muni","SPREAD_AT_ISSUANCE_TO_WORST")</f>
        <v>#N/A Requesting Data...</v>
      </c>
      <c r="H2444" t="str">
        <f>_xll.BDP("92818MXQ Muni","ISSUE_DT")</f>
        <v>#N/A Requesting Data...</v>
      </c>
      <c r="I2444" t="str">
        <f>_xll.BDS("92818MXQ Muni","MUNI_PURPOSE_SCHED", "aggregate=y")</f>
        <v>#N/A Requesting Data...</v>
      </c>
      <c r="J2444" t="str">
        <f>_xll.BDP("92818MXQ Muni","CPN")</f>
        <v>#N/A Requesting Data...</v>
      </c>
      <c r="K2444" t="str">
        <f>_xll.BDP("92818MXQ Muni","MATURITY")</f>
        <v>#N/A Requesting Data...</v>
      </c>
      <c r="L2444">
        <v>50000</v>
      </c>
      <c r="M2444" t="str">
        <f>_xll.BDP("92818MXQ Muni","YIELD_ON_ISSUE_DATE")</f>
        <v>#N/A Requesting Data...</v>
      </c>
      <c r="N2444" t="str">
        <f>_xll.BDP("92818MXQ Muni","YTW_SPREAD_TO_MATURITY_AT_ISSU")</f>
        <v>#N/A Requesting Data...</v>
      </c>
      <c r="O2444" t="str">
        <f>_xll.BDP("92818MXQ Muni","BVAL_MID_YTM")</f>
        <v>#N/A Requesting Data...</v>
      </c>
      <c r="P2444" t="str">
        <f>_xll.BDP("92818MXQ Muni","MUNI_TAX_PROV")</f>
        <v>#N/A Requesting Data...</v>
      </c>
      <c r="Q2444" t="str">
        <f>_xll.BDP("92818MXQ Muni","MUNI_FED_TAX")</f>
        <v>#N/A Requesting Data...</v>
      </c>
      <c r="R2444" t="str">
        <f>_xll.BDP("92818MXQ Muni","MUNI_MSRB_VOLUME")</f>
        <v>#N/A Requesting Data...</v>
      </c>
      <c r="S2444" t="str">
        <f>_xll.BDP("92818MXQ Muni","BB_COMPOSITE")</f>
        <v>#N/A Requesting Data...</v>
      </c>
      <c r="T2444" t="str">
        <f>_xll.BDP("92818MXQ Muni","LQA_LIQUIDITY_SCORE")</f>
        <v>#N/A Requesting Data...</v>
      </c>
    </row>
    <row r="2445" spans="1:20" x14ac:dyDescent="0.25">
      <c r="A2445" t="str">
        <f>_xll.BDP("92818MXS Muni","ID_CUSIP")</f>
        <v>#N/A Requesting Data...</v>
      </c>
      <c r="B2445" t="s">
        <v>538</v>
      </c>
      <c r="C2445" t="str">
        <f>_xll.BDP("92818MXS Muni","INSURANCE_STATUS")</f>
        <v>#N/A Requesting Data...</v>
      </c>
      <c r="D2445" t="str">
        <f>_xll.BDP("92818MXS Muni","STATE_CODE")</f>
        <v>#N/A Requesting Data...</v>
      </c>
      <c r="E2445" t="str">
        <f>_xll.BDP("92818MXS Muni","COUNTY_LOCATION_ISSUER")</f>
        <v>#N/A Requesting Data...</v>
      </c>
      <c r="F2445" t="str">
        <f>_xll.BDP("92818MXS Muni","DUR_ADJ_MID")</f>
        <v>#N/A Requesting Data...</v>
      </c>
      <c r="G2445" t="str">
        <f>_xll.BDP("92818MXS Muni","SPREAD_AT_ISSUANCE_TO_WORST")</f>
        <v>#N/A Requesting Data...</v>
      </c>
      <c r="H2445" t="str">
        <f>_xll.BDP("92818MXS Muni","ISSUE_DT")</f>
        <v>#N/A Requesting Data...</v>
      </c>
      <c r="I2445" t="str">
        <f>_xll.BDS("92818MXS Muni","MUNI_PURPOSE_SCHED", "aggregate=y")</f>
        <v>#N/A Requesting Data...</v>
      </c>
      <c r="J2445" t="str">
        <f>_xll.BDP("92818MXS Muni","CPN")</f>
        <v>#N/A Requesting Data...</v>
      </c>
      <c r="K2445" t="str">
        <f>_xll.BDP("92818MXS Muni","MATURITY")</f>
        <v>#N/A Requesting Data...</v>
      </c>
      <c r="L2445">
        <v>55000</v>
      </c>
      <c r="M2445" t="str">
        <f>_xll.BDP("92818MXS Muni","YIELD_ON_ISSUE_DATE")</f>
        <v>#N/A Requesting Data...</v>
      </c>
      <c r="N2445" t="str">
        <f>_xll.BDP("92818MXS Muni","YTW_SPREAD_TO_MATURITY_AT_ISSU")</f>
        <v>#N/A Requesting Data...</v>
      </c>
      <c r="O2445" t="str">
        <f>_xll.BDP("92818MXS Muni","BVAL_MID_YTM")</f>
        <v>#N/A Requesting Data...</v>
      </c>
      <c r="P2445" t="str">
        <f>_xll.BDP("92818MXS Muni","MUNI_TAX_PROV")</f>
        <v>#N/A Requesting Data...</v>
      </c>
      <c r="Q2445" t="str">
        <f>_xll.BDP("92818MXS Muni","MUNI_FED_TAX")</f>
        <v>#N/A Requesting Data...</v>
      </c>
      <c r="R2445" t="str">
        <f>_xll.BDP("92818MXS Muni","MUNI_MSRB_VOLUME")</f>
        <v>#N/A Requesting Data...</v>
      </c>
      <c r="S2445" t="str">
        <f>_xll.BDP("92818MXS Muni","BB_COMPOSITE")</f>
        <v>#N/A Requesting Data...</v>
      </c>
      <c r="T2445" t="str">
        <f>_xll.BDP("92818MXS Muni","LQA_LIQUIDITY_SCORE")</f>
        <v>#N/A Requesting Data...</v>
      </c>
    </row>
    <row r="2446" spans="1:20" x14ac:dyDescent="0.25">
      <c r="A2446" t="str">
        <f>_xll.BDP("92818MXU Muni","ID_CUSIP")</f>
        <v>#N/A Requesting Data...</v>
      </c>
      <c r="B2446" t="s">
        <v>538</v>
      </c>
      <c r="C2446" t="str">
        <f>_xll.BDP("92818MXU Muni","INSURANCE_STATUS")</f>
        <v>#N/A Requesting Data...</v>
      </c>
      <c r="D2446" t="str">
        <f>_xll.BDP("92818MXU Muni","STATE_CODE")</f>
        <v>#N/A Requesting Data...</v>
      </c>
      <c r="E2446" t="str">
        <f>_xll.BDP("92818MXU Muni","COUNTY_LOCATION_ISSUER")</f>
        <v>#N/A Requesting Data...</v>
      </c>
      <c r="F2446" t="str">
        <f>_xll.BDP("92818MXU Muni","DUR_ADJ_MID")</f>
        <v>#N/A Requesting Data...</v>
      </c>
      <c r="G2446" t="str">
        <f>_xll.BDP("92818MXU Muni","SPREAD_AT_ISSUANCE_TO_WORST")</f>
        <v>#N/A Requesting Data...</v>
      </c>
      <c r="H2446" t="str">
        <f>_xll.BDP("92818MXU Muni","ISSUE_DT")</f>
        <v>#N/A Requesting Data...</v>
      </c>
      <c r="I2446" t="str">
        <f>_xll.BDS("92818MXU Muni","MUNI_PURPOSE_SCHED", "aggregate=y")</f>
        <v>#N/A Requesting Data...</v>
      </c>
      <c r="J2446" t="str">
        <f>_xll.BDP("92818MXU Muni","CPN")</f>
        <v>#N/A Requesting Data...</v>
      </c>
      <c r="K2446" t="str">
        <f>_xll.BDP("92818MXU Muni","MATURITY")</f>
        <v>#N/A Requesting Data...</v>
      </c>
      <c r="L2446">
        <v>60000</v>
      </c>
      <c r="M2446" t="str">
        <f>_xll.BDP("92818MXU Muni","YIELD_ON_ISSUE_DATE")</f>
        <v>#N/A Requesting Data...</v>
      </c>
      <c r="N2446" t="str">
        <f>_xll.BDP("92818MXU Muni","YTW_SPREAD_TO_MATURITY_AT_ISSU")</f>
        <v>#N/A Requesting Data...</v>
      </c>
      <c r="O2446" t="str">
        <f>_xll.BDP("92818MXU Muni","BVAL_MID_YTM")</f>
        <v>#N/A Requesting Data...</v>
      </c>
      <c r="P2446" t="str">
        <f>_xll.BDP("92818MXU Muni","MUNI_TAX_PROV")</f>
        <v>#N/A Requesting Data...</v>
      </c>
      <c r="Q2446" t="str">
        <f>_xll.BDP("92818MXU Muni","MUNI_FED_TAX")</f>
        <v>#N/A Requesting Data...</v>
      </c>
      <c r="R2446" t="str">
        <f>_xll.BDP("92818MXU Muni","MUNI_MSRB_VOLUME")</f>
        <v>#N/A Requesting Data...</v>
      </c>
      <c r="S2446" t="str">
        <f>_xll.BDP("92818MXU Muni","BB_COMPOSITE")</f>
        <v>#N/A Requesting Data...</v>
      </c>
      <c r="T2446" t="str">
        <f>_xll.BDP("92818MXU Muni","LQA_LIQUIDITY_SCORE")</f>
        <v>#N/A Requesting Data...</v>
      </c>
    </row>
    <row r="2447" spans="1:20" x14ac:dyDescent="0.25">
      <c r="A2447" t="str">
        <f>_xll.BDP("92818MYJ Muni","ID_CUSIP")</f>
        <v>#N/A Requesting Data...</v>
      </c>
      <c r="B2447" t="s">
        <v>538</v>
      </c>
      <c r="C2447" t="str">
        <f>_xll.BDP("92818MYJ Muni","INSURANCE_STATUS")</f>
        <v>#N/A Requesting Data...</v>
      </c>
      <c r="D2447" t="str">
        <f>_xll.BDP("92818MYJ Muni","STATE_CODE")</f>
        <v>#N/A Requesting Data...</v>
      </c>
      <c r="E2447" t="str">
        <f>_xll.BDP("92818MYJ Muni","COUNTY_LOCATION_ISSUER")</f>
        <v>#N/A Requesting Data...</v>
      </c>
      <c r="F2447" t="str">
        <f>_xll.BDP("92818MYJ Muni","DUR_ADJ_MID")</f>
        <v>#N/A Requesting Data...</v>
      </c>
      <c r="G2447" t="str">
        <f>_xll.BDP("92818MYJ Muni","SPREAD_AT_ISSUANCE_TO_WORST")</f>
        <v>#N/A Requesting Data...</v>
      </c>
      <c r="H2447" t="str">
        <f>_xll.BDP("92818MYJ Muni","ISSUE_DT")</f>
        <v>#N/A Requesting Data...</v>
      </c>
      <c r="I2447" t="str">
        <f>_xll.BDS("92818MYJ Muni","MUNI_PURPOSE_SCHED", "aggregate=y")</f>
        <v>#N/A Requesting Data...</v>
      </c>
      <c r="J2447" t="str">
        <f>_xll.BDP("92818MYJ Muni","CPN")</f>
        <v>#N/A Requesting Data...</v>
      </c>
      <c r="K2447" t="str">
        <f>_xll.BDP("92818MYJ Muni","MATURITY")</f>
        <v>#N/A Requesting Data...</v>
      </c>
      <c r="L2447">
        <v>25000</v>
      </c>
      <c r="M2447" t="str">
        <f>_xll.BDP("92818MYJ Muni","YIELD_ON_ISSUE_DATE")</f>
        <v>#N/A Requesting Data...</v>
      </c>
      <c r="N2447" t="str">
        <f>_xll.BDP("92818MYJ Muni","YTW_SPREAD_TO_MATURITY_AT_ISSU")</f>
        <v>#N/A Requesting Data...</v>
      </c>
      <c r="O2447" t="str">
        <f>_xll.BDP("92818MYJ Muni","BVAL_MID_YTM")</f>
        <v>#N/A Requesting Data...</v>
      </c>
      <c r="P2447" t="str">
        <f>_xll.BDP("92818MYJ Muni","MUNI_TAX_PROV")</f>
        <v>#N/A Requesting Data...</v>
      </c>
      <c r="Q2447" t="str">
        <f>_xll.BDP("92818MYJ Muni","MUNI_FED_TAX")</f>
        <v>#N/A Requesting Data...</v>
      </c>
      <c r="R2447" t="str">
        <f>_xll.BDP("92818MYJ Muni","MUNI_MSRB_VOLUME")</f>
        <v>#N/A Requesting Data...</v>
      </c>
      <c r="S2447" t="str">
        <f>_xll.BDP("92818MYJ Muni","BB_COMPOSITE")</f>
        <v>#N/A Requesting Data...</v>
      </c>
      <c r="T2447" t="str">
        <f>_xll.BDP("92818MYJ Muni","LQA_LIQUIDITY_SCORE")</f>
        <v>#N/A Requesting Data...</v>
      </c>
    </row>
    <row r="2448" spans="1:20" x14ac:dyDescent="0.25">
      <c r="A2448" t="str">
        <f>_xll.BDP("92818MYM Muni","ID_CUSIP")</f>
        <v>#N/A Requesting Data...</v>
      </c>
      <c r="B2448" t="s">
        <v>538</v>
      </c>
      <c r="C2448" t="str">
        <f>_xll.BDP("92818MYM Muni","INSURANCE_STATUS")</f>
        <v>#N/A Requesting Data...</v>
      </c>
      <c r="D2448" t="str">
        <f>_xll.BDP("92818MYM Muni","STATE_CODE")</f>
        <v>#N/A Requesting Data...</v>
      </c>
      <c r="E2448" t="str">
        <f>_xll.BDP("92818MYM Muni","COUNTY_LOCATION_ISSUER")</f>
        <v>#N/A Requesting Data...</v>
      </c>
      <c r="F2448" t="str">
        <f>_xll.BDP("92818MYM Muni","DUR_ADJ_MID")</f>
        <v>#N/A Requesting Data...</v>
      </c>
      <c r="G2448" t="str">
        <f>_xll.BDP("92818MYM Muni","SPREAD_AT_ISSUANCE_TO_WORST")</f>
        <v>#N/A Requesting Data...</v>
      </c>
      <c r="H2448" t="str">
        <f>_xll.BDP("92818MYM Muni","ISSUE_DT")</f>
        <v>#N/A Requesting Data...</v>
      </c>
      <c r="I2448" t="str">
        <f>_xll.BDS("92818MYM Muni","MUNI_PURPOSE_SCHED", "aggregate=y")</f>
        <v>#N/A Requesting Data...</v>
      </c>
      <c r="J2448" t="str">
        <f>_xll.BDP("92818MYM Muni","CPN")</f>
        <v>#N/A Requesting Data...</v>
      </c>
      <c r="K2448" t="str">
        <f>_xll.BDP("92818MYM Muni","MATURITY")</f>
        <v>#N/A Requesting Data...</v>
      </c>
      <c r="L2448">
        <v>30000</v>
      </c>
      <c r="M2448" t="str">
        <f>_xll.BDP("92818MYM Muni","YIELD_ON_ISSUE_DATE")</f>
        <v>#N/A Requesting Data...</v>
      </c>
      <c r="N2448" t="str">
        <f>_xll.BDP("92818MYM Muni","YTW_SPREAD_TO_MATURITY_AT_ISSU")</f>
        <v>#N/A Requesting Data...</v>
      </c>
      <c r="O2448" t="str">
        <f>_xll.BDP("92818MYM Muni","BVAL_MID_YTM")</f>
        <v>#N/A Requesting Data...</v>
      </c>
      <c r="P2448" t="str">
        <f>_xll.BDP("92818MYM Muni","MUNI_TAX_PROV")</f>
        <v>#N/A Requesting Data...</v>
      </c>
      <c r="Q2448" t="str">
        <f>_xll.BDP("92818MYM Muni","MUNI_FED_TAX")</f>
        <v>#N/A Requesting Data...</v>
      </c>
      <c r="R2448" t="str">
        <f>_xll.BDP("92818MYM Muni","MUNI_MSRB_VOLUME")</f>
        <v>#N/A Requesting Data...</v>
      </c>
      <c r="S2448" t="str">
        <f>_xll.BDP("92818MYM Muni","BB_COMPOSITE")</f>
        <v>#N/A Requesting Data...</v>
      </c>
      <c r="T2448" t="str">
        <f>_xll.BDP("92818MYM Muni","LQA_LIQUIDITY_SCORE")</f>
        <v>#N/A Requesting Data...</v>
      </c>
    </row>
    <row r="2449" spans="1:20" x14ac:dyDescent="0.25">
      <c r="A2449" t="str">
        <f>_xll.BDP("92818MYP Muni","ID_CUSIP")</f>
        <v>#N/A Requesting Data...</v>
      </c>
      <c r="B2449" t="s">
        <v>538</v>
      </c>
      <c r="C2449" t="str">
        <f>_xll.BDP("92818MYP Muni","INSURANCE_STATUS")</f>
        <v>#N/A Requesting Data...</v>
      </c>
      <c r="D2449" t="str">
        <f>_xll.BDP("92818MYP Muni","STATE_CODE")</f>
        <v>#N/A Requesting Data...</v>
      </c>
      <c r="E2449" t="str">
        <f>_xll.BDP("92818MYP Muni","COUNTY_LOCATION_ISSUER")</f>
        <v>#N/A Requesting Data...</v>
      </c>
      <c r="F2449" t="str">
        <f>_xll.BDP("92818MYP Muni","DUR_ADJ_MID")</f>
        <v>#N/A Requesting Data...</v>
      </c>
      <c r="G2449" t="str">
        <f>_xll.BDP("92818MYP Muni","SPREAD_AT_ISSUANCE_TO_WORST")</f>
        <v>#N/A Requesting Data...</v>
      </c>
      <c r="H2449" t="str">
        <f>_xll.BDP("92818MYP Muni","ISSUE_DT")</f>
        <v>#N/A Requesting Data...</v>
      </c>
      <c r="I2449" t="str">
        <f>_xll.BDS("92818MYP Muni","MUNI_PURPOSE_SCHED", "aggregate=y")</f>
        <v>#N/A Requesting Data...</v>
      </c>
      <c r="J2449" t="str">
        <f>_xll.BDP("92818MYP Muni","CPN")</f>
        <v>#N/A Requesting Data...</v>
      </c>
      <c r="K2449" t="str">
        <f>_xll.BDP("92818MYP Muni","MATURITY")</f>
        <v>#N/A Requesting Data...</v>
      </c>
      <c r="L2449">
        <v>30000</v>
      </c>
      <c r="M2449" t="str">
        <f>_xll.BDP("92818MYP Muni","YIELD_ON_ISSUE_DATE")</f>
        <v>#N/A Requesting Data...</v>
      </c>
      <c r="N2449" t="str">
        <f>_xll.BDP("92818MYP Muni","YTW_SPREAD_TO_MATURITY_AT_ISSU")</f>
        <v>#N/A Requesting Data...</v>
      </c>
      <c r="O2449" t="str">
        <f>_xll.BDP("92818MYP Muni","BVAL_MID_YTM")</f>
        <v>#N/A Requesting Data...</v>
      </c>
      <c r="P2449" t="str">
        <f>_xll.BDP("92818MYP Muni","MUNI_TAX_PROV")</f>
        <v>#N/A Requesting Data...</v>
      </c>
      <c r="Q2449" t="str">
        <f>_xll.BDP("92818MYP Muni","MUNI_FED_TAX")</f>
        <v>#N/A Requesting Data...</v>
      </c>
      <c r="R2449" t="str">
        <f>_xll.BDP("92818MYP Muni","MUNI_MSRB_VOLUME")</f>
        <v>#N/A Requesting Data...</v>
      </c>
      <c r="S2449" t="str">
        <f>_xll.BDP("92818MYP Muni","BB_COMPOSITE")</f>
        <v>#N/A Requesting Data...</v>
      </c>
      <c r="T2449" t="str">
        <f>_xll.BDP("92818MYP Muni","LQA_LIQUIDITY_SCORE")</f>
        <v>#N/A Requesting Data...</v>
      </c>
    </row>
    <row r="2450" spans="1:20" x14ac:dyDescent="0.25">
      <c r="A2450" t="str">
        <f>_xll.BDP("97000WEJ Muni","ID_CUSIP")</f>
        <v>#N/A Requesting Data...</v>
      </c>
      <c r="B2450" t="s">
        <v>540</v>
      </c>
      <c r="C2450" t="str">
        <f>_xll.BDP("97000WEJ Muni","INSURANCE_STATUS")</f>
        <v>#N/A Requesting Data...</v>
      </c>
      <c r="D2450" t="str">
        <f>_xll.BDP("97000WEJ Muni","STATE_CODE")</f>
        <v>#N/A Requesting Data...</v>
      </c>
      <c r="E2450" t="str">
        <f>_xll.BDP("97000WEJ Muni","COUNTY_LOCATION_ISSUER")</f>
        <v>#N/A Requesting Data...</v>
      </c>
      <c r="F2450" t="str">
        <f>_xll.BDP("97000WEJ Muni","DUR_ADJ_MID")</f>
        <v>#N/A Requesting Data...</v>
      </c>
      <c r="G2450" t="str">
        <f>_xll.BDP("97000WEJ Muni","SPREAD_AT_ISSUANCE_TO_WORST")</f>
        <v>#N/A Requesting Data...</v>
      </c>
      <c r="H2450" t="str">
        <f>_xll.BDP("97000WEJ Muni","ISSUE_DT")</f>
        <v>#N/A Requesting Data...</v>
      </c>
      <c r="I2450" t="str">
        <f>_xll.BDS("97000WEJ Muni","MUNI_PURPOSE_SCHED", "aggregate=y")</f>
        <v>#N/A Requesting Data...</v>
      </c>
      <c r="J2450" t="str">
        <f>_xll.BDP("97000WEJ Muni","CPN")</f>
        <v>#N/A Requesting Data...</v>
      </c>
      <c r="K2450" t="str">
        <f>_xll.BDP("97000WEJ Muni","MATURITY")</f>
        <v>#N/A Requesting Data...</v>
      </c>
      <c r="L2450">
        <v>240000</v>
      </c>
      <c r="M2450" t="str">
        <f>_xll.BDP("97000WEJ Muni","YIELD_ON_ISSUE_DATE")</f>
        <v>#N/A Requesting Data...</v>
      </c>
      <c r="N2450" t="str">
        <f>_xll.BDP("97000WEJ Muni","YTW_SPREAD_TO_MATURITY_AT_ISSU")</f>
        <v>#N/A Requesting Data...</v>
      </c>
      <c r="O2450" t="str">
        <f>_xll.BDP("97000WEJ Muni","BVAL_MID_YTM")</f>
        <v>#N/A Requesting Data...</v>
      </c>
      <c r="P2450" t="str">
        <f>_xll.BDP("97000WEJ Muni","MUNI_TAX_PROV")</f>
        <v>#N/A Requesting Data...</v>
      </c>
      <c r="Q2450" t="str">
        <f>_xll.BDP("97000WEJ Muni","MUNI_FED_TAX")</f>
        <v>#N/A Requesting Data...</v>
      </c>
      <c r="R2450" t="str">
        <f>_xll.BDP("97000WEJ Muni","MUNI_MSRB_VOLUME")</f>
        <v>#N/A Requesting Data...</v>
      </c>
      <c r="S2450" t="str">
        <f>_xll.BDP("97000WEJ Muni","BB_COMPOSITE")</f>
        <v>#N/A Requesting Data...</v>
      </c>
      <c r="T2450" t="str">
        <f>_xll.BDP("97000WEJ Muni","LQA_LIQUIDITY_SCORE")</f>
        <v>#N/A Requesting Data...</v>
      </c>
    </row>
    <row r="2451" spans="1:20" x14ac:dyDescent="0.25">
      <c r="A2451" t="str">
        <f>_xll.BDP("97001LDQ Muni","ID_CUSIP")</f>
        <v>#N/A Requesting Data...</v>
      </c>
      <c r="B2451" t="s">
        <v>541</v>
      </c>
      <c r="C2451" t="str">
        <f>_xll.BDP("97001LDQ Muni","INSURANCE_STATUS")</f>
        <v>#N/A Requesting Data...</v>
      </c>
      <c r="D2451" t="str">
        <f>_xll.BDP("97001LDQ Muni","STATE_CODE")</f>
        <v>#N/A Requesting Data...</v>
      </c>
      <c r="E2451" t="str">
        <f>_xll.BDP("97001LDQ Muni","COUNTY_LOCATION_ISSUER")</f>
        <v>#N/A Requesting Data...</v>
      </c>
      <c r="F2451" t="str">
        <f>_xll.BDP("97001LDQ Muni","DUR_ADJ_MID")</f>
        <v>#N/A Requesting Data...</v>
      </c>
      <c r="G2451" t="str">
        <f>_xll.BDP("97001LDQ Muni","SPREAD_AT_ISSUANCE_TO_WORST")</f>
        <v>#N/A Requesting Data...</v>
      </c>
      <c r="H2451" t="str">
        <f>_xll.BDP("97001LDQ Muni","ISSUE_DT")</f>
        <v>#N/A Requesting Data...</v>
      </c>
      <c r="I2451" t="str">
        <f>_xll.BDS("97001LDQ Muni","MUNI_PURPOSE_SCHED", "aggregate=y")</f>
        <v>#N/A Requesting Data...</v>
      </c>
      <c r="J2451" t="str">
        <f>_xll.BDP("97001LDQ Muni","CPN")</f>
        <v>#N/A Requesting Data...</v>
      </c>
      <c r="K2451" t="str">
        <f>_xll.BDP("97001LDQ Muni","MATURITY")</f>
        <v>#N/A Requesting Data...</v>
      </c>
      <c r="L2451">
        <v>45000</v>
      </c>
      <c r="M2451" t="str">
        <f>_xll.BDP("97001LDQ Muni","YIELD_ON_ISSUE_DATE")</f>
        <v>#N/A Requesting Data...</v>
      </c>
      <c r="N2451" t="str">
        <f>_xll.BDP("97001LDQ Muni","YTW_SPREAD_TO_MATURITY_AT_ISSU")</f>
        <v>#N/A Requesting Data...</v>
      </c>
      <c r="O2451" t="str">
        <f>_xll.BDP("97001LDQ Muni","BVAL_MID_YTM")</f>
        <v>#N/A Requesting Data...</v>
      </c>
      <c r="P2451" t="str">
        <f>_xll.BDP("97001LDQ Muni","MUNI_TAX_PROV")</f>
        <v>#N/A Requesting Data...</v>
      </c>
      <c r="Q2451" t="str">
        <f>_xll.BDP("97001LDQ Muni","MUNI_FED_TAX")</f>
        <v>#N/A Requesting Data...</v>
      </c>
      <c r="R2451" t="str">
        <f>_xll.BDP("97001LDQ Muni","MUNI_MSRB_VOLUME")</f>
        <v>#N/A Requesting Data...</v>
      </c>
      <c r="S2451" t="str">
        <f>_xll.BDP("97001LDQ Muni","BB_COMPOSITE")</f>
        <v>#N/A Requesting Data...</v>
      </c>
      <c r="T2451" t="str">
        <f>_xll.BDP("97001LDQ Muni","LQA_LIQUIDITY_SCORE")</f>
        <v>#N/A Requesting Data...</v>
      </c>
    </row>
    <row r="2452" spans="1:20" x14ac:dyDescent="0.25">
      <c r="A2452" t="str">
        <f>_xll.BDP("97001LEW Muni","ID_CUSIP")</f>
        <v>#N/A Requesting Data...</v>
      </c>
      <c r="B2452" t="s">
        <v>541</v>
      </c>
      <c r="C2452" t="str">
        <f>_xll.BDP("97001LEW Muni","INSURANCE_STATUS")</f>
        <v>#N/A Requesting Data...</v>
      </c>
      <c r="D2452" t="str">
        <f>_xll.BDP("97001LEW Muni","STATE_CODE")</f>
        <v>#N/A Requesting Data...</v>
      </c>
      <c r="E2452" t="str">
        <f>_xll.BDP("97001LEW Muni","COUNTY_LOCATION_ISSUER")</f>
        <v>#N/A Requesting Data...</v>
      </c>
      <c r="F2452" t="str">
        <f>_xll.BDP("97001LEW Muni","DUR_ADJ_MID")</f>
        <v>#N/A Requesting Data...</v>
      </c>
      <c r="G2452" t="str">
        <f>_xll.BDP("97001LEW Muni","SPREAD_AT_ISSUANCE_TO_WORST")</f>
        <v>#N/A Requesting Data...</v>
      </c>
      <c r="H2452" t="str">
        <f>_xll.BDP("97001LEW Muni","ISSUE_DT")</f>
        <v>#N/A Requesting Data...</v>
      </c>
      <c r="I2452" t="str">
        <f>_xll.BDS("97001LEW Muni","MUNI_PURPOSE_SCHED", "aggregate=y")</f>
        <v>#N/A Requesting Data...</v>
      </c>
      <c r="J2452" t="str">
        <f>_xll.BDP("97001LEW Muni","CPN")</f>
        <v>#N/A Requesting Data...</v>
      </c>
      <c r="K2452" t="str">
        <f>_xll.BDP("97001LEW Muni","MATURITY")</f>
        <v>#N/A Requesting Data...</v>
      </c>
      <c r="L2452">
        <v>155000</v>
      </c>
      <c r="M2452" t="str">
        <f>_xll.BDP("97001LEW Muni","YIELD_ON_ISSUE_DATE")</f>
        <v>#N/A Requesting Data...</v>
      </c>
      <c r="N2452" t="str">
        <f>_xll.BDP("97001LEW Muni","YTW_SPREAD_TO_MATURITY_AT_ISSU")</f>
        <v>#N/A Requesting Data...</v>
      </c>
      <c r="O2452" t="str">
        <f>_xll.BDP("97001LEW Muni","BVAL_MID_YTM")</f>
        <v>#N/A Requesting Data...</v>
      </c>
      <c r="P2452" t="str">
        <f>_xll.BDP("97001LEW Muni","MUNI_TAX_PROV")</f>
        <v>#N/A Requesting Data...</v>
      </c>
      <c r="Q2452" t="str">
        <f>_xll.BDP("97001LEW Muni","MUNI_FED_TAX")</f>
        <v>#N/A Requesting Data...</v>
      </c>
      <c r="R2452" t="str">
        <f>_xll.BDP("97001LEW Muni","MUNI_MSRB_VOLUME")</f>
        <v>#N/A Requesting Data...</v>
      </c>
      <c r="S2452" t="str">
        <f>_xll.BDP("97001LEW Muni","BB_COMPOSITE")</f>
        <v>#N/A Requesting Data...</v>
      </c>
      <c r="T2452" t="str">
        <f>_xll.BDP("97001LEW Muni","LQA_LIQUIDITY_SCORE")</f>
        <v>#N/A Requesting Data...</v>
      </c>
    </row>
    <row r="2453" spans="1:20" x14ac:dyDescent="0.25">
      <c r="A2453" t="str">
        <f>_xll.BDP("92823PHB Muni","ID_CUSIP")</f>
        <v>#N/A Requesting Data...</v>
      </c>
      <c r="B2453" t="s">
        <v>542</v>
      </c>
      <c r="C2453" t="str">
        <f>_xll.BDP("92823PHB Muni","INSURANCE_STATUS")</f>
        <v>#N/A Requesting Data...</v>
      </c>
      <c r="D2453" t="str">
        <f>_xll.BDP("92823PHB Muni","STATE_CODE")</f>
        <v>#N/A Requesting Data...</v>
      </c>
      <c r="E2453" t="str">
        <f>_xll.BDP("92823PHB Muni","COUNTY_LOCATION_ISSUER")</f>
        <v>#N/A Requesting Data...</v>
      </c>
      <c r="F2453" t="str">
        <f>_xll.BDP("92823PHB Muni","DUR_ADJ_MID")</f>
        <v>#N/A Requesting Data...</v>
      </c>
      <c r="G2453" t="str">
        <f>_xll.BDP("92823PHB Muni","SPREAD_AT_ISSUANCE_TO_WORST")</f>
        <v>#N/A Requesting Data...</v>
      </c>
      <c r="H2453" t="str">
        <f>_xll.BDP("92823PHB Muni","ISSUE_DT")</f>
        <v>#N/A Requesting Data...</v>
      </c>
      <c r="I2453" t="str">
        <f>_xll.BDS("92823PHB Muni","MUNI_PURPOSE_SCHED", "aggregate=y")</f>
        <v>#N/A Requesting Data...</v>
      </c>
      <c r="J2453" t="str">
        <f>_xll.BDP("92823PHB Muni","CPN")</f>
        <v>#N/A Requesting Data...</v>
      </c>
      <c r="K2453" t="str">
        <f>_xll.BDP("92823PHB Muni","MATURITY")</f>
        <v>#N/A Requesting Data...</v>
      </c>
      <c r="L2453">
        <v>405000</v>
      </c>
      <c r="M2453" t="str">
        <f>_xll.BDP("92823PHB Muni","YIELD_ON_ISSUE_DATE")</f>
        <v>#N/A Requesting Data...</v>
      </c>
      <c r="N2453" t="str">
        <f>_xll.BDP("92823PHB Muni","YTW_SPREAD_TO_MATURITY_AT_ISSU")</f>
        <v>#N/A Requesting Data...</v>
      </c>
      <c r="O2453" t="str">
        <f>_xll.BDP("92823PHB Muni","BVAL_MID_YTM")</f>
        <v>#N/A Requesting Data...</v>
      </c>
      <c r="P2453" t="str">
        <f>_xll.BDP("92823PHB Muni","MUNI_TAX_PROV")</f>
        <v>#N/A Requesting Data...</v>
      </c>
      <c r="Q2453" t="str">
        <f>_xll.BDP("92823PHB Muni","MUNI_FED_TAX")</f>
        <v>#N/A Requesting Data...</v>
      </c>
      <c r="R2453" t="str">
        <f>_xll.BDP("92823PHB Muni","MUNI_MSRB_VOLUME")</f>
        <v>#N/A Requesting Data...</v>
      </c>
      <c r="S2453" t="str">
        <f>_xll.BDP("92823PHB Muni","BB_COMPOSITE")</f>
        <v>#N/A Requesting Data...</v>
      </c>
      <c r="T2453" t="str">
        <f>_xll.BDP("92823PHB Muni","LQA_LIQUIDITY_SCORE")</f>
        <v>#N/A Requesting Data...</v>
      </c>
    </row>
    <row r="2454" spans="1:20" x14ac:dyDescent="0.25">
      <c r="A2454" t="str">
        <f>_xll.BDP("970735HY Muni","ID_CUSIP")</f>
        <v>#N/A Requesting Data...</v>
      </c>
      <c r="B2454" t="s">
        <v>543</v>
      </c>
      <c r="C2454" t="str">
        <f>_xll.BDP("970735HY Muni","INSURANCE_STATUS")</f>
        <v>#N/A Requesting Data...</v>
      </c>
      <c r="D2454" t="str">
        <f>_xll.BDP("970735HY Muni","STATE_CODE")</f>
        <v>#N/A Requesting Data...</v>
      </c>
      <c r="E2454" t="str">
        <f>_xll.BDP("970735HY Muni","COUNTY_LOCATION_ISSUER")</f>
        <v>#N/A Requesting Data...</v>
      </c>
      <c r="F2454" t="str">
        <f>_xll.BDP("970735HY Muni","DUR_ADJ_MID")</f>
        <v>#N/A Requesting Data...</v>
      </c>
      <c r="G2454" t="str">
        <f>_xll.BDP("970735HY Muni","SPREAD_AT_ISSUANCE_TO_WORST")</f>
        <v>#N/A Requesting Data...</v>
      </c>
      <c r="H2454" t="str">
        <f>_xll.BDP("970735HY Muni","ISSUE_DT")</f>
        <v>#N/A Requesting Data...</v>
      </c>
      <c r="I2454" t="str">
        <f>_xll.BDS("970735HY Muni","MUNI_PURPOSE_SCHED", "aggregate=y")</f>
        <v>#N/A Requesting Data...</v>
      </c>
      <c r="J2454" t="str">
        <f>_xll.BDP("970735HY Muni","CPN")</f>
        <v>#N/A Requesting Data...</v>
      </c>
      <c r="K2454" t="str">
        <f>_xll.BDP("970735HY Muni","MATURITY")</f>
        <v>#N/A Requesting Data...</v>
      </c>
      <c r="L2454">
        <v>275000</v>
      </c>
      <c r="M2454" t="str">
        <f>_xll.BDP("970735HY Muni","YIELD_ON_ISSUE_DATE")</f>
        <v>#N/A Requesting Data...</v>
      </c>
      <c r="N2454" t="str">
        <f>_xll.BDP("970735HY Muni","YTW_SPREAD_TO_MATURITY_AT_ISSU")</f>
        <v>#N/A Requesting Data...</v>
      </c>
      <c r="O2454" t="str">
        <f>_xll.BDP("970735HY Muni","BVAL_MID_YTM")</f>
        <v>#N/A Requesting Data...</v>
      </c>
      <c r="P2454" t="str">
        <f>_xll.BDP("970735HY Muni","MUNI_TAX_PROV")</f>
        <v>#N/A Requesting Data...</v>
      </c>
      <c r="Q2454" t="str">
        <f>_xll.BDP("970735HY Muni","MUNI_FED_TAX")</f>
        <v>#N/A Requesting Data...</v>
      </c>
      <c r="R2454" t="str">
        <f>_xll.BDP("970735HY Muni","MUNI_MSRB_VOLUME")</f>
        <v>#N/A Requesting Data...</v>
      </c>
      <c r="S2454" t="str">
        <f>_xll.BDP("970735HY Muni","BB_COMPOSITE")</f>
        <v>#N/A Requesting Data...</v>
      </c>
      <c r="T2454" t="str">
        <f>_xll.BDP("970735HY Muni","LQA_LIQUIDITY_SCORE")</f>
        <v>#N/A Requesting Data...</v>
      </c>
    </row>
    <row r="2455" spans="1:20" x14ac:dyDescent="0.25">
      <c r="A2455" t="str">
        <f>_xll.BDP("970735HZ Muni","ID_CUSIP")</f>
        <v>#N/A Requesting Data...</v>
      </c>
      <c r="B2455" t="s">
        <v>543</v>
      </c>
      <c r="C2455" t="str">
        <f>_xll.BDP("970735HZ Muni","INSURANCE_STATUS")</f>
        <v>#N/A Requesting Data...</v>
      </c>
      <c r="D2455" t="str">
        <f>_xll.BDP("970735HZ Muni","STATE_CODE")</f>
        <v>#N/A Requesting Data...</v>
      </c>
      <c r="E2455" t="str">
        <f>_xll.BDP("970735HZ Muni","COUNTY_LOCATION_ISSUER")</f>
        <v>#N/A Requesting Data...</v>
      </c>
      <c r="F2455" t="str">
        <f>_xll.BDP("970735HZ Muni","DUR_ADJ_MID")</f>
        <v>#N/A Requesting Data...</v>
      </c>
      <c r="G2455" t="str">
        <f>_xll.BDP("970735HZ Muni","SPREAD_AT_ISSUANCE_TO_WORST")</f>
        <v>#N/A Requesting Data...</v>
      </c>
      <c r="H2455" t="str">
        <f>_xll.BDP("970735HZ Muni","ISSUE_DT")</f>
        <v>#N/A Requesting Data...</v>
      </c>
      <c r="I2455" t="str">
        <f>_xll.BDS("970735HZ Muni","MUNI_PURPOSE_SCHED", "aggregate=y")</f>
        <v>#N/A Requesting Data...</v>
      </c>
      <c r="J2455" t="str">
        <f>_xll.BDP("970735HZ Muni","CPN")</f>
        <v>#N/A Requesting Data...</v>
      </c>
      <c r="K2455" t="str">
        <f>_xll.BDP("970735HZ Muni","MATURITY")</f>
        <v>#N/A Requesting Data...</v>
      </c>
      <c r="L2455">
        <v>280000</v>
      </c>
      <c r="M2455" t="str">
        <f>_xll.BDP("970735HZ Muni","YIELD_ON_ISSUE_DATE")</f>
        <v>#N/A Requesting Data...</v>
      </c>
      <c r="N2455" t="str">
        <f>_xll.BDP("970735HZ Muni","YTW_SPREAD_TO_MATURITY_AT_ISSU")</f>
        <v>#N/A Requesting Data...</v>
      </c>
      <c r="O2455" t="str">
        <f>_xll.BDP("970735HZ Muni","BVAL_MID_YTM")</f>
        <v>#N/A Requesting Data...</v>
      </c>
      <c r="P2455" t="str">
        <f>_xll.BDP("970735HZ Muni","MUNI_TAX_PROV")</f>
        <v>#N/A Requesting Data...</v>
      </c>
      <c r="Q2455" t="str">
        <f>_xll.BDP("970735HZ Muni","MUNI_FED_TAX")</f>
        <v>#N/A Requesting Data...</v>
      </c>
      <c r="R2455" t="str">
        <f>_xll.BDP("970735HZ Muni","MUNI_MSRB_VOLUME")</f>
        <v>#N/A Requesting Data...</v>
      </c>
      <c r="S2455" t="str">
        <f>_xll.BDP("970735HZ Muni","BB_COMPOSITE")</f>
        <v>#N/A Requesting Data...</v>
      </c>
      <c r="T2455" t="str">
        <f>_xll.BDP("970735HZ Muni","LQA_LIQUIDITY_SCORE")</f>
        <v>#N/A Requesting Data...</v>
      </c>
    </row>
    <row r="2456" spans="1:20" x14ac:dyDescent="0.25">
      <c r="A2456" t="str">
        <f>_xll.BDP("970735JC Muni","ID_CUSIP")</f>
        <v>#N/A Requesting Data...</v>
      </c>
      <c r="B2456" t="s">
        <v>543</v>
      </c>
      <c r="C2456" t="str">
        <f>_xll.BDP("970735JC Muni","INSURANCE_STATUS")</f>
        <v>#N/A Requesting Data...</v>
      </c>
      <c r="D2456" t="str">
        <f>_xll.BDP("970735JC Muni","STATE_CODE")</f>
        <v>#N/A Requesting Data...</v>
      </c>
      <c r="E2456" t="str">
        <f>_xll.BDP("970735JC Muni","COUNTY_LOCATION_ISSUER")</f>
        <v>#N/A Requesting Data...</v>
      </c>
      <c r="F2456" t="str">
        <f>_xll.BDP("970735JC Muni","DUR_ADJ_MID")</f>
        <v>#N/A Requesting Data...</v>
      </c>
      <c r="G2456" t="str">
        <f>_xll.BDP("970735JC Muni","SPREAD_AT_ISSUANCE_TO_WORST")</f>
        <v>#N/A Requesting Data...</v>
      </c>
      <c r="H2456" t="str">
        <f>_xll.BDP("970735JC Muni","ISSUE_DT")</f>
        <v>#N/A Requesting Data...</v>
      </c>
      <c r="I2456" t="str">
        <f>_xll.BDS("970735JC Muni","MUNI_PURPOSE_SCHED", "aggregate=y")</f>
        <v>#N/A Requesting Data...</v>
      </c>
      <c r="J2456" t="str">
        <f>_xll.BDP("970735JC Muni","CPN")</f>
        <v>#N/A Requesting Data...</v>
      </c>
      <c r="K2456" t="str">
        <f>_xll.BDP("970735JC Muni","MATURITY")</f>
        <v>#N/A Requesting Data...</v>
      </c>
      <c r="L2456">
        <v>300000</v>
      </c>
      <c r="M2456" t="str">
        <f>_xll.BDP("970735JC Muni","YIELD_ON_ISSUE_DATE")</f>
        <v>#N/A Requesting Data...</v>
      </c>
      <c r="N2456" t="str">
        <f>_xll.BDP("970735JC Muni","YTW_SPREAD_TO_MATURITY_AT_ISSU")</f>
        <v>#N/A Requesting Data...</v>
      </c>
      <c r="O2456" t="str">
        <f>_xll.BDP("970735JC Muni","BVAL_MID_YTM")</f>
        <v>#N/A Requesting Data...</v>
      </c>
      <c r="P2456" t="str">
        <f>_xll.BDP("970735JC Muni","MUNI_TAX_PROV")</f>
        <v>#N/A Requesting Data...</v>
      </c>
      <c r="Q2456" t="str">
        <f>_xll.BDP("970735JC Muni","MUNI_FED_TAX")</f>
        <v>#N/A Requesting Data...</v>
      </c>
      <c r="R2456" t="str">
        <f>_xll.BDP("970735JC Muni","MUNI_MSRB_VOLUME")</f>
        <v>#N/A Requesting Data...</v>
      </c>
      <c r="S2456" t="str">
        <f>_xll.BDP("970735JC Muni","BB_COMPOSITE")</f>
        <v>#N/A Requesting Data...</v>
      </c>
      <c r="T2456" t="str">
        <f>_xll.BDP("970735JC Muni","LQA_LIQUIDITY_SCORE")</f>
        <v>#N/A Requesting Data...</v>
      </c>
    </row>
    <row r="2457" spans="1:20" x14ac:dyDescent="0.25">
      <c r="A2457" t="str">
        <f>_xll.BDP("933875UY Muni","ID_CUSIP")</f>
        <v>#N/A Requesting Data...</v>
      </c>
      <c r="B2457" t="s">
        <v>569</v>
      </c>
      <c r="C2457" t="str">
        <f>_xll.BDP("933875UY Muni","INSURANCE_STATUS")</f>
        <v>#N/A Requesting Data...</v>
      </c>
      <c r="D2457" t="str">
        <f>_xll.BDP("933875UY Muni","STATE_CODE")</f>
        <v>#N/A Requesting Data...</v>
      </c>
      <c r="E2457" t="str">
        <f>_xll.BDP("933875UY Muni","COUNTY_LOCATION_ISSUER")</f>
        <v>#N/A Requesting Data...</v>
      </c>
      <c r="F2457" t="str">
        <f>_xll.BDP("933875UY Muni","DUR_ADJ_MID")</f>
        <v>#N/A Requesting Data...</v>
      </c>
      <c r="G2457" t="str">
        <f>_xll.BDP("933875UY Muni","SPREAD_AT_ISSUANCE_TO_WORST")</f>
        <v>#N/A Requesting Data...</v>
      </c>
      <c r="H2457" t="str">
        <f>_xll.BDP("933875UY Muni","ISSUE_DT")</f>
        <v>#N/A Requesting Data...</v>
      </c>
      <c r="I2457" t="str">
        <f>_xll.BDS("933875UY Muni","MUNI_PURPOSE_SCHED", "aggregate=y")</f>
        <v>#N/A Requesting Data...</v>
      </c>
      <c r="J2457" t="str">
        <f>_xll.BDP("933875UY Muni","CPN")</f>
        <v>#N/A Requesting Data...</v>
      </c>
      <c r="K2457" t="str">
        <f>_xll.BDP("933875UY Muni","MATURITY")</f>
        <v>#N/A Requesting Data...</v>
      </c>
      <c r="L2457">
        <v>160000</v>
      </c>
      <c r="M2457" t="str">
        <f>_xll.BDP("933875UY Muni","YIELD_ON_ISSUE_DATE")</f>
        <v>#N/A Requesting Data...</v>
      </c>
      <c r="N2457" t="str">
        <f>_xll.BDP("933875UY Muni","YTW_SPREAD_TO_MATURITY_AT_ISSU")</f>
        <v>#N/A Requesting Data...</v>
      </c>
      <c r="O2457" t="str">
        <f>_xll.BDP("933875UY Muni","BVAL_MID_YTM")</f>
        <v>#N/A Requesting Data...</v>
      </c>
      <c r="P2457" t="str">
        <f>_xll.BDP("933875UY Muni","MUNI_TAX_PROV")</f>
        <v>#N/A Requesting Data...</v>
      </c>
      <c r="Q2457" t="str">
        <f>_xll.BDP("933875UY Muni","MUNI_FED_TAX")</f>
        <v>#N/A Requesting Data...</v>
      </c>
      <c r="R2457" t="str">
        <f>_xll.BDP("933875UY Muni","MUNI_MSRB_VOLUME")</f>
        <v>#N/A Requesting Data...</v>
      </c>
      <c r="S2457" t="str">
        <f>_xll.BDP("933875UY Muni","BB_COMPOSITE")</f>
        <v>#N/A Requesting Data...</v>
      </c>
      <c r="T2457" t="str">
        <f>_xll.BDP("933875UY Muni","LQA_LIQUIDITY_SCORE")</f>
        <v>#N/A Requesting Data...</v>
      </c>
    </row>
    <row r="2458" spans="1:20" x14ac:dyDescent="0.25">
      <c r="A2458" t="str">
        <f>_xll.BDP("933875UZ Muni","ID_CUSIP")</f>
        <v>#N/A Requesting Data...</v>
      </c>
      <c r="B2458" t="s">
        <v>569</v>
      </c>
      <c r="C2458" t="str">
        <f>_xll.BDP("933875UZ Muni","INSURANCE_STATUS")</f>
        <v>#N/A Requesting Data...</v>
      </c>
      <c r="D2458" t="str">
        <f>_xll.BDP("933875UZ Muni","STATE_CODE")</f>
        <v>#N/A Requesting Data...</v>
      </c>
      <c r="E2458" t="str">
        <f>_xll.BDP("933875UZ Muni","COUNTY_LOCATION_ISSUER")</f>
        <v>#N/A Requesting Data...</v>
      </c>
      <c r="F2458" t="str">
        <f>_xll.BDP("933875UZ Muni","DUR_ADJ_MID")</f>
        <v>#N/A Requesting Data...</v>
      </c>
      <c r="G2458" t="str">
        <f>_xll.BDP("933875UZ Muni","SPREAD_AT_ISSUANCE_TO_WORST")</f>
        <v>#N/A Requesting Data...</v>
      </c>
      <c r="H2458" t="str">
        <f>_xll.BDP("933875UZ Muni","ISSUE_DT")</f>
        <v>#N/A Requesting Data...</v>
      </c>
      <c r="I2458" t="str">
        <f>_xll.BDS("933875UZ Muni","MUNI_PURPOSE_SCHED", "aggregate=y")</f>
        <v>#N/A Requesting Data...</v>
      </c>
      <c r="J2458" t="str">
        <f>_xll.BDP("933875UZ Muni","CPN")</f>
        <v>#N/A Requesting Data...</v>
      </c>
      <c r="K2458" t="str">
        <f>_xll.BDP("933875UZ Muni","MATURITY")</f>
        <v>#N/A Requesting Data...</v>
      </c>
      <c r="L2458">
        <v>170000</v>
      </c>
      <c r="M2458" t="str">
        <f>_xll.BDP("933875UZ Muni","YIELD_ON_ISSUE_DATE")</f>
        <v>#N/A Requesting Data...</v>
      </c>
      <c r="N2458" t="str">
        <f>_xll.BDP("933875UZ Muni","YTW_SPREAD_TO_MATURITY_AT_ISSU")</f>
        <v>#N/A Requesting Data...</v>
      </c>
      <c r="O2458" t="str">
        <f>_xll.BDP("933875UZ Muni","BVAL_MID_YTM")</f>
        <v>#N/A Requesting Data...</v>
      </c>
      <c r="P2458" t="str">
        <f>_xll.BDP("933875UZ Muni","MUNI_TAX_PROV")</f>
        <v>#N/A Requesting Data...</v>
      </c>
      <c r="Q2458" t="str">
        <f>_xll.BDP("933875UZ Muni","MUNI_FED_TAX")</f>
        <v>#N/A Requesting Data...</v>
      </c>
      <c r="R2458" t="str">
        <f>_xll.BDP("933875UZ Muni","MUNI_MSRB_VOLUME")</f>
        <v>#N/A Requesting Data...</v>
      </c>
      <c r="S2458" t="str">
        <f>_xll.BDP("933875UZ Muni","BB_COMPOSITE")</f>
        <v>#N/A Requesting Data...</v>
      </c>
      <c r="T2458" t="str">
        <f>_xll.BDP("933875UZ Muni","LQA_LIQUIDITY_SCORE")</f>
        <v>#N/A Requesting Data...</v>
      </c>
    </row>
    <row r="2459" spans="1:20" x14ac:dyDescent="0.25">
      <c r="A2459" t="str">
        <f>_xll.BDP("933875VA Muni","ID_CUSIP")</f>
        <v>#N/A Requesting Data...</v>
      </c>
      <c r="B2459" t="s">
        <v>569</v>
      </c>
      <c r="C2459" t="str">
        <f>_xll.BDP("933875VA Muni","INSURANCE_STATUS")</f>
        <v>#N/A Requesting Data...</v>
      </c>
      <c r="D2459" t="str">
        <f>_xll.BDP("933875VA Muni","STATE_CODE")</f>
        <v>#N/A Requesting Data...</v>
      </c>
      <c r="E2459" t="str">
        <f>_xll.BDP("933875VA Muni","COUNTY_LOCATION_ISSUER")</f>
        <v>#N/A Requesting Data...</v>
      </c>
      <c r="F2459" t="str">
        <f>_xll.BDP("933875VA Muni","DUR_ADJ_MID")</f>
        <v>#N/A Requesting Data...</v>
      </c>
      <c r="G2459" t="str">
        <f>_xll.BDP("933875VA Muni","SPREAD_AT_ISSUANCE_TO_WORST")</f>
        <v>#N/A Requesting Data...</v>
      </c>
      <c r="H2459" t="str">
        <f>_xll.BDP("933875VA Muni","ISSUE_DT")</f>
        <v>#N/A Requesting Data...</v>
      </c>
      <c r="I2459" t="str">
        <f>_xll.BDS("933875VA Muni","MUNI_PURPOSE_SCHED", "aggregate=y")</f>
        <v>#N/A Requesting Data...</v>
      </c>
      <c r="J2459" t="str">
        <f>_xll.BDP("933875VA Muni","CPN")</f>
        <v>#N/A Requesting Data...</v>
      </c>
      <c r="K2459" t="str">
        <f>_xll.BDP("933875VA Muni","MATURITY")</f>
        <v>#N/A Requesting Data...</v>
      </c>
      <c r="L2459">
        <v>170000</v>
      </c>
      <c r="M2459" t="str">
        <f>_xll.BDP("933875VA Muni","YIELD_ON_ISSUE_DATE")</f>
        <v>#N/A Requesting Data...</v>
      </c>
      <c r="N2459" t="str">
        <f>_xll.BDP("933875VA Muni","YTW_SPREAD_TO_MATURITY_AT_ISSU")</f>
        <v>#N/A Requesting Data...</v>
      </c>
      <c r="O2459" t="str">
        <f>_xll.BDP("933875VA Muni","BVAL_MID_YTM")</f>
        <v>#N/A Requesting Data...</v>
      </c>
      <c r="P2459" t="str">
        <f>_xll.BDP("933875VA Muni","MUNI_TAX_PROV")</f>
        <v>#N/A Requesting Data...</v>
      </c>
      <c r="Q2459" t="str">
        <f>_xll.BDP("933875VA Muni","MUNI_FED_TAX")</f>
        <v>#N/A Requesting Data...</v>
      </c>
      <c r="R2459" t="str">
        <f>_xll.BDP("933875VA Muni","MUNI_MSRB_VOLUME")</f>
        <v>#N/A Requesting Data...</v>
      </c>
      <c r="S2459" t="str">
        <f>_xll.BDP("933875VA Muni","BB_COMPOSITE")</f>
        <v>#N/A Requesting Data...</v>
      </c>
      <c r="T2459" t="str">
        <f>_xll.BDP("933875VA Muni","LQA_LIQUIDITY_SCORE")</f>
        <v>#N/A Requesting Data...</v>
      </c>
    </row>
    <row r="2460" spans="1:20" x14ac:dyDescent="0.25">
      <c r="A2460" t="str">
        <f>_xll.BDP("933875VB Muni","ID_CUSIP")</f>
        <v>#N/A Requesting Data...</v>
      </c>
      <c r="B2460" t="s">
        <v>569</v>
      </c>
      <c r="C2460" t="str">
        <f>_xll.BDP("933875VB Muni","INSURANCE_STATUS")</f>
        <v>#N/A Requesting Data...</v>
      </c>
      <c r="D2460" t="str">
        <f>_xll.BDP("933875VB Muni","STATE_CODE")</f>
        <v>#N/A Requesting Data...</v>
      </c>
      <c r="E2460" t="str">
        <f>_xll.BDP("933875VB Muni","COUNTY_LOCATION_ISSUER")</f>
        <v>#N/A Requesting Data...</v>
      </c>
      <c r="F2460" t="str">
        <f>_xll.BDP("933875VB Muni","DUR_ADJ_MID")</f>
        <v>#N/A Requesting Data...</v>
      </c>
      <c r="G2460" t="str">
        <f>_xll.BDP("933875VB Muni","SPREAD_AT_ISSUANCE_TO_WORST")</f>
        <v>#N/A Requesting Data...</v>
      </c>
      <c r="H2460" t="str">
        <f>_xll.BDP("933875VB Muni","ISSUE_DT")</f>
        <v>#N/A Requesting Data...</v>
      </c>
      <c r="I2460" t="str">
        <f>_xll.BDS("933875VB Muni","MUNI_PURPOSE_SCHED", "aggregate=y")</f>
        <v>#N/A Requesting Data...</v>
      </c>
      <c r="J2460" t="str">
        <f>_xll.BDP("933875VB Muni","CPN")</f>
        <v>#N/A Requesting Data...</v>
      </c>
      <c r="K2460" t="str">
        <f>_xll.BDP("933875VB Muni","MATURITY")</f>
        <v>#N/A Requesting Data...</v>
      </c>
      <c r="L2460">
        <v>175000</v>
      </c>
      <c r="M2460" t="str">
        <f>_xll.BDP("933875VB Muni","YIELD_ON_ISSUE_DATE")</f>
        <v>#N/A Requesting Data...</v>
      </c>
      <c r="N2460" t="str">
        <f>_xll.BDP("933875VB Muni","YTW_SPREAD_TO_MATURITY_AT_ISSU")</f>
        <v>#N/A Requesting Data...</v>
      </c>
      <c r="O2460" t="str">
        <f>_xll.BDP("933875VB Muni","BVAL_MID_YTM")</f>
        <v>#N/A Requesting Data...</v>
      </c>
      <c r="P2460" t="str">
        <f>_xll.BDP("933875VB Muni","MUNI_TAX_PROV")</f>
        <v>#N/A Requesting Data...</v>
      </c>
      <c r="Q2460" t="str">
        <f>_xll.BDP("933875VB Muni","MUNI_FED_TAX")</f>
        <v>#N/A Requesting Data...</v>
      </c>
      <c r="R2460" t="str">
        <f>_xll.BDP("933875VB Muni","MUNI_MSRB_VOLUME")</f>
        <v>#N/A Requesting Data...</v>
      </c>
      <c r="S2460" t="str">
        <f>_xll.BDP("933875VB Muni","BB_COMPOSITE")</f>
        <v>#N/A Requesting Data...</v>
      </c>
      <c r="T2460" t="str">
        <f>_xll.BDP("933875VB Muni","LQA_LIQUIDITY_SCORE")</f>
        <v>#N/A Requesting Data...</v>
      </c>
    </row>
    <row r="2461" spans="1:20" x14ac:dyDescent="0.25">
      <c r="A2461" t="str">
        <f>_xll.BDP("934238HF Muni","ID_CUSIP")</f>
        <v>#N/A Requesting Data...</v>
      </c>
      <c r="B2461" t="s">
        <v>570</v>
      </c>
      <c r="C2461" t="str">
        <f>_xll.BDP("934238HF Muni","INSURANCE_STATUS")</f>
        <v>#N/A Requesting Data...</v>
      </c>
      <c r="D2461" t="str">
        <f>_xll.BDP("934238HF Muni","STATE_CODE")</f>
        <v>#N/A Requesting Data...</v>
      </c>
      <c r="E2461" t="str">
        <f>_xll.BDP("934238HF Muni","COUNTY_LOCATION_ISSUER")</f>
        <v>#N/A Requesting Data...</v>
      </c>
      <c r="F2461" t="str">
        <f>_xll.BDP("934238HF Muni","DUR_ADJ_MID")</f>
        <v>#N/A Requesting Data...</v>
      </c>
      <c r="G2461" t="str">
        <f>_xll.BDP("934238HF Muni","SPREAD_AT_ISSUANCE_TO_WORST")</f>
        <v>#N/A Requesting Data...</v>
      </c>
      <c r="H2461" t="str">
        <f>_xll.BDP("934238HF Muni","ISSUE_DT")</f>
        <v>#N/A Requesting Data...</v>
      </c>
      <c r="I2461" t="str">
        <f>_xll.BDS("934238HF Muni","MUNI_PURPOSE_SCHED", "aggregate=y")</f>
        <v>#N/A Requesting Data...</v>
      </c>
      <c r="J2461" t="str">
        <f>_xll.BDP("934238HF Muni","CPN")</f>
        <v>#N/A Requesting Data...</v>
      </c>
      <c r="K2461" t="str">
        <f>_xll.BDP("934238HF Muni","MATURITY")</f>
        <v>#N/A Requesting Data...</v>
      </c>
      <c r="L2461">
        <v>225000</v>
      </c>
      <c r="M2461" t="str">
        <f>_xll.BDP("934238HF Muni","YIELD_ON_ISSUE_DATE")</f>
        <v>#N/A Requesting Data...</v>
      </c>
      <c r="N2461" t="str">
        <f>_xll.BDP("934238HF Muni","YTW_SPREAD_TO_MATURITY_AT_ISSU")</f>
        <v>#N/A Requesting Data...</v>
      </c>
      <c r="O2461" t="str">
        <f>_xll.BDP("934238HF Muni","BVAL_MID_YTM")</f>
        <v>#N/A Requesting Data...</v>
      </c>
      <c r="P2461" t="str">
        <f>_xll.BDP("934238HF Muni","MUNI_TAX_PROV")</f>
        <v>#N/A Requesting Data...</v>
      </c>
      <c r="Q2461" t="str">
        <f>_xll.BDP("934238HF Muni","MUNI_FED_TAX")</f>
        <v>#N/A Requesting Data...</v>
      </c>
      <c r="R2461" t="str">
        <f>_xll.BDP("934238HF Muni","MUNI_MSRB_VOLUME")</f>
        <v>#N/A Requesting Data...</v>
      </c>
      <c r="S2461" t="str">
        <f>_xll.BDP("934238HF Muni","BB_COMPOSITE")</f>
        <v>#N/A Requesting Data...</v>
      </c>
      <c r="T2461" t="str">
        <f>_xll.BDP("934238HF Muni","LQA_LIQUIDITY_SCORE")</f>
        <v>#N/A Requesting Data...</v>
      </c>
    </row>
    <row r="2462" spans="1:20" x14ac:dyDescent="0.25">
      <c r="A2462" t="str">
        <f>_xll.BDP("934238HG Muni","ID_CUSIP")</f>
        <v>#N/A Requesting Data...</v>
      </c>
      <c r="B2462" t="s">
        <v>570</v>
      </c>
      <c r="C2462" t="str">
        <f>_xll.BDP("934238HG Muni","INSURANCE_STATUS")</f>
        <v>#N/A Requesting Data...</v>
      </c>
      <c r="D2462" t="str">
        <f>_xll.BDP("934238HG Muni","STATE_CODE")</f>
        <v>#N/A Requesting Data...</v>
      </c>
      <c r="E2462" t="str">
        <f>_xll.BDP("934238HG Muni","COUNTY_LOCATION_ISSUER")</f>
        <v>#N/A Requesting Data...</v>
      </c>
      <c r="F2462" t="str">
        <f>_xll.BDP("934238HG Muni","DUR_ADJ_MID")</f>
        <v>#N/A Requesting Data...</v>
      </c>
      <c r="G2462" t="str">
        <f>_xll.BDP("934238HG Muni","SPREAD_AT_ISSUANCE_TO_WORST")</f>
        <v>#N/A Requesting Data...</v>
      </c>
      <c r="H2462" t="str">
        <f>_xll.BDP("934238HG Muni","ISSUE_DT")</f>
        <v>#N/A Requesting Data...</v>
      </c>
      <c r="I2462" t="str">
        <f>_xll.BDS("934238HG Muni","MUNI_PURPOSE_SCHED", "aggregate=y")</f>
        <v>#N/A Requesting Data...</v>
      </c>
      <c r="J2462" t="str">
        <f>_xll.BDP("934238HG Muni","CPN")</f>
        <v>#N/A Requesting Data...</v>
      </c>
      <c r="K2462" t="str">
        <f>_xll.BDP("934238HG Muni","MATURITY")</f>
        <v>#N/A Requesting Data...</v>
      </c>
      <c r="L2462">
        <v>220000</v>
      </c>
      <c r="M2462" t="str">
        <f>_xll.BDP("934238HG Muni","YIELD_ON_ISSUE_DATE")</f>
        <v>#N/A Requesting Data...</v>
      </c>
      <c r="N2462" t="str">
        <f>_xll.BDP("934238HG Muni","YTW_SPREAD_TO_MATURITY_AT_ISSU")</f>
        <v>#N/A Requesting Data...</v>
      </c>
      <c r="O2462" t="str">
        <f>_xll.BDP("934238HG Muni","BVAL_MID_YTM")</f>
        <v>#N/A Requesting Data...</v>
      </c>
      <c r="P2462" t="str">
        <f>_xll.BDP("934238HG Muni","MUNI_TAX_PROV")</f>
        <v>#N/A Requesting Data...</v>
      </c>
      <c r="Q2462" t="str">
        <f>_xll.BDP("934238HG Muni","MUNI_FED_TAX")</f>
        <v>#N/A Requesting Data...</v>
      </c>
      <c r="R2462" t="str">
        <f>_xll.BDP("934238HG Muni","MUNI_MSRB_VOLUME")</f>
        <v>#N/A Requesting Data...</v>
      </c>
      <c r="S2462" t="str">
        <f>_xll.BDP("934238HG Muni","BB_COMPOSITE")</f>
        <v>#N/A Requesting Data...</v>
      </c>
      <c r="T2462" t="str">
        <f>_xll.BDP("934238HG Muni","LQA_LIQUIDITY_SCORE")</f>
        <v>#N/A Requesting Data...</v>
      </c>
    </row>
    <row r="2463" spans="1:20" x14ac:dyDescent="0.25">
      <c r="A2463" t="str">
        <f>_xll.BDP("934238HK Muni","ID_CUSIP")</f>
        <v>#N/A Requesting Data...</v>
      </c>
      <c r="B2463" t="s">
        <v>570</v>
      </c>
      <c r="C2463" t="str">
        <f>_xll.BDP("934238HK Muni","INSURANCE_STATUS")</f>
        <v>#N/A Requesting Data...</v>
      </c>
      <c r="D2463" t="str">
        <f>_xll.BDP("934238HK Muni","STATE_CODE")</f>
        <v>#N/A Requesting Data...</v>
      </c>
      <c r="E2463" t="str">
        <f>_xll.BDP("934238HK Muni","COUNTY_LOCATION_ISSUER")</f>
        <v>#N/A Requesting Data...</v>
      </c>
      <c r="F2463" t="str">
        <f>_xll.BDP("934238HK Muni","DUR_ADJ_MID")</f>
        <v>#N/A Requesting Data...</v>
      </c>
      <c r="G2463" t="str">
        <f>_xll.BDP("934238HK Muni","SPREAD_AT_ISSUANCE_TO_WORST")</f>
        <v>#N/A Requesting Data...</v>
      </c>
      <c r="H2463" t="str">
        <f>_xll.BDP("934238HK Muni","ISSUE_DT")</f>
        <v>#N/A Requesting Data...</v>
      </c>
      <c r="I2463" t="str">
        <f>_xll.BDS("934238HK Muni","MUNI_PURPOSE_SCHED", "aggregate=y")</f>
        <v>#N/A Requesting Data...</v>
      </c>
      <c r="J2463" t="str">
        <f>_xll.BDP("934238HK Muni","CPN")</f>
        <v>#N/A Requesting Data...</v>
      </c>
      <c r="K2463" t="str">
        <f>_xll.BDP("934238HK Muni","MATURITY")</f>
        <v>#N/A Requesting Data...</v>
      </c>
      <c r="L2463">
        <v>80000</v>
      </c>
      <c r="M2463" t="str">
        <f>_xll.BDP("934238HK Muni","YIELD_ON_ISSUE_DATE")</f>
        <v>#N/A Requesting Data...</v>
      </c>
      <c r="N2463" t="str">
        <f>_xll.BDP("934238HK Muni","YTW_SPREAD_TO_MATURITY_AT_ISSU")</f>
        <v>#N/A Requesting Data...</v>
      </c>
      <c r="O2463" t="str">
        <f>_xll.BDP("934238HK Muni","BVAL_MID_YTM")</f>
        <v>#N/A Requesting Data...</v>
      </c>
      <c r="P2463" t="str">
        <f>_xll.BDP("934238HK Muni","MUNI_TAX_PROV")</f>
        <v>#N/A Requesting Data...</v>
      </c>
      <c r="Q2463" t="str">
        <f>_xll.BDP("934238HK Muni","MUNI_FED_TAX")</f>
        <v>#N/A Requesting Data...</v>
      </c>
      <c r="R2463" t="str">
        <f>_xll.BDP("934238HK Muni","MUNI_MSRB_VOLUME")</f>
        <v>#N/A Requesting Data...</v>
      </c>
      <c r="S2463" t="str">
        <f>_xll.BDP("934238HK Muni","BB_COMPOSITE")</f>
        <v>#N/A Requesting Data...</v>
      </c>
      <c r="T2463" t="str">
        <f>_xll.BDP("934238HK Muni","LQA_LIQUIDITY_SCORE")</f>
        <v>#N/A Requesting Data...</v>
      </c>
    </row>
    <row r="2464" spans="1:20" x14ac:dyDescent="0.25">
      <c r="A2464" t="str">
        <f>_xll.BDP("953564HA Muni","ID_CUSIP")</f>
        <v>#N/A Requesting Data...</v>
      </c>
      <c r="B2464" t="s">
        <v>574</v>
      </c>
      <c r="C2464" t="str">
        <f>_xll.BDP("953564HA Muni","INSURANCE_STATUS")</f>
        <v>#N/A Requesting Data...</v>
      </c>
      <c r="D2464" t="str">
        <f>_xll.BDP("953564HA Muni","STATE_CODE")</f>
        <v>#N/A Requesting Data...</v>
      </c>
      <c r="E2464" t="str">
        <f>_xll.BDP("953564HA Muni","COUNTY_LOCATION_ISSUER")</f>
        <v>#N/A Requesting Data...</v>
      </c>
      <c r="F2464" t="str">
        <f>_xll.BDP("953564HA Muni","DUR_ADJ_MID")</f>
        <v>#N/A Requesting Data...</v>
      </c>
      <c r="G2464" t="str">
        <f>_xll.BDP("953564HA Muni","SPREAD_AT_ISSUANCE_TO_WORST")</f>
        <v>#N/A Requesting Data...</v>
      </c>
      <c r="H2464" t="str">
        <f>_xll.BDP("953564HA Muni","ISSUE_DT")</f>
        <v>#N/A Requesting Data...</v>
      </c>
      <c r="I2464" t="str">
        <f>_xll.BDS("953564HA Muni","MUNI_PURPOSE_SCHED", "aggregate=y")</f>
        <v>#N/A Requesting Data...</v>
      </c>
      <c r="J2464" t="str">
        <f>_xll.BDP("953564HA Muni","CPN")</f>
        <v>#N/A Requesting Data...</v>
      </c>
      <c r="K2464" t="str">
        <f>_xll.BDP("953564HA Muni","MATURITY")</f>
        <v>#N/A Requesting Data...</v>
      </c>
      <c r="L2464">
        <v>215000</v>
      </c>
      <c r="M2464" t="str">
        <f>_xll.BDP("953564HA Muni","YIELD_ON_ISSUE_DATE")</f>
        <v>#N/A Requesting Data...</v>
      </c>
      <c r="N2464" t="str">
        <f>_xll.BDP("953564HA Muni","YTW_SPREAD_TO_MATURITY_AT_ISSU")</f>
        <v>#N/A Requesting Data...</v>
      </c>
      <c r="O2464" t="str">
        <f>_xll.BDP("953564HA Muni","BVAL_MID_YTM")</f>
        <v>#N/A Requesting Data...</v>
      </c>
      <c r="P2464" t="str">
        <f>_xll.BDP("953564HA Muni","MUNI_TAX_PROV")</f>
        <v>#N/A Requesting Data...</v>
      </c>
      <c r="Q2464" t="str">
        <f>_xll.BDP("953564HA Muni","MUNI_FED_TAX")</f>
        <v>#N/A Requesting Data...</v>
      </c>
      <c r="R2464" t="str">
        <f>_xll.BDP("953564HA Muni","MUNI_MSRB_VOLUME")</f>
        <v>#N/A Requesting Data...</v>
      </c>
      <c r="S2464" t="str">
        <f>_xll.BDP("953564HA Muni","BB_COMPOSITE")</f>
        <v>#N/A Requesting Data...</v>
      </c>
      <c r="T2464" t="str">
        <f>_xll.BDP("953564HA Muni","LQA_LIQUIDITY_SCORE")</f>
        <v>#N/A Requesting Data...</v>
      </c>
    </row>
    <row r="2465" spans="1:20" x14ac:dyDescent="0.25">
      <c r="A2465" t="str">
        <f>_xll.BDP("953564HB Muni","ID_CUSIP")</f>
        <v>#N/A Requesting Data...</v>
      </c>
      <c r="B2465" t="s">
        <v>574</v>
      </c>
      <c r="C2465" t="str">
        <f>_xll.BDP("953564HB Muni","INSURANCE_STATUS")</f>
        <v>#N/A Requesting Data...</v>
      </c>
      <c r="D2465" t="str">
        <f>_xll.BDP("953564HB Muni","STATE_CODE")</f>
        <v>#N/A Requesting Data...</v>
      </c>
      <c r="E2465" t="str">
        <f>_xll.BDP("953564HB Muni","COUNTY_LOCATION_ISSUER")</f>
        <v>#N/A Requesting Data...</v>
      </c>
      <c r="F2465" t="str">
        <f>_xll.BDP("953564HB Muni","DUR_ADJ_MID")</f>
        <v>#N/A Requesting Data...</v>
      </c>
      <c r="G2465" t="str">
        <f>_xll.BDP("953564HB Muni","SPREAD_AT_ISSUANCE_TO_WORST")</f>
        <v>#N/A Requesting Data...</v>
      </c>
      <c r="H2465" t="str">
        <f>_xll.BDP("953564HB Muni","ISSUE_DT")</f>
        <v>#N/A Requesting Data...</v>
      </c>
      <c r="I2465" t="str">
        <f>_xll.BDS("953564HB Muni","MUNI_PURPOSE_SCHED", "aggregate=y")</f>
        <v>#N/A Requesting Data...</v>
      </c>
      <c r="J2465" t="str">
        <f>_xll.BDP("953564HB Muni","CPN")</f>
        <v>#N/A Requesting Data...</v>
      </c>
      <c r="K2465" t="str">
        <f>_xll.BDP("953564HB Muni","MATURITY")</f>
        <v>#N/A Requesting Data...</v>
      </c>
      <c r="L2465">
        <v>225000</v>
      </c>
      <c r="M2465" t="str">
        <f>_xll.BDP("953564HB Muni","YIELD_ON_ISSUE_DATE")</f>
        <v>#N/A Requesting Data...</v>
      </c>
      <c r="N2465" t="str">
        <f>_xll.BDP("953564HB Muni","YTW_SPREAD_TO_MATURITY_AT_ISSU")</f>
        <v>#N/A Requesting Data...</v>
      </c>
      <c r="O2465" t="str">
        <f>_xll.BDP("953564HB Muni","BVAL_MID_YTM")</f>
        <v>#N/A Requesting Data...</v>
      </c>
      <c r="P2465" t="str">
        <f>_xll.BDP("953564HB Muni","MUNI_TAX_PROV")</f>
        <v>#N/A Requesting Data...</v>
      </c>
      <c r="Q2465" t="str">
        <f>_xll.BDP("953564HB Muni","MUNI_FED_TAX")</f>
        <v>#N/A Requesting Data...</v>
      </c>
      <c r="R2465" t="str">
        <f>_xll.BDP("953564HB Muni","MUNI_MSRB_VOLUME")</f>
        <v>#N/A Requesting Data...</v>
      </c>
      <c r="S2465" t="str">
        <f>_xll.BDP("953564HB Muni","BB_COMPOSITE")</f>
        <v>#N/A Requesting Data...</v>
      </c>
      <c r="T2465" t="str">
        <f>_xll.BDP("953564HB Muni","LQA_LIQUIDITY_SCORE")</f>
        <v>#N/A Requesting Data...</v>
      </c>
    </row>
    <row r="2466" spans="1:20" x14ac:dyDescent="0.25">
      <c r="A2466" t="str">
        <f>_xll.BDP("966544KU Muni","ID_CUSIP")</f>
        <v>#N/A Requesting Data...</v>
      </c>
      <c r="B2466" t="s">
        <v>575</v>
      </c>
      <c r="C2466" t="str">
        <f>_xll.BDP("966544KU Muni","INSURANCE_STATUS")</f>
        <v>#N/A Requesting Data...</v>
      </c>
      <c r="D2466" t="str">
        <f>_xll.BDP("966544KU Muni","STATE_CODE")</f>
        <v>#N/A Requesting Data...</v>
      </c>
      <c r="E2466" t="str">
        <f>_xll.BDP("966544KU Muni","COUNTY_LOCATION_ISSUER")</f>
        <v>#N/A Requesting Data...</v>
      </c>
      <c r="F2466" t="str">
        <f>_xll.BDP("966544KU Muni","DUR_ADJ_MID")</f>
        <v>#N/A Requesting Data...</v>
      </c>
      <c r="G2466" t="str">
        <f>_xll.BDP("966544KU Muni","SPREAD_AT_ISSUANCE_TO_WORST")</f>
        <v>#N/A Requesting Data...</v>
      </c>
      <c r="H2466" t="str">
        <f>_xll.BDP("966544KU Muni","ISSUE_DT")</f>
        <v>#N/A Requesting Data...</v>
      </c>
      <c r="I2466" t="str">
        <f>_xll.BDS("966544KU Muni","MUNI_PURPOSE_SCHED", "aggregate=y")</f>
        <v>#N/A Requesting Data...</v>
      </c>
      <c r="J2466" t="str">
        <f>_xll.BDP("966544KU Muni","CPN")</f>
        <v>#N/A Requesting Data...</v>
      </c>
      <c r="K2466" t="str">
        <f>_xll.BDP("966544KU Muni","MATURITY")</f>
        <v>#N/A Requesting Data...</v>
      </c>
      <c r="L2466">
        <v>205000</v>
      </c>
      <c r="M2466" t="str">
        <f>_xll.BDP("966544KU Muni","YIELD_ON_ISSUE_DATE")</f>
        <v>#N/A Requesting Data...</v>
      </c>
      <c r="N2466" t="str">
        <f>_xll.BDP("966544KU Muni","YTW_SPREAD_TO_MATURITY_AT_ISSU")</f>
        <v>#N/A Requesting Data...</v>
      </c>
      <c r="O2466" t="str">
        <f>_xll.BDP("966544KU Muni","BVAL_MID_YTM")</f>
        <v>#N/A Requesting Data...</v>
      </c>
      <c r="P2466" t="str">
        <f>_xll.BDP("966544KU Muni","MUNI_TAX_PROV")</f>
        <v>#N/A Requesting Data...</v>
      </c>
      <c r="Q2466" t="str">
        <f>_xll.BDP("966544KU Muni","MUNI_FED_TAX")</f>
        <v>#N/A Requesting Data...</v>
      </c>
      <c r="R2466" t="str">
        <f>_xll.BDP("966544KU Muni","MUNI_MSRB_VOLUME")</f>
        <v>#N/A Requesting Data...</v>
      </c>
      <c r="S2466" t="str">
        <f>_xll.BDP("966544KU Muni","BB_COMPOSITE")</f>
        <v>#N/A Requesting Data...</v>
      </c>
      <c r="T2466" t="str">
        <f>_xll.BDP("966544KU Muni","LQA_LIQUIDITY_SCORE")</f>
        <v>#N/A Requesting Data...</v>
      </c>
    </row>
    <row r="2467" spans="1:20" x14ac:dyDescent="0.25">
      <c r="A2467" t="str">
        <f>_xll.BDP("966544KW Muni","ID_CUSIP")</f>
        <v>#N/A Requesting Data...</v>
      </c>
      <c r="B2467" t="s">
        <v>575</v>
      </c>
      <c r="C2467" t="str">
        <f>_xll.BDP("966544KW Muni","INSURANCE_STATUS")</f>
        <v>#N/A Requesting Data...</v>
      </c>
      <c r="D2467" t="str">
        <f>_xll.BDP("966544KW Muni","STATE_CODE")</f>
        <v>#N/A Requesting Data...</v>
      </c>
      <c r="E2467" t="str">
        <f>_xll.BDP("966544KW Muni","COUNTY_LOCATION_ISSUER")</f>
        <v>#N/A Requesting Data...</v>
      </c>
      <c r="F2467" t="str">
        <f>_xll.BDP("966544KW Muni","DUR_ADJ_MID")</f>
        <v>#N/A Requesting Data...</v>
      </c>
      <c r="G2467" t="str">
        <f>_xll.BDP("966544KW Muni","SPREAD_AT_ISSUANCE_TO_WORST")</f>
        <v>#N/A Requesting Data...</v>
      </c>
      <c r="H2467" t="str">
        <f>_xll.BDP("966544KW Muni","ISSUE_DT")</f>
        <v>#N/A Requesting Data...</v>
      </c>
      <c r="I2467" t="str">
        <f>_xll.BDS("966544KW Muni","MUNI_PURPOSE_SCHED", "aggregate=y")</f>
        <v>#N/A Requesting Data...</v>
      </c>
      <c r="J2467" t="str">
        <f>_xll.BDP("966544KW Muni","CPN")</f>
        <v>#N/A Requesting Data...</v>
      </c>
      <c r="K2467" t="str">
        <f>_xll.BDP("966544KW Muni","MATURITY")</f>
        <v>#N/A Requesting Data...</v>
      </c>
      <c r="L2467">
        <v>205000</v>
      </c>
      <c r="M2467" t="str">
        <f>_xll.BDP("966544KW Muni","YIELD_ON_ISSUE_DATE")</f>
        <v>#N/A Requesting Data...</v>
      </c>
      <c r="N2467" t="str">
        <f>_xll.BDP("966544KW Muni","YTW_SPREAD_TO_MATURITY_AT_ISSU")</f>
        <v>#N/A Requesting Data...</v>
      </c>
      <c r="O2467" t="str">
        <f>_xll.BDP("966544KW Muni","BVAL_MID_YTM")</f>
        <v>#N/A Requesting Data...</v>
      </c>
      <c r="P2467" t="str">
        <f>_xll.BDP("966544KW Muni","MUNI_TAX_PROV")</f>
        <v>#N/A Requesting Data...</v>
      </c>
      <c r="Q2467" t="str">
        <f>_xll.BDP("966544KW Muni","MUNI_FED_TAX")</f>
        <v>#N/A Requesting Data...</v>
      </c>
      <c r="R2467" t="str">
        <f>_xll.BDP("966544KW Muni","MUNI_MSRB_VOLUME")</f>
        <v>#N/A Requesting Data...</v>
      </c>
      <c r="S2467" t="str">
        <f>_xll.BDP("966544KW Muni","BB_COMPOSITE")</f>
        <v>#N/A Requesting Data...</v>
      </c>
      <c r="T2467" t="str">
        <f>_xll.BDP("966544KW Muni","LQA_LIQUIDITY_SCORE")</f>
        <v>#N/A Requesting Data...</v>
      </c>
    </row>
    <row r="2468" spans="1:20" x14ac:dyDescent="0.25">
      <c r="A2468" t="str">
        <f>_xll.BDP("956875AY Muni","ID_CUSIP")</f>
        <v>#N/A Requesting Data...</v>
      </c>
      <c r="B2468" t="s">
        <v>576</v>
      </c>
      <c r="C2468" t="str">
        <f>_xll.BDP("956875AY Muni","INSURANCE_STATUS")</f>
        <v>#N/A Requesting Data...</v>
      </c>
      <c r="D2468" t="str">
        <f>_xll.BDP("956875AY Muni","STATE_CODE")</f>
        <v>#N/A Requesting Data...</v>
      </c>
      <c r="E2468" t="str">
        <f>_xll.BDP("956875AY Muni","COUNTY_LOCATION_ISSUER")</f>
        <v>#N/A Requesting Data...</v>
      </c>
      <c r="F2468" t="str">
        <f>_xll.BDP("956875AY Muni","DUR_ADJ_MID")</f>
        <v>#N/A Requesting Data...</v>
      </c>
      <c r="G2468" t="str">
        <f>_xll.BDP("956875AY Muni","SPREAD_AT_ISSUANCE_TO_WORST")</f>
        <v>#N/A Requesting Data...</v>
      </c>
      <c r="H2468" t="str">
        <f>_xll.BDP("956875AY Muni","ISSUE_DT")</f>
        <v>#N/A Requesting Data...</v>
      </c>
      <c r="I2468" t="str">
        <f>_xll.BDS("956875AY Muni","MUNI_PURPOSE_SCHED", "aggregate=y")</f>
        <v>#N/A Requesting Data...</v>
      </c>
      <c r="J2468" t="str">
        <f>_xll.BDP("956875AY Muni","CPN")</f>
        <v>#N/A Requesting Data...</v>
      </c>
      <c r="K2468" t="str">
        <f>_xll.BDP("956875AY Muni","MATURITY")</f>
        <v>#N/A Requesting Data...</v>
      </c>
      <c r="L2468">
        <v>150000</v>
      </c>
      <c r="M2468" t="str">
        <f>_xll.BDP("956875AY Muni","YIELD_ON_ISSUE_DATE")</f>
        <v>#N/A Requesting Data...</v>
      </c>
      <c r="N2468" t="str">
        <f>_xll.BDP("956875AY Muni","YTW_SPREAD_TO_MATURITY_AT_ISSU")</f>
        <v>#N/A Requesting Data...</v>
      </c>
      <c r="O2468" t="str">
        <f>_xll.BDP("956875AY Muni","BVAL_MID_YTM")</f>
        <v>#N/A Requesting Data...</v>
      </c>
      <c r="P2468" t="str">
        <f>_xll.BDP("956875AY Muni","MUNI_TAX_PROV")</f>
        <v>#N/A Requesting Data...</v>
      </c>
      <c r="Q2468" t="str">
        <f>_xll.BDP("956875AY Muni","MUNI_FED_TAX")</f>
        <v>#N/A Requesting Data...</v>
      </c>
      <c r="R2468" t="str">
        <f>_xll.BDP("956875AY Muni","MUNI_MSRB_VOLUME")</f>
        <v>#N/A Requesting Data...</v>
      </c>
      <c r="S2468" t="str">
        <f>_xll.BDP("956875AY Muni","BB_COMPOSITE")</f>
        <v>#N/A Requesting Data...</v>
      </c>
      <c r="T2468" t="str">
        <f>_xll.BDP("956875AY Muni","LQA_LIQUIDITY_SCORE")</f>
        <v>#N/A Requesting Data...</v>
      </c>
    </row>
    <row r="2469" spans="1:20" x14ac:dyDescent="0.25">
      <c r="A2469" t="str">
        <f>_xll.BDP("95736U5N Muni","ID_CUSIP")</f>
        <v>#N/A Requesting Data...</v>
      </c>
      <c r="B2469" t="s">
        <v>577</v>
      </c>
      <c r="C2469" t="str">
        <f>_xll.BDP("95736U5N Muni","INSURANCE_STATUS")</f>
        <v>#N/A Requesting Data...</v>
      </c>
      <c r="D2469" t="str">
        <f>_xll.BDP("95736U5N Muni","STATE_CODE")</f>
        <v>#N/A Requesting Data...</v>
      </c>
      <c r="E2469" t="str">
        <f>_xll.BDP("95736U5N Muni","COUNTY_LOCATION_ISSUER")</f>
        <v>#N/A Requesting Data...</v>
      </c>
      <c r="F2469" t="str">
        <f>_xll.BDP("95736U5N Muni","DUR_ADJ_MID")</f>
        <v>#N/A Requesting Data...</v>
      </c>
      <c r="G2469" t="str">
        <f>_xll.BDP("95736U5N Muni","SPREAD_AT_ISSUANCE_TO_WORST")</f>
        <v>#N/A Requesting Data...</v>
      </c>
      <c r="H2469" t="str">
        <f>_xll.BDP("95736U5N Muni","ISSUE_DT")</f>
        <v>#N/A Requesting Data...</v>
      </c>
      <c r="I2469" t="str">
        <f>_xll.BDS("95736U5N Muni","MUNI_PURPOSE_SCHED", "aggregate=y")</f>
        <v>#N/A Requesting Data...</v>
      </c>
      <c r="J2469" t="str">
        <f>_xll.BDP("95736U5N Muni","CPN")</f>
        <v>#N/A Requesting Data...</v>
      </c>
      <c r="K2469" t="str">
        <f>_xll.BDP("95736U5N Muni","MATURITY")</f>
        <v>#N/A Requesting Data...</v>
      </c>
      <c r="L2469">
        <v>425000</v>
      </c>
      <c r="M2469" t="str">
        <f>_xll.BDP("95736U5N Muni","YIELD_ON_ISSUE_DATE")</f>
        <v>#N/A Requesting Data...</v>
      </c>
      <c r="N2469" t="str">
        <f>_xll.BDP("95736U5N Muni","YTW_SPREAD_TO_MATURITY_AT_ISSU")</f>
        <v>#N/A Requesting Data...</v>
      </c>
      <c r="O2469" t="str">
        <f>_xll.BDP("95736U5N Muni","BVAL_MID_YTM")</f>
        <v>#N/A Requesting Data...</v>
      </c>
      <c r="P2469" t="str">
        <f>_xll.BDP("95736U5N Muni","MUNI_TAX_PROV")</f>
        <v>#N/A Requesting Data...</v>
      </c>
      <c r="Q2469" t="str">
        <f>_xll.BDP("95736U5N Muni","MUNI_FED_TAX")</f>
        <v>#N/A Requesting Data...</v>
      </c>
      <c r="R2469" t="str">
        <f>_xll.BDP("95736U5N Muni","MUNI_MSRB_VOLUME")</f>
        <v>#N/A Requesting Data...</v>
      </c>
      <c r="S2469" t="str">
        <f>_xll.BDP("95736U5N Muni","BB_COMPOSITE")</f>
        <v>#N/A Requesting Data...</v>
      </c>
      <c r="T2469" t="str">
        <f>_xll.BDP("95736U5N Muni","LQA_LIQUIDITY_SCORE")</f>
        <v>#N/A Requesting Data...</v>
      </c>
    </row>
    <row r="2470" spans="1:20" x14ac:dyDescent="0.25">
      <c r="A2470" t="str">
        <f>_xll.BDP("95736U5P Muni","ID_CUSIP")</f>
        <v>#N/A Requesting Data...</v>
      </c>
      <c r="B2470" t="s">
        <v>577</v>
      </c>
      <c r="C2470" t="str">
        <f>_xll.BDP("95736U5P Muni","INSURANCE_STATUS")</f>
        <v>#N/A Requesting Data...</v>
      </c>
      <c r="D2470" t="str">
        <f>_xll.BDP("95736U5P Muni","STATE_CODE")</f>
        <v>#N/A Requesting Data...</v>
      </c>
      <c r="E2470" t="str">
        <f>_xll.BDP("95736U5P Muni","COUNTY_LOCATION_ISSUER")</f>
        <v>#N/A Requesting Data...</v>
      </c>
      <c r="F2470" t="str">
        <f>_xll.BDP("95736U5P Muni","DUR_ADJ_MID")</f>
        <v>#N/A Requesting Data...</v>
      </c>
      <c r="G2470" t="str">
        <f>_xll.BDP("95736U5P Muni","SPREAD_AT_ISSUANCE_TO_WORST")</f>
        <v>#N/A Requesting Data...</v>
      </c>
      <c r="H2470" t="str">
        <f>_xll.BDP("95736U5P Muni","ISSUE_DT")</f>
        <v>#N/A Requesting Data...</v>
      </c>
      <c r="I2470" t="str">
        <f>_xll.BDS("95736U5P Muni","MUNI_PURPOSE_SCHED", "aggregate=y")</f>
        <v>#N/A Requesting Data...</v>
      </c>
      <c r="J2470" t="str">
        <f>_xll.BDP("95736U5P Muni","CPN")</f>
        <v>#N/A Requesting Data...</v>
      </c>
      <c r="K2470" t="str">
        <f>_xll.BDP("95736U5P Muni","MATURITY")</f>
        <v>#N/A Requesting Data...</v>
      </c>
      <c r="L2470">
        <v>450000</v>
      </c>
      <c r="M2470" t="str">
        <f>_xll.BDP("95736U5P Muni","YIELD_ON_ISSUE_DATE")</f>
        <v>#N/A Requesting Data...</v>
      </c>
      <c r="N2470" t="str">
        <f>_xll.BDP("95736U5P Muni","YTW_SPREAD_TO_MATURITY_AT_ISSU")</f>
        <v>#N/A Requesting Data...</v>
      </c>
      <c r="O2470" t="str">
        <f>_xll.BDP("95736U5P Muni","BVAL_MID_YTM")</f>
        <v>#N/A Requesting Data...</v>
      </c>
      <c r="P2470" t="str">
        <f>_xll.BDP("95736U5P Muni","MUNI_TAX_PROV")</f>
        <v>#N/A Requesting Data...</v>
      </c>
      <c r="Q2470" t="str">
        <f>_xll.BDP("95736U5P Muni","MUNI_FED_TAX")</f>
        <v>#N/A Requesting Data...</v>
      </c>
      <c r="R2470" t="str">
        <f>_xll.BDP("95736U5P Muni","MUNI_MSRB_VOLUME")</f>
        <v>#N/A Requesting Data...</v>
      </c>
      <c r="S2470" t="str">
        <f>_xll.BDP("95736U5P Muni","BB_COMPOSITE")</f>
        <v>#N/A Requesting Data...</v>
      </c>
      <c r="T2470" t="str">
        <f>_xll.BDP("95736U5P Muni","LQA_LIQUIDITY_SCORE")</f>
        <v>#N/A Requesting Data...</v>
      </c>
    </row>
    <row r="2471" spans="1:20" x14ac:dyDescent="0.25">
      <c r="A2471" t="str">
        <f>_xll.BDP("95736U5R Muni","ID_CUSIP")</f>
        <v>#N/A Requesting Data...</v>
      </c>
      <c r="B2471" t="s">
        <v>577</v>
      </c>
      <c r="C2471" t="str">
        <f>_xll.BDP("95736U5R Muni","INSURANCE_STATUS")</f>
        <v>#N/A Requesting Data...</v>
      </c>
      <c r="D2471" t="str">
        <f>_xll.BDP("95736U5R Muni","STATE_CODE")</f>
        <v>#N/A Requesting Data...</v>
      </c>
      <c r="E2471" t="str">
        <f>_xll.BDP("95736U5R Muni","COUNTY_LOCATION_ISSUER")</f>
        <v>#N/A Requesting Data...</v>
      </c>
      <c r="F2471" t="str">
        <f>_xll.BDP("95736U5R Muni","DUR_ADJ_MID")</f>
        <v>#N/A Requesting Data...</v>
      </c>
      <c r="G2471" t="str">
        <f>_xll.BDP("95736U5R Muni","SPREAD_AT_ISSUANCE_TO_WORST")</f>
        <v>#N/A Requesting Data...</v>
      </c>
      <c r="H2471" t="str">
        <f>_xll.BDP("95736U5R Muni","ISSUE_DT")</f>
        <v>#N/A Requesting Data...</v>
      </c>
      <c r="I2471" t="str">
        <f>_xll.BDS("95736U5R Muni","MUNI_PURPOSE_SCHED", "aggregate=y")</f>
        <v>#N/A Requesting Data...</v>
      </c>
      <c r="J2471" t="str">
        <f>_xll.BDP("95736U5R Muni","CPN")</f>
        <v>#N/A Requesting Data...</v>
      </c>
      <c r="K2471" t="str">
        <f>_xll.BDP("95736U5R Muni","MATURITY")</f>
        <v>#N/A Requesting Data...</v>
      </c>
      <c r="L2471">
        <v>495000</v>
      </c>
      <c r="M2471" t="str">
        <f>_xll.BDP("95736U5R Muni","YIELD_ON_ISSUE_DATE")</f>
        <v>#N/A Requesting Data...</v>
      </c>
      <c r="N2471" t="str">
        <f>_xll.BDP("95736U5R Muni","YTW_SPREAD_TO_MATURITY_AT_ISSU")</f>
        <v>#N/A Requesting Data...</v>
      </c>
      <c r="O2471" t="str">
        <f>_xll.BDP("95736U5R Muni","BVAL_MID_YTM")</f>
        <v>#N/A Requesting Data...</v>
      </c>
      <c r="P2471" t="str">
        <f>_xll.BDP("95736U5R Muni","MUNI_TAX_PROV")</f>
        <v>#N/A Requesting Data...</v>
      </c>
      <c r="Q2471" t="str">
        <f>_xll.BDP("95736U5R Muni","MUNI_FED_TAX")</f>
        <v>#N/A Requesting Data...</v>
      </c>
      <c r="R2471" t="str">
        <f>_xll.BDP("95736U5R Muni","MUNI_MSRB_VOLUME")</f>
        <v>#N/A Requesting Data...</v>
      </c>
      <c r="S2471" t="str">
        <f>_xll.BDP("95736U5R Muni","BB_COMPOSITE")</f>
        <v>#N/A Requesting Data...</v>
      </c>
      <c r="T2471" t="str">
        <f>_xll.BDP("95736U5R Muni","LQA_LIQUIDITY_SCORE")</f>
        <v>#N/A Requesting Data...</v>
      </c>
    </row>
    <row r="2472" spans="1:20" x14ac:dyDescent="0.25">
      <c r="A2472" t="str">
        <f>_xll.BDP("952531BX Muni","ID_CUSIP")</f>
        <v>#N/A Requesting Data...</v>
      </c>
      <c r="B2472" t="s">
        <v>520</v>
      </c>
      <c r="C2472" t="str">
        <f>_xll.BDP("952531BX Muni","INSURANCE_STATUS")</f>
        <v>#N/A Requesting Data...</v>
      </c>
      <c r="D2472" t="str">
        <f>_xll.BDP("952531BX Muni","STATE_CODE")</f>
        <v>#N/A Requesting Data...</v>
      </c>
      <c r="E2472" t="str">
        <f>_xll.BDP("952531BX Muni","COUNTY_LOCATION_ISSUER")</f>
        <v>#N/A Requesting Data...</v>
      </c>
      <c r="F2472" t="str">
        <f>_xll.BDP("952531BX Muni","DUR_ADJ_MID")</f>
        <v>#N/A Requesting Data...</v>
      </c>
      <c r="G2472" t="str">
        <f>_xll.BDP("952531BX Muni","SPREAD_AT_ISSUANCE_TO_WORST")</f>
        <v>#N/A Requesting Data...</v>
      </c>
      <c r="H2472" t="str">
        <f>_xll.BDP("952531BX Muni","ISSUE_DT")</f>
        <v>#N/A Requesting Data...</v>
      </c>
      <c r="I2472" t="str">
        <f>_xll.BDS("952531BX Muni","MUNI_PURPOSE_SCHED", "aggregate=y")</f>
        <v>#N/A Requesting Data...</v>
      </c>
      <c r="J2472" t="str">
        <f>_xll.BDP("952531BX Muni","CPN")</f>
        <v>#N/A Requesting Data...</v>
      </c>
      <c r="K2472" t="str">
        <f>_xll.BDP("952531BX Muni","MATURITY")</f>
        <v>#N/A Requesting Data...</v>
      </c>
      <c r="L2472">
        <v>550000</v>
      </c>
      <c r="M2472" t="str">
        <f>_xll.BDP("952531BX Muni","YIELD_ON_ISSUE_DATE")</f>
        <v>#N/A Requesting Data...</v>
      </c>
      <c r="N2472" t="str">
        <f>_xll.BDP("952531BX Muni","YTW_SPREAD_TO_MATURITY_AT_ISSU")</f>
        <v>#N/A Requesting Data...</v>
      </c>
      <c r="O2472" t="str">
        <f>_xll.BDP("952531BX Muni","BVAL_MID_YTM")</f>
        <v>#N/A Requesting Data...</v>
      </c>
      <c r="P2472" t="str">
        <f>_xll.BDP("952531BX Muni","MUNI_TAX_PROV")</f>
        <v>#N/A Requesting Data...</v>
      </c>
      <c r="Q2472" t="str">
        <f>_xll.BDP("952531BX Muni","MUNI_FED_TAX")</f>
        <v>#N/A Requesting Data...</v>
      </c>
      <c r="R2472" t="str">
        <f>_xll.BDP("952531BX Muni","MUNI_MSRB_VOLUME")</f>
        <v>#N/A Requesting Data...</v>
      </c>
      <c r="S2472" t="str">
        <f>_xll.BDP("952531BX Muni","BB_COMPOSITE")</f>
        <v>#N/A Requesting Data...</v>
      </c>
      <c r="T2472" t="str">
        <f>_xll.BDP("952531BX Muni","LQA_LIQUIDITY_SCORE")</f>
        <v>#N/A Requesting Data...</v>
      </c>
    </row>
    <row r="2473" spans="1:20" x14ac:dyDescent="0.25">
      <c r="A2473" t="str">
        <f>_xll.BDP("966544KV Muni","ID_CUSIP")</f>
        <v>#N/A Requesting Data...</v>
      </c>
      <c r="B2473" t="s">
        <v>575</v>
      </c>
      <c r="C2473" t="str">
        <f>_xll.BDP("966544KV Muni","INSURANCE_STATUS")</f>
        <v>#N/A Requesting Data...</v>
      </c>
      <c r="D2473" t="str">
        <f>_xll.BDP("966544KV Muni","STATE_CODE")</f>
        <v>#N/A Requesting Data...</v>
      </c>
      <c r="E2473" t="str">
        <f>_xll.BDP("966544KV Muni","COUNTY_LOCATION_ISSUER")</f>
        <v>#N/A Requesting Data...</v>
      </c>
      <c r="F2473" t="str">
        <f>_xll.BDP("966544KV Muni","DUR_ADJ_MID")</f>
        <v>#N/A Requesting Data...</v>
      </c>
      <c r="G2473" t="str">
        <f>_xll.BDP("966544KV Muni","SPREAD_AT_ISSUANCE_TO_WORST")</f>
        <v>#N/A Requesting Data...</v>
      </c>
      <c r="H2473" t="str">
        <f>_xll.BDP("966544KV Muni","ISSUE_DT")</f>
        <v>#N/A Requesting Data...</v>
      </c>
      <c r="I2473" t="str">
        <f>_xll.BDS("966544KV Muni","MUNI_PURPOSE_SCHED", "aggregate=y")</f>
        <v>#N/A Requesting Data...</v>
      </c>
      <c r="J2473" t="str">
        <f>_xll.BDP("966544KV Muni","CPN")</f>
        <v>#N/A Requesting Data...</v>
      </c>
      <c r="K2473" t="str">
        <f>_xll.BDP("966544KV Muni","MATURITY")</f>
        <v>#N/A Requesting Data...</v>
      </c>
      <c r="L2473">
        <v>205000</v>
      </c>
      <c r="M2473" t="str">
        <f>_xll.BDP("966544KV Muni","YIELD_ON_ISSUE_DATE")</f>
        <v>#N/A Requesting Data...</v>
      </c>
      <c r="N2473" t="str">
        <f>_xll.BDP("966544KV Muni","YTW_SPREAD_TO_MATURITY_AT_ISSU")</f>
        <v>#N/A Requesting Data...</v>
      </c>
      <c r="O2473" t="str">
        <f>_xll.BDP("966544KV Muni","BVAL_MID_YTM")</f>
        <v>#N/A Requesting Data...</v>
      </c>
      <c r="P2473" t="str">
        <f>_xll.BDP("966544KV Muni","MUNI_TAX_PROV")</f>
        <v>#N/A Requesting Data...</v>
      </c>
      <c r="Q2473" t="str">
        <f>_xll.BDP("966544KV Muni","MUNI_FED_TAX")</f>
        <v>#N/A Requesting Data...</v>
      </c>
      <c r="R2473" t="str">
        <f>_xll.BDP("966544KV Muni","MUNI_MSRB_VOLUME")</f>
        <v>#N/A Requesting Data...</v>
      </c>
      <c r="S2473" t="str">
        <f>_xll.BDP("966544KV Muni","BB_COMPOSITE")</f>
        <v>#N/A Requesting Data...</v>
      </c>
      <c r="T2473" t="str">
        <f>_xll.BDP("966544KV Muni","LQA_LIQUIDITY_SCORE")</f>
        <v>#N/A Requesting Data...</v>
      </c>
    </row>
    <row r="2474" spans="1:20" x14ac:dyDescent="0.25">
      <c r="A2474" t="str">
        <f>_xll.BDP("966544KX Muni","ID_CUSIP")</f>
        <v>#N/A Requesting Data...</v>
      </c>
      <c r="B2474" t="s">
        <v>575</v>
      </c>
      <c r="C2474" t="str">
        <f>_xll.BDP("966544KX Muni","INSURANCE_STATUS")</f>
        <v>#N/A Requesting Data...</v>
      </c>
      <c r="D2474" t="str">
        <f>_xll.BDP("966544KX Muni","STATE_CODE")</f>
        <v>#N/A Requesting Data...</v>
      </c>
      <c r="E2474" t="str">
        <f>_xll.BDP("966544KX Muni","COUNTY_LOCATION_ISSUER")</f>
        <v>#N/A Requesting Data...</v>
      </c>
      <c r="F2474" t="str">
        <f>_xll.BDP("966544KX Muni","DUR_ADJ_MID")</f>
        <v>#N/A Requesting Data...</v>
      </c>
      <c r="G2474" t="str">
        <f>_xll.BDP("966544KX Muni","SPREAD_AT_ISSUANCE_TO_WORST")</f>
        <v>#N/A Requesting Data...</v>
      </c>
      <c r="H2474" t="str">
        <f>_xll.BDP("966544KX Muni","ISSUE_DT")</f>
        <v>#N/A Requesting Data...</v>
      </c>
      <c r="I2474" t="str">
        <f>_xll.BDS("966544KX Muni","MUNI_PURPOSE_SCHED", "aggregate=y")</f>
        <v>#N/A Requesting Data...</v>
      </c>
      <c r="J2474" t="str">
        <f>_xll.BDP("966544KX Muni","CPN")</f>
        <v>#N/A Requesting Data...</v>
      </c>
      <c r="K2474" t="str">
        <f>_xll.BDP("966544KX Muni","MATURITY")</f>
        <v>#N/A Requesting Data...</v>
      </c>
      <c r="L2474">
        <v>205000</v>
      </c>
      <c r="M2474" t="str">
        <f>_xll.BDP("966544KX Muni","YIELD_ON_ISSUE_DATE")</f>
        <v>#N/A Requesting Data...</v>
      </c>
      <c r="N2474" t="str">
        <f>_xll.BDP("966544KX Muni","YTW_SPREAD_TO_MATURITY_AT_ISSU")</f>
        <v>#N/A Requesting Data...</v>
      </c>
      <c r="O2474" t="str">
        <f>_xll.BDP("966544KX Muni","BVAL_MID_YTM")</f>
        <v>#N/A Requesting Data...</v>
      </c>
      <c r="P2474" t="str">
        <f>_xll.BDP("966544KX Muni","MUNI_TAX_PROV")</f>
        <v>#N/A Requesting Data...</v>
      </c>
      <c r="Q2474" t="str">
        <f>_xll.BDP("966544KX Muni","MUNI_FED_TAX")</f>
        <v>#N/A Requesting Data...</v>
      </c>
      <c r="R2474" t="str">
        <f>_xll.BDP("966544KX Muni","MUNI_MSRB_VOLUME")</f>
        <v>#N/A Requesting Data...</v>
      </c>
      <c r="S2474" t="str">
        <f>_xll.BDP("966544KX Muni","BB_COMPOSITE")</f>
        <v>#N/A Requesting Data...</v>
      </c>
      <c r="T2474" t="str">
        <f>_xll.BDP("966544KX Muni","LQA_LIQUIDITY_SCORE")</f>
        <v>#N/A Requesting Data...</v>
      </c>
    </row>
    <row r="2475" spans="1:20" x14ac:dyDescent="0.25">
      <c r="A2475" t="str">
        <f>_xll.BDP("956875AX Muni","ID_CUSIP")</f>
        <v>#N/A Requesting Data...</v>
      </c>
      <c r="B2475" t="s">
        <v>576</v>
      </c>
      <c r="C2475" t="str">
        <f>_xll.BDP("956875AX Muni","INSURANCE_STATUS")</f>
        <v>#N/A Requesting Data...</v>
      </c>
      <c r="D2475" t="str">
        <f>_xll.BDP("956875AX Muni","STATE_CODE")</f>
        <v>#N/A Requesting Data...</v>
      </c>
      <c r="E2475" t="str">
        <f>_xll.BDP("956875AX Muni","COUNTY_LOCATION_ISSUER")</f>
        <v>#N/A Requesting Data...</v>
      </c>
      <c r="F2475" t="str">
        <f>_xll.BDP("956875AX Muni","DUR_ADJ_MID")</f>
        <v>#N/A Requesting Data...</v>
      </c>
      <c r="G2475" t="str">
        <f>_xll.BDP("956875AX Muni","SPREAD_AT_ISSUANCE_TO_WORST")</f>
        <v>#N/A Requesting Data...</v>
      </c>
      <c r="H2475" t="str">
        <f>_xll.BDP("956875AX Muni","ISSUE_DT")</f>
        <v>#N/A Requesting Data...</v>
      </c>
      <c r="I2475" t="str">
        <f>_xll.BDS("956875AX Muni","MUNI_PURPOSE_SCHED", "aggregate=y")</f>
        <v>#N/A Requesting Data...</v>
      </c>
      <c r="J2475" t="str">
        <f>_xll.BDP("956875AX Muni","CPN")</f>
        <v>#N/A Requesting Data...</v>
      </c>
      <c r="K2475" t="str">
        <f>_xll.BDP("956875AX Muni","MATURITY")</f>
        <v>#N/A Requesting Data...</v>
      </c>
      <c r="L2475">
        <v>25000</v>
      </c>
      <c r="M2475" t="str">
        <f>_xll.BDP("956875AX Muni","YIELD_ON_ISSUE_DATE")</f>
        <v>#N/A Requesting Data...</v>
      </c>
      <c r="N2475" t="str">
        <f>_xll.BDP("956875AX Muni","YTW_SPREAD_TO_MATURITY_AT_ISSU")</f>
        <v>#N/A Requesting Data...</v>
      </c>
      <c r="O2475" t="str">
        <f>_xll.BDP("956875AX Muni","BVAL_MID_YTM")</f>
        <v>#N/A Requesting Data...</v>
      </c>
      <c r="P2475" t="str">
        <f>_xll.BDP("956875AX Muni","MUNI_TAX_PROV")</f>
        <v>#N/A Requesting Data...</v>
      </c>
      <c r="Q2475" t="str">
        <f>_xll.BDP("956875AX Muni","MUNI_FED_TAX")</f>
        <v>#N/A Requesting Data...</v>
      </c>
      <c r="R2475" t="str">
        <f>_xll.BDP("956875AX Muni","MUNI_MSRB_VOLUME")</f>
        <v>#N/A Requesting Data...</v>
      </c>
      <c r="S2475" t="str">
        <f>_xll.BDP("956875AX Muni","BB_COMPOSITE")</f>
        <v>#N/A Requesting Data...</v>
      </c>
      <c r="T2475" t="str">
        <f>_xll.BDP("956875AX Muni","LQA_LIQUIDITY_SCORE")</f>
        <v>#N/A Requesting Data...</v>
      </c>
    </row>
    <row r="2476" spans="1:20" x14ac:dyDescent="0.25">
      <c r="A2476" t="str">
        <f>_xll.BDP("956875AZ Muni","ID_CUSIP")</f>
        <v>#N/A Requesting Data...</v>
      </c>
      <c r="B2476" t="s">
        <v>576</v>
      </c>
      <c r="C2476" t="str">
        <f>_xll.BDP("956875AZ Muni","INSURANCE_STATUS")</f>
        <v>#N/A Requesting Data...</v>
      </c>
      <c r="D2476" t="str">
        <f>_xll.BDP("956875AZ Muni","STATE_CODE")</f>
        <v>#N/A Requesting Data...</v>
      </c>
      <c r="E2476" t="str">
        <f>_xll.BDP("956875AZ Muni","COUNTY_LOCATION_ISSUER")</f>
        <v>#N/A Requesting Data...</v>
      </c>
      <c r="F2476" t="str">
        <f>_xll.BDP("956875AZ Muni","DUR_ADJ_MID")</f>
        <v>#N/A Requesting Data...</v>
      </c>
      <c r="G2476" t="str">
        <f>_xll.BDP("956875AZ Muni","SPREAD_AT_ISSUANCE_TO_WORST")</f>
        <v>#N/A Requesting Data...</v>
      </c>
      <c r="H2476" t="str">
        <f>_xll.BDP("956875AZ Muni","ISSUE_DT")</f>
        <v>#N/A Requesting Data...</v>
      </c>
      <c r="I2476" t="str">
        <f>_xll.BDS("956875AZ Muni","MUNI_PURPOSE_SCHED", "aggregate=y")</f>
        <v>#N/A Requesting Data...</v>
      </c>
      <c r="J2476" t="str">
        <f>_xll.BDP("956875AZ Muni","CPN")</f>
        <v>#N/A Requesting Data...</v>
      </c>
      <c r="K2476" t="str">
        <f>_xll.BDP("956875AZ Muni","MATURITY")</f>
        <v>#N/A Requesting Data...</v>
      </c>
      <c r="L2476">
        <v>175000</v>
      </c>
      <c r="M2476" t="str">
        <f>_xll.BDP("956875AZ Muni","YIELD_ON_ISSUE_DATE")</f>
        <v>#N/A Requesting Data...</v>
      </c>
      <c r="N2476" t="str">
        <f>_xll.BDP("956875AZ Muni","YTW_SPREAD_TO_MATURITY_AT_ISSU")</f>
        <v>#N/A Requesting Data...</v>
      </c>
      <c r="O2476" t="str">
        <f>_xll.BDP("956875AZ Muni","BVAL_MID_YTM")</f>
        <v>#N/A Requesting Data...</v>
      </c>
      <c r="P2476" t="str">
        <f>_xll.BDP("956875AZ Muni","MUNI_TAX_PROV")</f>
        <v>#N/A Requesting Data...</v>
      </c>
      <c r="Q2476" t="str">
        <f>_xll.BDP("956875AZ Muni","MUNI_FED_TAX")</f>
        <v>#N/A Requesting Data...</v>
      </c>
      <c r="R2476" t="str">
        <f>_xll.BDP("956875AZ Muni","MUNI_MSRB_VOLUME")</f>
        <v>#N/A Requesting Data...</v>
      </c>
      <c r="S2476" t="str">
        <f>_xll.BDP("956875AZ Muni","BB_COMPOSITE")</f>
        <v>#N/A Requesting Data...</v>
      </c>
      <c r="T2476" t="str">
        <f>_xll.BDP("956875AZ Muni","LQA_LIQUIDITY_SCORE")</f>
        <v>#N/A Requesting Data...</v>
      </c>
    </row>
    <row r="2477" spans="1:20" x14ac:dyDescent="0.25">
      <c r="A2477" t="str">
        <f>_xll.BDP("95736U5Q Muni","ID_CUSIP")</f>
        <v>#N/A Requesting Data...</v>
      </c>
      <c r="B2477" t="s">
        <v>577</v>
      </c>
      <c r="C2477" t="str">
        <f>_xll.BDP("95736U5Q Muni","INSURANCE_STATUS")</f>
        <v>#N/A Requesting Data...</v>
      </c>
      <c r="D2477" t="str">
        <f>_xll.BDP("95736U5Q Muni","STATE_CODE")</f>
        <v>#N/A Requesting Data...</v>
      </c>
      <c r="E2477" t="str">
        <f>_xll.BDP("95736U5Q Muni","COUNTY_LOCATION_ISSUER")</f>
        <v>#N/A Requesting Data...</v>
      </c>
      <c r="F2477" t="str">
        <f>_xll.BDP("95736U5Q Muni","DUR_ADJ_MID")</f>
        <v>#N/A Requesting Data...</v>
      </c>
      <c r="G2477" t="str">
        <f>_xll.BDP("95736U5Q Muni","SPREAD_AT_ISSUANCE_TO_WORST")</f>
        <v>#N/A Requesting Data...</v>
      </c>
      <c r="H2477" t="str">
        <f>_xll.BDP("95736U5Q Muni","ISSUE_DT")</f>
        <v>#N/A Requesting Data...</v>
      </c>
      <c r="I2477" t="str">
        <f>_xll.BDS("95736U5Q Muni","MUNI_PURPOSE_SCHED", "aggregate=y")</f>
        <v>#N/A Requesting Data...</v>
      </c>
      <c r="J2477" t="str">
        <f>_xll.BDP("95736U5Q Muni","CPN")</f>
        <v>#N/A Requesting Data...</v>
      </c>
      <c r="K2477" t="str">
        <f>_xll.BDP("95736U5Q Muni","MATURITY")</f>
        <v>#N/A Requesting Data...</v>
      </c>
      <c r="L2477">
        <v>470000</v>
      </c>
      <c r="M2477" t="str">
        <f>_xll.BDP("95736U5Q Muni","YIELD_ON_ISSUE_DATE")</f>
        <v>#N/A Requesting Data...</v>
      </c>
      <c r="N2477" t="str">
        <f>_xll.BDP("95736U5Q Muni","YTW_SPREAD_TO_MATURITY_AT_ISSU")</f>
        <v>#N/A Requesting Data...</v>
      </c>
      <c r="O2477" t="str">
        <f>_xll.BDP("95736U5Q Muni","BVAL_MID_YTM")</f>
        <v>#N/A Requesting Data...</v>
      </c>
      <c r="P2477" t="str">
        <f>_xll.BDP("95736U5Q Muni","MUNI_TAX_PROV")</f>
        <v>#N/A Requesting Data...</v>
      </c>
      <c r="Q2477" t="str">
        <f>_xll.BDP("95736U5Q Muni","MUNI_FED_TAX")</f>
        <v>#N/A Requesting Data...</v>
      </c>
      <c r="R2477" t="str">
        <f>_xll.BDP("95736U5Q Muni","MUNI_MSRB_VOLUME")</f>
        <v>#N/A Requesting Data...</v>
      </c>
      <c r="S2477" t="str">
        <f>_xll.BDP("95736U5Q Muni","BB_COMPOSITE")</f>
        <v>#N/A Requesting Data...</v>
      </c>
      <c r="T2477" t="str">
        <f>_xll.BDP("95736U5Q Muni","LQA_LIQUIDITY_SCORE")</f>
        <v>#N/A Requesting Data...</v>
      </c>
    </row>
    <row r="2478" spans="1:20" x14ac:dyDescent="0.25">
      <c r="A2478" t="str">
        <f>_xll.BDP("95736U5S Muni","ID_CUSIP")</f>
        <v>#N/A Requesting Data...</v>
      </c>
      <c r="B2478" t="s">
        <v>577</v>
      </c>
      <c r="C2478" t="str">
        <f>_xll.BDP("95736U5S Muni","INSURANCE_STATUS")</f>
        <v>#N/A Requesting Data...</v>
      </c>
      <c r="D2478" t="str">
        <f>_xll.BDP("95736U5S Muni","STATE_CODE")</f>
        <v>#N/A Requesting Data...</v>
      </c>
      <c r="E2478" t="str">
        <f>_xll.BDP("95736U5S Muni","COUNTY_LOCATION_ISSUER")</f>
        <v>#N/A Requesting Data...</v>
      </c>
      <c r="F2478" t="str">
        <f>_xll.BDP("95736U5S Muni","DUR_ADJ_MID")</f>
        <v>#N/A Requesting Data...</v>
      </c>
      <c r="G2478" t="str">
        <f>_xll.BDP("95736U5S Muni","SPREAD_AT_ISSUANCE_TO_WORST")</f>
        <v>#N/A Requesting Data...</v>
      </c>
      <c r="H2478" t="str">
        <f>_xll.BDP("95736U5S Muni","ISSUE_DT")</f>
        <v>#N/A Requesting Data...</v>
      </c>
      <c r="I2478" t="str">
        <f>_xll.BDS("95736U5S Muni","MUNI_PURPOSE_SCHED", "aggregate=y")</f>
        <v>#N/A Requesting Data...</v>
      </c>
      <c r="J2478" t="str">
        <f>_xll.BDP("95736U5S Muni","CPN")</f>
        <v>#N/A Requesting Data...</v>
      </c>
      <c r="K2478" t="str">
        <f>_xll.BDP("95736U5S Muni","MATURITY")</f>
        <v>#N/A Requesting Data...</v>
      </c>
      <c r="L2478">
        <v>520000</v>
      </c>
      <c r="M2478" t="str">
        <f>_xll.BDP("95736U5S Muni","YIELD_ON_ISSUE_DATE")</f>
        <v>#N/A Requesting Data...</v>
      </c>
      <c r="N2478" t="str">
        <f>_xll.BDP("95736U5S Muni","YTW_SPREAD_TO_MATURITY_AT_ISSU")</f>
        <v>#N/A Requesting Data...</v>
      </c>
      <c r="O2478" t="str">
        <f>_xll.BDP("95736U5S Muni","BVAL_MID_YTM")</f>
        <v>#N/A Requesting Data...</v>
      </c>
      <c r="P2478" t="str">
        <f>_xll.BDP("95736U5S Muni","MUNI_TAX_PROV")</f>
        <v>#N/A Requesting Data...</v>
      </c>
      <c r="Q2478" t="str">
        <f>_xll.BDP("95736U5S Muni","MUNI_FED_TAX")</f>
        <v>#N/A Requesting Data...</v>
      </c>
      <c r="R2478" t="str">
        <f>_xll.BDP("95736U5S Muni","MUNI_MSRB_VOLUME")</f>
        <v>#N/A Requesting Data...</v>
      </c>
      <c r="S2478" t="str">
        <f>_xll.BDP("95736U5S Muni","BB_COMPOSITE")</f>
        <v>#N/A Requesting Data...</v>
      </c>
      <c r="T2478" t="str">
        <f>_xll.BDP("95736U5S Muni","LQA_LIQUIDITY_SCORE")</f>
        <v>#N/A Requesting Data...</v>
      </c>
    </row>
    <row r="2479" spans="1:20" x14ac:dyDescent="0.25">
      <c r="A2479" t="str">
        <f>_xll.BDP("967792FA Muni","ID_CUSIP")</f>
        <v>#N/A Requesting Data...</v>
      </c>
      <c r="B2479" t="s">
        <v>571</v>
      </c>
      <c r="C2479" t="str">
        <f>_xll.BDP("967792FA Muni","INSURANCE_STATUS")</f>
        <v>#N/A Requesting Data...</v>
      </c>
      <c r="D2479" t="str">
        <f>_xll.BDP("967792FA Muni","STATE_CODE")</f>
        <v>#N/A Requesting Data...</v>
      </c>
      <c r="E2479" t="str">
        <f>_xll.BDP("967792FA Muni","COUNTY_LOCATION_ISSUER")</f>
        <v>#N/A Requesting Data...</v>
      </c>
      <c r="F2479" t="str">
        <f>_xll.BDP("967792FA Muni","DUR_ADJ_MID")</f>
        <v>#N/A Requesting Data...</v>
      </c>
      <c r="G2479" t="str">
        <f>_xll.BDP("967792FA Muni","SPREAD_AT_ISSUANCE_TO_WORST")</f>
        <v>#N/A Requesting Data...</v>
      </c>
      <c r="H2479" t="str">
        <f>_xll.BDP("967792FA Muni","ISSUE_DT")</f>
        <v>#N/A Requesting Data...</v>
      </c>
      <c r="I2479" t="str">
        <f>_xll.BDS("967792FA Muni","MUNI_PURPOSE_SCHED", "aggregate=y")</f>
        <v>#N/A Requesting Data...</v>
      </c>
      <c r="J2479" t="str">
        <f>_xll.BDP("967792FA Muni","CPN")</f>
        <v>#N/A Requesting Data...</v>
      </c>
      <c r="K2479" t="str">
        <f>_xll.BDP("967792FA Muni","MATURITY")</f>
        <v>#N/A Requesting Data...</v>
      </c>
      <c r="L2479">
        <v>220000</v>
      </c>
      <c r="M2479" t="str">
        <f>_xll.BDP("967792FA Muni","YIELD_ON_ISSUE_DATE")</f>
        <v>#N/A Requesting Data...</v>
      </c>
      <c r="N2479" t="str">
        <f>_xll.BDP("967792FA Muni","YTW_SPREAD_TO_MATURITY_AT_ISSU")</f>
        <v>#N/A Requesting Data...</v>
      </c>
      <c r="O2479" t="str">
        <f>_xll.BDP("967792FA Muni","BVAL_MID_YTM")</f>
        <v>#N/A Requesting Data...</v>
      </c>
      <c r="P2479" t="str">
        <f>_xll.BDP("967792FA Muni","MUNI_TAX_PROV")</f>
        <v>#N/A Requesting Data...</v>
      </c>
      <c r="Q2479" t="str">
        <f>_xll.BDP("967792FA Muni","MUNI_FED_TAX")</f>
        <v>#N/A Requesting Data...</v>
      </c>
      <c r="R2479" t="str">
        <f>_xll.BDP("967792FA Muni","MUNI_MSRB_VOLUME")</f>
        <v>#N/A Requesting Data...</v>
      </c>
      <c r="S2479" t="str">
        <f>_xll.BDP("967792FA Muni","BB_COMPOSITE")</f>
        <v>#N/A Requesting Data...</v>
      </c>
      <c r="T2479" t="str">
        <f>_xll.BDP("967792FA Muni","LQA_LIQUIDITY_SCORE")</f>
        <v>#N/A Requesting Data...</v>
      </c>
    </row>
    <row r="2480" spans="1:20" x14ac:dyDescent="0.25">
      <c r="A2480" t="str">
        <f>_xll.BDP("967795AC Muni","ID_CUSIP")</f>
        <v>#N/A Requesting Data...</v>
      </c>
      <c r="B2480" t="s">
        <v>572</v>
      </c>
      <c r="C2480" t="str">
        <f>_xll.BDP("967795AC Muni","INSURANCE_STATUS")</f>
        <v>#N/A Requesting Data...</v>
      </c>
      <c r="D2480" t="str">
        <f>_xll.BDP("967795AC Muni","STATE_CODE")</f>
        <v>#N/A Requesting Data...</v>
      </c>
      <c r="E2480" t="str">
        <f>_xll.BDP("967795AC Muni","COUNTY_LOCATION_ISSUER")</f>
        <v>#N/A Requesting Data...</v>
      </c>
      <c r="F2480" t="str">
        <f>_xll.BDP("967795AC Muni","DUR_ADJ_MID")</f>
        <v>#N/A Requesting Data...</v>
      </c>
      <c r="G2480" t="str">
        <f>_xll.BDP("967795AC Muni","SPREAD_AT_ISSUANCE_TO_WORST")</f>
        <v>#N/A Requesting Data...</v>
      </c>
      <c r="H2480" t="str">
        <f>_xll.BDP("967795AC Muni","ISSUE_DT")</f>
        <v>#N/A Requesting Data...</v>
      </c>
      <c r="I2480" t="str">
        <f>_xll.BDS("967795AC Muni","MUNI_PURPOSE_SCHED", "aggregate=y")</f>
        <v>#N/A Requesting Data...</v>
      </c>
      <c r="J2480" t="str">
        <f>_xll.BDP("967795AC Muni","CPN")</f>
        <v>#N/A Requesting Data...</v>
      </c>
      <c r="K2480" t="str">
        <f>_xll.BDP("967795AC Muni","MATURITY")</f>
        <v>#N/A Requesting Data...</v>
      </c>
      <c r="L2480">
        <v>90000</v>
      </c>
      <c r="M2480" t="str">
        <f>_xll.BDP("967795AC Muni","YIELD_ON_ISSUE_DATE")</f>
        <v>#N/A Requesting Data...</v>
      </c>
      <c r="N2480" t="str">
        <f>_xll.BDP("967795AC Muni","YTW_SPREAD_TO_MATURITY_AT_ISSU")</f>
        <v>#N/A Requesting Data...</v>
      </c>
      <c r="O2480" t="str">
        <f>_xll.BDP("967795AC Muni","BVAL_MID_YTM")</f>
        <v>#N/A Requesting Data...</v>
      </c>
      <c r="P2480" t="str">
        <f>_xll.BDP("967795AC Muni","MUNI_TAX_PROV")</f>
        <v>#N/A Requesting Data...</v>
      </c>
      <c r="Q2480" t="str">
        <f>_xll.BDP("967795AC Muni","MUNI_FED_TAX")</f>
        <v>#N/A Requesting Data...</v>
      </c>
      <c r="R2480" t="str">
        <f>_xll.BDP("967795AC Muni","MUNI_MSRB_VOLUME")</f>
        <v>#N/A Requesting Data...</v>
      </c>
      <c r="S2480" t="str">
        <f>_xll.BDP("967795AC Muni","BB_COMPOSITE")</f>
        <v>#N/A Requesting Data...</v>
      </c>
      <c r="T2480" t="str">
        <f>_xll.BDP("967795AC Muni","LQA_LIQUIDITY_SCORE")</f>
        <v>#N/A Requesting Data...</v>
      </c>
    </row>
    <row r="2481" spans="1:20" x14ac:dyDescent="0.25">
      <c r="A2481" t="str">
        <f>_xll.BDP("953020AD Muni","ID_CUSIP")</f>
        <v>#N/A Requesting Data...</v>
      </c>
      <c r="B2481" t="s">
        <v>521</v>
      </c>
      <c r="C2481" t="str">
        <f>_xll.BDP("953020AD Muni","INSURANCE_STATUS")</f>
        <v>#N/A Requesting Data...</v>
      </c>
      <c r="D2481" t="str">
        <f>_xll.BDP("953020AD Muni","STATE_CODE")</f>
        <v>#N/A Requesting Data...</v>
      </c>
      <c r="E2481" t="str">
        <f>_xll.BDP("953020AD Muni","COUNTY_LOCATION_ISSUER")</f>
        <v>#N/A Requesting Data...</v>
      </c>
      <c r="F2481" t="str">
        <f>_xll.BDP("953020AD Muni","DUR_ADJ_MID")</f>
        <v>#N/A Requesting Data...</v>
      </c>
      <c r="G2481" t="str">
        <f>_xll.BDP("953020AD Muni","SPREAD_AT_ISSUANCE_TO_WORST")</f>
        <v>#N/A Requesting Data...</v>
      </c>
      <c r="H2481" t="str">
        <f>_xll.BDP("953020AD Muni","ISSUE_DT")</f>
        <v>#N/A Requesting Data...</v>
      </c>
      <c r="I2481" t="str">
        <f>_xll.BDS("953020AD Muni","MUNI_PURPOSE_SCHED", "aggregate=y")</f>
        <v>#N/A Requesting Data...</v>
      </c>
      <c r="J2481" t="str">
        <f>_xll.BDP("953020AD Muni","CPN")</f>
        <v>#N/A Requesting Data...</v>
      </c>
      <c r="K2481" t="str">
        <f>_xll.BDP("953020AD Muni","MATURITY")</f>
        <v>#N/A Requesting Data...</v>
      </c>
      <c r="L2481">
        <v>80000</v>
      </c>
      <c r="M2481" t="str">
        <f>_xll.BDP("953020AD Muni","YIELD_ON_ISSUE_DATE")</f>
        <v>#N/A Requesting Data...</v>
      </c>
      <c r="N2481" t="str">
        <f>_xll.BDP("953020AD Muni","YTW_SPREAD_TO_MATURITY_AT_ISSU")</f>
        <v>#N/A Requesting Data...</v>
      </c>
      <c r="O2481" t="str">
        <f>_xll.BDP("953020AD Muni","BVAL_MID_YTM")</f>
        <v>#N/A Requesting Data...</v>
      </c>
      <c r="P2481" t="str">
        <f>_xll.BDP("953020AD Muni","MUNI_TAX_PROV")</f>
        <v>#N/A Requesting Data...</v>
      </c>
      <c r="Q2481" t="str">
        <f>_xll.BDP("953020AD Muni","MUNI_FED_TAX")</f>
        <v>#N/A Requesting Data...</v>
      </c>
      <c r="R2481" t="str">
        <f>_xll.BDP("953020AD Muni","MUNI_MSRB_VOLUME")</f>
        <v>#N/A Requesting Data...</v>
      </c>
      <c r="S2481" t="str">
        <f>_xll.BDP("953020AD Muni","BB_COMPOSITE")</f>
        <v>#N/A Requesting Data...</v>
      </c>
      <c r="T2481" t="str">
        <f>_xll.BDP("953020AD Muni","LQA_LIQUIDITY_SCORE")</f>
        <v>#N/A Requesting Data...</v>
      </c>
    </row>
    <row r="2482" spans="1:20" x14ac:dyDescent="0.25">
      <c r="A2482" t="str">
        <f>_xll.BDP("953020AE Muni","ID_CUSIP")</f>
        <v>#N/A Requesting Data...</v>
      </c>
      <c r="B2482" t="s">
        <v>521</v>
      </c>
      <c r="C2482" t="str">
        <f>_xll.BDP("953020AE Muni","INSURANCE_STATUS")</f>
        <v>#N/A Requesting Data...</v>
      </c>
      <c r="D2482" t="str">
        <f>_xll.BDP("953020AE Muni","STATE_CODE")</f>
        <v>#N/A Requesting Data...</v>
      </c>
      <c r="E2482" t="str">
        <f>_xll.BDP("953020AE Muni","COUNTY_LOCATION_ISSUER")</f>
        <v>#N/A Requesting Data...</v>
      </c>
      <c r="F2482" t="str">
        <f>_xll.BDP("953020AE Muni","DUR_ADJ_MID")</f>
        <v>#N/A Requesting Data...</v>
      </c>
      <c r="G2482" t="str">
        <f>_xll.BDP("953020AE Muni","SPREAD_AT_ISSUANCE_TO_WORST")</f>
        <v>#N/A Requesting Data...</v>
      </c>
      <c r="H2482" t="str">
        <f>_xll.BDP("953020AE Muni","ISSUE_DT")</f>
        <v>#N/A Requesting Data...</v>
      </c>
      <c r="I2482" t="str">
        <f>_xll.BDS("953020AE Muni","MUNI_PURPOSE_SCHED", "aggregate=y")</f>
        <v>#N/A Requesting Data...</v>
      </c>
      <c r="J2482" t="str">
        <f>_xll.BDP("953020AE Muni","CPN")</f>
        <v>#N/A Requesting Data...</v>
      </c>
      <c r="K2482" t="str">
        <f>_xll.BDP("953020AE Muni","MATURITY")</f>
        <v>#N/A Requesting Data...</v>
      </c>
      <c r="L2482">
        <v>85000</v>
      </c>
      <c r="M2482" t="str">
        <f>_xll.BDP("953020AE Muni","YIELD_ON_ISSUE_DATE")</f>
        <v>#N/A Requesting Data...</v>
      </c>
      <c r="N2482" t="str">
        <f>_xll.BDP("953020AE Muni","YTW_SPREAD_TO_MATURITY_AT_ISSU")</f>
        <v>#N/A Requesting Data...</v>
      </c>
      <c r="O2482" t="str">
        <f>_xll.BDP("953020AE Muni","BVAL_MID_YTM")</f>
        <v>#N/A Requesting Data...</v>
      </c>
      <c r="P2482" t="str">
        <f>_xll.BDP("953020AE Muni","MUNI_TAX_PROV")</f>
        <v>#N/A Requesting Data...</v>
      </c>
      <c r="Q2482" t="str">
        <f>_xll.BDP("953020AE Muni","MUNI_FED_TAX")</f>
        <v>#N/A Requesting Data...</v>
      </c>
      <c r="R2482" t="str">
        <f>_xll.BDP("953020AE Muni","MUNI_MSRB_VOLUME")</f>
        <v>#N/A Requesting Data...</v>
      </c>
      <c r="S2482" t="str">
        <f>_xll.BDP("953020AE Muni","BB_COMPOSITE")</f>
        <v>#N/A Requesting Data...</v>
      </c>
      <c r="T2482" t="str">
        <f>_xll.BDP("953020AE Muni","LQA_LIQUIDITY_SCORE")</f>
        <v>#N/A Requesting Data...</v>
      </c>
    </row>
    <row r="2483" spans="1:20" x14ac:dyDescent="0.25">
      <c r="A2483" t="str">
        <f>_xll.BDP("953079GK Muni","ID_CUSIP")</f>
        <v>#N/A Requesting Data...</v>
      </c>
      <c r="B2483" t="s">
        <v>578</v>
      </c>
      <c r="C2483" t="str">
        <f>_xll.BDP("953079GK Muni","INSURANCE_STATUS")</f>
        <v>#N/A Requesting Data...</v>
      </c>
      <c r="D2483" t="str">
        <f>_xll.BDP("953079GK Muni","STATE_CODE")</f>
        <v>#N/A Requesting Data...</v>
      </c>
      <c r="E2483" t="str">
        <f>_xll.BDP("953079GK Muni","COUNTY_LOCATION_ISSUER")</f>
        <v>#N/A Requesting Data...</v>
      </c>
      <c r="F2483" t="str">
        <f>_xll.BDP("953079GK Muni","DUR_ADJ_MID")</f>
        <v>#N/A Requesting Data...</v>
      </c>
      <c r="G2483" t="str">
        <f>_xll.BDP("953079GK Muni","SPREAD_AT_ISSUANCE_TO_WORST")</f>
        <v>#N/A Requesting Data...</v>
      </c>
      <c r="H2483" t="str">
        <f>_xll.BDP("953079GK Muni","ISSUE_DT")</f>
        <v>#N/A Requesting Data...</v>
      </c>
      <c r="I2483" t="str">
        <f>_xll.BDS("953079GK Muni","MUNI_PURPOSE_SCHED", "aggregate=y")</f>
        <v>#N/A Requesting Data...</v>
      </c>
      <c r="J2483" t="str">
        <f>_xll.BDP("953079GK Muni","CPN")</f>
        <v>#N/A Requesting Data...</v>
      </c>
      <c r="K2483" t="str">
        <f>_xll.BDP("953079GK Muni","MATURITY")</f>
        <v>#N/A Requesting Data...</v>
      </c>
      <c r="L2483">
        <v>165000</v>
      </c>
      <c r="M2483" t="str">
        <f>_xll.BDP("953079GK Muni","YIELD_ON_ISSUE_DATE")</f>
        <v>#N/A Requesting Data...</v>
      </c>
      <c r="N2483" t="str">
        <f>_xll.BDP("953079GK Muni","YTW_SPREAD_TO_MATURITY_AT_ISSU")</f>
        <v>#N/A Requesting Data...</v>
      </c>
      <c r="O2483" t="str">
        <f>_xll.BDP("953079GK Muni","BVAL_MID_YTM")</f>
        <v>#N/A Requesting Data...</v>
      </c>
      <c r="P2483" t="str">
        <f>_xll.BDP("953079GK Muni","MUNI_TAX_PROV")</f>
        <v>#N/A Requesting Data...</v>
      </c>
      <c r="Q2483" t="str">
        <f>_xll.BDP("953079GK Muni","MUNI_FED_TAX")</f>
        <v>#N/A Requesting Data...</v>
      </c>
      <c r="R2483" t="str">
        <f>_xll.BDP("953079GK Muni","MUNI_MSRB_VOLUME")</f>
        <v>#N/A Requesting Data...</v>
      </c>
      <c r="S2483" t="str">
        <f>_xll.BDP("953079GK Muni","BB_COMPOSITE")</f>
        <v>#N/A Requesting Data...</v>
      </c>
      <c r="T2483" t="str">
        <f>_xll.BDP("953079GK Muni","LQA_LIQUIDITY_SCORE")</f>
        <v>#N/A Requesting Data...</v>
      </c>
    </row>
    <row r="2484" spans="1:20" x14ac:dyDescent="0.25">
      <c r="A2484" t="str">
        <f>_xll.BDP("952531BZ Muni","ID_CUSIP")</f>
        <v>#N/A Requesting Data...</v>
      </c>
      <c r="B2484" t="s">
        <v>520</v>
      </c>
      <c r="C2484" t="str">
        <f>_xll.BDP("952531BZ Muni","INSURANCE_STATUS")</f>
        <v>#N/A Requesting Data...</v>
      </c>
      <c r="D2484" t="str">
        <f>_xll.BDP("952531BZ Muni","STATE_CODE")</f>
        <v>#N/A Requesting Data...</v>
      </c>
      <c r="E2484" t="str">
        <f>_xll.BDP("952531BZ Muni","COUNTY_LOCATION_ISSUER")</f>
        <v>#N/A Requesting Data...</v>
      </c>
      <c r="F2484" t="str">
        <f>_xll.BDP("952531BZ Muni","DUR_ADJ_MID")</f>
        <v>#N/A Requesting Data...</v>
      </c>
      <c r="G2484" t="str">
        <f>_xll.BDP("952531BZ Muni","SPREAD_AT_ISSUANCE_TO_WORST")</f>
        <v>#N/A Requesting Data...</v>
      </c>
      <c r="H2484" t="str">
        <f>_xll.BDP("952531BZ Muni","ISSUE_DT")</f>
        <v>#N/A Requesting Data...</v>
      </c>
      <c r="I2484" t="str">
        <f>_xll.BDS("952531BZ Muni","MUNI_PURPOSE_SCHED", "aggregate=y")</f>
        <v>#N/A Requesting Data...</v>
      </c>
      <c r="J2484" t="str">
        <f>_xll.BDP("952531BZ Muni","CPN")</f>
        <v>#N/A Requesting Data...</v>
      </c>
      <c r="K2484" t="str">
        <f>_xll.BDP("952531BZ Muni","MATURITY")</f>
        <v>#N/A Requesting Data...</v>
      </c>
      <c r="L2484">
        <v>1050000</v>
      </c>
      <c r="M2484" t="str">
        <f>_xll.BDP("952531BZ Muni","YIELD_ON_ISSUE_DATE")</f>
        <v>#N/A Requesting Data...</v>
      </c>
      <c r="N2484" t="str">
        <f>_xll.BDP("952531BZ Muni","YTW_SPREAD_TO_MATURITY_AT_ISSU")</f>
        <v>#N/A Requesting Data...</v>
      </c>
      <c r="O2484" t="str">
        <f>_xll.BDP("952531BZ Muni","BVAL_MID_YTM")</f>
        <v>#N/A Requesting Data...</v>
      </c>
      <c r="P2484" t="str">
        <f>_xll.BDP("952531BZ Muni","MUNI_TAX_PROV")</f>
        <v>#N/A Requesting Data...</v>
      </c>
      <c r="Q2484" t="str">
        <f>_xll.BDP("952531BZ Muni","MUNI_FED_TAX")</f>
        <v>#N/A Requesting Data...</v>
      </c>
      <c r="R2484" t="str">
        <f>_xll.BDP("952531BZ Muni","MUNI_MSRB_VOLUME")</f>
        <v>#N/A Requesting Data...</v>
      </c>
      <c r="S2484" t="str">
        <f>_xll.BDP("952531BZ Muni","BB_COMPOSITE")</f>
        <v>#N/A Requesting Data...</v>
      </c>
      <c r="T2484" t="str">
        <f>_xll.BDP("952531BZ Muni","LQA_LIQUIDITY_SCORE")</f>
        <v>#N/A Requesting Data...</v>
      </c>
    </row>
    <row r="2485" spans="1:20" x14ac:dyDescent="0.25">
      <c r="A2485" t="str">
        <f>_xll.BDP("953020AF Muni","ID_CUSIP")</f>
        <v>#N/A Requesting Data...</v>
      </c>
      <c r="B2485" t="s">
        <v>521</v>
      </c>
      <c r="C2485" t="str">
        <f>_xll.BDP("953020AF Muni","INSURANCE_STATUS")</f>
        <v>#N/A Requesting Data...</v>
      </c>
      <c r="D2485" t="str">
        <f>_xll.BDP("953020AF Muni","STATE_CODE")</f>
        <v>#N/A Requesting Data...</v>
      </c>
      <c r="E2485" t="str">
        <f>_xll.BDP("953020AF Muni","COUNTY_LOCATION_ISSUER")</f>
        <v>#N/A Requesting Data...</v>
      </c>
      <c r="F2485" t="str">
        <f>_xll.BDP("953020AF Muni","DUR_ADJ_MID")</f>
        <v>#N/A Requesting Data...</v>
      </c>
      <c r="G2485" t="str">
        <f>_xll.BDP("953020AF Muni","SPREAD_AT_ISSUANCE_TO_WORST")</f>
        <v>#N/A Requesting Data...</v>
      </c>
      <c r="H2485" t="str">
        <f>_xll.BDP("953020AF Muni","ISSUE_DT")</f>
        <v>#N/A Requesting Data...</v>
      </c>
      <c r="I2485" t="str">
        <f>_xll.BDS("953020AF Muni","MUNI_PURPOSE_SCHED", "aggregate=y")</f>
        <v>#N/A Requesting Data...</v>
      </c>
      <c r="J2485" t="str">
        <f>_xll.BDP("953020AF Muni","CPN")</f>
        <v>#N/A Requesting Data...</v>
      </c>
      <c r="K2485" t="str">
        <f>_xll.BDP("953020AF Muni","MATURITY")</f>
        <v>#N/A Requesting Data...</v>
      </c>
      <c r="L2485">
        <v>90000</v>
      </c>
      <c r="M2485" t="str">
        <f>_xll.BDP("953020AF Muni","YIELD_ON_ISSUE_DATE")</f>
        <v>#N/A Requesting Data...</v>
      </c>
      <c r="N2485" t="str">
        <f>_xll.BDP("953020AF Muni","YTW_SPREAD_TO_MATURITY_AT_ISSU")</f>
        <v>#N/A Requesting Data...</v>
      </c>
      <c r="O2485" t="str">
        <f>_xll.BDP("953020AF Muni","BVAL_MID_YTM")</f>
        <v>#N/A Requesting Data...</v>
      </c>
      <c r="P2485" t="str">
        <f>_xll.BDP("953020AF Muni","MUNI_TAX_PROV")</f>
        <v>#N/A Requesting Data...</v>
      </c>
      <c r="Q2485" t="str">
        <f>_xll.BDP("953020AF Muni","MUNI_FED_TAX")</f>
        <v>#N/A Requesting Data...</v>
      </c>
      <c r="R2485" t="str">
        <f>_xll.BDP("953020AF Muni","MUNI_MSRB_VOLUME")</f>
        <v>#N/A Requesting Data...</v>
      </c>
      <c r="S2485" t="str">
        <f>_xll.BDP("953020AF Muni","BB_COMPOSITE")</f>
        <v>#N/A Requesting Data...</v>
      </c>
      <c r="T2485" t="str">
        <f>_xll.BDP("953020AF Muni","LQA_LIQUIDITY_SCORE")</f>
        <v>#N/A Requesting Data...</v>
      </c>
    </row>
    <row r="2486" spans="1:20" x14ac:dyDescent="0.25">
      <c r="A2486" t="str">
        <f>_xll.BDP("953020AH Muni","ID_CUSIP")</f>
        <v>#N/A Requesting Data...</v>
      </c>
      <c r="B2486" t="s">
        <v>521</v>
      </c>
      <c r="C2486" t="str">
        <f>_xll.BDP("953020AH Muni","INSURANCE_STATUS")</f>
        <v>#N/A Requesting Data...</v>
      </c>
      <c r="D2486" t="str">
        <f>_xll.BDP("953020AH Muni","STATE_CODE")</f>
        <v>#N/A Requesting Data...</v>
      </c>
      <c r="E2486" t="str">
        <f>_xll.BDP("953020AH Muni","COUNTY_LOCATION_ISSUER")</f>
        <v>#N/A Requesting Data...</v>
      </c>
      <c r="F2486" t="str">
        <f>_xll.BDP("953020AH Muni","DUR_ADJ_MID")</f>
        <v>#N/A Requesting Data...</v>
      </c>
      <c r="G2486" t="str">
        <f>_xll.BDP("953020AH Muni","SPREAD_AT_ISSUANCE_TO_WORST")</f>
        <v>#N/A Requesting Data...</v>
      </c>
      <c r="H2486" t="str">
        <f>_xll.BDP("953020AH Muni","ISSUE_DT")</f>
        <v>#N/A Requesting Data...</v>
      </c>
      <c r="I2486" t="str">
        <f>_xll.BDS("953020AH Muni","MUNI_PURPOSE_SCHED", "aggregate=y")</f>
        <v>#N/A Requesting Data...</v>
      </c>
      <c r="J2486" t="str">
        <f>_xll.BDP("953020AH Muni","CPN")</f>
        <v>#N/A Requesting Data...</v>
      </c>
      <c r="K2486" t="str">
        <f>_xll.BDP("953020AH Muni","MATURITY")</f>
        <v>#N/A Requesting Data...</v>
      </c>
      <c r="L2486">
        <v>100000</v>
      </c>
      <c r="M2486" t="str">
        <f>_xll.BDP("953020AH Muni","YIELD_ON_ISSUE_DATE")</f>
        <v>#N/A Requesting Data...</v>
      </c>
      <c r="N2486" t="str">
        <f>_xll.BDP("953020AH Muni","YTW_SPREAD_TO_MATURITY_AT_ISSU")</f>
        <v>#N/A Requesting Data...</v>
      </c>
      <c r="O2486" t="str">
        <f>_xll.BDP("953020AH Muni","BVAL_MID_YTM")</f>
        <v>#N/A Requesting Data...</v>
      </c>
      <c r="P2486" t="str">
        <f>_xll.BDP("953020AH Muni","MUNI_TAX_PROV")</f>
        <v>#N/A Requesting Data...</v>
      </c>
      <c r="Q2486" t="str">
        <f>_xll.BDP("953020AH Muni","MUNI_FED_TAX")</f>
        <v>#N/A Requesting Data...</v>
      </c>
      <c r="R2486" t="str">
        <f>_xll.BDP("953020AH Muni","MUNI_MSRB_VOLUME")</f>
        <v>#N/A Requesting Data...</v>
      </c>
      <c r="S2486" t="str">
        <f>_xll.BDP("953020AH Muni","BB_COMPOSITE")</f>
        <v>#N/A Requesting Data...</v>
      </c>
      <c r="T2486" t="str">
        <f>_xll.BDP("953020AH Muni","LQA_LIQUIDITY_SCORE")</f>
        <v>#N/A Requesting Data...</v>
      </c>
    </row>
    <row r="2487" spans="1:20" x14ac:dyDescent="0.25">
      <c r="A2487" t="str">
        <f>_xll.BDP("953079GL Muni","ID_CUSIP")</f>
        <v>#N/A Requesting Data...</v>
      </c>
      <c r="B2487" t="s">
        <v>578</v>
      </c>
      <c r="C2487" t="str">
        <f>_xll.BDP("953079GL Muni","INSURANCE_STATUS")</f>
        <v>#N/A Requesting Data...</v>
      </c>
      <c r="D2487" t="str">
        <f>_xll.BDP("953079GL Muni","STATE_CODE")</f>
        <v>#N/A Requesting Data...</v>
      </c>
      <c r="E2487" t="str">
        <f>_xll.BDP("953079GL Muni","COUNTY_LOCATION_ISSUER")</f>
        <v>#N/A Requesting Data...</v>
      </c>
      <c r="F2487" t="str">
        <f>_xll.BDP("953079GL Muni","DUR_ADJ_MID")</f>
        <v>#N/A Requesting Data...</v>
      </c>
      <c r="G2487" t="str">
        <f>_xll.BDP("953079GL Muni","SPREAD_AT_ISSUANCE_TO_WORST")</f>
        <v>#N/A Requesting Data...</v>
      </c>
      <c r="H2487" t="str">
        <f>_xll.BDP("953079GL Muni","ISSUE_DT")</f>
        <v>#N/A Requesting Data...</v>
      </c>
      <c r="I2487" t="str">
        <f>_xll.BDS("953079GL Muni","MUNI_PURPOSE_SCHED", "aggregate=y")</f>
        <v>#N/A Requesting Data...</v>
      </c>
      <c r="J2487" t="str">
        <f>_xll.BDP("953079GL Muni","CPN")</f>
        <v>#N/A Requesting Data...</v>
      </c>
      <c r="K2487" t="str">
        <f>_xll.BDP("953079GL Muni","MATURITY")</f>
        <v>#N/A Requesting Data...</v>
      </c>
      <c r="L2487">
        <v>170000</v>
      </c>
      <c r="M2487" t="str">
        <f>_xll.BDP("953079GL Muni","YIELD_ON_ISSUE_DATE")</f>
        <v>#N/A Requesting Data...</v>
      </c>
      <c r="N2487" t="str">
        <f>_xll.BDP("953079GL Muni","YTW_SPREAD_TO_MATURITY_AT_ISSU")</f>
        <v>#N/A Requesting Data...</v>
      </c>
      <c r="O2487" t="str">
        <f>_xll.BDP("953079GL Muni","BVAL_MID_YTM")</f>
        <v>#N/A Requesting Data...</v>
      </c>
      <c r="P2487" t="str">
        <f>_xll.BDP("953079GL Muni","MUNI_TAX_PROV")</f>
        <v>#N/A Requesting Data...</v>
      </c>
      <c r="Q2487" t="str">
        <f>_xll.BDP("953079GL Muni","MUNI_FED_TAX")</f>
        <v>#N/A Requesting Data...</v>
      </c>
      <c r="R2487" t="str">
        <f>_xll.BDP("953079GL Muni","MUNI_MSRB_VOLUME")</f>
        <v>#N/A Requesting Data...</v>
      </c>
      <c r="S2487" t="str">
        <f>_xll.BDP("953079GL Muni","BB_COMPOSITE")</f>
        <v>#N/A Requesting Data...</v>
      </c>
      <c r="T2487" t="str">
        <f>_xll.BDP("953079GL Muni","LQA_LIQUIDITY_SCORE")</f>
        <v>#N/A Requesting Data...</v>
      </c>
    </row>
    <row r="2488" spans="1:20" x14ac:dyDescent="0.25">
      <c r="A2488" t="str">
        <f>_xll.BDP("953564GY Muni","ID_CUSIP")</f>
        <v>#N/A Requesting Data...</v>
      </c>
      <c r="B2488" t="s">
        <v>574</v>
      </c>
      <c r="C2488" t="str">
        <f>_xll.BDP("953564GY Muni","INSURANCE_STATUS")</f>
        <v>#N/A Requesting Data...</v>
      </c>
      <c r="D2488" t="str">
        <f>_xll.BDP("953564GY Muni","STATE_CODE")</f>
        <v>#N/A Requesting Data...</v>
      </c>
      <c r="E2488" t="str">
        <f>_xll.BDP("953564GY Muni","COUNTY_LOCATION_ISSUER")</f>
        <v>#N/A Requesting Data...</v>
      </c>
      <c r="F2488" t="str">
        <f>_xll.BDP("953564GY Muni","DUR_ADJ_MID")</f>
        <v>#N/A Requesting Data...</v>
      </c>
      <c r="G2488" t="str">
        <f>_xll.BDP("953564GY Muni","SPREAD_AT_ISSUANCE_TO_WORST")</f>
        <v>#N/A Requesting Data...</v>
      </c>
      <c r="H2488" t="str">
        <f>_xll.BDP("953564GY Muni","ISSUE_DT")</f>
        <v>#N/A Requesting Data...</v>
      </c>
      <c r="I2488" t="str">
        <f>_xll.BDS("953564GY Muni","MUNI_PURPOSE_SCHED", "aggregate=y")</f>
        <v>#N/A Requesting Data...</v>
      </c>
      <c r="J2488" t="str">
        <f>_xll.BDP("953564GY Muni","CPN")</f>
        <v>#N/A Requesting Data...</v>
      </c>
      <c r="K2488" t="str">
        <f>_xll.BDP("953564GY Muni","MATURITY")</f>
        <v>#N/A Requesting Data...</v>
      </c>
      <c r="L2488">
        <v>200000</v>
      </c>
      <c r="M2488" t="str">
        <f>_xll.BDP("953564GY Muni","YIELD_ON_ISSUE_DATE")</f>
        <v>#N/A Requesting Data...</v>
      </c>
      <c r="N2488" t="str">
        <f>_xll.BDP("953564GY Muni","YTW_SPREAD_TO_MATURITY_AT_ISSU")</f>
        <v>#N/A Requesting Data...</v>
      </c>
      <c r="O2488" t="str">
        <f>_xll.BDP("953564GY Muni","BVAL_MID_YTM")</f>
        <v>#N/A Requesting Data...</v>
      </c>
      <c r="P2488" t="str">
        <f>_xll.BDP("953564GY Muni","MUNI_TAX_PROV")</f>
        <v>#N/A Requesting Data...</v>
      </c>
      <c r="Q2488" t="str">
        <f>_xll.BDP("953564GY Muni","MUNI_FED_TAX")</f>
        <v>#N/A Requesting Data...</v>
      </c>
      <c r="R2488" t="str">
        <f>_xll.BDP("953564GY Muni","MUNI_MSRB_VOLUME")</f>
        <v>#N/A Requesting Data...</v>
      </c>
      <c r="S2488" t="str">
        <f>_xll.BDP("953564GY Muni","BB_COMPOSITE")</f>
        <v>#N/A Requesting Data...</v>
      </c>
      <c r="T2488" t="str">
        <f>_xll.BDP("953564GY Muni","LQA_LIQUIDITY_SCORE")</f>
        <v>#N/A Requesting Data...</v>
      </c>
    </row>
    <row r="2489" spans="1:20" x14ac:dyDescent="0.25">
      <c r="A2489" t="str">
        <f>_xll.BDP("953564GZ Muni","ID_CUSIP")</f>
        <v>#N/A Requesting Data...</v>
      </c>
      <c r="B2489" t="s">
        <v>574</v>
      </c>
      <c r="C2489" t="str">
        <f>_xll.BDP("953564GZ Muni","INSURANCE_STATUS")</f>
        <v>#N/A Requesting Data...</v>
      </c>
      <c r="D2489" t="str">
        <f>_xll.BDP("953564GZ Muni","STATE_CODE")</f>
        <v>#N/A Requesting Data...</v>
      </c>
      <c r="E2489" t="str">
        <f>_xll.BDP("953564GZ Muni","COUNTY_LOCATION_ISSUER")</f>
        <v>#N/A Requesting Data...</v>
      </c>
      <c r="F2489" t="str">
        <f>_xll.BDP("953564GZ Muni","DUR_ADJ_MID")</f>
        <v>#N/A Requesting Data...</v>
      </c>
      <c r="G2489" t="str">
        <f>_xll.BDP("953564GZ Muni","SPREAD_AT_ISSUANCE_TO_WORST")</f>
        <v>#N/A Requesting Data...</v>
      </c>
      <c r="H2489" t="str">
        <f>_xll.BDP("953564GZ Muni","ISSUE_DT")</f>
        <v>#N/A Requesting Data...</v>
      </c>
      <c r="I2489" t="str">
        <f>_xll.BDS("953564GZ Muni","MUNI_PURPOSE_SCHED", "aggregate=y")</f>
        <v>#N/A Requesting Data...</v>
      </c>
      <c r="J2489" t="str">
        <f>_xll.BDP("953564GZ Muni","CPN")</f>
        <v>#N/A Requesting Data...</v>
      </c>
      <c r="K2489" t="str">
        <f>_xll.BDP("953564GZ Muni","MATURITY")</f>
        <v>#N/A Requesting Data...</v>
      </c>
      <c r="L2489">
        <v>205000</v>
      </c>
      <c r="M2489" t="str">
        <f>_xll.BDP("953564GZ Muni","YIELD_ON_ISSUE_DATE")</f>
        <v>#N/A Requesting Data...</v>
      </c>
      <c r="N2489" t="str">
        <f>_xll.BDP("953564GZ Muni","YTW_SPREAD_TO_MATURITY_AT_ISSU")</f>
        <v>#N/A Requesting Data...</v>
      </c>
      <c r="O2489" t="str">
        <f>_xll.BDP("953564GZ Muni","BVAL_MID_YTM")</f>
        <v>#N/A Requesting Data...</v>
      </c>
      <c r="P2489" t="str">
        <f>_xll.BDP("953564GZ Muni","MUNI_TAX_PROV")</f>
        <v>#N/A Requesting Data...</v>
      </c>
      <c r="Q2489" t="str">
        <f>_xll.BDP("953564GZ Muni","MUNI_FED_TAX")</f>
        <v>#N/A Requesting Data...</v>
      </c>
      <c r="R2489" t="str">
        <f>_xll.BDP("953564GZ Muni","MUNI_MSRB_VOLUME")</f>
        <v>#N/A Requesting Data...</v>
      </c>
      <c r="S2489" t="str">
        <f>_xll.BDP("953564GZ Muni","BB_COMPOSITE")</f>
        <v>#N/A Requesting Data...</v>
      </c>
      <c r="T2489" t="str">
        <f>_xll.BDP("953564GZ Muni","LQA_LIQUIDITY_SCORE")</f>
        <v>#N/A Requesting Data...</v>
      </c>
    </row>
    <row r="2490" spans="1:20" x14ac:dyDescent="0.25">
      <c r="A2490" t="str">
        <f>_xll.BDP("902354JZ Muni","ID_CUSIP")</f>
        <v>#N/A Requesting Data...</v>
      </c>
      <c r="B2490" t="s">
        <v>579</v>
      </c>
      <c r="C2490" t="str">
        <f>_xll.BDP("902354JZ Muni","INSURANCE_STATUS")</f>
        <v>#N/A Requesting Data...</v>
      </c>
      <c r="D2490" t="str">
        <f>_xll.BDP("902354JZ Muni","STATE_CODE")</f>
        <v>#N/A Requesting Data...</v>
      </c>
      <c r="E2490" t="str">
        <f>_xll.BDP("902354JZ Muni","COUNTY_LOCATION_ISSUER")</f>
        <v>#N/A Requesting Data...</v>
      </c>
      <c r="F2490" t="str">
        <f>_xll.BDP("902354JZ Muni","DUR_ADJ_MID")</f>
        <v>#N/A Requesting Data...</v>
      </c>
      <c r="G2490" t="str">
        <f>_xll.BDP("902354JZ Muni","SPREAD_AT_ISSUANCE_TO_WORST")</f>
        <v>#N/A Requesting Data...</v>
      </c>
      <c r="H2490" t="str">
        <f>_xll.BDP("902354JZ Muni","ISSUE_DT")</f>
        <v>#N/A Requesting Data...</v>
      </c>
      <c r="I2490" t="str">
        <f>_xll.BDS("902354JZ Muni","MUNI_PURPOSE_SCHED", "aggregate=y")</f>
        <v>#N/A Requesting Data...</v>
      </c>
      <c r="J2490" t="str">
        <f>_xll.BDP("902354JZ Muni","CPN")</f>
        <v>#N/A Requesting Data...</v>
      </c>
      <c r="K2490" t="str">
        <f>_xll.BDP("902354JZ Muni","MATURITY")</f>
        <v>#N/A Requesting Data...</v>
      </c>
      <c r="L2490">
        <v>340000</v>
      </c>
      <c r="M2490" t="str">
        <f>_xll.BDP("902354JZ Muni","YIELD_ON_ISSUE_DATE")</f>
        <v>#N/A Requesting Data...</v>
      </c>
      <c r="N2490" t="str">
        <f>_xll.BDP("902354JZ Muni","YTW_SPREAD_TO_MATURITY_AT_ISSU")</f>
        <v>#N/A Requesting Data...</v>
      </c>
      <c r="O2490" t="str">
        <f>_xll.BDP("902354JZ Muni","BVAL_MID_YTM")</f>
        <v>#N/A Requesting Data...</v>
      </c>
      <c r="P2490" t="str">
        <f>_xll.BDP("902354JZ Muni","MUNI_TAX_PROV")</f>
        <v>#N/A Requesting Data...</v>
      </c>
      <c r="Q2490" t="str">
        <f>_xll.BDP("902354JZ Muni","MUNI_FED_TAX")</f>
        <v>#N/A Requesting Data...</v>
      </c>
      <c r="R2490" t="str">
        <f>_xll.BDP("902354JZ Muni","MUNI_MSRB_VOLUME")</f>
        <v>#N/A Requesting Data...</v>
      </c>
      <c r="S2490" t="str">
        <f>_xll.BDP("902354JZ Muni","BB_COMPOSITE")</f>
        <v>#N/A Requesting Data...</v>
      </c>
      <c r="T2490" t="str">
        <f>_xll.BDP("902354JZ Muni","LQA_LIQUIDITY_SCORE")</f>
        <v>#N/A Requesting Data...</v>
      </c>
    </row>
    <row r="2491" spans="1:20" x14ac:dyDescent="0.25">
      <c r="A2491" t="str">
        <f>_xll.BDP("902354KB Muni","ID_CUSIP")</f>
        <v>#N/A Requesting Data...</v>
      </c>
      <c r="B2491" t="s">
        <v>579</v>
      </c>
      <c r="C2491" t="str">
        <f>_xll.BDP("902354KB Muni","INSURANCE_STATUS")</f>
        <v>#N/A Requesting Data...</v>
      </c>
      <c r="D2491" t="str">
        <f>_xll.BDP("902354KB Muni","STATE_CODE")</f>
        <v>#N/A Requesting Data...</v>
      </c>
      <c r="E2491" t="str">
        <f>_xll.BDP("902354KB Muni","COUNTY_LOCATION_ISSUER")</f>
        <v>#N/A Requesting Data...</v>
      </c>
      <c r="F2491" t="str">
        <f>_xll.BDP("902354KB Muni","DUR_ADJ_MID")</f>
        <v>#N/A Requesting Data...</v>
      </c>
      <c r="G2491" t="str">
        <f>_xll.BDP("902354KB Muni","SPREAD_AT_ISSUANCE_TO_WORST")</f>
        <v>#N/A Requesting Data...</v>
      </c>
      <c r="H2491" t="str">
        <f>_xll.BDP("902354KB Muni","ISSUE_DT")</f>
        <v>#N/A Requesting Data...</v>
      </c>
      <c r="I2491" t="str">
        <f>_xll.BDS("902354KB Muni","MUNI_PURPOSE_SCHED", "aggregate=y")</f>
        <v>#N/A Requesting Data...</v>
      </c>
      <c r="J2491" t="str">
        <f>_xll.BDP("902354KB Muni","CPN")</f>
        <v>#N/A Requesting Data...</v>
      </c>
      <c r="K2491" t="str">
        <f>_xll.BDP("902354KB Muni","MATURITY")</f>
        <v>#N/A Requesting Data...</v>
      </c>
      <c r="L2491">
        <v>360000</v>
      </c>
      <c r="M2491" t="str">
        <f>_xll.BDP("902354KB Muni","YIELD_ON_ISSUE_DATE")</f>
        <v>#N/A Requesting Data...</v>
      </c>
      <c r="N2491" t="str">
        <f>_xll.BDP("902354KB Muni","YTW_SPREAD_TO_MATURITY_AT_ISSU")</f>
        <v>#N/A Requesting Data...</v>
      </c>
      <c r="O2491" t="str">
        <f>_xll.BDP("902354KB Muni","BVAL_MID_YTM")</f>
        <v>#N/A Requesting Data...</v>
      </c>
      <c r="P2491" t="str">
        <f>_xll.BDP("902354KB Muni","MUNI_TAX_PROV")</f>
        <v>#N/A Requesting Data...</v>
      </c>
      <c r="Q2491" t="str">
        <f>_xll.BDP("902354KB Muni","MUNI_FED_TAX")</f>
        <v>#N/A Requesting Data...</v>
      </c>
      <c r="R2491" t="str">
        <f>_xll.BDP("902354KB Muni","MUNI_MSRB_VOLUME")</f>
        <v>#N/A Requesting Data...</v>
      </c>
      <c r="S2491" t="str">
        <f>_xll.BDP("902354KB Muni","BB_COMPOSITE")</f>
        <v>#N/A Requesting Data...</v>
      </c>
      <c r="T2491" t="str">
        <f>_xll.BDP("902354KB Muni","LQA_LIQUIDITY_SCORE")</f>
        <v>#N/A Requesting Data...</v>
      </c>
    </row>
    <row r="2492" spans="1:20" x14ac:dyDescent="0.25">
      <c r="A2492" t="str">
        <f>_xll.BDP("971651TR Muni","ID_CUSIP")</f>
        <v>#N/A Requesting Data...</v>
      </c>
      <c r="B2492" t="s">
        <v>580</v>
      </c>
      <c r="C2492" t="str">
        <f>_xll.BDP("971651TR Muni","INSURANCE_STATUS")</f>
        <v>#N/A Requesting Data...</v>
      </c>
      <c r="D2492" t="str">
        <f>_xll.BDP("971651TR Muni","STATE_CODE")</f>
        <v>#N/A Requesting Data...</v>
      </c>
      <c r="E2492" t="str">
        <f>_xll.BDP("971651TR Muni","COUNTY_LOCATION_ISSUER")</f>
        <v>#N/A Requesting Data...</v>
      </c>
      <c r="F2492" t="str">
        <f>_xll.BDP("971651TR Muni","DUR_ADJ_MID")</f>
        <v>#N/A Requesting Data...</v>
      </c>
      <c r="G2492" t="str">
        <f>_xll.BDP("971651TR Muni","SPREAD_AT_ISSUANCE_TO_WORST")</f>
        <v>#N/A Requesting Data...</v>
      </c>
      <c r="H2492" t="str">
        <f>_xll.BDP("971651TR Muni","ISSUE_DT")</f>
        <v>#N/A Requesting Data...</v>
      </c>
      <c r="I2492" t="str">
        <f>_xll.BDS("971651TR Muni","MUNI_PURPOSE_SCHED", "aggregate=y")</f>
        <v>#N/A Requesting Data...</v>
      </c>
      <c r="J2492" t="str">
        <f>_xll.BDP("971651TR Muni","CPN")</f>
        <v>#N/A Requesting Data...</v>
      </c>
      <c r="K2492" t="str">
        <f>_xll.BDP("971651TR Muni","MATURITY")</f>
        <v>#N/A Requesting Data...</v>
      </c>
      <c r="L2492">
        <v>420000</v>
      </c>
      <c r="M2492" t="str">
        <f>_xll.BDP("971651TR Muni","YIELD_ON_ISSUE_DATE")</f>
        <v>#N/A Requesting Data...</v>
      </c>
      <c r="N2492" t="str">
        <f>_xll.BDP("971651TR Muni","YTW_SPREAD_TO_MATURITY_AT_ISSU")</f>
        <v>#N/A Requesting Data...</v>
      </c>
      <c r="O2492" t="str">
        <f>_xll.BDP("971651TR Muni","BVAL_MID_YTM")</f>
        <v>#N/A Requesting Data...</v>
      </c>
      <c r="P2492" t="str">
        <f>_xll.BDP("971651TR Muni","MUNI_TAX_PROV")</f>
        <v>#N/A Requesting Data...</v>
      </c>
      <c r="Q2492" t="str">
        <f>_xll.BDP("971651TR Muni","MUNI_FED_TAX")</f>
        <v>#N/A Requesting Data...</v>
      </c>
      <c r="R2492" t="str">
        <f>_xll.BDP("971651TR Muni","MUNI_MSRB_VOLUME")</f>
        <v>#N/A Requesting Data...</v>
      </c>
      <c r="S2492" t="str">
        <f>_xll.BDP("971651TR Muni","BB_COMPOSITE")</f>
        <v>#N/A Requesting Data...</v>
      </c>
      <c r="T2492" t="str">
        <f>_xll.BDP("971651TR Muni","LQA_LIQUIDITY_SCORE")</f>
        <v>#N/A Requesting Data...</v>
      </c>
    </row>
    <row r="2493" spans="1:20" x14ac:dyDescent="0.25">
      <c r="A2493" t="str">
        <f>_xll.BDP("971651TS Muni","ID_CUSIP")</f>
        <v>#N/A Requesting Data...</v>
      </c>
      <c r="B2493" t="s">
        <v>580</v>
      </c>
      <c r="C2493" t="str">
        <f>_xll.BDP("971651TS Muni","INSURANCE_STATUS")</f>
        <v>#N/A Requesting Data...</v>
      </c>
      <c r="D2493" t="str">
        <f>_xll.BDP("971651TS Muni","STATE_CODE")</f>
        <v>#N/A Requesting Data...</v>
      </c>
      <c r="E2493" t="str">
        <f>_xll.BDP("971651TS Muni","COUNTY_LOCATION_ISSUER")</f>
        <v>#N/A Requesting Data...</v>
      </c>
      <c r="F2493" t="str">
        <f>_xll.BDP("971651TS Muni","DUR_ADJ_MID")</f>
        <v>#N/A Requesting Data...</v>
      </c>
      <c r="G2493" t="str">
        <f>_xll.BDP("971651TS Muni","SPREAD_AT_ISSUANCE_TO_WORST")</f>
        <v>#N/A Requesting Data...</v>
      </c>
      <c r="H2493" t="str">
        <f>_xll.BDP("971651TS Muni","ISSUE_DT")</f>
        <v>#N/A Requesting Data...</v>
      </c>
      <c r="I2493" t="str">
        <f>_xll.BDS("971651TS Muni","MUNI_PURPOSE_SCHED", "aggregate=y")</f>
        <v>#N/A Requesting Data...</v>
      </c>
      <c r="J2493" t="str">
        <f>_xll.BDP("971651TS Muni","CPN")</f>
        <v>#N/A Requesting Data...</v>
      </c>
      <c r="K2493" t="str">
        <f>_xll.BDP("971651TS Muni","MATURITY")</f>
        <v>#N/A Requesting Data...</v>
      </c>
      <c r="L2493">
        <v>420000</v>
      </c>
      <c r="M2493" t="str">
        <f>_xll.BDP("971651TS Muni","YIELD_ON_ISSUE_DATE")</f>
        <v>#N/A Requesting Data...</v>
      </c>
      <c r="N2493" t="str">
        <f>_xll.BDP("971651TS Muni","YTW_SPREAD_TO_MATURITY_AT_ISSU")</f>
        <v>#N/A Requesting Data...</v>
      </c>
      <c r="O2493" t="str">
        <f>_xll.BDP("971651TS Muni","BVAL_MID_YTM")</f>
        <v>#N/A Requesting Data...</v>
      </c>
      <c r="P2493" t="str">
        <f>_xll.BDP("971651TS Muni","MUNI_TAX_PROV")</f>
        <v>#N/A Requesting Data...</v>
      </c>
      <c r="Q2493" t="str">
        <f>_xll.BDP("971651TS Muni","MUNI_FED_TAX")</f>
        <v>#N/A Requesting Data...</v>
      </c>
      <c r="R2493" t="str">
        <f>_xll.BDP("971651TS Muni","MUNI_MSRB_VOLUME")</f>
        <v>#N/A Requesting Data...</v>
      </c>
      <c r="S2493" t="str">
        <f>_xll.BDP("971651TS Muni","BB_COMPOSITE")</f>
        <v>#N/A Requesting Data...</v>
      </c>
      <c r="T2493" t="str">
        <f>_xll.BDP("971651TS Muni","LQA_LIQUIDITY_SCORE")</f>
        <v>#N/A Requesting Data...</v>
      </c>
    </row>
    <row r="2494" spans="1:20" x14ac:dyDescent="0.25">
      <c r="A2494" t="str">
        <f>_xll.BDP("971651TT Muni","ID_CUSIP")</f>
        <v>#N/A Requesting Data...</v>
      </c>
      <c r="B2494" t="s">
        <v>580</v>
      </c>
      <c r="C2494" t="str">
        <f>_xll.BDP("971651TT Muni","INSURANCE_STATUS")</f>
        <v>#N/A Requesting Data...</v>
      </c>
      <c r="D2494" t="str">
        <f>_xll.BDP("971651TT Muni","STATE_CODE")</f>
        <v>#N/A Requesting Data...</v>
      </c>
      <c r="E2494" t="str">
        <f>_xll.BDP("971651TT Muni","COUNTY_LOCATION_ISSUER")</f>
        <v>#N/A Requesting Data...</v>
      </c>
      <c r="F2494" t="str">
        <f>_xll.BDP("971651TT Muni","DUR_ADJ_MID")</f>
        <v>#N/A Requesting Data...</v>
      </c>
      <c r="G2494" t="str">
        <f>_xll.BDP("971651TT Muni","SPREAD_AT_ISSUANCE_TO_WORST")</f>
        <v>#N/A Requesting Data...</v>
      </c>
      <c r="H2494" t="str">
        <f>_xll.BDP("971651TT Muni","ISSUE_DT")</f>
        <v>#N/A Requesting Data...</v>
      </c>
      <c r="I2494" t="str">
        <f>_xll.BDS("971651TT Muni","MUNI_PURPOSE_SCHED", "aggregate=y")</f>
        <v>#N/A Requesting Data...</v>
      </c>
      <c r="J2494" t="str">
        <f>_xll.BDP("971651TT Muni","CPN")</f>
        <v>#N/A Requesting Data...</v>
      </c>
      <c r="K2494" t="str">
        <f>_xll.BDP("971651TT Muni","MATURITY")</f>
        <v>#N/A Requesting Data...</v>
      </c>
      <c r="L2494">
        <v>420000</v>
      </c>
      <c r="M2494" t="str">
        <f>_xll.BDP("971651TT Muni","YIELD_ON_ISSUE_DATE")</f>
        <v>#N/A Requesting Data...</v>
      </c>
      <c r="N2494" t="str">
        <f>_xll.BDP("971651TT Muni","YTW_SPREAD_TO_MATURITY_AT_ISSU")</f>
        <v>#N/A Requesting Data...</v>
      </c>
      <c r="O2494" t="str">
        <f>_xll.BDP("971651TT Muni","BVAL_MID_YTM")</f>
        <v>#N/A Requesting Data...</v>
      </c>
      <c r="P2494" t="str">
        <f>_xll.BDP("971651TT Muni","MUNI_TAX_PROV")</f>
        <v>#N/A Requesting Data...</v>
      </c>
      <c r="Q2494" t="str">
        <f>_xll.BDP("971651TT Muni","MUNI_FED_TAX")</f>
        <v>#N/A Requesting Data...</v>
      </c>
      <c r="R2494" t="str">
        <f>_xll.BDP("971651TT Muni","MUNI_MSRB_VOLUME")</f>
        <v>#N/A Requesting Data...</v>
      </c>
      <c r="S2494" t="str">
        <f>_xll.BDP("971651TT Muni","BB_COMPOSITE")</f>
        <v>#N/A Requesting Data...</v>
      </c>
      <c r="T2494" t="str">
        <f>_xll.BDP("971651TT Muni","LQA_LIQUIDITY_SCORE")</f>
        <v>#N/A Requesting Data...</v>
      </c>
    </row>
    <row r="2495" spans="1:20" x14ac:dyDescent="0.25">
      <c r="A2495" t="str">
        <f>_xll.BDP("971651TU Muni","ID_CUSIP")</f>
        <v>#N/A Requesting Data...</v>
      </c>
      <c r="B2495" t="s">
        <v>580</v>
      </c>
      <c r="C2495" t="str">
        <f>_xll.BDP("971651TU Muni","INSURANCE_STATUS")</f>
        <v>#N/A Requesting Data...</v>
      </c>
      <c r="D2495" t="str">
        <f>_xll.BDP("971651TU Muni","STATE_CODE")</f>
        <v>#N/A Requesting Data...</v>
      </c>
      <c r="E2495" t="str">
        <f>_xll.BDP("971651TU Muni","COUNTY_LOCATION_ISSUER")</f>
        <v>#N/A Requesting Data...</v>
      </c>
      <c r="F2495" t="str">
        <f>_xll.BDP("971651TU Muni","DUR_ADJ_MID")</f>
        <v>#N/A Requesting Data...</v>
      </c>
      <c r="G2495" t="str">
        <f>_xll.BDP("971651TU Muni","SPREAD_AT_ISSUANCE_TO_WORST")</f>
        <v>#N/A Requesting Data...</v>
      </c>
      <c r="H2495" t="str">
        <f>_xll.BDP("971651TU Muni","ISSUE_DT")</f>
        <v>#N/A Requesting Data...</v>
      </c>
      <c r="I2495" t="str">
        <f>_xll.BDS("971651TU Muni","MUNI_PURPOSE_SCHED", "aggregate=y")</f>
        <v>#N/A Requesting Data...</v>
      </c>
      <c r="J2495" t="str">
        <f>_xll.BDP("971651TU Muni","CPN")</f>
        <v>#N/A Requesting Data...</v>
      </c>
      <c r="K2495" t="str">
        <f>_xll.BDP("971651TU Muni","MATURITY")</f>
        <v>#N/A Requesting Data...</v>
      </c>
      <c r="L2495">
        <v>405000</v>
      </c>
      <c r="M2495" t="str">
        <f>_xll.BDP("971651TU Muni","YIELD_ON_ISSUE_DATE")</f>
        <v>#N/A Requesting Data...</v>
      </c>
      <c r="N2495" t="str">
        <f>_xll.BDP("971651TU Muni","YTW_SPREAD_TO_MATURITY_AT_ISSU")</f>
        <v>#N/A Requesting Data...</v>
      </c>
      <c r="O2495" t="str">
        <f>_xll.BDP("971651TU Muni","BVAL_MID_YTM")</f>
        <v>#N/A Requesting Data...</v>
      </c>
      <c r="P2495" t="str">
        <f>_xll.BDP("971651TU Muni","MUNI_TAX_PROV")</f>
        <v>#N/A Requesting Data...</v>
      </c>
      <c r="Q2495" t="str">
        <f>_xll.BDP("971651TU Muni","MUNI_FED_TAX")</f>
        <v>#N/A Requesting Data...</v>
      </c>
      <c r="R2495" t="str">
        <f>_xll.BDP("971651TU Muni","MUNI_MSRB_VOLUME")</f>
        <v>#N/A Requesting Data...</v>
      </c>
      <c r="S2495" t="str">
        <f>_xll.BDP("971651TU Muni","BB_COMPOSITE")</f>
        <v>#N/A Requesting Data...</v>
      </c>
      <c r="T2495" t="str">
        <f>_xll.BDP("971651TU Muni","LQA_LIQUIDITY_SCORE")</f>
        <v>#N/A Requesting Data...</v>
      </c>
    </row>
    <row r="2496" spans="1:20" x14ac:dyDescent="0.25">
      <c r="A2496" t="str">
        <f>_xll.BDP("971651TV Muni","ID_CUSIP")</f>
        <v>#N/A Requesting Data...</v>
      </c>
      <c r="B2496" t="s">
        <v>580</v>
      </c>
      <c r="C2496" t="str">
        <f>_xll.BDP("971651TV Muni","INSURANCE_STATUS")</f>
        <v>#N/A Requesting Data...</v>
      </c>
      <c r="D2496" t="str">
        <f>_xll.BDP("971651TV Muni","STATE_CODE")</f>
        <v>#N/A Requesting Data...</v>
      </c>
      <c r="E2496" t="str">
        <f>_xll.BDP("971651TV Muni","COUNTY_LOCATION_ISSUER")</f>
        <v>#N/A Requesting Data...</v>
      </c>
      <c r="F2496" t="str">
        <f>_xll.BDP("971651TV Muni","DUR_ADJ_MID")</f>
        <v>#N/A Requesting Data...</v>
      </c>
      <c r="G2496" t="str">
        <f>_xll.BDP("971651TV Muni","SPREAD_AT_ISSUANCE_TO_WORST")</f>
        <v>#N/A Requesting Data...</v>
      </c>
      <c r="H2496" t="str">
        <f>_xll.BDP("971651TV Muni","ISSUE_DT")</f>
        <v>#N/A Requesting Data...</v>
      </c>
      <c r="I2496" t="str">
        <f>_xll.BDS("971651TV Muni","MUNI_PURPOSE_SCHED", "aggregate=y")</f>
        <v>#N/A Requesting Data...</v>
      </c>
      <c r="J2496" t="str">
        <f>_xll.BDP("971651TV Muni","CPN")</f>
        <v>#N/A Requesting Data...</v>
      </c>
      <c r="K2496" t="str">
        <f>_xll.BDP("971651TV Muni","MATURITY")</f>
        <v>#N/A Requesting Data...</v>
      </c>
      <c r="L2496">
        <v>405000</v>
      </c>
      <c r="M2496" t="str">
        <f>_xll.BDP("971651TV Muni","YIELD_ON_ISSUE_DATE")</f>
        <v>#N/A Requesting Data...</v>
      </c>
      <c r="N2496" t="str">
        <f>_xll.BDP("971651TV Muni","YTW_SPREAD_TO_MATURITY_AT_ISSU")</f>
        <v>#N/A Requesting Data...</v>
      </c>
      <c r="O2496" t="str">
        <f>_xll.BDP("971651TV Muni","BVAL_MID_YTM")</f>
        <v>#N/A Requesting Data...</v>
      </c>
      <c r="P2496" t="str">
        <f>_xll.BDP("971651TV Muni","MUNI_TAX_PROV")</f>
        <v>#N/A Requesting Data...</v>
      </c>
      <c r="Q2496" t="str">
        <f>_xll.BDP("971651TV Muni","MUNI_FED_TAX")</f>
        <v>#N/A Requesting Data...</v>
      </c>
      <c r="R2496" t="str">
        <f>_xll.BDP("971651TV Muni","MUNI_MSRB_VOLUME")</f>
        <v>#N/A Requesting Data...</v>
      </c>
      <c r="S2496" t="str">
        <f>_xll.BDP("971651TV Muni","BB_COMPOSITE")</f>
        <v>#N/A Requesting Data...</v>
      </c>
      <c r="T2496" t="str">
        <f>_xll.BDP("971651TV Muni","LQA_LIQUIDITY_SCORE")</f>
        <v>#N/A Requesting Data...</v>
      </c>
    </row>
    <row r="2497" spans="1:20" x14ac:dyDescent="0.25">
      <c r="A2497" t="str">
        <f>_xll.BDP("971651TW Muni","ID_CUSIP")</f>
        <v>#N/A Requesting Data...</v>
      </c>
      <c r="B2497" t="s">
        <v>580</v>
      </c>
      <c r="C2497" t="str">
        <f>_xll.BDP("971651TW Muni","INSURANCE_STATUS")</f>
        <v>#N/A Requesting Data...</v>
      </c>
      <c r="D2497" t="str">
        <f>_xll.BDP("971651TW Muni","STATE_CODE")</f>
        <v>#N/A Requesting Data...</v>
      </c>
      <c r="E2497" t="str">
        <f>_xll.BDP("971651TW Muni","COUNTY_LOCATION_ISSUER")</f>
        <v>#N/A Requesting Data...</v>
      </c>
      <c r="F2497" t="str">
        <f>_xll.BDP("971651TW Muni","DUR_ADJ_MID")</f>
        <v>#N/A Requesting Data...</v>
      </c>
      <c r="G2497" t="str">
        <f>_xll.BDP("971651TW Muni","SPREAD_AT_ISSUANCE_TO_WORST")</f>
        <v>#N/A Requesting Data...</v>
      </c>
      <c r="H2497" t="str">
        <f>_xll.BDP("971651TW Muni","ISSUE_DT")</f>
        <v>#N/A Requesting Data...</v>
      </c>
      <c r="I2497" t="str">
        <f>_xll.BDS("971651TW Muni","MUNI_PURPOSE_SCHED", "aggregate=y")</f>
        <v>#N/A Requesting Data...</v>
      </c>
      <c r="J2497" t="str">
        <f>_xll.BDP("971651TW Muni","CPN")</f>
        <v>#N/A Requesting Data...</v>
      </c>
      <c r="K2497" t="str">
        <f>_xll.BDP("971651TW Muni","MATURITY")</f>
        <v>#N/A Requesting Data...</v>
      </c>
      <c r="L2497">
        <v>405000</v>
      </c>
      <c r="M2497" t="str">
        <f>_xll.BDP("971651TW Muni","YIELD_ON_ISSUE_DATE")</f>
        <v>#N/A Requesting Data...</v>
      </c>
      <c r="N2497" t="str">
        <f>_xll.BDP("971651TW Muni","YTW_SPREAD_TO_MATURITY_AT_ISSU")</f>
        <v>#N/A Requesting Data...</v>
      </c>
      <c r="O2497" t="str">
        <f>_xll.BDP("971651TW Muni","BVAL_MID_YTM")</f>
        <v>#N/A Requesting Data...</v>
      </c>
      <c r="P2497" t="str">
        <f>_xll.BDP("971651TW Muni","MUNI_TAX_PROV")</f>
        <v>#N/A Requesting Data...</v>
      </c>
      <c r="Q2497" t="str">
        <f>_xll.BDP("971651TW Muni","MUNI_FED_TAX")</f>
        <v>#N/A Requesting Data...</v>
      </c>
      <c r="R2497" t="str">
        <f>_xll.BDP("971651TW Muni","MUNI_MSRB_VOLUME")</f>
        <v>#N/A Requesting Data...</v>
      </c>
      <c r="S2497" t="str">
        <f>_xll.BDP("971651TW Muni","BB_COMPOSITE")</f>
        <v>#N/A Requesting Data...</v>
      </c>
      <c r="T2497" t="str">
        <f>_xll.BDP("971651TW Muni","LQA_LIQUIDITY_SCORE")</f>
        <v>#N/A Requesting Data...</v>
      </c>
    </row>
    <row r="2498" spans="1:20" x14ac:dyDescent="0.25">
      <c r="A2498" t="str">
        <f>_xll.BDP("972836AZ Muni","ID_CUSIP")</f>
        <v>#N/A Requesting Data...</v>
      </c>
      <c r="B2498" t="s">
        <v>581</v>
      </c>
      <c r="C2498" t="str">
        <f>_xll.BDP("972836AZ Muni","INSURANCE_STATUS")</f>
        <v>#N/A Requesting Data...</v>
      </c>
      <c r="D2498" t="str">
        <f>_xll.BDP("972836AZ Muni","STATE_CODE")</f>
        <v>#N/A Requesting Data...</v>
      </c>
      <c r="E2498" t="str">
        <f>_xll.BDP("972836AZ Muni","COUNTY_LOCATION_ISSUER")</f>
        <v>#N/A Requesting Data...</v>
      </c>
      <c r="F2498" t="str">
        <f>_xll.BDP("972836AZ Muni","DUR_ADJ_MID")</f>
        <v>#N/A Requesting Data...</v>
      </c>
      <c r="G2498" t="str">
        <f>_xll.BDP("972836AZ Muni","SPREAD_AT_ISSUANCE_TO_WORST")</f>
        <v>#N/A Requesting Data...</v>
      </c>
      <c r="H2498" t="str">
        <f>_xll.BDP("972836AZ Muni","ISSUE_DT")</f>
        <v>#N/A Requesting Data...</v>
      </c>
      <c r="I2498" t="str">
        <f>_xll.BDS("972836AZ Muni","MUNI_PURPOSE_SCHED", "aggregate=y")</f>
        <v>#N/A Requesting Data...</v>
      </c>
      <c r="J2498" t="str">
        <f>_xll.BDP("972836AZ Muni","CPN")</f>
        <v>#N/A Requesting Data...</v>
      </c>
      <c r="K2498" t="str">
        <f>_xll.BDP("972836AZ Muni","MATURITY")</f>
        <v>#N/A Requesting Data...</v>
      </c>
      <c r="L2498">
        <v>80000</v>
      </c>
      <c r="M2498" t="str">
        <f>_xll.BDP("972836AZ Muni","YIELD_ON_ISSUE_DATE")</f>
        <v>#N/A Requesting Data...</v>
      </c>
      <c r="N2498" t="str">
        <f>_xll.BDP("972836AZ Muni","YTW_SPREAD_TO_MATURITY_AT_ISSU")</f>
        <v>#N/A Requesting Data...</v>
      </c>
      <c r="O2498" t="str">
        <f>_xll.BDP("972836AZ Muni","BVAL_MID_YTM")</f>
        <v>#N/A Requesting Data...</v>
      </c>
      <c r="P2498" t="str">
        <f>_xll.BDP("972836AZ Muni","MUNI_TAX_PROV")</f>
        <v>#N/A Requesting Data...</v>
      </c>
      <c r="Q2498" t="str">
        <f>_xll.BDP("972836AZ Muni","MUNI_FED_TAX")</f>
        <v>#N/A Requesting Data...</v>
      </c>
      <c r="R2498" t="str">
        <f>_xll.BDP("972836AZ Muni","MUNI_MSRB_VOLUME")</f>
        <v>#N/A Requesting Data...</v>
      </c>
      <c r="S2498" t="str">
        <f>_xll.BDP("972836AZ Muni","BB_COMPOSITE")</f>
        <v>#N/A Requesting Data...</v>
      </c>
      <c r="T2498" t="str">
        <f>_xll.BDP("972836AZ Muni","LQA_LIQUIDITY_SCORE")</f>
        <v>#N/A Requesting Data...</v>
      </c>
    </row>
    <row r="2499" spans="1:20" x14ac:dyDescent="0.25">
      <c r="A2499" t="str">
        <f>_xll.BDP("972836BB Muni","ID_CUSIP")</f>
        <v>#N/A Requesting Data...</v>
      </c>
      <c r="B2499" t="s">
        <v>581</v>
      </c>
      <c r="C2499" t="str">
        <f>_xll.BDP("972836BB Muni","INSURANCE_STATUS")</f>
        <v>#N/A Requesting Data...</v>
      </c>
      <c r="D2499" t="str">
        <f>_xll.BDP("972836BB Muni","STATE_CODE")</f>
        <v>#N/A Requesting Data...</v>
      </c>
      <c r="E2499" t="str">
        <f>_xll.BDP("972836BB Muni","COUNTY_LOCATION_ISSUER")</f>
        <v>#N/A Requesting Data...</v>
      </c>
      <c r="F2499" t="str">
        <f>_xll.BDP("972836BB Muni","DUR_ADJ_MID")</f>
        <v>#N/A Requesting Data...</v>
      </c>
      <c r="G2499" t="str">
        <f>_xll.BDP("972836BB Muni","SPREAD_AT_ISSUANCE_TO_WORST")</f>
        <v>#N/A Requesting Data...</v>
      </c>
      <c r="H2499" t="str">
        <f>_xll.BDP("972836BB Muni","ISSUE_DT")</f>
        <v>#N/A Requesting Data...</v>
      </c>
      <c r="I2499" t="str">
        <f>_xll.BDS("972836BB Muni","MUNI_PURPOSE_SCHED", "aggregate=y")</f>
        <v>#N/A Requesting Data...</v>
      </c>
      <c r="J2499" t="str">
        <f>_xll.BDP("972836BB Muni","CPN")</f>
        <v>#N/A Requesting Data...</v>
      </c>
      <c r="K2499" t="str">
        <f>_xll.BDP("972836BB Muni","MATURITY")</f>
        <v>#N/A Requesting Data...</v>
      </c>
      <c r="L2499">
        <v>95000</v>
      </c>
      <c r="M2499" t="str">
        <f>_xll.BDP("972836BB Muni","YIELD_ON_ISSUE_DATE")</f>
        <v>#N/A Requesting Data...</v>
      </c>
      <c r="N2499" t="str">
        <f>_xll.BDP("972836BB Muni","YTW_SPREAD_TO_MATURITY_AT_ISSU")</f>
        <v>#N/A Requesting Data...</v>
      </c>
      <c r="O2499" t="str">
        <f>_xll.BDP("972836BB Muni","BVAL_MID_YTM")</f>
        <v>#N/A Requesting Data...</v>
      </c>
      <c r="P2499" t="str">
        <f>_xll.BDP("972836BB Muni","MUNI_TAX_PROV")</f>
        <v>#N/A Requesting Data...</v>
      </c>
      <c r="Q2499" t="str">
        <f>_xll.BDP("972836BB Muni","MUNI_FED_TAX")</f>
        <v>#N/A Requesting Data...</v>
      </c>
      <c r="R2499" t="str">
        <f>_xll.BDP("972836BB Muni","MUNI_MSRB_VOLUME")</f>
        <v>#N/A Requesting Data...</v>
      </c>
      <c r="S2499" t="str">
        <f>_xll.BDP("972836BB Muni","BB_COMPOSITE")</f>
        <v>#N/A Requesting Data...</v>
      </c>
      <c r="T2499" t="str">
        <f>_xll.BDP("972836BB Muni","LQA_LIQUIDITY_SCORE")</f>
        <v>#N/A Requesting Data...</v>
      </c>
    </row>
    <row r="2500" spans="1:20" x14ac:dyDescent="0.25">
      <c r="A2500" t="str">
        <f>_xll.BDP("902354KA Muni","ID_CUSIP")</f>
        <v>#N/A Requesting Data...</v>
      </c>
      <c r="B2500" t="s">
        <v>579</v>
      </c>
      <c r="C2500" t="str">
        <f>_xll.BDP("902354KA Muni","INSURANCE_STATUS")</f>
        <v>#N/A Requesting Data...</v>
      </c>
      <c r="D2500" t="str">
        <f>_xll.BDP("902354KA Muni","STATE_CODE")</f>
        <v>#N/A Requesting Data...</v>
      </c>
      <c r="E2500" t="str">
        <f>_xll.BDP("902354KA Muni","COUNTY_LOCATION_ISSUER")</f>
        <v>#N/A Requesting Data...</v>
      </c>
      <c r="F2500" t="str">
        <f>_xll.BDP("902354KA Muni","DUR_ADJ_MID")</f>
        <v>#N/A Requesting Data...</v>
      </c>
      <c r="G2500" t="str">
        <f>_xll.BDP("902354KA Muni","SPREAD_AT_ISSUANCE_TO_WORST")</f>
        <v>#N/A Requesting Data...</v>
      </c>
      <c r="H2500" t="str">
        <f>_xll.BDP("902354KA Muni","ISSUE_DT")</f>
        <v>#N/A Requesting Data...</v>
      </c>
      <c r="I2500" t="str">
        <f>_xll.BDS("902354KA Muni","MUNI_PURPOSE_SCHED", "aggregate=y")</f>
        <v>#N/A Requesting Data...</v>
      </c>
      <c r="J2500" t="str">
        <f>_xll.BDP("902354KA Muni","CPN")</f>
        <v>#N/A Requesting Data...</v>
      </c>
      <c r="K2500" t="str">
        <f>_xll.BDP("902354KA Muni","MATURITY")</f>
        <v>#N/A Requesting Data...</v>
      </c>
      <c r="L2500">
        <v>350000</v>
      </c>
      <c r="M2500" t="str">
        <f>_xll.BDP("902354KA Muni","YIELD_ON_ISSUE_DATE")</f>
        <v>#N/A Requesting Data...</v>
      </c>
      <c r="N2500" t="str">
        <f>_xll.BDP("902354KA Muni","YTW_SPREAD_TO_MATURITY_AT_ISSU")</f>
        <v>#N/A Requesting Data...</v>
      </c>
      <c r="O2500" t="str">
        <f>_xll.BDP("902354KA Muni","BVAL_MID_YTM")</f>
        <v>#N/A Requesting Data...</v>
      </c>
      <c r="P2500" t="str">
        <f>_xll.BDP("902354KA Muni","MUNI_TAX_PROV")</f>
        <v>#N/A Requesting Data...</v>
      </c>
      <c r="Q2500" t="str">
        <f>_xll.BDP("902354KA Muni","MUNI_FED_TAX")</f>
        <v>#N/A Requesting Data...</v>
      </c>
      <c r="R2500" t="str">
        <f>_xll.BDP("902354KA Muni","MUNI_MSRB_VOLUME")</f>
        <v>#N/A Requesting Data...</v>
      </c>
      <c r="S2500" t="str">
        <f>_xll.BDP("902354KA Muni","BB_COMPOSITE")</f>
        <v>#N/A Requesting Data...</v>
      </c>
      <c r="T2500" t="str">
        <f>_xll.BDP("902354KA Muni","LQA_LIQUIDITY_SCORE")</f>
        <v>#N/A Requesting Data...</v>
      </c>
    </row>
    <row r="2501" spans="1:20" x14ac:dyDescent="0.25">
      <c r="A2501" t="str">
        <f>_xll.BDP("902354KC Muni","ID_CUSIP")</f>
        <v>#N/A Requesting Data...</v>
      </c>
      <c r="B2501" t="s">
        <v>579</v>
      </c>
      <c r="C2501" t="str">
        <f>_xll.BDP("902354KC Muni","INSURANCE_STATUS")</f>
        <v>#N/A Requesting Data...</v>
      </c>
      <c r="D2501" t="str">
        <f>_xll.BDP("902354KC Muni","STATE_CODE")</f>
        <v>#N/A Requesting Data...</v>
      </c>
      <c r="E2501" t="str">
        <f>_xll.BDP("902354KC Muni","COUNTY_LOCATION_ISSUER")</f>
        <v>#N/A Requesting Data...</v>
      </c>
      <c r="F2501" t="str">
        <f>_xll.BDP("902354KC Muni","DUR_ADJ_MID")</f>
        <v>#N/A Requesting Data...</v>
      </c>
      <c r="G2501" t="str">
        <f>_xll.BDP("902354KC Muni","SPREAD_AT_ISSUANCE_TO_WORST")</f>
        <v>#N/A Requesting Data...</v>
      </c>
      <c r="H2501" t="str">
        <f>_xll.BDP("902354KC Muni","ISSUE_DT")</f>
        <v>#N/A Requesting Data...</v>
      </c>
      <c r="I2501" t="str">
        <f>_xll.BDS("902354KC Muni","MUNI_PURPOSE_SCHED", "aggregate=y")</f>
        <v>#N/A Requesting Data...</v>
      </c>
      <c r="J2501" t="str">
        <f>_xll.BDP("902354KC Muni","CPN")</f>
        <v>#N/A Requesting Data...</v>
      </c>
      <c r="K2501" t="str">
        <f>_xll.BDP("902354KC Muni","MATURITY")</f>
        <v>#N/A Requesting Data...</v>
      </c>
      <c r="L2501">
        <v>370000</v>
      </c>
      <c r="M2501" t="str">
        <f>_xll.BDP("902354KC Muni","YIELD_ON_ISSUE_DATE")</f>
        <v>#N/A Requesting Data...</v>
      </c>
      <c r="N2501" t="str">
        <f>_xll.BDP("902354KC Muni","YTW_SPREAD_TO_MATURITY_AT_ISSU")</f>
        <v>#N/A Requesting Data...</v>
      </c>
      <c r="O2501" t="str">
        <f>_xll.BDP("902354KC Muni","BVAL_MID_YTM")</f>
        <v>#N/A Requesting Data...</v>
      </c>
      <c r="P2501" t="str">
        <f>_xll.BDP("902354KC Muni","MUNI_TAX_PROV")</f>
        <v>#N/A Requesting Data...</v>
      </c>
      <c r="Q2501" t="str">
        <f>_xll.BDP("902354KC Muni","MUNI_FED_TAX")</f>
        <v>#N/A Requesting Data...</v>
      </c>
      <c r="R2501" t="str">
        <f>_xll.BDP("902354KC Muni","MUNI_MSRB_VOLUME")</f>
        <v>#N/A Requesting Data...</v>
      </c>
      <c r="S2501" t="str">
        <f>_xll.BDP("902354KC Muni","BB_COMPOSITE")</f>
        <v>#N/A Requesting Data...</v>
      </c>
      <c r="T2501" t="str">
        <f>_xll.BDP("902354KC Muni","LQA_LIQUIDITY_SCORE")</f>
        <v>#N/A Requesting Data...</v>
      </c>
    </row>
    <row r="2502" spans="1:20" x14ac:dyDescent="0.25">
      <c r="A2502" t="str">
        <f>_xll.BDP("902354KD Muni","ID_CUSIP")</f>
        <v>#N/A Requesting Data...</v>
      </c>
      <c r="B2502" t="s">
        <v>579</v>
      </c>
      <c r="C2502" t="str">
        <f>_xll.BDP("902354KD Muni","INSURANCE_STATUS")</f>
        <v>#N/A Requesting Data...</v>
      </c>
      <c r="D2502" t="str">
        <f>_xll.BDP("902354KD Muni","STATE_CODE")</f>
        <v>#N/A Requesting Data...</v>
      </c>
      <c r="E2502" t="str">
        <f>_xll.BDP("902354KD Muni","COUNTY_LOCATION_ISSUER")</f>
        <v>#N/A Requesting Data...</v>
      </c>
      <c r="F2502" t="str">
        <f>_xll.BDP("902354KD Muni","DUR_ADJ_MID")</f>
        <v>#N/A Requesting Data...</v>
      </c>
      <c r="G2502" t="str">
        <f>_xll.BDP("902354KD Muni","SPREAD_AT_ISSUANCE_TO_WORST")</f>
        <v>#N/A Requesting Data...</v>
      </c>
      <c r="H2502" t="str">
        <f>_xll.BDP("902354KD Muni","ISSUE_DT")</f>
        <v>#N/A Requesting Data...</v>
      </c>
      <c r="I2502" t="str">
        <f>_xll.BDS("902354KD Muni","MUNI_PURPOSE_SCHED", "aggregate=y")</f>
        <v>#N/A Requesting Data...</v>
      </c>
      <c r="J2502" t="str">
        <f>_xll.BDP("902354KD Muni","CPN")</f>
        <v>#N/A Requesting Data...</v>
      </c>
      <c r="K2502" t="str">
        <f>_xll.BDP("902354KD Muni","MATURITY")</f>
        <v>#N/A Requesting Data...</v>
      </c>
      <c r="L2502">
        <v>385000</v>
      </c>
      <c r="M2502" t="str">
        <f>_xll.BDP("902354KD Muni","YIELD_ON_ISSUE_DATE")</f>
        <v>#N/A Requesting Data...</v>
      </c>
      <c r="N2502" t="str">
        <f>_xll.BDP("902354KD Muni","YTW_SPREAD_TO_MATURITY_AT_ISSU")</f>
        <v>#N/A Requesting Data...</v>
      </c>
      <c r="O2502" t="str">
        <f>_xll.BDP("902354KD Muni","BVAL_MID_YTM")</f>
        <v>#N/A Requesting Data...</v>
      </c>
      <c r="P2502" t="str">
        <f>_xll.BDP("902354KD Muni","MUNI_TAX_PROV")</f>
        <v>#N/A Requesting Data...</v>
      </c>
      <c r="Q2502" t="str">
        <f>_xll.BDP("902354KD Muni","MUNI_FED_TAX")</f>
        <v>#N/A Requesting Data...</v>
      </c>
      <c r="R2502" t="str">
        <f>_xll.BDP("902354KD Muni","MUNI_MSRB_VOLUME")</f>
        <v>#N/A Requesting Data...</v>
      </c>
      <c r="S2502" t="str">
        <f>_xll.BDP("902354KD Muni","BB_COMPOSITE")</f>
        <v>#N/A Requesting Data...</v>
      </c>
      <c r="T2502" t="str">
        <f>_xll.BDP("902354KD Muni","LQA_LIQUIDITY_SCORE")</f>
        <v>#N/A Requesting Data...</v>
      </c>
    </row>
    <row r="2503" spans="1:20" x14ac:dyDescent="0.25">
      <c r="A2503" t="str">
        <f>_xll.BDP("902354KE Muni","ID_CUSIP")</f>
        <v>#N/A Requesting Data...</v>
      </c>
      <c r="B2503" t="s">
        <v>579</v>
      </c>
      <c r="C2503" t="str">
        <f>_xll.BDP("902354KE Muni","INSURANCE_STATUS")</f>
        <v>#N/A Requesting Data...</v>
      </c>
      <c r="D2503" t="str">
        <f>_xll.BDP("902354KE Muni","STATE_CODE")</f>
        <v>#N/A Requesting Data...</v>
      </c>
      <c r="E2503" t="str">
        <f>_xll.BDP("902354KE Muni","COUNTY_LOCATION_ISSUER")</f>
        <v>#N/A Requesting Data...</v>
      </c>
      <c r="F2503" t="str">
        <f>_xll.BDP("902354KE Muni","DUR_ADJ_MID")</f>
        <v>#N/A Requesting Data...</v>
      </c>
      <c r="G2503" t="str">
        <f>_xll.BDP("902354KE Muni","SPREAD_AT_ISSUANCE_TO_WORST")</f>
        <v>#N/A Requesting Data...</v>
      </c>
      <c r="H2503" t="str">
        <f>_xll.BDP("902354KE Muni","ISSUE_DT")</f>
        <v>#N/A Requesting Data...</v>
      </c>
      <c r="I2503" t="str">
        <f>_xll.BDS("902354KE Muni","MUNI_PURPOSE_SCHED", "aggregate=y")</f>
        <v>#N/A Requesting Data...</v>
      </c>
      <c r="J2503" t="str">
        <f>_xll.BDP("902354KE Muni","CPN")</f>
        <v>#N/A Requesting Data...</v>
      </c>
      <c r="K2503" t="str">
        <f>_xll.BDP("902354KE Muni","MATURITY")</f>
        <v>#N/A Requesting Data...</v>
      </c>
      <c r="L2503">
        <v>400000</v>
      </c>
      <c r="M2503" t="str">
        <f>_xll.BDP("902354KE Muni","YIELD_ON_ISSUE_DATE")</f>
        <v>#N/A Requesting Data...</v>
      </c>
      <c r="N2503" t="str">
        <f>_xll.BDP("902354KE Muni","YTW_SPREAD_TO_MATURITY_AT_ISSU")</f>
        <v>#N/A Requesting Data...</v>
      </c>
      <c r="O2503" t="str">
        <f>_xll.BDP("902354KE Muni","BVAL_MID_YTM")</f>
        <v>#N/A Requesting Data...</v>
      </c>
      <c r="P2503" t="str">
        <f>_xll.BDP("902354KE Muni","MUNI_TAX_PROV")</f>
        <v>#N/A Requesting Data...</v>
      </c>
      <c r="Q2503" t="str">
        <f>_xll.BDP("902354KE Muni","MUNI_FED_TAX")</f>
        <v>#N/A Requesting Data...</v>
      </c>
      <c r="R2503" t="str">
        <f>_xll.BDP("902354KE Muni","MUNI_MSRB_VOLUME")</f>
        <v>#N/A Requesting Data...</v>
      </c>
      <c r="S2503" t="str">
        <f>_xll.BDP("902354KE Muni","BB_COMPOSITE")</f>
        <v>#N/A Requesting Data...</v>
      </c>
      <c r="T2503" t="str">
        <f>_xll.BDP("902354KE Muni","LQA_LIQUIDITY_SCORE")</f>
        <v>#N/A Requesting Data...</v>
      </c>
    </row>
    <row r="2504" spans="1:20" x14ac:dyDescent="0.25">
      <c r="A2504" t="str">
        <f>_xll.BDP("902354KF Muni","ID_CUSIP")</f>
        <v>#N/A Requesting Data...</v>
      </c>
      <c r="B2504" t="s">
        <v>579</v>
      </c>
      <c r="C2504" t="str">
        <f>_xll.BDP("902354KF Muni","INSURANCE_STATUS")</f>
        <v>#N/A Requesting Data...</v>
      </c>
      <c r="D2504" t="str">
        <f>_xll.BDP("902354KF Muni","STATE_CODE")</f>
        <v>#N/A Requesting Data...</v>
      </c>
      <c r="E2504" t="str">
        <f>_xll.BDP("902354KF Muni","COUNTY_LOCATION_ISSUER")</f>
        <v>#N/A Requesting Data...</v>
      </c>
      <c r="F2504" t="str">
        <f>_xll.BDP("902354KF Muni","DUR_ADJ_MID")</f>
        <v>#N/A Requesting Data...</v>
      </c>
      <c r="G2504" t="str">
        <f>_xll.BDP("902354KF Muni","SPREAD_AT_ISSUANCE_TO_WORST")</f>
        <v>#N/A Requesting Data...</v>
      </c>
      <c r="H2504" t="str">
        <f>_xll.BDP("902354KF Muni","ISSUE_DT")</f>
        <v>#N/A Requesting Data...</v>
      </c>
      <c r="I2504" t="str">
        <f>_xll.BDS("902354KF Muni","MUNI_PURPOSE_SCHED", "aggregate=y")</f>
        <v>#N/A Requesting Data...</v>
      </c>
      <c r="J2504" t="str">
        <f>_xll.BDP("902354KF Muni","CPN")</f>
        <v>#N/A Requesting Data...</v>
      </c>
      <c r="K2504" t="str">
        <f>_xll.BDP("902354KF Muni","MATURITY")</f>
        <v>#N/A Requesting Data...</v>
      </c>
      <c r="L2504">
        <v>420000</v>
      </c>
      <c r="M2504" t="str">
        <f>_xll.BDP("902354KF Muni","YIELD_ON_ISSUE_DATE")</f>
        <v>#N/A Requesting Data...</v>
      </c>
      <c r="N2504" t="str">
        <f>_xll.BDP("902354KF Muni","YTW_SPREAD_TO_MATURITY_AT_ISSU")</f>
        <v>#N/A Requesting Data...</v>
      </c>
      <c r="O2504" t="str">
        <f>_xll.BDP("902354KF Muni","BVAL_MID_YTM")</f>
        <v>#N/A Requesting Data...</v>
      </c>
      <c r="P2504" t="str">
        <f>_xll.BDP("902354KF Muni","MUNI_TAX_PROV")</f>
        <v>#N/A Requesting Data...</v>
      </c>
      <c r="Q2504" t="str">
        <f>_xll.BDP("902354KF Muni","MUNI_FED_TAX")</f>
        <v>#N/A Requesting Data...</v>
      </c>
      <c r="R2504" t="str">
        <f>_xll.BDP("902354KF Muni","MUNI_MSRB_VOLUME")</f>
        <v>#N/A Requesting Data...</v>
      </c>
      <c r="S2504" t="str">
        <f>_xll.BDP("902354KF Muni","BB_COMPOSITE")</f>
        <v>#N/A Requesting Data...</v>
      </c>
      <c r="T2504" t="str">
        <f>_xll.BDP("902354KF Muni","LQA_LIQUIDITY_SCORE")</f>
        <v>#N/A Requesting Data...</v>
      </c>
    </row>
    <row r="2505" spans="1:20" x14ac:dyDescent="0.25">
      <c r="A2505" t="str">
        <f>_xll.BDP("972836BA Muni","ID_CUSIP")</f>
        <v>#N/A Requesting Data...</v>
      </c>
      <c r="B2505" t="s">
        <v>581</v>
      </c>
      <c r="C2505" t="str">
        <f>_xll.BDP("972836BA Muni","INSURANCE_STATUS")</f>
        <v>#N/A Requesting Data...</v>
      </c>
      <c r="D2505" t="str">
        <f>_xll.BDP("972836BA Muni","STATE_CODE")</f>
        <v>#N/A Requesting Data...</v>
      </c>
      <c r="E2505" t="str">
        <f>_xll.BDP("972836BA Muni","COUNTY_LOCATION_ISSUER")</f>
        <v>#N/A Requesting Data...</v>
      </c>
      <c r="F2505" t="str">
        <f>_xll.BDP("972836BA Muni","DUR_ADJ_MID")</f>
        <v>#N/A Requesting Data...</v>
      </c>
      <c r="G2505" t="str">
        <f>_xll.BDP("972836BA Muni","SPREAD_AT_ISSUANCE_TO_WORST")</f>
        <v>#N/A Requesting Data...</v>
      </c>
      <c r="H2505" t="str">
        <f>_xll.BDP("972836BA Muni","ISSUE_DT")</f>
        <v>#N/A Requesting Data...</v>
      </c>
      <c r="I2505" t="str">
        <f>_xll.BDS("972836BA Muni","MUNI_PURPOSE_SCHED", "aggregate=y")</f>
        <v>#N/A Requesting Data...</v>
      </c>
      <c r="J2505" t="str">
        <f>_xll.BDP("972836BA Muni","CPN")</f>
        <v>#N/A Requesting Data...</v>
      </c>
      <c r="K2505" t="str">
        <f>_xll.BDP("972836BA Muni","MATURITY")</f>
        <v>#N/A Requesting Data...</v>
      </c>
      <c r="L2505">
        <v>95000</v>
      </c>
      <c r="M2505" t="str">
        <f>_xll.BDP("972836BA Muni","YIELD_ON_ISSUE_DATE")</f>
        <v>#N/A Requesting Data...</v>
      </c>
      <c r="N2505" t="str">
        <f>_xll.BDP("972836BA Muni","YTW_SPREAD_TO_MATURITY_AT_ISSU")</f>
        <v>#N/A Requesting Data...</v>
      </c>
      <c r="O2505" t="str">
        <f>_xll.BDP("972836BA Muni","BVAL_MID_YTM")</f>
        <v>#N/A Requesting Data...</v>
      </c>
      <c r="P2505" t="str">
        <f>_xll.BDP("972836BA Muni","MUNI_TAX_PROV")</f>
        <v>#N/A Requesting Data...</v>
      </c>
      <c r="Q2505" t="str">
        <f>_xll.BDP("972836BA Muni","MUNI_FED_TAX")</f>
        <v>#N/A Requesting Data...</v>
      </c>
      <c r="R2505" t="str">
        <f>_xll.BDP("972836BA Muni","MUNI_MSRB_VOLUME")</f>
        <v>#N/A Requesting Data...</v>
      </c>
      <c r="S2505" t="str">
        <f>_xll.BDP("972836BA Muni","BB_COMPOSITE")</f>
        <v>#N/A Requesting Data...</v>
      </c>
      <c r="T2505" t="str">
        <f>_xll.BDP("972836BA Muni","LQA_LIQUIDITY_SCORE")</f>
        <v>#N/A Requesting Data...</v>
      </c>
    </row>
    <row r="2506" spans="1:20" x14ac:dyDescent="0.25">
      <c r="A2506" t="str">
        <f>_xll.BDP("972836BC Muni","ID_CUSIP")</f>
        <v>#N/A Requesting Data...</v>
      </c>
      <c r="B2506" t="s">
        <v>581</v>
      </c>
      <c r="C2506" t="str">
        <f>_xll.BDP("972836BC Muni","INSURANCE_STATUS")</f>
        <v>#N/A Requesting Data...</v>
      </c>
      <c r="D2506" t="str">
        <f>_xll.BDP("972836BC Muni","STATE_CODE")</f>
        <v>#N/A Requesting Data...</v>
      </c>
      <c r="E2506" t="str">
        <f>_xll.BDP("972836BC Muni","COUNTY_LOCATION_ISSUER")</f>
        <v>#N/A Requesting Data...</v>
      </c>
      <c r="F2506" t="str">
        <f>_xll.BDP("972836BC Muni","DUR_ADJ_MID")</f>
        <v>#N/A Requesting Data...</v>
      </c>
      <c r="G2506" t="str">
        <f>_xll.BDP("972836BC Muni","SPREAD_AT_ISSUANCE_TO_WORST")</f>
        <v>#N/A Requesting Data...</v>
      </c>
      <c r="H2506" t="str">
        <f>_xll.BDP("972836BC Muni","ISSUE_DT")</f>
        <v>#N/A Requesting Data...</v>
      </c>
      <c r="I2506" t="str">
        <f>_xll.BDS("972836BC Muni","MUNI_PURPOSE_SCHED", "aggregate=y")</f>
        <v>#N/A Requesting Data...</v>
      </c>
      <c r="J2506" t="str">
        <f>_xll.BDP("972836BC Muni","CPN")</f>
        <v>#N/A Requesting Data...</v>
      </c>
      <c r="K2506" t="str">
        <f>_xll.BDP("972836BC Muni","MATURITY")</f>
        <v>#N/A Requesting Data...</v>
      </c>
      <c r="L2506">
        <v>110000</v>
      </c>
      <c r="M2506" t="str">
        <f>_xll.BDP("972836BC Muni","YIELD_ON_ISSUE_DATE")</f>
        <v>#N/A Requesting Data...</v>
      </c>
      <c r="N2506" t="str">
        <f>_xll.BDP("972836BC Muni","YTW_SPREAD_TO_MATURITY_AT_ISSU")</f>
        <v>#N/A Requesting Data...</v>
      </c>
      <c r="O2506" t="str">
        <f>_xll.BDP("972836BC Muni","BVAL_MID_YTM")</f>
        <v>#N/A Requesting Data...</v>
      </c>
      <c r="P2506" t="str">
        <f>_xll.BDP("972836BC Muni","MUNI_TAX_PROV")</f>
        <v>#N/A Requesting Data...</v>
      </c>
      <c r="Q2506" t="str">
        <f>_xll.BDP("972836BC Muni","MUNI_FED_TAX")</f>
        <v>#N/A Requesting Data...</v>
      </c>
      <c r="R2506" t="str">
        <f>_xll.BDP("972836BC Muni","MUNI_MSRB_VOLUME")</f>
        <v>#N/A Requesting Data...</v>
      </c>
      <c r="S2506" t="str">
        <f>_xll.BDP("972836BC Muni","BB_COMPOSITE")</f>
        <v>#N/A Requesting Data...</v>
      </c>
      <c r="T2506" t="str">
        <f>_xll.BDP("972836BC Muni","LQA_LIQUIDITY_SCORE")</f>
        <v>#N/A Requesting Data...</v>
      </c>
    </row>
    <row r="2507" spans="1:20" x14ac:dyDescent="0.25">
      <c r="A2507" t="str">
        <f>_xll.BDP("972836BD Muni","ID_CUSIP")</f>
        <v>#N/A Requesting Data...</v>
      </c>
      <c r="B2507" t="s">
        <v>581</v>
      </c>
      <c r="C2507" t="str">
        <f>_xll.BDP("972836BD Muni","INSURANCE_STATUS")</f>
        <v>#N/A Requesting Data...</v>
      </c>
      <c r="D2507" t="str">
        <f>_xll.BDP("972836BD Muni","STATE_CODE")</f>
        <v>#N/A Requesting Data...</v>
      </c>
      <c r="E2507" t="str">
        <f>_xll.BDP("972836BD Muni","COUNTY_LOCATION_ISSUER")</f>
        <v>#N/A Requesting Data...</v>
      </c>
      <c r="F2507" t="str">
        <f>_xll.BDP("972836BD Muni","DUR_ADJ_MID")</f>
        <v>#N/A Requesting Data...</v>
      </c>
      <c r="G2507" t="str">
        <f>_xll.BDP("972836BD Muni","SPREAD_AT_ISSUANCE_TO_WORST")</f>
        <v>#N/A Requesting Data...</v>
      </c>
      <c r="H2507" t="str">
        <f>_xll.BDP("972836BD Muni","ISSUE_DT")</f>
        <v>#N/A Requesting Data...</v>
      </c>
      <c r="I2507" t="str">
        <f>_xll.BDS("972836BD Muni","MUNI_PURPOSE_SCHED", "aggregate=y")</f>
        <v>#N/A Requesting Data...</v>
      </c>
      <c r="J2507" t="str">
        <f>_xll.BDP("972836BD Muni","CPN")</f>
        <v>#N/A Requesting Data...</v>
      </c>
      <c r="K2507" t="str">
        <f>_xll.BDP("972836BD Muni","MATURITY")</f>
        <v>#N/A Requesting Data...</v>
      </c>
      <c r="L2507">
        <v>120000</v>
      </c>
      <c r="M2507" t="str">
        <f>_xll.BDP("972836BD Muni","YIELD_ON_ISSUE_DATE")</f>
        <v>#N/A Requesting Data...</v>
      </c>
      <c r="N2507" t="str">
        <f>_xll.BDP("972836BD Muni","YTW_SPREAD_TO_MATURITY_AT_ISSU")</f>
        <v>#N/A Requesting Data...</v>
      </c>
      <c r="O2507" t="str">
        <f>_xll.BDP("972836BD Muni","BVAL_MID_YTM")</f>
        <v>#N/A Requesting Data...</v>
      </c>
      <c r="P2507" t="str">
        <f>_xll.BDP("972836BD Muni","MUNI_TAX_PROV")</f>
        <v>#N/A Requesting Data...</v>
      </c>
      <c r="Q2507" t="str">
        <f>_xll.BDP("972836BD Muni","MUNI_FED_TAX")</f>
        <v>#N/A Requesting Data...</v>
      </c>
      <c r="R2507" t="str">
        <f>_xll.BDP("972836BD Muni","MUNI_MSRB_VOLUME")</f>
        <v>#N/A Requesting Data...</v>
      </c>
      <c r="S2507" t="str">
        <f>_xll.BDP("972836BD Muni","BB_COMPOSITE")</f>
        <v>#N/A Requesting Data...</v>
      </c>
      <c r="T2507" t="str">
        <f>_xll.BDP("972836BD Muni","LQA_LIQUIDITY_SCORE")</f>
        <v>#N/A Requesting Data...</v>
      </c>
    </row>
    <row r="2508" spans="1:20" x14ac:dyDescent="0.25">
      <c r="A2508" t="str">
        <f>_xll.BDP("972836BE Muni","ID_CUSIP")</f>
        <v>#N/A Requesting Data...</v>
      </c>
      <c r="B2508" t="s">
        <v>581</v>
      </c>
      <c r="C2508" t="str">
        <f>_xll.BDP("972836BE Muni","INSURANCE_STATUS")</f>
        <v>#N/A Requesting Data...</v>
      </c>
      <c r="D2508" t="str">
        <f>_xll.BDP("972836BE Muni","STATE_CODE")</f>
        <v>#N/A Requesting Data...</v>
      </c>
      <c r="E2508" t="str">
        <f>_xll.BDP("972836BE Muni","COUNTY_LOCATION_ISSUER")</f>
        <v>#N/A Requesting Data...</v>
      </c>
      <c r="F2508" t="str">
        <f>_xll.BDP("972836BE Muni","DUR_ADJ_MID")</f>
        <v>#N/A Requesting Data...</v>
      </c>
      <c r="G2508" t="str">
        <f>_xll.BDP("972836BE Muni","SPREAD_AT_ISSUANCE_TO_WORST")</f>
        <v>#N/A Requesting Data...</v>
      </c>
      <c r="H2508" t="str">
        <f>_xll.BDP("972836BE Muni","ISSUE_DT")</f>
        <v>#N/A Requesting Data...</v>
      </c>
      <c r="I2508" t="str">
        <f>_xll.BDS("972836BE Muni","MUNI_PURPOSE_SCHED", "aggregate=y")</f>
        <v>#N/A Requesting Data...</v>
      </c>
      <c r="J2508" t="str">
        <f>_xll.BDP("972836BE Muni","CPN")</f>
        <v>#N/A Requesting Data...</v>
      </c>
      <c r="K2508" t="str">
        <f>_xll.BDP("972836BE Muni","MATURITY")</f>
        <v>#N/A Requesting Data...</v>
      </c>
      <c r="L2508">
        <v>130000</v>
      </c>
      <c r="M2508" t="str">
        <f>_xll.BDP("972836BE Muni","YIELD_ON_ISSUE_DATE")</f>
        <v>#N/A Requesting Data...</v>
      </c>
      <c r="N2508" t="str">
        <f>_xll.BDP("972836BE Muni","YTW_SPREAD_TO_MATURITY_AT_ISSU")</f>
        <v>#N/A Requesting Data...</v>
      </c>
      <c r="O2508" t="str">
        <f>_xll.BDP("972836BE Muni","BVAL_MID_YTM")</f>
        <v>#N/A Requesting Data...</v>
      </c>
      <c r="P2508" t="str">
        <f>_xll.BDP("972836BE Muni","MUNI_TAX_PROV")</f>
        <v>#N/A Requesting Data...</v>
      </c>
      <c r="Q2508" t="str">
        <f>_xll.BDP("972836BE Muni","MUNI_FED_TAX")</f>
        <v>#N/A Requesting Data...</v>
      </c>
      <c r="R2508" t="str">
        <f>_xll.BDP("972836BE Muni","MUNI_MSRB_VOLUME")</f>
        <v>#N/A Requesting Data...</v>
      </c>
      <c r="S2508" t="str">
        <f>_xll.BDP("972836BE Muni","BB_COMPOSITE")</f>
        <v>#N/A Requesting Data...</v>
      </c>
      <c r="T2508" t="str">
        <f>_xll.BDP("972836BE Muni","LQA_LIQUIDITY_SCORE")</f>
        <v>#N/A Requesting Data...</v>
      </c>
    </row>
    <row r="2509" spans="1:20" x14ac:dyDescent="0.25">
      <c r="A2509" t="str">
        <f>_xll.BDP("974722EV Muni","ID_CUSIP")</f>
        <v>#N/A Requesting Data...</v>
      </c>
      <c r="B2509" t="s">
        <v>582</v>
      </c>
      <c r="C2509" t="str">
        <f>_xll.BDP("974722EV Muni","INSURANCE_STATUS")</f>
        <v>#N/A Requesting Data...</v>
      </c>
      <c r="D2509" t="str">
        <f>_xll.BDP("974722EV Muni","STATE_CODE")</f>
        <v>#N/A Requesting Data...</v>
      </c>
      <c r="E2509" t="str">
        <f>_xll.BDP("974722EV Muni","COUNTY_LOCATION_ISSUER")</f>
        <v>#N/A Requesting Data...</v>
      </c>
      <c r="F2509" t="str">
        <f>_xll.BDP("974722EV Muni","DUR_ADJ_MID")</f>
        <v>#N/A Requesting Data...</v>
      </c>
      <c r="G2509" t="str">
        <f>_xll.BDP("974722EV Muni","SPREAD_AT_ISSUANCE_TO_WORST")</f>
        <v>#N/A Requesting Data...</v>
      </c>
      <c r="H2509" t="str">
        <f>_xll.BDP("974722EV Muni","ISSUE_DT")</f>
        <v>#N/A Requesting Data...</v>
      </c>
      <c r="I2509" t="str">
        <f>_xll.BDS("974722EV Muni","MUNI_PURPOSE_SCHED", "aggregate=y")</f>
        <v>#N/A Requesting Data...</v>
      </c>
      <c r="J2509" t="str">
        <f>_xll.BDP("974722EV Muni","CPN")</f>
        <v>#N/A Requesting Data...</v>
      </c>
      <c r="K2509" t="str">
        <f>_xll.BDP("974722EV Muni","MATURITY")</f>
        <v>#N/A Requesting Data...</v>
      </c>
      <c r="L2509">
        <v>130000</v>
      </c>
      <c r="M2509" t="str">
        <f>_xll.BDP("974722EV Muni","YIELD_ON_ISSUE_DATE")</f>
        <v>#N/A Requesting Data...</v>
      </c>
      <c r="N2509" t="str">
        <f>_xll.BDP("974722EV Muni","YTW_SPREAD_TO_MATURITY_AT_ISSU")</f>
        <v>#N/A Requesting Data...</v>
      </c>
      <c r="O2509" t="str">
        <f>_xll.BDP("974722EV Muni","BVAL_MID_YTM")</f>
        <v>#N/A Requesting Data...</v>
      </c>
      <c r="P2509" t="str">
        <f>_xll.BDP("974722EV Muni","MUNI_TAX_PROV")</f>
        <v>#N/A Requesting Data...</v>
      </c>
      <c r="Q2509" t="str">
        <f>_xll.BDP("974722EV Muni","MUNI_FED_TAX")</f>
        <v>#N/A Requesting Data...</v>
      </c>
      <c r="R2509" t="str">
        <f>_xll.BDP("974722EV Muni","MUNI_MSRB_VOLUME")</f>
        <v>#N/A Requesting Data...</v>
      </c>
      <c r="S2509" t="str">
        <f>_xll.BDP("974722EV Muni","BB_COMPOSITE")</f>
        <v>#N/A Requesting Data...</v>
      </c>
      <c r="T2509" t="str">
        <f>_xll.BDP("974722EV Muni","LQA_LIQUIDITY_SCORE")</f>
        <v>#N/A Requesting Data...</v>
      </c>
    </row>
    <row r="2510" spans="1:20" x14ac:dyDescent="0.25">
      <c r="A2510" t="str">
        <f>_xll.BDP("974722EX Muni","ID_CUSIP")</f>
        <v>#N/A Requesting Data...</v>
      </c>
      <c r="B2510" t="s">
        <v>582</v>
      </c>
      <c r="C2510" t="str">
        <f>_xll.BDP("974722EX Muni","INSURANCE_STATUS")</f>
        <v>#N/A Requesting Data...</v>
      </c>
      <c r="D2510" t="str">
        <f>_xll.BDP("974722EX Muni","STATE_CODE")</f>
        <v>#N/A Requesting Data...</v>
      </c>
      <c r="E2510" t="str">
        <f>_xll.BDP("974722EX Muni","COUNTY_LOCATION_ISSUER")</f>
        <v>#N/A Requesting Data...</v>
      </c>
      <c r="F2510" t="str">
        <f>_xll.BDP("974722EX Muni","DUR_ADJ_MID")</f>
        <v>#N/A Requesting Data...</v>
      </c>
      <c r="G2510" t="str">
        <f>_xll.BDP("974722EX Muni","SPREAD_AT_ISSUANCE_TO_WORST")</f>
        <v>#N/A Requesting Data...</v>
      </c>
      <c r="H2510" t="str">
        <f>_xll.BDP("974722EX Muni","ISSUE_DT")</f>
        <v>#N/A Requesting Data...</v>
      </c>
      <c r="I2510" t="str">
        <f>_xll.BDS("974722EX Muni","MUNI_PURPOSE_SCHED", "aggregate=y")</f>
        <v>#N/A Requesting Data...</v>
      </c>
      <c r="J2510" t="str">
        <f>_xll.BDP("974722EX Muni","CPN")</f>
        <v>#N/A Requesting Data...</v>
      </c>
      <c r="K2510" t="str">
        <f>_xll.BDP("974722EX Muni","MATURITY")</f>
        <v>#N/A Requesting Data...</v>
      </c>
      <c r="L2510">
        <v>170000</v>
      </c>
      <c r="M2510" t="str">
        <f>_xll.BDP("974722EX Muni","YIELD_ON_ISSUE_DATE")</f>
        <v>#N/A Requesting Data...</v>
      </c>
      <c r="N2510" t="str">
        <f>_xll.BDP("974722EX Muni","YTW_SPREAD_TO_MATURITY_AT_ISSU")</f>
        <v>#N/A Requesting Data...</v>
      </c>
      <c r="O2510" t="str">
        <f>_xll.BDP("974722EX Muni","BVAL_MID_YTM")</f>
        <v>#N/A Requesting Data...</v>
      </c>
      <c r="P2510" t="str">
        <f>_xll.BDP("974722EX Muni","MUNI_TAX_PROV")</f>
        <v>#N/A Requesting Data...</v>
      </c>
      <c r="Q2510" t="str">
        <f>_xll.BDP("974722EX Muni","MUNI_FED_TAX")</f>
        <v>#N/A Requesting Data...</v>
      </c>
      <c r="R2510" t="str">
        <f>_xll.BDP("974722EX Muni","MUNI_MSRB_VOLUME")</f>
        <v>#N/A Requesting Data...</v>
      </c>
      <c r="S2510" t="str">
        <f>_xll.BDP("974722EX Muni","BB_COMPOSITE")</f>
        <v>#N/A Requesting Data...</v>
      </c>
      <c r="T2510" t="str">
        <f>_xll.BDP("974722EX Muni","LQA_LIQUIDITY_SCORE")</f>
        <v>#N/A Requesting Data...</v>
      </c>
    </row>
    <row r="2511" spans="1:20" x14ac:dyDescent="0.25">
      <c r="A2511" t="str">
        <f>_xll.BDP("974722EY Muni","ID_CUSIP")</f>
        <v>#N/A Requesting Data...</v>
      </c>
      <c r="B2511" t="s">
        <v>582</v>
      </c>
      <c r="C2511" t="str">
        <f>_xll.BDP("974722EY Muni","INSURANCE_STATUS")</f>
        <v>#N/A Requesting Data...</v>
      </c>
      <c r="D2511" t="str">
        <f>_xll.BDP("974722EY Muni","STATE_CODE")</f>
        <v>#N/A Requesting Data...</v>
      </c>
      <c r="E2511" t="str">
        <f>_xll.BDP("974722EY Muni","COUNTY_LOCATION_ISSUER")</f>
        <v>#N/A Requesting Data...</v>
      </c>
      <c r="F2511" t="str">
        <f>_xll.BDP("974722EY Muni","DUR_ADJ_MID")</f>
        <v>#N/A Requesting Data...</v>
      </c>
      <c r="G2511" t="str">
        <f>_xll.BDP("974722EY Muni","SPREAD_AT_ISSUANCE_TO_WORST")</f>
        <v>#N/A Requesting Data...</v>
      </c>
      <c r="H2511" t="str">
        <f>_xll.BDP("974722EY Muni","ISSUE_DT")</f>
        <v>#N/A Requesting Data...</v>
      </c>
      <c r="I2511" t="str">
        <f>_xll.BDS("974722EY Muni","MUNI_PURPOSE_SCHED", "aggregate=y")</f>
        <v>#N/A Requesting Data...</v>
      </c>
      <c r="J2511" t="str">
        <f>_xll.BDP("974722EY Muni","CPN")</f>
        <v>#N/A Requesting Data...</v>
      </c>
      <c r="K2511" t="str">
        <f>_xll.BDP("974722EY Muni","MATURITY")</f>
        <v>#N/A Requesting Data...</v>
      </c>
      <c r="L2511">
        <v>165000</v>
      </c>
      <c r="M2511" t="str">
        <f>_xll.BDP("974722EY Muni","YIELD_ON_ISSUE_DATE")</f>
        <v>#N/A Requesting Data...</v>
      </c>
      <c r="N2511" t="str">
        <f>_xll.BDP("974722EY Muni","YTW_SPREAD_TO_MATURITY_AT_ISSU")</f>
        <v>#N/A Requesting Data...</v>
      </c>
      <c r="O2511" t="str">
        <f>_xll.BDP("974722EY Muni","BVAL_MID_YTM")</f>
        <v>#N/A Requesting Data...</v>
      </c>
      <c r="P2511" t="str">
        <f>_xll.BDP("974722EY Muni","MUNI_TAX_PROV")</f>
        <v>#N/A Requesting Data...</v>
      </c>
      <c r="Q2511" t="str">
        <f>_xll.BDP("974722EY Muni","MUNI_FED_TAX")</f>
        <v>#N/A Requesting Data...</v>
      </c>
      <c r="R2511" t="str">
        <f>_xll.BDP("974722EY Muni","MUNI_MSRB_VOLUME")</f>
        <v>#N/A Requesting Data...</v>
      </c>
      <c r="S2511" t="str">
        <f>_xll.BDP("974722EY Muni","BB_COMPOSITE")</f>
        <v>#N/A Requesting Data...</v>
      </c>
      <c r="T2511" t="str">
        <f>_xll.BDP("974722EY Muni","LQA_LIQUIDITY_SCORE")</f>
        <v>#N/A Requesting Data...</v>
      </c>
    </row>
    <row r="2512" spans="1:20" x14ac:dyDescent="0.25">
      <c r="A2512" t="str">
        <f>_xll.BDP("989726BR Muni","ID_CUSIP")</f>
        <v>#N/A Requesting Data...</v>
      </c>
      <c r="B2512" t="s">
        <v>566</v>
      </c>
      <c r="C2512" t="str">
        <f>_xll.BDP("989726BR Muni","INSURANCE_STATUS")</f>
        <v>#N/A Requesting Data...</v>
      </c>
      <c r="D2512" t="str">
        <f>_xll.BDP("989726BR Muni","STATE_CODE")</f>
        <v>#N/A Requesting Data...</v>
      </c>
      <c r="E2512" t="str">
        <f>_xll.BDP("989726BR Muni","COUNTY_LOCATION_ISSUER")</f>
        <v>#N/A Requesting Data...</v>
      </c>
      <c r="F2512" t="str">
        <f>_xll.BDP("989726BR Muni","DUR_ADJ_MID")</f>
        <v>#N/A Requesting Data...</v>
      </c>
      <c r="G2512" t="str">
        <f>_xll.BDP("989726BR Muni","SPREAD_AT_ISSUANCE_TO_WORST")</f>
        <v>#N/A Requesting Data...</v>
      </c>
      <c r="H2512" t="str">
        <f>_xll.BDP("989726BR Muni","ISSUE_DT")</f>
        <v>#N/A Requesting Data...</v>
      </c>
      <c r="I2512" t="str">
        <f>_xll.BDS("989726BR Muni","MUNI_PURPOSE_SCHED", "aggregate=y")</f>
        <v>#N/A Requesting Data...</v>
      </c>
      <c r="J2512" t="str">
        <f>_xll.BDP("989726BR Muni","CPN")</f>
        <v>#N/A Requesting Data...</v>
      </c>
      <c r="K2512" t="str">
        <f>_xll.BDP("989726BR Muni","MATURITY")</f>
        <v>#N/A Requesting Data...</v>
      </c>
      <c r="L2512">
        <v>70000</v>
      </c>
      <c r="M2512" t="str">
        <f>_xll.BDP("989726BR Muni","YIELD_ON_ISSUE_DATE")</f>
        <v>#N/A Requesting Data...</v>
      </c>
      <c r="N2512" t="str">
        <f>_xll.BDP("989726BR Muni","YTW_SPREAD_TO_MATURITY_AT_ISSU")</f>
        <v>#N/A Requesting Data...</v>
      </c>
      <c r="O2512" t="str">
        <f>_xll.BDP("989726BR Muni","BVAL_MID_YTM")</f>
        <v>#N/A Requesting Data...</v>
      </c>
      <c r="P2512" t="str">
        <f>_xll.BDP("989726BR Muni","MUNI_TAX_PROV")</f>
        <v>#N/A Requesting Data...</v>
      </c>
      <c r="Q2512" t="str">
        <f>_xll.BDP("989726BR Muni","MUNI_FED_TAX")</f>
        <v>#N/A Requesting Data...</v>
      </c>
      <c r="R2512" t="str">
        <f>_xll.BDP("989726BR Muni","MUNI_MSRB_VOLUME")</f>
        <v>#N/A Requesting Data...</v>
      </c>
      <c r="S2512" t="str">
        <f>_xll.BDP("989726BR Muni","BB_COMPOSITE")</f>
        <v>#N/A Requesting Data...</v>
      </c>
      <c r="T2512" t="str">
        <f>_xll.BDP("989726BR Muni","LQA_LIQUIDITY_SCORE")</f>
        <v>#N/A Requesting Data...</v>
      </c>
    </row>
    <row r="2513" spans="1:20" x14ac:dyDescent="0.25">
      <c r="A2513" t="str">
        <f>_xll.BDP("989726BZ Muni","ID_CUSIP")</f>
        <v>#N/A Requesting Data...</v>
      </c>
      <c r="B2513" t="s">
        <v>566</v>
      </c>
      <c r="C2513" t="str">
        <f>_xll.BDP("989726BZ Muni","INSURANCE_STATUS")</f>
        <v>#N/A Requesting Data...</v>
      </c>
      <c r="D2513" t="str">
        <f>_xll.BDP("989726BZ Muni","STATE_CODE")</f>
        <v>#N/A Requesting Data...</v>
      </c>
      <c r="E2513" t="str">
        <f>_xll.BDP("989726BZ Muni","COUNTY_LOCATION_ISSUER")</f>
        <v>#N/A Requesting Data...</v>
      </c>
      <c r="F2513" t="str">
        <f>_xll.BDP("989726BZ Muni","DUR_ADJ_MID")</f>
        <v>#N/A Requesting Data...</v>
      </c>
      <c r="G2513" t="str">
        <f>_xll.BDP("989726BZ Muni","SPREAD_AT_ISSUANCE_TO_WORST")</f>
        <v>#N/A Requesting Data...</v>
      </c>
      <c r="H2513" t="str">
        <f>_xll.BDP("989726BZ Muni","ISSUE_DT")</f>
        <v>#N/A Requesting Data...</v>
      </c>
      <c r="I2513" t="str">
        <f>_xll.BDS("989726BZ Muni","MUNI_PURPOSE_SCHED", "aggregate=y")</f>
        <v>#N/A Requesting Data...</v>
      </c>
      <c r="J2513" t="str">
        <f>_xll.BDP("989726BZ Muni","CPN")</f>
        <v>#N/A Requesting Data...</v>
      </c>
      <c r="K2513" t="str">
        <f>_xll.BDP("989726BZ Muni","MATURITY")</f>
        <v>#N/A Requesting Data...</v>
      </c>
      <c r="L2513">
        <v>80000</v>
      </c>
      <c r="M2513" t="str">
        <f>_xll.BDP("989726BZ Muni","YIELD_ON_ISSUE_DATE")</f>
        <v>#N/A Requesting Data...</v>
      </c>
      <c r="N2513" t="str">
        <f>_xll.BDP("989726BZ Muni","YTW_SPREAD_TO_MATURITY_AT_ISSU")</f>
        <v>#N/A Requesting Data...</v>
      </c>
      <c r="O2513" t="str">
        <f>_xll.BDP("989726BZ Muni","BVAL_MID_YTM")</f>
        <v>#N/A Requesting Data...</v>
      </c>
      <c r="P2513" t="str">
        <f>_xll.BDP("989726BZ Muni","MUNI_TAX_PROV")</f>
        <v>#N/A Requesting Data...</v>
      </c>
      <c r="Q2513" t="str">
        <f>_xll.BDP("989726BZ Muni","MUNI_FED_TAX")</f>
        <v>#N/A Requesting Data...</v>
      </c>
      <c r="R2513" t="str">
        <f>_xll.BDP("989726BZ Muni","MUNI_MSRB_VOLUME")</f>
        <v>#N/A Requesting Data...</v>
      </c>
      <c r="S2513" t="str">
        <f>_xll.BDP("989726BZ Muni","BB_COMPOSITE")</f>
        <v>#N/A Requesting Data...</v>
      </c>
      <c r="T2513" t="str">
        <f>_xll.BDP("989726BZ Muni","LQA_LIQUIDITY_SCORE")</f>
        <v>#N/A Requesting Data...</v>
      </c>
    </row>
    <row r="2514" spans="1:20" x14ac:dyDescent="0.25">
      <c r="A2514" t="str">
        <f>_xll.BDP("989726CA Muni","ID_CUSIP")</f>
        <v>#N/A Requesting Data...</v>
      </c>
      <c r="B2514" t="s">
        <v>566</v>
      </c>
      <c r="C2514" t="str">
        <f>_xll.BDP("989726CA Muni","INSURANCE_STATUS")</f>
        <v>#N/A Requesting Data...</v>
      </c>
      <c r="D2514" t="str">
        <f>_xll.BDP("989726CA Muni","STATE_CODE")</f>
        <v>#N/A Requesting Data...</v>
      </c>
      <c r="E2514" t="str">
        <f>_xll.BDP("989726CA Muni","COUNTY_LOCATION_ISSUER")</f>
        <v>#N/A Requesting Data...</v>
      </c>
      <c r="F2514" t="str">
        <f>_xll.BDP("989726CA Muni","DUR_ADJ_MID")</f>
        <v>#N/A Requesting Data...</v>
      </c>
      <c r="G2514" t="str">
        <f>_xll.BDP("989726CA Muni","SPREAD_AT_ISSUANCE_TO_WORST")</f>
        <v>#N/A Requesting Data...</v>
      </c>
      <c r="H2514" t="str">
        <f>_xll.BDP("989726CA Muni","ISSUE_DT")</f>
        <v>#N/A Requesting Data...</v>
      </c>
      <c r="I2514" t="str">
        <f>_xll.BDS("989726CA Muni","MUNI_PURPOSE_SCHED", "aggregate=y")</f>
        <v>#N/A Requesting Data...</v>
      </c>
      <c r="J2514" t="str">
        <f>_xll.BDP("989726CA Muni","CPN")</f>
        <v>#N/A Requesting Data...</v>
      </c>
      <c r="K2514" t="str">
        <f>_xll.BDP("989726CA Muni","MATURITY")</f>
        <v>#N/A Requesting Data...</v>
      </c>
      <c r="L2514">
        <v>85000</v>
      </c>
      <c r="M2514" t="str">
        <f>_xll.BDP("989726CA Muni","YIELD_ON_ISSUE_DATE")</f>
        <v>#N/A Requesting Data...</v>
      </c>
      <c r="N2514" t="str">
        <f>_xll.BDP("989726CA Muni","YTW_SPREAD_TO_MATURITY_AT_ISSU")</f>
        <v>#N/A Requesting Data...</v>
      </c>
      <c r="O2514" t="str">
        <f>_xll.BDP("989726CA Muni","BVAL_MID_YTM")</f>
        <v>#N/A Requesting Data...</v>
      </c>
      <c r="P2514" t="str">
        <f>_xll.BDP("989726CA Muni","MUNI_TAX_PROV")</f>
        <v>#N/A Requesting Data...</v>
      </c>
      <c r="Q2514" t="str">
        <f>_xll.BDP("989726CA Muni","MUNI_FED_TAX")</f>
        <v>#N/A Requesting Data...</v>
      </c>
      <c r="R2514" t="str">
        <f>_xll.BDP("989726CA Muni","MUNI_MSRB_VOLUME")</f>
        <v>#N/A Requesting Data...</v>
      </c>
      <c r="S2514" t="str">
        <f>_xll.BDP("989726CA Muni","BB_COMPOSITE")</f>
        <v>#N/A Requesting Data...</v>
      </c>
      <c r="T2514" t="str">
        <f>_xll.BDP("989726CA Muni","LQA_LIQUIDITY_SCORE")</f>
        <v>#N/A Requesting Data...</v>
      </c>
    </row>
    <row r="2515" spans="1:20" x14ac:dyDescent="0.25">
      <c r="A2515" t="str">
        <f>_xll.BDP("97705MLW Muni","ID_CUSIP")</f>
        <v>#N/A Requesting Data...</v>
      </c>
      <c r="B2515" t="s">
        <v>583</v>
      </c>
      <c r="C2515" t="str">
        <f>_xll.BDP("97705MLW Muni","INSURANCE_STATUS")</f>
        <v>#N/A Requesting Data...</v>
      </c>
      <c r="D2515" t="str">
        <f>_xll.BDP("97705MLW Muni","STATE_CODE")</f>
        <v>#N/A Requesting Data...</v>
      </c>
      <c r="E2515" t="str">
        <f>_xll.BDP("97705MLW Muni","COUNTY_LOCATION_ISSUER")</f>
        <v>#N/A Requesting Data...</v>
      </c>
      <c r="F2515" t="str">
        <f>_xll.BDP("97705MLW Muni","DUR_ADJ_MID")</f>
        <v>#N/A Requesting Data...</v>
      </c>
      <c r="G2515" t="str">
        <f>_xll.BDP("97705MLW Muni","SPREAD_AT_ISSUANCE_TO_WORST")</f>
        <v>#N/A Requesting Data...</v>
      </c>
      <c r="H2515" t="str">
        <f>_xll.BDP("97705MLW Muni","ISSUE_DT")</f>
        <v>#N/A Requesting Data...</v>
      </c>
      <c r="I2515" t="str">
        <f>_xll.BDS("97705MLW Muni","MUNI_PURPOSE_SCHED", "aggregate=y")</f>
        <v>#N/A Requesting Data...</v>
      </c>
      <c r="J2515" t="str">
        <f>_xll.BDP("97705MLW Muni","CPN")</f>
        <v>#N/A Requesting Data...</v>
      </c>
      <c r="K2515" t="str">
        <f>_xll.BDP("97705MLW Muni","MATURITY")</f>
        <v>#N/A Requesting Data...</v>
      </c>
      <c r="L2515">
        <v>8865000</v>
      </c>
      <c r="M2515" t="str">
        <f>_xll.BDP("97705MLW Muni","YIELD_ON_ISSUE_DATE")</f>
        <v>#N/A Requesting Data...</v>
      </c>
      <c r="N2515" t="str">
        <f>_xll.BDP("97705MLW Muni","YTW_SPREAD_TO_MATURITY_AT_ISSU")</f>
        <v>#N/A Requesting Data...</v>
      </c>
      <c r="O2515" t="str">
        <f>_xll.BDP("97705MLW Muni","BVAL_MID_YTM")</f>
        <v>#N/A Requesting Data...</v>
      </c>
      <c r="P2515" t="str">
        <f>_xll.BDP("97705MLW Muni","MUNI_TAX_PROV")</f>
        <v>#N/A Requesting Data...</v>
      </c>
      <c r="Q2515" t="str">
        <f>_xll.BDP("97705MLW Muni","MUNI_FED_TAX")</f>
        <v>#N/A Requesting Data...</v>
      </c>
      <c r="R2515" t="str">
        <f>_xll.BDP("97705MLW Muni","MUNI_MSRB_VOLUME")</f>
        <v>#N/A Requesting Data...</v>
      </c>
      <c r="S2515" t="str">
        <f>_xll.BDP("97705MLW Muni","BB_COMPOSITE")</f>
        <v>#N/A Requesting Data...</v>
      </c>
      <c r="T2515" t="str">
        <f>_xll.BDP("97705MLW Muni","LQA_LIQUIDITY_SCORE")</f>
        <v>#N/A Requesting Data...</v>
      </c>
    </row>
    <row r="2516" spans="1:20" x14ac:dyDescent="0.25">
      <c r="A2516" t="str">
        <f>_xll.BDP("974722EW Muni","ID_CUSIP")</f>
        <v>#N/A Requesting Data...</v>
      </c>
      <c r="B2516" t="s">
        <v>582</v>
      </c>
      <c r="C2516" t="str">
        <f>_xll.BDP("974722EW Muni","INSURANCE_STATUS")</f>
        <v>#N/A Requesting Data...</v>
      </c>
      <c r="D2516" t="str">
        <f>_xll.BDP("974722EW Muni","STATE_CODE")</f>
        <v>#N/A Requesting Data...</v>
      </c>
      <c r="E2516" t="str">
        <f>_xll.BDP("974722EW Muni","COUNTY_LOCATION_ISSUER")</f>
        <v>#N/A Requesting Data...</v>
      </c>
      <c r="F2516" t="str">
        <f>_xll.BDP("974722EW Muni","DUR_ADJ_MID")</f>
        <v>#N/A Requesting Data...</v>
      </c>
      <c r="G2516" t="str">
        <f>_xll.BDP("974722EW Muni","SPREAD_AT_ISSUANCE_TO_WORST")</f>
        <v>#N/A Requesting Data...</v>
      </c>
      <c r="H2516" t="str">
        <f>_xll.BDP("974722EW Muni","ISSUE_DT")</f>
        <v>#N/A Requesting Data...</v>
      </c>
      <c r="I2516" t="str">
        <f>_xll.BDS("974722EW Muni","MUNI_PURPOSE_SCHED", "aggregate=y")</f>
        <v>#N/A Requesting Data...</v>
      </c>
      <c r="J2516" t="str">
        <f>_xll.BDP("974722EW Muni","CPN")</f>
        <v>#N/A Requesting Data...</v>
      </c>
      <c r="K2516" t="str">
        <f>_xll.BDP("974722EW Muni","MATURITY")</f>
        <v>#N/A Requesting Data...</v>
      </c>
      <c r="L2516">
        <v>145000</v>
      </c>
      <c r="M2516" t="str">
        <f>_xll.BDP("974722EW Muni","YIELD_ON_ISSUE_DATE")</f>
        <v>#N/A Requesting Data...</v>
      </c>
      <c r="N2516" t="str">
        <f>_xll.BDP("974722EW Muni","YTW_SPREAD_TO_MATURITY_AT_ISSU")</f>
        <v>#N/A Requesting Data...</v>
      </c>
      <c r="O2516" t="str">
        <f>_xll.BDP("974722EW Muni","BVAL_MID_YTM")</f>
        <v>#N/A Requesting Data...</v>
      </c>
      <c r="P2516" t="str">
        <f>_xll.BDP("974722EW Muni","MUNI_TAX_PROV")</f>
        <v>#N/A Requesting Data...</v>
      </c>
      <c r="Q2516" t="str">
        <f>_xll.BDP("974722EW Muni","MUNI_FED_TAX")</f>
        <v>#N/A Requesting Data...</v>
      </c>
      <c r="R2516" t="str">
        <f>_xll.BDP("974722EW Muni","MUNI_MSRB_VOLUME")</f>
        <v>#N/A Requesting Data...</v>
      </c>
      <c r="S2516" t="str">
        <f>_xll.BDP("974722EW Muni","BB_COMPOSITE")</f>
        <v>#N/A Requesting Data...</v>
      </c>
      <c r="T2516" t="str">
        <f>_xll.BDP("974722EW Muni","LQA_LIQUIDITY_SCORE")</f>
        <v>#N/A Requesting Data...</v>
      </c>
    </row>
    <row r="2517" spans="1:20" x14ac:dyDescent="0.25">
      <c r="A2517" t="str">
        <f>_xll.BDP("989726BT Muni","ID_CUSIP")</f>
        <v>#N/A Requesting Data...</v>
      </c>
      <c r="B2517" t="s">
        <v>566</v>
      </c>
      <c r="C2517" t="str">
        <f>_xll.BDP("989726BT Muni","INSURANCE_STATUS")</f>
        <v>#N/A Requesting Data...</v>
      </c>
      <c r="D2517" t="str">
        <f>_xll.BDP("989726BT Muni","STATE_CODE")</f>
        <v>#N/A Requesting Data...</v>
      </c>
      <c r="E2517" t="str">
        <f>_xll.BDP("989726BT Muni","COUNTY_LOCATION_ISSUER")</f>
        <v>#N/A Requesting Data...</v>
      </c>
      <c r="F2517" t="str">
        <f>_xll.BDP("989726BT Muni","DUR_ADJ_MID")</f>
        <v>#N/A Requesting Data...</v>
      </c>
      <c r="G2517" t="str">
        <f>_xll.BDP("989726BT Muni","SPREAD_AT_ISSUANCE_TO_WORST")</f>
        <v>#N/A Requesting Data...</v>
      </c>
      <c r="H2517" t="str">
        <f>_xll.BDP("989726BT Muni","ISSUE_DT")</f>
        <v>#N/A Requesting Data...</v>
      </c>
      <c r="I2517" t="str">
        <f>_xll.BDS("989726BT Muni","MUNI_PURPOSE_SCHED", "aggregate=y")</f>
        <v>#N/A Requesting Data...</v>
      </c>
      <c r="J2517" t="str">
        <f>_xll.BDP("989726BT Muni","CPN")</f>
        <v>#N/A Requesting Data...</v>
      </c>
      <c r="K2517" t="str">
        <f>_xll.BDP("989726BT Muni","MATURITY")</f>
        <v>#N/A Requesting Data...</v>
      </c>
      <c r="L2517">
        <v>75000</v>
      </c>
      <c r="M2517" t="str">
        <f>_xll.BDP("989726BT Muni","YIELD_ON_ISSUE_DATE")</f>
        <v>#N/A Requesting Data...</v>
      </c>
      <c r="N2517" t="str">
        <f>_xll.BDP("989726BT Muni","YTW_SPREAD_TO_MATURITY_AT_ISSU")</f>
        <v>#N/A Requesting Data...</v>
      </c>
      <c r="O2517" t="str">
        <f>_xll.BDP("989726BT Muni","BVAL_MID_YTM")</f>
        <v>#N/A Requesting Data...</v>
      </c>
      <c r="P2517" t="str">
        <f>_xll.BDP("989726BT Muni","MUNI_TAX_PROV")</f>
        <v>#N/A Requesting Data...</v>
      </c>
      <c r="Q2517" t="str">
        <f>_xll.BDP("989726BT Muni","MUNI_FED_TAX")</f>
        <v>#N/A Requesting Data...</v>
      </c>
      <c r="R2517" t="str">
        <f>_xll.BDP("989726BT Muni","MUNI_MSRB_VOLUME")</f>
        <v>#N/A Requesting Data...</v>
      </c>
      <c r="S2517" t="str">
        <f>_xll.BDP("989726BT Muni","BB_COMPOSITE")</f>
        <v>#N/A Requesting Data...</v>
      </c>
      <c r="T2517" t="str">
        <f>_xll.BDP("989726BT Muni","LQA_LIQUIDITY_SCORE")</f>
        <v>#N/A Requesting Data...</v>
      </c>
    </row>
    <row r="2518" spans="1:20" x14ac:dyDescent="0.25">
      <c r="A2518" t="str">
        <f>_xll.BDP("989726BY Muni","ID_CUSIP")</f>
        <v>#N/A Requesting Data...</v>
      </c>
      <c r="B2518" t="s">
        <v>566</v>
      </c>
      <c r="C2518" t="str">
        <f>_xll.BDP("989726BY Muni","INSURANCE_STATUS")</f>
        <v>#N/A Requesting Data...</v>
      </c>
      <c r="D2518" t="str">
        <f>_xll.BDP("989726BY Muni","STATE_CODE")</f>
        <v>#N/A Requesting Data...</v>
      </c>
      <c r="E2518" t="str">
        <f>_xll.BDP("989726BY Muni","COUNTY_LOCATION_ISSUER")</f>
        <v>#N/A Requesting Data...</v>
      </c>
      <c r="F2518" t="str">
        <f>_xll.BDP("989726BY Muni","DUR_ADJ_MID")</f>
        <v>#N/A Requesting Data...</v>
      </c>
      <c r="G2518" t="str">
        <f>_xll.BDP("989726BY Muni","SPREAD_AT_ISSUANCE_TO_WORST")</f>
        <v>#N/A Requesting Data...</v>
      </c>
      <c r="H2518" t="str">
        <f>_xll.BDP("989726BY Muni","ISSUE_DT")</f>
        <v>#N/A Requesting Data...</v>
      </c>
      <c r="I2518" t="str">
        <f>_xll.BDS("989726BY Muni","MUNI_PURPOSE_SCHED", "aggregate=y")</f>
        <v>#N/A Requesting Data...</v>
      </c>
      <c r="J2518" t="str">
        <f>_xll.BDP("989726BY Muni","CPN")</f>
        <v>#N/A Requesting Data...</v>
      </c>
      <c r="K2518" t="str">
        <f>_xll.BDP("989726BY Muni","MATURITY")</f>
        <v>#N/A Requesting Data...</v>
      </c>
      <c r="L2518">
        <v>80000</v>
      </c>
      <c r="M2518" t="str">
        <f>_xll.BDP("989726BY Muni","YIELD_ON_ISSUE_DATE")</f>
        <v>#N/A Requesting Data...</v>
      </c>
      <c r="N2518" t="str">
        <f>_xll.BDP("989726BY Muni","YTW_SPREAD_TO_MATURITY_AT_ISSU")</f>
        <v>#N/A Requesting Data...</v>
      </c>
      <c r="O2518" t="str">
        <f>_xll.BDP("989726BY Muni","BVAL_MID_YTM")</f>
        <v>#N/A Requesting Data...</v>
      </c>
      <c r="P2518" t="str">
        <f>_xll.BDP("989726BY Muni","MUNI_TAX_PROV")</f>
        <v>#N/A Requesting Data...</v>
      </c>
      <c r="Q2518" t="str">
        <f>_xll.BDP("989726BY Muni","MUNI_FED_TAX")</f>
        <v>#N/A Requesting Data...</v>
      </c>
      <c r="R2518" t="str">
        <f>_xll.BDP("989726BY Muni","MUNI_MSRB_VOLUME")</f>
        <v>#N/A Requesting Data...</v>
      </c>
      <c r="S2518" t="str">
        <f>_xll.BDP("989726BY Muni","BB_COMPOSITE")</f>
        <v>#N/A Requesting Data...</v>
      </c>
      <c r="T2518" t="str">
        <f>_xll.BDP("989726BY Muni","LQA_LIQUIDITY_SCORE")</f>
        <v>#N/A Requesting Data...</v>
      </c>
    </row>
    <row r="2519" spans="1:20" x14ac:dyDescent="0.25">
      <c r="A2519" t="str">
        <f>_xll.BDP("922252FN Muni","ID_CUSIP")</f>
        <v>#N/A Requesting Data...</v>
      </c>
      <c r="B2519" t="s">
        <v>518</v>
      </c>
      <c r="C2519" t="str">
        <f>_xll.BDP("922252FN Muni","INSURANCE_STATUS")</f>
        <v>#N/A Requesting Data...</v>
      </c>
      <c r="D2519" t="str">
        <f>_xll.BDP("922252FN Muni","STATE_CODE")</f>
        <v>#N/A Requesting Data...</v>
      </c>
      <c r="E2519" t="str">
        <f>_xll.BDP("922252FN Muni","COUNTY_LOCATION_ISSUER")</f>
        <v>#N/A Requesting Data...</v>
      </c>
      <c r="F2519" t="str">
        <f>_xll.BDP("922252FN Muni","DUR_ADJ_MID")</f>
        <v>#N/A Requesting Data...</v>
      </c>
      <c r="G2519" t="str">
        <f>_xll.BDP("922252FN Muni","SPREAD_AT_ISSUANCE_TO_WORST")</f>
        <v>#N/A Requesting Data...</v>
      </c>
      <c r="H2519" t="str">
        <f>_xll.BDP("922252FN Muni","ISSUE_DT")</f>
        <v>#N/A Requesting Data...</v>
      </c>
      <c r="I2519" t="str">
        <f>_xll.BDS("922252FN Muni","MUNI_PURPOSE_SCHED", "aggregate=y")</f>
        <v>#N/A Requesting Data...</v>
      </c>
      <c r="J2519" t="str">
        <f>_xll.BDP("922252FN Muni","CPN")</f>
        <v>#N/A Requesting Data...</v>
      </c>
      <c r="K2519" t="str">
        <f>_xll.BDP("922252FN Muni","MATURITY")</f>
        <v>#N/A Requesting Data...</v>
      </c>
      <c r="L2519">
        <v>140000</v>
      </c>
      <c r="M2519" t="str">
        <f>_xll.BDP("922252FN Muni","YIELD_ON_ISSUE_DATE")</f>
        <v>#N/A Requesting Data...</v>
      </c>
      <c r="N2519" t="str">
        <f>_xll.BDP("922252FN Muni","YTW_SPREAD_TO_MATURITY_AT_ISSU")</f>
        <v>#N/A Requesting Data...</v>
      </c>
      <c r="O2519" t="str">
        <f>_xll.BDP("922252FN Muni","BVAL_MID_YTM")</f>
        <v>#N/A Requesting Data...</v>
      </c>
      <c r="P2519" t="str">
        <f>_xll.BDP("922252FN Muni","MUNI_TAX_PROV")</f>
        <v>#N/A Requesting Data...</v>
      </c>
      <c r="Q2519" t="str">
        <f>_xll.BDP("922252FN Muni","MUNI_FED_TAX")</f>
        <v>#N/A Requesting Data...</v>
      </c>
      <c r="R2519" t="str">
        <f>_xll.BDP("922252FN Muni","MUNI_MSRB_VOLUME")</f>
        <v>#N/A Requesting Data...</v>
      </c>
      <c r="S2519" t="str">
        <f>_xll.BDP("922252FN Muni","BB_COMPOSITE")</f>
        <v>#N/A Requesting Data...</v>
      </c>
      <c r="T2519" t="str">
        <f>_xll.BDP("922252FN Muni","LQA_LIQUIDITY_SCORE")</f>
        <v>#N/A Requesting Data...</v>
      </c>
    </row>
    <row r="2520" spans="1:20" x14ac:dyDescent="0.25">
      <c r="A2520" t="str">
        <f>_xll.BDP("922252FP Muni","ID_CUSIP")</f>
        <v>#N/A Requesting Data...</v>
      </c>
      <c r="B2520" t="s">
        <v>518</v>
      </c>
      <c r="C2520" t="str">
        <f>_xll.BDP("922252FP Muni","INSURANCE_STATUS")</f>
        <v>#N/A Requesting Data...</v>
      </c>
      <c r="D2520" t="str">
        <f>_xll.BDP("922252FP Muni","STATE_CODE")</f>
        <v>#N/A Requesting Data...</v>
      </c>
      <c r="E2520" t="str">
        <f>_xll.BDP("922252FP Muni","COUNTY_LOCATION_ISSUER")</f>
        <v>#N/A Requesting Data...</v>
      </c>
      <c r="F2520" t="str">
        <f>_xll.BDP("922252FP Muni","DUR_ADJ_MID")</f>
        <v>#N/A Requesting Data...</v>
      </c>
      <c r="G2520" t="str">
        <f>_xll.BDP("922252FP Muni","SPREAD_AT_ISSUANCE_TO_WORST")</f>
        <v>#N/A Requesting Data...</v>
      </c>
      <c r="H2520" t="str">
        <f>_xll.BDP("922252FP Muni","ISSUE_DT")</f>
        <v>#N/A Requesting Data...</v>
      </c>
      <c r="I2520" t="str">
        <f>_xll.BDS("922252FP Muni","MUNI_PURPOSE_SCHED", "aggregate=y")</f>
        <v>#N/A Requesting Data...</v>
      </c>
      <c r="J2520" t="str">
        <f>_xll.BDP("922252FP Muni","CPN")</f>
        <v>#N/A Requesting Data...</v>
      </c>
      <c r="K2520" t="str">
        <f>_xll.BDP("922252FP Muni","MATURITY")</f>
        <v>#N/A Requesting Data...</v>
      </c>
      <c r="L2520">
        <v>145000</v>
      </c>
      <c r="M2520" t="str">
        <f>_xll.BDP("922252FP Muni","YIELD_ON_ISSUE_DATE")</f>
        <v>#N/A Requesting Data...</v>
      </c>
      <c r="N2520" t="str">
        <f>_xll.BDP("922252FP Muni","YTW_SPREAD_TO_MATURITY_AT_ISSU")</f>
        <v>#N/A Requesting Data...</v>
      </c>
      <c r="O2520" t="str">
        <f>_xll.BDP("922252FP Muni","BVAL_MID_YTM")</f>
        <v>#N/A Requesting Data...</v>
      </c>
      <c r="P2520" t="str">
        <f>_xll.BDP("922252FP Muni","MUNI_TAX_PROV")</f>
        <v>#N/A Requesting Data...</v>
      </c>
      <c r="Q2520" t="str">
        <f>_xll.BDP("922252FP Muni","MUNI_FED_TAX")</f>
        <v>#N/A Requesting Data...</v>
      </c>
      <c r="R2520" t="str">
        <f>_xll.BDP("922252FP Muni","MUNI_MSRB_VOLUME")</f>
        <v>#N/A Requesting Data...</v>
      </c>
      <c r="S2520" t="str">
        <f>_xll.BDP("922252FP Muni","BB_COMPOSITE")</f>
        <v>#N/A Requesting Data...</v>
      </c>
      <c r="T2520" t="str">
        <f>_xll.BDP("922252FP Muni","LQA_LIQUIDITY_SCORE")</f>
        <v>#N/A Requesting Data...</v>
      </c>
    </row>
    <row r="2521" spans="1:20" x14ac:dyDescent="0.25">
      <c r="A2521" t="str">
        <f>_xll.BDP("964780VD Muni","ID_CUSIP")</f>
        <v>#N/A Requesting Data...</v>
      </c>
      <c r="B2521" t="s">
        <v>525</v>
      </c>
      <c r="C2521" t="str">
        <f>_xll.BDP("964780VD Muni","INSURANCE_STATUS")</f>
        <v>#N/A Requesting Data...</v>
      </c>
      <c r="D2521" t="str">
        <f>_xll.BDP("964780VD Muni","STATE_CODE")</f>
        <v>#N/A Requesting Data...</v>
      </c>
      <c r="E2521" t="str">
        <f>_xll.BDP("964780VD Muni","COUNTY_LOCATION_ISSUER")</f>
        <v>#N/A Requesting Data...</v>
      </c>
      <c r="F2521" t="str">
        <f>_xll.BDP("964780VD Muni","DUR_ADJ_MID")</f>
        <v>#N/A Requesting Data...</v>
      </c>
      <c r="G2521" t="str">
        <f>_xll.BDP("964780VD Muni","SPREAD_AT_ISSUANCE_TO_WORST")</f>
        <v>#N/A Requesting Data...</v>
      </c>
      <c r="H2521" t="str">
        <f>_xll.BDP("964780VD Muni","ISSUE_DT")</f>
        <v>#N/A Requesting Data...</v>
      </c>
      <c r="I2521" t="str">
        <f>_xll.BDS("964780VD Muni","MUNI_PURPOSE_SCHED", "aggregate=y")</f>
        <v>#N/A Requesting Data...</v>
      </c>
      <c r="J2521" t="str">
        <f>_xll.BDP("964780VD Muni","CPN")</f>
        <v>#N/A Requesting Data...</v>
      </c>
      <c r="K2521" t="str">
        <f>_xll.BDP("964780VD Muni","MATURITY")</f>
        <v>#N/A Requesting Data...</v>
      </c>
      <c r="L2521">
        <v>205000</v>
      </c>
      <c r="M2521" t="str">
        <f>_xll.BDP("964780VD Muni","YIELD_ON_ISSUE_DATE")</f>
        <v>#N/A Requesting Data...</v>
      </c>
      <c r="N2521" t="str">
        <f>_xll.BDP("964780VD Muni","YTW_SPREAD_TO_MATURITY_AT_ISSU")</f>
        <v>#N/A Requesting Data...</v>
      </c>
      <c r="O2521" t="str">
        <f>_xll.BDP("964780VD Muni","BVAL_MID_YTM")</f>
        <v>#N/A Requesting Data...</v>
      </c>
      <c r="P2521" t="str">
        <f>_xll.BDP("964780VD Muni","MUNI_TAX_PROV")</f>
        <v>#N/A Requesting Data...</v>
      </c>
      <c r="Q2521" t="str">
        <f>_xll.BDP("964780VD Muni","MUNI_FED_TAX")</f>
        <v>#N/A Requesting Data...</v>
      </c>
      <c r="R2521" t="str">
        <f>_xll.BDP("964780VD Muni","MUNI_MSRB_VOLUME")</f>
        <v>#N/A Requesting Data...</v>
      </c>
      <c r="S2521" t="str">
        <f>_xll.BDP("964780VD Muni","BB_COMPOSITE")</f>
        <v>#N/A Requesting Data...</v>
      </c>
      <c r="T2521" t="str">
        <f>_xll.BDP("964780VD Muni","LQA_LIQUIDITY_SCORE")</f>
        <v>#N/A Requesting Data...</v>
      </c>
    </row>
    <row r="2522" spans="1:20" x14ac:dyDescent="0.25">
      <c r="A2522" t="str">
        <f>_xll.BDP("978642DD Muni","ID_CUSIP")</f>
        <v>#N/A Requesting Data...</v>
      </c>
      <c r="B2522" t="s">
        <v>526</v>
      </c>
      <c r="C2522" t="str">
        <f>_xll.BDP("978642DD Muni","INSURANCE_STATUS")</f>
        <v>#N/A Requesting Data...</v>
      </c>
      <c r="D2522" t="str">
        <f>_xll.BDP("978642DD Muni","STATE_CODE")</f>
        <v>#N/A Requesting Data...</v>
      </c>
      <c r="E2522" t="str">
        <f>_xll.BDP("978642DD Muni","COUNTY_LOCATION_ISSUER")</f>
        <v>#N/A Requesting Data...</v>
      </c>
      <c r="F2522" t="str">
        <f>_xll.BDP("978642DD Muni","DUR_ADJ_MID")</f>
        <v>#N/A Requesting Data...</v>
      </c>
      <c r="G2522" t="str">
        <f>_xll.BDP("978642DD Muni","SPREAD_AT_ISSUANCE_TO_WORST")</f>
        <v>#N/A Requesting Data...</v>
      </c>
      <c r="H2522" t="str">
        <f>_xll.BDP("978642DD Muni","ISSUE_DT")</f>
        <v>#N/A Requesting Data...</v>
      </c>
      <c r="I2522" t="str">
        <f>_xll.BDS("978642DD Muni","MUNI_PURPOSE_SCHED", "aggregate=y")</f>
        <v>#N/A Requesting Data...</v>
      </c>
      <c r="J2522" t="str">
        <f>_xll.BDP("978642DD Muni","CPN")</f>
        <v>#N/A Requesting Data...</v>
      </c>
      <c r="K2522" t="str">
        <f>_xll.BDP("978642DD Muni","MATURITY")</f>
        <v>#N/A Requesting Data...</v>
      </c>
      <c r="L2522">
        <v>170000</v>
      </c>
      <c r="M2522" t="str">
        <f>_xll.BDP("978642DD Muni","YIELD_ON_ISSUE_DATE")</f>
        <v>#N/A Requesting Data...</v>
      </c>
      <c r="N2522" t="str">
        <f>_xll.BDP("978642DD Muni","YTW_SPREAD_TO_MATURITY_AT_ISSU")</f>
        <v>#N/A Requesting Data...</v>
      </c>
      <c r="O2522" t="str">
        <f>_xll.BDP("978642DD Muni","BVAL_MID_YTM")</f>
        <v>#N/A Requesting Data...</v>
      </c>
      <c r="P2522" t="str">
        <f>_xll.BDP("978642DD Muni","MUNI_TAX_PROV")</f>
        <v>#N/A Requesting Data...</v>
      </c>
      <c r="Q2522" t="str">
        <f>_xll.BDP("978642DD Muni","MUNI_FED_TAX")</f>
        <v>#N/A Requesting Data...</v>
      </c>
      <c r="R2522" t="str">
        <f>_xll.BDP("978642DD Muni","MUNI_MSRB_VOLUME")</f>
        <v>#N/A Requesting Data...</v>
      </c>
      <c r="S2522" t="str">
        <f>_xll.BDP("978642DD Muni","BB_COMPOSITE")</f>
        <v>#N/A Requesting Data...</v>
      </c>
      <c r="T2522" t="str">
        <f>_xll.BDP("978642DD Muni","LQA_LIQUIDITY_SCORE")</f>
        <v>#N/A Requesting Data...</v>
      </c>
    </row>
    <row r="2523" spans="1:20" x14ac:dyDescent="0.25">
      <c r="A2523" t="str">
        <f>_xll.BDP("978642DE Muni","ID_CUSIP")</f>
        <v>#N/A Requesting Data...</v>
      </c>
      <c r="B2523" t="s">
        <v>526</v>
      </c>
      <c r="C2523" t="str">
        <f>_xll.BDP("978642DE Muni","INSURANCE_STATUS")</f>
        <v>#N/A Requesting Data...</v>
      </c>
      <c r="D2523" t="str">
        <f>_xll.BDP("978642DE Muni","STATE_CODE")</f>
        <v>#N/A Requesting Data...</v>
      </c>
      <c r="E2523" t="str">
        <f>_xll.BDP("978642DE Muni","COUNTY_LOCATION_ISSUER")</f>
        <v>#N/A Requesting Data...</v>
      </c>
      <c r="F2523" t="str">
        <f>_xll.BDP("978642DE Muni","DUR_ADJ_MID")</f>
        <v>#N/A Requesting Data...</v>
      </c>
      <c r="G2523" t="str">
        <f>_xll.BDP("978642DE Muni","SPREAD_AT_ISSUANCE_TO_WORST")</f>
        <v>#N/A Requesting Data...</v>
      </c>
      <c r="H2523" t="str">
        <f>_xll.BDP("978642DE Muni","ISSUE_DT")</f>
        <v>#N/A Requesting Data...</v>
      </c>
      <c r="I2523" t="str">
        <f>_xll.BDS("978642DE Muni","MUNI_PURPOSE_SCHED", "aggregate=y")</f>
        <v>#N/A Requesting Data...</v>
      </c>
      <c r="J2523" t="str">
        <f>_xll.BDP("978642DE Muni","CPN")</f>
        <v>#N/A Requesting Data...</v>
      </c>
      <c r="K2523" t="str">
        <f>_xll.BDP("978642DE Muni","MATURITY")</f>
        <v>#N/A Requesting Data...</v>
      </c>
      <c r="L2523">
        <v>170000</v>
      </c>
      <c r="M2523" t="str">
        <f>_xll.BDP("978642DE Muni","YIELD_ON_ISSUE_DATE")</f>
        <v>#N/A Requesting Data...</v>
      </c>
      <c r="N2523" t="str">
        <f>_xll.BDP("978642DE Muni","YTW_SPREAD_TO_MATURITY_AT_ISSU")</f>
        <v>#N/A Requesting Data...</v>
      </c>
      <c r="O2523" t="str">
        <f>_xll.BDP("978642DE Muni","BVAL_MID_YTM")</f>
        <v>#N/A Requesting Data...</v>
      </c>
      <c r="P2523" t="str">
        <f>_xll.BDP("978642DE Muni","MUNI_TAX_PROV")</f>
        <v>#N/A Requesting Data...</v>
      </c>
      <c r="Q2523" t="str">
        <f>_xll.BDP("978642DE Muni","MUNI_FED_TAX")</f>
        <v>#N/A Requesting Data...</v>
      </c>
      <c r="R2523" t="str">
        <f>_xll.BDP("978642DE Muni","MUNI_MSRB_VOLUME")</f>
        <v>#N/A Requesting Data...</v>
      </c>
      <c r="S2523" t="str">
        <f>_xll.BDP("978642DE Muni","BB_COMPOSITE")</f>
        <v>#N/A Requesting Data...</v>
      </c>
      <c r="T2523" t="str">
        <f>_xll.BDP("978642DE Muni","LQA_LIQUIDITY_SCORE")</f>
        <v>#N/A Requesting Data...</v>
      </c>
    </row>
    <row r="2524" spans="1:20" x14ac:dyDescent="0.25">
      <c r="A2524" t="str">
        <f>_xll.BDP("942840CS Muni","ID_CUSIP")</f>
        <v>#N/A Requesting Data...</v>
      </c>
      <c r="B2524" t="s">
        <v>503</v>
      </c>
      <c r="C2524" t="str">
        <f>_xll.BDP("942840CS Muni","INSURANCE_STATUS")</f>
        <v>#N/A Requesting Data...</v>
      </c>
      <c r="D2524" t="str">
        <f>_xll.BDP("942840CS Muni","STATE_CODE")</f>
        <v>#N/A Requesting Data...</v>
      </c>
      <c r="E2524" t="str">
        <f>_xll.BDP("942840CS Muni","COUNTY_LOCATION_ISSUER")</f>
        <v>#N/A Requesting Data...</v>
      </c>
      <c r="F2524" t="str">
        <f>_xll.BDP("942840CS Muni","DUR_ADJ_MID")</f>
        <v>#N/A Requesting Data...</v>
      </c>
      <c r="G2524" t="str">
        <f>_xll.BDP("942840CS Muni","SPREAD_AT_ISSUANCE_TO_WORST")</f>
        <v>#N/A Requesting Data...</v>
      </c>
      <c r="H2524" t="str">
        <f>_xll.BDP("942840CS Muni","ISSUE_DT")</f>
        <v>#N/A Requesting Data...</v>
      </c>
      <c r="I2524" t="str">
        <f>_xll.BDS("942840CS Muni","MUNI_PURPOSE_SCHED", "aggregate=y")</f>
        <v>#N/A Requesting Data...</v>
      </c>
      <c r="J2524" t="str">
        <f>_xll.BDP("942840CS Muni","CPN")</f>
        <v>#N/A Requesting Data...</v>
      </c>
      <c r="K2524" t="str">
        <f>_xll.BDP("942840CS Muni","MATURITY")</f>
        <v>#N/A Requesting Data...</v>
      </c>
      <c r="L2524">
        <v>100000</v>
      </c>
      <c r="M2524" t="str">
        <f>_xll.BDP("942840CS Muni","YIELD_ON_ISSUE_DATE")</f>
        <v>#N/A Requesting Data...</v>
      </c>
      <c r="N2524" t="str">
        <f>_xll.BDP("942840CS Muni","YTW_SPREAD_TO_MATURITY_AT_ISSU")</f>
        <v>#N/A Requesting Data...</v>
      </c>
      <c r="O2524" t="str">
        <f>_xll.BDP("942840CS Muni","BVAL_MID_YTM")</f>
        <v>#N/A Requesting Data...</v>
      </c>
      <c r="P2524" t="str">
        <f>_xll.BDP("942840CS Muni","MUNI_TAX_PROV")</f>
        <v>#N/A Requesting Data...</v>
      </c>
      <c r="Q2524" t="str">
        <f>_xll.BDP("942840CS Muni","MUNI_FED_TAX")</f>
        <v>#N/A Requesting Data...</v>
      </c>
      <c r="R2524" t="str">
        <f>_xll.BDP("942840CS Muni","MUNI_MSRB_VOLUME")</f>
        <v>#N/A Requesting Data...</v>
      </c>
      <c r="S2524" t="str">
        <f>_xll.BDP("942840CS Muni","BB_COMPOSITE")</f>
        <v>#N/A Requesting Data...</v>
      </c>
      <c r="T2524" t="str">
        <f>_xll.BDP("942840CS Muni","LQA_LIQUIDITY_SCORE")</f>
        <v>#N/A Requesting Data...</v>
      </c>
    </row>
    <row r="2525" spans="1:20" x14ac:dyDescent="0.25">
      <c r="A2525" t="str">
        <f>_xll.BDP("942840CV Muni","ID_CUSIP")</f>
        <v>#N/A Requesting Data...</v>
      </c>
      <c r="B2525" t="s">
        <v>503</v>
      </c>
      <c r="C2525" t="str">
        <f>_xll.BDP("942840CV Muni","INSURANCE_STATUS")</f>
        <v>#N/A Requesting Data...</v>
      </c>
      <c r="D2525" t="str">
        <f>_xll.BDP("942840CV Muni","STATE_CODE")</f>
        <v>#N/A Requesting Data...</v>
      </c>
      <c r="E2525" t="str">
        <f>_xll.BDP("942840CV Muni","COUNTY_LOCATION_ISSUER")</f>
        <v>#N/A Requesting Data...</v>
      </c>
      <c r="F2525" t="str">
        <f>_xll.BDP("942840CV Muni","DUR_ADJ_MID")</f>
        <v>#N/A Requesting Data...</v>
      </c>
      <c r="G2525" t="str">
        <f>_xll.BDP("942840CV Muni","SPREAD_AT_ISSUANCE_TO_WORST")</f>
        <v>#N/A Requesting Data...</v>
      </c>
      <c r="H2525" t="str">
        <f>_xll.BDP("942840CV Muni","ISSUE_DT")</f>
        <v>#N/A Requesting Data...</v>
      </c>
      <c r="I2525" t="str">
        <f>_xll.BDS("942840CV Muni","MUNI_PURPOSE_SCHED", "aggregate=y")</f>
        <v>#N/A Requesting Data...</v>
      </c>
      <c r="J2525" t="str">
        <f>_xll.BDP("942840CV Muni","CPN")</f>
        <v>#N/A Requesting Data...</v>
      </c>
      <c r="K2525" t="str">
        <f>_xll.BDP("942840CV Muni","MATURITY")</f>
        <v>#N/A Requesting Data...</v>
      </c>
      <c r="L2525">
        <v>100000</v>
      </c>
      <c r="M2525" t="str">
        <f>_xll.BDP("942840CV Muni","YIELD_ON_ISSUE_DATE")</f>
        <v>#N/A Requesting Data...</v>
      </c>
      <c r="N2525" t="str">
        <f>_xll.BDP("942840CV Muni","YTW_SPREAD_TO_MATURITY_AT_ISSU")</f>
        <v>#N/A Requesting Data...</v>
      </c>
      <c r="O2525" t="str">
        <f>_xll.BDP("942840CV Muni","BVAL_MID_YTM")</f>
        <v>#N/A Requesting Data...</v>
      </c>
      <c r="P2525" t="str">
        <f>_xll.BDP("942840CV Muni","MUNI_TAX_PROV")</f>
        <v>#N/A Requesting Data...</v>
      </c>
      <c r="Q2525" t="str">
        <f>_xll.BDP("942840CV Muni","MUNI_FED_TAX")</f>
        <v>#N/A Requesting Data...</v>
      </c>
      <c r="R2525" t="str">
        <f>_xll.BDP("942840CV Muni","MUNI_MSRB_VOLUME")</f>
        <v>#N/A Requesting Data...</v>
      </c>
      <c r="S2525" t="str">
        <f>_xll.BDP("942840CV Muni","BB_COMPOSITE")</f>
        <v>#N/A Requesting Data...</v>
      </c>
      <c r="T2525" t="str">
        <f>_xll.BDP("942840CV Muni","LQA_LIQUIDITY_SCORE")</f>
        <v>#N/A Requesting Data...</v>
      </c>
    </row>
    <row r="2526" spans="1:20" x14ac:dyDescent="0.25">
      <c r="A2526" t="str">
        <f>_xll.BDP("943245BR Muni","ID_CUSIP")</f>
        <v>#N/A Requesting Data...</v>
      </c>
      <c r="B2526" t="s">
        <v>505</v>
      </c>
      <c r="C2526" t="str">
        <f>_xll.BDP("943245BR Muni","INSURANCE_STATUS")</f>
        <v>#N/A Requesting Data...</v>
      </c>
      <c r="D2526" t="str">
        <f>_xll.BDP("943245BR Muni","STATE_CODE")</f>
        <v>#N/A Requesting Data...</v>
      </c>
      <c r="E2526" t="str">
        <f>_xll.BDP("943245BR Muni","COUNTY_LOCATION_ISSUER")</f>
        <v>#N/A Requesting Data...</v>
      </c>
      <c r="F2526" t="str">
        <f>_xll.BDP("943245BR Muni","DUR_ADJ_MID")</f>
        <v>#N/A Requesting Data...</v>
      </c>
      <c r="G2526" t="str">
        <f>_xll.BDP("943245BR Muni","SPREAD_AT_ISSUANCE_TO_WORST")</f>
        <v>#N/A Requesting Data...</v>
      </c>
      <c r="H2526" t="str">
        <f>_xll.BDP("943245BR Muni","ISSUE_DT")</f>
        <v>#N/A Requesting Data...</v>
      </c>
      <c r="I2526" t="str">
        <f>_xll.BDS("943245BR Muni","MUNI_PURPOSE_SCHED", "aggregate=y")</f>
        <v>#N/A Requesting Data...</v>
      </c>
      <c r="J2526" t="str">
        <f>_xll.BDP("943245BR Muni","CPN")</f>
        <v>#N/A Requesting Data...</v>
      </c>
      <c r="K2526" t="str">
        <f>_xll.BDP("943245BR Muni","MATURITY")</f>
        <v>#N/A Requesting Data...</v>
      </c>
      <c r="L2526">
        <v>285000</v>
      </c>
      <c r="M2526" t="str">
        <f>_xll.BDP("943245BR Muni","YIELD_ON_ISSUE_DATE")</f>
        <v>#N/A Requesting Data...</v>
      </c>
      <c r="N2526" t="str">
        <f>_xll.BDP("943245BR Muni","YTW_SPREAD_TO_MATURITY_AT_ISSU")</f>
        <v>#N/A Requesting Data...</v>
      </c>
      <c r="O2526" t="str">
        <f>_xll.BDP("943245BR Muni","BVAL_MID_YTM")</f>
        <v>#N/A Requesting Data...</v>
      </c>
      <c r="P2526" t="str">
        <f>_xll.BDP("943245BR Muni","MUNI_TAX_PROV")</f>
        <v>#N/A Requesting Data...</v>
      </c>
      <c r="Q2526" t="str">
        <f>_xll.BDP("943245BR Muni","MUNI_FED_TAX")</f>
        <v>#N/A Requesting Data...</v>
      </c>
      <c r="R2526" t="str">
        <f>_xll.BDP("943245BR Muni","MUNI_MSRB_VOLUME")</f>
        <v>#N/A Requesting Data...</v>
      </c>
      <c r="S2526" t="str">
        <f>_xll.BDP("943245BR Muni","BB_COMPOSITE")</f>
        <v>#N/A Requesting Data...</v>
      </c>
      <c r="T2526" t="str">
        <f>_xll.BDP("943245BR Muni","LQA_LIQUIDITY_SCORE")</f>
        <v>#N/A Requesting Data...</v>
      </c>
    </row>
    <row r="2527" spans="1:20" x14ac:dyDescent="0.25">
      <c r="A2527" t="str">
        <f>_xll.BDP("943245BT Muni","ID_CUSIP")</f>
        <v>#N/A Requesting Data...</v>
      </c>
      <c r="B2527" t="s">
        <v>505</v>
      </c>
      <c r="C2527" t="str">
        <f>_xll.BDP("943245BT Muni","INSURANCE_STATUS")</f>
        <v>#N/A Requesting Data...</v>
      </c>
      <c r="D2527" t="str">
        <f>_xll.BDP("943245BT Muni","STATE_CODE")</f>
        <v>#N/A Requesting Data...</v>
      </c>
      <c r="E2527" t="str">
        <f>_xll.BDP("943245BT Muni","COUNTY_LOCATION_ISSUER")</f>
        <v>#N/A Requesting Data...</v>
      </c>
      <c r="F2527" t="str">
        <f>_xll.BDP("943245BT Muni","DUR_ADJ_MID")</f>
        <v>#N/A Requesting Data...</v>
      </c>
      <c r="G2527" t="str">
        <f>_xll.BDP("943245BT Muni","SPREAD_AT_ISSUANCE_TO_WORST")</f>
        <v>#N/A Requesting Data...</v>
      </c>
      <c r="H2527" t="str">
        <f>_xll.BDP("943245BT Muni","ISSUE_DT")</f>
        <v>#N/A Requesting Data...</v>
      </c>
      <c r="I2527" t="str">
        <f>_xll.BDS("943245BT Muni","MUNI_PURPOSE_SCHED", "aggregate=y")</f>
        <v>#N/A Requesting Data...</v>
      </c>
      <c r="J2527" t="str">
        <f>_xll.BDP("943245BT Muni","CPN")</f>
        <v>#N/A Requesting Data...</v>
      </c>
      <c r="K2527" t="str">
        <f>_xll.BDP("943245BT Muni","MATURITY")</f>
        <v>#N/A Requesting Data...</v>
      </c>
      <c r="L2527">
        <v>120000</v>
      </c>
      <c r="M2527" t="str">
        <f>_xll.BDP("943245BT Muni","YIELD_ON_ISSUE_DATE")</f>
        <v>#N/A Requesting Data...</v>
      </c>
      <c r="N2527" t="str">
        <f>_xll.BDP("943245BT Muni","YTW_SPREAD_TO_MATURITY_AT_ISSU")</f>
        <v>#N/A Requesting Data...</v>
      </c>
      <c r="O2527" t="str">
        <f>_xll.BDP("943245BT Muni","BVAL_MID_YTM")</f>
        <v>#N/A Requesting Data...</v>
      </c>
      <c r="P2527" t="str">
        <f>_xll.BDP("943245BT Muni","MUNI_TAX_PROV")</f>
        <v>#N/A Requesting Data...</v>
      </c>
      <c r="Q2527" t="str">
        <f>_xll.BDP("943245BT Muni","MUNI_FED_TAX")</f>
        <v>#N/A Requesting Data...</v>
      </c>
      <c r="R2527" t="str">
        <f>_xll.BDP("943245BT Muni","MUNI_MSRB_VOLUME")</f>
        <v>#N/A Requesting Data...</v>
      </c>
      <c r="S2527" t="str">
        <f>_xll.BDP("943245BT Muni","BB_COMPOSITE")</f>
        <v>#N/A Requesting Data...</v>
      </c>
      <c r="T2527" t="str">
        <f>_xll.BDP("943245BT Muni","LQA_LIQUIDITY_SCORE")</f>
        <v>#N/A Requesting Data...</v>
      </c>
    </row>
    <row r="2528" spans="1:20" x14ac:dyDescent="0.25">
      <c r="A2528" t="str">
        <f>_xll.BDP("922252FL Muni","ID_CUSIP")</f>
        <v>#N/A Requesting Data...</v>
      </c>
      <c r="B2528" t="s">
        <v>518</v>
      </c>
      <c r="C2528" t="str">
        <f>_xll.BDP("922252FL Muni","INSURANCE_STATUS")</f>
        <v>#N/A Requesting Data...</v>
      </c>
      <c r="D2528" t="str">
        <f>_xll.BDP("922252FL Muni","STATE_CODE")</f>
        <v>#N/A Requesting Data...</v>
      </c>
      <c r="E2528" t="str">
        <f>_xll.BDP("922252FL Muni","COUNTY_LOCATION_ISSUER")</f>
        <v>#N/A Requesting Data...</v>
      </c>
      <c r="F2528" t="str">
        <f>_xll.BDP("922252FL Muni","DUR_ADJ_MID")</f>
        <v>#N/A Requesting Data...</v>
      </c>
      <c r="G2528" t="str">
        <f>_xll.BDP("922252FL Muni","SPREAD_AT_ISSUANCE_TO_WORST")</f>
        <v>#N/A Requesting Data...</v>
      </c>
      <c r="H2528" t="str">
        <f>_xll.BDP("922252FL Muni","ISSUE_DT")</f>
        <v>#N/A Requesting Data...</v>
      </c>
      <c r="I2528" t="str">
        <f>_xll.BDS("922252FL Muni","MUNI_PURPOSE_SCHED", "aggregate=y")</f>
        <v>#N/A Requesting Data...</v>
      </c>
      <c r="J2528" t="str">
        <f>_xll.BDP("922252FL Muni","CPN")</f>
        <v>#N/A Requesting Data...</v>
      </c>
      <c r="K2528" t="str">
        <f>_xll.BDP("922252FL Muni","MATURITY")</f>
        <v>#N/A Requesting Data...</v>
      </c>
      <c r="L2528">
        <v>130000</v>
      </c>
      <c r="M2528" t="str">
        <f>_xll.BDP("922252FL Muni","YIELD_ON_ISSUE_DATE")</f>
        <v>#N/A Requesting Data...</v>
      </c>
      <c r="N2528" t="str">
        <f>_xll.BDP("922252FL Muni","YTW_SPREAD_TO_MATURITY_AT_ISSU")</f>
        <v>#N/A Requesting Data...</v>
      </c>
      <c r="O2528" t="str">
        <f>_xll.BDP("922252FL Muni","BVAL_MID_YTM")</f>
        <v>#N/A Requesting Data...</v>
      </c>
      <c r="P2528" t="str">
        <f>_xll.BDP("922252FL Muni","MUNI_TAX_PROV")</f>
        <v>#N/A Requesting Data...</v>
      </c>
      <c r="Q2528" t="str">
        <f>_xll.BDP("922252FL Muni","MUNI_FED_TAX")</f>
        <v>#N/A Requesting Data...</v>
      </c>
      <c r="R2528" t="str">
        <f>_xll.BDP("922252FL Muni","MUNI_MSRB_VOLUME")</f>
        <v>#N/A Requesting Data...</v>
      </c>
      <c r="S2528" t="str">
        <f>_xll.BDP("922252FL Muni","BB_COMPOSITE")</f>
        <v>#N/A Requesting Data...</v>
      </c>
      <c r="T2528" t="str">
        <f>_xll.BDP("922252FL Muni","LQA_LIQUIDITY_SCORE")</f>
        <v>#N/A Requesting Data...</v>
      </c>
    </row>
    <row r="2529" spans="1:20" x14ac:dyDescent="0.25">
      <c r="A2529" t="str">
        <f>_xll.BDP("922252FQ Muni","ID_CUSIP")</f>
        <v>#N/A Requesting Data...</v>
      </c>
      <c r="B2529" t="s">
        <v>518</v>
      </c>
      <c r="C2529" t="str">
        <f>_xll.BDP("922252FQ Muni","INSURANCE_STATUS")</f>
        <v>#N/A Requesting Data...</v>
      </c>
      <c r="D2529" t="str">
        <f>_xll.BDP("922252FQ Muni","STATE_CODE")</f>
        <v>#N/A Requesting Data...</v>
      </c>
      <c r="E2529" t="str">
        <f>_xll.BDP("922252FQ Muni","COUNTY_LOCATION_ISSUER")</f>
        <v>#N/A Requesting Data...</v>
      </c>
      <c r="F2529" t="str">
        <f>_xll.BDP("922252FQ Muni","DUR_ADJ_MID")</f>
        <v>#N/A Requesting Data...</v>
      </c>
      <c r="G2529" t="str">
        <f>_xll.BDP("922252FQ Muni","SPREAD_AT_ISSUANCE_TO_WORST")</f>
        <v>#N/A Requesting Data...</v>
      </c>
      <c r="H2529" t="str">
        <f>_xll.BDP("922252FQ Muni","ISSUE_DT")</f>
        <v>#N/A Requesting Data...</v>
      </c>
      <c r="I2529" t="str">
        <f>_xll.BDS("922252FQ Muni","MUNI_PURPOSE_SCHED", "aggregate=y")</f>
        <v>#N/A Requesting Data...</v>
      </c>
      <c r="J2529" t="str">
        <f>_xll.BDP("922252FQ Muni","CPN")</f>
        <v>#N/A Requesting Data...</v>
      </c>
      <c r="K2529" t="str">
        <f>_xll.BDP("922252FQ Muni","MATURITY")</f>
        <v>#N/A Requesting Data...</v>
      </c>
      <c r="L2529">
        <v>150000</v>
      </c>
      <c r="M2529" t="str">
        <f>_xll.BDP("922252FQ Muni","YIELD_ON_ISSUE_DATE")</f>
        <v>#N/A Requesting Data...</v>
      </c>
      <c r="N2529" t="str">
        <f>_xll.BDP("922252FQ Muni","YTW_SPREAD_TO_MATURITY_AT_ISSU")</f>
        <v>#N/A Requesting Data...</v>
      </c>
      <c r="O2529" t="str">
        <f>_xll.BDP("922252FQ Muni","BVAL_MID_YTM")</f>
        <v>#N/A Requesting Data...</v>
      </c>
      <c r="P2529" t="str">
        <f>_xll.BDP("922252FQ Muni","MUNI_TAX_PROV")</f>
        <v>#N/A Requesting Data...</v>
      </c>
      <c r="Q2529" t="str">
        <f>_xll.BDP("922252FQ Muni","MUNI_FED_TAX")</f>
        <v>#N/A Requesting Data...</v>
      </c>
      <c r="R2529" t="str">
        <f>_xll.BDP("922252FQ Muni","MUNI_MSRB_VOLUME")</f>
        <v>#N/A Requesting Data...</v>
      </c>
      <c r="S2529" t="str">
        <f>_xll.BDP("922252FQ Muni","BB_COMPOSITE")</f>
        <v>#N/A Requesting Data...</v>
      </c>
      <c r="T2529" t="str">
        <f>_xll.BDP("922252FQ Muni","LQA_LIQUIDITY_SCORE")</f>
        <v>#N/A Requesting Data...</v>
      </c>
    </row>
    <row r="2530" spans="1:20" x14ac:dyDescent="0.25">
      <c r="A2530" t="str">
        <f>_xll.BDP("961197DA Muni","ID_CUSIP")</f>
        <v>#N/A Requesting Data...</v>
      </c>
      <c r="B2530" t="s">
        <v>519</v>
      </c>
      <c r="C2530" t="str">
        <f>_xll.BDP("961197DA Muni","INSURANCE_STATUS")</f>
        <v>#N/A Requesting Data...</v>
      </c>
      <c r="D2530" t="str">
        <f>_xll.BDP("961197DA Muni","STATE_CODE")</f>
        <v>#N/A Requesting Data...</v>
      </c>
      <c r="E2530" t="str">
        <f>_xll.BDP("961197DA Muni","COUNTY_LOCATION_ISSUER")</f>
        <v>#N/A Requesting Data...</v>
      </c>
      <c r="F2530" t="str">
        <f>_xll.BDP("961197DA Muni","DUR_ADJ_MID")</f>
        <v>#N/A Requesting Data...</v>
      </c>
      <c r="G2530" t="str">
        <f>_xll.BDP("961197DA Muni","SPREAD_AT_ISSUANCE_TO_WORST")</f>
        <v>#N/A Requesting Data...</v>
      </c>
      <c r="H2530" t="str">
        <f>_xll.BDP("961197DA Muni","ISSUE_DT")</f>
        <v>#N/A Requesting Data...</v>
      </c>
      <c r="I2530" t="str">
        <f>_xll.BDS("961197DA Muni","MUNI_PURPOSE_SCHED", "aggregate=y")</f>
        <v>#N/A Requesting Data...</v>
      </c>
      <c r="J2530" t="str">
        <f>_xll.BDP("961197DA Muni","CPN")</f>
        <v>#N/A Requesting Data...</v>
      </c>
      <c r="K2530" t="str">
        <f>_xll.BDP("961197DA Muni","MATURITY")</f>
        <v>#N/A Requesting Data...</v>
      </c>
      <c r="L2530">
        <v>140000</v>
      </c>
      <c r="M2530" t="str">
        <f>_xll.BDP("961197DA Muni","YIELD_ON_ISSUE_DATE")</f>
        <v>#N/A Requesting Data...</v>
      </c>
      <c r="N2530" t="str">
        <f>_xll.BDP("961197DA Muni","YTW_SPREAD_TO_MATURITY_AT_ISSU")</f>
        <v>#N/A Requesting Data...</v>
      </c>
      <c r="O2530" t="str">
        <f>_xll.BDP("961197DA Muni","BVAL_MID_YTM")</f>
        <v>#N/A Requesting Data...</v>
      </c>
      <c r="P2530" t="str">
        <f>_xll.BDP("961197DA Muni","MUNI_TAX_PROV")</f>
        <v>#N/A Requesting Data...</v>
      </c>
      <c r="Q2530" t="str">
        <f>_xll.BDP("961197DA Muni","MUNI_FED_TAX")</f>
        <v>#N/A Requesting Data...</v>
      </c>
      <c r="R2530" t="str">
        <f>_xll.BDP("961197DA Muni","MUNI_MSRB_VOLUME")</f>
        <v>#N/A Requesting Data...</v>
      </c>
      <c r="S2530" t="str">
        <f>_xll.BDP("961197DA Muni","BB_COMPOSITE")</f>
        <v>#N/A Requesting Data...</v>
      </c>
      <c r="T2530" t="str">
        <f>_xll.BDP("961197DA Muni","LQA_LIQUIDITY_SCORE")</f>
        <v>#N/A Requesting Data...</v>
      </c>
    </row>
    <row r="2531" spans="1:20" x14ac:dyDescent="0.25">
      <c r="A2531" t="str">
        <f>_xll.BDP("961197DB Muni","ID_CUSIP")</f>
        <v>#N/A Requesting Data...</v>
      </c>
      <c r="B2531" t="s">
        <v>519</v>
      </c>
      <c r="C2531" t="str">
        <f>_xll.BDP("961197DB Muni","INSURANCE_STATUS")</f>
        <v>#N/A Requesting Data...</v>
      </c>
      <c r="D2531" t="str">
        <f>_xll.BDP("961197DB Muni","STATE_CODE")</f>
        <v>#N/A Requesting Data...</v>
      </c>
      <c r="E2531" t="str">
        <f>_xll.BDP("961197DB Muni","COUNTY_LOCATION_ISSUER")</f>
        <v>#N/A Requesting Data...</v>
      </c>
      <c r="F2531" t="str">
        <f>_xll.BDP("961197DB Muni","DUR_ADJ_MID")</f>
        <v>#N/A Requesting Data...</v>
      </c>
      <c r="G2531" t="str">
        <f>_xll.BDP("961197DB Muni","SPREAD_AT_ISSUANCE_TO_WORST")</f>
        <v>#N/A Requesting Data...</v>
      </c>
      <c r="H2531" t="str">
        <f>_xll.BDP("961197DB Muni","ISSUE_DT")</f>
        <v>#N/A Requesting Data...</v>
      </c>
      <c r="I2531" t="str">
        <f>_xll.BDS("961197DB Muni","MUNI_PURPOSE_SCHED", "aggregate=y")</f>
        <v>#N/A Requesting Data...</v>
      </c>
      <c r="J2531" t="str">
        <f>_xll.BDP("961197DB Muni","CPN")</f>
        <v>#N/A Requesting Data...</v>
      </c>
      <c r="K2531" t="str">
        <f>_xll.BDP("961197DB Muni","MATURITY")</f>
        <v>#N/A Requesting Data...</v>
      </c>
      <c r="L2531">
        <v>145000</v>
      </c>
      <c r="M2531" t="str">
        <f>_xll.BDP("961197DB Muni","YIELD_ON_ISSUE_DATE")</f>
        <v>#N/A Requesting Data...</v>
      </c>
      <c r="N2531" t="str">
        <f>_xll.BDP("961197DB Muni","YTW_SPREAD_TO_MATURITY_AT_ISSU")</f>
        <v>#N/A Requesting Data...</v>
      </c>
      <c r="O2531" t="str">
        <f>_xll.BDP("961197DB Muni","BVAL_MID_YTM")</f>
        <v>#N/A Requesting Data...</v>
      </c>
      <c r="P2531" t="str">
        <f>_xll.BDP("961197DB Muni","MUNI_TAX_PROV")</f>
        <v>#N/A Requesting Data...</v>
      </c>
      <c r="Q2531" t="str">
        <f>_xll.BDP("961197DB Muni","MUNI_FED_TAX")</f>
        <v>#N/A Requesting Data...</v>
      </c>
      <c r="R2531" t="str">
        <f>_xll.BDP("961197DB Muni","MUNI_MSRB_VOLUME")</f>
        <v>#N/A Requesting Data...</v>
      </c>
      <c r="S2531" t="str">
        <f>_xll.BDP("961197DB Muni","BB_COMPOSITE")</f>
        <v>#N/A Requesting Data...</v>
      </c>
      <c r="T2531" t="str">
        <f>_xll.BDP("961197DB Muni","LQA_LIQUIDITY_SCORE")</f>
        <v>#N/A Requesting Data...</v>
      </c>
    </row>
    <row r="2532" spans="1:20" x14ac:dyDescent="0.25">
      <c r="A2532" t="str">
        <f>_xll.BDP("940157W3 Muni","ID_CUSIP")</f>
        <v>#N/A Requesting Data...</v>
      </c>
      <c r="B2532" t="s">
        <v>517</v>
      </c>
      <c r="C2532" t="str">
        <f>_xll.BDP("940157W3 Muni","INSURANCE_STATUS")</f>
        <v>#N/A Requesting Data...</v>
      </c>
      <c r="D2532" t="str">
        <f>_xll.BDP("940157W3 Muni","STATE_CODE")</f>
        <v>#N/A Requesting Data...</v>
      </c>
      <c r="E2532" t="str">
        <f>_xll.BDP("940157W3 Muni","COUNTY_LOCATION_ISSUER")</f>
        <v>#N/A Requesting Data...</v>
      </c>
      <c r="F2532" t="str">
        <f>_xll.BDP("940157W3 Muni","DUR_ADJ_MID")</f>
        <v>#N/A Requesting Data...</v>
      </c>
      <c r="G2532" t="str">
        <f>_xll.BDP("940157W3 Muni","SPREAD_AT_ISSUANCE_TO_WORST")</f>
        <v>#N/A Requesting Data...</v>
      </c>
      <c r="H2532" t="str">
        <f>_xll.BDP("940157W3 Muni","ISSUE_DT")</f>
        <v>#N/A Requesting Data...</v>
      </c>
      <c r="I2532" t="str">
        <f>_xll.BDS("940157W3 Muni","MUNI_PURPOSE_SCHED", "aggregate=y")</f>
        <v>#N/A Requesting Data...</v>
      </c>
      <c r="J2532" t="str">
        <f>_xll.BDP("940157W3 Muni","CPN")</f>
        <v>#N/A Requesting Data...</v>
      </c>
      <c r="K2532" t="str">
        <f>_xll.BDP("940157W3 Muni","MATURITY")</f>
        <v>#N/A Requesting Data...</v>
      </c>
      <c r="L2532">
        <v>9095000</v>
      </c>
      <c r="M2532" t="str">
        <f>_xll.BDP("940157W3 Muni","YIELD_ON_ISSUE_DATE")</f>
        <v>#N/A Requesting Data...</v>
      </c>
      <c r="N2532" t="str">
        <f>_xll.BDP("940157W3 Muni","YTW_SPREAD_TO_MATURITY_AT_ISSU")</f>
        <v>#N/A Requesting Data...</v>
      </c>
      <c r="O2532" t="str">
        <f>_xll.BDP("940157W3 Muni","BVAL_MID_YTM")</f>
        <v>#N/A Requesting Data...</v>
      </c>
      <c r="P2532" t="str">
        <f>_xll.BDP("940157W3 Muni","MUNI_TAX_PROV")</f>
        <v>#N/A Requesting Data...</v>
      </c>
      <c r="Q2532" t="str">
        <f>_xll.BDP("940157W3 Muni","MUNI_FED_TAX")</f>
        <v>#N/A Requesting Data...</v>
      </c>
      <c r="R2532" t="str">
        <f>_xll.BDP("940157W3 Muni","MUNI_MSRB_VOLUME")</f>
        <v>#N/A Requesting Data...</v>
      </c>
      <c r="S2532" t="str">
        <f>_xll.BDP("940157W3 Muni","BB_COMPOSITE")</f>
        <v>#N/A Requesting Data...</v>
      </c>
      <c r="T2532" t="str">
        <f>_xll.BDP("940157W3 Muni","LQA_LIQUIDITY_SCORE")</f>
        <v>#N/A Requesting Data...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/>
  </sheetViews>
  <sheetFormatPr defaultRowHeight="15" x14ac:dyDescent="0.25"/>
  <cols>
    <col min="1" max="1" width="11.42578125" customWidth="1"/>
    <col min="2" max="3" width="38" customWidth="1"/>
    <col min="4" max="4" width="76.140625" customWidth="1"/>
  </cols>
  <sheetData>
    <row r="1" spans="1:4" x14ac:dyDescent="0.25">
      <c r="A1" s="1" t="s">
        <v>584</v>
      </c>
      <c r="B1" s="1"/>
      <c r="C1" s="1"/>
      <c r="D1" s="1"/>
    </row>
    <row r="2" spans="1:4" x14ac:dyDescent="0.25">
      <c r="A2" s="5" t="s">
        <v>585</v>
      </c>
      <c r="B2" s="4"/>
      <c r="C2" s="4"/>
      <c r="D2" s="4"/>
    </row>
    <row r="3" spans="1:4" x14ac:dyDescent="0.25">
      <c r="A3" s="5"/>
      <c r="B3" s="4"/>
      <c r="C3" s="4"/>
      <c r="D3" s="4"/>
    </row>
    <row r="4" spans="1:4" x14ac:dyDescent="0.25">
      <c r="A4" s="5" t="s">
        <v>586</v>
      </c>
      <c r="B4" s="4"/>
      <c r="C4" s="4"/>
      <c r="D4" s="4"/>
    </row>
    <row r="5" spans="1:4" x14ac:dyDescent="0.25">
      <c r="A5" s="5" t="s">
        <v>587</v>
      </c>
      <c r="B5" s="4"/>
      <c r="C5" s="4"/>
      <c r="D5" s="4"/>
    </row>
    <row r="6" spans="1:4" x14ac:dyDescent="0.25">
      <c r="A6" s="5"/>
      <c r="B6" s="4"/>
      <c r="C6" s="4"/>
      <c r="D6" s="4"/>
    </row>
    <row r="7" spans="1:4" x14ac:dyDescent="0.25">
      <c r="A7" s="5"/>
      <c r="B7" s="4"/>
      <c r="C7" s="4"/>
      <c r="D7" s="4"/>
    </row>
    <row r="8" spans="1:4" x14ac:dyDescent="0.25">
      <c r="A8" s="5" t="s">
        <v>588</v>
      </c>
      <c r="B8" s="4"/>
      <c r="C8" s="4"/>
      <c r="D8" s="4"/>
    </row>
    <row r="9" spans="1:4" x14ac:dyDescent="0.25">
      <c r="A9" s="5"/>
      <c r="B9" s="4"/>
      <c r="C9" s="4"/>
      <c r="D9" s="4"/>
    </row>
    <row r="10" spans="1:4" x14ac:dyDescent="0.25">
      <c r="A10" s="6" t="s">
        <v>589</v>
      </c>
      <c r="B10" s="4"/>
      <c r="C10" s="4"/>
      <c r="D10" s="4"/>
    </row>
    <row r="11" spans="1:4" x14ac:dyDescent="0.25">
      <c r="A11" s="3" t="s">
        <v>590</v>
      </c>
      <c r="B11" s="4"/>
      <c r="C11" s="4"/>
      <c r="D11" s="4"/>
    </row>
    <row r="12" spans="1:4" x14ac:dyDescent="0.25">
      <c r="A12" s="3" t="s">
        <v>591</v>
      </c>
      <c r="B12" s="4"/>
      <c r="C12" s="4"/>
      <c r="D12" s="4"/>
    </row>
    <row r="13" spans="1:4" x14ac:dyDescent="0.25">
      <c r="A13" s="3" t="s">
        <v>592</v>
      </c>
      <c r="B13" s="4"/>
      <c r="C13" s="4"/>
      <c r="D13" s="4"/>
    </row>
    <row r="14" spans="1:4" x14ac:dyDescent="0.25">
      <c r="A14" s="2" t="s">
        <v>593</v>
      </c>
      <c r="B14" s="2" t="s">
        <v>594</v>
      </c>
      <c r="C14" s="2" t="s">
        <v>595</v>
      </c>
      <c r="D14" s="2" t="s">
        <v>596</v>
      </c>
    </row>
    <row r="15" spans="1:4" x14ac:dyDescent="0.25">
      <c r="A15" s="2" t="s">
        <v>593</v>
      </c>
      <c r="B15" s="2" t="s">
        <v>597</v>
      </c>
      <c r="C15" s="2" t="s">
        <v>595</v>
      </c>
      <c r="D15" s="2" t="s">
        <v>598</v>
      </c>
    </row>
    <row r="16" spans="1:4" x14ac:dyDescent="0.25">
      <c r="A16" s="2" t="s">
        <v>593</v>
      </c>
      <c r="B16" s="2" t="s">
        <v>599</v>
      </c>
      <c r="C16" s="2" t="s">
        <v>595</v>
      </c>
      <c r="D16" s="2" t="s">
        <v>600</v>
      </c>
    </row>
    <row r="17" spans="1:4" x14ac:dyDescent="0.25">
      <c r="A17" s="2" t="s">
        <v>593</v>
      </c>
      <c r="B17" s="2" t="s">
        <v>7</v>
      </c>
      <c r="C17" s="2" t="s">
        <v>601</v>
      </c>
      <c r="D17" s="2" t="s">
        <v>602</v>
      </c>
    </row>
    <row r="18" spans="1:4" x14ac:dyDescent="0.25">
      <c r="A18" s="2" t="s">
        <v>593</v>
      </c>
      <c r="B18" s="2" t="s">
        <v>603</v>
      </c>
      <c r="C18" s="2" t="s">
        <v>604</v>
      </c>
      <c r="D18" s="2" t="s">
        <v>605</v>
      </c>
    </row>
  </sheetData>
  <mergeCells count="12">
    <mergeCell ref="A2:D2"/>
    <mergeCell ref="A3:D3"/>
    <mergeCell ref="A4:D4"/>
    <mergeCell ref="A5:D5"/>
    <mergeCell ref="A6:D6"/>
    <mergeCell ref="A12:D12"/>
    <mergeCell ref="A13:D13"/>
    <mergeCell ref="A7:D7"/>
    <mergeCell ref="A8:D8"/>
    <mergeCell ref="A9:D9"/>
    <mergeCell ref="A10:D10"/>
    <mergeCell ref="A11:D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Municipals</vt:lpstr>
      <vt:lpstr>Context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Li, Dan</cp:lastModifiedBy>
  <dcterms:created xsi:type="dcterms:W3CDTF">2013-04-03T15:49:21Z</dcterms:created>
  <dcterms:modified xsi:type="dcterms:W3CDTF">2022-07-27T19:35:08Z</dcterms:modified>
</cp:coreProperties>
</file>